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5.xml" ContentType="application/vnd.openxmlformats-officedocument.spreadsheetml.worksheet+xml"/>
  <Override PartName="/xl/worksheets/sheet2.xml" ContentType="application/vnd.openxmlformats-officedocument.spreadsheetml.worksheet+xml"/>
  <Override PartName="/xl/worksheets/sheet24.xml" ContentType="application/vnd.openxmlformats-officedocument.spreadsheetml.worksheet+xml"/>
  <Override PartName="/xl/worksheets/sheet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GAS DAILY" sheetId="1" state="visible" r:id="rId3"/>
    <sheet name="STRADDLES" sheetId="2" state="visible" r:id="rId4"/>
    <sheet name="pipes" sheetId="3" state="visible" r:id="rId5"/>
    <sheet name="Sheet4" sheetId="4" state="visible" r:id="rId6"/>
    <sheet name="EXTENDABLE" sheetId="5" state="visible" r:id="rId7"/>
    <sheet name="hh-weighted" sheetId="6" state="visible" r:id="rId8"/>
    <sheet name="Sheet2" sheetId="7" state="visible" r:id="rId9"/>
    <sheet name="Sheet1" sheetId="8" state="visible" r:id="rId10"/>
    <sheet name="opt calc" sheetId="9" state="visible" r:id="rId11"/>
    <sheet name="basisopt1" sheetId="10" state="visible" r:id="rId12"/>
    <sheet name="BASIS OPT 2" sheetId="11" state="visible" r:id="rId13"/>
    <sheet name="BASIS OPT 3" sheetId="12" state="visible" r:id="rId14"/>
    <sheet name="CORE DELTA" sheetId="13" state="visible" r:id="rId15"/>
    <sheet name="VOL DELTA" sheetId="14" state="visible" r:id="rId16"/>
    <sheet name="SWAPTION" sheetId="15" state="visible" r:id="rId17"/>
    <sheet name="nymex" sheetId="16" state="visible" r:id="rId18"/>
    <sheet name="Skews" sheetId="17" state="visible" r:id="rId19"/>
    <sheet name="basis settles" sheetId="18" state="visible" r:id="rId20"/>
    <sheet name="BASIS GAS DAILY" sheetId="19" state="visible" r:id="rId21"/>
    <sheet name="curves" sheetId="20" state="visible" r:id="rId22"/>
    <sheet name="VOL DWNLD" sheetId="21" state="visible" r:id="rId23"/>
    <sheet name="VOLS" sheetId="22" state="visible" r:id="rId24"/>
    <sheet name="CORE DWNLD" sheetId="23" state="visible" r:id="rId25"/>
    <sheet name="CORRELATION" sheetId="24" state="visible" r:id="rId26"/>
    <sheet name="expiry" sheetId="25" state="visible" r:id="rId27"/>
  </sheets>
  <externalReferences>
    <externalReference r:id="rId28"/>
  </externalReferences>
  <definedNames>
    <definedName function="false" hidden="false" localSheetId="10" name="_xlnm.Print_Area" vbProcedure="false">'BASIS OPT 2'!$A$3:$H$30</definedName>
    <definedName function="false" hidden="false" localSheetId="17" name="_xlnm.Print_Area" vbProcedure="false">'basis settles'!$A$2:$Q$25</definedName>
    <definedName function="false" hidden="false" localSheetId="15" name="_xlnm.Print_Area" vbProcedure="false">nymex!$A$4:$I$23</definedName>
    <definedName function="false" hidden="false" name="accuracy" vbProcedure="false">#REF!</definedName>
    <definedName function="false" hidden="false" name="aproct" vbProcedure="false">STRADDLES!$B$6</definedName>
    <definedName function="false" hidden="false" name="Basis" vbProcedure="false">#REF!</definedName>
    <definedName function="false" hidden="false" name="basisyn" vbProcedure="false">#REF!</definedName>
    <definedName function="false" hidden="false" name="BeginDate" vbProcedure="false">#REF!</definedName>
    <definedName function="false" hidden="false" name="BLAHBLAH" vbProcedure="false">#REF!</definedName>
    <definedName function="false" hidden="false" name="CAL7VOL" vbProcedure="false">STRADDLES!$B$102</definedName>
    <definedName function="false" hidden="false" name="CAL8VOL" vbProcedure="false">STRADDLES!$B$103</definedName>
    <definedName function="false" hidden="false" name="CAL9VOL" vbProcedure="false">STRADDLES!$B$104</definedName>
    <definedName function="false" hidden="false" name="CalcMode" vbProcedure="false">#REF!</definedName>
    <definedName function="false" hidden="false" name="Call1" vbProcedure="false">#REF!</definedName>
    <definedName function="false" hidden="false" name="Call2" vbProcedure="false">#REF!</definedName>
    <definedName function="false" hidden="false" name="calldelta1" vbProcedure="false">#REF!</definedName>
    <definedName function="false" hidden="false" name="calldelta2" vbProcedure="false">#REF!</definedName>
    <definedName function="false" hidden="false" name="callgamma1" vbProcedure="false">#REF!</definedName>
    <definedName function="false" hidden="false" name="callgamma2" vbProcedure="false">#REF!</definedName>
    <definedName function="false" hidden="false" name="callprem1" vbProcedure="false">#REF!</definedName>
    <definedName function="false" hidden="false" name="callprem2" vbProcedure="false">#REF!</definedName>
    <definedName function="false" hidden="false" name="CallPut" vbProcedure="false">#REF!</definedName>
    <definedName function="false" hidden="false" name="callvega1" vbProcedure="false">#REF!</definedName>
    <definedName function="false" hidden="false" name="callvega2" vbProcedure="false">#REF!</definedName>
    <definedName function="false" hidden="false" name="CORETABLE" vbProcedure="false">CORRELATION!$A$1:$AA$210</definedName>
    <definedName function="false" hidden="false" name="CurveDate" vbProcedure="false">#REF!</definedName>
    <definedName function="false" hidden="false" name="CurveRange" vbProcedure="false">#REF!</definedName>
    <definedName function="false" hidden="false" name="CurveRange2" vbProcedure="false">#REF!</definedName>
    <definedName function="false" hidden="false" name="Curves" vbProcedure="false">#REF!</definedName>
    <definedName function="false" hidden="false" name="curvesettle" vbProcedure="false">curves!$C$1:$BV$312</definedName>
    <definedName function="false" hidden="false" name="CurveTable" vbProcedure="false">VOLS!$B$4:$AI$11</definedName>
    <definedName function="false" hidden="false" name="CUSTOMVOLUME" vbProcedure="false">#REF!</definedName>
    <definedName function="false" hidden="false" name="DATE" vbProcedure="false">#REF!</definedName>
    <definedName function="false" hidden="false" name="datelook" vbProcedure="false">STRADDLES!$A$18:$B$137</definedName>
    <definedName function="false" hidden="false" name="Dates" vbProcedure="false">#REF!</definedName>
    <definedName function="false" hidden="false" name="DBase" vbProcedure="false">#REF!</definedName>
    <definedName function="false" hidden="false" name="EffDt" vbProcedure="false">#REF!</definedName>
    <definedName function="false" hidden="false" name="EndDate" vbProcedure="false">#REF!</definedName>
    <definedName function="false" hidden="false" name="EXMONTH" vbProcedure="false">[1]STRADDLES!$A$5:$B$41</definedName>
    <definedName function="false" hidden="false" name="ExpDates" vbProcedure="false">expiry!$K$7:$M$414</definedName>
    <definedName function="false" hidden="false" name="expiration" vbProcedure="false">expiry!$G$7:$I$414</definedName>
    <definedName function="false" hidden="false" name="exptype" vbProcedure="false">#REF!</definedName>
    <definedName function="false" hidden="false" name="FPToggle" vbProcedure="false">#REF!</definedName>
    <definedName function="false" hidden="false" name="FwdStFlag" vbProcedure="false">#REF!</definedName>
    <definedName function="false" hidden="false" name="GasDaily" vbProcedure="false">#REF!</definedName>
    <definedName function="false" hidden="false" name="GDVolSpread" vbProcedure="false">#REF!</definedName>
    <definedName function="false" hidden="false" name="GDVolTable" vbProcedure="false">#REF!</definedName>
    <definedName function="false" hidden="false" name="impldputcall" vbProcedure="false">#REF!</definedName>
    <definedName function="false" hidden="false" name="impldvolstrike" vbProcedure="false">#REF!</definedName>
    <definedName function="false" hidden="false" name="interest_y_n" vbProcedure="false">STRADDLES!$K$1</definedName>
    <definedName function="false" hidden="false" name="maxvol" vbProcedure="false">#REF!</definedName>
    <definedName function="false" hidden="false" name="mktprem" vbProcedure="false">#REF!</definedName>
    <definedName function="false" hidden="false" name="MONTHS" vbProcedure="false">#REF!</definedName>
    <definedName function="false" hidden="false" name="notionalvolumes" vbProcedure="false">#REF!</definedName>
    <definedName function="false" hidden="false" name="NYMEXPrices" vbProcedure="false">#REF!</definedName>
    <definedName function="false" hidden="false" name="PARAMS" vbProcedure="false">STRADDLES!$B$146:$J$281</definedName>
    <definedName function="false" hidden="false" name="Password" vbProcedure="false">#REF!</definedName>
    <definedName function="false" hidden="false" name="Physical" vbProcedure="false">#REF!</definedName>
    <definedName function="false" hidden="false" name="prompt" vbProcedure="false">#REF!</definedName>
    <definedName function="false" hidden="false" name="Put1" vbProcedure="false">#REF!</definedName>
    <definedName function="false" hidden="false" name="Put2" vbProcedure="false">#REF!</definedName>
    <definedName function="false" hidden="false" name="putdelta1" vbProcedure="false">#REF!</definedName>
    <definedName function="false" hidden="false" name="putdelta2" vbProcedure="false">#REF!</definedName>
    <definedName function="false" hidden="false" name="putgamma1" vbProcedure="false">#REF!</definedName>
    <definedName function="false" hidden="false" name="putgamma2" vbProcedure="false">#REF!</definedName>
    <definedName function="false" hidden="false" name="putprem1" vbProcedure="false">#REF!</definedName>
    <definedName function="false" hidden="false" name="putprem2" vbProcedure="false">#REF!</definedName>
    <definedName function="false" hidden="false" name="putvega1" vbProcedure="false">#REF!</definedName>
    <definedName function="false" hidden="false" name="putvega2" vbProcedure="false">#REF!</definedName>
    <definedName function="false" hidden="false" name="pvvolumes" vbProcedure="false">#REF!</definedName>
    <definedName function="false" hidden="false" name="RATES" vbProcedure="false">STRADDLES!$Y$160:$AA$171</definedName>
    <definedName function="false" hidden="false" name="simvol" vbProcedure="false">#REF!</definedName>
    <definedName function="false" hidden="false" name="SkewTable" vbProcedure="false">Skews!$1:$999</definedName>
    <definedName function="false" hidden="false" name="SKEWYN" vbProcedure="false">#REF!</definedName>
    <definedName function="false" hidden="false" name="StartDate" vbProcedure="false">#REF!</definedName>
    <definedName function="false" hidden="false" name="STRADDLE" vbProcedure="false">STRADDLES!$B$17:$W$138</definedName>
    <definedName function="false" hidden="false" name="STRADDLEYN" vbProcedure="false">#REF!</definedName>
    <definedName function="false" hidden="false" name="strike" vbProcedure="false">#REF!</definedName>
    <definedName function="false" hidden="false" name="Strike1" vbProcedure="false">#REF!</definedName>
    <definedName function="false" hidden="false" name="summerstrip" vbProcedure="false">STRADDLES!$B$4</definedName>
    <definedName function="false" hidden="false" name="SWAPTIONBASIS1" vbProcedure="false">SWAPTION!$AI$41</definedName>
    <definedName function="false" hidden="false" name="SWAPTIONBASIS2" vbProcedure="false">SWAPTION!$AS$41</definedName>
    <definedName function="false" hidden="false" name="SWAPTIONBASIS3" vbProcedure="false">SWAPTION!$BC$41</definedName>
    <definedName function="false" hidden="false" name="SWAPTIONSWAP1" vbProcedure="false">SWAPTION!$AH$41</definedName>
    <definedName function="false" hidden="false" name="SWAPTIONSWAP2" vbProcedure="false">SWAPTION!$AR$41</definedName>
    <definedName function="false" hidden="false" name="SWAPTIONSWAP3" vbProcedure="false">SWAPTION!$BB$41</definedName>
    <definedName function="false" hidden="false" name="SWAPTIONVOL1" vbProcedure="false">SWAPTION!$AK$41</definedName>
    <definedName function="false" hidden="false" name="SWAPTIONVOL2" vbProcedure="false">SWAPTION!$AU$41</definedName>
    <definedName function="false" hidden="false" name="SWAPTIONVOL3" vbProcedure="false">SWAPTION!$BE$41</definedName>
    <definedName function="false" hidden="false" name="Today" vbProcedure="false">#REF!</definedName>
    <definedName function="false" hidden="false" name="TOTALVOLUME" vbProcedure="false">#REF!</definedName>
    <definedName function="false" hidden="false" name="TSETTLE" vbProcedure="false">STRADDLES!$C$3</definedName>
    <definedName function="false" hidden="false" name="UpperLeftOfCurveTable" vbProcedure="false">#REF!</definedName>
    <definedName function="false" hidden="false" name="UserName" vbProcedure="false">#REF!</definedName>
    <definedName function="false" hidden="false" name="VolAdder" vbProcedure="false">#REF!</definedName>
    <definedName function="false" hidden="false" name="VOLBA" vbProcedure="false">#REF!</definedName>
    <definedName function="false" hidden="false" name="VOLCURVES" vbProcedure="false">VOLS!$A$1:$CA$211</definedName>
    <definedName function="false" hidden="false" name="VolLookup" vbProcedure="false">#REF!</definedName>
    <definedName function="false" hidden="false" name="VOLS" vbProcedure="false">[1]STRADDLES!$B$5:$K$50</definedName>
    <definedName function="false" hidden="false" name="voltable" vbProcedure="false">VOLS!$A$1:$AJ$209</definedName>
    <definedName function="false" hidden="false" name="Volume" vbProcedure="false">#REF!</definedName>
    <definedName function="false" hidden="false" name="winterstrip" vbProcedure="false">STRADDLES!$B$5</definedName>
    <definedName function="true" hidden="false" name="SPRDOPT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<sst xmlns="http://schemas.openxmlformats.org/spreadsheetml/2006/main" count="1831" uniqueCount="242">
  <si>
    <t xml:space="preserve">MONTH</t>
  </si>
  <si>
    <t xml:space="preserve">PREMIUM</t>
  </si>
  <si>
    <t xml:space="preserve">DELTA</t>
  </si>
  <si>
    <t xml:space="preserve">GAMMA</t>
  </si>
  <si>
    <t xml:space="preserve">VEGA</t>
  </si>
  <si>
    <t xml:space="preserve">THETA</t>
  </si>
  <si>
    <t xml:space="preserve">      SWAP PRICE:</t>
  </si>
  <si>
    <t xml:space="preserve">OPT 1</t>
  </si>
  <si>
    <t xml:space="preserve">OPT 2</t>
  </si>
  <si>
    <t xml:space="preserve">STRIKE</t>
  </si>
  <si>
    <t xml:space="preserve">OPT TYPE</t>
  </si>
  <si>
    <t xml:space="preserve">VOL ADJ</t>
  </si>
  <si>
    <t xml:space="preserve">FIRST DAY</t>
  </si>
  <si>
    <t xml:space="preserve">LAST DAY</t>
  </si>
  <si>
    <t xml:space="preserve">PRICING DAY</t>
  </si>
  <si>
    <t xml:space="preserve">value</t>
  </si>
  <si>
    <t xml:space="preserve">SWAP</t>
  </si>
  <si>
    <t xml:space="preserve">STRIKE1</t>
  </si>
  <si>
    <t xml:space="preserve">STRIKE2</t>
  </si>
  <si>
    <t xml:space="preserve">vol1</t>
  </si>
  <si>
    <t xml:space="preserve">vol2</t>
  </si>
  <si>
    <t xml:space="preserve">int rate</t>
  </si>
  <si>
    <t xml:space="preserve">days</t>
  </si>
  <si>
    <t xml:space="preserve">START</t>
  </si>
  <si>
    <t xml:space="preserve">END</t>
  </si>
  <si>
    <t xml:space="preserve">settle, last or eol?</t>
  </si>
  <si>
    <t xml:space="preserve">eol</t>
  </si>
  <si>
    <t xml:space="preserve">OPT1</t>
  </si>
  <si>
    <t xml:space="preserve">OPT2</t>
  </si>
  <si>
    <t xml:space="preserve">OPT3</t>
  </si>
  <si>
    <t xml:space="preserve">OPT4</t>
  </si>
  <si>
    <t xml:space="preserve">IF-HPL/SHPCHAN</t>
  </si>
  <si>
    <t xml:space="preserve">IF-NORAM/EAST</t>
  </si>
  <si>
    <t xml:space="preserve">Today</t>
  </si>
  <si>
    <t xml:space="preserve">PIPE</t>
  </si>
  <si>
    <t xml:space="preserve">IF-TRANSCO/Z6</t>
  </si>
  <si>
    <t xml:space="preserve">IF-TGT/Z1</t>
  </si>
  <si>
    <t xml:space="preserve">IF-NWPL_ROCKY_M</t>
  </si>
  <si>
    <t xml:space="preserve">IF-CGT/APPALAC</t>
  </si>
  <si>
    <t xml:space="preserve">telerate settle</t>
  </si>
  <si>
    <t xml:space="preserve">last</t>
  </si>
  <si>
    <t xml:space="preserve">MONTH1</t>
  </si>
  <si>
    <t xml:space="preserve">IF-ELPO/SJ</t>
  </si>
  <si>
    <t xml:space="preserve">ADJ</t>
  </si>
  <si>
    <t xml:space="preserve">EOL PRICE</t>
  </si>
  <si>
    <t xml:space="preserve">v</t>
  </si>
  <si>
    <t xml:space="preserve">MONTH2</t>
  </si>
  <si>
    <t xml:space="preserve">IF-PAN/TX/OK</t>
  </si>
  <si>
    <t xml:space="preserve">XH</t>
  </si>
  <si>
    <t xml:space="preserve">NYMEX</t>
  </si>
  <si>
    <t xml:space="preserve">J-V</t>
  </si>
  <si>
    <t xml:space="preserve">BASIS</t>
  </si>
  <si>
    <t xml:space="preserve">NGI/CHI. GATE</t>
  </si>
  <si>
    <t xml:space="preserve">x1h2</t>
  </si>
  <si>
    <t xml:space="preserve">SWAP ADJ</t>
  </si>
  <si>
    <t xml:space="preserve">IF-TETCO/STX</t>
  </si>
  <si>
    <t xml:space="preserve">JV01</t>
  </si>
  <si>
    <t xml:space="preserve">CAL 1</t>
  </si>
  <si>
    <t xml:space="preserve">MICH_CG-GD</t>
  </si>
  <si>
    <t xml:space="preserve">XH02</t>
  </si>
  <si>
    <t xml:space="preserve">CAL 2</t>
  </si>
  <si>
    <t xml:space="preserve">SKEW</t>
  </si>
  <si>
    <t xml:space="preserve">CAL2</t>
  </si>
  <si>
    <t xml:space="preserve">CAL 3</t>
  </si>
  <si>
    <t xml:space="preserve">IF-ELPO/PERMIAN</t>
  </si>
  <si>
    <t xml:space="preserve">CAL3</t>
  </si>
  <si>
    <t xml:space="preserve">CAL 4</t>
  </si>
  <si>
    <t xml:space="preserve">IF-NNG/VENT</t>
  </si>
  <si>
    <t xml:space="preserve">CAL4</t>
  </si>
  <si>
    <t xml:space="preserve">IF-CIG/RKYMTN</t>
  </si>
  <si>
    <t xml:space="preserve">IF-TETCO/ELA</t>
  </si>
  <si>
    <t xml:space="preserve">IF-TENN/LA</t>
  </si>
  <si>
    <t xml:space="preserve">IF-WAHA-TX</t>
  </si>
  <si>
    <t xml:space="preserve">IF-ANR/OK</t>
  </si>
  <si>
    <t xml:space="preserve">SETTLE</t>
  </si>
  <si>
    <t xml:space="preserve">NGI-SOCAL</t>
  </si>
  <si>
    <t xml:space="preserve">MARKET</t>
  </si>
  <si>
    <t xml:space="preserve">ADJ. </t>
  </si>
  <si>
    <t xml:space="preserve">PRICES</t>
  </si>
  <si>
    <t xml:space="preserve">VOL</t>
  </si>
  <si>
    <t xml:space="preserve">VOL CHANGE</t>
  </si>
  <si>
    <t xml:space="preserve">STRADDLE</t>
  </si>
  <si>
    <t xml:space="preserve">EXPIRATION</t>
  </si>
  <si>
    <t xml:space="preserve">RATE</t>
  </si>
  <si>
    <t xml:space="preserve">DJ/BASIN/CIG</t>
  </si>
  <si>
    <t xml:space="preserve">IF-ANR/LA</t>
  </si>
  <si>
    <t xml:space="preserve">IF-SONAT/LA</t>
  </si>
  <si>
    <t xml:space="preserve">IF-CNG/APPALACH</t>
  </si>
  <si>
    <t xml:space="preserve">IF-COLGULF/LA</t>
  </si>
  <si>
    <t xml:space="preserve">IF-TRUNKL/LA</t>
  </si>
  <si>
    <t xml:space="preserve">IF-FGT/Z1</t>
  </si>
  <si>
    <t xml:space="preserve">IF-FGT/Z2</t>
  </si>
  <si>
    <t xml:space="preserve">IF-FGT/Z3</t>
  </si>
  <si>
    <t xml:space="preserve">IF-HEHUB</t>
  </si>
  <si>
    <t xml:space="preserve">IF-KATY</t>
  </si>
  <si>
    <t xml:space="preserve">IF-NGPL/LA</t>
  </si>
  <si>
    <t xml:space="preserve">IF-NGPL/MIDCON</t>
  </si>
  <si>
    <t xml:space="preserve">IF-NGPLTXOK</t>
  </si>
  <si>
    <t xml:space="preserve">IF-NNG/DEMARCAT</t>
  </si>
  <si>
    <t xml:space="preserve">IF-NNG/TOK</t>
  </si>
  <si>
    <t xml:space="preserve">IF-NTHWST/CANBR</t>
  </si>
  <si>
    <t xml:space="preserve">IF-ONG/OKLAHOMA</t>
  </si>
  <si>
    <t xml:space="preserve">IF-QUESTAR</t>
  </si>
  <si>
    <t xml:space="preserve">IF-TENN/LA_OFF</t>
  </si>
  <si>
    <t xml:space="preserve">IF-TENN/TX</t>
  </si>
  <si>
    <t xml:space="preserve">IF-TETCO/WLA</t>
  </si>
  <si>
    <t xml:space="preserve">IF-TGT/ZSL</t>
  </si>
  <si>
    <t xml:space="preserve">IF-TRANSCO/Z1</t>
  </si>
  <si>
    <t xml:space="preserve">IF-TRANSCO/Z2</t>
  </si>
  <si>
    <t xml:space="preserve">IF-TRANSCO/Z3</t>
  </si>
  <si>
    <t xml:space="preserve">IF-TRUNKL/FLDZN</t>
  </si>
  <si>
    <t xml:space="preserve">IF-TRUNKL/TX</t>
  </si>
  <si>
    <t xml:space="preserve">IF-VALERO/TX</t>
  </si>
  <si>
    <t xml:space="preserve">IF-WNG/TOK</t>
  </si>
  <si>
    <t xml:space="preserve">ML7/CG</t>
  </si>
  <si>
    <t xml:space="preserve">NGI-PGE/CG</t>
  </si>
  <si>
    <t xml:space="preserve">NGI-MALIN</t>
  </si>
  <si>
    <t xml:space="preserve">IF-TETCO/M3</t>
  </si>
  <si>
    <t xml:space="preserve">EXT</t>
  </si>
  <si>
    <t xml:space="preserve">Swap  1</t>
  </si>
  <si>
    <t xml:space="preserve">Swap  2</t>
  </si>
  <si>
    <t xml:space="preserve">disc1</t>
  </si>
  <si>
    <t xml:space="preserve">disc2</t>
  </si>
  <si>
    <t xml:space="preserve">EXP</t>
  </si>
  <si>
    <t xml:space="preserve">Months x</t>
  </si>
  <si>
    <t xml:space="preserve">xh</t>
  </si>
  <si>
    <t xml:space="preserve">Months </t>
  </si>
  <si>
    <t xml:space="preserve">jv</t>
  </si>
  <si>
    <t xml:space="preserve">Strike</t>
  </si>
  <si>
    <t xml:space="preserve">x1yr</t>
  </si>
  <si>
    <t xml:space="preserve">PC</t>
  </si>
  <si>
    <t xml:space="preserve">x01 1yr</t>
  </si>
  <si>
    <t xml:space="preserve">VALUE</t>
  </si>
  <si>
    <t xml:space="preserve">DAYS ADJ</t>
  </si>
  <si>
    <t xml:space="preserve">summer</t>
  </si>
  <si>
    <t xml:space="preserve">vega</t>
  </si>
  <si>
    <t xml:space="preserve">DATE</t>
  </si>
  <si>
    <t xml:space="preserve">winter</t>
  </si>
  <si>
    <t xml:space="preserve">basis on off</t>
  </si>
  <si>
    <t xml:space="preserve">0=NO, 1=YES</t>
  </si>
  <si>
    <t xml:space="preserve">IF-WAHA</t>
  </si>
  <si>
    <t xml:space="preserve">BASIS POINT</t>
  </si>
  <si>
    <t xml:space="preserve">ng</t>
  </si>
  <si>
    <t xml:space="preserve">OPT 3</t>
  </si>
  <si>
    <t xml:space="preserve">OPT 4</t>
  </si>
  <si>
    <t xml:space="preserve">FIRST MONTH</t>
  </si>
  <si>
    <t xml:space="preserve">LAST MONTH</t>
  </si>
  <si>
    <t xml:space="preserve">NYMEX SWAP</t>
  </si>
  <si>
    <t xml:space="preserve">NYMEX ADJ</t>
  </si>
  <si>
    <t xml:space="preserve">BASIS ADJ</t>
  </si>
  <si>
    <t xml:space="preserve">SKEW ON/OFF</t>
  </si>
  <si>
    <t xml:space="preserve">GREEK</t>
  </si>
  <si>
    <t xml:space="preserve">CUSTOM</t>
  </si>
  <si>
    <t xml:space="preserve">ADJ SWAP</t>
  </si>
  <si>
    <t xml:space="preserve">      ADJ SWAP PRICE:</t>
  </si>
  <si>
    <t xml:space="preserve">IMPVOL</t>
  </si>
  <si>
    <t xml:space="preserve">STRIKE3</t>
  </si>
  <si>
    <t xml:space="preserve">STRIKE4</t>
  </si>
  <si>
    <t xml:space="preserve">SKEW 1</t>
  </si>
  <si>
    <t xml:space="preserve">SKEW 2</t>
  </si>
  <si>
    <t xml:space="preserve">SKEW 3</t>
  </si>
  <si>
    <t xml:space="preserve">SKEW 4</t>
  </si>
  <si>
    <t xml:space="preserve">ADJ VOL1</t>
  </si>
  <si>
    <t xml:space="preserve">ADJ VOL2</t>
  </si>
  <si>
    <t xml:space="preserve">ADJ VOL3</t>
  </si>
  <si>
    <t xml:space="preserve">ADJ VOL4</t>
  </si>
  <si>
    <t xml:space="preserve">VOLUME</t>
  </si>
  <si>
    <t xml:space="preserve">\</t>
  </si>
  <si>
    <t xml:space="preserve">combos</t>
  </si>
  <si>
    <t xml:space="preserve">premium</t>
  </si>
  <si>
    <t xml:space="preserve">delta</t>
  </si>
  <si>
    <t xml:space="preserve">1=call,2=put,3=straddle</t>
  </si>
  <si>
    <t xml:space="preserve">PIPE EXP</t>
  </si>
  <si>
    <t xml:space="preserve">OPT EXP</t>
  </si>
  <si>
    <t xml:space="preserve">nymex</t>
  </si>
  <si>
    <t xml:space="preserve">SWAP B(NYMEX)</t>
  </si>
  <si>
    <t xml:space="preserve">SWAP B ADJ(NYMEX)</t>
  </si>
  <si>
    <t xml:space="preserve">VOL A ADJ</t>
  </si>
  <si>
    <t xml:space="preserve">VOL B ADJ</t>
  </si>
  <si>
    <t xml:space="preserve">CORE ADJ</t>
  </si>
  <si>
    <t xml:space="preserve">DELTA A</t>
  </si>
  <si>
    <t xml:space="preserve">DELTA B</t>
  </si>
  <si>
    <t xml:space="preserve">GAMMA A</t>
  </si>
  <si>
    <t xml:space="preserve">GAMMA B</t>
  </si>
  <si>
    <t xml:space="preserve">VEGA A</t>
  </si>
  <si>
    <t xml:space="preserve">VEGA B</t>
  </si>
  <si>
    <t xml:space="preserve">ETA</t>
  </si>
  <si>
    <t xml:space="preserve">NG DELTA</t>
  </si>
  <si>
    <t xml:space="preserve">NG GAMMA</t>
  </si>
  <si>
    <t xml:space="preserve">NG VEGA</t>
  </si>
  <si>
    <t xml:space="preserve">VOL1</t>
  </si>
  <si>
    <t xml:space="preserve">VOL2</t>
  </si>
  <si>
    <t xml:space="preserve">CORRE</t>
  </si>
  <si>
    <t xml:space="preserve">CORRELATION</t>
  </si>
  <si>
    <t xml:space="preserve">SWAP1</t>
  </si>
  <si>
    <t xml:space="preserve">SWAP2</t>
  </si>
  <si>
    <t xml:space="preserve">Date</t>
  </si>
  <si>
    <t xml:space="preserve">NGI/CHI.GATE</t>
  </si>
  <si>
    <t xml:space="preserve">CGPR-DAWN</t>
  </si>
  <si>
    <t xml:space="preserve">MRT-GDM</t>
  </si>
  <si>
    <t xml:space="preserve">IF-TETCO/ETX</t>
  </si>
  <si>
    <t xml:space="preserve">IF-HPL/HSC</t>
  </si>
  <si>
    <t xml:space="preserve">DJ/BASIN/WEST</t>
  </si>
  <si>
    <t xml:space="preserve">KNX1</t>
  </si>
  <si>
    <t xml:space="preserve">0PT 3</t>
  </si>
  <si>
    <t xml:space="preserve">BASIS SWAP</t>
  </si>
  <si>
    <t xml:space="preserve">AVG. EURO VOL</t>
  </si>
  <si>
    <t xml:space="preserve">VOL PERCENTAGE 1</t>
  </si>
  <si>
    <t xml:space="preserve">ADJ VOL</t>
  </si>
  <si>
    <t xml:space="preserve">SWAP VOL MULTIPLE</t>
  </si>
  <si>
    <t xml:space="preserve">SWAPTION VOL</t>
  </si>
  <si>
    <t xml:space="preserve">NYMEX OPT EXP</t>
  </si>
  <si>
    <t xml:space="preserve">NYMEX EXP</t>
  </si>
  <si>
    <t xml:space="preserve">ACTUAL EXP</t>
  </si>
  <si>
    <t xml:space="preserve">INT RATE</t>
  </si>
  <si>
    <t xml:space="preserve">adj</t>
  </si>
  <si>
    <t xml:space="preserve">month</t>
  </si>
  <si>
    <t xml:space="preserve">u</t>
  </si>
  <si>
    <t xml:space="preserve">if-waha-tx</t>
  </si>
  <si>
    <t xml:space="preserve">if-hehub</t>
  </si>
  <si>
    <t xml:space="preserve">Curve Code</t>
  </si>
  <si>
    <t xml:space="preserve">NG</t>
  </si>
  <si>
    <t xml:space="preserve">INTNS</t>
  </si>
  <si>
    <t xml:space="preserve">GDM-DAWN</t>
  </si>
  <si>
    <t xml:space="preserve">ANR/ML7-GDM</t>
  </si>
  <si>
    <t xml:space="preserve">MICH/CONS</t>
  </si>
  <si>
    <t xml:space="preserve">Curve Type</t>
  </si>
  <si>
    <t xml:space="preserve">PR</t>
  </si>
  <si>
    <t xml:space="preserve">VO</t>
  </si>
  <si>
    <t xml:space="preserve">AA</t>
  </si>
  <si>
    <t xml:space="preserve">Book Code 1</t>
  </si>
  <si>
    <t xml:space="preserve">P</t>
  </si>
  <si>
    <t xml:space="preserve">R</t>
  </si>
  <si>
    <t xml:space="preserve">D</t>
  </si>
  <si>
    <t xml:space="preserve">Risk Type</t>
  </si>
  <si>
    <t xml:space="preserve">Expiration Dates</t>
  </si>
  <si>
    <t xml:space="preserve">Updated on 6/26/97</t>
  </si>
  <si>
    <t xml:space="preserve">NG Futures</t>
  </si>
  <si>
    <t xml:space="preserve">NG Option</t>
  </si>
  <si>
    <t xml:space="preserve">Delivery</t>
  </si>
  <si>
    <t xml:space="preserve">Expiration</t>
  </si>
  <si>
    <t xml:space="preserve">Month</t>
  </si>
</sst>
</file>

<file path=xl/styles.xml><?xml version="1.0" encoding="utf-8"?>
<styleSheet xmlns="http://schemas.openxmlformats.org/spreadsheetml/2006/main">
  <numFmts count="28">
    <numFmt numFmtId="164" formatCode="General"/>
    <numFmt numFmtId="165" formatCode="0"/>
    <numFmt numFmtId="166" formatCode="0.00%"/>
    <numFmt numFmtId="167" formatCode="[$-409]mmm\-yy"/>
    <numFmt numFmtId="168" formatCode="[$-409]m/d/yyyy"/>
    <numFmt numFmtId="169" formatCode="0.0000"/>
    <numFmt numFmtId="170" formatCode="0.00"/>
    <numFmt numFmtId="171" formatCode="0.000"/>
    <numFmt numFmtId="172" formatCode="\$#,##0"/>
    <numFmt numFmtId="173" formatCode="#,##0"/>
    <numFmt numFmtId="174" formatCode="[$-409]d\-mmm\-yy"/>
    <numFmt numFmtId="175" formatCode="0.00000"/>
    <numFmt numFmtId="176" formatCode="0.0000%"/>
    <numFmt numFmtId="177" formatCode="0.0000_);[RED]\(0.0000\)"/>
    <numFmt numFmtId="178" formatCode="0.000_);[RED]\(0.000\)"/>
    <numFmt numFmtId="179" formatCode="0.00_);[RED]\(0.00\)"/>
    <numFmt numFmtId="180" formatCode="[$-409]#,##0_);[RED]\(#,##0\)"/>
    <numFmt numFmtId="181" formatCode="0%"/>
    <numFmt numFmtId="182" formatCode="#,##0.000_);[RED]\(#,##0.000\)"/>
    <numFmt numFmtId="183" formatCode="0.000%"/>
    <numFmt numFmtId="184" formatCode="0.00000_);[RED]\(0.00000\)"/>
    <numFmt numFmtId="185" formatCode="dd\-mmm\-yy"/>
    <numFmt numFmtId="186" formatCode="mmm\-yy_)"/>
    <numFmt numFmtId="187" formatCode="0.00_)"/>
    <numFmt numFmtId="188" formatCode="_(* #,##0.00_);_(* \(#,##0.00\);_(* \-??_);_(@_)"/>
    <numFmt numFmtId="189" formatCode="_(* #,##0.000_);_(* \(#,##0.000\);_(* \-??_);_(@_)"/>
    <numFmt numFmtId="190" formatCode="mmm\-yyyy"/>
    <numFmt numFmtId="191" formatCode="[$-409]#,##0_);\(#,##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0"/>
    </font>
    <font>
      <b val="true"/>
      <sz val="6"/>
      <name val="Arial"/>
      <family val="0"/>
    </font>
    <font>
      <b val="true"/>
      <sz val="8"/>
      <name val="Arial"/>
      <family val="0"/>
    </font>
    <font>
      <b val="true"/>
      <sz val="8"/>
      <color rgb="FFFF0000"/>
      <name val="Arial"/>
      <family val="2"/>
    </font>
    <font>
      <b val="true"/>
      <sz val="6"/>
      <name val="MS Sans Serif"/>
      <family val="0"/>
    </font>
    <font>
      <b val="true"/>
      <sz val="8"/>
      <name val="MS Sans Serif"/>
      <family val="0"/>
    </font>
    <font>
      <b val="true"/>
      <sz val="8"/>
      <color rgb="FF000000"/>
      <name val="Arial"/>
      <family val="0"/>
    </font>
    <font>
      <b val="true"/>
      <sz val="8"/>
      <color rgb="FFFF0000"/>
      <name val="MS Sans Serif"/>
      <family val="2"/>
    </font>
    <font>
      <b val="true"/>
      <sz val="6"/>
      <color rgb="FF000000"/>
      <name val="Arial"/>
      <family val="0"/>
    </font>
    <font>
      <b val="true"/>
      <sz val="8"/>
      <color rgb="FFFF0000"/>
      <name val="Arial"/>
      <family val="0"/>
    </font>
    <font>
      <b val="true"/>
      <sz val="8"/>
      <color rgb="FF000080"/>
      <name val="Arial"/>
      <family val="2"/>
    </font>
    <font>
      <b val="true"/>
      <sz val="8"/>
      <color rgb="FF000080"/>
      <name val="MS Sans Serif"/>
      <family val="0"/>
    </font>
    <font>
      <b val="true"/>
      <sz val="10"/>
      <color rgb="FF000080"/>
      <name val="Arial"/>
      <family val="2"/>
    </font>
    <font>
      <b val="true"/>
      <sz val="10"/>
      <color rgb="FF000080"/>
      <name val="MS Sans Serif"/>
      <family val="2"/>
    </font>
    <font>
      <b val="true"/>
      <sz val="8"/>
      <color rgb="FFFF0000"/>
      <name val="MS Sans Serif"/>
      <family val="0"/>
    </font>
    <font>
      <b val="true"/>
      <sz val="6"/>
      <color rgb="FFFF0000"/>
      <name val="Arial"/>
      <family val="2"/>
    </font>
    <font>
      <b val="true"/>
      <sz val="8"/>
      <name val="MS Sans Serif"/>
      <family val="2"/>
    </font>
    <font>
      <b val="true"/>
      <sz val="10"/>
      <color rgb="FFFF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Arial"/>
      <family val="2"/>
    </font>
    <font>
      <b val="true"/>
      <sz val="10"/>
      <color rgb="FFFF0000"/>
      <name val="MS Sans Serif"/>
      <family val="2"/>
    </font>
    <font>
      <b val="true"/>
      <sz val="10"/>
      <name val="Arial"/>
      <family val="0"/>
    </font>
    <font>
      <b val="true"/>
      <sz val="10"/>
      <color rgb="FFFF0000"/>
      <name val="MS Sans Serif"/>
      <family val="0"/>
    </font>
    <font>
      <b val="true"/>
      <sz val="10"/>
      <name val="MS Sans Serif"/>
      <family val="0"/>
    </font>
    <font>
      <b val="true"/>
      <sz val="8"/>
      <name val="Arial"/>
      <family val="2"/>
    </font>
    <font>
      <b val="true"/>
      <sz val="6"/>
      <color rgb="FF000080"/>
      <name val="Arial"/>
      <family val="2"/>
    </font>
    <font>
      <b val="true"/>
      <sz val="10"/>
      <color rgb="FF000080"/>
      <name val="MS Sans Serif"/>
      <family val="0"/>
    </font>
    <font>
      <b val="true"/>
      <sz val="10"/>
      <color rgb="FF000080"/>
      <name val="Arial"/>
      <family val="0"/>
    </font>
    <font>
      <sz val="11"/>
      <name val="Arial"/>
      <family val="2"/>
    </font>
    <font>
      <sz val="10"/>
      <name val="Times New Roman"/>
      <family val="1"/>
    </font>
    <font>
      <b val="true"/>
      <sz val="10"/>
      <color rgb="FFFF0000"/>
      <name val="Times New Roman"/>
      <family val="1"/>
    </font>
    <font>
      <b val="true"/>
      <sz val="8.5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rgb="FF3333CC"/>
      <name val="Arial"/>
      <family val="2"/>
    </font>
    <font>
      <sz val="9"/>
      <name val="Times New Roman"/>
      <family val="1"/>
    </font>
    <font>
      <sz val="10"/>
      <color rgb="FF000080"/>
      <name val="Times New Roman"/>
      <family val="1"/>
    </font>
    <font>
      <b val="true"/>
      <sz val="10"/>
      <name val="Times New Roman"/>
      <family val="1"/>
    </font>
    <font>
      <sz val="8"/>
      <name val="Arial"/>
      <family val="0"/>
    </font>
    <font>
      <sz val="8"/>
      <color rgb="FF0000FF"/>
      <name val="Times New Roman"/>
      <family val="1"/>
    </font>
    <font>
      <b val="true"/>
      <sz val="8"/>
      <color rgb="FF800000"/>
      <name val="Times New Roman"/>
      <family val="1"/>
    </font>
    <font>
      <sz val="8"/>
      <color rgb="FF000080"/>
      <name val="Times New Roman"/>
      <family val="1"/>
    </font>
    <font>
      <b val="true"/>
      <sz val="8"/>
      <name val="Times New Roman"/>
      <family val="1"/>
    </font>
    <font>
      <sz val="8"/>
      <name val="Courier New"/>
      <family val="0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69FFFF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33CCCC"/>
        <bgColor rgb="FF00CCFF"/>
      </patternFill>
    </fill>
    <fill>
      <patternFill patternType="solid">
        <fgColor rgb="FFFFFF99"/>
        <bgColor rgb="FFFFFFCC"/>
      </patternFill>
    </fill>
  </fills>
  <borders count="3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ck"/>
      <bottom/>
      <diagonal/>
    </border>
    <border diagonalUp="false" diagonalDown="false">
      <left style="thick"/>
      <right style="thick"/>
      <top/>
      <bottom/>
      <diagonal/>
    </border>
    <border diagonalUp="false" diagonalDown="false">
      <left/>
      <right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4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5" fillId="2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11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1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12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2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2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8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8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5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8" fillId="2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8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6" fontId="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7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1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2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0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8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35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8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8" fillId="2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7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6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7" fillId="6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7" fontId="38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7" fontId="39" fillId="0" borderId="0" xfId="22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38" fillId="0" borderId="0" xfId="22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7" fontId="40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37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7" fontId="37" fillId="0" borderId="0" xfId="22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33" fillId="0" borderId="1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42" fillId="7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1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4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45" fillId="0" borderId="0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4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6" fillId="0" borderId="19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7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6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8" fillId="0" borderId="2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0" borderId="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0" borderId="2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6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27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36" fillId="0" borderId="2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6" fillId="0" borderId="2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6" fillId="0" borderId="1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6" fillId="0" borderId="2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6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0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36" fillId="0" borderId="0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36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49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9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9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9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9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3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6" fillId="0" borderId="3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6" fillId="0" borderId="2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36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urves" xfId="20"/>
    <cellStyle name="Normal_June Options 97" xfId="21"/>
    <cellStyle name="Normal_modelmark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9FF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externalLink" Target="externalLinks/externalLink1.xml"/><Relationship Id="rId29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H:/OPTIONMOD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READ OPTION"/>
      <sheetName val="PIPE OPTION"/>
      <sheetName val="SPREAD STRIPS"/>
      <sheetName val="BS STRIPS"/>
      <sheetName val="STRADDLES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X12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6.7"/>
    <col collapsed="false" customWidth="true" hidden="false" outlineLevel="0" max="4" min="2" style="1" width="9.14"/>
    <col collapsed="false" customWidth="true" hidden="false" outlineLevel="0" max="5" min="5" style="1" width="10.13"/>
    <col collapsed="false" customWidth="true" hidden="false" outlineLevel="0" max="13" min="6" style="1" width="9.14"/>
    <col collapsed="false" customWidth="true" hidden="false" outlineLevel="0" max="14" min="14" style="1" width="10.13"/>
    <col collapsed="false" customWidth="true" hidden="false" outlineLevel="0" max="34" min="15" style="1" width="9.14"/>
  </cols>
  <sheetData>
    <row r="1" customFormat="false" ht="12.75" hidden="false" customHeight="false" outlineLevel="0" collapsed="false">
      <c r="A1" s="2"/>
      <c r="B1" s="3"/>
      <c r="C1" s="2"/>
      <c r="D1" s="2" t="s">
        <v>0</v>
      </c>
      <c r="E1" s="2"/>
      <c r="F1" s="2"/>
      <c r="H1" s="4" t="s">
        <v>1</v>
      </c>
      <c r="I1" s="4" t="s">
        <v>2</v>
      </c>
      <c r="J1" s="4" t="s">
        <v>3</v>
      </c>
      <c r="K1" s="4" t="s">
        <v>4</v>
      </c>
      <c r="L1" s="4" t="s">
        <v>5</v>
      </c>
      <c r="AQ1" s="1"/>
      <c r="AR1" s="1"/>
      <c r="AS1" s="1"/>
      <c r="AT1" s="1"/>
      <c r="AU1" s="1"/>
      <c r="AV1" s="1"/>
      <c r="AW1" s="1"/>
      <c r="AX1" s="1"/>
    </row>
    <row r="2" customFormat="false" ht="12.75" hidden="false" customHeight="false" outlineLevel="0" collapsed="false">
      <c r="A2" s="5"/>
      <c r="B2" s="3"/>
      <c r="C2" s="6"/>
      <c r="D2" s="7" t="n">
        <v>36892</v>
      </c>
      <c r="E2" s="2"/>
      <c r="F2" s="2"/>
      <c r="H2" s="8" t="e">
        <f aca="false">AE20</f>
        <v>#VALUE!</v>
      </c>
      <c r="I2" s="8" t="e">
        <f aca="false">AF20</f>
        <v>#VALUE!</v>
      </c>
      <c r="J2" s="8" t="e">
        <f aca="false">AG20</f>
        <v>#VALUE!</v>
      </c>
      <c r="K2" s="8" t="e">
        <f aca="false">AH20</f>
        <v>#VALUE!</v>
      </c>
      <c r="L2" s="8" t="e">
        <f aca="false">AI20</f>
        <v>#VALUE!</v>
      </c>
      <c r="O2" s="9"/>
      <c r="P2" s="4"/>
      <c r="Q2" s="10"/>
      <c r="R2" s="1" t="e">
        <f aca="false">IF(#REF!=3,IF(B7=1,"CALL","PUT"),"STRADDLE")</f>
        <v>#REF!</v>
      </c>
      <c r="S2" s="10"/>
      <c r="T2" s="10"/>
      <c r="U2" s="10"/>
      <c r="V2" s="10"/>
      <c r="W2" s="10"/>
      <c r="X2" s="10"/>
      <c r="Y2" s="11"/>
      <c r="Z2" s="10"/>
      <c r="AA2" s="11"/>
      <c r="AB2" s="10"/>
      <c r="AQ2" s="1"/>
      <c r="AR2" s="1"/>
      <c r="AS2" s="1"/>
      <c r="AT2" s="1"/>
      <c r="AU2" s="1"/>
      <c r="AV2" s="1"/>
      <c r="AW2" s="1"/>
      <c r="AX2" s="1"/>
    </row>
    <row r="3" customFormat="false" ht="12.75" hidden="false" customHeight="false" outlineLevel="0" collapsed="false">
      <c r="A3" s="12" t="s">
        <v>6</v>
      </c>
      <c r="B3" s="13" t="n">
        <v>4.46</v>
      </c>
      <c r="D3" s="2"/>
      <c r="E3" s="2"/>
      <c r="F3" s="2"/>
      <c r="H3" s="14"/>
      <c r="I3" s="15"/>
      <c r="J3" s="15"/>
      <c r="K3" s="14"/>
      <c r="L3" s="14"/>
      <c r="O3" s="9"/>
      <c r="P3" s="4"/>
      <c r="Q3" s="10"/>
      <c r="R3" s="1" t="e">
        <f aca="false">IF(#REF!=3,IF(C7=1,"CALL","PUT"),"STRADDLE")</f>
        <v>#REF!</v>
      </c>
      <c r="S3" s="10"/>
      <c r="T3" s="10"/>
      <c r="U3" s="10"/>
      <c r="V3" s="10"/>
      <c r="W3" s="10"/>
      <c r="X3" s="10"/>
      <c r="Y3" s="11"/>
      <c r="Z3" s="10"/>
      <c r="AA3" s="11"/>
      <c r="AB3" s="10"/>
      <c r="AQ3" s="1"/>
      <c r="AR3" s="1"/>
      <c r="AS3" s="1"/>
      <c r="AT3" s="1"/>
      <c r="AU3" s="1"/>
      <c r="AV3" s="1"/>
      <c r="AW3" s="1"/>
      <c r="AX3" s="1"/>
    </row>
    <row r="4" customFormat="false" ht="12.75" hidden="false" customHeight="false" outlineLevel="0" collapsed="false">
      <c r="A4" s="6"/>
      <c r="B4" s="16"/>
      <c r="C4" s="2"/>
      <c r="D4" s="2"/>
      <c r="E4" s="2"/>
      <c r="F4" s="2"/>
      <c r="H4" s="14"/>
      <c r="I4" s="14"/>
      <c r="J4" s="14"/>
      <c r="K4" s="14"/>
      <c r="L4" s="14"/>
      <c r="O4" s="9"/>
      <c r="P4" s="4"/>
      <c r="Q4" s="10"/>
      <c r="R4" s="10"/>
      <c r="S4" s="10"/>
      <c r="T4" s="10"/>
      <c r="U4" s="10"/>
      <c r="V4" s="10"/>
      <c r="W4" s="10"/>
      <c r="X4" s="10"/>
      <c r="Y4" s="11"/>
      <c r="Z4" s="10"/>
      <c r="AA4" s="11"/>
      <c r="AB4" s="10"/>
      <c r="AQ4" s="1"/>
      <c r="AR4" s="1"/>
      <c r="AS4" s="1"/>
      <c r="AT4" s="1"/>
      <c r="AU4" s="1"/>
      <c r="AV4" s="1"/>
      <c r="AW4" s="1"/>
      <c r="AX4" s="1"/>
    </row>
    <row r="5" customFormat="false" ht="12.75" hidden="false" customHeight="false" outlineLevel="0" collapsed="false">
      <c r="A5" s="2"/>
      <c r="B5" s="2" t="s">
        <v>7</v>
      </c>
      <c r="C5" s="2" t="s">
        <v>8</v>
      </c>
      <c r="D5" s="2"/>
      <c r="E5" s="2"/>
      <c r="F5" s="2"/>
      <c r="H5" s="4" t="s">
        <v>1</v>
      </c>
      <c r="I5" s="4" t="s">
        <v>2</v>
      </c>
      <c r="J5" s="4" t="s">
        <v>3</v>
      </c>
      <c r="K5" s="4" t="s">
        <v>4</v>
      </c>
      <c r="L5" s="4" t="s">
        <v>5</v>
      </c>
      <c r="O5" s="9"/>
      <c r="P5" s="4"/>
      <c r="Q5" s="10"/>
      <c r="R5" s="10"/>
      <c r="S5" s="10"/>
      <c r="T5" s="10"/>
      <c r="U5" s="10"/>
      <c r="V5" s="10"/>
      <c r="W5" s="10"/>
      <c r="X5" s="10"/>
      <c r="Y5" s="11"/>
      <c r="Z5" s="10"/>
      <c r="AA5" s="11"/>
      <c r="AB5" s="10"/>
      <c r="AQ5" s="1"/>
      <c r="AR5" s="1"/>
      <c r="AS5" s="1"/>
      <c r="AT5" s="1"/>
      <c r="AU5" s="1"/>
      <c r="AV5" s="1"/>
      <c r="AW5" s="1"/>
      <c r="AX5" s="1"/>
    </row>
    <row r="6" customFormat="false" ht="12.75" hidden="false" customHeight="false" outlineLevel="0" collapsed="false">
      <c r="A6" s="2" t="s">
        <v>9</v>
      </c>
      <c r="B6" s="13" t="n">
        <v>4.37</v>
      </c>
      <c r="C6" s="13" t="n">
        <v>4.39</v>
      </c>
      <c r="D6" s="2"/>
      <c r="E6" s="2"/>
      <c r="F6" s="2"/>
      <c r="H6" s="8" t="e">
        <f aca="false">AL20</f>
        <v>#VALUE!</v>
      </c>
      <c r="I6" s="8" t="e">
        <f aca="false">AM20</f>
        <v>#VALUE!</v>
      </c>
      <c r="J6" s="8" t="e">
        <f aca="false">AN20</f>
        <v>#VALUE!</v>
      </c>
      <c r="K6" s="8" t="e">
        <f aca="false">AO20</f>
        <v>#VALUE!</v>
      </c>
      <c r="L6" s="8" t="e">
        <f aca="false">AP20</f>
        <v>#VALUE!</v>
      </c>
      <c r="O6" s="9"/>
      <c r="P6" s="4"/>
      <c r="Q6" s="10"/>
      <c r="R6" s="10"/>
      <c r="S6" s="10"/>
      <c r="T6" s="10"/>
      <c r="U6" s="10"/>
      <c r="V6" s="10"/>
      <c r="W6" s="10"/>
      <c r="X6" s="10"/>
      <c r="Y6" s="11"/>
      <c r="Z6" s="10"/>
      <c r="AA6" s="11"/>
      <c r="AB6" s="10"/>
      <c r="AQ6" s="1"/>
      <c r="AR6" s="1"/>
      <c r="AS6" s="1"/>
      <c r="AT6" s="1"/>
      <c r="AU6" s="1"/>
      <c r="AV6" s="1"/>
      <c r="AW6" s="1"/>
      <c r="AX6" s="1"/>
    </row>
    <row r="7" customFormat="false" ht="12.75" hidden="false" customHeight="false" outlineLevel="0" collapsed="false">
      <c r="A7" s="2" t="s">
        <v>10</v>
      </c>
      <c r="B7" s="17" t="n">
        <v>3</v>
      </c>
      <c r="C7" s="17" t="n">
        <v>2</v>
      </c>
      <c r="D7" s="2"/>
      <c r="E7" s="2"/>
      <c r="F7" s="2"/>
      <c r="H7" s="14"/>
      <c r="I7" s="15"/>
      <c r="J7" s="15"/>
      <c r="K7" s="14"/>
      <c r="L7" s="14"/>
      <c r="O7" s="9"/>
      <c r="P7" s="4"/>
      <c r="Q7" s="10"/>
      <c r="R7" s="10"/>
      <c r="S7" s="10"/>
      <c r="T7" s="10"/>
      <c r="U7" s="10"/>
      <c r="W7" s="10"/>
      <c r="X7" s="10"/>
      <c r="Y7" s="11"/>
      <c r="Z7" s="10"/>
      <c r="AA7" s="11"/>
      <c r="AB7" s="10"/>
      <c r="AQ7" s="18"/>
      <c r="AR7" s="18"/>
      <c r="AS7" s="1"/>
      <c r="AT7" s="1"/>
      <c r="AU7" s="1"/>
      <c r="AV7" s="1"/>
      <c r="AW7" s="1"/>
      <c r="AX7" s="1"/>
    </row>
    <row r="8" customFormat="false" ht="12.75" hidden="false" customHeight="false" outlineLevel="0" collapsed="false">
      <c r="A8" s="2" t="s">
        <v>11</v>
      </c>
      <c r="B8" s="19" t="n">
        <v>0.51</v>
      </c>
      <c r="C8" s="19" t="n">
        <v>0.48</v>
      </c>
      <c r="D8" s="2"/>
      <c r="E8" s="2"/>
      <c r="F8" s="2"/>
      <c r="G8" s="2"/>
      <c r="O8" s="9"/>
      <c r="P8" s="4"/>
      <c r="Q8" s="10"/>
      <c r="R8" s="10"/>
      <c r="S8" s="10"/>
      <c r="T8" s="10"/>
      <c r="U8" s="10"/>
      <c r="W8" s="10"/>
      <c r="X8" s="10"/>
      <c r="Y8" s="11"/>
      <c r="Z8" s="10"/>
      <c r="AA8" s="11"/>
      <c r="AB8" s="10"/>
      <c r="AQ8" s="18"/>
      <c r="AR8" s="18"/>
      <c r="AS8" s="1"/>
      <c r="AT8" s="1"/>
      <c r="AU8" s="1"/>
      <c r="AV8" s="1"/>
      <c r="AW8" s="1"/>
      <c r="AX8" s="1"/>
    </row>
    <row r="9" customFormat="false" ht="12.75" hidden="false" customHeight="false" outlineLevel="0" collapsed="false">
      <c r="A9" s="2"/>
      <c r="B9" s="20"/>
      <c r="C9" s="20"/>
      <c r="D9" s="2"/>
      <c r="E9" s="2"/>
      <c r="F9" s="2"/>
      <c r="G9" s="2"/>
      <c r="O9" s="9"/>
      <c r="P9" s="4"/>
      <c r="Q9" s="10"/>
      <c r="R9" s="10"/>
      <c r="S9" s="10"/>
      <c r="T9" s="10"/>
      <c r="U9" s="10"/>
      <c r="W9" s="10"/>
      <c r="X9" s="10"/>
      <c r="Y9" s="11"/>
      <c r="Z9" s="10"/>
      <c r="AA9" s="11"/>
      <c r="AB9" s="10"/>
      <c r="AQ9" s="18"/>
      <c r="AR9" s="18"/>
      <c r="AS9" s="1"/>
      <c r="AT9" s="1"/>
      <c r="AU9" s="1"/>
      <c r="AV9" s="1"/>
      <c r="AW9" s="1"/>
      <c r="AX9" s="1"/>
    </row>
    <row r="10" customFormat="false" ht="12.75" hidden="false" customHeight="false" outlineLevel="0" collapsed="false">
      <c r="A10" s="1" t="s">
        <v>12</v>
      </c>
      <c r="B10" s="21" t="n">
        <v>36678</v>
      </c>
      <c r="C10" s="22"/>
      <c r="D10" s="2"/>
      <c r="E10" s="2"/>
      <c r="F10" s="2"/>
      <c r="G10" s="2"/>
      <c r="I10" s="1" t="e">
        <f aca="false">3*L22*I2</f>
        <v>#VALUE!</v>
      </c>
      <c r="O10" s="9"/>
      <c r="P10" s="4"/>
      <c r="Q10" s="10"/>
      <c r="R10" s="10"/>
      <c r="S10" s="10"/>
      <c r="T10" s="10"/>
      <c r="U10" s="10"/>
      <c r="W10" s="10"/>
      <c r="X10" s="10"/>
      <c r="Y10" s="11"/>
      <c r="Z10" s="10"/>
      <c r="AA10" s="11"/>
      <c r="AB10" s="10"/>
      <c r="AQ10" s="18"/>
      <c r="AR10" s="18"/>
      <c r="AS10" s="1"/>
      <c r="AT10" s="1"/>
      <c r="AU10" s="1"/>
      <c r="AV10" s="1"/>
      <c r="AW10" s="1"/>
      <c r="AX10" s="1"/>
    </row>
    <row r="11" customFormat="false" ht="12.75" hidden="false" customHeight="false" outlineLevel="0" collapsed="false">
      <c r="A11" s="1" t="s">
        <v>13</v>
      </c>
      <c r="B11" s="21" t="n">
        <v>36707</v>
      </c>
      <c r="C11" s="23"/>
      <c r="D11" s="2"/>
      <c r="E11" s="2"/>
      <c r="F11" s="2"/>
      <c r="G11" s="2"/>
      <c r="O11" s="9"/>
      <c r="P11" s="4"/>
      <c r="Q11" s="10"/>
      <c r="R11" s="10"/>
      <c r="S11" s="10"/>
      <c r="T11" s="10"/>
      <c r="U11" s="10"/>
      <c r="W11" s="10"/>
      <c r="X11" s="10"/>
      <c r="Y11" s="11"/>
      <c r="Z11" s="10"/>
      <c r="AA11" s="11"/>
      <c r="AB11" s="10"/>
      <c r="AQ11" s="18"/>
      <c r="AR11" s="18"/>
      <c r="AS11" s="1"/>
      <c r="AT11" s="1"/>
      <c r="AU11" s="1"/>
      <c r="AV11" s="1"/>
      <c r="AW11" s="1"/>
      <c r="AX11" s="1"/>
    </row>
    <row r="12" customFormat="false" ht="12.75" hidden="false" customHeight="false" outlineLevel="0" collapsed="false">
      <c r="A12" s="1" t="s">
        <v>14</v>
      </c>
      <c r="B12" s="21" t="n">
        <v>36698</v>
      </c>
      <c r="C12" s="24"/>
      <c r="D12" s="2"/>
      <c r="E12" s="2"/>
      <c r="F12" s="2"/>
      <c r="G12" s="2"/>
      <c r="O12" s="9"/>
      <c r="P12" s="4"/>
      <c r="Q12" s="10"/>
      <c r="R12" s="10"/>
      <c r="S12" s="10"/>
      <c r="T12" s="10"/>
      <c r="U12" s="10"/>
      <c r="W12" s="10"/>
      <c r="X12" s="10"/>
      <c r="Y12" s="11"/>
      <c r="Z12" s="10"/>
      <c r="AA12" s="11"/>
      <c r="AB12" s="10"/>
      <c r="AQ12" s="18"/>
      <c r="AR12" s="18"/>
      <c r="AS12" s="1"/>
      <c r="AT12" s="1"/>
      <c r="AU12" s="1"/>
      <c r="AV12" s="1"/>
      <c r="AW12" s="1"/>
      <c r="AX12" s="1"/>
    </row>
    <row r="13" customFormat="false" ht="12.75" hidden="false" customHeight="false" outlineLevel="0" collapsed="false">
      <c r="A13" s="25"/>
      <c r="B13" s="26"/>
      <c r="D13" s="2"/>
      <c r="E13" s="2"/>
      <c r="F13" s="2"/>
      <c r="G13" s="2"/>
      <c r="O13" s="9"/>
      <c r="P13" s="4"/>
      <c r="Q13" s="10"/>
      <c r="R13" s="10"/>
      <c r="S13" s="10"/>
      <c r="T13" s="10"/>
      <c r="U13" s="10"/>
      <c r="W13" s="10"/>
      <c r="X13" s="10"/>
      <c r="Y13" s="11"/>
      <c r="Z13" s="10"/>
      <c r="AA13" s="11"/>
      <c r="AB13" s="10"/>
      <c r="AD13" s="1" t="e">
        <f aca="false">AD20/Z22</f>
        <v>#DIV/0!</v>
      </c>
      <c r="AQ13" s="18"/>
      <c r="AR13" s="18"/>
      <c r="AS13" s="1"/>
      <c r="AT13" s="1"/>
      <c r="AU13" s="1"/>
      <c r="AV13" s="1"/>
      <c r="AW13" s="1"/>
      <c r="AX13" s="1"/>
    </row>
    <row r="14" customFormat="false" ht="12.75" hidden="false" customHeight="false" outlineLevel="0" collapsed="false">
      <c r="A14" s="2"/>
      <c r="B14" s="2"/>
      <c r="C14" s="2"/>
      <c r="D14" s="2"/>
      <c r="E14" s="2"/>
      <c r="F14" s="2"/>
      <c r="G14" s="2"/>
      <c r="H14" s="1" t="n">
        <f aca="false">((62.5/25)*24)-(1.5*24)</f>
        <v>24</v>
      </c>
      <c r="K14" s="1" t="e">
        <f aca="false">L22*3*I2</f>
        <v>#VALUE!</v>
      </c>
      <c r="O14" s="27"/>
      <c r="P14" s="28"/>
      <c r="Q14" s="10"/>
      <c r="R14" s="10"/>
      <c r="S14" s="10"/>
      <c r="T14" s="10"/>
      <c r="U14" s="10"/>
      <c r="W14" s="10"/>
      <c r="X14" s="10"/>
      <c r="Y14" s="11"/>
      <c r="Z14" s="10"/>
      <c r="AA14" s="11"/>
      <c r="AB14" s="10"/>
      <c r="AQ14" s="18"/>
      <c r="AR14" s="18"/>
      <c r="AS14" s="1"/>
      <c r="AT14" s="1"/>
      <c r="AU14" s="1"/>
      <c r="AV14" s="1"/>
      <c r="AW14" s="1"/>
      <c r="AX14" s="1"/>
    </row>
    <row r="15" customFormat="false" ht="12.75" hidden="false" customHeight="false" outlineLevel="0" collapsed="false">
      <c r="G15" s="2"/>
      <c r="H15" s="14"/>
      <c r="I15" s="14"/>
      <c r="J15" s="14"/>
      <c r="K15" s="14"/>
      <c r="O15" s="29"/>
      <c r="P15" s="28"/>
      <c r="Q15" s="10"/>
      <c r="R15" s="10"/>
      <c r="S15" s="10"/>
      <c r="T15" s="10"/>
      <c r="U15" s="10"/>
      <c r="W15" s="10"/>
      <c r="X15" s="10"/>
      <c r="Y15" s="11"/>
      <c r="Z15" s="10"/>
      <c r="AA15" s="11"/>
      <c r="AB15" s="10"/>
      <c r="AE15" s="1" t="e">
        <f aca="false">AE20/31</f>
        <v>#VALUE!</v>
      </c>
      <c r="AL15" s="0" t="e">
        <f aca="false">AL20/AE20</f>
        <v>#VALUE!</v>
      </c>
      <c r="AQ15" s="18"/>
      <c r="AR15" s="18"/>
      <c r="AS15" s="1"/>
      <c r="AT15" s="1"/>
      <c r="AU15" s="1"/>
      <c r="AV15" s="1"/>
      <c r="AW15" s="1"/>
      <c r="AX15" s="1"/>
    </row>
    <row r="16" customFormat="false" ht="12.75" hidden="false" customHeight="false" outlineLevel="0" collapsed="false">
      <c r="G16" s="2"/>
      <c r="O16" s="29"/>
      <c r="P16" s="28"/>
      <c r="Q16" s="10"/>
      <c r="R16" s="10"/>
      <c r="S16" s="10"/>
      <c r="T16" s="10"/>
      <c r="U16" s="10"/>
      <c r="W16" s="10"/>
      <c r="X16" s="10"/>
      <c r="Y16" s="11"/>
      <c r="Z16" s="10"/>
      <c r="AA16" s="11"/>
      <c r="AB16" s="10"/>
      <c r="AQ16" s="18"/>
      <c r="AR16" s="18"/>
      <c r="AS16" s="1"/>
      <c r="AT16" s="1"/>
      <c r="AU16" s="1"/>
      <c r="AV16" s="1"/>
      <c r="AW16" s="1"/>
      <c r="AX16" s="1"/>
    </row>
    <row r="17" customFormat="false" ht="12.75" hidden="false" customHeight="false" outlineLevel="0" collapsed="false">
      <c r="G17" s="2"/>
      <c r="L17" s="29"/>
      <c r="M17" s="29"/>
      <c r="N17" s="28"/>
      <c r="O17" s="10"/>
      <c r="P17" s="10"/>
      <c r="Q17" s="10"/>
      <c r="R17" s="10"/>
      <c r="S17" s="10"/>
      <c r="U17" s="10"/>
      <c r="V17" s="10"/>
      <c r="W17" s="11"/>
      <c r="X17" s="10"/>
      <c r="Y17" s="11"/>
      <c r="Z17" s="10"/>
      <c r="AG17" s="0"/>
      <c r="AH17" s="0"/>
      <c r="AO17" s="18"/>
      <c r="AP17" s="18"/>
      <c r="AQ17" s="1"/>
      <c r="AR17" s="1"/>
      <c r="AS17" s="1"/>
      <c r="AT17" s="1"/>
      <c r="AU17" s="1"/>
      <c r="AV17" s="1"/>
    </row>
    <row r="18" customFormat="false" ht="12.75" hidden="false" customHeight="false" outlineLevel="0" collapsed="false">
      <c r="G18" s="2"/>
      <c r="L18" s="29"/>
      <c r="M18" s="29"/>
      <c r="N18" s="28"/>
      <c r="O18" s="10"/>
      <c r="P18" s="10"/>
      <c r="Q18" s="10"/>
      <c r="R18" s="10"/>
      <c r="S18" s="10"/>
      <c r="U18" s="10"/>
      <c r="V18" s="10"/>
      <c r="W18" s="11"/>
      <c r="X18" s="10"/>
      <c r="Y18" s="11"/>
      <c r="Z18" s="10"/>
      <c r="AG18" s="0"/>
      <c r="AH18" s="0"/>
      <c r="AO18" s="18"/>
      <c r="AP18" s="18"/>
      <c r="AQ18" s="1"/>
      <c r="AR18" s="1"/>
      <c r="AS18" s="1"/>
      <c r="AT18" s="1"/>
      <c r="AU18" s="1"/>
      <c r="AV18" s="1"/>
    </row>
    <row r="19" customFormat="false" ht="12.75" hidden="false" customHeight="false" outlineLevel="0" collapsed="false">
      <c r="G19" s="2"/>
      <c r="L19" s="29"/>
      <c r="M19" s="29"/>
      <c r="N19" s="28"/>
      <c r="O19" s="10"/>
      <c r="P19" s="10"/>
      <c r="Q19" s="10"/>
      <c r="R19" s="10"/>
      <c r="S19" s="10"/>
      <c r="U19" s="10"/>
      <c r="V19" s="10"/>
      <c r="W19" s="10"/>
      <c r="X19" s="10"/>
      <c r="Y19" s="11"/>
      <c r="Z19" s="10"/>
      <c r="AG19" s="0"/>
      <c r="AH19" s="0"/>
      <c r="AO19" s="18"/>
      <c r="AP19" s="18"/>
      <c r="AQ19" s="1"/>
      <c r="AR19" s="1"/>
      <c r="AS19" s="1"/>
      <c r="AT19" s="1"/>
      <c r="AU19" s="1"/>
      <c r="AV19" s="1"/>
    </row>
    <row r="20" customFormat="false" ht="12.75" hidden="false" customHeight="false" outlineLevel="0" collapsed="false">
      <c r="H20" s="30"/>
      <c r="I20" s="31"/>
      <c r="J20" s="31"/>
      <c r="K20" s="31"/>
      <c r="L20" s="32"/>
      <c r="M20" s="32"/>
      <c r="N20" s="4" t="s">
        <v>7</v>
      </c>
      <c r="O20" s="10" t="s">
        <v>8</v>
      </c>
      <c r="P20" s="4" t="s">
        <v>7</v>
      </c>
      <c r="Q20" s="10" t="s">
        <v>8</v>
      </c>
      <c r="R20" s="4" t="s">
        <v>7</v>
      </c>
      <c r="S20" s="10" t="s">
        <v>8</v>
      </c>
      <c r="T20" s="4" t="s">
        <v>7</v>
      </c>
      <c r="U20" s="10" t="s">
        <v>8</v>
      </c>
      <c r="V20" s="4" t="s">
        <v>7</v>
      </c>
      <c r="W20" s="10" t="s">
        <v>8</v>
      </c>
      <c r="X20" s="10"/>
      <c r="Y20" s="11"/>
      <c r="Z20" s="10"/>
      <c r="AC20" s="33"/>
      <c r="AD20" s="33"/>
      <c r="AE20" s="33" t="e">
        <f aca="false">SUM(AE25:AE55)/$L22</f>
        <v>#VALUE!</v>
      </c>
      <c r="AF20" s="33" t="e">
        <f aca="false">SUM(AF25:AF55)/$L22</f>
        <v>#VALUE!</v>
      </c>
      <c r="AG20" s="33" t="e">
        <f aca="false">SUM(AG25:AG55)/$L22</f>
        <v>#VALUE!</v>
      </c>
      <c r="AH20" s="33" t="e">
        <f aca="false">SUM(AH25:AH55)/$L22</f>
        <v>#VALUE!</v>
      </c>
      <c r="AI20" s="33" t="e">
        <f aca="false">SUM(AI25:AI55)/$L22</f>
        <v>#VALUE!</v>
      </c>
      <c r="AK20" s="33"/>
      <c r="AL20" s="33" t="e">
        <f aca="false">SUM(AL25:AL55)/$L22</f>
        <v>#VALUE!</v>
      </c>
      <c r="AM20" s="33" t="e">
        <f aca="false">SUM(AM25:AM55)/$L22</f>
        <v>#VALUE!</v>
      </c>
      <c r="AN20" s="33" t="e">
        <f aca="false">SUM(AN25:AN55)/$L22</f>
        <v>#VALUE!</v>
      </c>
      <c r="AO20" s="33" t="e">
        <f aca="false">SUM(AO25:AO55)/$L22</f>
        <v>#VALUE!</v>
      </c>
      <c r="AP20" s="33" t="e">
        <f aca="false">SUM(AP25:AP55)/$L22</f>
        <v>#VALUE!</v>
      </c>
      <c r="AQ20" s="1"/>
      <c r="AR20" s="1"/>
      <c r="AS20" s="1"/>
      <c r="AT20" s="1"/>
      <c r="AU20" s="1"/>
      <c r="AV20" s="1"/>
    </row>
    <row r="21" customFormat="false" ht="12.75" hidden="false" customHeight="false" outlineLevel="0" collapsed="false">
      <c r="G21" s="4"/>
      <c r="N21" s="10" t="s">
        <v>15</v>
      </c>
      <c r="O21" s="10" t="s">
        <v>15</v>
      </c>
      <c r="P21" s="10" t="s">
        <v>2</v>
      </c>
      <c r="Q21" s="10" t="s">
        <v>2</v>
      </c>
      <c r="R21" s="11" t="s">
        <v>3</v>
      </c>
      <c r="S21" s="11" t="s">
        <v>3</v>
      </c>
      <c r="T21" s="10" t="s">
        <v>5</v>
      </c>
      <c r="U21" s="10" t="s">
        <v>5</v>
      </c>
      <c r="V21" s="11" t="s">
        <v>4</v>
      </c>
      <c r="W21" s="11" t="s">
        <v>4</v>
      </c>
      <c r="X21" s="10"/>
      <c r="Y21" s="11"/>
      <c r="Z21" s="10"/>
      <c r="AG21" s="0"/>
      <c r="AH21" s="0"/>
      <c r="AK21" s="1"/>
      <c r="AL21" s="1"/>
      <c r="AM21" s="1"/>
      <c r="AQ21" s="1"/>
      <c r="AR21" s="1"/>
      <c r="AS21" s="1"/>
      <c r="AT21" s="1"/>
      <c r="AU21" s="1"/>
      <c r="AV21" s="1"/>
    </row>
    <row r="22" customFormat="false" ht="12.75" hidden="false" customHeight="false" outlineLevel="0" collapsed="false">
      <c r="D22" s="34"/>
      <c r="E22" s="24"/>
      <c r="F22" s="34"/>
      <c r="G22" s="34"/>
      <c r="L22" s="32" t="n">
        <f aca="false">SUM(L25:L55)</f>
        <v>9</v>
      </c>
      <c r="M22" s="32"/>
      <c r="N22" s="10" t="n">
        <f aca="false">$B7</f>
        <v>3</v>
      </c>
      <c r="O22" s="10" t="n">
        <f aca="false">$C7</f>
        <v>2</v>
      </c>
      <c r="P22" s="10" t="n">
        <f aca="false">$B7</f>
        <v>3</v>
      </c>
      <c r="Q22" s="10" t="n">
        <f aca="false">$C7</f>
        <v>2</v>
      </c>
      <c r="R22" s="10" t="n">
        <f aca="false">$B7</f>
        <v>3</v>
      </c>
      <c r="S22" s="10" t="n">
        <f aca="false">$C7</f>
        <v>2</v>
      </c>
      <c r="T22" s="10" t="n">
        <f aca="false">$B7</f>
        <v>3</v>
      </c>
      <c r="U22" s="10" t="n">
        <f aca="false">$C7</f>
        <v>2</v>
      </c>
      <c r="V22" s="10" t="n">
        <f aca="false">$B7</f>
        <v>3</v>
      </c>
      <c r="W22" s="10" t="n">
        <f aca="false">$C7</f>
        <v>2</v>
      </c>
      <c r="Y22" s="11"/>
      <c r="Z22" s="35"/>
      <c r="AG22" s="0"/>
      <c r="AH22" s="0"/>
      <c r="AK22" s="1"/>
      <c r="AL22" s="1"/>
      <c r="AM22" s="1"/>
      <c r="AQ22" s="4"/>
      <c r="AR22" s="4"/>
      <c r="AS22" s="4"/>
      <c r="AT22" s="4"/>
      <c r="AU22" s="4"/>
      <c r="AV22" s="4"/>
    </row>
    <row r="23" customFormat="false" ht="13.5" hidden="false" customHeight="false" outlineLevel="0" collapsed="false">
      <c r="B23" s="36"/>
      <c r="C23" s="36"/>
      <c r="D23" s="36"/>
      <c r="E23" s="36"/>
      <c r="F23" s="36"/>
      <c r="G23" s="36"/>
      <c r="H23" s="10"/>
      <c r="I23" s="10"/>
      <c r="J23" s="10"/>
      <c r="K23" s="10"/>
      <c r="L23" s="10"/>
      <c r="M23" s="10"/>
      <c r="N23" s="1" t="n">
        <v>1</v>
      </c>
      <c r="O23" s="1" t="n">
        <v>1</v>
      </c>
      <c r="P23" s="1" t="n">
        <v>2</v>
      </c>
      <c r="Q23" s="1" t="n">
        <v>2</v>
      </c>
      <c r="R23" s="1" t="n">
        <v>3</v>
      </c>
      <c r="S23" s="1" t="n">
        <v>3</v>
      </c>
      <c r="T23" s="1" t="n">
        <v>5</v>
      </c>
      <c r="U23" s="1" t="n">
        <v>5</v>
      </c>
      <c r="V23" s="1" t="n">
        <v>4</v>
      </c>
      <c r="W23" s="1" t="n">
        <v>4</v>
      </c>
      <c r="AD23" s="23"/>
      <c r="AE23" s="4" t="s">
        <v>1</v>
      </c>
      <c r="AF23" s="4" t="s">
        <v>2</v>
      </c>
      <c r="AG23" s="4" t="s">
        <v>3</v>
      </c>
      <c r="AH23" s="4" t="s">
        <v>4</v>
      </c>
      <c r="AI23" s="4" t="s">
        <v>5</v>
      </c>
      <c r="AK23" s="23"/>
      <c r="AL23" s="4" t="s">
        <v>1</v>
      </c>
      <c r="AM23" s="4" t="s">
        <v>2</v>
      </c>
      <c r="AN23" s="4" t="s">
        <v>3</v>
      </c>
      <c r="AO23" s="4" t="s">
        <v>4</v>
      </c>
      <c r="AP23" s="4" t="s">
        <v>5</v>
      </c>
      <c r="AQ23" s="10"/>
      <c r="AR23" s="10"/>
      <c r="AS23" s="11"/>
      <c r="AT23" s="1"/>
      <c r="AU23" s="1"/>
      <c r="AV23" s="1"/>
    </row>
    <row r="24" customFormat="false" ht="14.25" hidden="false" customHeight="false" outlineLevel="0" collapsed="false">
      <c r="A24" s="37" t="s">
        <v>0</v>
      </c>
      <c r="B24" s="37" t="s">
        <v>16</v>
      </c>
      <c r="C24" s="37" t="s">
        <v>17</v>
      </c>
      <c r="D24" s="37" t="s">
        <v>18</v>
      </c>
      <c r="E24" s="37" t="s">
        <v>19</v>
      </c>
      <c r="F24" s="37" t="s">
        <v>20</v>
      </c>
      <c r="H24" s="37" t="s">
        <v>21</v>
      </c>
      <c r="I24" s="38"/>
      <c r="J24" s="38"/>
      <c r="K24" s="38"/>
      <c r="L24" s="10"/>
      <c r="M24" s="10" t="s">
        <v>22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AD24" s="11"/>
      <c r="AG24" s="0"/>
      <c r="AH24" s="0"/>
      <c r="AK24" s="11"/>
      <c r="AL24" s="1"/>
      <c r="AM24" s="1"/>
      <c r="AQ24" s="10"/>
      <c r="AR24" s="10"/>
      <c r="AS24" s="11"/>
      <c r="AT24" s="10"/>
      <c r="AU24" s="1"/>
      <c r="AV24" s="11"/>
    </row>
    <row r="25" customFormat="false" ht="13.5" hidden="false" customHeight="false" outlineLevel="0" collapsed="false">
      <c r="A25" s="39" t="n">
        <v>1</v>
      </c>
      <c r="B25" s="40" t="n">
        <f aca="false">B3</f>
        <v>4.46</v>
      </c>
      <c r="C25" s="41" t="n">
        <f aca="false">B$6</f>
        <v>4.37</v>
      </c>
      <c r="D25" s="41" t="n">
        <f aca="false">C$6</f>
        <v>4.39</v>
      </c>
      <c r="E25" s="4" t="n">
        <f aca="false">B$8</f>
        <v>0.51</v>
      </c>
      <c r="F25" s="4" t="n">
        <f aca="false">C$8</f>
        <v>0.48</v>
      </c>
      <c r="H25" s="4" t="n">
        <f aca="false">VLOOKUP(D2,STRADDLE,12,FALSE())</f>
        <v>0.068146567086238</v>
      </c>
      <c r="I25" s="42" t="n">
        <f aca="false">B10</f>
        <v>36678</v>
      </c>
      <c r="J25" s="42" t="n">
        <f aca="false">IF(K25=6,I25-1,IF(K25=7,I25-2,I25))</f>
        <v>36678</v>
      </c>
      <c r="K25" s="43" t="n">
        <f aca="false">WEEKDAY(B10,2)</f>
        <v>4</v>
      </c>
      <c r="L25" s="43" t="n">
        <f aca="false">IF(I25&gt;B$11,0,IF(M25&lt;1,0,1))</f>
        <v>0</v>
      </c>
      <c r="M25" s="43" t="n">
        <f aca="false">J25-B$12</f>
        <v>-20</v>
      </c>
      <c r="N25" s="44" t="n">
        <f aca="false">IF($L25=0,0,bsd(N$23,N$22,$B25,$C25,$M25,$E25,$H25,0.1))</f>
        <v>0</v>
      </c>
      <c r="O25" s="44" t="n">
        <f aca="false">IF($L25=0,0,bsd(O$23,O$22,$B25,$D25,$M25,$F25,$H25,0.1))</f>
        <v>0</v>
      </c>
      <c r="P25" s="44" t="n">
        <f aca="false">IF($L25=0,0,bsd(P$23,P$22,$B25,$C25,$M25,$E25,$H25,0.1))</f>
        <v>0</v>
      </c>
      <c r="Q25" s="44" t="n">
        <f aca="false">IF($L25=0,0,bsd(Q$23,Q$22,$B25,$D25,$M25,$F25,$H25,0.1))</f>
        <v>0</v>
      </c>
      <c r="R25" s="44" t="n">
        <f aca="false">IF($L25=0,0,bsd(R$23,R$22,$B25,$C25,$M25,$E25,$H25,0.1))</f>
        <v>0</v>
      </c>
      <c r="S25" s="44" t="n">
        <f aca="false">IF($L25=0,0,bsd(S$23,S$22,$B25,$D25,$M25,$F25,$H25,0.1))</f>
        <v>0</v>
      </c>
      <c r="T25" s="44" t="n">
        <f aca="false">IF($L25=0,0,bsd(T$23,T$22,$B25,$C25,$M25,$E25,$H25,0.1))</f>
        <v>0</v>
      </c>
      <c r="U25" s="44" t="n">
        <f aca="false">IF($L25=0,0,bsd(U$23,U$22,$B25,$D25,$M25,$F25,$H25,0.1))</f>
        <v>0</v>
      </c>
      <c r="V25" s="44" t="n">
        <f aca="false">IF($L25=0,0,bsd(V$23,V$22,$B25,$C25,$M25,$E25,$H25,0.1))</f>
        <v>0</v>
      </c>
      <c r="W25" s="44" t="n">
        <f aca="false">IF($L25=0,0,bsd(W$23,W$22,$B25,$D25,$M25,$F25,$H25,0.1))</f>
        <v>0</v>
      </c>
      <c r="Y25" s="9"/>
      <c r="Z25" s="9"/>
      <c r="AA25" s="39"/>
      <c r="AD25" s="33"/>
      <c r="AE25" s="45" t="n">
        <f aca="false">$L25*N25</f>
        <v>0</v>
      </c>
      <c r="AF25" s="45" t="n">
        <f aca="false">$L25*P25</f>
        <v>0</v>
      </c>
      <c r="AG25" s="45" t="n">
        <f aca="false">$L25*R25</f>
        <v>0</v>
      </c>
      <c r="AH25" s="45" t="n">
        <f aca="false">$L25*T25</f>
        <v>0</v>
      </c>
      <c r="AI25" s="45" t="n">
        <f aca="false">$L25*V25</f>
        <v>0</v>
      </c>
      <c r="AK25" s="33"/>
      <c r="AL25" s="45" t="n">
        <f aca="false">$L25*O25</f>
        <v>0</v>
      </c>
      <c r="AM25" s="45" t="n">
        <f aca="false">$L25*Q25</f>
        <v>0</v>
      </c>
      <c r="AN25" s="45" t="n">
        <f aca="false">$L25*S25</f>
        <v>0</v>
      </c>
      <c r="AO25" s="45" t="n">
        <f aca="false">$L25*U25</f>
        <v>0</v>
      </c>
      <c r="AP25" s="45" t="n">
        <f aca="false">$L25*W25</f>
        <v>0</v>
      </c>
      <c r="AQ25" s="46"/>
      <c r="AR25" s="45"/>
      <c r="AS25" s="46"/>
      <c r="AT25" s="47"/>
      <c r="AU25" s="47"/>
      <c r="AV25" s="47"/>
    </row>
    <row r="26" customFormat="false" ht="12.75" hidden="false" customHeight="false" outlineLevel="0" collapsed="false">
      <c r="A26" s="39" t="n">
        <f aca="false">A25+1</f>
        <v>2</v>
      </c>
      <c r="B26" s="40" t="n">
        <f aca="false">B25</f>
        <v>4.46</v>
      </c>
      <c r="C26" s="41" t="n">
        <f aca="false">B$6</f>
        <v>4.37</v>
      </c>
      <c r="D26" s="41" t="n">
        <f aca="false">C$6</f>
        <v>4.39</v>
      </c>
      <c r="E26" s="4" t="n">
        <f aca="false">B$8</f>
        <v>0.51</v>
      </c>
      <c r="F26" s="4" t="n">
        <f aca="false">C$8</f>
        <v>0.48</v>
      </c>
      <c r="H26" s="4" t="n">
        <f aca="false">H25</f>
        <v>0.068146567086238</v>
      </c>
      <c r="I26" s="42" t="n">
        <f aca="false">I25+1</f>
        <v>36679</v>
      </c>
      <c r="J26" s="42" t="n">
        <f aca="false">IF(K26=6,I26-1,IF(K26=7,I26-2,I26))</f>
        <v>36679</v>
      </c>
      <c r="K26" s="43" t="n">
        <f aca="false">WEEKDAY(I26,2)</f>
        <v>5</v>
      </c>
      <c r="L26" s="43" t="n">
        <f aca="false">IF(I26&gt;B$11,0,IF(M26&lt;1,0,1))</f>
        <v>0</v>
      </c>
      <c r="M26" s="43" t="n">
        <f aca="false">J26-B$12</f>
        <v>-19</v>
      </c>
      <c r="N26" s="44" t="n">
        <f aca="false">IF($L26=0,0,bsd(N$23,N$22,$B26,$C26,$M26,$E26,$H26,0.1))</f>
        <v>0</v>
      </c>
      <c r="O26" s="44" t="n">
        <f aca="false">IF($L26=0,0,bsd(O$23,O$22,$B26,$D26,$M26,$F26,$H26,0.1))</f>
        <v>0</v>
      </c>
      <c r="P26" s="44" t="n">
        <f aca="false">IF($L26=0,0,bsd(P$23,P$22,$B26,$C26,$M26,$E26,$H26,0.1))</f>
        <v>0</v>
      </c>
      <c r="Q26" s="44" t="n">
        <f aca="false">IF($L26=0,0,bsd(Q$23,Q$22,$B26,$D26,$M26,$F26,$H26,0.1))</f>
        <v>0</v>
      </c>
      <c r="R26" s="44" t="n">
        <f aca="false">IF($L26=0,0,bsd(R$23,R$22,$B26,$C26,$M26,$E26,$H26,0.1))</f>
        <v>0</v>
      </c>
      <c r="S26" s="44" t="n">
        <f aca="false">IF($L26=0,0,bsd(S$23,S$22,$B26,$D26,$M26,$F26,$H26,0.1))</f>
        <v>0</v>
      </c>
      <c r="T26" s="44" t="n">
        <f aca="false">IF($L26=0,0,bsd(T$23,T$22,$B26,$C26,$M26,$E26,$H26,0.1))</f>
        <v>0</v>
      </c>
      <c r="U26" s="44" t="n">
        <f aca="false">IF($L26=0,0,bsd(U$23,U$22,$B26,$D26,$M26,$F26,$H26,0.1))</f>
        <v>0</v>
      </c>
      <c r="V26" s="44" t="n">
        <f aca="false">IF($L26=0,0,bsd(V$23,V$22,$B26,$C26,$M26,$E26,$H26,0.1))</f>
        <v>0</v>
      </c>
      <c r="W26" s="44" t="n">
        <f aca="false">IF($L26=0,0,bsd(W$23,W$22,$B26,$D26,$M26,$F26,$H26,0.1))</f>
        <v>0</v>
      </c>
      <c r="Y26" s="9"/>
      <c r="Z26" s="9"/>
      <c r="AA26" s="39"/>
      <c r="AD26" s="33"/>
      <c r="AE26" s="45" t="n">
        <f aca="false">$L26*N26</f>
        <v>0</v>
      </c>
      <c r="AF26" s="45" t="n">
        <f aca="false">$L26*P26</f>
        <v>0</v>
      </c>
      <c r="AG26" s="45" t="n">
        <f aca="false">$L26*R26</f>
        <v>0</v>
      </c>
      <c r="AH26" s="45" t="n">
        <f aca="false">$L26*T26</f>
        <v>0</v>
      </c>
      <c r="AI26" s="45" t="n">
        <f aca="false">$L26*V26</f>
        <v>0</v>
      </c>
      <c r="AK26" s="33"/>
      <c r="AL26" s="45" t="n">
        <f aca="false">$L26*O26</f>
        <v>0</v>
      </c>
      <c r="AM26" s="45" t="n">
        <f aca="false">$L26*Q26</f>
        <v>0</v>
      </c>
      <c r="AN26" s="45" t="n">
        <f aca="false">$L26*S26</f>
        <v>0</v>
      </c>
      <c r="AO26" s="45" t="n">
        <f aca="false">$L26*U26</f>
        <v>0</v>
      </c>
      <c r="AP26" s="45" t="n">
        <f aca="false">$L26*W26</f>
        <v>0</v>
      </c>
      <c r="AQ26" s="46"/>
      <c r="AR26" s="45"/>
      <c r="AS26" s="46"/>
      <c r="AT26" s="47"/>
      <c r="AU26" s="47"/>
      <c r="AV26" s="47"/>
    </row>
    <row r="27" customFormat="false" ht="12.75" hidden="false" customHeight="false" outlineLevel="0" collapsed="false">
      <c r="A27" s="39" t="n">
        <f aca="false">A26+1</f>
        <v>3</v>
      </c>
      <c r="B27" s="40" t="n">
        <f aca="false">B26</f>
        <v>4.46</v>
      </c>
      <c r="C27" s="41" t="n">
        <f aca="false">B$6</f>
        <v>4.37</v>
      </c>
      <c r="D27" s="41" t="n">
        <f aca="false">C$6</f>
        <v>4.39</v>
      </c>
      <c r="E27" s="4" t="n">
        <f aca="false">B$8</f>
        <v>0.51</v>
      </c>
      <c r="F27" s="4" t="n">
        <f aca="false">C$8</f>
        <v>0.48</v>
      </c>
      <c r="H27" s="4" t="n">
        <f aca="false">H26</f>
        <v>0.068146567086238</v>
      </c>
      <c r="I27" s="42" t="n">
        <f aca="false">I26+1</f>
        <v>36680</v>
      </c>
      <c r="J27" s="42" t="n">
        <f aca="false">IF(K27=6,I27-1,IF(K27=7,I27-2,I27))</f>
        <v>36679</v>
      </c>
      <c r="K27" s="43" t="n">
        <f aca="false">WEEKDAY(I27,2)</f>
        <v>6</v>
      </c>
      <c r="L27" s="43" t="n">
        <f aca="false">IF(I27&gt;B$11,0,IF(M27&lt;1,0,1))</f>
        <v>0</v>
      </c>
      <c r="M27" s="43" t="n">
        <f aca="false">J27-B$12</f>
        <v>-19</v>
      </c>
      <c r="N27" s="44" t="n">
        <f aca="false">IF($L27=0,0,bsd(N$23,N$22,$B27,$C27,$M27,$E27,$H27,0.1))</f>
        <v>0</v>
      </c>
      <c r="O27" s="44" t="n">
        <f aca="false">IF($L27=0,0,bsd(O$23,O$22,$B27,$D27,$M27,$F27,$H27,0.1))</f>
        <v>0</v>
      </c>
      <c r="P27" s="44" t="n">
        <f aca="false">IF($L27=0,0,bsd(P$23,P$22,$B27,$C27,$M27,$E27,$H27,0.1))</f>
        <v>0</v>
      </c>
      <c r="Q27" s="44" t="n">
        <f aca="false">IF($L27=0,0,bsd(Q$23,Q$22,$B27,$D27,$M27,$F27,$H27,0.1))</f>
        <v>0</v>
      </c>
      <c r="R27" s="44" t="n">
        <f aca="false">IF($L27=0,0,bsd(R$23,R$22,$B27,$C27,$M27,$E27,$H27,0.1))</f>
        <v>0</v>
      </c>
      <c r="S27" s="44" t="n">
        <f aca="false">IF($L27=0,0,bsd(S$23,S$22,$B27,$D27,$M27,$F27,$H27,0.1))</f>
        <v>0</v>
      </c>
      <c r="T27" s="44" t="n">
        <f aca="false">IF($L27=0,0,bsd(T$23,T$22,$B27,$C27,$M27,$E27,$H27,0.1))</f>
        <v>0</v>
      </c>
      <c r="U27" s="44" t="n">
        <f aca="false">IF($L27=0,0,bsd(U$23,U$22,$B27,$D27,$M27,$F27,$H27,0.1))</f>
        <v>0</v>
      </c>
      <c r="V27" s="44" t="n">
        <f aca="false">IF($L27=0,0,bsd(V$23,V$22,$B27,$C27,$M27,$E27,$H27,0.1))</f>
        <v>0</v>
      </c>
      <c r="W27" s="44" t="n">
        <f aca="false">IF($L27=0,0,bsd(W$23,W$22,$B27,$D27,$M27,$F27,$H27,0.1))</f>
        <v>0</v>
      </c>
      <c r="Y27" s="9"/>
      <c r="Z27" s="9"/>
      <c r="AA27" s="39"/>
      <c r="AD27" s="33"/>
      <c r="AE27" s="45" t="n">
        <f aca="false">$L27*N27</f>
        <v>0</v>
      </c>
      <c r="AF27" s="45" t="n">
        <f aca="false">$L27*P27</f>
        <v>0</v>
      </c>
      <c r="AG27" s="45" t="n">
        <f aca="false">$L27*R27</f>
        <v>0</v>
      </c>
      <c r="AH27" s="45" t="n">
        <f aca="false">$L27*T27</f>
        <v>0</v>
      </c>
      <c r="AI27" s="45" t="n">
        <f aca="false">$L27*V27</f>
        <v>0</v>
      </c>
      <c r="AK27" s="33"/>
      <c r="AL27" s="45" t="n">
        <f aca="false">$L27*O27</f>
        <v>0</v>
      </c>
      <c r="AM27" s="45" t="n">
        <f aca="false">$L27*Q27</f>
        <v>0</v>
      </c>
      <c r="AN27" s="45" t="n">
        <f aca="false">$L27*S27</f>
        <v>0</v>
      </c>
      <c r="AO27" s="45" t="n">
        <f aca="false">$L27*U27</f>
        <v>0</v>
      </c>
      <c r="AP27" s="45" t="n">
        <f aca="false">$L27*W27</f>
        <v>0</v>
      </c>
      <c r="AQ27" s="46"/>
      <c r="AR27" s="45"/>
      <c r="AS27" s="46"/>
      <c r="AT27" s="47"/>
      <c r="AU27" s="47"/>
      <c r="AV27" s="47"/>
    </row>
    <row r="28" customFormat="false" ht="12.75" hidden="false" customHeight="false" outlineLevel="0" collapsed="false">
      <c r="A28" s="39" t="n">
        <f aca="false">A27+1</f>
        <v>4</v>
      </c>
      <c r="B28" s="40" t="n">
        <f aca="false">B27</f>
        <v>4.46</v>
      </c>
      <c r="C28" s="41" t="n">
        <f aca="false">B$6</f>
        <v>4.37</v>
      </c>
      <c r="D28" s="41" t="n">
        <f aca="false">C$6</f>
        <v>4.39</v>
      </c>
      <c r="E28" s="4" t="n">
        <f aca="false">B$8</f>
        <v>0.51</v>
      </c>
      <c r="F28" s="4" t="n">
        <f aca="false">C$8</f>
        <v>0.48</v>
      </c>
      <c r="H28" s="4" t="n">
        <f aca="false">H27</f>
        <v>0.068146567086238</v>
      </c>
      <c r="I28" s="42" t="n">
        <f aca="false">I27+1</f>
        <v>36681</v>
      </c>
      <c r="J28" s="42" t="n">
        <f aca="false">IF(K28=6,I28-1,IF(K28=7,I28-2,I28))</f>
        <v>36679</v>
      </c>
      <c r="K28" s="43" t="n">
        <f aca="false">WEEKDAY(I28,2)</f>
        <v>7</v>
      </c>
      <c r="L28" s="43" t="n">
        <f aca="false">IF(I28&gt;B$11,0,IF(M28&lt;1,0,1))</f>
        <v>0</v>
      </c>
      <c r="M28" s="43" t="n">
        <f aca="false">J28-B$12</f>
        <v>-19</v>
      </c>
      <c r="N28" s="44" t="n">
        <f aca="false">IF($L28=0,0,bsd(N$23,N$22,$B28,$C28,$M28,$E28,$H28,0.1))</f>
        <v>0</v>
      </c>
      <c r="O28" s="44" t="n">
        <f aca="false">IF($L28=0,0,bsd(O$23,O$22,$B28,$D28,$M28,$F28,$H28,0.1))</f>
        <v>0</v>
      </c>
      <c r="P28" s="44" t="n">
        <f aca="false">IF($L28=0,0,bsd(P$23,P$22,$B28,$C28,$M28,$E28,$H28,0.1))</f>
        <v>0</v>
      </c>
      <c r="Q28" s="44" t="n">
        <f aca="false">IF($L28=0,0,bsd(Q$23,Q$22,$B28,$D28,$M28,$F28,$H28,0.1))</f>
        <v>0</v>
      </c>
      <c r="R28" s="44" t="n">
        <f aca="false">IF($L28=0,0,bsd(R$23,R$22,$B28,$C28,$M28,$E28,$H28,0.1))</f>
        <v>0</v>
      </c>
      <c r="S28" s="44" t="n">
        <f aca="false">IF($L28=0,0,bsd(S$23,S$22,$B28,$D28,$M28,$F28,$H28,0.1))</f>
        <v>0</v>
      </c>
      <c r="T28" s="44" t="n">
        <f aca="false">IF($L28=0,0,bsd(T$23,T$22,$B28,$C28,$M28,$E28,$H28,0.1))</f>
        <v>0</v>
      </c>
      <c r="U28" s="44" t="n">
        <f aca="false">IF($L28=0,0,bsd(U$23,U$22,$B28,$D28,$M28,$F28,$H28,0.1))</f>
        <v>0</v>
      </c>
      <c r="V28" s="44" t="n">
        <f aca="false">IF($L28=0,0,bsd(V$23,V$22,$B28,$C28,$M28,$E28,$H28,0.1))</f>
        <v>0</v>
      </c>
      <c r="W28" s="44" t="n">
        <f aca="false">IF($L28=0,0,bsd(W$23,W$22,$B28,$D28,$M28,$F28,$H28,0.1))</f>
        <v>0</v>
      </c>
      <c r="Y28" s="9"/>
      <c r="Z28" s="9"/>
      <c r="AA28" s="39"/>
      <c r="AD28" s="33"/>
      <c r="AE28" s="45" t="n">
        <f aca="false">$L28*N28</f>
        <v>0</v>
      </c>
      <c r="AF28" s="45" t="n">
        <f aca="false">$L28*P28</f>
        <v>0</v>
      </c>
      <c r="AG28" s="45" t="n">
        <f aca="false">$L28*R28</f>
        <v>0</v>
      </c>
      <c r="AH28" s="45" t="n">
        <f aca="false">$L28*T28</f>
        <v>0</v>
      </c>
      <c r="AI28" s="45" t="n">
        <f aca="false">$L28*V28</f>
        <v>0</v>
      </c>
      <c r="AK28" s="33"/>
      <c r="AL28" s="45" t="n">
        <f aca="false">$L28*O28</f>
        <v>0</v>
      </c>
      <c r="AM28" s="45" t="n">
        <f aca="false">$L28*Q28</f>
        <v>0</v>
      </c>
      <c r="AN28" s="45" t="n">
        <f aca="false">$L28*S28</f>
        <v>0</v>
      </c>
      <c r="AO28" s="45" t="n">
        <f aca="false">$L28*U28</f>
        <v>0</v>
      </c>
      <c r="AP28" s="45" t="n">
        <f aca="false">$L28*W28</f>
        <v>0</v>
      </c>
      <c r="AQ28" s="46"/>
      <c r="AR28" s="45"/>
      <c r="AS28" s="46"/>
      <c r="AT28" s="47"/>
      <c r="AU28" s="47"/>
      <c r="AV28" s="47"/>
    </row>
    <row r="29" customFormat="false" ht="12.75" hidden="false" customHeight="false" outlineLevel="0" collapsed="false">
      <c r="A29" s="39" t="n">
        <f aca="false">A28+1</f>
        <v>5</v>
      </c>
      <c r="B29" s="40" t="n">
        <f aca="false">B28</f>
        <v>4.46</v>
      </c>
      <c r="C29" s="41" t="n">
        <f aca="false">B$6</f>
        <v>4.37</v>
      </c>
      <c r="D29" s="41" t="n">
        <f aca="false">C$6</f>
        <v>4.39</v>
      </c>
      <c r="E29" s="4" t="n">
        <f aca="false">B$8</f>
        <v>0.51</v>
      </c>
      <c r="F29" s="4" t="n">
        <f aca="false">C$8</f>
        <v>0.48</v>
      </c>
      <c r="H29" s="4" t="n">
        <f aca="false">H28</f>
        <v>0.068146567086238</v>
      </c>
      <c r="I29" s="42" t="n">
        <f aca="false">I28+1</f>
        <v>36682</v>
      </c>
      <c r="J29" s="42" t="n">
        <f aca="false">IF(K29=6,I29-1,IF(K29=7,I29-2,I29))</f>
        <v>36682</v>
      </c>
      <c r="K29" s="43" t="n">
        <f aca="false">WEEKDAY(I29,2)</f>
        <v>1</v>
      </c>
      <c r="L29" s="43" t="n">
        <f aca="false">IF(I29&gt;B$11,0,IF(M29&lt;1,0,1))</f>
        <v>0</v>
      </c>
      <c r="M29" s="43" t="n">
        <f aca="false">J29-B$12</f>
        <v>-16</v>
      </c>
      <c r="N29" s="44" t="n">
        <f aca="false">IF($L29=0,0,bsd(N$23,N$22,$B29,$C29,$M29,$E29,$H29,0.1))</f>
        <v>0</v>
      </c>
      <c r="O29" s="44" t="n">
        <f aca="false">IF($L29=0,0,bsd(O$23,O$22,$B29,$D29,$M29,$F29,$H29,0.1))</f>
        <v>0</v>
      </c>
      <c r="P29" s="44" t="n">
        <f aca="false">IF($L29=0,0,bsd(P$23,P$22,$B29,$C29,$M29,$E29,$H29,0.1))</f>
        <v>0</v>
      </c>
      <c r="Q29" s="44" t="n">
        <f aca="false">IF($L29=0,0,bsd(Q$23,Q$22,$B29,$D29,$M29,$F29,$H29,0.1))</f>
        <v>0</v>
      </c>
      <c r="R29" s="44" t="n">
        <f aca="false">IF($L29=0,0,bsd(R$23,R$22,$B29,$C29,$M29,$E29,$H29,0.1))</f>
        <v>0</v>
      </c>
      <c r="S29" s="44" t="n">
        <f aca="false">IF($L29=0,0,bsd(S$23,S$22,$B29,$D29,$M29,$F29,$H29,0.1))</f>
        <v>0</v>
      </c>
      <c r="T29" s="44" t="n">
        <f aca="false">IF($L29=0,0,bsd(T$23,T$22,$B29,$C29,$M29,$E29,$H29,0.1))</f>
        <v>0</v>
      </c>
      <c r="U29" s="44" t="n">
        <f aca="false">IF($L29=0,0,bsd(U$23,U$22,$B29,$D29,$M29,$F29,$H29,0.1))</f>
        <v>0</v>
      </c>
      <c r="V29" s="44" t="n">
        <f aca="false">IF($L29=0,0,bsd(V$23,V$22,$B29,$C29,$M29,$E29,$H29,0.1))</f>
        <v>0</v>
      </c>
      <c r="W29" s="44" t="n">
        <f aca="false">IF($L29=0,0,bsd(W$23,W$22,$B29,$D29,$M29,$F29,$H29,0.1))</f>
        <v>0</v>
      </c>
      <c r="Y29" s="9"/>
      <c r="Z29" s="9"/>
      <c r="AA29" s="39"/>
      <c r="AD29" s="33"/>
      <c r="AE29" s="45" t="n">
        <f aca="false">$L29*N29</f>
        <v>0</v>
      </c>
      <c r="AF29" s="45" t="n">
        <f aca="false">$L29*P29</f>
        <v>0</v>
      </c>
      <c r="AG29" s="45" t="n">
        <f aca="false">$L29*R29</f>
        <v>0</v>
      </c>
      <c r="AH29" s="45" t="n">
        <f aca="false">$L29*T29</f>
        <v>0</v>
      </c>
      <c r="AI29" s="45" t="n">
        <f aca="false">$L29*V29</f>
        <v>0</v>
      </c>
      <c r="AK29" s="33"/>
      <c r="AL29" s="45" t="n">
        <f aca="false">$L29*O29</f>
        <v>0</v>
      </c>
      <c r="AM29" s="45" t="n">
        <f aca="false">$L29*Q29</f>
        <v>0</v>
      </c>
      <c r="AN29" s="45" t="n">
        <f aca="false">$L29*S29</f>
        <v>0</v>
      </c>
      <c r="AO29" s="45" t="n">
        <f aca="false">$L29*U29</f>
        <v>0</v>
      </c>
      <c r="AP29" s="45" t="n">
        <f aca="false">$L29*W29</f>
        <v>0</v>
      </c>
      <c r="AQ29" s="46"/>
      <c r="AR29" s="45"/>
      <c r="AS29" s="46"/>
      <c r="AT29" s="47"/>
      <c r="AU29" s="47"/>
      <c r="AV29" s="47"/>
    </row>
    <row r="30" customFormat="false" ht="12.75" hidden="false" customHeight="false" outlineLevel="0" collapsed="false">
      <c r="A30" s="39" t="n">
        <f aca="false">A29+1</f>
        <v>6</v>
      </c>
      <c r="B30" s="40" t="n">
        <f aca="false">B29</f>
        <v>4.46</v>
      </c>
      <c r="C30" s="41" t="n">
        <f aca="false">B$6</f>
        <v>4.37</v>
      </c>
      <c r="D30" s="41" t="n">
        <f aca="false">C$6</f>
        <v>4.39</v>
      </c>
      <c r="E30" s="4" t="n">
        <f aca="false">B$8</f>
        <v>0.51</v>
      </c>
      <c r="F30" s="4" t="n">
        <f aca="false">C$8</f>
        <v>0.48</v>
      </c>
      <c r="H30" s="4" t="n">
        <f aca="false">H29</f>
        <v>0.068146567086238</v>
      </c>
      <c r="I30" s="42" t="n">
        <f aca="false">I29+1</f>
        <v>36683</v>
      </c>
      <c r="J30" s="42" t="n">
        <f aca="false">IF(K30=6,I30-1,IF(K30=7,I30-2,I30))</f>
        <v>36683</v>
      </c>
      <c r="K30" s="43" t="n">
        <f aca="false">WEEKDAY(I30,2)</f>
        <v>2</v>
      </c>
      <c r="L30" s="43" t="n">
        <f aca="false">IF(I30&gt;B$11,0,IF(M30&lt;1,0,1))</f>
        <v>0</v>
      </c>
      <c r="M30" s="43" t="n">
        <f aca="false">J30-B$12</f>
        <v>-15</v>
      </c>
      <c r="N30" s="44" t="n">
        <f aca="false">IF($L30=0,0,bsd(N$23,N$22,$B30,$C30,$M30,$E30,$H30,0.1))</f>
        <v>0</v>
      </c>
      <c r="O30" s="44" t="n">
        <f aca="false">IF($L30=0,0,bsd(O$23,O$22,$B30,$D30,$M30,$F30,$H30,0.1))</f>
        <v>0</v>
      </c>
      <c r="P30" s="44" t="n">
        <f aca="false">IF($L30=0,0,bsd(P$23,P$22,$B30,$C30,$M30,$E30,$H30,0.1))</f>
        <v>0</v>
      </c>
      <c r="Q30" s="44" t="n">
        <f aca="false">IF($L30=0,0,bsd(Q$23,Q$22,$B30,$D30,$M30,$F30,$H30,0.1))</f>
        <v>0</v>
      </c>
      <c r="R30" s="44" t="n">
        <f aca="false">IF($L30=0,0,bsd(R$23,R$22,$B30,$C30,$M30,$E30,$H30,0.1))</f>
        <v>0</v>
      </c>
      <c r="S30" s="44" t="n">
        <f aca="false">IF($L30=0,0,bsd(S$23,S$22,$B30,$D30,$M30,$F30,$H30,0.1))</f>
        <v>0</v>
      </c>
      <c r="T30" s="44" t="n">
        <f aca="false">IF($L30=0,0,bsd(T$23,T$22,$B30,$C30,$M30,$E30,$H30,0.1))</f>
        <v>0</v>
      </c>
      <c r="U30" s="44" t="n">
        <f aca="false">IF($L30=0,0,bsd(U$23,U$22,$B30,$D30,$M30,$F30,$H30,0.1))</f>
        <v>0</v>
      </c>
      <c r="V30" s="44" t="n">
        <f aca="false">IF($L30=0,0,bsd(V$23,V$22,$B30,$C30,$M30,$E30,$H30,0.1))</f>
        <v>0</v>
      </c>
      <c r="W30" s="44" t="n">
        <f aca="false">IF($L30=0,0,bsd(W$23,W$22,$B30,$D30,$M30,$F30,$H30,0.1))</f>
        <v>0</v>
      </c>
      <c r="Y30" s="9"/>
      <c r="Z30" s="9"/>
      <c r="AA30" s="39"/>
      <c r="AD30" s="33"/>
      <c r="AE30" s="45" t="n">
        <f aca="false">$L30*N30</f>
        <v>0</v>
      </c>
      <c r="AF30" s="45" t="n">
        <f aca="false">$L30*P30</f>
        <v>0</v>
      </c>
      <c r="AG30" s="45" t="n">
        <f aca="false">$L30*R30</f>
        <v>0</v>
      </c>
      <c r="AH30" s="45" t="n">
        <f aca="false">$L30*T30</f>
        <v>0</v>
      </c>
      <c r="AI30" s="45" t="n">
        <f aca="false">$L30*V30</f>
        <v>0</v>
      </c>
      <c r="AK30" s="33"/>
      <c r="AL30" s="45" t="n">
        <f aca="false">$L30*O30</f>
        <v>0</v>
      </c>
      <c r="AM30" s="45" t="n">
        <f aca="false">$L30*Q30</f>
        <v>0</v>
      </c>
      <c r="AN30" s="45" t="n">
        <f aca="false">$L30*S30</f>
        <v>0</v>
      </c>
      <c r="AO30" s="45" t="n">
        <f aca="false">$L30*U30</f>
        <v>0</v>
      </c>
      <c r="AP30" s="45" t="n">
        <f aca="false">$L30*W30</f>
        <v>0</v>
      </c>
      <c r="AQ30" s="46"/>
      <c r="AR30" s="45"/>
      <c r="AS30" s="46"/>
      <c r="AT30" s="47"/>
      <c r="AU30" s="47"/>
      <c r="AV30" s="47"/>
    </row>
    <row r="31" customFormat="false" ht="12.75" hidden="false" customHeight="false" outlineLevel="0" collapsed="false">
      <c r="A31" s="39" t="n">
        <f aca="false">A30+1</f>
        <v>7</v>
      </c>
      <c r="B31" s="40" t="n">
        <f aca="false">B30</f>
        <v>4.46</v>
      </c>
      <c r="C31" s="41" t="n">
        <f aca="false">B$6</f>
        <v>4.37</v>
      </c>
      <c r="D31" s="41" t="n">
        <f aca="false">C$6</f>
        <v>4.39</v>
      </c>
      <c r="E31" s="4" t="n">
        <f aca="false">B$8</f>
        <v>0.51</v>
      </c>
      <c r="F31" s="4" t="n">
        <f aca="false">C$8</f>
        <v>0.48</v>
      </c>
      <c r="H31" s="4" t="n">
        <f aca="false">H30</f>
        <v>0.068146567086238</v>
      </c>
      <c r="I31" s="42" t="n">
        <f aca="false">I30+1</f>
        <v>36684</v>
      </c>
      <c r="J31" s="42" t="n">
        <f aca="false">IF(K31=6,I31-1,IF(K31=7,I31-2,I31))</f>
        <v>36684</v>
      </c>
      <c r="K31" s="43" t="n">
        <f aca="false">WEEKDAY(I31,2)</f>
        <v>3</v>
      </c>
      <c r="L31" s="43" t="n">
        <f aca="false">IF(I31&gt;B$11,0,IF(M31&lt;1,0,1))</f>
        <v>0</v>
      </c>
      <c r="M31" s="43" t="n">
        <f aca="false">J31-B$12</f>
        <v>-14</v>
      </c>
      <c r="N31" s="44" t="n">
        <f aca="false">IF($L31=0,0,bsd(N$23,N$22,$B31,$C31,$M31,$E31,$H31,0.1))</f>
        <v>0</v>
      </c>
      <c r="O31" s="44" t="n">
        <f aca="false">IF($L31=0,0,bsd(O$23,O$22,$B31,$D31,$M31,$F31,$H31,0.1))</f>
        <v>0</v>
      </c>
      <c r="P31" s="44" t="n">
        <f aca="false">IF($L31=0,0,bsd(P$23,P$22,$B31,$C31,$M31,$E31,$H31,0.1))</f>
        <v>0</v>
      </c>
      <c r="Q31" s="44" t="n">
        <f aca="false">IF($L31=0,0,bsd(Q$23,Q$22,$B31,$D31,$M31,$F31,$H31,0.1))</f>
        <v>0</v>
      </c>
      <c r="R31" s="44" t="n">
        <f aca="false">IF($L31=0,0,bsd(R$23,R$22,$B31,$C31,$M31,$E31,$H31,0.1))</f>
        <v>0</v>
      </c>
      <c r="S31" s="44" t="n">
        <f aca="false">IF($L31=0,0,bsd(S$23,S$22,$B31,$D31,$M31,$F31,$H31,0.1))</f>
        <v>0</v>
      </c>
      <c r="T31" s="44" t="n">
        <f aca="false">IF($L31=0,0,bsd(T$23,T$22,$B31,$C31,$M31,$E31,$H31,0.1))</f>
        <v>0</v>
      </c>
      <c r="U31" s="44" t="n">
        <f aca="false">IF($L31=0,0,bsd(U$23,U$22,$B31,$D31,$M31,$F31,$H31,0.1))</f>
        <v>0</v>
      </c>
      <c r="V31" s="44" t="n">
        <f aca="false">IF($L31=0,0,bsd(V$23,V$22,$B31,$C31,$M31,$E31,$H31,0.1))</f>
        <v>0</v>
      </c>
      <c r="W31" s="44" t="n">
        <f aca="false">IF($L31=0,0,bsd(W$23,W$22,$B31,$D31,$M31,$F31,$H31,0.1))</f>
        <v>0</v>
      </c>
      <c r="Y31" s="9"/>
      <c r="Z31" s="9"/>
      <c r="AA31" s="39"/>
      <c r="AD31" s="33"/>
      <c r="AE31" s="45" t="n">
        <f aca="false">$L31*N31</f>
        <v>0</v>
      </c>
      <c r="AF31" s="45" t="n">
        <f aca="false">$L31*P31</f>
        <v>0</v>
      </c>
      <c r="AG31" s="45" t="n">
        <f aca="false">$L31*R31</f>
        <v>0</v>
      </c>
      <c r="AH31" s="45" t="n">
        <f aca="false">$L31*T31</f>
        <v>0</v>
      </c>
      <c r="AI31" s="45" t="n">
        <f aca="false">$L31*V31</f>
        <v>0</v>
      </c>
      <c r="AK31" s="33"/>
      <c r="AL31" s="45" t="n">
        <f aca="false">$L31*O31</f>
        <v>0</v>
      </c>
      <c r="AM31" s="45" t="n">
        <f aca="false">$L31*Q31</f>
        <v>0</v>
      </c>
      <c r="AN31" s="45" t="n">
        <f aca="false">$L31*S31</f>
        <v>0</v>
      </c>
      <c r="AO31" s="45" t="n">
        <f aca="false">$L31*U31</f>
        <v>0</v>
      </c>
      <c r="AP31" s="45" t="n">
        <f aca="false">$L31*W31</f>
        <v>0</v>
      </c>
      <c r="AQ31" s="46"/>
      <c r="AR31" s="45"/>
      <c r="AS31" s="46"/>
      <c r="AT31" s="47"/>
      <c r="AU31" s="47"/>
      <c r="AV31" s="47"/>
    </row>
    <row r="32" customFormat="false" ht="12.75" hidden="false" customHeight="false" outlineLevel="0" collapsed="false">
      <c r="A32" s="39" t="n">
        <f aca="false">A31+1</f>
        <v>8</v>
      </c>
      <c r="B32" s="40" t="n">
        <f aca="false">B31</f>
        <v>4.46</v>
      </c>
      <c r="C32" s="41" t="n">
        <f aca="false">B$6</f>
        <v>4.37</v>
      </c>
      <c r="D32" s="41" t="n">
        <f aca="false">C$6</f>
        <v>4.39</v>
      </c>
      <c r="E32" s="4" t="n">
        <f aca="false">B$8</f>
        <v>0.51</v>
      </c>
      <c r="F32" s="4" t="n">
        <f aca="false">C$8</f>
        <v>0.48</v>
      </c>
      <c r="H32" s="4" t="n">
        <f aca="false">H31</f>
        <v>0.068146567086238</v>
      </c>
      <c r="I32" s="42" t="n">
        <f aca="false">I31+1</f>
        <v>36685</v>
      </c>
      <c r="J32" s="42" t="n">
        <f aca="false">IF(K32=6,I32-1,IF(K32=7,I32-2,I32))</f>
        <v>36685</v>
      </c>
      <c r="K32" s="43" t="n">
        <f aca="false">WEEKDAY(I32,2)</f>
        <v>4</v>
      </c>
      <c r="L32" s="43" t="n">
        <f aca="false">IF(I32&gt;B$11,0,IF(M32&lt;1,0,1))</f>
        <v>0</v>
      </c>
      <c r="M32" s="43" t="n">
        <f aca="false">J32-B$12</f>
        <v>-13</v>
      </c>
      <c r="N32" s="44" t="n">
        <f aca="false">IF($L32=0,0,bsd(N$23,N$22,$B32,$C32,$M32,$E32,$H32,0.1))</f>
        <v>0</v>
      </c>
      <c r="O32" s="44" t="n">
        <f aca="false">IF($L32=0,0,bsd(O$23,O$22,$B32,$D32,$M32,$F32,$H32,0.1))</f>
        <v>0</v>
      </c>
      <c r="P32" s="44" t="n">
        <f aca="false">IF($L32=0,0,bsd(P$23,P$22,$B32,$C32,$M32,$E32,$H32,0.1))</f>
        <v>0</v>
      </c>
      <c r="Q32" s="44" t="n">
        <f aca="false">IF($L32=0,0,bsd(Q$23,Q$22,$B32,$D32,$M32,$F32,$H32,0.1))</f>
        <v>0</v>
      </c>
      <c r="R32" s="44" t="n">
        <f aca="false">IF($L32=0,0,bsd(R$23,R$22,$B32,$C32,$M32,$E32,$H32,0.1))</f>
        <v>0</v>
      </c>
      <c r="S32" s="44" t="n">
        <f aca="false">IF($L32=0,0,bsd(S$23,S$22,$B32,$D32,$M32,$F32,$H32,0.1))</f>
        <v>0</v>
      </c>
      <c r="T32" s="44" t="n">
        <f aca="false">IF($L32=0,0,bsd(T$23,T$22,$B32,$C32,$M32,$E32,$H32,0.1))</f>
        <v>0</v>
      </c>
      <c r="U32" s="44" t="n">
        <f aca="false">IF($L32=0,0,bsd(U$23,U$22,$B32,$D32,$M32,$F32,$H32,0.1))</f>
        <v>0</v>
      </c>
      <c r="V32" s="44" t="n">
        <f aca="false">IF($L32=0,0,bsd(V$23,V$22,$B32,$C32,$M32,$E32,$H32,0.1))</f>
        <v>0</v>
      </c>
      <c r="W32" s="44" t="n">
        <f aca="false">IF($L32=0,0,bsd(W$23,W$22,$B32,$D32,$M32,$F32,$H32,0.1))</f>
        <v>0</v>
      </c>
      <c r="Y32" s="9"/>
      <c r="Z32" s="9"/>
      <c r="AA32" s="39"/>
      <c r="AD32" s="33"/>
      <c r="AE32" s="45" t="n">
        <f aca="false">$L32*N32</f>
        <v>0</v>
      </c>
      <c r="AF32" s="45" t="n">
        <f aca="false">$L32*P32</f>
        <v>0</v>
      </c>
      <c r="AG32" s="45" t="n">
        <f aca="false">$L32*R32</f>
        <v>0</v>
      </c>
      <c r="AH32" s="45" t="n">
        <f aca="false">$L32*T32</f>
        <v>0</v>
      </c>
      <c r="AI32" s="45" t="n">
        <f aca="false">$L32*V32</f>
        <v>0</v>
      </c>
      <c r="AK32" s="33"/>
      <c r="AL32" s="45" t="n">
        <f aca="false">$L32*O32</f>
        <v>0</v>
      </c>
      <c r="AM32" s="45" t="n">
        <f aca="false">$L32*Q32</f>
        <v>0</v>
      </c>
      <c r="AN32" s="45" t="n">
        <f aca="false">$L32*S32</f>
        <v>0</v>
      </c>
      <c r="AO32" s="45" t="n">
        <f aca="false">$L32*U32</f>
        <v>0</v>
      </c>
      <c r="AP32" s="45" t="n">
        <f aca="false">$L32*W32</f>
        <v>0</v>
      </c>
      <c r="AQ32" s="46"/>
      <c r="AR32" s="45"/>
      <c r="AS32" s="46"/>
      <c r="AT32" s="47"/>
      <c r="AU32" s="47"/>
      <c r="AV32" s="47"/>
    </row>
    <row r="33" customFormat="false" ht="12.75" hidden="false" customHeight="false" outlineLevel="0" collapsed="false">
      <c r="A33" s="39" t="n">
        <f aca="false">A32+1</f>
        <v>9</v>
      </c>
      <c r="B33" s="40" t="n">
        <f aca="false">B32</f>
        <v>4.46</v>
      </c>
      <c r="C33" s="41" t="n">
        <f aca="false">B$6</f>
        <v>4.37</v>
      </c>
      <c r="D33" s="41" t="n">
        <f aca="false">C$6</f>
        <v>4.39</v>
      </c>
      <c r="E33" s="4" t="n">
        <f aca="false">B$8</f>
        <v>0.51</v>
      </c>
      <c r="F33" s="4" t="n">
        <f aca="false">C$8</f>
        <v>0.48</v>
      </c>
      <c r="H33" s="4" t="n">
        <f aca="false">H32</f>
        <v>0.068146567086238</v>
      </c>
      <c r="I33" s="42" t="n">
        <f aca="false">I32+1</f>
        <v>36686</v>
      </c>
      <c r="J33" s="42" t="n">
        <f aca="false">IF(K33=6,I33-1,IF(K33=7,I33-2,I33))</f>
        <v>36686</v>
      </c>
      <c r="K33" s="43" t="n">
        <f aca="false">WEEKDAY(I33,2)</f>
        <v>5</v>
      </c>
      <c r="L33" s="43" t="n">
        <f aca="false">IF(I33&gt;B$11,0,IF(M33&lt;1,0,1))</f>
        <v>0</v>
      </c>
      <c r="M33" s="43" t="n">
        <f aca="false">J33-B$12</f>
        <v>-12</v>
      </c>
      <c r="N33" s="44" t="n">
        <f aca="false">IF($L33=0,0,bsd(N$23,N$22,$B33,$C33,$M33,$E33,$H33,0.1))</f>
        <v>0</v>
      </c>
      <c r="O33" s="44" t="n">
        <f aca="false">IF($L33=0,0,bsd(O$23,O$22,$B33,$D33,$M33,$F33,$H33,0.1))</f>
        <v>0</v>
      </c>
      <c r="P33" s="44" t="n">
        <f aca="false">IF($L33=0,0,bsd(P$23,P$22,$B33,$C33,$M33,$E33,$H33,0.1))</f>
        <v>0</v>
      </c>
      <c r="Q33" s="44" t="n">
        <f aca="false">IF($L33=0,0,bsd(Q$23,Q$22,$B33,$D33,$M33,$F33,$H33,0.1))</f>
        <v>0</v>
      </c>
      <c r="R33" s="44" t="n">
        <f aca="false">IF($L33=0,0,bsd(R$23,R$22,$B33,$C33,$M33,$E33,$H33,0.1))</f>
        <v>0</v>
      </c>
      <c r="S33" s="44" t="n">
        <f aca="false">IF($L33=0,0,bsd(S$23,S$22,$B33,$D33,$M33,$F33,$H33,0.1))</f>
        <v>0</v>
      </c>
      <c r="T33" s="44" t="n">
        <f aca="false">IF($L33=0,0,bsd(T$23,T$22,$B33,$C33,$M33,$E33,$H33,0.1))</f>
        <v>0</v>
      </c>
      <c r="U33" s="44" t="n">
        <f aca="false">IF($L33=0,0,bsd(U$23,U$22,$B33,$D33,$M33,$F33,$H33,0.1))</f>
        <v>0</v>
      </c>
      <c r="V33" s="44" t="n">
        <f aca="false">IF($L33=0,0,bsd(V$23,V$22,$B33,$C33,$M33,$E33,$H33,0.1))</f>
        <v>0</v>
      </c>
      <c r="W33" s="44" t="n">
        <f aca="false">IF($L33=0,0,bsd(W$23,W$22,$B33,$D33,$M33,$F33,$H33,0.1))</f>
        <v>0</v>
      </c>
      <c r="Y33" s="9"/>
      <c r="Z33" s="9"/>
      <c r="AA33" s="39"/>
      <c r="AD33" s="33"/>
      <c r="AE33" s="45" t="n">
        <f aca="false">$L33*N33</f>
        <v>0</v>
      </c>
      <c r="AF33" s="45" t="n">
        <f aca="false">$L33*P33</f>
        <v>0</v>
      </c>
      <c r="AG33" s="45" t="n">
        <f aca="false">$L33*R33</f>
        <v>0</v>
      </c>
      <c r="AH33" s="45" t="n">
        <f aca="false">$L33*T33</f>
        <v>0</v>
      </c>
      <c r="AI33" s="45" t="n">
        <f aca="false">$L33*V33</f>
        <v>0</v>
      </c>
      <c r="AK33" s="33"/>
      <c r="AL33" s="45" t="n">
        <f aca="false">$L33*O33</f>
        <v>0</v>
      </c>
      <c r="AM33" s="45" t="n">
        <f aca="false">$L33*Q33</f>
        <v>0</v>
      </c>
      <c r="AN33" s="45" t="n">
        <f aca="false">$L33*S33</f>
        <v>0</v>
      </c>
      <c r="AO33" s="45" t="n">
        <f aca="false">$L33*U33</f>
        <v>0</v>
      </c>
      <c r="AP33" s="45" t="n">
        <f aca="false">$L33*W33</f>
        <v>0</v>
      </c>
      <c r="AQ33" s="46"/>
      <c r="AR33" s="45"/>
      <c r="AS33" s="46"/>
      <c r="AT33" s="47"/>
      <c r="AU33" s="47"/>
      <c r="AV33" s="47"/>
    </row>
    <row r="34" customFormat="false" ht="12.75" hidden="false" customHeight="false" outlineLevel="0" collapsed="false">
      <c r="A34" s="39" t="n">
        <f aca="false">A33+1</f>
        <v>10</v>
      </c>
      <c r="B34" s="40" t="n">
        <f aca="false">B33</f>
        <v>4.46</v>
      </c>
      <c r="C34" s="41" t="n">
        <f aca="false">B$6</f>
        <v>4.37</v>
      </c>
      <c r="D34" s="41" t="n">
        <f aca="false">C$6</f>
        <v>4.39</v>
      </c>
      <c r="E34" s="4" t="n">
        <f aca="false">B$8</f>
        <v>0.51</v>
      </c>
      <c r="F34" s="4" t="n">
        <f aca="false">C$8</f>
        <v>0.48</v>
      </c>
      <c r="H34" s="4" t="n">
        <f aca="false">H33</f>
        <v>0.068146567086238</v>
      </c>
      <c r="I34" s="42" t="n">
        <f aca="false">I33+1</f>
        <v>36687</v>
      </c>
      <c r="J34" s="42" t="n">
        <f aca="false">IF(K34=6,I34-1,IF(K34=7,I34-2,I34))</f>
        <v>36686</v>
      </c>
      <c r="K34" s="43" t="n">
        <f aca="false">WEEKDAY(I34,2)</f>
        <v>6</v>
      </c>
      <c r="L34" s="43" t="n">
        <f aca="false">IF(I34&gt;B$11,0,IF(M34&lt;1,0,1))</f>
        <v>0</v>
      </c>
      <c r="M34" s="43" t="n">
        <f aca="false">J34-B$12</f>
        <v>-12</v>
      </c>
      <c r="N34" s="44" t="n">
        <f aca="false">IF($L34=0,0,bsd(N$23,N$22,$B34,$C34,$M34,$E34,$H34,0.1))</f>
        <v>0</v>
      </c>
      <c r="O34" s="44" t="n">
        <f aca="false">IF($L34=0,0,bsd(O$23,O$22,$B34,$D34,$M34,$F34,$H34,0.1))</f>
        <v>0</v>
      </c>
      <c r="P34" s="44" t="n">
        <f aca="false">IF($L34=0,0,bsd(P$23,P$22,$B34,$C34,$M34,$E34,$H34,0.1))</f>
        <v>0</v>
      </c>
      <c r="Q34" s="44" t="n">
        <f aca="false">IF($L34=0,0,bsd(Q$23,Q$22,$B34,$D34,$M34,$F34,$H34,0.1))</f>
        <v>0</v>
      </c>
      <c r="R34" s="44" t="n">
        <f aca="false">IF($L34=0,0,bsd(R$23,R$22,$B34,$C34,$M34,$E34,$H34,0.1))</f>
        <v>0</v>
      </c>
      <c r="S34" s="44" t="n">
        <f aca="false">IF($L34=0,0,bsd(S$23,S$22,$B34,$D34,$M34,$F34,$H34,0.1))</f>
        <v>0</v>
      </c>
      <c r="T34" s="44" t="n">
        <f aca="false">IF($L34=0,0,bsd(T$23,T$22,$B34,$C34,$M34,$E34,$H34,0.1))</f>
        <v>0</v>
      </c>
      <c r="U34" s="44" t="n">
        <f aca="false">IF($L34=0,0,bsd(U$23,U$22,$B34,$D34,$M34,$F34,$H34,0.1))</f>
        <v>0</v>
      </c>
      <c r="V34" s="44" t="n">
        <f aca="false">IF($L34=0,0,bsd(V$23,V$22,$B34,$C34,$M34,$E34,$H34,0.1))</f>
        <v>0</v>
      </c>
      <c r="W34" s="44" t="n">
        <f aca="false">IF($L34=0,0,bsd(W$23,W$22,$B34,$D34,$M34,$F34,$H34,0.1))</f>
        <v>0</v>
      </c>
      <c r="Y34" s="9"/>
      <c r="Z34" s="9"/>
      <c r="AA34" s="39"/>
      <c r="AD34" s="33"/>
      <c r="AE34" s="45" t="n">
        <f aca="false">$L34*N34</f>
        <v>0</v>
      </c>
      <c r="AF34" s="45" t="n">
        <f aca="false">$L34*P34</f>
        <v>0</v>
      </c>
      <c r="AG34" s="45" t="n">
        <f aca="false">$L34*R34</f>
        <v>0</v>
      </c>
      <c r="AH34" s="45" t="n">
        <f aca="false">$L34*T34</f>
        <v>0</v>
      </c>
      <c r="AI34" s="45" t="n">
        <f aca="false">$L34*V34</f>
        <v>0</v>
      </c>
      <c r="AK34" s="33"/>
      <c r="AL34" s="45" t="n">
        <f aca="false">$L34*O34</f>
        <v>0</v>
      </c>
      <c r="AM34" s="45" t="n">
        <f aca="false">$L34*Q34</f>
        <v>0</v>
      </c>
      <c r="AN34" s="45" t="n">
        <f aca="false">$L34*S34</f>
        <v>0</v>
      </c>
      <c r="AO34" s="45" t="n">
        <f aca="false">$L34*U34</f>
        <v>0</v>
      </c>
      <c r="AP34" s="45" t="n">
        <f aca="false">$L34*W34</f>
        <v>0</v>
      </c>
      <c r="AQ34" s="46"/>
      <c r="AR34" s="45"/>
      <c r="AS34" s="46"/>
      <c r="AT34" s="47"/>
      <c r="AU34" s="47"/>
      <c r="AV34" s="47"/>
    </row>
    <row r="35" customFormat="false" ht="12.75" hidden="false" customHeight="false" outlineLevel="0" collapsed="false">
      <c r="A35" s="39" t="n">
        <f aca="false">A34+1</f>
        <v>11</v>
      </c>
      <c r="B35" s="40" t="n">
        <f aca="false">B34</f>
        <v>4.46</v>
      </c>
      <c r="C35" s="41" t="n">
        <f aca="false">B$6</f>
        <v>4.37</v>
      </c>
      <c r="D35" s="41" t="n">
        <f aca="false">C$6</f>
        <v>4.39</v>
      </c>
      <c r="E35" s="4" t="n">
        <f aca="false">B$8</f>
        <v>0.51</v>
      </c>
      <c r="F35" s="4" t="n">
        <f aca="false">C$8</f>
        <v>0.48</v>
      </c>
      <c r="H35" s="4" t="n">
        <f aca="false">H34</f>
        <v>0.068146567086238</v>
      </c>
      <c r="I35" s="42" t="n">
        <f aca="false">I34+1</f>
        <v>36688</v>
      </c>
      <c r="J35" s="42" t="n">
        <f aca="false">IF(K35=6,I35-1,IF(K35=7,I35-2,I35))</f>
        <v>36686</v>
      </c>
      <c r="K35" s="43" t="n">
        <f aca="false">WEEKDAY(I35,2)</f>
        <v>7</v>
      </c>
      <c r="L35" s="43" t="n">
        <f aca="false">IF(I35&gt;B$11,0,IF(M35&lt;1,0,1))</f>
        <v>0</v>
      </c>
      <c r="M35" s="43" t="n">
        <f aca="false">J35-B$12</f>
        <v>-12</v>
      </c>
      <c r="N35" s="44" t="n">
        <f aca="false">IF($L35=0,0,bsd(N$23,N$22,$B35,$C35,$M35,$E35,$H35,0.1))</f>
        <v>0</v>
      </c>
      <c r="O35" s="44" t="n">
        <f aca="false">IF($L35=0,0,bsd(O$23,O$22,$B35,$D35,$M35,$F35,$H35,0.1))</f>
        <v>0</v>
      </c>
      <c r="P35" s="44" t="n">
        <f aca="false">IF($L35=0,0,bsd(P$23,P$22,$B35,$C35,$M35,$E35,$H35,0.1))</f>
        <v>0</v>
      </c>
      <c r="Q35" s="44" t="n">
        <f aca="false">IF($L35=0,0,bsd(Q$23,Q$22,$B35,$D35,$M35,$F35,$H35,0.1))</f>
        <v>0</v>
      </c>
      <c r="R35" s="44" t="n">
        <f aca="false">IF($L35=0,0,bsd(R$23,R$22,$B35,$C35,$M35,$E35,$H35,0.1))</f>
        <v>0</v>
      </c>
      <c r="S35" s="44" t="n">
        <f aca="false">IF($L35=0,0,bsd(S$23,S$22,$B35,$D35,$M35,$F35,$H35,0.1))</f>
        <v>0</v>
      </c>
      <c r="T35" s="44" t="n">
        <f aca="false">IF($L35=0,0,bsd(T$23,T$22,$B35,$C35,$M35,$E35,$H35,0.1))</f>
        <v>0</v>
      </c>
      <c r="U35" s="44" t="n">
        <f aca="false">IF($L35=0,0,bsd(U$23,U$22,$B35,$D35,$M35,$F35,$H35,0.1))</f>
        <v>0</v>
      </c>
      <c r="V35" s="44" t="n">
        <f aca="false">IF($L35=0,0,bsd(V$23,V$22,$B35,$C35,$M35,$E35,$H35,0.1))</f>
        <v>0</v>
      </c>
      <c r="W35" s="44" t="n">
        <f aca="false">IF($L35=0,0,bsd(W$23,W$22,$B35,$D35,$M35,$F35,$H35,0.1))</f>
        <v>0</v>
      </c>
      <c r="Y35" s="9"/>
      <c r="Z35" s="9"/>
      <c r="AA35" s="39"/>
      <c r="AD35" s="33"/>
      <c r="AE35" s="45" t="n">
        <f aca="false">$L35*N35</f>
        <v>0</v>
      </c>
      <c r="AF35" s="45" t="n">
        <f aca="false">$L35*P35</f>
        <v>0</v>
      </c>
      <c r="AG35" s="45" t="n">
        <f aca="false">$L35*R35</f>
        <v>0</v>
      </c>
      <c r="AH35" s="45" t="n">
        <f aca="false">$L35*T35</f>
        <v>0</v>
      </c>
      <c r="AI35" s="45" t="n">
        <f aca="false">$L35*V35</f>
        <v>0</v>
      </c>
      <c r="AK35" s="33"/>
      <c r="AL35" s="45" t="n">
        <f aca="false">$L35*O35</f>
        <v>0</v>
      </c>
      <c r="AM35" s="45" t="n">
        <f aca="false">$L35*Q35</f>
        <v>0</v>
      </c>
      <c r="AN35" s="45" t="n">
        <f aca="false">$L35*S35</f>
        <v>0</v>
      </c>
      <c r="AO35" s="45" t="n">
        <f aca="false">$L35*U35</f>
        <v>0</v>
      </c>
      <c r="AP35" s="45" t="n">
        <f aca="false">$L35*W35</f>
        <v>0</v>
      </c>
      <c r="AQ35" s="46"/>
      <c r="AR35" s="45"/>
      <c r="AS35" s="46"/>
      <c r="AT35" s="47"/>
      <c r="AU35" s="47"/>
      <c r="AV35" s="47"/>
    </row>
    <row r="36" customFormat="false" ht="12.75" hidden="false" customHeight="false" outlineLevel="0" collapsed="false">
      <c r="A36" s="39" t="n">
        <f aca="false">A35+1</f>
        <v>12</v>
      </c>
      <c r="B36" s="40" t="n">
        <f aca="false">B35</f>
        <v>4.46</v>
      </c>
      <c r="C36" s="41" t="n">
        <f aca="false">B$6</f>
        <v>4.37</v>
      </c>
      <c r="D36" s="41" t="n">
        <f aca="false">C$6</f>
        <v>4.39</v>
      </c>
      <c r="E36" s="4" t="n">
        <f aca="false">B$8</f>
        <v>0.51</v>
      </c>
      <c r="F36" s="4" t="n">
        <f aca="false">C$8</f>
        <v>0.48</v>
      </c>
      <c r="H36" s="4" t="n">
        <f aca="false">H35</f>
        <v>0.068146567086238</v>
      </c>
      <c r="I36" s="42" t="n">
        <f aca="false">I35+1</f>
        <v>36689</v>
      </c>
      <c r="J36" s="42" t="n">
        <f aca="false">IF(K36=6,I36-1,IF(K36=7,I36-2,I36))</f>
        <v>36689</v>
      </c>
      <c r="K36" s="43" t="n">
        <f aca="false">WEEKDAY(I36,2)</f>
        <v>1</v>
      </c>
      <c r="L36" s="43" t="n">
        <f aca="false">IF(I36&gt;B$11,0,IF(M36&lt;1,0,1))</f>
        <v>0</v>
      </c>
      <c r="M36" s="43" t="n">
        <f aca="false">J36-B$12</f>
        <v>-9</v>
      </c>
      <c r="N36" s="44" t="n">
        <f aca="false">IF($L36=0,0,bsd(N$23,N$22,$B36,$C36,$M36,$E36,$H36,0.1))</f>
        <v>0</v>
      </c>
      <c r="O36" s="44" t="n">
        <f aca="false">IF($L36=0,0,bsd(O$23,O$22,$B36,$D36,$M36,$F36,$H36,0.1))</f>
        <v>0</v>
      </c>
      <c r="P36" s="44" t="n">
        <f aca="false">IF($L36=0,0,bsd(P$23,P$22,$B36,$C36,$M36,$E36,$H36,0.1))</f>
        <v>0</v>
      </c>
      <c r="Q36" s="44" t="n">
        <f aca="false">IF($L36=0,0,bsd(Q$23,Q$22,$B36,$D36,$M36,$F36,$H36,0.1))</f>
        <v>0</v>
      </c>
      <c r="R36" s="44" t="n">
        <f aca="false">IF($L36=0,0,bsd(R$23,R$22,$B36,$C36,$M36,$E36,$H36,0.1))</f>
        <v>0</v>
      </c>
      <c r="S36" s="44" t="n">
        <f aca="false">IF($L36=0,0,bsd(S$23,S$22,$B36,$D36,$M36,$F36,$H36,0.1))</f>
        <v>0</v>
      </c>
      <c r="T36" s="44" t="n">
        <f aca="false">IF($L36=0,0,bsd(T$23,T$22,$B36,$C36,$M36,$E36,$H36,0.1))</f>
        <v>0</v>
      </c>
      <c r="U36" s="44" t="n">
        <f aca="false">IF($L36=0,0,bsd(U$23,U$22,$B36,$D36,$M36,$F36,$H36,0.1))</f>
        <v>0</v>
      </c>
      <c r="V36" s="44" t="n">
        <f aca="false">IF($L36=0,0,bsd(V$23,V$22,$B36,$C36,$M36,$E36,$H36,0.1))</f>
        <v>0</v>
      </c>
      <c r="W36" s="44" t="n">
        <f aca="false">IF($L36=0,0,bsd(W$23,W$22,$B36,$D36,$M36,$F36,$H36,0.1))</f>
        <v>0</v>
      </c>
      <c r="Y36" s="9"/>
      <c r="Z36" s="9"/>
      <c r="AA36" s="39"/>
      <c r="AD36" s="33"/>
      <c r="AE36" s="45" t="n">
        <f aca="false">$L36*N36</f>
        <v>0</v>
      </c>
      <c r="AF36" s="45" t="n">
        <f aca="false">$L36*P36</f>
        <v>0</v>
      </c>
      <c r="AG36" s="45" t="n">
        <f aca="false">$L36*R36</f>
        <v>0</v>
      </c>
      <c r="AH36" s="45" t="n">
        <f aca="false">$L36*T36</f>
        <v>0</v>
      </c>
      <c r="AI36" s="45" t="n">
        <f aca="false">$L36*V36</f>
        <v>0</v>
      </c>
      <c r="AK36" s="33"/>
      <c r="AL36" s="45" t="n">
        <f aca="false">$L36*O36</f>
        <v>0</v>
      </c>
      <c r="AM36" s="45" t="n">
        <f aca="false">$L36*Q36</f>
        <v>0</v>
      </c>
      <c r="AN36" s="45" t="n">
        <f aca="false">$L36*S36</f>
        <v>0</v>
      </c>
      <c r="AO36" s="45" t="n">
        <f aca="false">$L36*U36</f>
        <v>0</v>
      </c>
      <c r="AP36" s="45" t="n">
        <f aca="false">$L36*W36</f>
        <v>0</v>
      </c>
      <c r="AQ36" s="46"/>
      <c r="AR36" s="45"/>
      <c r="AS36" s="46"/>
      <c r="AT36" s="47"/>
      <c r="AU36" s="47"/>
      <c r="AV36" s="47"/>
    </row>
    <row r="37" customFormat="false" ht="12.75" hidden="false" customHeight="false" outlineLevel="0" collapsed="false">
      <c r="A37" s="39" t="n">
        <f aca="false">A36+1</f>
        <v>13</v>
      </c>
      <c r="B37" s="40" t="n">
        <f aca="false">B36</f>
        <v>4.46</v>
      </c>
      <c r="C37" s="41" t="n">
        <f aca="false">B$6</f>
        <v>4.37</v>
      </c>
      <c r="D37" s="41" t="n">
        <f aca="false">C$6</f>
        <v>4.39</v>
      </c>
      <c r="E37" s="4" t="n">
        <f aca="false">B$8</f>
        <v>0.51</v>
      </c>
      <c r="F37" s="4" t="n">
        <f aca="false">C$8</f>
        <v>0.48</v>
      </c>
      <c r="H37" s="4" t="n">
        <f aca="false">H36</f>
        <v>0.068146567086238</v>
      </c>
      <c r="I37" s="42" t="n">
        <f aca="false">I36+1</f>
        <v>36690</v>
      </c>
      <c r="J37" s="42" t="n">
        <f aca="false">IF(K37=6,I37-1,IF(K37=7,I37-2,I37))</f>
        <v>36690</v>
      </c>
      <c r="K37" s="43" t="n">
        <f aca="false">WEEKDAY(I37,2)</f>
        <v>2</v>
      </c>
      <c r="L37" s="43" t="n">
        <f aca="false">IF(I37&gt;B$11,0,IF(M37&lt;1,0,1))</f>
        <v>0</v>
      </c>
      <c r="M37" s="43" t="n">
        <f aca="false">J37-B$12</f>
        <v>-8</v>
      </c>
      <c r="N37" s="44" t="n">
        <f aca="false">IF($L37=0,0,bsd(N$23,N$22,$B37,$C37,$M37,$E37,$H37,0.1))</f>
        <v>0</v>
      </c>
      <c r="O37" s="44" t="n">
        <f aca="false">IF($L37=0,0,bsd(O$23,O$22,$B37,$D37,$M37,$F37,$H37,0.1))</f>
        <v>0</v>
      </c>
      <c r="P37" s="44" t="n">
        <f aca="false">IF($L37=0,0,bsd(P$23,P$22,$B37,$C37,$M37,$E37,$H37,0.1))</f>
        <v>0</v>
      </c>
      <c r="Q37" s="44" t="n">
        <f aca="false">IF($L37=0,0,bsd(Q$23,Q$22,$B37,$D37,$M37,$F37,$H37,0.1))</f>
        <v>0</v>
      </c>
      <c r="R37" s="44" t="n">
        <f aca="false">IF($L37=0,0,bsd(R$23,R$22,$B37,$C37,$M37,$E37,$H37,0.1))</f>
        <v>0</v>
      </c>
      <c r="S37" s="44" t="n">
        <f aca="false">IF($L37=0,0,bsd(S$23,S$22,$B37,$D37,$M37,$F37,$H37,0.1))</f>
        <v>0</v>
      </c>
      <c r="T37" s="44" t="n">
        <f aca="false">IF($L37=0,0,bsd(T$23,T$22,$B37,$C37,$M37,$E37,$H37,0.1))</f>
        <v>0</v>
      </c>
      <c r="U37" s="44" t="n">
        <f aca="false">IF($L37=0,0,bsd(U$23,U$22,$B37,$D37,$M37,$F37,$H37,0.1))</f>
        <v>0</v>
      </c>
      <c r="V37" s="44" t="n">
        <f aca="false">IF($L37=0,0,bsd(V$23,V$22,$B37,$C37,$M37,$E37,$H37,0.1))</f>
        <v>0</v>
      </c>
      <c r="W37" s="44" t="n">
        <f aca="false">IF($L37=0,0,bsd(W$23,W$22,$B37,$D37,$M37,$F37,$H37,0.1))</f>
        <v>0</v>
      </c>
      <c r="Y37" s="9"/>
      <c r="Z37" s="9"/>
      <c r="AA37" s="39"/>
      <c r="AD37" s="33"/>
      <c r="AE37" s="45" t="n">
        <f aca="false">$L37*N37</f>
        <v>0</v>
      </c>
      <c r="AF37" s="45" t="n">
        <f aca="false">$L37*P37</f>
        <v>0</v>
      </c>
      <c r="AG37" s="45" t="n">
        <f aca="false">$L37*R37</f>
        <v>0</v>
      </c>
      <c r="AH37" s="45" t="n">
        <f aca="false">$L37*T37</f>
        <v>0</v>
      </c>
      <c r="AI37" s="45" t="n">
        <f aca="false">$L37*V37</f>
        <v>0</v>
      </c>
      <c r="AK37" s="33"/>
      <c r="AL37" s="45" t="n">
        <f aca="false">$L37*O37</f>
        <v>0</v>
      </c>
      <c r="AM37" s="45" t="n">
        <f aca="false">$L37*Q37</f>
        <v>0</v>
      </c>
      <c r="AN37" s="45" t="n">
        <f aca="false">$L37*S37</f>
        <v>0</v>
      </c>
      <c r="AO37" s="45" t="n">
        <f aca="false">$L37*U37</f>
        <v>0</v>
      </c>
      <c r="AP37" s="45" t="n">
        <f aca="false">$L37*W37</f>
        <v>0</v>
      </c>
      <c r="AQ37" s="46"/>
      <c r="AR37" s="45"/>
      <c r="AS37" s="46"/>
      <c r="AT37" s="47"/>
      <c r="AU37" s="47"/>
      <c r="AV37" s="47"/>
    </row>
    <row r="38" customFormat="false" ht="12.75" hidden="false" customHeight="false" outlineLevel="0" collapsed="false">
      <c r="A38" s="39" t="n">
        <f aca="false">A37+1</f>
        <v>14</v>
      </c>
      <c r="B38" s="40" t="n">
        <f aca="false">B37</f>
        <v>4.46</v>
      </c>
      <c r="C38" s="41" t="n">
        <f aca="false">B$6</f>
        <v>4.37</v>
      </c>
      <c r="D38" s="41" t="n">
        <f aca="false">C$6</f>
        <v>4.39</v>
      </c>
      <c r="E38" s="4" t="n">
        <f aca="false">B$8</f>
        <v>0.51</v>
      </c>
      <c r="F38" s="4" t="n">
        <f aca="false">C$8</f>
        <v>0.48</v>
      </c>
      <c r="H38" s="4" t="n">
        <f aca="false">H37</f>
        <v>0.068146567086238</v>
      </c>
      <c r="I38" s="42" t="n">
        <f aca="false">I37+1</f>
        <v>36691</v>
      </c>
      <c r="J38" s="42" t="n">
        <f aca="false">IF(K38=6,I38-1,IF(K38=7,I38-2,I38))</f>
        <v>36691</v>
      </c>
      <c r="K38" s="43" t="n">
        <f aca="false">WEEKDAY(I38,2)</f>
        <v>3</v>
      </c>
      <c r="L38" s="43" t="n">
        <f aca="false">IF(I38&gt;B$11,0,IF(M38&lt;1,0,1))</f>
        <v>0</v>
      </c>
      <c r="M38" s="43" t="n">
        <f aca="false">J38-B$12</f>
        <v>-7</v>
      </c>
      <c r="N38" s="44" t="n">
        <f aca="false">IF($L38=0,0,bsd(N$23,N$22,$B38,$C38,$M38,$E38,$H38,0.1))</f>
        <v>0</v>
      </c>
      <c r="O38" s="44" t="n">
        <f aca="false">IF($L38=0,0,bsd(O$23,O$22,$B38,$D38,$M38,$F38,$H38,0.1))</f>
        <v>0</v>
      </c>
      <c r="P38" s="44" t="n">
        <f aca="false">IF($L38=0,0,bsd(P$23,P$22,$B38,$C38,$M38,$E38,$H38,0.1))</f>
        <v>0</v>
      </c>
      <c r="Q38" s="44" t="n">
        <f aca="false">IF($L38=0,0,bsd(Q$23,Q$22,$B38,$D38,$M38,$F38,$H38,0.1))</f>
        <v>0</v>
      </c>
      <c r="R38" s="44" t="n">
        <f aca="false">IF($L38=0,0,bsd(R$23,R$22,$B38,$C38,$M38,$E38,$H38,0.1))</f>
        <v>0</v>
      </c>
      <c r="S38" s="44" t="n">
        <f aca="false">IF($L38=0,0,bsd(S$23,S$22,$B38,$D38,$M38,$F38,$H38,0.1))</f>
        <v>0</v>
      </c>
      <c r="T38" s="44" t="n">
        <f aca="false">IF($L38=0,0,bsd(T$23,T$22,$B38,$C38,$M38,$E38,$H38,0.1))</f>
        <v>0</v>
      </c>
      <c r="U38" s="44" t="n">
        <f aca="false">IF($L38=0,0,bsd(U$23,U$22,$B38,$D38,$M38,$F38,$H38,0.1))</f>
        <v>0</v>
      </c>
      <c r="V38" s="44" t="n">
        <f aca="false">IF($L38=0,0,bsd(V$23,V$22,$B38,$C38,$M38,$E38,$H38,0.1))</f>
        <v>0</v>
      </c>
      <c r="W38" s="44" t="n">
        <f aca="false">IF($L38=0,0,bsd(W$23,W$22,$B38,$D38,$M38,$F38,$H38,0.1))</f>
        <v>0</v>
      </c>
      <c r="Y38" s="9"/>
      <c r="Z38" s="9"/>
      <c r="AA38" s="39"/>
      <c r="AD38" s="33"/>
      <c r="AE38" s="45" t="n">
        <f aca="false">$L38*N38</f>
        <v>0</v>
      </c>
      <c r="AF38" s="45" t="n">
        <f aca="false">$L38*P38</f>
        <v>0</v>
      </c>
      <c r="AG38" s="45" t="n">
        <f aca="false">$L38*R38</f>
        <v>0</v>
      </c>
      <c r="AH38" s="45" t="n">
        <f aca="false">$L38*T38</f>
        <v>0</v>
      </c>
      <c r="AI38" s="45" t="n">
        <f aca="false">$L38*V38</f>
        <v>0</v>
      </c>
      <c r="AK38" s="33"/>
      <c r="AL38" s="45" t="n">
        <f aca="false">$L38*O38</f>
        <v>0</v>
      </c>
      <c r="AM38" s="45" t="n">
        <f aca="false">$L38*Q38</f>
        <v>0</v>
      </c>
      <c r="AN38" s="45" t="n">
        <f aca="false">$L38*S38</f>
        <v>0</v>
      </c>
      <c r="AO38" s="45" t="n">
        <f aca="false">$L38*U38</f>
        <v>0</v>
      </c>
      <c r="AP38" s="45" t="n">
        <f aca="false">$L38*W38</f>
        <v>0</v>
      </c>
      <c r="AQ38" s="46"/>
      <c r="AR38" s="45"/>
      <c r="AS38" s="46"/>
      <c r="AT38" s="47"/>
      <c r="AU38" s="47"/>
      <c r="AV38" s="47"/>
    </row>
    <row r="39" customFormat="false" ht="12.75" hidden="false" customHeight="false" outlineLevel="0" collapsed="false">
      <c r="A39" s="39" t="n">
        <f aca="false">A38+1</f>
        <v>15</v>
      </c>
      <c r="B39" s="40" t="n">
        <f aca="false">B38</f>
        <v>4.46</v>
      </c>
      <c r="C39" s="41" t="n">
        <f aca="false">B$6</f>
        <v>4.37</v>
      </c>
      <c r="D39" s="41" t="n">
        <f aca="false">C$6</f>
        <v>4.39</v>
      </c>
      <c r="E39" s="4" t="n">
        <f aca="false">B$8</f>
        <v>0.51</v>
      </c>
      <c r="F39" s="4" t="n">
        <f aca="false">C$8</f>
        <v>0.48</v>
      </c>
      <c r="H39" s="4" t="n">
        <f aca="false">H38</f>
        <v>0.068146567086238</v>
      </c>
      <c r="I39" s="42" t="n">
        <f aca="false">I38+1</f>
        <v>36692</v>
      </c>
      <c r="J39" s="42" t="n">
        <f aca="false">IF(K39=6,I39-1,IF(K39=7,I39-2,I39))</f>
        <v>36692</v>
      </c>
      <c r="K39" s="43" t="n">
        <f aca="false">WEEKDAY(I39,2)</f>
        <v>4</v>
      </c>
      <c r="L39" s="43" t="n">
        <f aca="false">IF(I39&gt;B$11,0,IF(M39&lt;1,0,1))</f>
        <v>0</v>
      </c>
      <c r="M39" s="43" t="n">
        <f aca="false">J39-B$12</f>
        <v>-6</v>
      </c>
      <c r="N39" s="44" t="n">
        <f aca="false">IF($L39=0,0,bsd(N$23,N$22,$B39,$C39,$M39,$E39,$H39,0.1))</f>
        <v>0</v>
      </c>
      <c r="O39" s="44" t="n">
        <f aca="false">IF($L39=0,0,bsd(O$23,O$22,$B39,$D39,$M39,$F39,$H39,0.1))</f>
        <v>0</v>
      </c>
      <c r="P39" s="44" t="n">
        <f aca="false">IF($L39=0,0,bsd(P$23,P$22,$B39,$C39,$M39,$E39,$H39,0.1))</f>
        <v>0</v>
      </c>
      <c r="Q39" s="44" t="n">
        <f aca="false">IF($L39=0,0,bsd(Q$23,Q$22,$B39,$D39,$M39,$F39,$H39,0.1))</f>
        <v>0</v>
      </c>
      <c r="R39" s="44" t="n">
        <f aca="false">IF($L39=0,0,bsd(R$23,R$22,$B39,$C39,$M39,$E39,$H39,0.1))</f>
        <v>0</v>
      </c>
      <c r="S39" s="44" t="n">
        <f aca="false">IF($L39=0,0,bsd(S$23,S$22,$B39,$D39,$M39,$F39,$H39,0.1))</f>
        <v>0</v>
      </c>
      <c r="T39" s="44" t="n">
        <f aca="false">IF($L39=0,0,bsd(T$23,T$22,$B39,$C39,$M39,$E39,$H39,0.1))</f>
        <v>0</v>
      </c>
      <c r="U39" s="44" t="n">
        <f aca="false">IF($L39=0,0,bsd(U$23,U$22,$B39,$D39,$M39,$F39,$H39,0.1))</f>
        <v>0</v>
      </c>
      <c r="V39" s="44" t="n">
        <f aca="false">IF($L39=0,0,bsd(V$23,V$22,$B39,$C39,$M39,$E39,$H39,0.1))</f>
        <v>0</v>
      </c>
      <c r="W39" s="44" t="n">
        <f aca="false">IF($L39=0,0,bsd(W$23,W$22,$B39,$D39,$M39,$F39,$H39,0.1))</f>
        <v>0</v>
      </c>
      <c r="Y39" s="9"/>
      <c r="Z39" s="9"/>
      <c r="AA39" s="39"/>
      <c r="AD39" s="33"/>
      <c r="AE39" s="45" t="n">
        <f aca="false">$L39*N39</f>
        <v>0</v>
      </c>
      <c r="AF39" s="45" t="n">
        <f aca="false">$L39*P39</f>
        <v>0</v>
      </c>
      <c r="AG39" s="45" t="n">
        <f aca="false">$L39*R39</f>
        <v>0</v>
      </c>
      <c r="AH39" s="45" t="n">
        <f aca="false">$L39*T39</f>
        <v>0</v>
      </c>
      <c r="AI39" s="45" t="n">
        <f aca="false">$L39*V39</f>
        <v>0</v>
      </c>
      <c r="AK39" s="33"/>
      <c r="AL39" s="45" t="n">
        <f aca="false">$L39*O39</f>
        <v>0</v>
      </c>
      <c r="AM39" s="45" t="n">
        <f aca="false">$L39*Q39</f>
        <v>0</v>
      </c>
      <c r="AN39" s="45" t="n">
        <f aca="false">$L39*S39</f>
        <v>0</v>
      </c>
      <c r="AO39" s="45" t="n">
        <f aca="false">$L39*U39</f>
        <v>0</v>
      </c>
      <c r="AP39" s="45" t="n">
        <f aca="false">$L39*W39</f>
        <v>0</v>
      </c>
      <c r="AQ39" s="46"/>
      <c r="AR39" s="45"/>
      <c r="AS39" s="46"/>
      <c r="AT39" s="47"/>
      <c r="AU39" s="47"/>
      <c r="AV39" s="47"/>
    </row>
    <row r="40" customFormat="false" ht="12.75" hidden="false" customHeight="false" outlineLevel="0" collapsed="false">
      <c r="A40" s="39" t="n">
        <f aca="false">A39+1</f>
        <v>16</v>
      </c>
      <c r="B40" s="40" t="n">
        <f aca="false">B39</f>
        <v>4.46</v>
      </c>
      <c r="C40" s="41" t="n">
        <f aca="false">B$6</f>
        <v>4.37</v>
      </c>
      <c r="D40" s="41" t="n">
        <f aca="false">C$6</f>
        <v>4.39</v>
      </c>
      <c r="E40" s="4" t="n">
        <f aca="false">B$8</f>
        <v>0.51</v>
      </c>
      <c r="F40" s="4" t="n">
        <f aca="false">C$8</f>
        <v>0.48</v>
      </c>
      <c r="H40" s="4" t="n">
        <f aca="false">H39</f>
        <v>0.068146567086238</v>
      </c>
      <c r="I40" s="42" t="n">
        <f aca="false">I39+1</f>
        <v>36693</v>
      </c>
      <c r="J40" s="42" t="n">
        <f aca="false">IF(K40=6,I40-1,IF(K40=7,I40-2,I40))</f>
        <v>36693</v>
      </c>
      <c r="K40" s="43" t="n">
        <f aca="false">WEEKDAY(I40,2)</f>
        <v>5</v>
      </c>
      <c r="L40" s="43" t="n">
        <f aca="false">IF(I40&gt;B$11,0,IF(M40&lt;1,0,1))</f>
        <v>0</v>
      </c>
      <c r="M40" s="43" t="n">
        <f aca="false">J40-B$12</f>
        <v>-5</v>
      </c>
      <c r="N40" s="44" t="n">
        <f aca="false">IF($L40=0,0,bsd(N$23,N$22,$B40,$C40,$M40,$E40,$H40,0.1))</f>
        <v>0</v>
      </c>
      <c r="O40" s="44" t="n">
        <f aca="false">IF($L40=0,0,bsd(O$23,O$22,$B40,$D40,$M40,$F40,$H40,0.1))</f>
        <v>0</v>
      </c>
      <c r="P40" s="44" t="n">
        <f aca="false">IF($L40=0,0,bsd(P$23,P$22,$B40,$C40,$M40,$E40,$H40,0.1))</f>
        <v>0</v>
      </c>
      <c r="Q40" s="44" t="n">
        <f aca="false">IF($L40=0,0,bsd(Q$23,Q$22,$B40,$D40,$M40,$F40,$H40,0.1))</f>
        <v>0</v>
      </c>
      <c r="R40" s="44" t="n">
        <f aca="false">IF($L40=0,0,bsd(R$23,R$22,$B40,$C40,$M40,$E40,$H40,0.1))</f>
        <v>0</v>
      </c>
      <c r="S40" s="44" t="n">
        <f aca="false">IF($L40=0,0,bsd(S$23,S$22,$B40,$D40,$M40,$F40,$H40,0.1))</f>
        <v>0</v>
      </c>
      <c r="T40" s="44" t="n">
        <f aca="false">IF($L40=0,0,bsd(T$23,T$22,$B40,$C40,$M40,$E40,$H40,0.1))</f>
        <v>0</v>
      </c>
      <c r="U40" s="44" t="n">
        <f aca="false">IF($L40=0,0,bsd(U$23,U$22,$B40,$D40,$M40,$F40,$H40,0.1))</f>
        <v>0</v>
      </c>
      <c r="V40" s="44" t="n">
        <f aca="false">IF($L40=0,0,bsd(V$23,V$22,$B40,$C40,$M40,$E40,$H40,0.1))</f>
        <v>0</v>
      </c>
      <c r="W40" s="44" t="n">
        <f aca="false">IF($L40=0,0,bsd(W$23,W$22,$B40,$D40,$M40,$F40,$H40,0.1))</f>
        <v>0</v>
      </c>
      <c r="Y40" s="9"/>
      <c r="Z40" s="9"/>
      <c r="AA40" s="39"/>
      <c r="AD40" s="33"/>
      <c r="AE40" s="45" t="n">
        <f aca="false">$L40*N40</f>
        <v>0</v>
      </c>
      <c r="AF40" s="45" t="n">
        <f aca="false">$L40*P40</f>
        <v>0</v>
      </c>
      <c r="AG40" s="45" t="n">
        <f aca="false">$L40*R40</f>
        <v>0</v>
      </c>
      <c r="AH40" s="45" t="n">
        <f aca="false">$L40*T40</f>
        <v>0</v>
      </c>
      <c r="AI40" s="45" t="n">
        <f aca="false">$L40*V40</f>
        <v>0</v>
      </c>
      <c r="AK40" s="33"/>
      <c r="AL40" s="45" t="n">
        <f aca="false">$L40*O40</f>
        <v>0</v>
      </c>
      <c r="AM40" s="45" t="n">
        <f aca="false">$L40*Q40</f>
        <v>0</v>
      </c>
      <c r="AN40" s="45" t="n">
        <f aca="false">$L40*S40</f>
        <v>0</v>
      </c>
      <c r="AO40" s="45" t="n">
        <f aca="false">$L40*U40</f>
        <v>0</v>
      </c>
      <c r="AP40" s="45" t="n">
        <f aca="false">$L40*W40</f>
        <v>0</v>
      </c>
      <c r="AQ40" s="46"/>
      <c r="AR40" s="45"/>
      <c r="AS40" s="46"/>
      <c r="AT40" s="47"/>
      <c r="AU40" s="47"/>
      <c r="AV40" s="47"/>
    </row>
    <row r="41" customFormat="false" ht="12.75" hidden="false" customHeight="false" outlineLevel="0" collapsed="false">
      <c r="A41" s="39" t="n">
        <f aca="false">A40+1</f>
        <v>17</v>
      </c>
      <c r="B41" s="40" t="n">
        <f aca="false">B40</f>
        <v>4.46</v>
      </c>
      <c r="C41" s="41" t="n">
        <f aca="false">B$6</f>
        <v>4.37</v>
      </c>
      <c r="D41" s="41" t="n">
        <f aca="false">C$6</f>
        <v>4.39</v>
      </c>
      <c r="E41" s="4" t="n">
        <f aca="false">B$8</f>
        <v>0.51</v>
      </c>
      <c r="F41" s="4" t="n">
        <f aca="false">C$8</f>
        <v>0.48</v>
      </c>
      <c r="H41" s="4" t="n">
        <f aca="false">H40</f>
        <v>0.068146567086238</v>
      </c>
      <c r="I41" s="42" t="n">
        <f aca="false">I40+1</f>
        <v>36694</v>
      </c>
      <c r="J41" s="42" t="n">
        <f aca="false">IF(K41=6,I41-1,IF(K41=7,I41-2,I41))</f>
        <v>36693</v>
      </c>
      <c r="K41" s="43" t="n">
        <f aca="false">WEEKDAY(I41,2)</f>
        <v>6</v>
      </c>
      <c r="L41" s="43" t="n">
        <f aca="false">IF(I41&gt;B$11,0,IF(M41&lt;1,0,1))</f>
        <v>0</v>
      </c>
      <c r="M41" s="43" t="n">
        <f aca="false">J41-B$12</f>
        <v>-5</v>
      </c>
      <c r="N41" s="44" t="n">
        <f aca="false">IF($L41=0,0,bsd(N$23,N$22,$B41,$C41,$M41,$E41,$H41,0.1))</f>
        <v>0</v>
      </c>
      <c r="O41" s="44" t="n">
        <f aca="false">IF($L41=0,0,bsd(O$23,O$22,$B41,$D41,$M41,$F41,$H41,0.1))</f>
        <v>0</v>
      </c>
      <c r="P41" s="44" t="n">
        <f aca="false">IF($L41=0,0,bsd(P$23,P$22,$B41,$C41,$M41,$E41,$H41,0.1))</f>
        <v>0</v>
      </c>
      <c r="Q41" s="44" t="n">
        <f aca="false">IF($L41=0,0,bsd(Q$23,Q$22,$B41,$D41,$M41,$F41,$H41,0.1))</f>
        <v>0</v>
      </c>
      <c r="R41" s="44" t="n">
        <f aca="false">IF($L41=0,0,bsd(R$23,R$22,$B41,$C41,$M41,$E41,$H41,0.1))</f>
        <v>0</v>
      </c>
      <c r="S41" s="44" t="n">
        <f aca="false">IF($L41=0,0,bsd(S$23,S$22,$B41,$D41,$M41,$F41,$H41,0.1))</f>
        <v>0</v>
      </c>
      <c r="T41" s="44" t="n">
        <f aca="false">IF($L41=0,0,bsd(T$23,T$22,$B41,$C41,$M41,$E41,$H41,0.1))</f>
        <v>0</v>
      </c>
      <c r="U41" s="44" t="n">
        <f aca="false">IF($L41=0,0,bsd(U$23,U$22,$B41,$D41,$M41,$F41,$H41,0.1))</f>
        <v>0</v>
      </c>
      <c r="V41" s="44" t="n">
        <f aca="false">IF($L41=0,0,bsd(V$23,V$22,$B41,$C41,$M41,$E41,$H41,0.1))</f>
        <v>0</v>
      </c>
      <c r="W41" s="44" t="n">
        <f aca="false">IF($L41=0,0,bsd(W$23,W$22,$B41,$D41,$M41,$F41,$H41,0.1))</f>
        <v>0</v>
      </c>
      <c r="Y41" s="9"/>
      <c r="Z41" s="9"/>
      <c r="AA41" s="39"/>
      <c r="AD41" s="33"/>
      <c r="AE41" s="45" t="n">
        <f aca="false">$L41*N41</f>
        <v>0</v>
      </c>
      <c r="AF41" s="45" t="n">
        <f aca="false">$L41*P41</f>
        <v>0</v>
      </c>
      <c r="AG41" s="45" t="n">
        <f aca="false">$L41*R41</f>
        <v>0</v>
      </c>
      <c r="AH41" s="45" t="n">
        <f aca="false">$L41*T41</f>
        <v>0</v>
      </c>
      <c r="AI41" s="45" t="n">
        <f aca="false">$L41*V41</f>
        <v>0</v>
      </c>
      <c r="AK41" s="33"/>
      <c r="AL41" s="45" t="n">
        <f aca="false">$L41*O41</f>
        <v>0</v>
      </c>
      <c r="AM41" s="45" t="n">
        <f aca="false">$L41*Q41</f>
        <v>0</v>
      </c>
      <c r="AN41" s="45" t="n">
        <f aca="false">$L41*S41</f>
        <v>0</v>
      </c>
      <c r="AO41" s="45" t="n">
        <f aca="false">$L41*U41</f>
        <v>0</v>
      </c>
      <c r="AP41" s="45" t="n">
        <f aca="false">$L41*W41</f>
        <v>0</v>
      </c>
      <c r="AQ41" s="46"/>
      <c r="AR41" s="45"/>
      <c r="AS41" s="46"/>
      <c r="AT41" s="47"/>
      <c r="AU41" s="47"/>
      <c r="AV41" s="47"/>
    </row>
    <row r="42" customFormat="false" ht="12.75" hidden="false" customHeight="false" outlineLevel="0" collapsed="false">
      <c r="A42" s="39" t="n">
        <f aca="false">A41+1</f>
        <v>18</v>
      </c>
      <c r="B42" s="40" t="n">
        <f aca="false">B41</f>
        <v>4.46</v>
      </c>
      <c r="C42" s="41" t="n">
        <f aca="false">B$6</f>
        <v>4.37</v>
      </c>
      <c r="D42" s="41" t="n">
        <f aca="false">C$6</f>
        <v>4.39</v>
      </c>
      <c r="E42" s="4" t="n">
        <f aca="false">B$8</f>
        <v>0.51</v>
      </c>
      <c r="F42" s="4" t="n">
        <f aca="false">C$8</f>
        <v>0.48</v>
      </c>
      <c r="H42" s="4" t="n">
        <f aca="false">H41</f>
        <v>0.068146567086238</v>
      </c>
      <c r="I42" s="42" t="n">
        <f aca="false">I41+1</f>
        <v>36695</v>
      </c>
      <c r="J42" s="42" t="n">
        <f aca="false">IF(K42=6,I42-1,IF(K42=7,I42-2,I42))</f>
        <v>36693</v>
      </c>
      <c r="K42" s="43" t="n">
        <f aca="false">WEEKDAY(I42,2)</f>
        <v>7</v>
      </c>
      <c r="L42" s="43" t="n">
        <f aca="false">IF(I42&gt;B$11,0,IF(M42&lt;1,0,1))</f>
        <v>0</v>
      </c>
      <c r="M42" s="43" t="n">
        <f aca="false">J42-B$12</f>
        <v>-5</v>
      </c>
      <c r="N42" s="44" t="n">
        <f aca="false">IF($L42=0,0,bsd(N$23,N$22,$B42,$C42,$M42,$E42,$H42,0.1))</f>
        <v>0</v>
      </c>
      <c r="O42" s="44" t="n">
        <f aca="false">IF($L42=0,0,bsd(O$23,O$22,$B42,$D42,$M42,$F42,$H42,0.1))</f>
        <v>0</v>
      </c>
      <c r="P42" s="44" t="n">
        <f aca="false">IF($L42=0,0,bsd(P$23,P$22,$B42,$C42,$M42,$E42,$H42,0.1))</f>
        <v>0</v>
      </c>
      <c r="Q42" s="44" t="n">
        <f aca="false">IF($L42=0,0,bsd(Q$23,Q$22,$B42,$D42,$M42,$F42,$H42,0.1))</f>
        <v>0</v>
      </c>
      <c r="R42" s="44" t="n">
        <f aca="false">IF($L42=0,0,bsd(R$23,R$22,$B42,$C42,$M42,$E42,$H42,0.1))</f>
        <v>0</v>
      </c>
      <c r="S42" s="44" t="n">
        <f aca="false">IF($L42=0,0,bsd(S$23,S$22,$B42,$D42,$M42,$F42,$H42,0.1))</f>
        <v>0</v>
      </c>
      <c r="T42" s="44" t="n">
        <f aca="false">IF($L42=0,0,bsd(T$23,T$22,$B42,$C42,$M42,$E42,$H42,0.1))</f>
        <v>0</v>
      </c>
      <c r="U42" s="44" t="n">
        <f aca="false">IF($L42=0,0,bsd(U$23,U$22,$B42,$D42,$M42,$F42,$H42,0.1))</f>
        <v>0</v>
      </c>
      <c r="V42" s="44" t="n">
        <f aca="false">IF($L42=0,0,bsd(V$23,V$22,$B42,$C42,$M42,$E42,$H42,0.1))</f>
        <v>0</v>
      </c>
      <c r="W42" s="44" t="n">
        <f aca="false">IF($L42=0,0,bsd(W$23,W$22,$B42,$D42,$M42,$F42,$H42,0.1))</f>
        <v>0</v>
      </c>
      <c r="Y42" s="9"/>
      <c r="Z42" s="9"/>
      <c r="AA42" s="39"/>
      <c r="AD42" s="33"/>
      <c r="AE42" s="45" t="n">
        <f aca="false">$L42*N42</f>
        <v>0</v>
      </c>
      <c r="AF42" s="45" t="n">
        <f aca="false">$L42*P42</f>
        <v>0</v>
      </c>
      <c r="AG42" s="45" t="n">
        <f aca="false">$L42*R42</f>
        <v>0</v>
      </c>
      <c r="AH42" s="45" t="n">
        <f aca="false">$L42*T42</f>
        <v>0</v>
      </c>
      <c r="AI42" s="45" t="n">
        <f aca="false">$L42*V42</f>
        <v>0</v>
      </c>
      <c r="AK42" s="33"/>
      <c r="AL42" s="45" t="n">
        <f aca="false">$L42*O42</f>
        <v>0</v>
      </c>
      <c r="AM42" s="45" t="n">
        <f aca="false">$L42*Q42</f>
        <v>0</v>
      </c>
      <c r="AN42" s="45" t="n">
        <f aca="false">$L42*S42</f>
        <v>0</v>
      </c>
      <c r="AO42" s="45" t="n">
        <f aca="false">$L42*U42</f>
        <v>0</v>
      </c>
      <c r="AP42" s="45" t="n">
        <f aca="false">$L42*W42</f>
        <v>0</v>
      </c>
      <c r="AQ42" s="46"/>
      <c r="AR42" s="45"/>
      <c r="AS42" s="46"/>
      <c r="AT42" s="47"/>
      <c r="AU42" s="47"/>
      <c r="AV42" s="47"/>
    </row>
    <row r="43" customFormat="false" ht="12.75" hidden="false" customHeight="false" outlineLevel="0" collapsed="false">
      <c r="A43" s="39" t="n">
        <f aca="false">A42+1</f>
        <v>19</v>
      </c>
      <c r="B43" s="40" t="n">
        <f aca="false">B42</f>
        <v>4.46</v>
      </c>
      <c r="C43" s="41" t="n">
        <f aca="false">B$6</f>
        <v>4.37</v>
      </c>
      <c r="D43" s="41" t="n">
        <f aca="false">C$6</f>
        <v>4.39</v>
      </c>
      <c r="E43" s="4" t="n">
        <f aca="false">B$8</f>
        <v>0.51</v>
      </c>
      <c r="F43" s="4" t="n">
        <f aca="false">C$8</f>
        <v>0.48</v>
      </c>
      <c r="H43" s="4" t="n">
        <f aca="false">H42</f>
        <v>0.068146567086238</v>
      </c>
      <c r="I43" s="42" t="n">
        <f aca="false">I42+1</f>
        <v>36696</v>
      </c>
      <c r="J43" s="42" t="n">
        <f aca="false">IF(K43=6,I43-1,IF(K43=7,I43-2,I43))</f>
        <v>36696</v>
      </c>
      <c r="K43" s="43" t="n">
        <f aca="false">WEEKDAY(I43,2)</f>
        <v>1</v>
      </c>
      <c r="L43" s="43" t="n">
        <f aca="false">IF(I43&gt;B$11,0,IF(M43&lt;1,0,1))</f>
        <v>0</v>
      </c>
      <c r="M43" s="43" t="n">
        <f aca="false">J43-B$12</f>
        <v>-2</v>
      </c>
      <c r="N43" s="44" t="n">
        <f aca="false">IF($L43=0,0,bsd(N$23,N$22,$B43,$C43,$M43,$E43,$H43,0.1))</f>
        <v>0</v>
      </c>
      <c r="O43" s="44" t="n">
        <f aca="false">IF($L43=0,0,bsd(O$23,O$22,$B43,$D43,$M43,$F43,$H43,0.1))</f>
        <v>0</v>
      </c>
      <c r="P43" s="44" t="n">
        <f aca="false">IF($L43=0,0,bsd(P$23,P$22,$B43,$C43,$M43,$E43,$H43,0.1))</f>
        <v>0</v>
      </c>
      <c r="Q43" s="44" t="n">
        <f aca="false">IF($L43=0,0,bsd(Q$23,Q$22,$B43,$D43,$M43,$F43,$H43,0.1))</f>
        <v>0</v>
      </c>
      <c r="R43" s="44" t="n">
        <f aca="false">IF($L43=0,0,bsd(R$23,R$22,$B43,$C43,$M43,$E43,$H43,0.1))</f>
        <v>0</v>
      </c>
      <c r="S43" s="44" t="n">
        <f aca="false">IF($L43=0,0,bsd(S$23,S$22,$B43,$D43,$M43,$F43,$H43,0.1))</f>
        <v>0</v>
      </c>
      <c r="T43" s="44" t="n">
        <f aca="false">IF($L43=0,0,bsd(T$23,T$22,$B43,$C43,$M43,$E43,$H43,0.1))</f>
        <v>0</v>
      </c>
      <c r="U43" s="44" t="n">
        <f aca="false">IF($L43=0,0,bsd(U$23,U$22,$B43,$D43,$M43,$F43,$H43,0.1))</f>
        <v>0</v>
      </c>
      <c r="V43" s="44" t="n">
        <f aca="false">IF($L43=0,0,bsd(V$23,V$22,$B43,$C43,$M43,$E43,$H43,0.1))</f>
        <v>0</v>
      </c>
      <c r="W43" s="44" t="n">
        <f aca="false">IF($L43=0,0,bsd(W$23,W$22,$B43,$D43,$M43,$F43,$H43,0.1))</f>
        <v>0</v>
      </c>
      <c r="Y43" s="9"/>
      <c r="Z43" s="9"/>
      <c r="AA43" s="39"/>
      <c r="AD43" s="33"/>
      <c r="AE43" s="45" t="n">
        <f aca="false">$L43*N43</f>
        <v>0</v>
      </c>
      <c r="AF43" s="45" t="n">
        <f aca="false">$L43*P43</f>
        <v>0</v>
      </c>
      <c r="AG43" s="45" t="n">
        <f aca="false">$L43*R43</f>
        <v>0</v>
      </c>
      <c r="AH43" s="45" t="n">
        <f aca="false">$L43*T43</f>
        <v>0</v>
      </c>
      <c r="AI43" s="45" t="n">
        <f aca="false">$L43*V43</f>
        <v>0</v>
      </c>
      <c r="AK43" s="33"/>
      <c r="AL43" s="45" t="n">
        <f aca="false">$L43*O43</f>
        <v>0</v>
      </c>
      <c r="AM43" s="45" t="n">
        <f aca="false">$L43*Q43</f>
        <v>0</v>
      </c>
      <c r="AN43" s="45" t="n">
        <f aca="false">$L43*S43</f>
        <v>0</v>
      </c>
      <c r="AO43" s="45" t="n">
        <f aca="false">$L43*U43</f>
        <v>0</v>
      </c>
      <c r="AP43" s="45" t="n">
        <f aca="false">$L43*W43</f>
        <v>0</v>
      </c>
      <c r="AQ43" s="46"/>
      <c r="AR43" s="45"/>
      <c r="AS43" s="46"/>
      <c r="AT43" s="47"/>
      <c r="AU43" s="47"/>
      <c r="AV43" s="47"/>
    </row>
    <row r="44" customFormat="false" ht="12.75" hidden="false" customHeight="false" outlineLevel="0" collapsed="false">
      <c r="A44" s="39" t="n">
        <f aca="false">A43+1</f>
        <v>20</v>
      </c>
      <c r="B44" s="40" t="n">
        <f aca="false">B43</f>
        <v>4.46</v>
      </c>
      <c r="C44" s="41" t="n">
        <f aca="false">B$6</f>
        <v>4.37</v>
      </c>
      <c r="D44" s="41" t="n">
        <f aca="false">C$6</f>
        <v>4.39</v>
      </c>
      <c r="E44" s="4" t="n">
        <f aca="false">B$8</f>
        <v>0.51</v>
      </c>
      <c r="F44" s="4" t="n">
        <f aca="false">C$8</f>
        <v>0.48</v>
      </c>
      <c r="H44" s="4" t="n">
        <f aca="false">H43</f>
        <v>0.068146567086238</v>
      </c>
      <c r="I44" s="42" t="n">
        <f aca="false">I43+1</f>
        <v>36697</v>
      </c>
      <c r="J44" s="42" t="n">
        <f aca="false">IF(K44=6,I44-1,IF(K44=7,I44-2,I44))</f>
        <v>36697</v>
      </c>
      <c r="K44" s="43" t="n">
        <f aca="false">WEEKDAY(I44,2)</f>
        <v>2</v>
      </c>
      <c r="L44" s="43" t="n">
        <f aca="false">IF(I44&gt;B$11,0,IF(M44&lt;1,0,1))</f>
        <v>0</v>
      </c>
      <c r="M44" s="43" t="n">
        <f aca="false">J44-B$12</f>
        <v>-1</v>
      </c>
      <c r="N44" s="44" t="n">
        <f aca="false">IF($L44=0,0,bsd(N$23,N$22,$B44,$C44,$M44,$E44,$H44,0.1))</f>
        <v>0</v>
      </c>
      <c r="O44" s="44" t="n">
        <f aca="false">IF($L44=0,0,bsd(O$23,O$22,$B44,$D44,$M44,$F44,$H44,0.1))</f>
        <v>0</v>
      </c>
      <c r="P44" s="44" t="n">
        <f aca="false">IF($L44=0,0,bsd(P$23,P$22,$B44,$C44,$M44,$E44,$H44,0.1))</f>
        <v>0</v>
      </c>
      <c r="Q44" s="44" t="n">
        <f aca="false">IF($L44=0,0,bsd(Q$23,Q$22,$B44,$D44,$M44,$F44,$H44,0.1))</f>
        <v>0</v>
      </c>
      <c r="R44" s="44" t="n">
        <f aca="false">IF($L44=0,0,bsd(R$23,R$22,$B44,$C44,$M44,$E44,$H44,0.1))</f>
        <v>0</v>
      </c>
      <c r="S44" s="44" t="n">
        <f aca="false">IF($L44=0,0,bsd(S$23,S$22,$B44,$D44,$M44,$F44,$H44,0.1))</f>
        <v>0</v>
      </c>
      <c r="T44" s="44" t="n">
        <f aca="false">IF($L44=0,0,bsd(T$23,T$22,$B44,$C44,$M44,$E44,$H44,0.1))</f>
        <v>0</v>
      </c>
      <c r="U44" s="44" t="n">
        <f aca="false">IF($L44=0,0,bsd(U$23,U$22,$B44,$D44,$M44,$F44,$H44,0.1))</f>
        <v>0</v>
      </c>
      <c r="V44" s="44" t="n">
        <f aca="false">IF($L44=0,0,bsd(V$23,V$22,$B44,$C44,$M44,$E44,$H44,0.1))</f>
        <v>0</v>
      </c>
      <c r="W44" s="44" t="n">
        <f aca="false">IF($L44=0,0,bsd(W$23,W$22,$B44,$D44,$M44,$F44,$H44,0.1))</f>
        <v>0</v>
      </c>
      <c r="Y44" s="9"/>
      <c r="Z44" s="9"/>
      <c r="AA44" s="39"/>
      <c r="AD44" s="33"/>
      <c r="AE44" s="45" t="n">
        <f aca="false">$L44*N44</f>
        <v>0</v>
      </c>
      <c r="AF44" s="45" t="n">
        <f aca="false">$L44*P44</f>
        <v>0</v>
      </c>
      <c r="AG44" s="45" t="n">
        <f aca="false">$L44*R44</f>
        <v>0</v>
      </c>
      <c r="AH44" s="45" t="n">
        <f aca="false">$L44*T44</f>
        <v>0</v>
      </c>
      <c r="AI44" s="45" t="n">
        <f aca="false">$L44*V44</f>
        <v>0</v>
      </c>
      <c r="AK44" s="33"/>
      <c r="AL44" s="45" t="n">
        <f aca="false">$L44*O44</f>
        <v>0</v>
      </c>
      <c r="AM44" s="45" t="n">
        <f aca="false">$L44*Q44</f>
        <v>0</v>
      </c>
      <c r="AN44" s="45" t="n">
        <f aca="false">$L44*S44</f>
        <v>0</v>
      </c>
      <c r="AO44" s="45" t="n">
        <f aca="false">$L44*U44</f>
        <v>0</v>
      </c>
      <c r="AP44" s="45" t="n">
        <f aca="false">$L44*W44</f>
        <v>0</v>
      </c>
      <c r="AQ44" s="46"/>
      <c r="AR44" s="45"/>
      <c r="AS44" s="46"/>
      <c r="AT44" s="47"/>
      <c r="AU44" s="47"/>
      <c r="AV44" s="47"/>
    </row>
    <row r="45" customFormat="false" ht="12.75" hidden="false" customHeight="false" outlineLevel="0" collapsed="false">
      <c r="A45" s="39" t="n">
        <f aca="false">A44+1</f>
        <v>21</v>
      </c>
      <c r="B45" s="40" t="n">
        <f aca="false">B44</f>
        <v>4.46</v>
      </c>
      <c r="C45" s="41" t="n">
        <f aca="false">B$6</f>
        <v>4.37</v>
      </c>
      <c r="D45" s="41" t="n">
        <f aca="false">C$6</f>
        <v>4.39</v>
      </c>
      <c r="E45" s="4" t="n">
        <f aca="false">B$8</f>
        <v>0.51</v>
      </c>
      <c r="F45" s="4" t="n">
        <f aca="false">C$8</f>
        <v>0.48</v>
      </c>
      <c r="H45" s="4" t="n">
        <f aca="false">H44</f>
        <v>0.068146567086238</v>
      </c>
      <c r="I45" s="42" t="n">
        <f aca="false">I44+1</f>
        <v>36698</v>
      </c>
      <c r="J45" s="42" t="n">
        <f aca="false">IF(K45=6,I45-1,IF(K45=7,I45-2,I45))</f>
        <v>36698</v>
      </c>
      <c r="K45" s="43" t="n">
        <f aca="false">WEEKDAY(I45,2)</f>
        <v>3</v>
      </c>
      <c r="L45" s="43" t="n">
        <f aca="false">IF(I45&gt;B$11,0,IF(M45&lt;1,0,1))</f>
        <v>0</v>
      </c>
      <c r="M45" s="43" t="n">
        <f aca="false">J45-B$12</f>
        <v>0</v>
      </c>
      <c r="N45" s="44" t="n">
        <f aca="false">IF($L45=0,0,bsd(N$23,N$22,$B45,$C45,$M45,$E45,$H45,0.1))</f>
        <v>0</v>
      </c>
      <c r="O45" s="44" t="n">
        <f aca="false">IF($L45=0,0,bsd(O$23,O$22,$B45,$D45,$M45,$F45,$H45,0.1))</f>
        <v>0</v>
      </c>
      <c r="P45" s="44" t="n">
        <f aca="false">IF($L45=0,0,bsd(P$23,P$22,$B45,$C45,$M45,$E45,$H45,0.1))</f>
        <v>0</v>
      </c>
      <c r="Q45" s="44" t="n">
        <f aca="false">IF($L45=0,0,bsd(Q$23,Q$22,$B45,$D45,$M45,$F45,$H45,0.1))</f>
        <v>0</v>
      </c>
      <c r="R45" s="44" t="n">
        <f aca="false">IF($L45=0,0,bsd(R$23,R$22,$B45,$C45,$M45,$E45,$H45,0.1))</f>
        <v>0</v>
      </c>
      <c r="S45" s="44" t="n">
        <f aca="false">IF($L45=0,0,bsd(S$23,S$22,$B45,$D45,$M45,$F45,$H45,0.1))</f>
        <v>0</v>
      </c>
      <c r="T45" s="44" t="n">
        <f aca="false">IF($L45=0,0,bsd(T$23,T$22,$B45,$C45,$M45,$E45,$H45,0.1))</f>
        <v>0</v>
      </c>
      <c r="U45" s="44" t="n">
        <f aca="false">IF($L45=0,0,bsd(U$23,U$22,$B45,$D45,$M45,$F45,$H45,0.1))</f>
        <v>0</v>
      </c>
      <c r="V45" s="44" t="n">
        <f aca="false">IF($L45=0,0,bsd(V$23,V$22,$B45,$C45,$M45,$E45,$H45,0.1))</f>
        <v>0</v>
      </c>
      <c r="W45" s="44" t="n">
        <f aca="false">IF($L45=0,0,bsd(W$23,W$22,$B45,$D45,$M45,$F45,$H45,0.1))</f>
        <v>0</v>
      </c>
      <c r="Y45" s="9"/>
      <c r="Z45" s="9"/>
      <c r="AA45" s="39"/>
      <c r="AD45" s="33"/>
      <c r="AE45" s="45" t="n">
        <f aca="false">$L45*N45</f>
        <v>0</v>
      </c>
      <c r="AF45" s="45" t="n">
        <f aca="false">$L45*P45</f>
        <v>0</v>
      </c>
      <c r="AG45" s="45" t="n">
        <f aca="false">$L45*R45</f>
        <v>0</v>
      </c>
      <c r="AH45" s="45" t="n">
        <f aca="false">$L45*T45</f>
        <v>0</v>
      </c>
      <c r="AI45" s="45" t="n">
        <f aca="false">$L45*V45</f>
        <v>0</v>
      </c>
      <c r="AK45" s="33"/>
      <c r="AL45" s="45" t="n">
        <f aca="false">$L45*O45</f>
        <v>0</v>
      </c>
      <c r="AM45" s="45" t="n">
        <f aca="false">$L45*Q45</f>
        <v>0</v>
      </c>
      <c r="AN45" s="45" t="n">
        <f aca="false">$L45*S45</f>
        <v>0</v>
      </c>
      <c r="AO45" s="45" t="n">
        <f aca="false">$L45*U45</f>
        <v>0</v>
      </c>
      <c r="AP45" s="45" t="n">
        <f aca="false">$L45*W45</f>
        <v>0</v>
      </c>
      <c r="AQ45" s="46"/>
      <c r="AR45" s="45"/>
      <c r="AS45" s="46"/>
      <c r="AT45" s="47"/>
      <c r="AU45" s="47"/>
      <c r="AV45" s="47"/>
    </row>
    <row r="46" customFormat="false" ht="12.75" hidden="false" customHeight="false" outlineLevel="0" collapsed="false">
      <c r="A46" s="39" t="n">
        <f aca="false">A45+1</f>
        <v>22</v>
      </c>
      <c r="B46" s="40" t="n">
        <f aca="false">B45</f>
        <v>4.46</v>
      </c>
      <c r="C46" s="41" t="n">
        <f aca="false">B$6</f>
        <v>4.37</v>
      </c>
      <c r="D46" s="41" t="n">
        <f aca="false">C$6</f>
        <v>4.39</v>
      </c>
      <c r="E46" s="4" t="n">
        <f aca="false">B$8</f>
        <v>0.51</v>
      </c>
      <c r="F46" s="4" t="n">
        <f aca="false">C$8</f>
        <v>0.48</v>
      </c>
      <c r="H46" s="4" t="n">
        <f aca="false">H45</f>
        <v>0.068146567086238</v>
      </c>
      <c r="I46" s="42" t="n">
        <f aca="false">I45+1</f>
        <v>36699</v>
      </c>
      <c r="J46" s="42" t="n">
        <f aca="false">IF(K46=6,I46-1,IF(K46=7,I46-2,I46))</f>
        <v>36699</v>
      </c>
      <c r="K46" s="43" t="n">
        <f aca="false">WEEKDAY(I46,2)</f>
        <v>4</v>
      </c>
      <c r="L46" s="43" t="n">
        <f aca="false">IF(I46&gt;B$11,0,IF(M46&lt;1,0,1))</f>
        <v>1</v>
      </c>
      <c r="M46" s="43" t="n">
        <f aca="false">J46-B$12</f>
        <v>1</v>
      </c>
      <c r="N46" s="44" t="e">
        <f aca="false">IF($L46=0,0,bsd(N$23,N$22,$B46,$C46,$M46,$E46,$H46,0.1))</f>
        <v>#VALUE!</v>
      </c>
      <c r="O46" s="44" t="e">
        <f aca="false">IF($L46=0,0,bsd(O$23,O$22,$B46,$D46,$M46,$F46,$H46,0.1))</f>
        <v>#VALUE!</v>
      </c>
      <c r="P46" s="44" t="e">
        <f aca="false">IF($L46=0,0,bsd(P$23,P$22,$B46,$C46,$M46,$E46,$H46,0.1))</f>
        <v>#VALUE!</v>
      </c>
      <c r="Q46" s="44" t="e">
        <f aca="false">IF($L46=0,0,bsd(Q$23,Q$22,$B46,$D46,$M46,$F46,$H46,0.1))</f>
        <v>#VALUE!</v>
      </c>
      <c r="R46" s="44" t="e">
        <f aca="false">IF($L46=0,0,bsd(R$23,R$22,$B46,$C46,$M46,$E46,$H46,0.1))</f>
        <v>#VALUE!</v>
      </c>
      <c r="S46" s="44" t="e">
        <f aca="false">IF($L46=0,0,bsd(S$23,S$22,$B46,$D46,$M46,$F46,$H46,0.1))</f>
        <v>#VALUE!</v>
      </c>
      <c r="T46" s="44" t="e">
        <f aca="false">IF($L46=0,0,bsd(T$23,T$22,$B46,$C46,$M46,$E46,$H46,0.1))</f>
        <v>#VALUE!</v>
      </c>
      <c r="U46" s="44" t="e">
        <f aca="false">IF($L46=0,0,bsd(U$23,U$22,$B46,$D46,$M46,$F46,$H46,0.1))</f>
        <v>#VALUE!</v>
      </c>
      <c r="V46" s="44" t="e">
        <f aca="false">IF($L46=0,0,bsd(V$23,V$22,$B46,$C46,$M46,$E46,$H46,0.1))</f>
        <v>#VALUE!</v>
      </c>
      <c r="W46" s="44" t="e">
        <f aca="false">IF($L46=0,0,bsd(W$23,W$22,$B46,$D46,$M46,$F46,$H46,0.1))</f>
        <v>#VALUE!</v>
      </c>
      <c r="Y46" s="9"/>
      <c r="Z46" s="9"/>
      <c r="AA46" s="39"/>
      <c r="AD46" s="33"/>
      <c r="AE46" s="45" t="e">
        <f aca="false">$L46*N46</f>
        <v>#VALUE!</v>
      </c>
      <c r="AF46" s="45" t="e">
        <f aca="false">$L46*P46</f>
        <v>#VALUE!</v>
      </c>
      <c r="AG46" s="45" t="e">
        <f aca="false">$L46*R46</f>
        <v>#VALUE!</v>
      </c>
      <c r="AH46" s="45" t="e">
        <f aca="false">$L46*T46</f>
        <v>#VALUE!</v>
      </c>
      <c r="AI46" s="45" t="e">
        <f aca="false">$L46*V46</f>
        <v>#VALUE!</v>
      </c>
      <c r="AK46" s="33"/>
      <c r="AL46" s="45" t="e">
        <f aca="false">$L46*O46</f>
        <v>#VALUE!</v>
      </c>
      <c r="AM46" s="45" t="e">
        <f aca="false">$L46*Q46</f>
        <v>#VALUE!</v>
      </c>
      <c r="AN46" s="45" t="e">
        <f aca="false">$L46*S46</f>
        <v>#VALUE!</v>
      </c>
      <c r="AO46" s="45" t="e">
        <f aca="false">$L46*U46</f>
        <v>#VALUE!</v>
      </c>
      <c r="AP46" s="45" t="e">
        <f aca="false">$L46*W46</f>
        <v>#VALUE!</v>
      </c>
      <c r="AQ46" s="46"/>
      <c r="AR46" s="45"/>
      <c r="AS46" s="46"/>
      <c r="AT46" s="47"/>
      <c r="AU46" s="47"/>
      <c r="AV46" s="47"/>
    </row>
    <row r="47" customFormat="false" ht="12.75" hidden="false" customHeight="false" outlineLevel="0" collapsed="false">
      <c r="A47" s="39" t="n">
        <f aca="false">A46+1</f>
        <v>23</v>
      </c>
      <c r="B47" s="40" t="n">
        <f aca="false">B46</f>
        <v>4.46</v>
      </c>
      <c r="C47" s="41" t="n">
        <f aca="false">B$6</f>
        <v>4.37</v>
      </c>
      <c r="D47" s="41" t="n">
        <f aca="false">C$6</f>
        <v>4.39</v>
      </c>
      <c r="E47" s="4" t="n">
        <f aca="false">B$8</f>
        <v>0.51</v>
      </c>
      <c r="F47" s="4" t="n">
        <f aca="false">C$8</f>
        <v>0.48</v>
      </c>
      <c r="H47" s="4" t="n">
        <f aca="false">H46</f>
        <v>0.068146567086238</v>
      </c>
      <c r="I47" s="42" t="n">
        <f aca="false">I46+1</f>
        <v>36700</v>
      </c>
      <c r="J47" s="42" t="n">
        <f aca="false">IF(K47=6,I47-1,IF(K47=7,I47-2,I47))</f>
        <v>36700</v>
      </c>
      <c r="K47" s="43" t="n">
        <f aca="false">WEEKDAY(I47,2)</f>
        <v>5</v>
      </c>
      <c r="L47" s="43" t="n">
        <f aca="false">IF(I47&gt;B$11,0,IF(M47&lt;1,0,1))</f>
        <v>1</v>
      </c>
      <c r="M47" s="43" t="n">
        <f aca="false">J47-B$12</f>
        <v>2</v>
      </c>
      <c r="N47" s="44" t="e">
        <f aca="false">IF($L47=0,0,bsd(N$23,N$22,$B47,$C47,$M47,$E47,$H47,0.1))</f>
        <v>#VALUE!</v>
      </c>
      <c r="O47" s="44" t="e">
        <f aca="false">IF($L47=0,0,bsd(O$23,O$22,$B47,$D47,$M47,$F47,$H47,0.1))</f>
        <v>#VALUE!</v>
      </c>
      <c r="P47" s="44" t="e">
        <f aca="false">IF($L47=0,0,bsd(P$23,P$22,$B47,$C47,$M47,$E47,$H47,0.1))</f>
        <v>#VALUE!</v>
      </c>
      <c r="Q47" s="44" t="e">
        <f aca="false">IF($L47=0,0,bsd(Q$23,Q$22,$B47,$D47,$M47,$F47,$H47,0.1))</f>
        <v>#VALUE!</v>
      </c>
      <c r="R47" s="44" t="e">
        <f aca="false">IF($L47=0,0,bsd(R$23,R$22,$B47,$C47,$M47,$E47,$H47,0.1))</f>
        <v>#VALUE!</v>
      </c>
      <c r="S47" s="44" t="e">
        <f aca="false">IF($L47=0,0,bsd(S$23,S$22,$B47,$D47,$M47,$F47,$H47,0.1))</f>
        <v>#VALUE!</v>
      </c>
      <c r="T47" s="44" t="e">
        <f aca="false">IF($L47=0,0,bsd(T$23,T$22,$B47,$C47,$M47,$E47,$H47,0.1))</f>
        <v>#VALUE!</v>
      </c>
      <c r="U47" s="44" t="e">
        <f aca="false">IF($L47=0,0,bsd(U$23,U$22,$B47,$D47,$M47,$F47,$H47,0.1))</f>
        <v>#VALUE!</v>
      </c>
      <c r="V47" s="44" t="e">
        <f aca="false">IF($L47=0,0,bsd(V$23,V$22,$B47,$C47,$M47,$E47,$H47,0.1))</f>
        <v>#VALUE!</v>
      </c>
      <c r="W47" s="44" t="e">
        <f aca="false">IF($L47=0,0,bsd(W$23,W$22,$B47,$D47,$M47,$F47,$H47,0.1))</f>
        <v>#VALUE!</v>
      </c>
      <c r="Y47" s="9"/>
      <c r="Z47" s="9"/>
      <c r="AA47" s="39"/>
      <c r="AD47" s="33"/>
      <c r="AE47" s="45" t="e">
        <f aca="false">$L47*N47</f>
        <v>#VALUE!</v>
      </c>
      <c r="AF47" s="45" t="e">
        <f aca="false">$L47*P47</f>
        <v>#VALUE!</v>
      </c>
      <c r="AG47" s="45" t="e">
        <f aca="false">$L47*R47</f>
        <v>#VALUE!</v>
      </c>
      <c r="AH47" s="45" t="e">
        <f aca="false">$L47*T47</f>
        <v>#VALUE!</v>
      </c>
      <c r="AI47" s="45" t="e">
        <f aca="false">$L47*V47</f>
        <v>#VALUE!</v>
      </c>
      <c r="AK47" s="33"/>
      <c r="AL47" s="45" t="e">
        <f aca="false">$L47*O47</f>
        <v>#VALUE!</v>
      </c>
      <c r="AM47" s="45" t="e">
        <f aca="false">$L47*Q47</f>
        <v>#VALUE!</v>
      </c>
      <c r="AN47" s="45" t="e">
        <f aca="false">$L47*S47</f>
        <v>#VALUE!</v>
      </c>
      <c r="AO47" s="45" t="e">
        <f aca="false">$L47*U47</f>
        <v>#VALUE!</v>
      </c>
      <c r="AP47" s="45" t="e">
        <f aca="false">$L47*W47</f>
        <v>#VALUE!</v>
      </c>
      <c r="AQ47" s="46"/>
      <c r="AR47" s="45"/>
      <c r="AS47" s="46"/>
      <c r="AT47" s="47"/>
      <c r="AU47" s="47"/>
      <c r="AV47" s="47"/>
    </row>
    <row r="48" customFormat="false" ht="12.75" hidden="false" customHeight="false" outlineLevel="0" collapsed="false">
      <c r="A48" s="39" t="n">
        <f aca="false">A47+1</f>
        <v>24</v>
      </c>
      <c r="B48" s="40" t="n">
        <f aca="false">B47</f>
        <v>4.46</v>
      </c>
      <c r="C48" s="41" t="n">
        <f aca="false">B$6</f>
        <v>4.37</v>
      </c>
      <c r="D48" s="41" t="n">
        <f aca="false">C$6</f>
        <v>4.39</v>
      </c>
      <c r="E48" s="4" t="n">
        <f aca="false">B$8</f>
        <v>0.51</v>
      </c>
      <c r="F48" s="4" t="n">
        <f aca="false">C$8</f>
        <v>0.48</v>
      </c>
      <c r="H48" s="4" t="n">
        <f aca="false">H47</f>
        <v>0.068146567086238</v>
      </c>
      <c r="I48" s="42" t="n">
        <f aca="false">I47+1</f>
        <v>36701</v>
      </c>
      <c r="J48" s="42" t="n">
        <f aca="false">IF(K48=6,I48-1,IF(K48=7,I48-2,I48))</f>
        <v>36700</v>
      </c>
      <c r="K48" s="43" t="n">
        <f aca="false">WEEKDAY(I48,2)</f>
        <v>6</v>
      </c>
      <c r="L48" s="43" t="n">
        <f aca="false">IF(I48&gt;B$11,0,IF(M48&lt;1,0,1))</f>
        <v>1</v>
      </c>
      <c r="M48" s="43" t="n">
        <f aca="false">J48-B$12</f>
        <v>2</v>
      </c>
      <c r="N48" s="44" t="e">
        <f aca="false">IF($L48=0,0,bsd(N$23,N$22,$B48,$C48,$M48,$E48,$H48,0.1))</f>
        <v>#VALUE!</v>
      </c>
      <c r="O48" s="44" t="e">
        <f aca="false">IF($L48=0,0,bsd(O$23,O$22,$B48,$D48,$M48,$F48,$H48,0.1))</f>
        <v>#VALUE!</v>
      </c>
      <c r="P48" s="44" t="e">
        <f aca="false">IF($L48=0,0,bsd(P$23,P$22,$B48,$C48,$M48,$E48,$H48,0.1))</f>
        <v>#VALUE!</v>
      </c>
      <c r="Q48" s="44" t="e">
        <f aca="false">IF($L48=0,0,bsd(Q$23,Q$22,$B48,$D48,$M48,$F48,$H48,0.1))</f>
        <v>#VALUE!</v>
      </c>
      <c r="R48" s="44" t="e">
        <f aca="false">IF($L48=0,0,bsd(R$23,R$22,$B48,$C48,$M48,$E48,$H48,0.1))</f>
        <v>#VALUE!</v>
      </c>
      <c r="S48" s="44" t="e">
        <f aca="false">IF($L48=0,0,bsd(S$23,S$22,$B48,$D48,$M48,$F48,$H48,0.1))</f>
        <v>#VALUE!</v>
      </c>
      <c r="T48" s="44" t="e">
        <f aca="false">IF($L48=0,0,bsd(T$23,T$22,$B48,$C48,$M48,$E48,$H48,0.1))</f>
        <v>#VALUE!</v>
      </c>
      <c r="U48" s="44" t="e">
        <f aca="false">IF($L48=0,0,bsd(U$23,U$22,$B48,$D48,$M48,$F48,$H48,0.1))</f>
        <v>#VALUE!</v>
      </c>
      <c r="V48" s="44" t="e">
        <f aca="false">IF($L48=0,0,bsd(V$23,V$22,$B48,$C48,$M48,$E48,$H48,0.1))</f>
        <v>#VALUE!</v>
      </c>
      <c r="W48" s="44" t="e">
        <f aca="false">IF($L48=0,0,bsd(W$23,W$22,$B48,$D48,$M48,$F48,$H48,0.1))</f>
        <v>#VALUE!</v>
      </c>
      <c r="Y48" s="9"/>
      <c r="Z48" s="9"/>
      <c r="AA48" s="39"/>
      <c r="AD48" s="33"/>
      <c r="AE48" s="45" t="e">
        <f aca="false">$L48*N48</f>
        <v>#VALUE!</v>
      </c>
      <c r="AF48" s="45" t="e">
        <f aca="false">$L48*P48</f>
        <v>#VALUE!</v>
      </c>
      <c r="AG48" s="45" t="e">
        <f aca="false">$L48*R48</f>
        <v>#VALUE!</v>
      </c>
      <c r="AH48" s="45" t="e">
        <f aca="false">$L48*T48</f>
        <v>#VALUE!</v>
      </c>
      <c r="AI48" s="45" t="e">
        <f aca="false">$L48*V48</f>
        <v>#VALUE!</v>
      </c>
      <c r="AK48" s="33"/>
      <c r="AL48" s="45" t="e">
        <f aca="false">$L48*O48</f>
        <v>#VALUE!</v>
      </c>
      <c r="AM48" s="45" t="e">
        <f aca="false">$L48*Q48</f>
        <v>#VALUE!</v>
      </c>
      <c r="AN48" s="45" t="e">
        <f aca="false">$L48*S48</f>
        <v>#VALUE!</v>
      </c>
      <c r="AO48" s="45" t="e">
        <f aca="false">$L48*U48</f>
        <v>#VALUE!</v>
      </c>
      <c r="AP48" s="45" t="e">
        <f aca="false">$L48*W48</f>
        <v>#VALUE!</v>
      </c>
      <c r="AQ48" s="46"/>
      <c r="AR48" s="45"/>
      <c r="AS48" s="46"/>
      <c r="AT48" s="47"/>
      <c r="AU48" s="47"/>
      <c r="AV48" s="47"/>
    </row>
    <row r="49" customFormat="false" ht="12.75" hidden="false" customHeight="false" outlineLevel="0" collapsed="false">
      <c r="A49" s="39" t="n">
        <f aca="false">A48+1</f>
        <v>25</v>
      </c>
      <c r="B49" s="40" t="n">
        <f aca="false">B48</f>
        <v>4.46</v>
      </c>
      <c r="C49" s="41" t="n">
        <f aca="false">B$6</f>
        <v>4.37</v>
      </c>
      <c r="D49" s="41" t="n">
        <f aca="false">C$6</f>
        <v>4.39</v>
      </c>
      <c r="E49" s="4" t="n">
        <f aca="false">B$8</f>
        <v>0.51</v>
      </c>
      <c r="F49" s="4" t="n">
        <f aca="false">C$8</f>
        <v>0.48</v>
      </c>
      <c r="H49" s="4" t="n">
        <f aca="false">H48</f>
        <v>0.068146567086238</v>
      </c>
      <c r="I49" s="42" t="n">
        <f aca="false">I48+1</f>
        <v>36702</v>
      </c>
      <c r="J49" s="42" t="n">
        <f aca="false">IF(K49=6,I49-1,IF(K49=7,I49-2,I49))</f>
        <v>36700</v>
      </c>
      <c r="K49" s="43" t="n">
        <f aca="false">WEEKDAY(I49,2)</f>
        <v>7</v>
      </c>
      <c r="L49" s="43" t="n">
        <f aca="false">IF(I49&gt;B$11,0,IF(M49&lt;1,0,1))</f>
        <v>1</v>
      </c>
      <c r="M49" s="43" t="n">
        <f aca="false">J49-B$12</f>
        <v>2</v>
      </c>
      <c r="N49" s="44" t="e">
        <f aca="false">IF($L49=0,0,bsd(N$23,N$22,$B49,$C49,$M49,$E49,$H49,0.1))</f>
        <v>#VALUE!</v>
      </c>
      <c r="O49" s="44" t="e">
        <f aca="false">IF($L49=0,0,bsd(O$23,O$22,$B49,$D49,$M49,$F49,$H49,0.1))</f>
        <v>#VALUE!</v>
      </c>
      <c r="P49" s="44" t="e">
        <f aca="false">IF($L49=0,0,bsd(P$23,P$22,$B49,$C49,$M49,$E49,$H49,0.1))</f>
        <v>#VALUE!</v>
      </c>
      <c r="Q49" s="44" t="e">
        <f aca="false">IF($L49=0,0,bsd(Q$23,Q$22,$B49,$D49,$M49,$F49,$H49,0.1))</f>
        <v>#VALUE!</v>
      </c>
      <c r="R49" s="44" t="e">
        <f aca="false">IF($L49=0,0,bsd(R$23,R$22,$B49,$C49,$M49,$E49,$H49,0.1))</f>
        <v>#VALUE!</v>
      </c>
      <c r="S49" s="44" t="e">
        <f aca="false">IF($L49=0,0,bsd(S$23,S$22,$B49,$D49,$M49,$F49,$H49,0.1))</f>
        <v>#VALUE!</v>
      </c>
      <c r="T49" s="44" t="e">
        <f aca="false">IF($L49=0,0,bsd(T$23,T$22,$B49,$C49,$M49,$E49,$H49,0.1))</f>
        <v>#VALUE!</v>
      </c>
      <c r="U49" s="44" t="e">
        <f aca="false">IF($L49=0,0,bsd(U$23,U$22,$B49,$D49,$M49,$F49,$H49,0.1))</f>
        <v>#VALUE!</v>
      </c>
      <c r="V49" s="44" t="e">
        <f aca="false">IF($L49=0,0,bsd(V$23,V$22,$B49,$C49,$M49,$E49,$H49,0.1))</f>
        <v>#VALUE!</v>
      </c>
      <c r="W49" s="44" t="e">
        <f aca="false">IF($L49=0,0,bsd(W$23,W$22,$B49,$D49,$M49,$F49,$H49,0.1))</f>
        <v>#VALUE!</v>
      </c>
      <c r="Y49" s="9"/>
      <c r="Z49" s="9"/>
      <c r="AA49" s="39"/>
      <c r="AD49" s="33"/>
      <c r="AE49" s="45" t="e">
        <f aca="false">$L49*N49</f>
        <v>#VALUE!</v>
      </c>
      <c r="AF49" s="45" t="e">
        <f aca="false">$L49*P49</f>
        <v>#VALUE!</v>
      </c>
      <c r="AG49" s="45" t="e">
        <f aca="false">$L49*R49</f>
        <v>#VALUE!</v>
      </c>
      <c r="AH49" s="45" t="e">
        <f aca="false">$L49*T49</f>
        <v>#VALUE!</v>
      </c>
      <c r="AI49" s="45" t="e">
        <f aca="false">$L49*V49</f>
        <v>#VALUE!</v>
      </c>
      <c r="AK49" s="33"/>
      <c r="AL49" s="45" t="e">
        <f aca="false">$L49*O49</f>
        <v>#VALUE!</v>
      </c>
      <c r="AM49" s="45" t="e">
        <f aca="false">$L49*Q49</f>
        <v>#VALUE!</v>
      </c>
      <c r="AN49" s="45" t="e">
        <f aca="false">$L49*S49</f>
        <v>#VALUE!</v>
      </c>
      <c r="AO49" s="45" t="e">
        <f aca="false">$L49*U49</f>
        <v>#VALUE!</v>
      </c>
      <c r="AP49" s="45" t="e">
        <f aca="false">$L49*W49</f>
        <v>#VALUE!</v>
      </c>
      <c r="AQ49" s="46"/>
      <c r="AR49" s="45"/>
      <c r="AS49" s="46"/>
      <c r="AT49" s="47"/>
      <c r="AU49" s="47"/>
      <c r="AV49" s="47"/>
    </row>
    <row r="50" customFormat="false" ht="12.75" hidden="false" customHeight="false" outlineLevel="0" collapsed="false">
      <c r="A50" s="39" t="n">
        <f aca="false">A49+1</f>
        <v>26</v>
      </c>
      <c r="B50" s="40" t="n">
        <f aca="false">B49</f>
        <v>4.46</v>
      </c>
      <c r="C50" s="41" t="n">
        <f aca="false">B$6</f>
        <v>4.37</v>
      </c>
      <c r="D50" s="41" t="n">
        <f aca="false">C$6</f>
        <v>4.39</v>
      </c>
      <c r="E50" s="4" t="n">
        <f aca="false">B$8</f>
        <v>0.51</v>
      </c>
      <c r="F50" s="4" t="n">
        <f aca="false">C$8</f>
        <v>0.48</v>
      </c>
      <c r="H50" s="4" t="n">
        <f aca="false">H49</f>
        <v>0.068146567086238</v>
      </c>
      <c r="I50" s="42" t="n">
        <f aca="false">I49+1</f>
        <v>36703</v>
      </c>
      <c r="J50" s="42" t="n">
        <f aca="false">IF(K50=6,I50-1,IF(K50=7,I50-2,I50))</f>
        <v>36703</v>
      </c>
      <c r="K50" s="43" t="n">
        <f aca="false">WEEKDAY(I50,2)</f>
        <v>1</v>
      </c>
      <c r="L50" s="43" t="n">
        <f aca="false">IF(I50&gt;B$11,0,IF(M50&lt;1,0,1))</f>
        <v>1</v>
      </c>
      <c r="M50" s="43" t="n">
        <f aca="false">J50-B$12</f>
        <v>5</v>
      </c>
      <c r="N50" s="44" t="e">
        <f aca="false">IF($L50=0,0,bsd(N$23,N$22,$B50,$C50,$M50,$E50,$H50,0.1))</f>
        <v>#VALUE!</v>
      </c>
      <c r="O50" s="44" t="e">
        <f aca="false">IF($L50=0,0,bsd(O$23,O$22,$B50,$D50,$M50,$F50,$H50,0.1))</f>
        <v>#VALUE!</v>
      </c>
      <c r="P50" s="44" t="e">
        <f aca="false">IF($L50=0,0,bsd(P$23,P$22,$B50,$C50,$M50,$E50,$H50,0.1))</f>
        <v>#VALUE!</v>
      </c>
      <c r="Q50" s="44" t="e">
        <f aca="false">IF($L50=0,0,bsd(Q$23,Q$22,$B50,$D50,$M50,$F50,$H50,0.1))</f>
        <v>#VALUE!</v>
      </c>
      <c r="R50" s="44" t="e">
        <f aca="false">IF($L50=0,0,bsd(R$23,R$22,$B50,$C50,$M50,$E50,$H50,0.1))</f>
        <v>#VALUE!</v>
      </c>
      <c r="S50" s="44" t="e">
        <f aca="false">IF($L50=0,0,bsd(S$23,S$22,$B50,$D50,$M50,$F50,$H50,0.1))</f>
        <v>#VALUE!</v>
      </c>
      <c r="T50" s="44" t="e">
        <f aca="false">IF($L50=0,0,bsd(T$23,T$22,$B50,$C50,$M50,$E50,$H50,0.1))</f>
        <v>#VALUE!</v>
      </c>
      <c r="U50" s="44" t="e">
        <f aca="false">IF($L50=0,0,bsd(U$23,U$22,$B50,$D50,$M50,$F50,$H50,0.1))</f>
        <v>#VALUE!</v>
      </c>
      <c r="V50" s="44" t="e">
        <f aca="false">IF($L50=0,0,bsd(V$23,V$22,$B50,$C50,$M50,$E50,$H50,0.1))</f>
        <v>#VALUE!</v>
      </c>
      <c r="W50" s="44" t="e">
        <f aca="false">IF($L50=0,0,bsd(W$23,W$22,$B50,$D50,$M50,$F50,$H50,0.1))</f>
        <v>#VALUE!</v>
      </c>
      <c r="Y50" s="9"/>
      <c r="Z50" s="9"/>
      <c r="AA50" s="39"/>
      <c r="AD50" s="33"/>
      <c r="AE50" s="45" t="e">
        <f aca="false">$L50*N50</f>
        <v>#VALUE!</v>
      </c>
      <c r="AF50" s="45" t="e">
        <f aca="false">$L50*P50</f>
        <v>#VALUE!</v>
      </c>
      <c r="AG50" s="45" t="e">
        <f aca="false">$L50*R50</f>
        <v>#VALUE!</v>
      </c>
      <c r="AH50" s="45" t="e">
        <f aca="false">$L50*T50</f>
        <v>#VALUE!</v>
      </c>
      <c r="AI50" s="45" t="e">
        <f aca="false">$L50*V50</f>
        <v>#VALUE!</v>
      </c>
      <c r="AK50" s="33"/>
      <c r="AL50" s="45" t="e">
        <f aca="false">$L50*O50</f>
        <v>#VALUE!</v>
      </c>
      <c r="AM50" s="45" t="e">
        <f aca="false">$L50*Q50</f>
        <v>#VALUE!</v>
      </c>
      <c r="AN50" s="45" t="e">
        <f aca="false">$L50*S50</f>
        <v>#VALUE!</v>
      </c>
      <c r="AO50" s="45" t="e">
        <f aca="false">$L50*U50</f>
        <v>#VALUE!</v>
      </c>
      <c r="AP50" s="45" t="e">
        <f aca="false">$L50*W50</f>
        <v>#VALUE!</v>
      </c>
      <c r="AQ50" s="46"/>
      <c r="AR50" s="45"/>
      <c r="AS50" s="46"/>
      <c r="AT50" s="47"/>
      <c r="AU50" s="47"/>
      <c r="AV50" s="47"/>
    </row>
    <row r="51" customFormat="false" ht="12.75" hidden="false" customHeight="false" outlineLevel="0" collapsed="false">
      <c r="A51" s="39" t="n">
        <f aca="false">A50+1</f>
        <v>27</v>
      </c>
      <c r="B51" s="40" t="n">
        <f aca="false">B50</f>
        <v>4.46</v>
      </c>
      <c r="C51" s="41" t="n">
        <f aca="false">B$6</f>
        <v>4.37</v>
      </c>
      <c r="D51" s="41" t="n">
        <f aca="false">C$6</f>
        <v>4.39</v>
      </c>
      <c r="E51" s="4" t="n">
        <f aca="false">B$8</f>
        <v>0.51</v>
      </c>
      <c r="F51" s="4" t="n">
        <f aca="false">C$8</f>
        <v>0.48</v>
      </c>
      <c r="H51" s="4" t="n">
        <f aca="false">H50</f>
        <v>0.068146567086238</v>
      </c>
      <c r="I51" s="42" t="n">
        <f aca="false">I50+1</f>
        <v>36704</v>
      </c>
      <c r="J51" s="42" t="n">
        <f aca="false">IF(K51=6,I51-1,IF(K51=7,I51-2,I51))</f>
        <v>36704</v>
      </c>
      <c r="K51" s="43" t="n">
        <f aca="false">WEEKDAY(I51,2)</f>
        <v>2</v>
      </c>
      <c r="L51" s="43" t="n">
        <f aca="false">IF(I51&gt;B$11,0,IF(M51&lt;1,0,1))</f>
        <v>1</v>
      </c>
      <c r="M51" s="43" t="n">
        <f aca="false">J51-B$12</f>
        <v>6</v>
      </c>
      <c r="N51" s="44" t="e">
        <f aca="false">IF($L51=0,0,bsd(N$23,N$22,$B51,$C51,$M51,$E51,$H51,0.1))</f>
        <v>#VALUE!</v>
      </c>
      <c r="O51" s="44" t="e">
        <f aca="false">IF($L51=0,0,bsd(O$23,O$22,$B51,$D51,$M51,$F51,$H51,0.1))</f>
        <v>#VALUE!</v>
      </c>
      <c r="P51" s="44" t="e">
        <f aca="false">IF($L51=0,0,bsd(P$23,P$22,$B51,$C51,$M51,$E51,$H51,0.1))</f>
        <v>#VALUE!</v>
      </c>
      <c r="Q51" s="44" t="e">
        <f aca="false">IF($L51=0,0,bsd(Q$23,Q$22,$B51,$D51,$M51,$F51,$H51,0.1))</f>
        <v>#VALUE!</v>
      </c>
      <c r="R51" s="44" t="e">
        <f aca="false">IF($L51=0,0,bsd(R$23,R$22,$B51,$C51,$M51,$E51,$H51,0.1))</f>
        <v>#VALUE!</v>
      </c>
      <c r="S51" s="44" t="e">
        <f aca="false">IF($L51=0,0,bsd(S$23,S$22,$B51,$D51,$M51,$F51,$H51,0.1))</f>
        <v>#VALUE!</v>
      </c>
      <c r="T51" s="44" t="e">
        <f aca="false">IF($L51=0,0,bsd(T$23,T$22,$B51,$C51,$M51,$E51,$H51,0.1))</f>
        <v>#VALUE!</v>
      </c>
      <c r="U51" s="44" t="e">
        <f aca="false">IF($L51=0,0,bsd(U$23,U$22,$B51,$D51,$M51,$F51,$H51,0.1))</f>
        <v>#VALUE!</v>
      </c>
      <c r="V51" s="44" t="e">
        <f aca="false">IF($L51=0,0,bsd(V$23,V$22,$B51,$C51,$M51,$E51,$H51,0.1))</f>
        <v>#VALUE!</v>
      </c>
      <c r="W51" s="44" t="e">
        <f aca="false">IF($L51=0,0,bsd(W$23,W$22,$B51,$D51,$M51,$F51,$H51,0.1))</f>
        <v>#VALUE!</v>
      </c>
      <c r="Y51" s="9"/>
      <c r="Z51" s="9"/>
      <c r="AA51" s="39"/>
      <c r="AD51" s="33"/>
      <c r="AE51" s="45" t="e">
        <f aca="false">$L51*N51</f>
        <v>#VALUE!</v>
      </c>
      <c r="AF51" s="45" t="e">
        <f aca="false">$L51*P51</f>
        <v>#VALUE!</v>
      </c>
      <c r="AG51" s="45" t="e">
        <f aca="false">$L51*R51</f>
        <v>#VALUE!</v>
      </c>
      <c r="AH51" s="45" t="e">
        <f aca="false">$L51*T51</f>
        <v>#VALUE!</v>
      </c>
      <c r="AI51" s="45" t="e">
        <f aca="false">$L51*V51</f>
        <v>#VALUE!</v>
      </c>
      <c r="AK51" s="33"/>
      <c r="AL51" s="45" t="e">
        <f aca="false">$L51*O51</f>
        <v>#VALUE!</v>
      </c>
      <c r="AM51" s="45" t="e">
        <f aca="false">$L51*Q51</f>
        <v>#VALUE!</v>
      </c>
      <c r="AN51" s="45" t="e">
        <f aca="false">$L51*S51</f>
        <v>#VALUE!</v>
      </c>
      <c r="AO51" s="45" t="e">
        <f aca="false">$L51*U51</f>
        <v>#VALUE!</v>
      </c>
      <c r="AP51" s="45" t="e">
        <f aca="false">$L51*W51</f>
        <v>#VALUE!</v>
      </c>
      <c r="AQ51" s="46"/>
      <c r="AR51" s="45"/>
      <c r="AS51" s="46"/>
      <c r="AT51" s="47"/>
      <c r="AU51" s="47"/>
      <c r="AV51" s="47"/>
    </row>
    <row r="52" customFormat="false" ht="12.75" hidden="false" customHeight="false" outlineLevel="0" collapsed="false">
      <c r="A52" s="39" t="n">
        <f aca="false">A51+1</f>
        <v>28</v>
      </c>
      <c r="B52" s="40" t="n">
        <f aca="false">B51</f>
        <v>4.46</v>
      </c>
      <c r="C52" s="41" t="n">
        <f aca="false">B$6</f>
        <v>4.37</v>
      </c>
      <c r="D52" s="41" t="n">
        <f aca="false">C$6</f>
        <v>4.39</v>
      </c>
      <c r="E52" s="4" t="n">
        <f aca="false">B$8</f>
        <v>0.51</v>
      </c>
      <c r="F52" s="4" t="n">
        <f aca="false">C$8</f>
        <v>0.48</v>
      </c>
      <c r="H52" s="4" t="n">
        <f aca="false">H51</f>
        <v>0.068146567086238</v>
      </c>
      <c r="I52" s="42" t="n">
        <f aca="false">I51+1</f>
        <v>36705</v>
      </c>
      <c r="J52" s="42" t="n">
        <f aca="false">IF(K52=6,I52-1,IF(K52=7,I52-2,I52))</f>
        <v>36705</v>
      </c>
      <c r="K52" s="43" t="n">
        <f aca="false">WEEKDAY(I52,2)</f>
        <v>3</v>
      </c>
      <c r="L52" s="43" t="n">
        <f aca="false">IF(I52&gt;B$11,0,IF(M52&lt;1,0,1))</f>
        <v>1</v>
      </c>
      <c r="M52" s="43" t="n">
        <f aca="false">J52-B$12</f>
        <v>7</v>
      </c>
      <c r="N52" s="44" t="e">
        <f aca="false">IF($L52=0,0,bsd(N$23,N$22,$B52,$C52,$M52,$E52,$H52,0.1))</f>
        <v>#VALUE!</v>
      </c>
      <c r="O52" s="44" t="e">
        <f aca="false">IF($L52=0,0,bsd(O$23,O$22,$B52,$D52,$M52,$F52,$H52,0.1))</f>
        <v>#VALUE!</v>
      </c>
      <c r="P52" s="44" t="e">
        <f aca="false">IF($L52=0,0,bsd(P$23,P$22,$B52,$C52,$M52,$E52,$H52,0.1))</f>
        <v>#VALUE!</v>
      </c>
      <c r="Q52" s="44" t="e">
        <f aca="false">IF($L52=0,0,bsd(Q$23,Q$22,$B52,$D52,$M52,$F52,$H52,0.1))</f>
        <v>#VALUE!</v>
      </c>
      <c r="R52" s="44" t="e">
        <f aca="false">IF($L52=0,0,bsd(R$23,R$22,$B52,$C52,$M52,$E52,$H52,0.1))</f>
        <v>#VALUE!</v>
      </c>
      <c r="S52" s="44" t="e">
        <f aca="false">IF($L52=0,0,bsd(S$23,S$22,$B52,$D52,$M52,$F52,$H52,0.1))</f>
        <v>#VALUE!</v>
      </c>
      <c r="T52" s="44" t="e">
        <f aca="false">IF($L52=0,0,bsd(T$23,T$22,$B52,$C52,$M52,$E52,$H52,0.1))</f>
        <v>#VALUE!</v>
      </c>
      <c r="U52" s="44" t="e">
        <f aca="false">IF($L52=0,0,bsd(U$23,U$22,$B52,$D52,$M52,$F52,$H52,0.1))</f>
        <v>#VALUE!</v>
      </c>
      <c r="V52" s="44" t="e">
        <f aca="false">IF($L52=0,0,bsd(V$23,V$22,$B52,$C52,$M52,$E52,$H52,0.1))</f>
        <v>#VALUE!</v>
      </c>
      <c r="W52" s="44" t="e">
        <f aca="false">IF($L52=0,0,bsd(W$23,W$22,$B52,$D52,$M52,$F52,$H52,0.1))</f>
        <v>#VALUE!</v>
      </c>
      <c r="Y52" s="9"/>
      <c r="Z52" s="9"/>
      <c r="AA52" s="39"/>
      <c r="AD52" s="33"/>
      <c r="AE52" s="45" t="e">
        <f aca="false">$L52*N52</f>
        <v>#VALUE!</v>
      </c>
      <c r="AF52" s="45" t="e">
        <f aca="false">$L52*P52</f>
        <v>#VALUE!</v>
      </c>
      <c r="AG52" s="45" t="e">
        <f aca="false">$L52*R52</f>
        <v>#VALUE!</v>
      </c>
      <c r="AH52" s="45" t="e">
        <f aca="false">$L52*T52</f>
        <v>#VALUE!</v>
      </c>
      <c r="AI52" s="45" t="e">
        <f aca="false">$L52*V52</f>
        <v>#VALUE!</v>
      </c>
      <c r="AK52" s="33"/>
      <c r="AL52" s="45" t="e">
        <f aca="false">$L52*O52</f>
        <v>#VALUE!</v>
      </c>
      <c r="AM52" s="45" t="e">
        <f aca="false">$L52*Q52</f>
        <v>#VALUE!</v>
      </c>
      <c r="AN52" s="45" t="e">
        <f aca="false">$L52*S52</f>
        <v>#VALUE!</v>
      </c>
      <c r="AO52" s="45" t="e">
        <f aca="false">$L52*U52</f>
        <v>#VALUE!</v>
      </c>
      <c r="AP52" s="45" t="e">
        <f aca="false">$L52*W52</f>
        <v>#VALUE!</v>
      </c>
      <c r="AQ52" s="46"/>
      <c r="AR52" s="45"/>
      <c r="AS52" s="46"/>
      <c r="AT52" s="47"/>
      <c r="AU52" s="47"/>
      <c r="AV52" s="47"/>
    </row>
    <row r="53" customFormat="false" ht="12.75" hidden="false" customHeight="false" outlineLevel="0" collapsed="false">
      <c r="A53" s="39" t="n">
        <f aca="false">A52+1</f>
        <v>29</v>
      </c>
      <c r="B53" s="40" t="n">
        <f aca="false">B52</f>
        <v>4.46</v>
      </c>
      <c r="C53" s="41" t="n">
        <f aca="false">B$6</f>
        <v>4.37</v>
      </c>
      <c r="D53" s="41" t="n">
        <f aca="false">C$6</f>
        <v>4.39</v>
      </c>
      <c r="E53" s="4" t="n">
        <f aca="false">B$8</f>
        <v>0.51</v>
      </c>
      <c r="F53" s="4" t="n">
        <f aca="false">C$8</f>
        <v>0.48</v>
      </c>
      <c r="H53" s="4" t="n">
        <f aca="false">H52</f>
        <v>0.068146567086238</v>
      </c>
      <c r="I53" s="42" t="n">
        <f aca="false">I52+1</f>
        <v>36706</v>
      </c>
      <c r="J53" s="42" t="n">
        <f aca="false">IF(K53=6,I53-1,IF(K53=7,I53-2,I53))</f>
        <v>36706</v>
      </c>
      <c r="K53" s="43" t="n">
        <f aca="false">WEEKDAY(I53,2)</f>
        <v>4</v>
      </c>
      <c r="L53" s="43" t="n">
        <f aca="false">IF(I53&gt;B$11,0,IF(M53&lt;1,0,1))</f>
        <v>1</v>
      </c>
      <c r="M53" s="43" t="n">
        <f aca="false">J53-B$12</f>
        <v>8</v>
      </c>
      <c r="N53" s="44" t="e">
        <f aca="false">IF($L53=0,0,bsd(N$23,N$22,$B53,$C53,$M53,$E53,$H53,0.1))</f>
        <v>#VALUE!</v>
      </c>
      <c r="O53" s="44" t="e">
        <f aca="false">IF($L53=0,0,bsd(O$23,O$22,$B53,$D53,$M53,$F53,$H53,0.1))</f>
        <v>#VALUE!</v>
      </c>
      <c r="P53" s="44" t="e">
        <f aca="false">IF($L53=0,0,bsd(P$23,P$22,$B53,$C53,$M53,$E53,$H53,0.1))</f>
        <v>#VALUE!</v>
      </c>
      <c r="Q53" s="44" t="e">
        <f aca="false">IF($L53=0,0,bsd(Q$23,Q$22,$B53,$D53,$M53,$F53,$H53,0.1))</f>
        <v>#VALUE!</v>
      </c>
      <c r="R53" s="44" t="e">
        <f aca="false">IF($L53=0,0,bsd(R$23,R$22,$B53,$C53,$M53,$E53,$H53,0.1))</f>
        <v>#VALUE!</v>
      </c>
      <c r="S53" s="44" t="e">
        <f aca="false">IF($L53=0,0,bsd(S$23,S$22,$B53,$D53,$M53,$F53,$H53,0.1))</f>
        <v>#VALUE!</v>
      </c>
      <c r="T53" s="44" t="e">
        <f aca="false">IF($L53=0,0,bsd(T$23,T$22,$B53,$C53,$M53,$E53,$H53,0.1))</f>
        <v>#VALUE!</v>
      </c>
      <c r="U53" s="44" t="e">
        <f aca="false">IF($L53=0,0,bsd(U$23,U$22,$B53,$D53,$M53,$F53,$H53,0.1))</f>
        <v>#VALUE!</v>
      </c>
      <c r="V53" s="44" t="e">
        <f aca="false">IF($L53=0,0,bsd(V$23,V$22,$B53,$C53,$M53,$E53,$H53,0.1))</f>
        <v>#VALUE!</v>
      </c>
      <c r="W53" s="44" t="e">
        <f aca="false">IF($L53=0,0,bsd(W$23,W$22,$B53,$D53,$M53,$F53,$H53,0.1))</f>
        <v>#VALUE!</v>
      </c>
      <c r="Y53" s="9"/>
      <c r="Z53" s="9"/>
      <c r="AA53" s="39"/>
      <c r="AD53" s="33"/>
      <c r="AE53" s="45" t="e">
        <f aca="false">$L53*N53</f>
        <v>#VALUE!</v>
      </c>
      <c r="AF53" s="45" t="e">
        <f aca="false">$L53*P53</f>
        <v>#VALUE!</v>
      </c>
      <c r="AG53" s="45" t="e">
        <f aca="false">$L53*R53</f>
        <v>#VALUE!</v>
      </c>
      <c r="AH53" s="45" t="e">
        <f aca="false">$L53*T53</f>
        <v>#VALUE!</v>
      </c>
      <c r="AI53" s="45" t="e">
        <f aca="false">$L53*V53</f>
        <v>#VALUE!</v>
      </c>
      <c r="AK53" s="33"/>
      <c r="AL53" s="45" t="e">
        <f aca="false">$L53*O53</f>
        <v>#VALUE!</v>
      </c>
      <c r="AM53" s="45" t="e">
        <f aca="false">$L53*Q53</f>
        <v>#VALUE!</v>
      </c>
      <c r="AN53" s="45" t="e">
        <f aca="false">$L53*S53</f>
        <v>#VALUE!</v>
      </c>
      <c r="AO53" s="45" t="e">
        <f aca="false">$L53*U53</f>
        <v>#VALUE!</v>
      </c>
      <c r="AP53" s="45" t="e">
        <f aca="false">$L53*W53</f>
        <v>#VALUE!</v>
      </c>
      <c r="AQ53" s="46"/>
      <c r="AR53" s="45"/>
      <c r="AS53" s="46"/>
      <c r="AT53" s="47"/>
      <c r="AU53" s="47"/>
      <c r="AV53" s="47"/>
    </row>
    <row r="54" customFormat="false" ht="12.75" hidden="false" customHeight="false" outlineLevel="0" collapsed="false">
      <c r="A54" s="39" t="n">
        <f aca="false">A53+1</f>
        <v>30</v>
      </c>
      <c r="B54" s="40" t="n">
        <f aca="false">B53</f>
        <v>4.46</v>
      </c>
      <c r="C54" s="41" t="n">
        <f aca="false">B$6</f>
        <v>4.37</v>
      </c>
      <c r="D54" s="41" t="n">
        <f aca="false">C$6</f>
        <v>4.39</v>
      </c>
      <c r="E54" s="4" t="n">
        <f aca="false">B$8</f>
        <v>0.51</v>
      </c>
      <c r="F54" s="4" t="n">
        <f aca="false">C$8</f>
        <v>0.48</v>
      </c>
      <c r="H54" s="4" t="n">
        <f aca="false">H53</f>
        <v>0.068146567086238</v>
      </c>
      <c r="I54" s="42" t="n">
        <f aca="false">I53+1</f>
        <v>36707</v>
      </c>
      <c r="J54" s="42" t="n">
        <f aca="false">IF(K54=6,I54-1,IF(K54=7,I54-2,I54))</f>
        <v>36707</v>
      </c>
      <c r="K54" s="43" t="n">
        <f aca="false">WEEKDAY(I54,2)</f>
        <v>5</v>
      </c>
      <c r="L54" s="43" t="n">
        <f aca="false">IF(I54&gt;B$11,0,IF(M54&lt;1,0,1))</f>
        <v>1</v>
      </c>
      <c r="M54" s="43" t="n">
        <f aca="false">J54-B$12</f>
        <v>9</v>
      </c>
      <c r="N54" s="44" t="e">
        <f aca="false">IF($L54=0,0,bsd(N$23,N$22,$B54,$C54,$M54,$E54,$H54,0.1))</f>
        <v>#VALUE!</v>
      </c>
      <c r="O54" s="44" t="e">
        <f aca="false">IF($L54=0,0,bsd(O$23,O$22,$B54,$D54,$M54,$F54,$H54,0.1))</f>
        <v>#VALUE!</v>
      </c>
      <c r="P54" s="44" t="e">
        <f aca="false">IF($L54=0,0,bsd(P$23,P$22,$B54,$C54,$M54,$E54,$H54,0.1))</f>
        <v>#VALUE!</v>
      </c>
      <c r="Q54" s="44" t="e">
        <f aca="false">IF($L54=0,0,bsd(Q$23,Q$22,$B54,$D54,$M54,$F54,$H54,0.1))</f>
        <v>#VALUE!</v>
      </c>
      <c r="R54" s="44" t="e">
        <f aca="false">IF($L54=0,0,bsd(R$23,R$22,$B54,$C54,$M54,$E54,$H54,0.1))</f>
        <v>#VALUE!</v>
      </c>
      <c r="S54" s="44" t="e">
        <f aca="false">IF($L54=0,0,bsd(S$23,S$22,$B54,$D54,$M54,$F54,$H54,0.1))</f>
        <v>#VALUE!</v>
      </c>
      <c r="T54" s="44" t="e">
        <f aca="false">IF($L54=0,0,bsd(T$23,T$22,$B54,$C54,$M54,$E54,$H54,0.1))</f>
        <v>#VALUE!</v>
      </c>
      <c r="U54" s="44" t="e">
        <f aca="false">IF($L54=0,0,bsd(U$23,U$22,$B54,$D54,$M54,$F54,$H54,0.1))</f>
        <v>#VALUE!</v>
      </c>
      <c r="V54" s="44" t="e">
        <f aca="false">IF($L54=0,0,bsd(V$23,V$22,$B54,$C54,$M54,$E54,$H54,0.1))</f>
        <v>#VALUE!</v>
      </c>
      <c r="W54" s="44" t="e">
        <f aca="false">IF($L54=0,0,bsd(W$23,W$22,$B54,$D54,$M54,$F54,$H54,0.1))</f>
        <v>#VALUE!</v>
      </c>
      <c r="Y54" s="9"/>
      <c r="Z54" s="9"/>
      <c r="AA54" s="39"/>
      <c r="AD54" s="33"/>
      <c r="AE54" s="45" t="e">
        <f aca="false">$L54*N54</f>
        <v>#VALUE!</v>
      </c>
      <c r="AF54" s="45" t="e">
        <f aca="false">$L54*P54</f>
        <v>#VALUE!</v>
      </c>
      <c r="AG54" s="45" t="e">
        <f aca="false">$L54*R54</f>
        <v>#VALUE!</v>
      </c>
      <c r="AH54" s="45" t="e">
        <f aca="false">$L54*T54</f>
        <v>#VALUE!</v>
      </c>
      <c r="AI54" s="45" t="e">
        <f aca="false">$L54*V54</f>
        <v>#VALUE!</v>
      </c>
      <c r="AK54" s="33"/>
      <c r="AL54" s="45" t="e">
        <f aca="false">$L54*O54</f>
        <v>#VALUE!</v>
      </c>
      <c r="AM54" s="45" t="e">
        <f aca="false">$L54*Q54</f>
        <v>#VALUE!</v>
      </c>
      <c r="AN54" s="45" t="e">
        <f aca="false">$L54*S54</f>
        <v>#VALUE!</v>
      </c>
      <c r="AO54" s="45" t="e">
        <f aca="false">$L54*U54</f>
        <v>#VALUE!</v>
      </c>
      <c r="AP54" s="45" t="e">
        <f aca="false">$L54*W54</f>
        <v>#VALUE!</v>
      </c>
      <c r="AQ54" s="46"/>
      <c r="AR54" s="45"/>
      <c r="AS54" s="46"/>
      <c r="AT54" s="47"/>
      <c r="AU54" s="47"/>
      <c r="AV54" s="47"/>
    </row>
    <row r="55" customFormat="false" ht="12.75" hidden="false" customHeight="false" outlineLevel="0" collapsed="false">
      <c r="A55" s="39" t="n">
        <f aca="false">A54+1</f>
        <v>31</v>
      </c>
      <c r="B55" s="40" t="n">
        <f aca="false">B54</f>
        <v>4.46</v>
      </c>
      <c r="C55" s="41" t="n">
        <f aca="false">B$6</f>
        <v>4.37</v>
      </c>
      <c r="D55" s="41" t="n">
        <f aca="false">C$6</f>
        <v>4.39</v>
      </c>
      <c r="E55" s="4" t="n">
        <f aca="false">B$8</f>
        <v>0.51</v>
      </c>
      <c r="F55" s="4" t="n">
        <f aca="false">C$8</f>
        <v>0.48</v>
      </c>
      <c r="H55" s="4" t="n">
        <f aca="false">H54</f>
        <v>0.068146567086238</v>
      </c>
      <c r="I55" s="42" t="n">
        <f aca="false">I54+1</f>
        <v>36708</v>
      </c>
      <c r="J55" s="42" t="n">
        <f aca="false">IF(K55=6,I55-1,IF(K55=7,I55-2,I55))</f>
        <v>36707</v>
      </c>
      <c r="K55" s="43" t="n">
        <f aca="false">WEEKDAY(I55,2)</f>
        <v>6</v>
      </c>
      <c r="L55" s="43" t="n">
        <f aca="false">IF(I55&gt;B$11,0,IF(M55&lt;1,0,1))</f>
        <v>0</v>
      </c>
      <c r="M55" s="43" t="n">
        <f aca="false">J55-B$12</f>
        <v>9</v>
      </c>
      <c r="N55" s="44" t="n">
        <f aca="false">IF($L55=0,0,bsd(N$23,N$22,$B55,$C55,$M55,$E55,$H55,0.1))</f>
        <v>0</v>
      </c>
      <c r="O55" s="44" t="n">
        <f aca="false">IF($L55=0,0,bsd(O$23,O$22,$B55,$D55,$M55,$F55,$H55,0.1))</f>
        <v>0</v>
      </c>
      <c r="P55" s="44" t="n">
        <f aca="false">IF($L55=0,0,bsd(P$23,P$22,$B55,$C55,$M55,$E55,$H55,0.1))</f>
        <v>0</v>
      </c>
      <c r="Q55" s="44" t="n">
        <f aca="false">IF($L55=0,0,bsd(Q$23,Q$22,$B55,$D55,$M55,$F55,$H55,0.1))</f>
        <v>0</v>
      </c>
      <c r="R55" s="44" t="n">
        <f aca="false">IF($L55=0,0,bsd(R$23,R$22,$B55,$C55,$M55,$E55,$H55,0.1))</f>
        <v>0</v>
      </c>
      <c r="S55" s="44" t="n">
        <f aca="false">IF($L55=0,0,bsd(S$23,S$22,$B55,$D55,$M55,$F55,$H55,0.1))</f>
        <v>0</v>
      </c>
      <c r="T55" s="44" t="n">
        <f aca="false">IF($L55=0,0,bsd(T$23,T$22,$B55,$C55,$M55,$E55,$H55,0.1))</f>
        <v>0</v>
      </c>
      <c r="U55" s="44" t="n">
        <f aca="false">IF($L55=0,0,bsd(U$23,U$22,$B55,$D55,$M55,$F55,$H55,0.1))</f>
        <v>0</v>
      </c>
      <c r="V55" s="44" t="n">
        <f aca="false">IF($L55=0,0,bsd(V$23,V$22,$B55,$C55,$M55,$E55,$H55,0.1))</f>
        <v>0</v>
      </c>
      <c r="W55" s="44" t="n">
        <f aca="false">IF($L55=0,0,bsd(W$23,W$22,$B55,$D55,$M55,$F55,$H55,0.1))</f>
        <v>0</v>
      </c>
      <c r="Y55" s="9"/>
      <c r="Z55" s="9"/>
      <c r="AA55" s="39"/>
      <c r="AD55" s="33"/>
      <c r="AE55" s="45" t="n">
        <f aca="false">$L55*N55</f>
        <v>0</v>
      </c>
      <c r="AF55" s="45" t="n">
        <f aca="false">$L55*P55</f>
        <v>0</v>
      </c>
      <c r="AG55" s="45" t="n">
        <f aca="false">$L55*R55</f>
        <v>0</v>
      </c>
      <c r="AH55" s="45" t="n">
        <f aca="false">$L55*T55</f>
        <v>0</v>
      </c>
      <c r="AI55" s="45" t="n">
        <f aca="false">$L55*V55</f>
        <v>0</v>
      </c>
      <c r="AK55" s="33"/>
      <c r="AL55" s="45" t="n">
        <f aca="false">$L55*O55</f>
        <v>0</v>
      </c>
      <c r="AM55" s="45" t="n">
        <f aca="false">$L55*Q55</f>
        <v>0</v>
      </c>
      <c r="AN55" s="45" t="n">
        <f aca="false">$L55*S55</f>
        <v>0</v>
      </c>
      <c r="AO55" s="45" t="n">
        <f aca="false">$L55*U55</f>
        <v>0</v>
      </c>
      <c r="AP55" s="45" t="n">
        <f aca="false">$L55*W55</f>
        <v>0</v>
      </c>
      <c r="AQ55" s="46"/>
      <c r="AR55" s="45"/>
      <c r="AS55" s="46"/>
      <c r="AT55" s="47"/>
      <c r="AU55" s="47"/>
      <c r="AV55" s="47"/>
    </row>
    <row r="56" customFormat="false" ht="12.75" hidden="false" customHeight="false" outlineLevel="0" collapsed="false">
      <c r="A56" s="48" t="n">
        <f aca="false">DATE(YEAR(A55),MONTH(A55)+1,1)</f>
        <v>33</v>
      </c>
      <c r="B56" s="49"/>
      <c r="C56" s="50"/>
      <c r="E56" s="46"/>
      <c r="F56" s="46"/>
      <c r="G56" s="4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1"/>
      <c r="Z56" s="10"/>
      <c r="AA56" s="11"/>
      <c r="AB56" s="10"/>
    </row>
    <row r="57" customFormat="false" ht="12.75" hidden="false" customHeight="false" outlineLevel="0" collapsed="false">
      <c r="A57" s="51"/>
      <c r="B57" s="49"/>
      <c r="C57" s="50"/>
      <c r="E57" s="46"/>
      <c r="F57" s="46"/>
      <c r="G57" s="4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1"/>
      <c r="Z57" s="10"/>
      <c r="AA57" s="11"/>
      <c r="AB57" s="10"/>
    </row>
    <row r="58" customFormat="false" ht="12.75" hidden="false" customHeight="false" outlineLevel="0" collapsed="false">
      <c r="A58" s="51"/>
      <c r="B58" s="49"/>
      <c r="C58" s="50"/>
      <c r="E58" s="46"/>
      <c r="F58" s="46"/>
      <c r="G58" s="4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1"/>
      <c r="Z58" s="10"/>
      <c r="AA58" s="11"/>
      <c r="AB58" s="10"/>
    </row>
    <row r="59" customFormat="false" ht="12.75" hidden="false" customHeight="false" outlineLevel="0" collapsed="false">
      <c r="A59" s="51"/>
      <c r="B59" s="49"/>
      <c r="C59" s="50"/>
      <c r="E59" s="46"/>
      <c r="F59" s="46"/>
      <c r="G59" s="46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1"/>
      <c r="Z59" s="10"/>
      <c r="AA59" s="11"/>
      <c r="AB59" s="10"/>
    </row>
    <row r="60" customFormat="false" ht="12.75" hidden="false" customHeight="false" outlineLevel="0" collapsed="false">
      <c r="A60" s="51"/>
      <c r="B60" s="49"/>
      <c r="C60" s="50"/>
      <c r="E60" s="46"/>
      <c r="F60" s="46"/>
      <c r="G60" s="4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1"/>
      <c r="Z60" s="10"/>
      <c r="AA60" s="11"/>
      <c r="AB60" s="10"/>
    </row>
    <row r="61" customFormat="false" ht="12.75" hidden="false" customHeight="false" outlineLevel="0" collapsed="false">
      <c r="A61" s="51"/>
      <c r="B61" s="49"/>
      <c r="C61" s="50"/>
      <c r="E61" s="46"/>
      <c r="F61" s="46"/>
      <c r="G61" s="4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1"/>
      <c r="Z61" s="10"/>
      <c r="AA61" s="11"/>
      <c r="AB61" s="10"/>
    </row>
    <row r="62" customFormat="false" ht="12.75" hidden="false" customHeight="false" outlineLevel="0" collapsed="false">
      <c r="A62" s="51"/>
      <c r="B62" s="49"/>
      <c r="C62" s="50"/>
      <c r="E62" s="46"/>
      <c r="F62" s="46"/>
      <c r="G62" s="4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1"/>
      <c r="Z62" s="10"/>
      <c r="AA62" s="11"/>
      <c r="AB62" s="10"/>
    </row>
    <row r="63" customFormat="false" ht="12.75" hidden="false" customHeight="false" outlineLevel="0" collapsed="false">
      <c r="A63" s="51"/>
      <c r="B63" s="49"/>
      <c r="C63" s="50"/>
      <c r="E63" s="46"/>
      <c r="F63" s="46"/>
      <c r="G63" s="4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1"/>
      <c r="Z63" s="10"/>
      <c r="AA63" s="11"/>
      <c r="AB63" s="10"/>
    </row>
    <row r="64" customFormat="false" ht="12.75" hidden="false" customHeight="false" outlineLevel="0" collapsed="false">
      <c r="A64" s="51"/>
      <c r="B64" s="49"/>
      <c r="C64" s="50"/>
      <c r="E64" s="46"/>
      <c r="F64" s="46"/>
      <c r="G64" s="4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1"/>
      <c r="Z64" s="10"/>
      <c r="AA64" s="11"/>
      <c r="AB64" s="10"/>
    </row>
    <row r="65" customFormat="false" ht="12.75" hidden="false" customHeight="false" outlineLevel="0" collapsed="false">
      <c r="A65" s="51"/>
      <c r="B65" s="49"/>
      <c r="C65" s="50"/>
      <c r="E65" s="46"/>
      <c r="F65" s="46"/>
      <c r="G65" s="46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 t="s">
        <v>23</v>
      </c>
      <c r="S65" s="10"/>
      <c r="T65" s="10"/>
      <c r="U65" s="10"/>
      <c r="V65" s="10"/>
      <c r="W65" s="10"/>
      <c r="X65" s="10"/>
      <c r="Y65" s="11"/>
      <c r="Z65" s="10"/>
      <c r="AA65" s="11"/>
      <c r="AB65" s="10"/>
    </row>
    <row r="66" customFormat="false" ht="12.75" hidden="false" customHeight="false" outlineLevel="0" collapsed="false">
      <c r="A66" s="51"/>
      <c r="B66" s="49"/>
      <c r="C66" s="50"/>
      <c r="E66" s="46"/>
      <c r="F66" s="46"/>
      <c r="G66" s="46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 t="s">
        <v>24</v>
      </c>
      <c r="S66" s="10"/>
      <c r="T66" s="10"/>
      <c r="U66" s="10"/>
      <c r="V66" s="10"/>
      <c r="W66" s="10"/>
      <c r="X66" s="10"/>
      <c r="Y66" s="11"/>
      <c r="Z66" s="10"/>
      <c r="AA66" s="11"/>
      <c r="AB66" s="10"/>
    </row>
    <row r="67" customFormat="false" ht="12.75" hidden="false" customHeight="false" outlineLevel="0" collapsed="false">
      <c r="A67" s="52"/>
      <c r="E67" s="22"/>
      <c r="F67" s="22"/>
      <c r="G67" s="22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1"/>
      <c r="Z67" s="10"/>
      <c r="AA67" s="11"/>
      <c r="AB67" s="10"/>
    </row>
    <row r="68" customFormat="false" ht="12.75" hidden="false" customHeight="false" outlineLevel="0" collapsed="false">
      <c r="A68" s="51"/>
      <c r="B68" s="49"/>
      <c r="C68" s="50"/>
      <c r="E68" s="46"/>
      <c r="F68" s="46"/>
      <c r="G68" s="46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1"/>
      <c r="Z68" s="10"/>
      <c r="AA68" s="11"/>
      <c r="AB68" s="10"/>
    </row>
    <row r="69" customFormat="false" ht="12.75" hidden="false" customHeight="false" outlineLevel="0" collapsed="false">
      <c r="B69" s="51"/>
      <c r="C69" s="53"/>
      <c r="D69" s="54"/>
      <c r="E69" s="55"/>
      <c r="F69" s="55"/>
      <c r="G69" s="55"/>
      <c r="H69" s="55"/>
      <c r="I69" s="55"/>
      <c r="J69" s="55"/>
      <c r="K69" s="5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1"/>
      <c r="Z69" s="10"/>
      <c r="AA69" s="11"/>
      <c r="AB69" s="10"/>
    </row>
    <row r="70" customFormat="false" ht="12.75" hidden="false" customHeight="false" outlineLevel="0" collapsed="false">
      <c r="B70" s="51"/>
      <c r="C70" s="53"/>
      <c r="D70" s="54"/>
      <c r="E70" s="55"/>
      <c r="F70" s="55"/>
      <c r="G70" s="55"/>
      <c r="H70" s="55"/>
      <c r="I70" s="55"/>
      <c r="J70" s="55"/>
      <c r="K70" s="5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1"/>
      <c r="Z70" s="10"/>
      <c r="AA70" s="11"/>
      <c r="AB70" s="10"/>
    </row>
    <row r="71" customFormat="false" ht="12.75" hidden="false" customHeight="false" outlineLevel="0" collapsed="false">
      <c r="B71" s="51"/>
      <c r="C71" s="53"/>
      <c r="D71" s="54"/>
      <c r="E71" s="55"/>
      <c r="F71" s="55"/>
      <c r="G71" s="55"/>
      <c r="H71" s="55"/>
      <c r="I71" s="55"/>
      <c r="J71" s="55"/>
      <c r="K71" s="5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1"/>
      <c r="Z71" s="10"/>
      <c r="AA71" s="11"/>
      <c r="AB71" s="10"/>
    </row>
    <row r="72" customFormat="false" ht="12.75" hidden="false" customHeight="false" outlineLevel="0" collapsed="false">
      <c r="B72" s="51"/>
      <c r="C72" s="53"/>
      <c r="D72" s="54"/>
      <c r="E72" s="55"/>
      <c r="F72" s="55"/>
      <c r="G72" s="55"/>
      <c r="H72" s="55"/>
      <c r="I72" s="55"/>
      <c r="J72" s="55"/>
      <c r="K72" s="5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1"/>
      <c r="Z72" s="10"/>
      <c r="AA72" s="11"/>
      <c r="AB72" s="10"/>
    </row>
    <row r="73" customFormat="false" ht="12.75" hidden="false" customHeight="false" outlineLevel="0" collapsed="false">
      <c r="B73" s="51"/>
      <c r="C73" s="53"/>
      <c r="D73" s="54"/>
      <c r="E73" s="55"/>
      <c r="F73" s="55"/>
      <c r="G73" s="55"/>
      <c r="H73" s="55"/>
      <c r="I73" s="55"/>
      <c r="J73" s="55"/>
      <c r="K73" s="5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1"/>
      <c r="Z73" s="10"/>
      <c r="AA73" s="11"/>
      <c r="AB73" s="10"/>
    </row>
    <row r="74" customFormat="false" ht="12.75" hidden="false" customHeight="false" outlineLevel="0" collapsed="false">
      <c r="B74" s="51"/>
      <c r="C74" s="53"/>
      <c r="D74" s="54"/>
      <c r="E74" s="55"/>
      <c r="F74" s="55"/>
      <c r="G74" s="55"/>
      <c r="H74" s="55"/>
      <c r="I74" s="55"/>
      <c r="J74" s="55"/>
      <c r="K74" s="5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1"/>
      <c r="Z74" s="10"/>
      <c r="AA74" s="11"/>
      <c r="AB74" s="10"/>
    </row>
    <row r="75" customFormat="false" ht="12.75" hidden="false" customHeight="false" outlineLevel="0" collapsed="false">
      <c r="B75" s="51"/>
      <c r="C75" s="53"/>
      <c r="D75" s="54"/>
      <c r="E75" s="55"/>
      <c r="F75" s="55"/>
      <c r="G75" s="55"/>
      <c r="H75" s="55"/>
      <c r="I75" s="55"/>
      <c r="J75" s="55"/>
      <c r="K75" s="5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1"/>
      <c r="Z75" s="10"/>
      <c r="AA75" s="11"/>
      <c r="AB75" s="10"/>
    </row>
    <row r="76" customFormat="false" ht="12.75" hidden="false" customHeight="false" outlineLevel="0" collapsed="false">
      <c r="B76" s="51"/>
      <c r="C76" s="53"/>
      <c r="D76" s="54"/>
      <c r="E76" s="55"/>
      <c r="F76" s="55"/>
      <c r="G76" s="55"/>
      <c r="H76" s="55"/>
      <c r="I76" s="55"/>
      <c r="J76" s="55"/>
      <c r="K76" s="5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1"/>
      <c r="Z76" s="10"/>
      <c r="AA76" s="11"/>
      <c r="AB76" s="10"/>
    </row>
    <row r="77" customFormat="false" ht="12.75" hidden="false" customHeight="false" outlineLevel="0" collapsed="false">
      <c r="B77" s="51"/>
      <c r="C77" s="53"/>
      <c r="D77" s="54"/>
      <c r="E77" s="55"/>
      <c r="F77" s="55"/>
      <c r="G77" s="55"/>
      <c r="H77" s="55"/>
      <c r="I77" s="55"/>
      <c r="J77" s="55"/>
      <c r="K77" s="5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1"/>
      <c r="Z77" s="10"/>
      <c r="AA77" s="11"/>
      <c r="AB77" s="10"/>
    </row>
    <row r="78" customFormat="false" ht="12.75" hidden="false" customHeight="false" outlineLevel="0" collapsed="false">
      <c r="B78" s="51"/>
      <c r="C78" s="53"/>
      <c r="D78" s="54"/>
      <c r="E78" s="55"/>
      <c r="F78" s="55"/>
      <c r="G78" s="55"/>
      <c r="H78" s="55"/>
      <c r="I78" s="55"/>
      <c r="J78" s="55"/>
      <c r="K78" s="5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1"/>
      <c r="Z78" s="10"/>
      <c r="AA78" s="11"/>
      <c r="AB78" s="10"/>
    </row>
    <row r="79" customFormat="false" ht="12.75" hidden="false" customHeight="false" outlineLevel="0" collapsed="false">
      <c r="B79" s="51"/>
      <c r="C79" s="53"/>
      <c r="D79" s="54"/>
      <c r="E79" s="55"/>
      <c r="F79" s="55"/>
      <c r="G79" s="55"/>
      <c r="H79" s="55"/>
      <c r="I79" s="55"/>
      <c r="J79" s="55"/>
      <c r="K79" s="5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1"/>
      <c r="Z79" s="10"/>
      <c r="AA79" s="11"/>
      <c r="AB79" s="10"/>
    </row>
    <row r="80" customFormat="false" ht="12.75" hidden="false" customHeight="false" outlineLevel="0" collapsed="false">
      <c r="B80" s="51"/>
      <c r="C80" s="53"/>
      <c r="D80" s="54"/>
      <c r="E80" s="55"/>
      <c r="F80" s="55"/>
      <c r="G80" s="55"/>
      <c r="H80" s="55"/>
      <c r="I80" s="55"/>
      <c r="J80" s="55"/>
      <c r="K80" s="5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1"/>
      <c r="Z80" s="10"/>
      <c r="AA80" s="11"/>
      <c r="AB80" s="10"/>
    </row>
    <row r="81" customFormat="false" ht="13.5" hidden="false" customHeight="false" outlineLevel="0" collapsed="false">
      <c r="B81" s="51"/>
      <c r="C81" s="53"/>
      <c r="D81" s="56"/>
      <c r="E81" s="55"/>
      <c r="F81" s="55"/>
      <c r="G81" s="5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1"/>
      <c r="Z81" s="10"/>
      <c r="AA81" s="11"/>
      <c r="AB81" s="10"/>
    </row>
    <row r="82" customFormat="false" ht="12.75" hidden="false" customHeight="false" outlineLevel="0" collapsed="false">
      <c r="B82" s="51"/>
      <c r="C82" s="53"/>
      <c r="D82" s="57"/>
      <c r="E82" s="55"/>
      <c r="F82" s="55"/>
      <c r="G82" s="5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"/>
      <c r="Z82" s="10"/>
      <c r="AA82" s="11"/>
      <c r="AB82" s="10"/>
    </row>
    <row r="83" customFormat="false" ht="13.5" hidden="false" customHeight="false" outlineLevel="0" collapsed="false">
      <c r="B83" s="51"/>
      <c r="C83" s="53"/>
      <c r="D83" s="58"/>
      <c r="E83" s="55"/>
      <c r="F83" s="55"/>
      <c r="G83" s="5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1"/>
      <c r="Z83" s="10"/>
      <c r="AA83" s="11"/>
      <c r="AB83" s="10"/>
    </row>
    <row r="84" customFormat="false" ht="13.5" hidden="false" customHeight="false" outlineLevel="0" collapsed="false">
      <c r="B84" s="51"/>
      <c r="C84" s="53"/>
      <c r="D84" s="58"/>
      <c r="E84" s="55"/>
      <c r="F84" s="55"/>
      <c r="G84" s="5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1"/>
      <c r="Z84" s="10"/>
      <c r="AA84" s="11"/>
      <c r="AB84" s="10"/>
    </row>
    <row r="85" customFormat="false" ht="12.75" hidden="false" customHeight="false" outlineLevel="0" collapsed="false">
      <c r="B85" s="51"/>
      <c r="C85" s="53"/>
      <c r="D85" s="59"/>
      <c r="E85" s="55"/>
      <c r="F85" s="55"/>
      <c r="G85" s="5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1"/>
      <c r="Z85" s="10"/>
      <c r="AA85" s="11"/>
      <c r="AB85" s="10"/>
    </row>
    <row r="86" customFormat="false" ht="12.75" hidden="false" customHeight="false" outlineLevel="0" collapsed="false">
      <c r="B86" s="51"/>
      <c r="C86" s="53"/>
      <c r="D86" s="59"/>
      <c r="E86" s="55"/>
      <c r="F86" s="55"/>
      <c r="G86" s="5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1"/>
      <c r="Z86" s="10"/>
      <c r="AA86" s="11"/>
      <c r="AB86" s="10"/>
    </row>
    <row r="87" customFormat="false" ht="12.75" hidden="false" customHeight="false" outlineLevel="0" collapsed="false">
      <c r="B87" s="51"/>
      <c r="C87" s="53"/>
      <c r="D87" s="59"/>
      <c r="E87" s="55"/>
      <c r="F87" s="55"/>
      <c r="G87" s="5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1"/>
      <c r="Z87" s="10"/>
      <c r="AA87" s="11"/>
      <c r="AB87" s="10"/>
    </row>
    <row r="88" customFormat="false" ht="12.75" hidden="false" customHeight="false" outlineLevel="0" collapsed="false">
      <c r="B88" s="51"/>
      <c r="C88" s="53"/>
      <c r="D88" s="59"/>
      <c r="E88" s="55"/>
      <c r="F88" s="55"/>
      <c r="G88" s="5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1"/>
      <c r="Z88" s="10"/>
      <c r="AA88" s="11"/>
      <c r="AB88" s="10"/>
    </row>
    <row r="89" customFormat="false" ht="12.75" hidden="false" customHeight="false" outlineLevel="0" collapsed="false">
      <c r="B89" s="51"/>
      <c r="C89" s="53"/>
      <c r="D89" s="59"/>
      <c r="E89" s="55"/>
      <c r="F89" s="55"/>
      <c r="G89" s="5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1"/>
      <c r="Z89" s="10"/>
      <c r="AA89" s="11"/>
      <c r="AB89" s="10"/>
    </row>
    <row r="90" customFormat="false" ht="12.75" hidden="false" customHeight="false" outlineLevel="0" collapsed="false">
      <c r="B90" s="51"/>
      <c r="C90" s="53"/>
      <c r="D90" s="59"/>
      <c r="E90" s="55"/>
      <c r="F90" s="55"/>
      <c r="G90" s="5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1"/>
      <c r="Z90" s="10"/>
      <c r="AA90" s="11"/>
      <c r="AB90" s="10"/>
    </row>
    <row r="91" customFormat="false" ht="12.75" hidden="false" customHeight="false" outlineLevel="0" collapsed="false">
      <c r="B91" s="51"/>
      <c r="C91" s="53"/>
      <c r="D91" s="59"/>
      <c r="E91" s="55"/>
      <c r="F91" s="55"/>
      <c r="G91" s="5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1"/>
      <c r="Z91" s="10"/>
      <c r="AA91" s="11"/>
      <c r="AB91" s="10"/>
    </row>
    <row r="92" customFormat="false" ht="12.75" hidden="false" customHeight="false" outlineLevel="0" collapsed="false">
      <c r="B92" s="51"/>
      <c r="C92" s="53"/>
      <c r="D92" s="59"/>
      <c r="E92" s="55"/>
      <c r="F92" s="55"/>
      <c r="G92" s="5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1"/>
      <c r="Z92" s="10"/>
      <c r="AA92" s="11"/>
      <c r="AB92" s="10"/>
    </row>
    <row r="93" customFormat="false" ht="12.75" hidden="false" customHeight="false" outlineLevel="0" collapsed="false">
      <c r="B93" s="51"/>
      <c r="C93" s="53"/>
      <c r="D93" s="59"/>
      <c r="E93" s="55"/>
      <c r="F93" s="55"/>
      <c r="G93" s="5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1"/>
      <c r="Z93" s="10"/>
      <c r="AA93" s="11"/>
      <c r="AB93" s="10"/>
    </row>
    <row r="94" customFormat="false" ht="12.75" hidden="false" customHeight="false" outlineLevel="0" collapsed="false">
      <c r="B94" s="51"/>
      <c r="C94" s="53"/>
      <c r="D94" s="59"/>
      <c r="E94" s="55"/>
      <c r="F94" s="55"/>
      <c r="G94" s="5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1"/>
      <c r="Z94" s="10"/>
      <c r="AA94" s="11"/>
      <c r="AB94" s="10"/>
    </row>
    <row r="95" customFormat="false" ht="12.75" hidden="false" customHeight="false" outlineLevel="0" collapsed="false">
      <c r="B95" s="51"/>
      <c r="C95" s="53"/>
      <c r="D95" s="59"/>
      <c r="E95" s="55"/>
      <c r="F95" s="55"/>
      <c r="G95" s="5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1"/>
      <c r="Z95" s="10"/>
      <c r="AA95" s="11"/>
      <c r="AB95" s="10"/>
    </row>
    <row r="96" customFormat="false" ht="12.75" hidden="false" customHeight="false" outlineLevel="0" collapsed="false">
      <c r="B96" s="51"/>
      <c r="C96" s="53"/>
      <c r="D96" s="59"/>
      <c r="E96" s="55"/>
      <c r="F96" s="55"/>
      <c r="G96" s="5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1"/>
      <c r="Z96" s="10"/>
      <c r="AA96" s="11"/>
      <c r="AB96" s="10"/>
    </row>
    <row r="97" customFormat="false" ht="12.75" hidden="false" customHeight="false" outlineLevel="0" collapsed="false">
      <c r="B97" s="51"/>
      <c r="C97" s="53"/>
      <c r="D97" s="59"/>
      <c r="E97" s="55"/>
      <c r="F97" s="55"/>
      <c r="G97" s="5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1"/>
      <c r="Z97" s="10"/>
      <c r="AA97" s="11"/>
      <c r="AB97" s="10"/>
    </row>
    <row r="98" customFormat="false" ht="12.75" hidden="false" customHeight="false" outlineLevel="0" collapsed="false">
      <c r="B98" s="51"/>
      <c r="C98" s="53"/>
      <c r="D98" s="59"/>
      <c r="E98" s="55"/>
      <c r="F98" s="55"/>
      <c r="G98" s="5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1"/>
      <c r="Z98" s="10"/>
      <c r="AA98" s="11"/>
      <c r="AB98" s="10"/>
    </row>
    <row r="99" customFormat="false" ht="12.75" hidden="false" customHeight="false" outlineLevel="0" collapsed="false">
      <c r="B99" s="51"/>
      <c r="C99" s="53"/>
      <c r="D99" s="59"/>
      <c r="E99" s="55"/>
      <c r="F99" s="55"/>
      <c r="G99" s="5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1"/>
      <c r="Z99" s="10"/>
      <c r="AA99" s="11"/>
      <c r="AB99" s="10"/>
    </row>
    <row r="100" customFormat="false" ht="12.75" hidden="false" customHeight="false" outlineLevel="0" collapsed="false">
      <c r="B100" s="51"/>
      <c r="C100" s="53"/>
      <c r="D100" s="59"/>
      <c r="E100" s="55"/>
      <c r="F100" s="55"/>
      <c r="G100" s="5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1"/>
      <c r="Z100" s="10"/>
      <c r="AA100" s="11"/>
      <c r="AB100" s="10"/>
    </row>
    <row r="101" customFormat="false" ht="12.75" hidden="false" customHeight="false" outlineLevel="0" collapsed="false">
      <c r="B101" s="51"/>
      <c r="C101" s="53"/>
      <c r="D101" s="59"/>
      <c r="E101" s="55"/>
      <c r="F101" s="55"/>
      <c r="G101" s="5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1"/>
      <c r="Z101" s="10"/>
      <c r="AA101" s="11"/>
      <c r="AB101" s="10"/>
    </row>
    <row r="102" customFormat="false" ht="12.75" hidden="false" customHeight="false" outlineLevel="0" collapsed="false">
      <c r="B102" s="51"/>
      <c r="C102" s="53"/>
      <c r="D102" s="59"/>
      <c r="E102" s="55"/>
      <c r="F102" s="55"/>
      <c r="G102" s="5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1"/>
      <c r="Z102" s="10"/>
      <c r="AA102" s="11"/>
      <c r="AB102" s="10"/>
    </row>
    <row r="103" customFormat="false" ht="12.75" hidden="false" customHeight="false" outlineLevel="0" collapsed="false">
      <c r="B103" s="51"/>
      <c r="C103" s="53"/>
      <c r="D103" s="59"/>
      <c r="E103" s="55"/>
      <c r="F103" s="55"/>
      <c r="G103" s="5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1"/>
      <c r="Z103" s="10"/>
      <c r="AA103" s="11"/>
      <c r="AB103" s="10"/>
    </row>
    <row r="104" customFormat="false" ht="12.75" hidden="false" customHeight="false" outlineLevel="0" collapsed="false">
      <c r="B104" s="51"/>
      <c r="C104" s="53"/>
      <c r="D104" s="59"/>
      <c r="E104" s="55"/>
      <c r="F104" s="55"/>
      <c r="G104" s="5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1"/>
      <c r="Z104" s="10"/>
      <c r="AA104" s="11"/>
      <c r="AB104" s="10"/>
    </row>
    <row r="105" customFormat="false" ht="12.75" hidden="false" customHeight="false" outlineLevel="0" collapsed="false">
      <c r="B105" s="51"/>
      <c r="C105" s="53"/>
      <c r="D105" s="59"/>
      <c r="E105" s="55"/>
      <c r="F105" s="55"/>
      <c r="G105" s="5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1"/>
      <c r="Z105" s="10"/>
      <c r="AA105" s="11"/>
      <c r="AB105" s="10"/>
    </row>
    <row r="106" customFormat="false" ht="12.75" hidden="false" customHeight="false" outlineLevel="0" collapsed="false">
      <c r="B106" s="51"/>
      <c r="C106" s="53"/>
      <c r="D106" s="59"/>
      <c r="E106" s="55"/>
      <c r="F106" s="55"/>
      <c r="G106" s="5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1"/>
      <c r="Z106" s="10"/>
      <c r="AA106" s="11"/>
      <c r="AB106" s="10"/>
    </row>
    <row r="107" customFormat="false" ht="12.75" hidden="false" customHeight="false" outlineLevel="0" collapsed="false">
      <c r="B107" s="51"/>
      <c r="C107" s="53"/>
      <c r="D107" s="59"/>
      <c r="E107" s="55"/>
      <c r="F107" s="55"/>
      <c r="G107" s="5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1"/>
      <c r="Z107" s="10"/>
      <c r="AA107" s="11"/>
      <c r="AB107" s="10"/>
    </row>
    <row r="108" customFormat="false" ht="12.75" hidden="false" customHeight="false" outlineLevel="0" collapsed="false">
      <c r="B108" s="51"/>
      <c r="C108" s="53"/>
      <c r="D108" s="59"/>
      <c r="E108" s="55"/>
      <c r="F108" s="55"/>
      <c r="G108" s="5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1"/>
      <c r="Z108" s="10"/>
      <c r="AA108" s="11"/>
      <c r="AB108" s="10"/>
    </row>
    <row r="109" customFormat="false" ht="12.75" hidden="false" customHeight="false" outlineLevel="0" collapsed="false">
      <c r="B109" s="51"/>
      <c r="C109" s="53"/>
      <c r="D109" s="59"/>
      <c r="E109" s="55"/>
      <c r="F109" s="55"/>
      <c r="G109" s="5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1"/>
      <c r="Z109" s="10"/>
      <c r="AA109" s="11"/>
      <c r="AB109" s="10"/>
    </row>
    <row r="110" customFormat="false" ht="12.75" hidden="false" customHeight="false" outlineLevel="0" collapsed="false">
      <c r="B110" s="51"/>
      <c r="C110" s="53"/>
      <c r="D110" s="59"/>
      <c r="E110" s="55"/>
      <c r="F110" s="55"/>
      <c r="G110" s="5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1"/>
      <c r="Z110" s="10"/>
      <c r="AA110" s="11"/>
      <c r="AB110" s="10"/>
    </row>
    <row r="111" customFormat="false" ht="12.75" hidden="false" customHeight="false" outlineLevel="0" collapsed="false">
      <c r="B111" s="51"/>
      <c r="C111" s="53"/>
      <c r="D111" s="59"/>
      <c r="E111" s="55"/>
      <c r="F111" s="55"/>
      <c r="G111" s="5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1"/>
      <c r="Z111" s="10"/>
      <c r="AA111" s="11"/>
      <c r="AB111" s="10"/>
    </row>
    <row r="112" customFormat="false" ht="12.75" hidden="false" customHeight="false" outlineLevel="0" collapsed="false">
      <c r="B112" s="51"/>
      <c r="C112" s="53"/>
      <c r="D112" s="59"/>
      <c r="E112" s="55"/>
      <c r="F112" s="55"/>
      <c r="G112" s="5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1"/>
      <c r="Z112" s="10"/>
      <c r="AA112" s="11"/>
      <c r="AB112" s="10"/>
    </row>
    <row r="113" customFormat="false" ht="12.75" hidden="false" customHeight="false" outlineLevel="0" collapsed="false">
      <c r="B113" s="51"/>
      <c r="C113" s="53"/>
      <c r="D113" s="59"/>
      <c r="E113" s="55"/>
      <c r="F113" s="55"/>
      <c r="G113" s="5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1"/>
      <c r="Z113" s="10"/>
      <c r="AA113" s="11"/>
      <c r="AB113" s="10"/>
    </row>
    <row r="114" customFormat="false" ht="12.75" hidden="false" customHeight="false" outlineLevel="0" collapsed="false">
      <c r="B114" s="51"/>
      <c r="C114" s="53"/>
      <c r="D114" s="59"/>
      <c r="E114" s="55"/>
      <c r="F114" s="55"/>
      <c r="G114" s="5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1"/>
      <c r="Z114" s="10"/>
      <c r="AA114" s="11"/>
      <c r="AB114" s="10"/>
    </row>
    <row r="115" customFormat="false" ht="12.75" hidden="false" customHeight="false" outlineLevel="0" collapsed="false">
      <c r="B115" s="60"/>
      <c r="C115" s="59"/>
      <c r="D115" s="59"/>
      <c r="E115" s="55"/>
      <c r="F115" s="55"/>
      <c r="G115" s="5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1"/>
      <c r="Z115" s="10"/>
      <c r="AA115" s="11"/>
      <c r="AB115" s="10"/>
    </row>
    <row r="116" customFormat="false" ht="12.75" hidden="false" customHeight="false" outlineLevel="0" collapsed="false">
      <c r="B116" s="60"/>
      <c r="C116" s="59"/>
      <c r="D116" s="59"/>
      <c r="E116" s="55"/>
      <c r="F116" s="55"/>
      <c r="G116" s="5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1"/>
      <c r="Z116" s="10"/>
      <c r="AA116" s="11"/>
      <c r="AB116" s="10"/>
    </row>
    <row r="117" customFormat="false" ht="12.75" hidden="false" customHeight="false" outlineLevel="0" collapsed="false">
      <c r="B117" s="60"/>
      <c r="C117" s="59"/>
      <c r="D117" s="59"/>
      <c r="E117" s="55"/>
      <c r="F117" s="55"/>
      <c r="G117" s="5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1"/>
      <c r="Z117" s="10"/>
      <c r="AA117" s="11"/>
      <c r="AB117" s="10"/>
    </row>
    <row r="118" customFormat="false" ht="12.75" hidden="false" customHeight="false" outlineLevel="0" collapsed="false">
      <c r="B118" s="60"/>
      <c r="C118" s="59"/>
      <c r="D118" s="59"/>
      <c r="E118" s="55"/>
      <c r="F118" s="55"/>
      <c r="G118" s="5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1"/>
      <c r="Z118" s="10"/>
      <c r="AA118" s="11"/>
      <c r="AB118" s="10"/>
    </row>
    <row r="119" customFormat="false" ht="12.75" hidden="false" customHeight="false" outlineLevel="0" collapsed="false">
      <c r="B119" s="60"/>
      <c r="C119" s="59"/>
      <c r="D119" s="59"/>
      <c r="E119" s="55"/>
      <c r="F119" s="55"/>
      <c r="G119" s="5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1"/>
      <c r="Z119" s="10"/>
      <c r="AA119" s="11"/>
      <c r="AB119" s="10"/>
    </row>
    <row r="120" customFormat="false" ht="12.75" hidden="false" customHeight="false" outlineLevel="0" collapsed="false">
      <c r="B120" s="60"/>
      <c r="C120" s="59"/>
      <c r="D120" s="59"/>
      <c r="E120" s="55"/>
      <c r="F120" s="55"/>
      <c r="G120" s="5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1"/>
      <c r="Z120" s="10"/>
      <c r="AA120" s="11"/>
      <c r="AB120" s="10"/>
    </row>
    <row r="121" customFormat="false" ht="12.75" hidden="false" customHeight="false" outlineLevel="0" collapsed="false">
      <c r="B121" s="60"/>
      <c r="C121" s="59"/>
      <c r="D121" s="59"/>
      <c r="E121" s="55"/>
      <c r="F121" s="55"/>
      <c r="G121" s="5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1"/>
      <c r="Z121" s="10"/>
      <c r="AA121" s="11"/>
      <c r="AB121" s="10"/>
    </row>
    <row r="122" customFormat="false" ht="12.75" hidden="false" customHeight="false" outlineLevel="0" collapsed="false">
      <c r="B122" s="60"/>
      <c r="C122" s="59"/>
      <c r="D122" s="59"/>
      <c r="E122" s="55"/>
      <c r="F122" s="55"/>
      <c r="G122" s="5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1"/>
      <c r="Z122" s="10"/>
      <c r="AA122" s="11"/>
      <c r="AB122" s="10"/>
    </row>
    <row r="123" customFormat="false" ht="12.75" hidden="false" customHeight="false" outlineLevel="0" collapsed="false">
      <c r="B123" s="60"/>
      <c r="C123" s="59"/>
      <c r="D123" s="59"/>
      <c r="E123" s="55"/>
      <c r="F123" s="55"/>
      <c r="G123" s="5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1"/>
      <c r="Z123" s="10"/>
      <c r="AA123" s="11"/>
      <c r="AB123" s="10"/>
    </row>
    <row r="124" customFormat="false" ht="12.75" hidden="false" customHeight="false" outlineLevel="0" collapsed="false">
      <c r="B124" s="60"/>
      <c r="C124" s="59"/>
      <c r="D124" s="59"/>
      <c r="E124" s="55"/>
      <c r="F124" s="55"/>
      <c r="G124" s="5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1"/>
      <c r="Z124" s="10"/>
      <c r="AA124" s="11"/>
      <c r="AB124" s="10"/>
    </row>
    <row r="125" customFormat="false" ht="12.75" hidden="false" customHeight="false" outlineLevel="0" collapsed="false">
      <c r="B125" s="60"/>
      <c r="C125" s="59"/>
      <c r="D125" s="59"/>
      <c r="E125" s="55"/>
      <c r="F125" s="55"/>
      <c r="G125" s="5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1"/>
      <c r="Z125" s="10"/>
      <c r="AA125" s="11"/>
      <c r="AB125" s="10"/>
    </row>
    <row r="126" customFormat="false" ht="12.75" hidden="false" customHeight="false" outlineLevel="0" collapsed="false">
      <c r="B126" s="60"/>
      <c r="C126" s="59"/>
      <c r="D126" s="59"/>
      <c r="E126" s="55"/>
      <c r="F126" s="55"/>
      <c r="G126" s="5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1"/>
      <c r="Z126" s="10"/>
      <c r="AA126" s="11"/>
      <c r="AB126" s="10"/>
    </row>
    <row r="127" customFormat="false" ht="12.75" hidden="false" customHeight="false" outlineLevel="0" collapsed="false">
      <c r="B127" s="60"/>
      <c r="C127" s="59"/>
      <c r="D127" s="59"/>
      <c r="E127" s="55"/>
      <c r="F127" s="55"/>
      <c r="G127" s="5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1"/>
      <c r="Z127" s="10"/>
      <c r="AA127" s="11"/>
      <c r="AB127" s="1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T1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9" activeCellId="0" sqref="D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8.7"/>
    <col collapsed="false" customWidth="true" hidden="false" outlineLevel="0" max="2" min="2" style="1" width="9.56"/>
    <col collapsed="false" customWidth="true" hidden="false" outlineLevel="0" max="4" min="3" style="1" width="9.14"/>
    <col collapsed="false" customWidth="true" hidden="false" outlineLevel="0" max="5" min="5" style="1" width="10.13"/>
    <col collapsed="false" customWidth="true" hidden="false" outlineLevel="0" max="42" min="6" style="1" width="9.14"/>
    <col collapsed="false" customWidth="true" hidden="false" outlineLevel="0" max="76" min="76" style="1" width="9.14"/>
    <col collapsed="false" customWidth="true" hidden="false" outlineLevel="0" max="110" min="110" style="1" width="9.14"/>
    <col collapsed="false" customWidth="true" hidden="false" outlineLevel="0" max="144" min="144" style="1" width="9.14"/>
  </cols>
  <sheetData>
    <row r="1" customFormat="false" ht="12.75" hidden="false" customHeight="false" outlineLevel="0" collapsed="false">
      <c r="A1" s="5"/>
      <c r="B1" s="102"/>
      <c r="C1" s="4"/>
      <c r="D1" s="2" t="s">
        <v>134</v>
      </c>
      <c r="E1" s="2" t="n">
        <f aca="false">summerstrip</f>
        <v>5.3329</v>
      </c>
      <c r="F1" s="2"/>
      <c r="G1" s="103" t="s">
        <v>4</v>
      </c>
      <c r="I1" s="0"/>
      <c r="J1" s="0" t="s">
        <v>168</v>
      </c>
      <c r="K1" s="0"/>
      <c r="L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</row>
    <row r="2" customFormat="false" ht="12.75" hidden="false" customHeight="false" outlineLevel="0" collapsed="false">
      <c r="A2" s="5" t="s">
        <v>136</v>
      </c>
      <c r="B2" s="104" t="n">
        <f aca="true">TODAY()</f>
        <v>45926</v>
      </c>
      <c r="C2" s="4"/>
      <c r="D2" s="2" t="s">
        <v>137</v>
      </c>
      <c r="E2" s="2" t="n">
        <f aca="false">winterstrip</f>
        <v>5.12898285714286</v>
      </c>
      <c r="F2" s="2"/>
      <c r="G2" s="2"/>
      <c r="I2" s="0"/>
      <c r="K2" s="0" t="s">
        <v>169</v>
      </c>
      <c r="L2" s="0" t="s">
        <v>170</v>
      </c>
      <c r="O2" s="0"/>
      <c r="P2" s="0"/>
      <c r="Q2" s="0"/>
      <c r="S2" s="0"/>
      <c r="T2" s="0"/>
      <c r="U2" s="0"/>
      <c r="V2" s="0"/>
      <c r="W2" s="0"/>
      <c r="X2" s="0"/>
      <c r="Z2" s="0"/>
      <c r="AA2" s="0"/>
      <c r="AB2" s="0"/>
      <c r="AC2" s="0"/>
      <c r="AD2" s="0"/>
      <c r="AE2" s="0"/>
      <c r="AG2" s="0"/>
      <c r="AH2" s="0"/>
      <c r="AI2" s="0"/>
      <c r="AJ2" s="0"/>
      <c r="AK2" s="0"/>
      <c r="AL2" s="0"/>
      <c r="AP2" s="10"/>
      <c r="BX2" s="10"/>
      <c r="DF2" s="10"/>
      <c r="EN2" s="10"/>
    </row>
    <row r="3" customFormat="false" ht="12.75" hidden="false" customHeight="false" outlineLevel="0" collapsed="false">
      <c r="A3" s="2" t="s">
        <v>141</v>
      </c>
      <c r="B3" s="64" t="s">
        <v>35</v>
      </c>
      <c r="D3" s="64" t="s">
        <v>52</v>
      </c>
      <c r="E3" s="14"/>
      <c r="F3" s="64" t="s">
        <v>35</v>
      </c>
      <c r="H3" s="64" t="s">
        <v>35</v>
      </c>
      <c r="I3" s="14"/>
      <c r="J3" s="1" t="n">
        <v>-1</v>
      </c>
      <c r="K3" s="142" t="e">
        <f aca="false">#REF!</f>
        <v>#REF!</v>
      </c>
      <c r="L3" s="142" t="e">
        <f aca="false">#REF!</f>
        <v>#REF!</v>
      </c>
      <c r="O3" s="14"/>
      <c r="P3" s="14"/>
      <c r="Q3" s="14"/>
      <c r="S3" s="14"/>
      <c r="T3" s="14"/>
      <c r="U3" s="14"/>
      <c r="V3" s="14"/>
      <c r="W3" s="14"/>
      <c r="X3" s="14"/>
      <c r="Z3" s="14"/>
      <c r="AA3" s="14"/>
      <c r="AB3" s="14"/>
      <c r="AC3" s="14"/>
      <c r="AD3" s="14"/>
      <c r="AE3" s="14"/>
      <c r="AG3" s="14"/>
      <c r="AH3" s="14"/>
      <c r="AI3" s="14"/>
      <c r="AJ3" s="14"/>
      <c r="AK3" s="14"/>
      <c r="AL3" s="14"/>
      <c r="AP3" s="10"/>
      <c r="BX3" s="10"/>
      <c r="DF3" s="10"/>
      <c r="EN3" s="10"/>
    </row>
    <row r="4" customFormat="false" ht="12.75" hidden="false" customHeight="false" outlineLevel="0" collapsed="false">
      <c r="A4" s="2"/>
      <c r="B4" s="64" t="s">
        <v>174</v>
      </c>
      <c r="D4" s="64" t="s">
        <v>174</v>
      </c>
      <c r="E4" s="2"/>
      <c r="F4" s="64" t="s">
        <v>174</v>
      </c>
      <c r="G4" s="2"/>
      <c r="H4" s="64" t="s">
        <v>174</v>
      </c>
      <c r="I4" s="14"/>
      <c r="K4" s="142"/>
      <c r="L4" s="142"/>
      <c r="O4" s="14"/>
      <c r="P4" s="14"/>
      <c r="Q4" s="14"/>
      <c r="S4" s="14"/>
      <c r="T4" s="14"/>
      <c r="U4" s="14"/>
      <c r="V4" s="14"/>
      <c r="W4" s="14"/>
      <c r="X4" s="14"/>
      <c r="Z4" s="14"/>
      <c r="AA4" s="14"/>
      <c r="AB4" s="14"/>
      <c r="AC4" s="14"/>
      <c r="AD4" s="14"/>
      <c r="AE4" s="14"/>
      <c r="AG4" s="14"/>
      <c r="AH4" s="14"/>
      <c r="AI4" s="14"/>
      <c r="AJ4" s="14"/>
      <c r="AK4" s="14"/>
      <c r="AL4" s="14"/>
      <c r="AP4" s="10"/>
      <c r="BX4" s="10"/>
      <c r="DF4" s="10"/>
      <c r="EN4" s="10"/>
    </row>
    <row r="5" customFormat="false" ht="12.75" hidden="false" customHeight="false" outlineLevel="0" collapsed="false">
      <c r="A5" s="2"/>
      <c r="B5" s="2" t="s">
        <v>7</v>
      </c>
      <c r="D5" s="2" t="s">
        <v>8</v>
      </c>
      <c r="F5" s="2" t="s">
        <v>143</v>
      </c>
      <c r="H5" s="2" t="s">
        <v>144</v>
      </c>
      <c r="K5" s="142" t="e">
        <f aca="false">#REF!</f>
        <v>#REF!</v>
      </c>
      <c r="L5" s="142" t="e">
        <f aca="false">#REF!</f>
        <v>#REF!</v>
      </c>
      <c r="AP5" s="10"/>
      <c r="BX5" s="10"/>
      <c r="DF5" s="10"/>
      <c r="EN5" s="10"/>
    </row>
    <row r="6" customFormat="false" ht="12.75" hidden="false" customHeight="false" outlineLevel="0" collapsed="false">
      <c r="A6" s="2" t="s">
        <v>145</v>
      </c>
      <c r="B6" s="70" t="n">
        <v>36831</v>
      </c>
      <c r="C6" s="143"/>
      <c r="D6" s="70" t="n">
        <v>36831</v>
      </c>
      <c r="E6" s="143"/>
      <c r="F6" s="70" t="n">
        <v>36831</v>
      </c>
      <c r="G6" s="143"/>
      <c r="H6" s="70" t="n">
        <v>36831</v>
      </c>
      <c r="K6" s="142" t="e">
        <f aca="false">#REF!</f>
        <v>#REF!</v>
      </c>
      <c r="L6" s="142" t="e">
        <f aca="false">#REF!</f>
        <v>#REF!</v>
      </c>
      <c r="M6" s="2"/>
      <c r="N6" s="105"/>
      <c r="AP6" s="10"/>
      <c r="BX6" s="10"/>
      <c r="DF6" s="10"/>
      <c r="EN6" s="10"/>
    </row>
    <row r="7" customFormat="false" ht="12.75" hidden="false" customHeight="false" outlineLevel="0" collapsed="false">
      <c r="A7" s="5" t="s">
        <v>146</v>
      </c>
      <c r="B7" s="70" t="n">
        <v>36951</v>
      </c>
      <c r="C7" s="143"/>
      <c r="D7" s="70" t="n">
        <v>36951</v>
      </c>
      <c r="E7" s="143"/>
      <c r="F7" s="70" t="n">
        <v>36951</v>
      </c>
      <c r="G7" s="143"/>
      <c r="H7" s="70" t="n">
        <v>36951</v>
      </c>
      <c r="K7" s="107"/>
      <c r="L7" s="108"/>
      <c r="M7" s="5"/>
      <c r="N7" s="105"/>
      <c r="AP7" s="10"/>
      <c r="BX7" s="10"/>
      <c r="DF7" s="10"/>
      <c r="EN7" s="10"/>
    </row>
    <row r="8" customFormat="false" ht="12.75" hidden="false" customHeight="false" outlineLevel="0" collapsed="false">
      <c r="A8" s="109"/>
      <c r="B8" s="110"/>
      <c r="C8" s="111"/>
      <c r="D8" s="110"/>
      <c r="E8" s="111"/>
      <c r="F8" s="110"/>
      <c r="G8" s="111"/>
      <c r="H8" s="110"/>
      <c r="I8" s="111"/>
      <c r="M8" s="109"/>
      <c r="N8" s="112"/>
      <c r="O8" s="111"/>
      <c r="P8" s="111"/>
      <c r="Q8" s="111"/>
      <c r="S8" s="111"/>
      <c r="T8" s="111"/>
      <c r="U8" s="111"/>
      <c r="V8" s="111"/>
      <c r="W8" s="111"/>
      <c r="X8" s="111"/>
      <c r="Z8" s="111"/>
      <c r="AA8" s="111"/>
      <c r="AB8" s="111"/>
      <c r="AC8" s="111"/>
      <c r="AD8" s="111"/>
      <c r="AE8" s="111"/>
      <c r="AG8" s="111"/>
      <c r="AH8" s="111"/>
      <c r="AI8" s="111"/>
      <c r="AJ8" s="111"/>
      <c r="AK8" s="111"/>
      <c r="AP8" s="10"/>
      <c r="BX8" s="10"/>
      <c r="DF8" s="10"/>
      <c r="EN8" s="10"/>
    </row>
    <row r="9" customFormat="false" ht="12.75" hidden="false" customHeight="false" outlineLevel="0" collapsed="false">
      <c r="A9" s="109" t="s">
        <v>51</v>
      </c>
      <c r="B9" s="110" t="n">
        <f aca="false">AS31-AT31</f>
        <v>1.88172185430464</v>
      </c>
      <c r="C9" s="111"/>
      <c r="D9" s="110" t="n">
        <f aca="false">CA31-CB31</f>
        <v>0.167235099337749</v>
      </c>
      <c r="E9" s="111"/>
      <c r="F9" s="110" t="n">
        <f aca="false">DI31-DJ31</f>
        <v>1.88172185430464</v>
      </c>
      <c r="G9" s="111"/>
      <c r="H9" s="110" t="n">
        <f aca="false">EQ31-ER31</f>
        <v>1.88172185430464</v>
      </c>
      <c r="I9" s="111"/>
      <c r="J9" s="64"/>
      <c r="L9" s="64"/>
      <c r="M9" s="109"/>
      <c r="N9" s="112"/>
      <c r="O9" s="111"/>
      <c r="P9" s="111"/>
      <c r="Q9" s="111"/>
      <c r="S9" s="111"/>
      <c r="T9" s="111"/>
      <c r="U9" s="111"/>
      <c r="V9" s="111"/>
      <c r="W9" s="111"/>
      <c r="X9" s="111"/>
      <c r="Z9" s="111"/>
      <c r="AA9" s="111"/>
      <c r="AB9" s="111"/>
      <c r="AC9" s="111"/>
      <c r="AD9" s="111"/>
      <c r="AE9" s="111"/>
      <c r="AG9" s="111"/>
      <c r="AH9" s="111"/>
      <c r="AI9" s="111"/>
      <c r="AJ9" s="111"/>
      <c r="AK9" s="111"/>
      <c r="AP9" s="10"/>
      <c r="BX9" s="10"/>
      <c r="DF9" s="10"/>
      <c r="EN9" s="10"/>
    </row>
    <row r="10" customFormat="false" ht="12.75" hidden="false" customHeight="false" outlineLevel="0" collapsed="false">
      <c r="A10" s="109" t="s">
        <v>175</v>
      </c>
      <c r="B10" s="110" t="n">
        <f aca="false">AT31</f>
        <v>5.30147549668874</v>
      </c>
      <c r="C10" s="111"/>
      <c r="D10" s="110" t="n">
        <f aca="false">CB31</f>
        <v>5.30147549668874</v>
      </c>
      <c r="E10" s="111"/>
      <c r="F10" s="110" t="n">
        <f aca="false">DJ31</f>
        <v>5.30147549668874</v>
      </c>
      <c r="G10" s="111"/>
      <c r="H10" s="110" t="n">
        <f aca="false">ER31</f>
        <v>5.30147549668874</v>
      </c>
      <c r="I10" s="0"/>
      <c r="M10" s="62"/>
      <c r="N10" s="115"/>
      <c r="O10" s="111"/>
      <c r="P10" s="111"/>
      <c r="Q10" s="111"/>
      <c r="S10" s="111"/>
      <c r="T10" s="111"/>
      <c r="U10" s="111"/>
      <c r="V10" s="111"/>
      <c r="W10" s="111"/>
      <c r="X10" s="111"/>
      <c r="Z10" s="111"/>
      <c r="AA10" s="111"/>
      <c r="AB10" s="111"/>
      <c r="AC10" s="111"/>
      <c r="AD10" s="111"/>
      <c r="AE10" s="111"/>
      <c r="AG10" s="111"/>
      <c r="AH10" s="111"/>
      <c r="AI10" s="111"/>
      <c r="AJ10" s="111"/>
      <c r="AK10" s="111"/>
      <c r="AP10" s="10"/>
      <c r="BX10" s="10"/>
      <c r="DF10" s="10"/>
      <c r="EN10" s="10"/>
    </row>
    <row r="11" customFormat="false" ht="12.75" hidden="false" customHeight="false" outlineLevel="0" collapsed="false">
      <c r="I11" s="0"/>
      <c r="J11" s="64"/>
      <c r="K11" s="64" t="s">
        <v>31</v>
      </c>
      <c r="L11" s="64"/>
      <c r="M11" s="62"/>
      <c r="N11" s="115"/>
      <c r="O11" s="111"/>
      <c r="P11" s="111"/>
      <c r="Q11" s="111"/>
      <c r="S11" s="111"/>
      <c r="T11" s="111"/>
      <c r="U11" s="111"/>
      <c r="V11" s="111"/>
      <c r="W11" s="111"/>
      <c r="X11" s="111"/>
      <c r="Z11" s="111"/>
      <c r="AA11" s="111"/>
      <c r="AB11" s="111"/>
      <c r="AC11" s="111"/>
      <c r="AD11" s="111"/>
      <c r="AE11" s="111"/>
      <c r="AG11" s="111"/>
      <c r="AH11" s="111"/>
      <c r="AI11" s="111"/>
      <c r="AJ11" s="111"/>
      <c r="AK11" s="111"/>
      <c r="AP11" s="10"/>
      <c r="BX11" s="10"/>
      <c r="DF11" s="10"/>
      <c r="EN11" s="10"/>
    </row>
    <row r="12" customFormat="false" ht="12.75" hidden="false" customHeight="false" outlineLevel="0" collapsed="false">
      <c r="A12" s="109" t="s">
        <v>149</v>
      </c>
      <c r="B12" s="145" t="n">
        <v>0.03</v>
      </c>
      <c r="C12" s="146"/>
      <c r="D12" s="145" t="n">
        <v>0</v>
      </c>
      <c r="E12" s="146"/>
      <c r="F12" s="145" t="n">
        <v>0.03</v>
      </c>
      <c r="G12" s="146"/>
      <c r="H12" s="145" t="n">
        <v>0.03</v>
      </c>
      <c r="I12" s="0"/>
      <c r="J12" s="64"/>
      <c r="K12" s="64" t="s">
        <v>91</v>
      </c>
      <c r="L12" s="64"/>
      <c r="M12" s="62"/>
      <c r="N12" s="116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P12" s="10"/>
      <c r="BX12" s="10"/>
      <c r="DF12" s="10"/>
      <c r="EN12" s="10"/>
    </row>
    <row r="13" customFormat="false" ht="12.75" hidden="false" customHeight="false" outlineLevel="0" collapsed="false">
      <c r="A13" s="109" t="s">
        <v>176</v>
      </c>
      <c r="B13" s="145" t="n">
        <v>0</v>
      </c>
      <c r="C13" s="146"/>
      <c r="D13" s="145" t="n">
        <v>0</v>
      </c>
      <c r="E13" s="146"/>
      <c r="F13" s="145" t="n">
        <v>0</v>
      </c>
      <c r="G13" s="146"/>
      <c r="H13" s="145" t="n">
        <v>0</v>
      </c>
      <c r="I13" s="0"/>
      <c r="J13" s="64"/>
      <c r="K13" s="64" t="s">
        <v>31</v>
      </c>
      <c r="L13" s="64"/>
      <c r="M13" s="62"/>
      <c r="N13" s="116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O13" s="14"/>
      <c r="AP13" s="10"/>
      <c r="BX13" s="10"/>
      <c r="DF13" s="10"/>
      <c r="EN13" s="10"/>
    </row>
    <row r="14" customFormat="false" ht="12.75" hidden="false" customHeight="false" outlineLevel="0" collapsed="false">
      <c r="A14" s="62" t="s">
        <v>177</v>
      </c>
      <c r="B14" s="147" t="n">
        <v>0</v>
      </c>
      <c r="C14" s="147" t="n">
        <v>0</v>
      </c>
      <c r="D14" s="147" t="n">
        <v>0</v>
      </c>
      <c r="E14" s="147"/>
      <c r="F14" s="147" t="n">
        <v>0</v>
      </c>
      <c r="G14" s="147"/>
      <c r="H14" s="147" t="n">
        <v>0</v>
      </c>
      <c r="I14" s="0"/>
      <c r="J14" s="10"/>
      <c r="K14" s="64" t="s">
        <v>38</v>
      </c>
      <c r="L14" s="64"/>
      <c r="M14" s="62"/>
      <c r="N14" s="116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O14" s="14"/>
      <c r="AP14" s="10"/>
      <c r="BX14" s="10"/>
      <c r="DF14" s="10"/>
      <c r="EN14" s="10"/>
    </row>
    <row r="15" customFormat="false" ht="12.75" hidden="false" customHeight="false" outlineLevel="0" collapsed="false">
      <c r="A15" s="62" t="s">
        <v>178</v>
      </c>
      <c r="B15" s="147" t="n">
        <v>0</v>
      </c>
      <c r="C15" s="147"/>
      <c r="D15" s="147" t="n">
        <v>0</v>
      </c>
      <c r="E15" s="147"/>
      <c r="F15" s="147" t="n">
        <v>0</v>
      </c>
      <c r="G15" s="147"/>
      <c r="H15" s="147" t="n">
        <v>0</v>
      </c>
      <c r="I15" s="0"/>
      <c r="J15" s="10"/>
      <c r="K15" s="64"/>
      <c r="L15" s="64"/>
      <c r="M15" s="62"/>
      <c r="N15" s="116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O15" s="14"/>
      <c r="AP15" s="10"/>
      <c r="BX15" s="10"/>
      <c r="DF15" s="10"/>
      <c r="EN15" s="10"/>
    </row>
    <row r="16" customFormat="false" ht="12.75" hidden="false" customHeight="false" outlineLevel="0" collapsed="false">
      <c r="A16" s="62" t="s">
        <v>179</v>
      </c>
      <c r="B16" s="147" t="n">
        <v>0</v>
      </c>
      <c r="C16" s="148"/>
      <c r="D16" s="147" t="n">
        <v>0</v>
      </c>
      <c r="E16" s="149"/>
      <c r="F16" s="147" t="n">
        <v>0</v>
      </c>
      <c r="G16" s="149" t="n">
        <v>0</v>
      </c>
      <c r="H16" s="147" t="n">
        <v>0</v>
      </c>
      <c r="I16" s="0"/>
      <c r="K16" s="64" t="s">
        <v>42</v>
      </c>
      <c r="M16" s="61"/>
      <c r="N16" s="117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P16" s="10"/>
      <c r="BX16" s="10"/>
      <c r="DF16" s="10"/>
      <c r="EN16" s="10"/>
    </row>
    <row r="17" customFormat="false" ht="12.75" hidden="false" customHeight="false" outlineLevel="0" collapsed="false">
      <c r="A17" s="109"/>
      <c r="B17" s="145"/>
      <c r="C17" s="146"/>
      <c r="D17" s="145"/>
      <c r="E17" s="146"/>
      <c r="F17" s="145"/>
      <c r="G17" s="146"/>
      <c r="H17" s="145"/>
      <c r="I17" s="0"/>
      <c r="K17" s="64" t="s">
        <v>47</v>
      </c>
      <c r="L17" s="64"/>
      <c r="M17" s="62"/>
      <c r="N17" s="120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P17" s="10"/>
      <c r="BX17" s="10"/>
      <c r="DF17" s="10"/>
      <c r="EN17" s="10"/>
    </row>
    <row r="18" customFormat="false" ht="12.75" hidden="false" customHeight="false" outlineLevel="0" collapsed="false">
      <c r="A18" s="62" t="s">
        <v>9</v>
      </c>
      <c r="B18" s="150" t="n">
        <v>2</v>
      </c>
      <c r="C18" s="149"/>
      <c r="D18" s="150" t="n">
        <v>0.2</v>
      </c>
      <c r="E18" s="149"/>
      <c r="F18" s="150" t="n">
        <v>1.85</v>
      </c>
      <c r="G18" s="149"/>
      <c r="H18" s="150" t="n">
        <v>1.85</v>
      </c>
      <c r="I18" s="0"/>
      <c r="J18" s="64"/>
      <c r="K18" s="64" t="s">
        <v>37</v>
      </c>
      <c r="L18" s="64"/>
      <c r="M18" s="62"/>
      <c r="N18" s="120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P18" s="10"/>
      <c r="BX18" s="10"/>
      <c r="DF18" s="10"/>
      <c r="EN18" s="10"/>
    </row>
    <row r="19" customFormat="false" ht="12.75" hidden="false" customHeight="false" outlineLevel="0" collapsed="false">
      <c r="A19" s="62" t="s">
        <v>10</v>
      </c>
      <c r="B19" s="151" t="n">
        <v>1</v>
      </c>
      <c r="C19" s="149"/>
      <c r="D19" s="151" t="n">
        <v>1</v>
      </c>
      <c r="E19" s="149"/>
      <c r="F19" s="151" t="n">
        <v>1</v>
      </c>
      <c r="G19" s="149"/>
      <c r="H19" s="151" t="n">
        <v>0</v>
      </c>
      <c r="I19" s="0"/>
      <c r="K19" s="64" t="s">
        <v>52</v>
      </c>
      <c r="N19" s="120"/>
    </row>
    <row r="20" customFormat="false" ht="12.75" hidden="false" customHeight="false" outlineLevel="0" collapsed="false">
      <c r="I20" s="0"/>
      <c r="K20" s="64" t="s">
        <v>75</v>
      </c>
      <c r="N20" s="120"/>
    </row>
    <row r="21" customFormat="false" ht="12.75" hidden="false" customHeight="false" outlineLevel="0" collapsed="false">
      <c r="A21" s="62" t="s">
        <v>1</v>
      </c>
      <c r="B21" s="120" t="e">
        <f aca="false">BK$31</f>
        <v>#NAME?</v>
      </c>
      <c r="C21" s="114"/>
      <c r="D21" s="120" t="e">
        <f aca="false">CS$31</f>
        <v>#NAME?</v>
      </c>
      <c r="E21" s="114"/>
      <c r="F21" s="120" t="e">
        <f aca="false">EA$31</f>
        <v>#NAME?</v>
      </c>
      <c r="G21" s="114"/>
      <c r="H21" s="120" t="e">
        <f aca="false">FI$31</f>
        <v>#NAME?</v>
      </c>
      <c r="I21" s="0"/>
      <c r="K21" s="64" t="s">
        <v>58</v>
      </c>
      <c r="N21" s="120"/>
      <c r="AM21" s="120" t="n">
        <f aca="false">FH$31</f>
        <v>0</v>
      </c>
    </row>
    <row r="22" customFormat="false" ht="12.75" hidden="false" customHeight="false" outlineLevel="0" collapsed="false">
      <c r="A22" s="62" t="s">
        <v>180</v>
      </c>
      <c r="B22" s="120" t="e">
        <f aca="false">BL$31</f>
        <v>#NAME?</v>
      </c>
      <c r="C22" s="114"/>
      <c r="D22" s="120" t="e">
        <f aca="false">CT$31</f>
        <v>#NAME?</v>
      </c>
      <c r="E22" s="114"/>
      <c r="F22" s="120" t="e">
        <f aca="false">EB$31</f>
        <v>#NAME?</v>
      </c>
      <c r="G22" s="114"/>
      <c r="H22" s="120" t="e">
        <f aca="false">FJ$31</f>
        <v>#NAME?</v>
      </c>
      <c r="K22" s="64" t="s">
        <v>35</v>
      </c>
      <c r="AM22" s="120" t="e">
        <f aca="false">FI$31</f>
        <v>#NAME?</v>
      </c>
    </row>
    <row r="23" customFormat="false" ht="12.75" hidden="false" customHeight="false" outlineLevel="0" collapsed="false">
      <c r="A23" s="62" t="s">
        <v>181</v>
      </c>
      <c r="B23" s="120" t="e">
        <f aca="false">BM$31</f>
        <v>#NAME?</v>
      </c>
      <c r="C23" s="114"/>
      <c r="D23" s="120" t="e">
        <f aca="false">CU$31</f>
        <v>#NAME?</v>
      </c>
      <c r="E23" s="114"/>
      <c r="F23" s="120" t="e">
        <f aca="false">EC$31</f>
        <v>#NAME?</v>
      </c>
      <c r="G23" s="114"/>
      <c r="H23" s="120" t="e">
        <f aca="false">FK$31</f>
        <v>#NAME?</v>
      </c>
      <c r="K23" s="64" t="s">
        <v>87</v>
      </c>
      <c r="AM23" s="120" t="e">
        <f aca="false">FJ$31</f>
        <v>#NAME?</v>
      </c>
    </row>
    <row r="24" customFormat="false" ht="12.75" hidden="false" customHeight="false" outlineLevel="0" collapsed="false">
      <c r="A24" s="62" t="s">
        <v>182</v>
      </c>
      <c r="B24" s="120" t="e">
        <f aca="false">BN$31</f>
        <v>#NAME?</v>
      </c>
      <c r="C24" s="114"/>
      <c r="D24" s="120" t="e">
        <f aca="false">CV$31</f>
        <v>#NAME?</v>
      </c>
      <c r="E24" s="114"/>
      <c r="F24" s="120" t="e">
        <f aca="false">ED$31</f>
        <v>#NAME?</v>
      </c>
      <c r="G24" s="114"/>
      <c r="H24" s="120" t="e">
        <f aca="false">FL$31</f>
        <v>#NAME?</v>
      </c>
      <c r="K24" s="64" t="s">
        <v>100</v>
      </c>
      <c r="AM24" s="120" t="e">
        <f aca="false">FK$31</f>
        <v>#NAME?</v>
      </c>
    </row>
    <row r="25" customFormat="false" ht="12.75" hidden="false" customHeight="false" outlineLevel="0" collapsed="false">
      <c r="A25" s="62" t="s">
        <v>183</v>
      </c>
      <c r="B25" s="120" t="e">
        <f aca="false">BO$31</f>
        <v>#NAME?</v>
      </c>
      <c r="C25" s="114"/>
      <c r="D25" s="120" t="e">
        <f aca="false">CW$31</f>
        <v>#NAME?</v>
      </c>
      <c r="E25" s="114"/>
      <c r="F25" s="120" t="e">
        <f aca="false">EE$31</f>
        <v>#NAME?</v>
      </c>
      <c r="G25" s="114"/>
      <c r="H25" s="120" t="e">
        <f aca="false">FM$31</f>
        <v>#NAME?</v>
      </c>
      <c r="K25" s="64"/>
      <c r="AM25" s="120" t="e">
        <f aca="false">FL$31</f>
        <v>#NAME?</v>
      </c>
    </row>
    <row r="26" customFormat="false" ht="12.75" hidden="false" customHeight="false" outlineLevel="0" collapsed="false">
      <c r="A26" s="62" t="s">
        <v>184</v>
      </c>
      <c r="B26" s="120" t="e">
        <f aca="false">BP$31</f>
        <v>#NAME?</v>
      </c>
      <c r="C26" s="114"/>
      <c r="D26" s="120" t="e">
        <f aca="false">CX$31</f>
        <v>#NAME?</v>
      </c>
      <c r="E26" s="114"/>
      <c r="F26" s="120" t="e">
        <f aca="false">EF$31</f>
        <v>#NAME?</v>
      </c>
      <c r="G26" s="114"/>
      <c r="H26" s="120" t="e">
        <f aca="false">FN$31</f>
        <v>#NAME?</v>
      </c>
      <c r="K26" s="64"/>
      <c r="AM26" s="120" t="e">
        <f aca="false">FM$31</f>
        <v>#NAME?</v>
      </c>
    </row>
    <row r="27" customFormat="false" ht="12.75" hidden="false" customHeight="false" outlineLevel="0" collapsed="false">
      <c r="A27" s="62" t="s">
        <v>185</v>
      </c>
      <c r="B27" s="120" t="e">
        <f aca="false">BQ$31</f>
        <v>#NAME?</v>
      </c>
      <c r="C27" s="114"/>
      <c r="D27" s="120" t="e">
        <f aca="false">CY$31</f>
        <v>#NAME?</v>
      </c>
      <c r="E27" s="114"/>
      <c r="F27" s="120" t="e">
        <f aca="false">EG$31</f>
        <v>#NAME?</v>
      </c>
      <c r="G27" s="114"/>
      <c r="H27" s="120" t="e">
        <f aca="false">FO$31</f>
        <v>#NAME?</v>
      </c>
      <c r="K27" s="64"/>
      <c r="AM27" s="120" t="e">
        <f aca="false">FN$31</f>
        <v>#NAME?</v>
      </c>
    </row>
    <row r="28" customFormat="false" ht="12.75" hidden="false" customHeight="false" outlineLevel="0" collapsed="false">
      <c r="A28" s="62" t="s">
        <v>186</v>
      </c>
      <c r="B28" s="120" t="e">
        <f aca="false">BR$31</f>
        <v>#NAME?</v>
      </c>
      <c r="C28" s="114"/>
      <c r="D28" s="120" t="e">
        <f aca="false">CZ$31</f>
        <v>#NAME?</v>
      </c>
      <c r="E28" s="114"/>
      <c r="F28" s="120" t="e">
        <f aca="false">EH$31</f>
        <v>#NAME?</v>
      </c>
      <c r="G28" s="114"/>
      <c r="H28" s="120" t="e">
        <f aca="false">FP$31</f>
        <v>#NAME?</v>
      </c>
      <c r="K28" s="64"/>
      <c r="AM28" s="120" t="e">
        <f aca="false">FO$31</f>
        <v>#NAME?</v>
      </c>
    </row>
    <row r="29" customFormat="false" ht="12.75" hidden="false" customHeight="false" outlineLevel="0" collapsed="false">
      <c r="A29" s="62" t="s">
        <v>5</v>
      </c>
      <c r="B29" s="120" t="e">
        <f aca="false">BS$31</f>
        <v>#NAME?</v>
      </c>
      <c r="C29" s="114"/>
      <c r="D29" s="120" t="e">
        <f aca="false">DA$31</f>
        <v>#NAME?</v>
      </c>
      <c r="E29" s="114"/>
      <c r="F29" s="120" t="e">
        <f aca="false">EI$31</f>
        <v>#NAME?</v>
      </c>
      <c r="G29" s="114"/>
      <c r="H29" s="120" t="e">
        <f aca="false">FQ$31</f>
        <v>#NAME?</v>
      </c>
      <c r="K29" s="64"/>
      <c r="AM29" s="120" t="e">
        <f aca="false">FP$31</f>
        <v>#NAME?</v>
      </c>
    </row>
    <row r="30" customFormat="false" ht="12.75" hidden="false" customHeight="false" outlineLevel="0" collapsed="false">
      <c r="A30" s="62" t="s">
        <v>187</v>
      </c>
      <c r="B30" s="120" t="e">
        <f aca="false">BT$31</f>
        <v>#NAME?</v>
      </c>
      <c r="C30" s="114"/>
      <c r="D30" s="120" t="e">
        <f aca="false">DB$31</f>
        <v>#NAME?</v>
      </c>
      <c r="E30" s="114"/>
      <c r="F30" s="120" t="e">
        <f aca="false">EJ$31</f>
        <v>#NAME?</v>
      </c>
      <c r="G30" s="114"/>
      <c r="H30" s="120" t="e">
        <f aca="false">FR$31</f>
        <v>#NAME?</v>
      </c>
      <c r="AM30" s="120" t="e">
        <f aca="false">FQ$31</f>
        <v>#NAME?</v>
      </c>
    </row>
    <row r="31" customFormat="false" ht="12.75" hidden="false" customHeight="false" outlineLevel="0" collapsed="false">
      <c r="A31" s="62" t="s">
        <v>188</v>
      </c>
      <c r="B31" s="120" t="e">
        <f aca="false">BU$31</f>
        <v>#NAME?</v>
      </c>
      <c r="C31" s="10"/>
      <c r="D31" s="120" t="e">
        <f aca="false">DC$31</f>
        <v>#NAME?</v>
      </c>
      <c r="E31" s="10"/>
      <c r="F31" s="120" t="e">
        <f aca="false">EK$31</f>
        <v>#NAME?</v>
      </c>
      <c r="G31" s="10"/>
      <c r="H31" s="120" t="e">
        <f aca="false">FS$31</f>
        <v>#NAME?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K31" s="10"/>
      <c r="AM31" s="120" t="e">
        <f aca="false">FR$31</f>
        <v>#NAME?</v>
      </c>
      <c r="AP31" s="10"/>
      <c r="AQ31" s="45"/>
      <c r="AR31" s="1"/>
      <c r="AS31" s="1" t="n">
        <f aca="false">AS33/AP35</f>
        <v>7.18319735099338</v>
      </c>
      <c r="AT31" s="1" t="n">
        <f aca="false">AT33/AP35</f>
        <v>5.30147549668874</v>
      </c>
      <c r="AU31" s="10"/>
      <c r="AV31" s="11"/>
      <c r="AW31" s="29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23" t="e">
        <f aca="false">BK33/AP35</f>
        <v>#NAME?</v>
      </c>
      <c r="BL31" s="123" t="e">
        <f aca="false">BL33/AP35</f>
        <v>#NAME?</v>
      </c>
      <c r="BM31" s="123" t="e">
        <f aca="false">BM33/AP35</f>
        <v>#NAME?</v>
      </c>
      <c r="BN31" s="123" t="e">
        <f aca="false">BN33/AP35</f>
        <v>#NAME?</v>
      </c>
      <c r="BO31" s="123" t="e">
        <f aca="false">BO33/AP35</f>
        <v>#NAME?</v>
      </c>
      <c r="BP31" s="123" t="e">
        <f aca="false">BP33/AP35</f>
        <v>#NAME?</v>
      </c>
      <c r="BQ31" s="123" t="e">
        <f aca="false">BQ33/AP35</f>
        <v>#NAME?</v>
      </c>
      <c r="BR31" s="123" t="e">
        <f aca="false">BR33/AP35</f>
        <v>#NAME?</v>
      </c>
      <c r="BS31" s="123" t="e">
        <f aca="false">BS33/AP35</f>
        <v>#NAME?</v>
      </c>
      <c r="BT31" s="123" t="e">
        <f aca="false">BT33/AP35</f>
        <v>#NAME?</v>
      </c>
      <c r="BU31" s="123" t="e">
        <f aca="false">BU33/AP35</f>
        <v>#NAME?</v>
      </c>
      <c r="BV31" s="123" t="e">
        <f aca="false">BV33/AP35</f>
        <v>#NAME?</v>
      </c>
      <c r="BX31" s="10"/>
      <c r="BY31" s="45"/>
      <c r="BZ31" s="1"/>
      <c r="CA31" s="1" t="n">
        <f aca="false">CA33/BX35</f>
        <v>5.46871059602649</v>
      </c>
      <c r="CB31" s="1" t="n">
        <f aca="false">CB33/BX35</f>
        <v>5.30147549668874</v>
      </c>
      <c r="CC31" s="10"/>
      <c r="CD31" s="11"/>
      <c r="CE31" s="29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23" t="e">
        <f aca="false">CS33/BX35</f>
        <v>#NAME?</v>
      </c>
      <c r="CT31" s="123" t="e">
        <f aca="false">CT33/BX35</f>
        <v>#NAME?</v>
      </c>
      <c r="CU31" s="123" t="e">
        <f aca="false">CU33/BX35</f>
        <v>#NAME?</v>
      </c>
      <c r="CV31" s="123" t="e">
        <f aca="false">CV33/BX35</f>
        <v>#NAME?</v>
      </c>
      <c r="CW31" s="123" t="e">
        <f aca="false">CW33/BX35</f>
        <v>#NAME?</v>
      </c>
      <c r="CX31" s="123" t="e">
        <f aca="false">CX33/BX35</f>
        <v>#NAME?</v>
      </c>
      <c r="CY31" s="123" t="e">
        <f aca="false">CY33/BX35</f>
        <v>#NAME?</v>
      </c>
      <c r="CZ31" s="123" t="e">
        <f aca="false">CZ33/BX35</f>
        <v>#NAME?</v>
      </c>
      <c r="DA31" s="123" t="e">
        <f aca="false">DA33/BX35</f>
        <v>#NAME?</v>
      </c>
      <c r="DB31" s="123" t="e">
        <f aca="false">DB33/BX35</f>
        <v>#NAME?</v>
      </c>
      <c r="DC31" s="123" t="e">
        <f aca="false">DC33/BX35</f>
        <v>#NAME?</v>
      </c>
      <c r="DD31" s="123" t="e">
        <f aca="false">DD33/BX35</f>
        <v>#NAME?</v>
      </c>
      <c r="DF31" s="10"/>
      <c r="DG31" s="45"/>
      <c r="DH31" s="1"/>
      <c r="DI31" s="1" t="n">
        <f aca="false">DI33/DF35</f>
        <v>7.18319735099338</v>
      </c>
      <c r="DJ31" s="1" t="n">
        <f aca="false">DJ33/DF35</f>
        <v>5.30147549668874</v>
      </c>
      <c r="DK31" s="10"/>
      <c r="DL31" s="11"/>
      <c r="DM31" s="2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23" t="e">
        <f aca="false">EA33/DF35</f>
        <v>#NAME?</v>
      </c>
      <c r="EB31" s="123" t="e">
        <f aca="false">EB33/DF35</f>
        <v>#NAME?</v>
      </c>
      <c r="EC31" s="123" t="e">
        <f aca="false">EC33/DF35</f>
        <v>#NAME?</v>
      </c>
      <c r="ED31" s="123" t="e">
        <f aca="false">ED33/DF35</f>
        <v>#NAME?</v>
      </c>
      <c r="EE31" s="123" t="e">
        <f aca="false">EE33/DF35</f>
        <v>#NAME?</v>
      </c>
      <c r="EF31" s="123" t="e">
        <f aca="false">EF33/DF35</f>
        <v>#NAME?</v>
      </c>
      <c r="EG31" s="123" t="e">
        <f aca="false">EG33/DF35</f>
        <v>#NAME?</v>
      </c>
      <c r="EH31" s="123" t="e">
        <f aca="false">EH33/DF35</f>
        <v>#NAME?</v>
      </c>
      <c r="EI31" s="123" t="e">
        <f aca="false">EI33/DF35</f>
        <v>#NAME?</v>
      </c>
      <c r="EJ31" s="123" t="e">
        <f aca="false">EJ33/DF35</f>
        <v>#NAME?</v>
      </c>
      <c r="EK31" s="123" t="e">
        <f aca="false">EK33/DF35</f>
        <v>#NAME?</v>
      </c>
      <c r="EL31" s="123" t="e">
        <f aca="false">EL33/DF35</f>
        <v>#NAME?</v>
      </c>
      <c r="EN31" s="10"/>
      <c r="EO31" s="45"/>
      <c r="EP31" s="1"/>
      <c r="EQ31" s="1" t="n">
        <f aca="false">EQ33/EN35</f>
        <v>7.18319735099338</v>
      </c>
      <c r="ER31" s="1" t="n">
        <f aca="false">ER33/EN35</f>
        <v>5.30147549668874</v>
      </c>
      <c r="ES31" s="10"/>
      <c r="ET31" s="11"/>
      <c r="EU31" s="29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23" t="e">
        <f aca="false">FI33/EN35</f>
        <v>#NAME?</v>
      </c>
      <c r="FJ31" s="123" t="e">
        <f aca="false">FJ33/EN35</f>
        <v>#NAME?</v>
      </c>
      <c r="FK31" s="123" t="e">
        <f aca="false">FK33/EN35</f>
        <v>#NAME?</v>
      </c>
      <c r="FL31" s="123" t="e">
        <f aca="false">FL33/EN35</f>
        <v>#NAME?</v>
      </c>
      <c r="FM31" s="123" t="e">
        <f aca="false">FM33/EN35</f>
        <v>#NAME?</v>
      </c>
      <c r="FN31" s="123" t="e">
        <f aca="false">FN33/EN35</f>
        <v>#NAME?</v>
      </c>
      <c r="FO31" s="123" t="e">
        <f aca="false">FO33/EN35</f>
        <v>#NAME?</v>
      </c>
      <c r="FP31" s="123" t="e">
        <f aca="false">FP33/EN35</f>
        <v>#NAME?</v>
      </c>
      <c r="FQ31" s="123" t="e">
        <f aca="false">FQ33/EN35</f>
        <v>#NAME?</v>
      </c>
      <c r="FR31" s="123" t="e">
        <f aca="false">FR33/EN35</f>
        <v>#NAME?</v>
      </c>
      <c r="FS31" s="123" t="e">
        <f aca="false">FS33/EN35</f>
        <v>#NAME?</v>
      </c>
      <c r="FT31" s="123" t="e">
        <f aca="false">FT33/EN35</f>
        <v>#NAME?</v>
      </c>
    </row>
    <row r="32" customFormat="false" ht="12.75" hidden="false" customHeight="false" outlineLevel="0" collapsed="false">
      <c r="A32" s="62" t="s">
        <v>189</v>
      </c>
      <c r="B32" s="120" t="e">
        <f aca="false">BV$31</f>
        <v>#NAME?</v>
      </c>
      <c r="C32" s="10"/>
      <c r="D32" s="120" t="e">
        <f aca="false">DD$31</f>
        <v>#NAME?</v>
      </c>
      <c r="E32" s="10"/>
      <c r="F32" s="120" t="e">
        <f aca="false">EL$31</f>
        <v>#NAME?</v>
      </c>
      <c r="G32" s="10"/>
      <c r="H32" s="120" t="e">
        <f aca="false">FT$31</f>
        <v>#NAME?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K32" s="10"/>
      <c r="AM32" s="120" t="e">
        <f aca="false">FS$31</f>
        <v>#NAME?</v>
      </c>
      <c r="AP32" s="10"/>
      <c r="AQ32" s="10"/>
      <c r="AR32" s="125" t="n">
        <f aca="false">B6</f>
        <v>36831</v>
      </c>
      <c r="AS32" s="1"/>
      <c r="AT32" s="1"/>
      <c r="AU32" s="10"/>
      <c r="AV32" s="11"/>
      <c r="AW32" s="29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X32" s="10"/>
      <c r="BY32" s="10"/>
      <c r="BZ32" s="125" t="n">
        <f aca="false">D6</f>
        <v>36831</v>
      </c>
      <c r="CA32" s="1"/>
      <c r="CB32" s="1"/>
      <c r="CC32" s="10"/>
      <c r="CD32" s="11"/>
      <c r="CE32" s="29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F32" s="10"/>
      <c r="DG32" s="10"/>
      <c r="DH32" s="125" t="n">
        <f aca="false">F6</f>
        <v>36831</v>
      </c>
      <c r="DI32" s="1"/>
      <c r="DJ32" s="1"/>
      <c r="DK32" s="10"/>
      <c r="DL32" s="11"/>
      <c r="DM32" s="2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N32" s="10"/>
      <c r="EO32" s="10"/>
      <c r="EP32" s="125" t="n">
        <f aca="false">H6</f>
        <v>36831</v>
      </c>
      <c r="EQ32" s="1"/>
      <c r="ER32" s="1"/>
      <c r="ES32" s="10"/>
      <c r="ET32" s="11"/>
      <c r="EU32" s="29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</row>
    <row r="33" customFormat="false" ht="12.75" hidden="false" customHeight="false" outlineLevel="0" collapsed="false">
      <c r="A33" s="10"/>
      <c r="B33" s="152"/>
      <c r="C33" s="10"/>
      <c r="D33" s="152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29"/>
      <c r="AM33" s="36"/>
      <c r="AN33" s="130"/>
      <c r="AO33" s="30"/>
      <c r="AP33" s="10" t="s">
        <v>27</v>
      </c>
      <c r="AQ33" s="10"/>
      <c r="AR33" s="125" t="n">
        <f aca="false">B7</f>
        <v>36951</v>
      </c>
      <c r="AS33" s="33" t="n">
        <f aca="false">SUM(AS38:AS61)</f>
        <v>1084.6628</v>
      </c>
      <c r="AT33" s="33" t="n">
        <f aca="false">SUM(AT38:AT61)</f>
        <v>800.5228</v>
      </c>
      <c r="AU33" s="10"/>
      <c r="AV33" s="11"/>
      <c r="AW33" s="32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 t="e">
        <f aca="false">SUM(BK38:BK61)</f>
        <v>#NAME?</v>
      </c>
      <c r="BL33" s="33" t="e">
        <f aca="false">SUM(BL38:BL61)</f>
        <v>#NAME?</v>
      </c>
      <c r="BM33" s="33" t="e">
        <f aca="false">SUM(BM38:BM61)</f>
        <v>#NAME?</v>
      </c>
      <c r="BN33" s="33" t="e">
        <f aca="false">SUM(BN38:BN61)</f>
        <v>#NAME?</v>
      </c>
      <c r="BO33" s="33" t="e">
        <f aca="false">SUM(BO38:BO61)</f>
        <v>#NAME?</v>
      </c>
      <c r="BP33" s="33" t="e">
        <f aca="false">SUM(BP38:BP61)</f>
        <v>#NAME?</v>
      </c>
      <c r="BQ33" s="33" t="e">
        <f aca="false">SUM(BQ38:BQ61)</f>
        <v>#NAME?</v>
      </c>
      <c r="BR33" s="33" t="e">
        <f aca="false">SUM(BR38:BR61)</f>
        <v>#NAME?</v>
      </c>
      <c r="BS33" s="33" t="e">
        <f aca="false">SUM(BS38:BS61)</f>
        <v>#NAME?</v>
      </c>
      <c r="BT33" s="33" t="e">
        <f aca="false">SUM(BT38:BT61)</f>
        <v>#NAME?</v>
      </c>
      <c r="BU33" s="33" t="e">
        <f aca="false">SUM(BU38:BU61)</f>
        <v>#NAME?</v>
      </c>
      <c r="BV33" s="33" t="e">
        <f aca="false">SUM(BV38:BV61)</f>
        <v>#NAME?</v>
      </c>
      <c r="BX33" s="10" t="s">
        <v>28</v>
      </c>
      <c r="BY33" s="10"/>
      <c r="BZ33" s="125" t="n">
        <f aca="false">D7</f>
        <v>36951</v>
      </c>
      <c r="CA33" s="33" t="n">
        <f aca="false">SUM(CA38:CA61)</f>
        <v>825.7753</v>
      </c>
      <c r="CB33" s="33" t="n">
        <f aca="false">SUM(CB38:CB61)</f>
        <v>800.5228</v>
      </c>
      <c r="CC33" s="10"/>
      <c r="CD33" s="11"/>
      <c r="CE33" s="32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 t="e">
        <f aca="false">SUM(CS38:CS61)</f>
        <v>#NAME?</v>
      </c>
      <c r="CT33" s="33" t="e">
        <f aca="false">SUM(CT38:CT61)</f>
        <v>#NAME?</v>
      </c>
      <c r="CU33" s="33" t="e">
        <f aca="false">SUM(CU38:CU61)</f>
        <v>#NAME?</v>
      </c>
      <c r="CV33" s="33" t="e">
        <f aca="false">SUM(CV38:CV61)</f>
        <v>#NAME?</v>
      </c>
      <c r="CW33" s="33" t="e">
        <f aca="false">SUM(CW38:CW61)</f>
        <v>#NAME?</v>
      </c>
      <c r="CX33" s="33" t="e">
        <f aca="false">SUM(CX38:CX61)</f>
        <v>#NAME?</v>
      </c>
      <c r="CY33" s="33" t="e">
        <f aca="false">SUM(CY38:CY61)</f>
        <v>#NAME?</v>
      </c>
      <c r="CZ33" s="33" t="e">
        <f aca="false">SUM(CZ38:CZ61)</f>
        <v>#NAME?</v>
      </c>
      <c r="DA33" s="33" t="e">
        <f aca="false">SUM(DA38:DA61)</f>
        <v>#NAME?</v>
      </c>
      <c r="DB33" s="33" t="e">
        <f aca="false">SUM(DB38:DB61)</f>
        <v>#NAME?</v>
      </c>
      <c r="DC33" s="33" t="e">
        <f aca="false">SUM(DC38:DC61)</f>
        <v>#NAME?</v>
      </c>
      <c r="DD33" s="33" t="e">
        <f aca="false">SUM(DD38:DD61)</f>
        <v>#NAME?</v>
      </c>
      <c r="DF33" s="10" t="s">
        <v>29</v>
      </c>
      <c r="DG33" s="10"/>
      <c r="DH33" s="125" t="n">
        <f aca="false">F7</f>
        <v>36951</v>
      </c>
      <c r="DI33" s="33" t="n">
        <f aca="false">SUM(DI38:DI61)</f>
        <v>1084.6628</v>
      </c>
      <c r="DJ33" s="33" t="n">
        <f aca="false">SUM(DJ38:DJ61)</f>
        <v>800.5228</v>
      </c>
      <c r="DK33" s="10"/>
      <c r="DL33" s="11"/>
      <c r="DM33" s="32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 t="e">
        <f aca="false">SUM(EA38:EA61)</f>
        <v>#NAME?</v>
      </c>
      <c r="EB33" s="33" t="e">
        <f aca="false">SUM(EB38:EB61)</f>
        <v>#NAME?</v>
      </c>
      <c r="EC33" s="33" t="e">
        <f aca="false">SUM(EC38:EC61)</f>
        <v>#NAME?</v>
      </c>
      <c r="ED33" s="33" t="e">
        <f aca="false">SUM(ED38:ED61)</f>
        <v>#NAME?</v>
      </c>
      <c r="EE33" s="33" t="e">
        <f aca="false">SUM(EE38:EE61)</f>
        <v>#NAME?</v>
      </c>
      <c r="EF33" s="33" t="e">
        <f aca="false">SUM(EF38:EF61)</f>
        <v>#NAME?</v>
      </c>
      <c r="EG33" s="33" t="e">
        <f aca="false">SUM(EG38:EG61)</f>
        <v>#NAME?</v>
      </c>
      <c r="EH33" s="33" t="e">
        <f aca="false">SUM(EH38:EH61)</f>
        <v>#NAME?</v>
      </c>
      <c r="EI33" s="33" t="e">
        <f aca="false">SUM(EI38:EI61)</f>
        <v>#NAME?</v>
      </c>
      <c r="EJ33" s="33" t="e">
        <f aca="false">SUM(EJ38:EJ61)</f>
        <v>#NAME?</v>
      </c>
      <c r="EK33" s="33" t="e">
        <f aca="false">SUM(EK38:EK61)</f>
        <v>#NAME?</v>
      </c>
      <c r="EL33" s="33" t="e">
        <f aca="false">SUM(EL38:EL61)</f>
        <v>#NAME?</v>
      </c>
      <c r="EN33" s="10" t="s">
        <v>30</v>
      </c>
      <c r="EO33" s="10"/>
      <c r="EP33" s="125" t="n">
        <f aca="false">H7</f>
        <v>36951</v>
      </c>
      <c r="EQ33" s="33" t="n">
        <f aca="false">SUM(EQ38:EQ61)</f>
        <v>1084.6628</v>
      </c>
      <c r="ER33" s="33" t="n">
        <f aca="false">SUM(ER38:ER61)</f>
        <v>800.5228</v>
      </c>
      <c r="ES33" s="10"/>
      <c r="ET33" s="11"/>
      <c r="EU33" s="32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 t="e">
        <f aca="false">SUM(FI38:FI61)</f>
        <v>#NAME?</v>
      </c>
      <c r="FJ33" s="33" t="e">
        <f aca="false">SUM(FJ38:FJ61)</f>
        <v>#NAME?</v>
      </c>
      <c r="FK33" s="33" t="e">
        <f aca="false">SUM(FK38:FK61)</f>
        <v>#NAME?</v>
      </c>
      <c r="FL33" s="33" t="e">
        <f aca="false">SUM(FL38:FL61)</f>
        <v>#NAME?</v>
      </c>
      <c r="FM33" s="33" t="e">
        <f aca="false">SUM(FM38:FM61)</f>
        <v>#NAME?</v>
      </c>
      <c r="FN33" s="33" t="e">
        <f aca="false">SUM(FN38:FN61)</f>
        <v>#NAME?</v>
      </c>
      <c r="FO33" s="33" t="e">
        <f aca="false">SUM(FO38:FO61)</f>
        <v>#NAME?</v>
      </c>
      <c r="FP33" s="33" t="e">
        <f aca="false">SUM(FP38:FP61)</f>
        <v>#NAME?</v>
      </c>
      <c r="FQ33" s="33" t="e">
        <f aca="false">SUM(FQ38:FQ61)</f>
        <v>#NAME?</v>
      </c>
      <c r="FR33" s="33" t="e">
        <f aca="false">SUM(FR38:FR61)</f>
        <v>#NAME?</v>
      </c>
      <c r="FS33" s="33" t="e">
        <f aca="false">SUM(FS38:FS61)</f>
        <v>#NAME?</v>
      </c>
      <c r="FT33" s="33" t="e">
        <f aca="false">SUM(FT38:FT61)</f>
        <v>#NAME?</v>
      </c>
    </row>
    <row r="34" customFormat="false" ht="12.75" hidden="false" customHeight="false" outlineLevel="0" collapsed="false">
      <c r="A34" s="10"/>
      <c r="B34" s="144" t="e">
        <f aca="false">B21-D21</f>
        <v>#NAME?</v>
      </c>
      <c r="C34" s="10"/>
      <c r="D34" s="2"/>
      <c r="E34" s="10"/>
      <c r="F34" s="144" t="e">
        <f aca="false">(F21*2)-H21</f>
        <v>#NAME?</v>
      </c>
      <c r="G34" s="10"/>
      <c r="H34" s="144"/>
      <c r="I34" s="10"/>
      <c r="J34" s="10"/>
      <c r="K34" s="2" t="s">
        <v>7</v>
      </c>
      <c r="L34" s="10" t="str">
        <f aca="false">B3</f>
        <v>IF-TRANSCO/Z6</v>
      </c>
      <c r="M34" s="10"/>
      <c r="N34" s="10"/>
      <c r="O34" s="10"/>
      <c r="P34" s="10"/>
      <c r="Q34" s="10"/>
      <c r="R34" s="2" t="s">
        <v>8</v>
      </c>
      <c r="S34" s="10" t="str">
        <f aca="false">D3</f>
        <v>NGI/CHI. GATE</v>
      </c>
      <c r="T34" s="10"/>
      <c r="U34" s="10"/>
      <c r="V34" s="10"/>
      <c r="W34" s="10"/>
      <c r="X34" s="10"/>
      <c r="Y34" s="2" t="s">
        <v>143</v>
      </c>
      <c r="Z34" s="10" t="str">
        <f aca="false">F3</f>
        <v>IF-TRANSCO/Z6</v>
      </c>
      <c r="AA34" s="10"/>
      <c r="AB34" s="10"/>
      <c r="AC34" s="10"/>
      <c r="AD34" s="10"/>
      <c r="AE34" s="10"/>
      <c r="AF34" s="2" t="s">
        <v>144</v>
      </c>
      <c r="AG34" s="10" t="str">
        <f aca="false">H3</f>
        <v>IF-TRANSCO/Z6</v>
      </c>
      <c r="AH34" s="10"/>
      <c r="AI34" s="10"/>
      <c r="AJ34" s="10"/>
      <c r="AK34" s="10"/>
      <c r="AM34" s="131"/>
      <c r="AP34" s="10"/>
      <c r="AQ34" s="10"/>
      <c r="AR34" s="1"/>
      <c r="AS34" s="1"/>
      <c r="AT34" s="1"/>
      <c r="AU34" s="10"/>
      <c r="AV34" s="1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X34" s="10"/>
      <c r="BY34" s="10"/>
      <c r="BZ34" s="1"/>
      <c r="CA34" s="1"/>
      <c r="CB34" s="1"/>
      <c r="CC34" s="10"/>
      <c r="CD34" s="1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DF34" s="10"/>
      <c r="DG34" s="10"/>
      <c r="DH34" s="1"/>
      <c r="DI34" s="1"/>
      <c r="DJ34" s="1"/>
      <c r="DK34" s="10"/>
      <c r="DL34" s="1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N34" s="10"/>
      <c r="EO34" s="10"/>
      <c r="EP34" s="1"/>
      <c r="EQ34" s="1"/>
      <c r="ER34" s="1"/>
      <c r="ES34" s="10"/>
      <c r="ET34" s="1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</row>
    <row r="35" customFormat="false" ht="12.75" hidden="false" customHeight="false" outlineLevel="0" collapsed="false">
      <c r="A35" s="10"/>
      <c r="B35" s="132"/>
      <c r="C35" s="132"/>
      <c r="D35" s="64"/>
      <c r="F35" s="142" t="e">
        <f aca="false">H21-F21</f>
        <v>#NAME?</v>
      </c>
      <c r="AM35" s="127"/>
      <c r="AP35" s="35" t="n">
        <f aca="false">SUM(AP38:AP61)</f>
        <v>151</v>
      </c>
      <c r="AQ35" s="35"/>
      <c r="AR35" s="1"/>
      <c r="AS35" s="1"/>
      <c r="AT35" s="1"/>
      <c r="AU35" s="1"/>
      <c r="AV35" s="11"/>
      <c r="AW35" s="32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X35" s="35" t="n">
        <f aca="false">SUM(BX38:BX61)</f>
        <v>151</v>
      </c>
      <c r="BY35" s="35"/>
      <c r="BZ35" s="1"/>
      <c r="CA35" s="1"/>
      <c r="CB35" s="1"/>
      <c r="CC35" s="1"/>
      <c r="CD35" s="11"/>
      <c r="CE35" s="32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DF35" s="35" t="n">
        <f aca="false">SUM(DF38:DF61)</f>
        <v>151</v>
      </c>
      <c r="DG35" s="35"/>
      <c r="DH35" s="1"/>
      <c r="DI35" s="1"/>
      <c r="DJ35" s="1"/>
      <c r="DK35" s="1"/>
      <c r="DL35" s="11"/>
      <c r="DM35" s="32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N35" s="35" t="n">
        <f aca="false">SUM(EN38:EN61)</f>
        <v>151</v>
      </c>
      <c r="EO35" s="35"/>
      <c r="EP35" s="1"/>
      <c r="EQ35" s="1"/>
      <c r="ER35" s="1"/>
      <c r="ES35" s="1"/>
      <c r="ET35" s="11"/>
      <c r="EU35" s="32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</row>
    <row r="36" customFormat="false" ht="13.5" hidden="false" customHeight="false" outlineLevel="0" collapsed="false">
      <c r="B36" s="134"/>
      <c r="C36" s="134"/>
      <c r="D36" s="10"/>
      <c r="E36" s="2" t="s">
        <v>7</v>
      </c>
      <c r="F36" s="2" t="s">
        <v>8</v>
      </c>
      <c r="G36" s="2" t="s">
        <v>143</v>
      </c>
      <c r="H36" s="2" t="s">
        <v>144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29"/>
      <c r="AN36" s="10"/>
      <c r="AO36" s="10"/>
      <c r="AQ36" s="1"/>
      <c r="AR36" s="1"/>
      <c r="AS36" s="23" t="s">
        <v>6</v>
      </c>
      <c r="AT36" s="23" t="s">
        <v>154</v>
      </c>
      <c r="AU36" s="1" t="s">
        <v>190</v>
      </c>
      <c r="AV36" s="1" t="s">
        <v>191</v>
      </c>
      <c r="AW36" s="10" t="s">
        <v>192</v>
      </c>
      <c r="AX36" s="23" t="s">
        <v>1</v>
      </c>
      <c r="AY36" s="23" t="s">
        <v>180</v>
      </c>
      <c r="AZ36" s="23" t="s">
        <v>181</v>
      </c>
      <c r="BA36" s="23" t="s">
        <v>182</v>
      </c>
      <c r="BB36" s="23" t="s">
        <v>183</v>
      </c>
      <c r="BC36" s="23" t="s">
        <v>184</v>
      </c>
      <c r="BD36" s="23" t="s">
        <v>185</v>
      </c>
      <c r="BE36" s="23" t="s">
        <v>186</v>
      </c>
      <c r="BF36" s="23" t="s">
        <v>5</v>
      </c>
      <c r="BG36" s="23" t="s">
        <v>187</v>
      </c>
      <c r="BH36" s="23" t="s">
        <v>188</v>
      </c>
      <c r="BI36" s="23" t="s">
        <v>189</v>
      </c>
      <c r="BJ36" s="23"/>
      <c r="BK36" s="23" t="s">
        <v>1</v>
      </c>
      <c r="BL36" s="23" t="s">
        <v>180</v>
      </c>
      <c r="BM36" s="23" t="s">
        <v>181</v>
      </c>
      <c r="BN36" s="23" t="s">
        <v>182</v>
      </c>
      <c r="BO36" s="23" t="s">
        <v>183</v>
      </c>
      <c r="BP36" s="23" t="s">
        <v>184</v>
      </c>
      <c r="BQ36" s="23" t="s">
        <v>185</v>
      </c>
      <c r="BR36" s="23" t="s">
        <v>186</v>
      </c>
      <c r="BS36" s="23" t="s">
        <v>5</v>
      </c>
      <c r="BT36" s="23" t="s">
        <v>187</v>
      </c>
      <c r="BU36" s="23" t="s">
        <v>188</v>
      </c>
      <c r="BV36" s="23" t="s">
        <v>189</v>
      </c>
      <c r="BY36" s="1"/>
      <c r="BZ36" s="1"/>
      <c r="CA36" s="23" t="s">
        <v>6</v>
      </c>
      <c r="CB36" s="23" t="s">
        <v>154</v>
      </c>
      <c r="CC36" s="1" t="s">
        <v>190</v>
      </c>
      <c r="CD36" s="1" t="s">
        <v>191</v>
      </c>
      <c r="CE36" s="10" t="s">
        <v>192</v>
      </c>
      <c r="CF36" s="23" t="s">
        <v>1</v>
      </c>
      <c r="CG36" s="23" t="s">
        <v>180</v>
      </c>
      <c r="CH36" s="23" t="s">
        <v>181</v>
      </c>
      <c r="CI36" s="23" t="s">
        <v>182</v>
      </c>
      <c r="CJ36" s="23" t="s">
        <v>183</v>
      </c>
      <c r="CK36" s="23" t="s">
        <v>184</v>
      </c>
      <c r="CL36" s="23" t="s">
        <v>185</v>
      </c>
      <c r="CM36" s="23" t="s">
        <v>186</v>
      </c>
      <c r="CN36" s="23" t="s">
        <v>5</v>
      </c>
      <c r="CO36" s="23" t="s">
        <v>187</v>
      </c>
      <c r="CP36" s="23" t="s">
        <v>188</v>
      </c>
      <c r="CQ36" s="23" t="s">
        <v>189</v>
      </c>
      <c r="CR36" s="23"/>
      <c r="CS36" s="23" t="s">
        <v>1</v>
      </c>
      <c r="CT36" s="23" t="s">
        <v>180</v>
      </c>
      <c r="CU36" s="23" t="s">
        <v>181</v>
      </c>
      <c r="CV36" s="23" t="s">
        <v>182</v>
      </c>
      <c r="CW36" s="23" t="s">
        <v>183</v>
      </c>
      <c r="CX36" s="23" t="s">
        <v>184</v>
      </c>
      <c r="CY36" s="23" t="s">
        <v>185</v>
      </c>
      <c r="CZ36" s="23" t="s">
        <v>186</v>
      </c>
      <c r="DA36" s="23" t="s">
        <v>5</v>
      </c>
      <c r="DB36" s="23" t="s">
        <v>187</v>
      </c>
      <c r="DC36" s="23" t="s">
        <v>188</v>
      </c>
      <c r="DD36" s="23" t="s">
        <v>189</v>
      </c>
      <c r="DG36" s="1"/>
      <c r="DH36" s="1"/>
      <c r="DI36" s="23" t="s">
        <v>6</v>
      </c>
      <c r="DJ36" s="23" t="s">
        <v>154</v>
      </c>
      <c r="DK36" s="1" t="s">
        <v>190</v>
      </c>
      <c r="DL36" s="1" t="s">
        <v>191</v>
      </c>
      <c r="DM36" s="10" t="s">
        <v>192</v>
      </c>
      <c r="DN36" s="23" t="s">
        <v>1</v>
      </c>
      <c r="DO36" s="23" t="s">
        <v>180</v>
      </c>
      <c r="DP36" s="23" t="s">
        <v>181</v>
      </c>
      <c r="DQ36" s="23" t="s">
        <v>182</v>
      </c>
      <c r="DR36" s="23" t="s">
        <v>183</v>
      </c>
      <c r="DS36" s="23" t="s">
        <v>184</v>
      </c>
      <c r="DT36" s="23" t="s">
        <v>185</v>
      </c>
      <c r="DU36" s="23" t="s">
        <v>186</v>
      </c>
      <c r="DV36" s="23" t="s">
        <v>5</v>
      </c>
      <c r="DW36" s="23" t="s">
        <v>187</v>
      </c>
      <c r="DX36" s="23" t="s">
        <v>188</v>
      </c>
      <c r="DY36" s="23" t="s">
        <v>189</v>
      </c>
      <c r="DZ36" s="23"/>
      <c r="EA36" s="23" t="s">
        <v>1</v>
      </c>
      <c r="EB36" s="23" t="s">
        <v>180</v>
      </c>
      <c r="EC36" s="23" t="s">
        <v>181</v>
      </c>
      <c r="ED36" s="23" t="s">
        <v>182</v>
      </c>
      <c r="EE36" s="23" t="s">
        <v>183</v>
      </c>
      <c r="EF36" s="23" t="s">
        <v>184</v>
      </c>
      <c r="EG36" s="23" t="s">
        <v>185</v>
      </c>
      <c r="EH36" s="23" t="s">
        <v>186</v>
      </c>
      <c r="EI36" s="23" t="s">
        <v>5</v>
      </c>
      <c r="EJ36" s="23" t="s">
        <v>187</v>
      </c>
      <c r="EK36" s="23" t="s">
        <v>188</v>
      </c>
      <c r="EL36" s="23" t="s">
        <v>189</v>
      </c>
      <c r="EO36" s="1"/>
      <c r="EP36" s="1"/>
      <c r="EQ36" s="23" t="s">
        <v>6</v>
      </c>
      <c r="ER36" s="23" t="s">
        <v>154</v>
      </c>
      <c r="ES36" s="1" t="s">
        <v>190</v>
      </c>
      <c r="ET36" s="1" t="s">
        <v>191</v>
      </c>
      <c r="EU36" s="10" t="s">
        <v>192</v>
      </c>
      <c r="EV36" s="23" t="s">
        <v>1</v>
      </c>
      <c r="EW36" s="23" t="s">
        <v>180</v>
      </c>
      <c r="EX36" s="23" t="s">
        <v>181</v>
      </c>
      <c r="EY36" s="23" t="s">
        <v>182</v>
      </c>
      <c r="EZ36" s="23" t="s">
        <v>183</v>
      </c>
      <c r="FA36" s="23" t="s">
        <v>184</v>
      </c>
      <c r="FB36" s="23" t="s">
        <v>185</v>
      </c>
      <c r="FC36" s="23" t="s">
        <v>186</v>
      </c>
      <c r="FD36" s="23" t="s">
        <v>5</v>
      </c>
      <c r="FE36" s="23" t="s">
        <v>187</v>
      </c>
      <c r="FF36" s="23" t="s">
        <v>188</v>
      </c>
      <c r="FG36" s="23" t="s">
        <v>189</v>
      </c>
      <c r="FH36" s="23"/>
      <c r="FI36" s="23" t="s">
        <v>1</v>
      </c>
      <c r="FJ36" s="23" t="s">
        <v>180</v>
      </c>
      <c r="FK36" s="23" t="s">
        <v>181</v>
      </c>
      <c r="FL36" s="23" t="s">
        <v>182</v>
      </c>
      <c r="FM36" s="23" t="s">
        <v>183</v>
      </c>
      <c r="FN36" s="23" t="s">
        <v>184</v>
      </c>
      <c r="FO36" s="23" t="s">
        <v>185</v>
      </c>
      <c r="FP36" s="23" t="s">
        <v>186</v>
      </c>
      <c r="FQ36" s="23" t="s">
        <v>5</v>
      </c>
      <c r="FR36" s="23" t="s">
        <v>187</v>
      </c>
      <c r="FS36" s="23" t="s">
        <v>188</v>
      </c>
      <c r="FT36" s="23" t="s">
        <v>189</v>
      </c>
    </row>
    <row r="37" customFormat="false" ht="14.25" hidden="false" customHeight="false" outlineLevel="0" collapsed="false">
      <c r="A37" s="37" t="s">
        <v>0</v>
      </c>
      <c r="B37" s="37" t="s">
        <v>49</v>
      </c>
      <c r="C37" s="37" t="s">
        <v>155</v>
      </c>
      <c r="D37" s="37" t="s">
        <v>22</v>
      </c>
      <c r="E37" s="37" t="s">
        <v>2</v>
      </c>
      <c r="G37" s="37"/>
      <c r="H37" s="37"/>
      <c r="I37" s="37"/>
      <c r="J37" s="38"/>
      <c r="K37" s="37" t="s">
        <v>51</v>
      </c>
      <c r="L37" s="37" t="s">
        <v>51</v>
      </c>
      <c r="M37" s="37" t="s">
        <v>11</v>
      </c>
      <c r="N37" s="37" t="s">
        <v>11</v>
      </c>
      <c r="O37" s="37" t="s">
        <v>193</v>
      </c>
      <c r="P37" s="37" t="s">
        <v>9</v>
      </c>
      <c r="Q37" s="0"/>
      <c r="R37" s="37" t="s">
        <v>51</v>
      </c>
      <c r="S37" s="37" t="s">
        <v>51</v>
      </c>
      <c r="T37" s="37" t="s">
        <v>11</v>
      </c>
      <c r="U37" s="37" t="s">
        <v>11</v>
      </c>
      <c r="V37" s="37" t="s">
        <v>193</v>
      </c>
      <c r="W37" s="37" t="s">
        <v>9</v>
      </c>
      <c r="X37" s="38"/>
      <c r="Y37" s="37" t="s">
        <v>51</v>
      </c>
      <c r="Z37" s="37" t="s">
        <v>51</v>
      </c>
      <c r="AA37" s="37" t="s">
        <v>11</v>
      </c>
      <c r="AB37" s="37" t="s">
        <v>11</v>
      </c>
      <c r="AC37" s="37" t="s">
        <v>193</v>
      </c>
      <c r="AD37" s="37" t="s">
        <v>9</v>
      </c>
      <c r="AE37" s="38"/>
      <c r="AF37" s="37" t="s">
        <v>51</v>
      </c>
      <c r="AG37" s="37" t="s">
        <v>51</v>
      </c>
      <c r="AH37" s="37" t="s">
        <v>11</v>
      </c>
      <c r="AI37" s="37" t="s">
        <v>11</v>
      </c>
      <c r="AJ37" s="37" t="s">
        <v>193</v>
      </c>
      <c r="AK37" s="37" t="s">
        <v>9</v>
      </c>
      <c r="AM37" s="37" t="s">
        <v>21</v>
      </c>
      <c r="AN37" s="10"/>
      <c r="AP37" s="1" t="s">
        <v>166</v>
      </c>
      <c r="AQ37" s="1" t="s">
        <v>194</v>
      </c>
      <c r="AR37" s="1" t="s">
        <v>195</v>
      </c>
      <c r="AS37" s="1"/>
      <c r="AT37" s="11"/>
      <c r="AU37" s="1"/>
      <c r="AV37" s="1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"/>
      <c r="BL37" s="1"/>
      <c r="BM37" s="1"/>
      <c r="BN37" s="1"/>
      <c r="BO37" s="1"/>
      <c r="BX37" s="1" t="s">
        <v>166</v>
      </c>
      <c r="BY37" s="1" t="s">
        <v>194</v>
      </c>
      <c r="BZ37" s="1" t="s">
        <v>195</v>
      </c>
      <c r="CA37" s="1"/>
      <c r="CB37" s="11"/>
      <c r="CC37" s="1"/>
      <c r="CD37" s="1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"/>
      <c r="CT37" s="1"/>
      <c r="CU37" s="1"/>
      <c r="CV37" s="1"/>
      <c r="CW37" s="1"/>
      <c r="DF37" s="1" t="s">
        <v>166</v>
      </c>
      <c r="DG37" s="1" t="s">
        <v>194</v>
      </c>
      <c r="DH37" s="1" t="s">
        <v>195</v>
      </c>
      <c r="DI37" s="1"/>
      <c r="DJ37" s="11"/>
      <c r="DK37" s="1"/>
      <c r="DL37" s="1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"/>
      <c r="EB37" s="1"/>
      <c r="EC37" s="1"/>
      <c r="ED37" s="1"/>
      <c r="EE37" s="1"/>
      <c r="EN37" s="1" t="s">
        <v>166</v>
      </c>
      <c r="EO37" s="1" t="s">
        <v>194</v>
      </c>
      <c r="EP37" s="1" t="s">
        <v>195</v>
      </c>
      <c r="EQ37" s="1"/>
      <c r="ER37" s="11"/>
      <c r="ES37" s="1"/>
      <c r="ET37" s="1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"/>
      <c r="FJ37" s="1"/>
      <c r="FK37" s="1"/>
      <c r="FL37" s="1"/>
      <c r="FM37" s="1"/>
    </row>
    <row r="38" customFormat="false" ht="13.5" hidden="false" customHeight="false" outlineLevel="0" collapsed="false">
      <c r="A38" s="48" t="n">
        <v>36800</v>
      </c>
      <c r="B38" s="40" t="n">
        <f aca="false">VLOOKUP(A38,STRADDLE,5,FALSE())</f>
        <v>5.24</v>
      </c>
      <c r="C38" s="4" t="n">
        <f aca="false">VLOOKUP(A38,STRADDLE,8,FALSE())</f>
        <v>0.48</v>
      </c>
      <c r="D38" s="136" t="n">
        <f aca="false">VLOOKUP(A38,expiration,2,FALSE())-$B$2</f>
        <v>-9130</v>
      </c>
      <c r="E38" s="131" t="e">
        <f aca="false">AY38</f>
        <v>#NAME?</v>
      </c>
      <c r="F38" s="131" t="e">
        <f aca="false">CG38</f>
        <v>#NAME?</v>
      </c>
      <c r="G38" s="131" t="e">
        <f aca="false">DO38</f>
        <v>#NAME?</v>
      </c>
      <c r="H38" s="131" t="e">
        <f aca="false">EW38</f>
        <v>#NAME?</v>
      </c>
      <c r="I38" s="41"/>
      <c r="J38" s="154"/>
      <c r="K38" s="40" t="n">
        <f aca="false">IF($B$3="NYMEX",0,VLOOKUP($A38,curvesettle,HLOOKUP($B$3,curvesettle,2,FALSE()),FALSE()))</f>
        <v>0.48</v>
      </c>
      <c r="L38" s="40" t="n">
        <f aca="false">IF($B$4="NYMEX",0,VLOOKUP($A38,curvesettle,HLOOKUP($B$4,curvesettle,2,FALSE()),FALSE()))</f>
        <v>0</v>
      </c>
      <c r="M38" s="131" t="n">
        <f aca="false">IF(ISNUMBER(VLOOKUP($A38,VOLCURVES,HLOOKUP($B$3,VOLCURVES,2,FALSE()),FALSE())),VLOOKUP($A38,VOLCURVES,HLOOKUP($B$3,VOLCURVES,2,FALSE()),FALSE()),1)</f>
        <v>0.98</v>
      </c>
      <c r="N38" s="131" t="n">
        <f aca="false">IF(ISNUMBER(VLOOKUP($A38,VOLCURVES,HLOOKUP($B$4,VOLCURVES,2,FALSE()),FALSE())),VLOOKUP($A38,VOLCURVES,HLOOKUP($B$4,VOLCURVES,2,FALSE()),FALSE()),1)</f>
        <v>1</v>
      </c>
      <c r="O38" s="131" t="n">
        <f aca="false">IF(ISNUMBER(VLOOKUP($A38,CORETABLE,HLOOKUP($B$3,CORETABLE,2,FALSE()),FALSE())),VLOOKUP($A38,CORETABLE,HLOOKUP($B$3,CORETABLE,2,FALSE()),FALSE()),0.99)</f>
        <v>0.9925</v>
      </c>
      <c r="P38" s="155" t="n">
        <f aca="false">B$18</f>
        <v>2</v>
      </c>
      <c r="Q38" s="155"/>
      <c r="R38" s="40" t="n">
        <f aca="false">IF($D$3="NYMEX",0,VLOOKUP($A38,curvesettle,HLOOKUP($D$3,curvesettle,2,FALSE()),FALSE()))</f>
        <v>0.115</v>
      </c>
      <c r="S38" s="40" t="n">
        <f aca="false">IF($D$4="NYMEX",0,VLOOKUP($A38,curvesettle,HLOOKUP($D$4,curvesettle,2,FALSE()),FALSE()))</f>
        <v>0</v>
      </c>
      <c r="T38" s="131" t="n">
        <f aca="false">IF(ISNUMBER(VLOOKUP($A38,VOLCURVES,HLOOKUP($D$3,VOLCURVES,2,FALSE()),FALSE())),VLOOKUP($A38,VOLCURVES,HLOOKUP($D$3,VOLCURVES,2,FALSE()),FALSE()),1)</f>
        <v>1</v>
      </c>
      <c r="U38" s="131" t="n">
        <f aca="false">IF(ISNUMBER(VLOOKUP($A38,VOLCURVES,HLOOKUP($D$4,VOLCURVES,2,FALSE()),FALSE())),VLOOKUP($A38,VOLCURVES,HLOOKUP($D$4,VOLCURVES,2,FALSE()),FALSE()),1)</f>
        <v>1</v>
      </c>
      <c r="V38" s="131" t="n">
        <f aca="false">IF(ISNUMBER(VLOOKUP($A38,CORETABLE,HLOOKUP($D$3,CORETABLE,2,FALSE()),FALSE())),VLOOKUP($A38,CORETABLE,HLOOKUP($D$3,CORETABLE,2,FALSE()),FALSE()),0.99)</f>
        <v>0.994071440191916</v>
      </c>
      <c r="W38" s="155" t="n">
        <f aca="false">D$18</f>
        <v>0.2</v>
      </c>
      <c r="X38" s="131"/>
      <c r="Y38" s="40" t="n">
        <f aca="false">IF($F$3="NYMEX",0,VLOOKUP($A38,curvesettle,HLOOKUP($F$3,curvesettle,2,FALSE()),FALSE()))</f>
        <v>0.48</v>
      </c>
      <c r="Z38" s="40" t="n">
        <f aca="false">IF($F$4="NYMEX",0,VLOOKUP($A38,curvesettle,HLOOKUP($F$4,curvesettle,2,FALSE()),FALSE()))</f>
        <v>0</v>
      </c>
      <c r="AA38" s="131" t="n">
        <f aca="false">IF(ISNUMBER(VLOOKUP($A38,VOLCURVES,HLOOKUP($F$3,VOLCURVES,2,FALSE()),FALSE())),VLOOKUP($A38,VOLCURVES,HLOOKUP($F$3,VOLCURVES,2,FALSE()),FALSE()),1)</f>
        <v>0.98</v>
      </c>
      <c r="AB38" s="131" t="n">
        <f aca="false">IF(ISNUMBER(VLOOKUP($A38,VOLCURVES,HLOOKUP($F$4,VOLCURVES,2,FALSE()),FALSE())),VLOOKUP($A38,VOLCURVES,HLOOKUP($F$4,VOLCURVES,2,FALSE()),FALSE()),1)</f>
        <v>1</v>
      </c>
      <c r="AC38" s="131" t="n">
        <f aca="false">IF(ISNUMBER(VLOOKUP($A38,CORETABLE,HLOOKUP($F$3,CORETABLE,2,FALSE()),FALSE())),VLOOKUP($A38,CORETABLE,HLOOKUP($F$3,CORETABLE,2,FALSE()),FALSE()),1)</f>
        <v>0.9925</v>
      </c>
      <c r="AD38" s="155" t="n">
        <f aca="false">F$18</f>
        <v>1.85</v>
      </c>
      <c r="AE38" s="131"/>
      <c r="AF38" s="40" t="n">
        <f aca="false">IF($H$3="NYMEX",0,VLOOKUP($A38,curvesettle,HLOOKUP($H$3,curvesettle,2,FALSE()),FALSE()))</f>
        <v>0.48</v>
      </c>
      <c r="AG38" s="40" t="n">
        <f aca="false">IF($H$4="NYMEX",0,VLOOKUP($A38,curvesettle,HLOOKUP($H$4,curvesettle,2,FALSE()),FALSE()))</f>
        <v>0</v>
      </c>
      <c r="AH38" s="131" t="n">
        <f aca="false">IF(ISNUMBER(VLOOKUP($A38,VOLCURVES,HLOOKUP($H$3,VOLCURVES,2,FALSE()),FALSE())),VLOOKUP($A38,VOLCURVES,HLOOKUP($H$3,VOLCURVES,2,FALSE()),FALSE()),1)</f>
        <v>0.98</v>
      </c>
      <c r="AI38" s="131" t="n">
        <f aca="false">IF(ISNUMBER(VLOOKUP($A38,VOLCURVES,HLOOKUP($H$4,VOLCURVES,2,FALSE()),FALSE())),VLOOKUP($A38,VOLCURVES,HLOOKUP($H$4,VOLCURVES,2,FALSE()),FALSE()),1)</f>
        <v>1</v>
      </c>
      <c r="AJ38" s="131" t="n">
        <f aca="false">IF(ISNUMBER(VLOOKUP($A38,CORETABLE,HLOOKUP($H$3,CORETABLE,2,FALSE()),FALSE())),VLOOKUP($A38,CORETABLE,HLOOKUP($H$3,CORETABLE,2,FALSE()),FALSE()),1)</f>
        <v>0.9925</v>
      </c>
      <c r="AK38" s="155" t="n">
        <f aca="false">H$18</f>
        <v>1.85</v>
      </c>
      <c r="AM38" s="4" t="n">
        <f aca="false">VLOOKUP($A38,STRADDLE,12,FALSE())</f>
        <v>0.067720515824946</v>
      </c>
      <c r="AN38" s="43" t="n">
        <f aca="false">A39-A38</f>
        <v>31</v>
      </c>
      <c r="AP38" s="9" t="n">
        <f aca="false">IF($A38&gt;=AR$32,IF($A38&lt;=AR$33,$AN38,0),0)</f>
        <v>0</v>
      </c>
      <c r="AQ38" s="123" t="n">
        <f aca="false">$B38+$K38+$B$12</f>
        <v>5.75</v>
      </c>
      <c r="AR38" s="123" t="n">
        <f aca="false">$B38+$L38+$B$13</f>
        <v>5.24</v>
      </c>
      <c r="AS38" s="123" t="n">
        <f aca="false">AQ38*AP38</f>
        <v>0</v>
      </c>
      <c r="AT38" s="123" t="n">
        <f aca="false">AR38*AP38</f>
        <v>0</v>
      </c>
      <c r="AU38" s="156" t="n">
        <f aca="false">($C38*$M38)+$B$14</f>
        <v>0.4704</v>
      </c>
      <c r="AV38" s="156" t="n">
        <f aca="false">($C38*$N38)+$B$15</f>
        <v>0.48</v>
      </c>
      <c r="AW38" s="131" t="n">
        <f aca="false">O38+B$16</f>
        <v>0.9925</v>
      </c>
      <c r="AX38" s="157" t="n">
        <f aca="false">IF(AP38=0,0,SPRDOPT(AQ38,AR38,$P38,$AM38,AU38,AV38,AW38,$D38,$B$19,0))</f>
        <v>0</v>
      </c>
      <c r="AY38" s="157" t="e">
        <f aca="false">IF(AQ38=0,0,SPRDOPT(AQ38,AR38,$P38,$AM38,AU38,AV38,AW38,$D38,$B$19,1))</f>
        <v>#NAME?</v>
      </c>
      <c r="AZ38" s="157" t="e">
        <f aca="false">IF(AR38=0,0,SPRDOPT(AQ38,AR38,$P38,$AM38,AU38,AV38,AW38,$D38,$B$19,2))</f>
        <v>#NAME?</v>
      </c>
      <c r="BA38" s="157" t="n">
        <f aca="false">IF(AS38=0,0,SPRDOPT(AQ38,AR38,$P38,$AM38,AU38,AV38,AW38,$D38,$B$19,3)/100)</f>
        <v>0</v>
      </c>
      <c r="BB38" s="157" t="n">
        <f aca="false">IF(AT38=0,0,SPRDOPT(AQ38,AR38,$P38,$AM38,AU38,AV38,AW38,$D38,$B$19,4)/100)</f>
        <v>0</v>
      </c>
      <c r="BC38" s="157" t="e">
        <f aca="false">IF(AU38=0,0,SPRDOPT(AQ38,AR38,$P38,$AM38,AU38,AV38,AW38,$D38,$B$19,5)/100)</f>
        <v>#NAME?</v>
      </c>
      <c r="BD38" s="157" t="e">
        <f aca="false">IF(AV38=0,0,SPRDOPT(AQ38,AR38,$P38,$AM38,AU38,AV38,AW38,$D38,$B$19,6)/100)</f>
        <v>#NAME?</v>
      </c>
      <c r="BE38" s="157" t="e">
        <f aca="false">IF(AW38=0,0,SPRDOPT(AQ38,AR38,$P38,$AM38,AU38,AV38,AW38,$D38,$B$19,7)/100)</f>
        <v>#NAME?</v>
      </c>
      <c r="BF38" s="157" t="n">
        <f aca="false">IF(AX38=0,0,SPRDOPT(AQ38,AR38,$P38,$AM38,AU38,AV38,AW38,$D38,$B$19,9)/365)</f>
        <v>0</v>
      </c>
      <c r="BG38" s="157" t="e">
        <f aca="false">AY38+AZ38</f>
        <v>#NAME?</v>
      </c>
      <c r="BH38" s="157" t="n">
        <f aca="false">BB38-BA38</f>
        <v>0</v>
      </c>
      <c r="BI38" s="157" t="e">
        <f aca="false">((AU38/AV38)*BC38)+BD38</f>
        <v>#NAME?</v>
      </c>
      <c r="BJ38" s="44"/>
      <c r="BK38" s="45" t="n">
        <f aca="false">$AP38*AX38</f>
        <v>0</v>
      </c>
      <c r="BL38" s="45" t="e">
        <f aca="false">$AP38*AY38</f>
        <v>#NAME?</v>
      </c>
      <c r="BM38" s="45" t="e">
        <f aca="false">$AP38*AZ38</f>
        <v>#NAME?</v>
      </c>
      <c r="BN38" s="45" t="n">
        <f aca="false">$AP38*BA38</f>
        <v>0</v>
      </c>
      <c r="BO38" s="45" t="n">
        <f aca="false">$AP38*BB38</f>
        <v>0</v>
      </c>
      <c r="BP38" s="45" t="e">
        <f aca="false">$AP38*BC38</f>
        <v>#NAME?</v>
      </c>
      <c r="BQ38" s="45" t="e">
        <f aca="false">$AP38*BD38</f>
        <v>#NAME?</v>
      </c>
      <c r="BR38" s="45" t="e">
        <f aca="false">$AP38*BE38</f>
        <v>#NAME?</v>
      </c>
      <c r="BS38" s="45" t="n">
        <f aca="false">$AP38*BF38</f>
        <v>0</v>
      </c>
      <c r="BT38" s="45" t="e">
        <f aca="false">$AP38*BG38</f>
        <v>#NAME?</v>
      </c>
      <c r="BU38" s="45" t="n">
        <f aca="false">$AP38*BH38</f>
        <v>0</v>
      </c>
      <c r="BV38" s="45" t="e">
        <f aca="false">$AP38*BI38</f>
        <v>#NAME?</v>
      </c>
      <c r="BX38" s="9" t="n">
        <f aca="false">IF($A38&gt;=BZ$32,IF($A38&lt;=BZ$33,$AN38,0),0)</f>
        <v>0</v>
      </c>
      <c r="BY38" s="123" t="n">
        <f aca="false">$B38+$R38+$D$12</f>
        <v>5.355</v>
      </c>
      <c r="BZ38" s="123" t="n">
        <f aca="false">$B38+$S38+$D$13</f>
        <v>5.24</v>
      </c>
      <c r="CA38" s="123" t="n">
        <f aca="false">BY38*BX38</f>
        <v>0</v>
      </c>
      <c r="CB38" s="123" t="n">
        <f aca="false">BZ38*BX38</f>
        <v>0</v>
      </c>
      <c r="CC38" s="156" t="n">
        <f aca="false">($C38*$T38)+$D$14</f>
        <v>0.48</v>
      </c>
      <c r="CD38" s="156" t="n">
        <f aca="false">($C38*$U38)+$D$15</f>
        <v>0.48</v>
      </c>
      <c r="CE38" s="131" t="n">
        <f aca="false">$V38+D$16</f>
        <v>0.994071440191916</v>
      </c>
      <c r="CF38" s="157" t="n">
        <f aca="false">IF(BX38=0,0,SPRDOPT(BY38,BZ38,$W38,$AM38,CC38,CD38,CE38,$D38,$D$19,0))</f>
        <v>0</v>
      </c>
      <c r="CG38" s="157" t="e">
        <f aca="false">IF(BY38=0,0,SPRDOPT(BY38,BZ38,$W38,$AM38,CC38,CD38,CE38,$D38,$D$19,1))</f>
        <v>#NAME?</v>
      </c>
      <c r="CH38" s="157" t="e">
        <f aca="false">IF(BZ38=0,0,SPRDOPT(BY38,BZ38,$W38,$AM38,CC38,CD38,CE38,$D38,$D$19,2))</f>
        <v>#NAME?</v>
      </c>
      <c r="CI38" s="157" t="n">
        <f aca="false">IF(CA38=0,0,SPRDOPT(BY38,BZ38,$W38,$AM38,CC38,CD38,CE38,$D38,$D$19,3)/100)</f>
        <v>0</v>
      </c>
      <c r="CJ38" s="157" t="n">
        <f aca="false">IF(CB38=0,0,SPRDOPT(BY38,BZ38,$W38,$AM38,CC38,CD38,CE38,$D38,$D$19,4)/100)</f>
        <v>0</v>
      </c>
      <c r="CK38" s="157" t="e">
        <f aca="false">IF(CC38=0,0,SPRDOPT(BY38,BZ38,$W38,$AM38,CC38,CD38,CE38,$D38,$D$19,5)/100)</f>
        <v>#NAME?</v>
      </c>
      <c r="CL38" s="157" t="e">
        <f aca="false">IF(CD38=0,0,SPRDOPT(BY38,BZ38,$W38,$AM38,CC38,CD38,CE38,$D38,$D$19,6)/100)</f>
        <v>#NAME?</v>
      </c>
      <c r="CM38" s="157" t="e">
        <f aca="false">IF(CE38=0,0,SPRDOPT(BY38,BZ38,$W38,$AM38,CC38,CD38,CE38,$D38,$D$19,7)/100)</f>
        <v>#NAME?</v>
      </c>
      <c r="CN38" s="157" t="n">
        <f aca="false">IF(CF38=0,0,SPRDOPT(BY38,BZ38,$W38,$AM38,CC38,CD38,CE38,$D38,$D$19,9)/365)</f>
        <v>0</v>
      </c>
      <c r="CO38" s="157" t="e">
        <f aca="false">CG38+CH38</f>
        <v>#NAME?</v>
      </c>
      <c r="CP38" s="157" t="n">
        <f aca="false">CJ38-CI38</f>
        <v>0</v>
      </c>
      <c r="CQ38" s="157" t="e">
        <f aca="false">((CC38/CD38)*CK38)+CL38</f>
        <v>#NAME?</v>
      </c>
      <c r="CR38" s="44"/>
      <c r="CS38" s="45" t="n">
        <f aca="false">BX38*CF38</f>
        <v>0</v>
      </c>
      <c r="CT38" s="45" t="e">
        <f aca="false">BX38*CG38</f>
        <v>#NAME?</v>
      </c>
      <c r="CU38" s="45" t="e">
        <f aca="false">BX38*CH38</f>
        <v>#NAME?</v>
      </c>
      <c r="CV38" s="45" t="n">
        <f aca="false">BX38*CI38</f>
        <v>0</v>
      </c>
      <c r="CW38" s="45" t="n">
        <f aca="false">BX38*CJ38</f>
        <v>0</v>
      </c>
      <c r="CX38" s="45" t="e">
        <f aca="false">BX38*CK38</f>
        <v>#NAME?</v>
      </c>
      <c r="CY38" s="45" t="e">
        <f aca="false">BX38*CL38</f>
        <v>#NAME?</v>
      </c>
      <c r="CZ38" s="45" t="e">
        <f aca="false">BX38*CM38</f>
        <v>#NAME?</v>
      </c>
      <c r="DA38" s="45" t="n">
        <f aca="false">BX38*CN38</f>
        <v>0</v>
      </c>
      <c r="DB38" s="45" t="e">
        <f aca="false">BX38*CO38</f>
        <v>#NAME?</v>
      </c>
      <c r="DC38" s="45" t="n">
        <f aca="false">BX38*CP38</f>
        <v>0</v>
      </c>
      <c r="DD38" s="45" t="e">
        <f aca="false">BX38*CQ38</f>
        <v>#NAME?</v>
      </c>
      <c r="DF38" s="9" t="n">
        <f aca="false">IF($A38&gt;=DH$32,IF($A38&lt;=DH$33,$AN38,0),0)</f>
        <v>0</v>
      </c>
      <c r="DG38" s="123" t="n">
        <f aca="false">$B38+$Y38+$F$12</f>
        <v>5.75</v>
      </c>
      <c r="DH38" s="123" t="n">
        <f aca="false">$B38+$Z38+$F$13</f>
        <v>5.24</v>
      </c>
      <c r="DI38" s="123" t="n">
        <f aca="false">DG38*DF38</f>
        <v>0</v>
      </c>
      <c r="DJ38" s="123" t="n">
        <f aca="false">DH38*DF38</f>
        <v>0</v>
      </c>
      <c r="DK38" s="156" t="n">
        <f aca="false">($C38*$AA38)+$F$14</f>
        <v>0.4704</v>
      </c>
      <c r="DL38" s="156" t="n">
        <f aca="false">($C38*$AB38)+$F$15</f>
        <v>0.48</v>
      </c>
      <c r="DM38" s="131" t="n">
        <f aca="false">$AC38+$F$16</f>
        <v>0.9925</v>
      </c>
      <c r="DN38" s="157" t="n">
        <f aca="false">IF(DF38=0,0,SPRDOPT(DG38,DH38,$AD38,$AM38,DK38,DL38,DM38,$D38,$F$19,0))</f>
        <v>0</v>
      </c>
      <c r="DO38" s="157" t="e">
        <f aca="false">IF(DG38=0,0,SPRDOPT(DG38,DH38,$AD38,$AM38,DK38,DL38,DM38,$D38,$F$19,1))</f>
        <v>#NAME?</v>
      </c>
      <c r="DP38" s="157" t="e">
        <f aca="false">IF(DH38=0,0,SPRDOPT(DG38,DH38,$AD38,$AM38,DK38,DL38,DM38,$D38,$F$19,2))</f>
        <v>#NAME?</v>
      </c>
      <c r="DQ38" s="157" t="n">
        <f aca="false">IF(DI38=0,0,SPRDOPT(DG38,DH38,$AD38,$AM38,DK38,DL38,DM38,$D38,$F$19,3)/100)</f>
        <v>0</v>
      </c>
      <c r="DR38" s="157" t="n">
        <f aca="false">IF(DJ38=0,0,SPRDOPT(DG38,DH38,$AD38,$AM38,DK38,DL38,DM38,$D38,$F$19,4)/100)</f>
        <v>0</v>
      </c>
      <c r="DS38" s="157" t="e">
        <f aca="false">IF(DK38=0,0,SPRDOPT(DG38,DH38,$AD38,$AM38,DK38,DL38,DM38,$D38,$F$19,5)/100)</f>
        <v>#NAME?</v>
      </c>
      <c r="DT38" s="157" t="e">
        <f aca="false">IF(DL38=0,0,SPRDOPT(DG38,DH38,$AD38,$AM38,DK38,DL38,DM38,$D38,$F$19,6)/100)</f>
        <v>#NAME?</v>
      </c>
      <c r="DU38" s="157" t="e">
        <f aca="false">IF(DM38=0,0,SPRDOPT(DG38,DH38,$AD38,$AM38,DK38,DL38,DM38,$D38,$F$19,7)/100)</f>
        <v>#NAME?</v>
      </c>
      <c r="DV38" s="157" t="n">
        <f aca="false">IF(DN38=0,0,SPRDOPT(DG38,DH38,$AD38,$AM38,DK38,DL38,DM38,$D38,$F$19,9)/365)</f>
        <v>0</v>
      </c>
      <c r="DW38" s="157" t="e">
        <f aca="false">DO38+DP38</f>
        <v>#NAME?</v>
      </c>
      <c r="DX38" s="157" t="n">
        <f aca="false">DR38-DQ38</f>
        <v>0</v>
      </c>
      <c r="DY38" s="157" t="e">
        <f aca="false">((DK38/DL38)*DS38)+DT38</f>
        <v>#NAME?</v>
      </c>
      <c r="DZ38" s="44"/>
      <c r="EA38" s="45" t="n">
        <f aca="false">DF38*DN38</f>
        <v>0</v>
      </c>
      <c r="EB38" s="45" t="e">
        <f aca="false">DF38*DO38</f>
        <v>#NAME?</v>
      </c>
      <c r="EC38" s="45" t="e">
        <f aca="false">DF38*DP38</f>
        <v>#NAME?</v>
      </c>
      <c r="ED38" s="45" t="n">
        <f aca="false">DF38*DQ38</f>
        <v>0</v>
      </c>
      <c r="EE38" s="45" t="n">
        <f aca="false">DF38*DR38</f>
        <v>0</v>
      </c>
      <c r="EF38" s="45" t="e">
        <f aca="false">DF38*DS38</f>
        <v>#NAME?</v>
      </c>
      <c r="EG38" s="45" t="e">
        <f aca="false">DF38*DT38</f>
        <v>#NAME?</v>
      </c>
      <c r="EH38" s="45" t="e">
        <f aca="false">DF38*DU38</f>
        <v>#NAME?</v>
      </c>
      <c r="EI38" s="45" t="n">
        <f aca="false">DF38*DV38</f>
        <v>0</v>
      </c>
      <c r="EJ38" s="45" t="e">
        <f aca="false">DF38*DW38</f>
        <v>#NAME?</v>
      </c>
      <c r="EK38" s="45" t="n">
        <f aca="false">DF38*DX38</f>
        <v>0</v>
      </c>
      <c r="EL38" s="45" t="e">
        <f aca="false">DF38*DY38</f>
        <v>#NAME?</v>
      </c>
      <c r="EN38" s="9" t="n">
        <f aca="false">IF($A38&gt;=EP$32,IF($A38&lt;=EP$33,$AN38,0),0)</f>
        <v>0</v>
      </c>
      <c r="EO38" s="123" t="n">
        <f aca="false">$B38+$AF38+$H$12</f>
        <v>5.75</v>
      </c>
      <c r="EP38" s="123" t="n">
        <f aca="false">$B38+$AG38+$H$13</f>
        <v>5.24</v>
      </c>
      <c r="EQ38" s="123" t="n">
        <f aca="false">EO38*EN38</f>
        <v>0</v>
      </c>
      <c r="ER38" s="123" t="n">
        <f aca="false">EP38*EN38</f>
        <v>0</v>
      </c>
      <c r="ES38" s="156" t="n">
        <f aca="false">($C38*$AH38)+$H$14</f>
        <v>0.4704</v>
      </c>
      <c r="ET38" s="156" t="n">
        <f aca="false">($C38*$AI38)+$H$15</f>
        <v>0.48</v>
      </c>
      <c r="EU38" s="131" t="n">
        <f aca="false">$AJ38+$H$16</f>
        <v>0.9925</v>
      </c>
      <c r="EV38" s="157" t="n">
        <f aca="false">IF(EN38=0,0,SPRDOPT(EO38,EP38,$AK38,$AM38,ES38,ET38,EU38,$D38,$H$19,0))</f>
        <v>0</v>
      </c>
      <c r="EW38" s="157" t="e">
        <f aca="false">IF(EO38=0,0,SPRDOPT(EO38,EP38,$AK38,$AM38,ES38,ET38,EU38,$D38,$H$19,1))</f>
        <v>#NAME?</v>
      </c>
      <c r="EX38" s="157" t="e">
        <f aca="false">IF(EP38=0,0,SPRDOPT(EO38,EP38,$AK38,$AM38,ES38,ET38,EU38,$D38,$H$19,2))</f>
        <v>#NAME?</v>
      </c>
      <c r="EY38" s="157" t="n">
        <f aca="false">IF(EQ38=0,0,SPRDOPT(EO38,EP38,$AK38,$AM38,ES38,ET38,EU38,$D38,$H$19,3)/100)</f>
        <v>0</v>
      </c>
      <c r="EZ38" s="157" t="n">
        <f aca="false">IF(ER38=0,0,SPRDOPT(EO38,EP38,$AK38,$AM38,ES38,ET38,EU38,$D38,$H$19,4)/100)</f>
        <v>0</v>
      </c>
      <c r="FA38" s="157" t="e">
        <f aca="false">IF(ES38=0,0,SPRDOPT(EO38,EP38,$AK38,$AM38,ES38,ET38,EU38,$D38,$H$19,5)/100)</f>
        <v>#NAME?</v>
      </c>
      <c r="FB38" s="157" t="e">
        <f aca="false">IF(ET38=0,0,SPRDOPT(EO38,EP38,$AK38,$AM38,ES38,ET38,EU38,$D38,$H$19,6)/100)</f>
        <v>#NAME?</v>
      </c>
      <c r="FC38" s="157" t="e">
        <f aca="false">IF(EU38=0,0,SPRDOPT(EO38,EP38,$AK38,$AM38,ES38,ET38,EU38,$D38,$H$19,7)/100)</f>
        <v>#NAME?</v>
      </c>
      <c r="FD38" s="157" t="n">
        <f aca="false">IF(EV38=0,0,SPRDOPT(EO38,EP38,$AK38,$AM38,ES38,ET38,EU38,$D38,$H$19,9)/365)</f>
        <v>0</v>
      </c>
      <c r="FE38" s="157" t="e">
        <f aca="false">EW38+EX38</f>
        <v>#NAME?</v>
      </c>
      <c r="FF38" s="157" t="n">
        <f aca="false">EZ38-EY38</f>
        <v>0</v>
      </c>
      <c r="FG38" s="157" t="e">
        <f aca="false">((ES38/ET38)*FA38)+FB38</f>
        <v>#NAME?</v>
      </c>
      <c r="FH38" s="44"/>
      <c r="FI38" s="45" t="n">
        <f aca="false">$EN38*EV38</f>
        <v>0</v>
      </c>
      <c r="FJ38" s="45" t="e">
        <f aca="false">$EN38*EW38</f>
        <v>#NAME?</v>
      </c>
      <c r="FK38" s="45" t="e">
        <f aca="false">$EN38*EX38</f>
        <v>#NAME?</v>
      </c>
      <c r="FL38" s="45" t="n">
        <f aca="false">$EN38*EY38</f>
        <v>0</v>
      </c>
      <c r="FM38" s="45" t="n">
        <f aca="false">$EN38*EZ38</f>
        <v>0</v>
      </c>
      <c r="FN38" s="45" t="e">
        <f aca="false">$EN38*FA38</f>
        <v>#NAME?</v>
      </c>
      <c r="FO38" s="45" t="e">
        <f aca="false">$EN38*FB38</f>
        <v>#NAME?</v>
      </c>
      <c r="FP38" s="45" t="e">
        <f aca="false">$EN38*FC38</f>
        <v>#NAME?</v>
      </c>
      <c r="FQ38" s="45" t="n">
        <f aca="false">$EN38*FD38</f>
        <v>0</v>
      </c>
      <c r="FR38" s="45" t="e">
        <f aca="false">$EN38*FE38</f>
        <v>#NAME?</v>
      </c>
      <c r="FS38" s="45" t="n">
        <f aca="false">$EN38*FF38</f>
        <v>0</v>
      </c>
      <c r="FT38" s="45" t="e">
        <f aca="false">$EN38*FG38</f>
        <v>#NAME?</v>
      </c>
    </row>
    <row r="39" customFormat="false" ht="12.75" hidden="false" customHeight="false" outlineLevel="0" collapsed="false">
      <c r="A39" s="48" t="n">
        <f aca="false">DATE(YEAR(A38),MONTH(A38)+1,1)</f>
        <v>36831</v>
      </c>
      <c r="B39" s="40" t="n">
        <f aca="false">VLOOKUP(A39,STRADDLE,5,FALSE())</f>
        <v>5.4258</v>
      </c>
      <c r="C39" s="4" t="n">
        <f aca="false">VLOOKUP(A39,STRADDLE,8,FALSE())</f>
        <v>0.52</v>
      </c>
      <c r="D39" s="136" t="n">
        <f aca="false">VLOOKUP(A39,expiration,2,FALSE())-$B$2</f>
        <v>-9100</v>
      </c>
      <c r="E39" s="131" t="e">
        <f aca="false">AY39</f>
        <v>#NAME?</v>
      </c>
      <c r="F39" s="131" t="e">
        <f aca="false">CG39</f>
        <v>#NAME?</v>
      </c>
      <c r="G39" s="131" t="e">
        <f aca="false">DO39</f>
        <v>#NAME?</v>
      </c>
      <c r="H39" s="131" t="e">
        <f aca="false">EW39</f>
        <v>#NAME?</v>
      </c>
      <c r="I39" s="41"/>
      <c r="J39" s="154"/>
      <c r="K39" s="40" t="n">
        <f aca="false">IF($B$3="NYMEX",0,VLOOKUP($A39,curvesettle,HLOOKUP($B$3,curvesettle,2,FALSE()),FALSE()))</f>
        <v>0.89</v>
      </c>
      <c r="L39" s="40" t="n">
        <f aca="false">IF($B$4="NYMEX",0,VLOOKUP($A39,curvesettle,HLOOKUP($B$4,curvesettle,2,FALSE()),FALSE()))</f>
        <v>0</v>
      </c>
      <c r="M39" s="131" t="n">
        <f aca="false">IF(ISNUMBER(VLOOKUP($A39,VOLCURVES,HLOOKUP($B$3,VOLCURVES,2,FALSE()),FALSE())),VLOOKUP($A39,VOLCURVES,HLOOKUP($B$3,VOLCURVES,2,FALSE()),FALSE()),1)</f>
        <v>1.05</v>
      </c>
      <c r="N39" s="131" t="n">
        <f aca="false">IF(ISNUMBER(VLOOKUP($A39,VOLCURVES,HLOOKUP($B$4,VOLCURVES,2,FALSE()),FALSE())),VLOOKUP($A39,VOLCURVES,HLOOKUP($B$4,VOLCURVES,2,FALSE()),FALSE()),1)</f>
        <v>1</v>
      </c>
      <c r="O39" s="131" t="n">
        <f aca="false">IF(ISNUMBER(VLOOKUP($A39,CORETABLE,HLOOKUP($B$3,CORETABLE,2,FALSE()),FALSE())),VLOOKUP($A39,CORETABLE,HLOOKUP($B$3,CORETABLE,2,FALSE()),FALSE()),0.99)</f>
        <v>0.86</v>
      </c>
      <c r="P39" s="155" t="n">
        <f aca="false">B$18</f>
        <v>2</v>
      </c>
      <c r="Q39" s="131"/>
      <c r="R39" s="40" t="n">
        <f aca="false">IF($D$3="NYMEX",0,VLOOKUP($A39,curvesettle,HLOOKUP($D$3,curvesettle,2,FALSE()),FALSE()))</f>
        <v>0.125</v>
      </c>
      <c r="S39" s="40" t="n">
        <f aca="false">IF($D$4="NYMEX",0,VLOOKUP($A39,curvesettle,HLOOKUP($D$4,curvesettle,2,FALSE()),FALSE()))</f>
        <v>0</v>
      </c>
      <c r="T39" s="131" t="n">
        <f aca="false">IF(ISNUMBER(VLOOKUP($A39,VOLCURVES,HLOOKUP($D$3,VOLCURVES,2,FALSE()),FALSE())),VLOOKUP($A39,VOLCURVES,HLOOKUP($D$3,VOLCURVES,2,FALSE()),FALSE()),1)</f>
        <v>1</v>
      </c>
      <c r="U39" s="131" t="n">
        <f aca="false">IF(ISNUMBER(VLOOKUP($A39,VOLCURVES,HLOOKUP($D$4,VOLCURVES,2,FALSE()),FALSE())),VLOOKUP($A39,VOLCURVES,HLOOKUP($D$4,VOLCURVES,2,FALSE()),FALSE()),1)</f>
        <v>1</v>
      </c>
      <c r="V39" s="131" t="n">
        <f aca="false">IF(ISNUMBER(VLOOKUP($A39,CORETABLE,HLOOKUP($D$3,CORETABLE,2,FALSE()),FALSE())),VLOOKUP($A39,CORETABLE,HLOOKUP($D$3,CORETABLE,2,FALSE()),FALSE()),0.99)</f>
        <v>0.9985</v>
      </c>
      <c r="W39" s="155" t="n">
        <f aca="false">D$18</f>
        <v>0.2</v>
      </c>
      <c r="X39" s="131"/>
      <c r="Y39" s="40" t="n">
        <f aca="false">IF($F$3="NYMEX",0,VLOOKUP($A39,curvesettle,HLOOKUP($F$3,curvesettle,2,FALSE()),FALSE()))</f>
        <v>0.89</v>
      </c>
      <c r="Z39" s="40" t="n">
        <f aca="false">IF($F$4="NYMEX",0,VLOOKUP($A39,curvesettle,HLOOKUP($F$4,curvesettle,2,FALSE()),FALSE()))</f>
        <v>0</v>
      </c>
      <c r="AA39" s="131" t="n">
        <f aca="false">IF(ISNUMBER(VLOOKUP($A39,VOLCURVES,HLOOKUP($F$3,VOLCURVES,2,FALSE()),FALSE())),VLOOKUP($A39,VOLCURVES,HLOOKUP($F$3,VOLCURVES,2,FALSE()),FALSE()),1)</f>
        <v>1.05</v>
      </c>
      <c r="AB39" s="131" t="n">
        <f aca="false">IF(ISNUMBER(VLOOKUP($A39,VOLCURVES,HLOOKUP($F$4,VOLCURVES,2,FALSE()),FALSE())),VLOOKUP($A39,VOLCURVES,HLOOKUP($F$4,VOLCURVES,2,FALSE()),FALSE()),1)</f>
        <v>1</v>
      </c>
      <c r="AC39" s="131" t="n">
        <f aca="false">IF(ISNUMBER(VLOOKUP($A39,CORETABLE,HLOOKUP($F$3,CORETABLE,2,FALSE()),FALSE())),VLOOKUP($A39,CORETABLE,HLOOKUP($F$3,CORETABLE,2,FALSE()),FALSE()),1)</f>
        <v>0.86</v>
      </c>
      <c r="AD39" s="155" t="n">
        <f aca="false">F$18</f>
        <v>1.85</v>
      </c>
      <c r="AE39" s="131"/>
      <c r="AF39" s="40" t="n">
        <f aca="false">IF($H$3="NYMEX",0,VLOOKUP($A39,curvesettle,HLOOKUP($H$3,curvesettle,2,FALSE()),FALSE()))</f>
        <v>0.89</v>
      </c>
      <c r="AG39" s="40" t="n">
        <f aca="false">IF($H$4="NYMEX",0,VLOOKUP($A39,curvesettle,HLOOKUP($H$4,curvesettle,2,FALSE()),FALSE()))</f>
        <v>0</v>
      </c>
      <c r="AH39" s="131" t="n">
        <f aca="false">IF(ISNUMBER(VLOOKUP($A39,VOLCURVES,HLOOKUP($H$3,VOLCURVES,2,FALSE()),FALSE())),VLOOKUP($A39,VOLCURVES,HLOOKUP($H$3,VOLCURVES,2,FALSE()),FALSE()),1)</f>
        <v>1.05</v>
      </c>
      <c r="AI39" s="131" t="n">
        <f aca="false">IF(ISNUMBER(VLOOKUP($A39,VOLCURVES,HLOOKUP($H$4,VOLCURVES,2,FALSE()),FALSE())),VLOOKUP($A39,VOLCURVES,HLOOKUP($H$4,VOLCURVES,2,FALSE()),FALSE()),1)</f>
        <v>1</v>
      </c>
      <c r="AJ39" s="131" t="n">
        <f aca="false">IF(ISNUMBER(VLOOKUP($A39,CORETABLE,HLOOKUP($H$3,CORETABLE,2,FALSE()),FALSE())),VLOOKUP($A39,CORETABLE,HLOOKUP($H$3,CORETABLE,2,FALSE()),FALSE()),1)</f>
        <v>0.86</v>
      </c>
      <c r="AK39" s="155" t="n">
        <f aca="false">H$18</f>
        <v>1.85</v>
      </c>
      <c r="AM39" s="4" t="n">
        <f aca="false">VLOOKUP($A39,STRADDLE,12,FALSE())</f>
        <v>0.068087889350767</v>
      </c>
      <c r="AN39" s="43" t="n">
        <f aca="false">A40-A39</f>
        <v>30</v>
      </c>
      <c r="AP39" s="9" t="n">
        <f aca="false">IF($A39&gt;=AR$32,IF($A39&lt;=AR$33,$AN39,0),0)</f>
        <v>30</v>
      </c>
      <c r="AQ39" s="123" t="n">
        <f aca="false">$B39+$K39+$B$12</f>
        <v>6.3458</v>
      </c>
      <c r="AR39" s="123" t="n">
        <f aca="false">$B39+$L39+$B$13</f>
        <v>5.4258</v>
      </c>
      <c r="AS39" s="123" t="n">
        <f aca="false">AQ39*AP39</f>
        <v>190.374</v>
      </c>
      <c r="AT39" s="123" t="n">
        <f aca="false">AR39*AP39</f>
        <v>162.774</v>
      </c>
      <c r="AU39" s="156" t="n">
        <f aca="false">($C39*$M39)+$B$14</f>
        <v>0.546</v>
      </c>
      <c r="AV39" s="156" t="n">
        <f aca="false">($C39*$N39)+$B$15</f>
        <v>0.52</v>
      </c>
      <c r="AW39" s="131" t="n">
        <f aca="false">O39+B$16</f>
        <v>0.86</v>
      </c>
      <c r="AX39" s="157" t="e">
        <f aca="false">IF(AP39=0,0,SPRDOPT(AQ39,AR39,$P39,$AM39,AU39,AV39,AW39,$D39,$B$19,0))</f>
        <v>#NAME?</v>
      </c>
      <c r="AY39" s="157" t="e">
        <f aca="false">IF(AQ39=0,0,SPRDOPT(AQ39,AR39,$P39,$AM39,AU39,AV39,AW39,$D39,$B$19,1))</f>
        <v>#NAME?</v>
      </c>
      <c r="AZ39" s="157" t="e">
        <f aca="false">IF(AR39=0,0,SPRDOPT(AQ39,AR39,$P39,$AM39,AU39,AV39,AW39,$D39,$B$19,2))</f>
        <v>#NAME?</v>
      </c>
      <c r="BA39" s="157" t="e">
        <f aca="false">IF(AS39=0,0,SPRDOPT(AQ39,AR39,$P39,$AM39,AU39,AV39,AW39,$D39,$B$19,3)/100)</f>
        <v>#NAME?</v>
      </c>
      <c r="BB39" s="157" t="e">
        <f aca="false">IF(AT39=0,0,SPRDOPT(AQ39,AR39,$P39,$AM39,AU39,AV39,AW39,$D39,$B$19,4)/100)</f>
        <v>#NAME?</v>
      </c>
      <c r="BC39" s="157" t="e">
        <f aca="false">IF(AU39=0,0,SPRDOPT(AQ39,AR39,$P39,$AM39,AU39,AV39,AW39,$D39,$B$19,5)/100)</f>
        <v>#NAME?</v>
      </c>
      <c r="BD39" s="157" t="e">
        <f aca="false">IF(AV39=0,0,SPRDOPT(AQ39,AR39,$P39,$AM39,AU39,AV39,AW39,$D39,$B$19,6)/100)</f>
        <v>#NAME?</v>
      </c>
      <c r="BE39" s="157" t="e">
        <f aca="false">IF(AW39=0,0,SPRDOPT(AQ39,AR39,$P39,$AM39,AU39,AV39,AW39,$D39,$B$19,7)/100)</f>
        <v>#NAME?</v>
      </c>
      <c r="BF39" s="157" t="e">
        <f aca="false">IF(AX39=0,0,SPRDOPT(AQ39,AR39,$P39,$AM39,AU39,AV39,AW39,$D39,$B$19,9)/365)</f>
        <v>#NAME?</v>
      </c>
      <c r="BG39" s="157" t="e">
        <f aca="false">AY39+AZ39</f>
        <v>#NAME?</v>
      </c>
      <c r="BH39" s="157" t="e">
        <f aca="false">BB39-BA39</f>
        <v>#NAME?</v>
      </c>
      <c r="BI39" s="157" t="e">
        <f aca="false">((AU39/AV39)*BC39)+BD39</f>
        <v>#NAME?</v>
      </c>
      <c r="BJ39" s="44"/>
      <c r="BK39" s="45" t="e">
        <f aca="false">$AP39*AX39</f>
        <v>#NAME?</v>
      </c>
      <c r="BL39" s="45" t="e">
        <f aca="false">$AP39*AY39</f>
        <v>#NAME?</v>
      </c>
      <c r="BM39" s="45" t="e">
        <f aca="false">$AP39*AZ39</f>
        <v>#NAME?</v>
      </c>
      <c r="BN39" s="45" t="e">
        <f aca="false">$AP39*BA39</f>
        <v>#NAME?</v>
      </c>
      <c r="BO39" s="45" t="e">
        <f aca="false">$AP39*BB39</f>
        <v>#NAME?</v>
      </c>
      <c r="BP39" s="45" t="e">
        <f aca="false">$AP39*BC39</f>
        <v>#NAME?</v>
      </c>
      <c r="BQ39" s="45" t="e">
        <f aca="false">$AP39*BD39</f>
        <v>#NAME?</v>
      </c>
      <c r="BR39" s="45" t="e">
        <f aca="false">$AP39*BE39</f>
        <v>#NAME?</v>
      </c>
      <c r="BS39" s="45" t="e">
        <f aca="false">$AP39*BF39</f>
        <v>#NAME?</v>
      </c>
      <c r="BT39" s="45" t="e">
        <f aca="false">$AP39*BG39</f>
        <v>#NAME?</v>
      </c>
      <c r="BU39" s="45" t="e">
        <f aca="false">$AP39*BH39</f>
        <v>#NAME?</v>
      </c>
      <c r="BV39" s="45" t="e">
        <f aca="false">$AP39*BI39</f>
        <v>#NAME?</v>
      </c>
      <c r="BX39" s="9" t="n">
        <f aca="false">IF($A39&gt;=BZ$32,IF($A39&lt;=BZ$33,$AN39,0),0)</f>
        <v>30</v>
      </c>
      <c r="BY39" s="123" t="n">
        <f aca="false">$B39+$R39+$D$12</f>
        <v>5.5508</v>
      </c>
      <c r="BZ39" s="123" t="n">
        <f aca="false">$B39+$S39+$D$13</f>
        <v>5.4258</v>
      </c>
      <c r="CA39" s="123" t="n">
        <f aca="false">BY39*BX39</f>
        <v>166.524</v>
      </c>
      <c r="CB39" s="123" t="n">
        <f aca="false">BZ39*BX39</f>
        <v>162.774</v>
      </c>
      <c r="CC39" s="156" t="n">
        <f aca="false">($C39*$T39)+$D$14</f>
        <v>0.52</v>
      </c>
      <c r="CD39" s="156" t="n">
        <f aca="false">($C39*$U39)+$D$15</f>
        <v>0.52</v>
      </c>
      <c r="CE39" s="131" t="n">
        <f aca="false">$V39+D$16</f>
        <v>0.9985</v>
      </c>
      <c r="CF39" s="157" t="e">
        <f aca="false">IF(BX39=0,0,SPRDOPT(BY39,BZ39,$W39,$AM39,CC39,CD39,CE39,$D39,$D$19,0))</f>
        <v>#NAME?</v>
      </c>
      <c r="CG39" s="157" t="e">
        <f aca="false">IF(BY39=0,0,SPRDOPT(BY39,BZ39,$W39,$AM39,CC39,CD39,CE39,$D39,$D$19,1))</f>
        <v>#NAME?</v>
      </c>
      <c r="CH39" s="157" t="e">
        <f aca="false">IF(BZ39=0,0,SPRDOPT(BY39,BZ39,$W39,$AM39,CC39,CD39,CE39,$D39,$D$19,2))</f>
        <v>#NAME?</v>
      </c>
      <c r="CI39" s="157" t="e">
        <f aca="false">IF(CA39=0,0,SPRDOPT(BY39,BZ39,$W39,$AM39,CC39,CD39,CE39,$D39,$D$19,3)/100)</f>
        <v>#NAME?</v>
      </c>
      <c r="CJ39" s="157" t="e">
        <f aca="false">IF(CB39=0,0,SPRDOPT(BY39,BZ39,$W39,$AM39,CC39,CD39,CE39,$D39,$D$19,4)/100)</f>
        <v>#NAME?</v>
      </c>
      <c r="CK39" s="157" t="e">
        <f aca="false">IF(CC39=0,0,SPRDOPT(BY39,BZ39,$W39,$AM39,CC39,CD39,CE39,$D39,$D$19,5)/100)</f>
        <v>#NAME?</v>
      </c>
      <c r="CL39" s="157" t="e">
        <f aca="false">IF(CD39=0,0,SPRDOPT(BY39,BZ39,$W39,$AM39,CC39,CD39,CE39,$D39,$D$19,6)/100)</f>
        <v>#NAME?</v>
      </c>
      <c r="CM39" s="157" t="e">
        <f aca="false">IF(CE39=0,0,SPRDOPT(BY39,BZ39,$W39,$AM39,CC39,CD39,CE39,$D39,$D$19,7)/100)</f>
        <v>#NAME?</v>
      </c>
      <c r="CN39" s="157" t="e">
        <f aca="false">IF(CF39=0,0,SPRDOPT(BY39,BZ39,$W39,$AM39,CC39,CD39,CE39,$D39,$D$19,9)/365)</f>
        <v>#NAME?</v>
      </c>
      <c r="CO39" s="157" t="e">
        <f aca="false">CG39+CH39</f>
        <v>#NAME?</v>
      </c>
      <c r="CP39" s="157" t="e">
        <f aca="false">CJ39-CI39</f>
        <v>#NAME?</v>
      </c>
      <c r="CQ39" s="157" t="e">
        <f aca="false">((CC39/CD39)*CK39)+CL39</f>
        <v>#NAME?</v>
      </c>
      <c r="CR39" s="44"/>
      <c r="CS39" s="45" t="e">
        <f aca="false">BX39*CF39</f>
        <v>#NAME?</v>
      </c>
      <c r="CT39" s="45" t="e">
        <f aca="false">BX39*CG39</f>
        <v>#NAME?</v>
      </c>
      <c r="CU39" s="45" t="e">
        <f aca="false">BX39*CH39</f>
        <v>#NAME?</v>
      </c>
      <c r="CV39" s="45" t="e">
        <f aca="false">BX39*CI39</f>
        <v>#NAME?</v>
      </c>
      <c r="CW39" s="45" t="e">
        <f aca="false">BX39*CJ39</f>
        <v>#NAME?</v>
      </c>
      <c r="CX39" s="45" t="e">
        <f aca="false">BX39*CK39</f>
        <v>#NAME?</v>
      </c>
      <c r="CY39" s="45" t="e">
        <f aca="false">BX39*CL39</f>
        <v>#NAME?</v>
      </c>
      <c r="CZ39" s="45" t="e">
        <f aca="false">BX39*CM39</f>
        <v>#NAME?</v>
      </c>
      <c r="DA39" s="45" t="e">
        <f aca="false">BX39*CN39</f>
        <v>#NAME?</v>
      </c>
      <c r="DB39" s="45" t="e">
        <f aca="false">BX39*CO39</f>
        <v>#NAME?</v>
      </c>
      <c r="DC39" s="45" t="e">
        <f aca="false">BX39*CP39</f>
        <v>#NAME?</v>
      </c>
      <c r="DD39" s="45" t="e">
        <f aca="false">BX39*CQ39</f>
        <v>#NAME?</v>
      </c>
      <c r="DF39" s="9" t="n">
        <f aca="false">IF($A39&gt;=DH$32,IF($A39&lt;=DH$33,$AN39,0),0)</f>
        <v>30</v>
      </c>
      <c r="DG39" s="123" t="n">
        <f aca="false">$B39+$Y39+$F$12</f>
        <v>6.3458</v>
      </c>
      <c r="DH39" s="123" t="n">
        <f aca="false">$B39+$Z39+$F$13</f>
        <v>5.4258</v>
      </c>
      <c r="DI39" s="123" t="n">
        <f aca="false">DG39*DF39</f>
        <v>190.374</v>
      </c>
      <c r="DJ39" s="123" t="n">
        <f aca="false">DH39*DF39</f>
        <v>162.774</v>
      </c>
      <c r="DK39" s="156" t="n">
        <f aca="false">($C39*$AA39)+$F$14</f>
        <v>0.546</v>
      </c>
      <c r="DL39" s="156" t="n">
        <f aca="false">($C39*$AB39)+$F$15</f>
        <v>0.52</v>
      </c>
      <c r="DM39" s="131" t="n">
        <f aca="false">$AC39+$F$16</f>
        <v>0.86</v>
      </c>
      <c r="DN39" s="157" t="e">
        <f aca="false">IF(DF39=0,0,SPRDOPT(DG39,DH39,$AD39,$AM39,DK39,DL39,DM39,$D39,$F$19,0))</f>
        <v>#NAME?</v>
      </c>
      <c r="DO39" s="157" t="e">
        <f aca="false">IF(DG39=0,0,SPRDOPT(DG39,DH39,$AD39,$AM39,DK39,DL39,DM39,$D39,$F$19,1))</f>
        <v>#NAME?</v>
      </c>
      <c r="DP39" s="157" t="e">
        <f aca="false">IF(DH39=0,0,SPRDOPT(DG39,DH39,$AD39,$AM39,DK39,DL39,DM39,$D39,$F$19,2))</f>
        <v>#NAME?</v>
      </c>
      <c r="DQ39" s="157" t="e">
        <f aca="false">IF(DI39=0,0,SPRDOPT(DG39,DH39,$AD39,$AM39,DK39,DL39,DM39,$D39,$F$19,3)/100)</f>
        <v>#NAME?</v>
      </c>
      <c r="DR39" s="157" t="e">
        <f aca="false">IF(DJ39=0,0,SPRDOPT(DG39,DH39,$AD39,$AM39,DK39,DL39,DM39,$D39,$F$19,4)/100)</f>
        <v>#NAME?</v>
      </c>
      <c r="DS39" s="157" t="e">
        <f aca="false">IF(DK39=0,0,SPRDOPT(DG39,DH39,$AD39,$AM39,DK39,DL39,DM39,$D39,$F$19,5)/100)</f>
        <v>#NAME?</v>
      </c>
      <c r="DT39" s="157" t="e">
        <f aca="false">IF(DL39=0,0,SPRDOPT(DG39,DH39,$AD39,$AM39,DK39,DL39,DM39,$D39,$F$19,6)/100)</f>
        <v>#NAME?</v>
      </c>
      <c r="DU39" s="157" t="e">
        <f aca="false">IF(DM39=0,0,SPRDOPT(DG39,DH39,$AD39,$AM39,DK39,DL39,DM39,$D39,$F$19,7)/100)</f>
        <v>#NAME?</v>
      </c>
      <c r="DV39" s="157" t="e">
        <f aca="false">IF(DN39=0,0,SPRDOPT(DG39,DH39,$AD39,$AM39,DK39,DL39,DM39,$D39,$F$19,9)/365)</f>
        <v>#NAME?</v>
      </c>
      <c r="DW39" s="157" t="e">
        <f aca="false">DO39+DP39</f>
        <v>#NAME?</v>
      </c>
      <c r="DX39" s="157" t="e">
        <f aca="false">DR39-DQ39</f>
        <v>#NAME?</v>
      </c>
      <c r="DY39" s="157" t="e">
        <f aca="false">((DK39/DL39)*DS39)+DT39</f>
        <v>#NAME?</v>
      </c>
      <c r="DZ39" s="44"/>
      <c r="EA39" s="45" t="e">
        <f aca="false">DF39*DN39</f>
        <v>#NAME?</v>
      </c>
      <c r="EB39" s="45" t="e">
        <f aca="false">DF39*DO39</f>
        <v>#NAME?</v>
      </c>
      <c r="EC39" s="45" t="e">
        <f aca="false">DF39*DP39</f>
        <v>#NAME?</v>
      </c>
      <c r="ED39" s="45" t="e">
        <f aca="false">DF39*DQ39</f>
        <v>#NAME?</v>
      </c>
      <c r="EE39" s="45" t="e">
        <f aca="false">DF39*DR39</f>
        <v>#NAME?</v>
      </c>
      <c r="EF39" s="45" t="e">
        <f aca="false">DF39*DS39</f>
        <v>#NAME?</v>
      </c>
      <c r="EG39" s="45" t="e">
        <f aca="false">DF39*DT39</f>
        <v>#NAME?</v>
      </c>
      <c r="EH39" s="45" t="e">
        <f aca="false">DF39*DU39</f>
        <v>#NAME?</v>
      </c>
      <c r="EI39" s="45" t="e">
        <f aca="false">DF39*DV39</f>
        <v>#NAME?</v>
      </c>
      <c r="EJ39" s="45" t="e">
        <f aca="false">DF39*DW39</f>
        <v>#NAME?</v>
      </c>
      <c r="EK39" s="45" t="e">
        <f aca="false">DF39*DX39</f>
        <v>#NAME?</v>
      </c>
      <c r="EL39" s="45" t="e">
        <f aca="false">DF39*DY39</f>
        <v>#NAME?</v>
      </c>
      <c r="EN39" s="9" t="n">
        <f aca="false">IF($A39&gt;=EP$32,IF($A39&lt;=EP$33,$AN39,0),0)</f>
        <v>30</v>
      </c>
      <c r="EO39" s="123" t="n">
        <f aca="false">$B39+$AF39+$H$12</f>
        <v>6.3458</v>
      </c>
      <c r="EP39" s="123" t="n">
        <f aca="false">$B39+$AG39+$H$13</f>
        <v>5.4258</v>
      </c>
      <c r="EQ39" s="123" t="n">
        <f aca="false">EO39*EN39</f>
        <v>190.374</v>
      </c>
      <c r="ER39" s="123" t="n">
        <f aca="false">EP39*EN39</f>
        <v>162.774</v>
      </c>
      <c r="ES39" s="156" t="n">
        <f aca="false">($C39*$AH39)+$H$14</f>
        <v>0.546</v>
      </c>
      <c r="ET39" s="156" t="n">
        <f aca="false">($C39*$AI39)+$H$15</f>
        <v>0.52</v>
      </c>
      <c r="EU39" s="131" t="n">
        <f aca="false">$AJ39+$H$16</f>
        <v>0.86</v>
      </c>
      <c r="EV39" s="157" t="e">
        <f aca="false">IF(EN39=0,0,SPRDOPT(EO39,EP39,$AK39,$AM39,ES39,ET39,EU39,$D39,$H$19,0))</f>
        <v>#NAME?</v>
      </c>
      <c r="EW39" s="157" t="e">
        <f aca="false">IF(EO39=0,0,SPRDOPT(EO39,EP39,$AK39,$AM39,ES39,ET39,EU39,$D39,$H$19,1))</f>
        <v>#NAME?</v>
      </c>
      <c r="EX39" s="157" t="e">
        <f aca="false">IF(EP39=0,0,SPRDOPT(EO39,EP39,$AK39,$AM39,ES39,ET39,EU39,$D39,$H$19,2))</f>
        <v>#NAME?</v>
      </c>
      <c r="EY39" s="157" t="e">
        <f aca="false">IF(EQ39=0,0,SPRDOPT(EO39,EP39,$AK39,$AM39,ES39,ET39,EU39,$D39,$H$19,3)/100)</f>
        <v>#NAME?</v>
      </c>
      <c r="EZ39" s="157" t="e">
        <f aca="false">IF(ER39=0,0,SPRDOPT(EO39,EP39,$AK39,$AM39,ES39,ET39,EU39,$D39,$H$19,4)/100)</f>
        <v>#NAME?</v>
      </c>
      <c r="FA39" s="157" t="e">
        <f aca="false">IF(ES39=0,0,SPRDOPT(EO39,EP39,$AK39,$AM39,ES39,ET39,EU39,$D39,$H$19,5)/100)</f>
        <v>#NAME?</v>
      </c>
      <c r="FB39" s="157" t="e">
        <f aca="false">IF(ET39=0,0,SPRDOPT(EO39,EP39,$AK39,$AM39,ES39,ET39,EU39,$D39,$H$19,6)/100)</f>
        <v>#NAME?</v>
      </c>
      <c r="FC39" s="157" t="e">
        <f aca="false">IF(EU39=0,0,SPRDOPT(EO39,EP39,$AK39,$AM39,ES39,ET39,EU39,$D39,$H$19,7)/100)</f>
        <v>#NAME?</v>
      </c>
      <c r="FD39" s="157" t="e">
        <f aca="false">IF(EV39=0,0,SPRDOPT(EO39,EP39,$AK39,$AM39,ES39,ET39,EU39,$D39,$H$19,9)/365)</f>
        <v>#NAME?</v>
      </c>
      <c r="FE39" s="157" t="e">
        <f aca="false">EW39+EX39</f>
        <v>#NAME?</v>
      </c>
      <c r="FF39" s="157" t="e">
        <f aca="false">EZ39-EY39</f>
        <v>#NAME?</v>
      </c>
      <c r="FG39" s="157" t="e">
        <f aca="false">((ES39/ET39)*FA39)+FB39</f>
        <v>#NAME?</v>
      </c>
      <c r="FH39" s="44"/>
      <c r="FI39" s="45" t="e">
        <f aca="false">$EN39*EV39</f>
        <v>#NAME?</v>
      </c>
      <c r="FJ39" s="45" t="e">
        <f aca="false">$EN39*EW39</f>
        <v>#NAME?</v>
      </c>
      <c r="FK39" s="45" t="e">
        <f aca="false">$EN39*EX39</f>
        <v>#NAME?</v>
      </c>
      <c r="FL39" s="45" t="e">
        <f aca="false">$EN39*EY39</f>
        <v>#NAME?</v>
      </c>
      <c r="FM39" s="45" t="e">
        <f aca="false">$EN39*EZ39</f>
        <v>#NAME?</v>
      </c>
      <c r="FN39" s="45" t="e">
        <f aca="false">$EN39*FA39</f>
        <v>#NAME?</v>
      </c>
      <c r="FO39" s="45" t="e">
        <f aca="false">$EN39*FB39</f>
        <v>#NAME?</v>
      </c>
      <c r="FP39" s="45" t="e">
        <f aca="false">$EN39*FC39</f>
        <v>#NAME?</v>
      </c>
      <c r="FQ39" s="45" t="e">
        <f aca="false">$EN39*FD39</f>
        <v>#NAME?</v>
      </c>
      <c r="FR39" s="45" t="e">
        <f aca="false">$EN39*FE39</f>
        <v>#NAME?</v>
      </c>
      <c r="FS39" s="45" t="e">
        <f aca="false">$EN39*FF39</f>
        <v>#NAME?</v>
      </c>
      <c r="FT39" s="45" t="e">
        <f aca="false">$EN39*FG39</f>
        <v>#NAME?</v>
      </c>
    </row>
    <row r="40" customFormat="false" ht="12.75" hidden="false" customHeight="false" outlineLevel="0" collapsed="false">
      <c r="A40" s="48" t="n">
        <f aca="false">DATE(YEAR(A39),MONTH(A39)+1,1)</f>
        <v>36861</v>
      </c>
      <c r="B40" s="40" t="n">
        <f aca="false">VLOOKUP(A40,STRADDLE,5,FALSE())</f>
        <v>5.5268</v>
      </c>
      <c r="C40" s="4" t="n">
        <f aca="false">VLOOKUP(A40,STRADDLE,8,FALSE())</f>
        <v>0.5725</v>
      </c>
      <c r="D40" s="136" t="n">
        <f aca="false">VLOOKUP(A40,expiration,2,FALSE())-$B$2</f>
        <v>-9068</v>
      </c>
      <c r="E40" s="131" t="e">
        <f aca="false">AY40</f>
        <v>#NAME?</v>
      </c>
      <c r="F40" s="131" t="e">
        <f aca="false">CG40</f>
        <v>#NAME?</v>
      </c>
      <c r="G40" s="131" t="e">
        <f aca="false">DO40</f>
        <v>#NAME?</v>
      </c>
      <c r="H40" s="131" t="e">
        <f aca="false">EW40</f>
        <v>#NAME?</v>
      </c>
      <c r="I40" s="41"/>
      <c r="J40" s="154"/>
      <c r="K40" s="40" t="n">
        <f aca="false">IF($B$3="NYMEX",0,VLOOKUP($A40,curvesettle,HLOOKUP($B$3,curvesettle,2,FALSE()),FALSE()))</f>
        <v>1.86</v>
      </c>
      <c r="L40" s="40" t="n">
        <f aca="false">IF($B$4="NYMEX",0,VLOOKUP($A40,curvesettle,HLOOKUP($B$4,curvesettle,2,FALSE()),FALSE()))</f>
        <v>0</v>
      </c>
      <c r="M40" s="131" t="n">
        <f aca="false">IF(ISNUMBER(VLOOKUP($A40,VOLCURVES,HLOOKUP($B$3,VOLCURVES,2,FALSE()),FALSE())),VLOOKUP($A40,VOLCURVES,HLOOKUP($B$3,VOLCURVES,2,FALSE()),FALSE()),1)</f>
        <v>1.3</v>
      </c>
      <c r="N40" s="131" t="n">
        <f aca="false">IF(ISNUMBER(VLOOKUP($A40,VOLCURVES,HLOOKUP($B$4,VOLCURVES,2,FALSE()),FALSE())),VLOOKUP($A40,VOLCURVES,HLOOKUP($B$4,VOLCURVES,2,FALSE()),FALSE()),1)</f>
        <v>1</v>
      </c>
      <c r="O40" s="131" t="n">
        <f aca="false">IF(ISNUMBER(VLOOKUP($A40,CORETABLE,HLOOKUP($B$3,CORETABLE,2,FALSE()),FALSE())),VLOOKUP($A40,CORETABLE,HLOOKUP($B$3,CORETABLE,2,FALSE()),FALSE()),0.99)</f>
        <v>0.74</v>
      </c>
      <c r="P40" s="155" t="n">
        <f aca="false">B$18</f>
        <v>2</v>
      </c>
      <c r="Q40" s="131"/>
      <c r="R40" s="40" t="n">
        <f aca="false">IF($D$3="NYMEX",0,VLOOKUP($A40,curvesettle,HLOOKUP($D$3,curvesettle,2,FALSE()),FALSE()))</f>
        <v>0.1475</v>
      </c>
      <c r="S40" s="40" t="n">
        <f aca="false">IF($D$4="NYMEX",0,VLOOKUP($A40,curvesettle,HLOOKUP($D$4,curvesettle,2,FALSE()),FALSE()))</f>
        <v>0</v>
      </c>
      <c r="T40" s="131" t="n">
        <f aca="false">IF(ISNUMBER(VLOOKUP($A40,VOLCURVES,HLOOKUP($D$3,VOLCURVES,2,FALSE()),FALSE())),VLOOKUP($A40,VOLCURVES,HLOOKUP($D$3,VOLCURVES,2,FALSE()),FALSE()),1)</f>
        <v>1</v>
      </c>
      <c r="U40" s="131" t="n">
        <f aca="false">IF(ISNUMBER(VLOOKUP($A40,VOLCURVES,HLOOKUP($D$4,VOLCURVES,2,FALSE()),FALSE())),VLOOKUP($A40,VOLCURVES,HLOOKUP($D$4,VOLCURVES,2,FALSE()),FALSE()),1)</f>
        <v>1</v>
      </c>
      <c r="V40" s="131" t="n">
        <f aca="false">IF(ISNUMBER(VLOOKUP($A40,CORETABLE,HLOOKUP($D$3,CORETABLE,2,FALSE()),FALSE())),VLOOKUP($A40,CORETABLE,HLOOKUP($D$3,CORETABLE,2,FALSE()),FALSE()),0.99)</f>
        <v>0.9985</v>
      </c>
      <c r="W40" s="155" t="n">
        <f aca="false">D$18</f>
        <v>0.2</v>
      </c>
      <c r="X40" s="131"/>
      <c r="Y40" s="40" t="n">
        <f aca="false">IF($F$3="NYMEX",0,VLOOKUP($A40,curvesettle,HLOOKUP($F$3,curvesettle,2,FALSE()),FALSE()))</f>
        <v>1.86</v>
      </c>
      <c r="Z40" s="40" t="n">
        <f aca="false">IF($F$4="NYMEX",0,VLOOKUP($A40,curvesettle,HLOOKUP($F$4,curvesettle,2,FALSE()),FALSE()))</f>
        <v>0</v>
      </c>
      <c r="AA40" s="131" t="n">
        <f aca="false">IF(ISNUMBER(VLOOKUP($A40,VOLCURVES,HLOOKUP($F$3,VOLCURVES,2,FALSE()),FALSE())),VLOOKUP($A40,VOLCURVES,HLOOKUP($F$3,VOLCURVES,2,FALSE()),FALSE()),1)</f>
        <v>1.3</v>
      </c>
      <c r="AB40" s="131" t="n">
        <f aca="false">IF(ISNUMBER(VLOOKUP($A40,VOLCURVES,HLOOKUP($F$4,VOLCURVES,2,FALSE()),FALSE())),VLOOKUP($A40,VOLCURVES,HLOOKUP($F$4,VOLCURVES,2,FALSE()),FALSE()),1)</f>
        <v>1</v>
      </c>
      <c r="AC40" s="131" t="n">
        <f aca="false">IF(ISNUMBER(VLOOKUP($A40,CORETABLE,HLOOKUP($F$3,CORETABLE,2,FALSE()),FALSE())),VLOOKUP($A40,CORETABLE,HLOOKUP($F$3,CORETABLE,2,FALSE()),FALSE()),1)</f>
        <v>0.74</v>
      </c>
      <c r="AD40" s="155" t="n">
        <f aca="false">F$18</f>
        <v>1.85</v>
      </c>
      <c r="AE40" s="131"/>
      <c r="AF40" s="40" t="n">
        <f aca="false">IF($H$3="NYMEX",0,VLOOKUP($A40,curvesettle,HLOOKUP($H$3,curvesettle,2,FALSE()),FALSE()))</f>
        <v>1.86</v>
      </c>
      <c r="AG40" s="40" t="n">
        <f aca="false">IF($H$4="NYMEX",0,VLOOKUP($A40,curvesettle,HLOOKUP($H$4,curvesettle,2,FALSE()),FALSE()))</f>
        <v>0</v>
      </c>
      <c r="AH40" s="131" t="n">
        <f aca="false">IF(ISNUMBER(VLOOKUP($A40,VOLCURVES,HLOOKUP($H$3,VOLCURVES,2,FALSE()),FALSE())),VLOOKUP($A40,VOLCURVES,HLOOKUP($H$3,VOLCURVES,2,FALSE()),FALSE()),1)</f>
        <v>1.3</v>
      </c>
      <c r="AI40" s="131" t="n">
        <f aca="false">IF(ISNUMBER(VLOOKUP($A40,VOLCURVES,HLOOKUP($H$4,VOLCURVES,2,FALSE()),FALSE())),VLOOKUP($A40,VOLCURVES,HLOOKUP($H$4,VOLCURVES,2,FALSE()),FALSE()),1)</f>
        <v>1</v>
      </c>
      <c r="AJ40" s="131" t="n">
        <f aca="false">IF(ISNUMBER(VLOOKUP($A40,CORETABLE,HLOOKUP($H$3,CORETABLE,2,FALSE()),FALSE())),VLOOKUP($A40,CORETABLE,HLOOKUP($H$3,CORETABLE,2,FALSE()),FALSE()),1)</f>
        <v>0.74</v>
      </c>
      <c r="AK40" s="155" t="n">
        <f aca="false">H$18</f>
        <v>1.85</v>
      </c>
      <c r="AM40" s="4" t="n">
        <f aca="false">VLOOKUP($A40,STRADDLE,12,FALSE())</f>
        <v>0.068102551581873</v>
      </c>
      <c r="AN40" s="43" t="n">
        <f aca="false">A41-A40</f>
        <v>31</v>
      </c>
      <c r="AP40" s="9" t="n">
        <f aca="false">IF($A40&gt;=AR$32,IF($A40&lt;=AR$33,$AN40,0),0)</f>
        <v>31</v>
      </c>
      <c r="AQ40" s="123" t="n">
        <f aca="false">$B40+$K40+$B$12</f>
        <v>7.4168</v>
      </c>
      <c r="AR40" s="123" t="n">
        <f aca="false">$B40+$L40+$B$13</f>
        <v>5.5268</v>
      </c>
      <c r="AS40" s="123" t="n">
        <f aca="false">AQ40*AP40</f>
        <v>229.9208</v>
      </c>
      <c r="AT40" s="123" t="n">
        <f aca="false">AR40*AP40</f>
        <v>171.3308</v>
      </c>
      <c r="AU40" s="156" t="n">
        <f aca="false">($C40*$M40)+$B$14</f>
        <v>0.74425</v>
      </c>
      <c r="AV40" s="156" t="n">
        <f aca="false">($C40*$N40)+$B$15</f>
        <v>0.5725</v>
      </c>
      <c r="AW40" s="131" t="n">
        <f aca="false">O40+B$16</f>
        <v>0.74</v>
      </c>
      <c r="AX40" s="157" t="e">
        <f aca="false">IF(AP40=0,0,SPRDOPT(AQ40,AR40,$P40,$AM40,AU40,AV40,AW40,$D40,$B$19,0))</f>
        <v>#NAME?</v>
      </c>
      <c r="AY40" s="157" t="e">
        <f aca="false">IF(AQ40=0,0,SPRDOPT(AQ40,AR40,$P40,$AM40,AU40,AV40,AW40,$D40,$B$19,1))</f>
        <v>#NAME?</v>
      </c>
      <c r="AZ40" s="157" t="e">
        <f aca="false">IF(AR40=0,0,SPRDOPT(AQ40,AR40,$P40,$AM40,AU40,AV40,AW40,$D40,$B$19,2))</f>
        <v>#NAME?</v>
      </c>
      <c r="BA40" s="157" t="e">
        <f aca="false">IF(AS40=0,0,SPRDOPT(AQ40,AR40,$P40,$AM40,AU40,AV40,AW40,$D40,$B$19,3)/100)</f>
        <v>#NAME?</v>
      </c>
      <c r="BB40" s="157" t="e">
        <f aca="false">IF(AT40=0,0,SPRDOPT(AQ40,AR40,$P40,$AM40,AU40,AV40,AW40,$D40,$B$19,4)/100)</f>
        <v>#NAME?</v>
      </c>
      <c r="BC40" s="157" t="e">
        <f aca="false">IF(AU40=0,0,SPRDOPT(AQ40,AR40,$P40,$AM40,AU40,AV40,AW40,$D40,$B$19,5)/100)</f>
        <v>#NAME?</v>
      </c>
      <c r="BD40" s="157" t="e">
        <f aca="false">IF(AV40=0,0,SPRDOPT(AQ40,AR40,$P40,$AM40,AU40,AV40,AW40,$D40,$B$19,6)/100)</f>
        <v>#NAME?</v>
      </c>
      <c r="BE40" s="157" t="e">
        <f aca="false">IF(AW40=0,0,SPRDOPT(AQ40,AR40,$P40,$AM40,AU40,AV40,AW40,$D40,$B$19,7)/100)</f>
        <v>#NAME?</v>
      </c>
      <c r="BF40" s="157" t="e">
        <f aca="false">IF(AX40=0,0,SPRDOPT(AQ40,AR40,$P40,$AM40,AU40,AV40,AW40,$D40,$B$19,9)/365)</f>
        <v>#NAME?</v>
      </c>
      <c r="BG40" s="157" t="e">
        <f aca="false">AY40+AZ40</f>
        <v>#NAME?</v>
      </c>
      <c r="BH40" s="157" t="e">
        <f aca="false">BB40-BA40</f>
        <v>#NAME?</v>
      </c>
      <c r="BI40" s="157" t="e">
        <f aca="false">((AU40/AV40)*BC40)+BD40</f>
        <v>#NAME?</v>
      </c>
      <c r="BJ40" s="44"/>
      <c r="BK40" s="45" t="e">
        <f aca="false">$AP40*AX40</f>
        <v>#NAME?</v>
      </c>
      <c r="BL40" s="45" t="e">
        <f aca="false">$AP40*AY40</f>
        <v>#NAME?</v>
      </c>
      <c r="BM40" s="45" t="e">
        <f aca="false">$AP40*AZ40</f>
        <v>#NAME?</v>
      </c>
      <c r="BN40" s="45" t="e">
        <f aca="false">$AP40*BA40</f>
        <v>#NAME?</v>
      </c>
      <c r="BO40" s="45" t="e">
        <f aca="false">$AP40*BB40</f>
        <v>#NAME?</v>
      </c>
      <c r="BP40" s="45" t="e">
        <f aca="false">$AP40*BC40</f>
        <v>#NAME?</v>
      </c>
      <c r="BQ40" s="45" t="e">
        <f aca="false">$AP40*BD40</f>
        <v>#NAME?</v>
      </c>
      <c r="BR40" s="45" t="e">
        <f aca="false">$AP40*BE40</f>
        <v>#NAME?</v>
      </c>
      <c r="BS40" s="45" t="e">
        <f aca="false">$AP40*BF40</f>
        <v>#NAME?</v>
      </c>
      <c r="BT40" s="45" t="e">
        <f aca="false">$AP40*BG40</f>
        <v>#NAME?</v>
      </c>
      <c r="BU40" s="45" t="e">
        <f aca="false">$AP40*BH40</f>
        <v>#NAME?</v>
      </c>
      <c r="BV40" s="45" t="e">
        <f aca="false">$AP40*BI40</f>
        <v>#NAME?</v>
      </c>
      <c r="BX40" s="9" t="n">
        <f aca="false">IF($A40&gt;=BZ$32,IF($A40&lt;=BZ$33,$AN40,0),0)</f>
        <v>31</v>
      </c>
      <c r="BY40" s="123" t="n">
        <f aca="false">$B40+$R40+$D$12</f>
        <v>5.6743</v>
      </c>
      <c r="BZ40" s="123" t="n">
        <f aca="false">$B40+$S40+$D$13</f>
        <v>5.5268</v>
      </c>
      <c r="CA40" s="123" t="n">
        <f aca="false">BY40*BX40</f>
        <v>175.9033</v>
      </c>
      <c r="CB40" s="123" t="n">
        <f aca="false">BZ40*BX40</f>
        <v>171.3308</v>
      </c>
      <c r="CC40" s="156" t="n">
        <f aca="false">($C40*$T40)+$D$14</f>
        <v>0.5725</v>
      </c>
      <c r="CD40" s="156" t="n">
        <f aca="false">($C40*$U40)+$D$15</f>
        <v>0.5725</v>
      </c>
      <c r="CE40" s="131" t="n">
        <f aca="false">$V40+D$16</f>
        <v>0.9985</v>
      </c>
      <c r="CF40" s="157" t="e">
        <f aca="false">IF(BX40=0,0,SPRDOPT(BY40,BZ40,$W40,$AM40,CC40,CD40,CE40,$D40,$D$19,0))</f>
        <v>#NAME?</v>
      </c>
      <c r="CG40" s="157" t="e">
        <f aca="false">IF(BY40=0,0,SPRDOPT(BY40,BZ40,$W40,$AM40,CC40,CD40,CE40,$D40,$D$19,1))</f>
        <v>#NAME?</v>
      </c>
      <c r="CH40" s="157" t="e">
        <f aca="false">IF(BZ40=0,0,SPRDOPT(BY40,BZ40,$W40,$AM40,CC40,CD40,CE40,$D40,$D$19,2))</f>
        <v>#NAME?</v>
      </c>
      <c r="CI40" s="157" t="e">
        <f aca="false">IF(CA40=0,0,SPRDOPT(BY40,BZ40,$W40,$AM40,CC40,CD40,CE40,$D40,$D$19,3)/100)</f>
        <v>#NAME?</v>
      </c>
      <c r="CJ40" s="157" t="e">
        <f aca="false">IF(CB40=0,0,SPRDOPT(BY40,BZ40,$W40,$AM40,CC40,CD40,CE40,$D40,$D$19,4)/100)</f>
        <v>#NAME?</v>
      </c>
      <c r="CK40" s="157" t="e">
        <f aca="false">IF(CC40=0,0,SPRDOPT(BY40,BZ40,$W40,$AM40,CC40,CD40,CE40,$D40,$D$19,5)/100)</f>
        <v>#NAME?</v>
      </c>
      <c r="CL40" s="157" t="e">
        <f aca="false">IF(CD40=0,0,SPRDOPT(BY40,BZ40,$W40,$AM40,CC40,CD40,CE40,$D40,$D$19,6)/100)</f>
        <v>#NAME?</v>
      </c>
      <c r="CM40" s="157" t="e">
        <f aca="false">IF(CE40=0,0,SPRDOPT(BY40,BZ40,$W40,$AM40,CC40,CD40,CE40,$D40,$D$19,7)/100)</f>
        <v>#NAME?</v>
      </c>
      <c r="CN40" s="157" t="e">
        <f aca="false">IF(CF40=0,0,SPRDOPT(BY40,BZ40,$W40,$AM40,CC40,CD40,CE40,$D40,$D$19,9)/365)</f>
        <v>#NAME?</v>
      </c>
      <c r="CO40" s="157" t="e">
        <f aca="false">CG40+CH40</f>
        <v>#NAME?</v>
      </c>
      <c r="CP40" s="157" t="e">
        <f aca="false">CJ40-CI40</f>
        <v>#NAME?</v>
      </c>
      <c r="CQ40" s="157" t="e">
        <f aca="false">((CC40/CD40)*CK40)+CL40</f>
        <v>#NAME?</v>
      </c>
      <c r="CR40" s="44"/>
      <c r="CS40" s="45" t="e">
        <f aca="false">BX40*CF40</f>
        <v>#NAME?</v>
      </c>
      <c r="CT40" s="45" t="e">
        <f aca="false">BX40*CG40</f>
        <v>#NAME?</v>
      </c>
      <c r="CU40" s="45" t="e">
        <f aca="false">BX40*CH40</f>
        <v>#NAME?</v>
      </c>
      <c r="CV40" s="45" t="e">
        <f aca="false">BX40*CI40</f>
        <v>#NAME?</v>
      </c>
      <c r="CW40" s="45" t="e">
        <f aca="false">BX40*CJ40</f>
        <v>#NAME?</v>
      </c>
      <c r="CX40" s="45" t="e">
        <f aca="false">BX40*CK40</f>
        <v>#NAME?</v>
      </c>
      <c r="CY40" s="45" t="e">
        <f aca="false">BX40*CL40</f>
        <v>#NAME?</v>
      </c>
      <c r="CZ40" s="45" t="e">
        <f aca="false">BX40*CM40</f>
        <v>#NAME?</v>
      </c>
      <c r="DA40" s="45" t="e">
        <f aca="false">BX40*CN40</f>
        <v>#NAME?</v>
      </c>
      <c r="DB40" s="45" t="e">
        <f aca="false">BX40*CO40</f>
        <v>#NAME?</v>
      </c>
      <c r="DC40" s="45" t="e">
        <f aca="false">BX40*CP40</f>
        <v>#NAME?</v>
      </c>
      <c r="DD40" s="45" t="e">
        <f aca="false">BX40*CQ40</f>
        <v>#NAME?</v>
      </c>
      <c r="DF40" s="9" t="n">
        <f aca="false">IF($A40&gt;=DH$32,IF($A40&lt;=DH$33,$AN40,0),0)</f>
        <v>31</v>
      </c>
      <c r="DG40" s="123" t="n">
        <f aca="false">$B40+$Y40+$F$12</f>
        <v>7.4168</v>
      </c>
      <c r="DH40" s="123" t="n">
        <f aca="false">$B40+$Z40+$F$13</f>
        <v>5.5268</v>
      </c>
      <c r="DI40" s="123" t="n">
        <f aca="false">DG40*DF40</f>
        <v>229.9208</v>
      </c>
      <c r="DJ40" s="123" t="n">
        <f aca="false">DH40*DF40</f>
        <v>171.3308</v>
      </c>
      <c r="DK40" s="156" t="n">
        <f aca="false">($C40*$AA40)+$F$14</f>
        <v>0.74425</v>
      </c>
      <c r="DL40" s="156" t="n">
        <f aca="false">($C40*$AB40)+$F$15</f>
        <v>0.5725</v>
      </c>
      <c r="DM40" s="131" t="n">
        <f aca="false">$AC40+$F$16</f>
        <v>0.74</v>
      </c>
      <c r="DN40" s="157" t="e">
        <f aca="false">IF(DF40=0,0,SPRDOPT(DG40,DH40,$AD40,$AM40,DK40,DL40,DM40,$D40,$F$19,0))</f>
        <v>#NAME?</v>
      </c>
      <c r="DO40" s="157" t="e">
        <f aca="false">IF(DG40=0,0,SPRDOPT(DG40,DH40,$AD40,$AM40,DK40,DL40,DM40,$D40,$F$19,1))</f>
        <v>#NAME?</v>
      </c>
      <c r="DP40" s="157" t="e">
        <f aca="false">IF(DH40=0,0,SPRDOPT(DG40,DH40,$AD40,$AM40,DK40,DL40,DM40,$D40,$F$19,2))</f>
        <v>#NAME?</v>
      </c>
      <c r="DQ40" s="157" t="e">
        <f aca="false">IF(DI40=0,0,SPRDOPT(DG40,DH40,$AD40,$AM40,DK40,DL40,DM40,$D40,$F$19,3)/100)</f>
        <v>#NAME?</v>
      </c>
      <c r="DR40" s="157" t="e">
        <f aca="false">IF(DJ40=0,0,SPRDOPT(DG40,DH40,$AD40,$AM40,DK40,DL40,DM40,$D40,$F$19,4)/100)</f>
        <v>#NAME?</v>
      </c>
      <c r="DS40" s="157" t="e">
        <f aca="false">IF(DK40=0,0,SPRDOPT(DG40,DH40,$AD40,$AM40,DK40,DL40,DM40,$D40,$F$19,5)/100)</f>
        <v>#NAME?</v>
      </c>
      <c r="DT40" s="157" t="e">
        <f aca="false">IF(DL40=0,0,SPRDOPT(DG40,DH40,$AD40,$AM40,DK40,DL40,DM40,$D40,$F$19,6)/100)</f>
        <v>#NAME?</v>
      </c>
      <c r="DU40" s="157" t="e">
        <f aca="false">IF(DM40=0,0,SPRDOPT(DG40,DH40,$AD40,$AM40,DK40,DL40,DM40,$D40,$F$19,7)/100)</f>
        <v>#NAME?</v>
      </c>
      <c r="DV40" s="157" t="e">
        <f aca="false">IF(DN40=0,0,SPRDOPT(DG40,DH40,$AD40,$AM40,DK40,DL40,DM40,$D40,$F$19,9)/365)</f>
        <v>#NAME?</v>
      </c>
      <c r="DW40" s="157" t="e">
        <f aca="false">DO40+DP40</f>
        <v>#NAME?</v>
      </c>
      <c r="DX40" s="157" t="e">
        <f aca="false">DR40-DQ40</f>
        <v>#NAME?</v>
      </c>
      <c r="DY40" s="157" t="e">
        <f aca="false">((DK40/DL40)*DS40)+DT40</f>
        <v>#NAME?</v>
      </c>
      <c r="DZ40" s="44"/>
      <c r="EA40" s="45" t="e">
        <f aca="false">DF40*DN40</f>
        <v>#NAME?</v>
      </c>
      <c r="EB40" s="45" t="e">
        <f aca="false">DF40*DO40</f>
        <v>#NAME?</v>
      </c>
      <c r="EC40" s="45" t="e">
        <f aca="false">DF40*DP40</f>
        <v>#NAME?</v>
      </c>
      <c r="ED40" s="45" t="e">
        <f aca="false">DF40*DQ40</f>
        <v>#NAME?</v>
      </c>
      <c r="EE40" s="45" t="e">
        <f aca="false">DF40*DR40</f>
        <v>#NAME?</v>
      </c>
      <c r="EF40" s="45" t="e">
        <f aca="false">DF40*DS40</f>
        <v>#NAME?</v>
      </c>
      <c r="EG40" s="45" t="e">
        <f aca="false">DF40*DT40</f>
        <v>#NAME?</v>
      </c>
      <c r="EH40" s="45" t="e">
        <f aca="false">DF40*DU40</f>
        <v>#NAME?</v>
      </c>
      <c r="EI40" s="45" t="e">
        <f aca="false">DF40*DV40</f>
        <v>#NAME?</v>
      </c>
      <c r="EJ40" s="45" t="e">
        <f aca="false">DF40*DW40</f>
        <v>#NAME?</v>
      </c>
      <c r="EK40" s="45" t="e">
        <f aca="false">DF40*DX40</f>
        <v>#NAME?</v>
      </c>
      <c r="EL40" s="45" t="e">
        <f aca="false">DF40*DY40</f>
        <v>#NAME?</v>
      </c>
      <c r="EN40" s="9" t="n">
        <f aca="false">IF($A40&gt;=EP$32,IF($A40&lt;=EP$33,$AN40,0),0)</f>
        <v>31</v>
      </c>
      <c r="EO40" s="123" t="n">
        <f aca="false">$B40+$AF40+$H$12</f>
        <v>7.4168</v>
      </c>
      <c r="EP40" s="123" t="n">
        <f aca="false">$B40+$AG40+$H$13</f>
        <v>5.5268</v>
      </c>
      <c r="EQ40" s="123" t="n">
        <f aca="false">EO40*EN40</f>
        <v>229.9208</v>
      </c>
      <c r="ER40" s="123" t="n">
        <f aca="false">EP40*EN40</f>
        <v>171.3308</v>
      </c>
      <c r="ES40" s="156" t="n">
        <f aca="false">($C40*$AH40)+$H$14</f>
        <v>0.74425</v>
      </c>
      <c r="ET40" s="156" t="n">
        <f aca="false">($C40*$AI40)+$H$15</f>
        <v>0.5725</v>
      </c>
      <c r="EU40" s="131" t="n">
        <f aca="false">$AJ40+$H$16</f>
        <v>0.74</v>
      </c>
      <c r="EV40" s="157" t="e">
        <f aca="false">IF(EN40=0,0,SPRDOPT(EO40,EP40,$AK40,$AM40,ES40,ET40,EU40,$D40,$H$19,0))</f>
        <v>#NAME?</v>
      </c>
      <c r="EW40" s="157" t="e">
        <f aca="false">IF(EO40=0,0,SPRDOPT(EO40,EP40,$AK40,$AM40,ES40,ET40,EU40,$D40,$H$19,1))</f>
        <v>#NAME?</v>
      </c>
      <c r="EX40" s="157" t="e">
        <f aca="false">IF(EP40=0,0,SPRDOPT(EO40,EP40,$AK40,$AM40,ES40,ET40,EU40,$D40,$H$19,2))</f>
        <v>#NAME?</v>
      </c>
      <c r="EY40" s="157" t="e">
        <f aca="false">IF(EQ40=0,0,SPRDOPT(EO40,EP40,$AK40,$AM40,ES40,ET40,EU40,$D40,$H$19,3)/100)</f>
        <v>#NAME?</v>
      </c>
      <c r="EZ40" s="157" t="e">
        <f aca="false">IF(ER40=0,0,SPRDOPT(EO40,EP40,$AK40,$AM40,ES40,ET40,EU40,$D40,$H$19,4)/100)</f>
        <v>#NAME?</v>
      </c>
      <c r="FA40" s="157" t="e">
        <f aca="false">IF(ES40=0,0,SPRDOPT(EO40,EP40,$AK40,$AM40,ES40,ET40,EU40,$D40,$H$19,5)/100)</f>
        <v>#NAME?</v>
      </c>
      <c r="FB40" s="157" t="e">
        <f aca="false">IF(ET40=0,0,SPRDOPT(EO40,EP40,$AK40,$AM40,ES40,ET40,EU40,$D40,$H$19,6)/100)</f>
        <v>#NAME?</v>
      </c>
      <c r="FC40" s="157" t="e">
        <f aca="false">IF(EU40=0,0,SPRDOPT(EO40,EP40,$AK40,$AM40,ES40,ET40,EU40,$D40,$H$19,7)/100)</f>
        <v>#NAME?</v>
      </c>
      <c r="FD40" s="157" t="e">
        <f aca="false">IF(EV40=0,0,SPRDOPT(EO40,EP40,$AK40,$AM40,ES40,ET40,EU40,$D40,$H$19,9)/365)</f>
        <v>#NAME?</v>
      </c>
      <c r="FE40" s="157" t="e">
        <f aca="false">EW40+EX40</f>
        <v>#NAME?</v>
      </c>
      <c r="FF40" s="157" t="e">
        <f aca="false">EZ40-EY40</f>
        <v>#NAME?</v>
      </c>
      <c r="FG40" s="157" t="e">
        <f aca="false">((ES40/ET40)*FA40)+FB40</f>
        <v>#NAME?</v>
      </c>
      <c r="FH40" s="44"/>
      <c r="FI40" s="45" t="e">
        <f aca="false">$EN40*EV40</f>
        <v>#NAME?</v>
      </c>
      <c r="FJ40" s="45" t="e">
        <f aca="false">$EN40*EW40</f>
        <v>#NAME?</v>
      </c>
      <c r="FK40" s="45" t="e">
        <f aca="false">$EN40*EX40</f>
        <v>#NAME?</v>
      </c>
      <c r="FL40" s="45" t="e">
        <f aca="false">$EN40*EY40</f>
        <v>#NAME?</v>
      </c>
      <c r="FM40" s="45" t="e">
        <f aca="false">$EN40*EZ40</f>
        <v>#NAME?</v>
      </c>
      <c r="FN40" s="45" t="e">
        <f aca="false">$EN40*FA40</f>
        <v>#NAME?</v>
      </c>
      <c r="FO40" s="45" t="e">
        <f aca="false">$EN40*FB40</f>
        <v>#NAME?</v>
      </c>
      <c r="FP40" s="45" t="e">
        <f aca="false">$EN40*FC40</f>
        <v>#NAME?</v>
      </c>
      <c r="FQ40" s="45" t="e">
        <f aca="false">$EN40*FD40</f>
        <v>#NAME?</v>
      </c>
      <c r="FR40" s="45" t="e">
        <f aca="false">$EN40*FE40</f>
        <v>#NAME?</v>
      </c>
      <c r="FS40" s="45" t="e">
        <f aca="false">$EN40*FF40</f>
        <v>#NAME?</v>
      </c>
      <c r="FT40" s="45" t="e">
        <f aca="false">$EN40*FG40</f>
        <v>#NAME?</v>
      </c>
    </row>
    <row r="41" customFormat="false" ht="12.75" hidden="false" customHeight="false" outlineLevel="0" collapsed="false">
      <c r="A41" s="48" t="n">
        <f aca="false">DATE(YEAR(A40),MONTH(A40)+1,1)</f>
        <v>36892</v>
      </c>
      <c r="B41" s="40" t="n">
        <f aca="false">VLOOKUP(A41,STRADDLE,5,FALSE())</f>
        <v>5.4768</v>
      </c>
      <c r="C41" s="4" t="n">
        <f aca="false">VLOOKUP(A41,STRADDLE,8,FALSE())</f>
        <v>0.6075</v>
      </c>
      <c r="D41" s="136" t="n">
        <f aca="false">VLOOKUP(A41,expiration,2,FALSE())-$B$2</f>
        <v>-9039</v>
      </c>
      <c r="E41" s="131" t="e">
        <f aca="false">AY41</f>
        <v>#NAME?</v>
      </c>
      <c r="F41" s="131" t="e">
        <f aca="false">CG41</f>
        <v>#NAME?</v>
      </c>
      <c r="G41" s="131" t="e">
        <f aca="false">DO41</f>
        <v>#NAME?</v>
      </c>
      <c r="H41" s="131" t="e">
        <f aca="false">EW41</f>
        <v>#NAME?</v>
      </c>
      <c r="I41" s="41"/>
      <c r="J41" s="154"/>
      <c r="K41" s="40" t="n">
        <f aca="false">IF($B$3="NYMEX",0,VLOOKUP($A41,curvesettle,HLOOKUP($B$3,curvesettle,2,FALSE()),FALSE()))</f>
        <v>2.61</v>
      </c>
      <c r="L41" s="40" t="n">
        <f aca="false">IF($B$4="NYMEX",0,VLOOKUP($A41,curvesettle,HLOOKUP($B$4,curvesettle,2,FALSE()),FALSE()))</f>
        <v>0</v>
      </c>
      <c r="M41" s="131" t="n">
        <f aca="false">IF(ISNUMBER(VLOOKUP($A41,VOLCURVES,HLOOKUP($B$3,VOLCURVES,2,FALSE()),FALSE())),VLOOKUP($A41,VOLCURVES,HLOOKUP($B$3,VOLCURVES,2,FALSE()),FALSE()),1)</f>
        <v>1.3</v>
      </c>
      <c r="N41" s="131" t="n">
        <f aca="false">IF(ISNUMBER(VLOOKUP($A41,VOLCURVES,HLOOKUP($B$4,VOLCURVES,2,FALSE()),FALSE())),VLOOKUP($A41,VOLCURVES,HLOOKUP($B$4,VOLCURVES,2,FALSE()),FALSE()),1)</f>
        <v>1</v>
      </c>
      <c r="O41" s="131" t="n">
        <f aca="false">IF(ISNUMBER(VLOOKUP($A41,CORETABLE,HLOOKUP($B$3,CORETABLE,2,FALSE()),FALSE())),VLOOKUP($A41,CORETABLE,HLOOKUP($B$3,CORETABLE,2,FALSE()),FALSE()),0.99)</f>
        <v>0.74</v>
      </c>
      <c r="P41" s="155" t="n">
        <f aca="false">B$18</f>
        <v>2</v>
      </c>
      <c r="Q41" s="131"/>
      <c r="R41" s="40" t="n">
        <f aca="false">IF($D$3="NYMEX",0,VLOOKUP($A41,curvesettle,HLOOKUP($D$3,curvesettle,2,FALSE()),FALSE()))</f>
        <v>0.1825</v>
      </c>
      <c r="S41" s="40" t="n">
        <f aca="false">IF($D$4="NYMEX",0,VLOOKUP($A41,curvesettle,HLOOKUP($D$4,curvesettle,2,FALSE()),FALSE()))</f>
        <v>0</v>
      </c>
      <c r="T41" s="131" t="n">
        <f aca="false">IF(ISNUMBER(VLOOKUP($A41,VOLCURVES,HLOOKUP($D$3,VOLCURVES,2,FALSE()),FALSE())),VLOOKUP($A41,VOLCURVES,HLOOKUP($D$3,VOLCURVES,2,FALSE()),FALSE()),1)</f>
        <v>1</v>
      </c>
      <c r="U41" s="131" t="n">
        <f aca="false">IF(ISNUMBER(VLOOKUP($A41,VOLCURVES,HLOOKUP($D$4,VOLCURVES,2,FALSE()),FALSE())),VLOOKUP($A41,VOLCURVES,HLOOKUP($D$4,VOLCURVES,2,FALSE()),FALSE()),1)</f>
        <v>1</v>
      </c>
      <c r="V41" s="131" t="n">
        <f aca="false">IF(ISNUMBER(VLOOKUP($A41,CORETABLE,HLOOKUP($D$3,CORETABLE,2,FALSE()),FALSE())),VLOOKUP($A41,CORETABLE,HLOOKUP($D$3,CORETABLE,2,FALSE()),FALSE()),0.99)</f>
        <v>0.9985</v>
      </c>
      <c r="W41" s="155" t="n">
        <f aca="false">D$18</f>
        <v>0.2</v>
      </c>
      <c r="X41" s="131"/>
      <c r="Y41" s="40" t="n">
        <f aca="false">IF($F$3="NYMEX",0,VLOOKUP($A41,curvesettle,HLOOKUP($F$3,curvesettle,2,FALSE()),FALSE()))</f>
        <v>2.61</v>
      </c>
      <c r="Z41" s="40" t="n">
        <f aca="false">IF($F$4="NYMEX",0,VLOOKUP($A41,curvesettle,HLOOKUP($F$4,curvesettle,2,FALSE()),FALSE()))</f>
        <v>0</v>
      </c>
      <c r="AA41" s="131" t="n">
        <f aca="false">IF(ISNUMBER(VLOOKUP($A41,VOLCURVES,HLOOKUP($F$3,VOLCURVES,2,FALSE()),FALSE())),VLOOKUP($A41,VOLCURVES,HLOOKUP($F$3,VOLCURVES,2,FALSE()),FALSE()),1)</f>
        <v>1.3</v>
      </c>
      <c r="AB41" s="131" t="n">
        <f aca="false">IF(ISNUMBER(VLOOKUP($A41,VOLCURVES,HLOOKUP($F$4,VOLCURVES,2,FALSE()),FALSE())),VLOOKUP($A41,VOLCURVES,HLOOKUP($F$4,VOLCURVES,2,FALSE()),FALSE()),1)</f>
        <v>1</v>
      </c>
      <c r="AC41" s="131" t="n">
        <f aca="false">IF(ISNUMBER(VLOOKUP($A41,CORETABLE,HLOOKUP($F$3,CORETABLE,2,FALSE()),FALSE())),VLOOKUP($A41,CORETABLE,HLOOKUP($F$3,CORETABLE,2,FALSE()),FALSE()),1)</f>
        <v>0.74</v>
      </c>
      <c r="AD41" s="155" t="n">
        <f aca="false">F$18</f>
        <v>1.85</v>
      </c>
      <c r="AE41" s="131"/>
      <c r="AF41" s="40" t="n">
        <f aca="false">IF($H$3="NYMEX",0,VLOOKUP($A41,curvesettle,HLOOKUP($H$3,curvesettle,2,FALSE()),FALSE()))</f>
        <v>2.61</v>
      </c>
      <c r="AG41" s="40" t="n">
        <f aca="false">IF($H$4="NYMEX",0,VLOOKUP($A41,curvesettle,HLOOKUP($H$4,curvesettle,2,FALSE()),FALSE()))</f>
        <v>0</v>
      </c>
      <c r="AH41" s="131" t="n">
        <f aca="false">IF(ISNUMBER(VLOOKUP($A41,VOLCURVES,HLOOKUP($H$3,VOLCURVES,2,FALSE()),FALSE())),VLOOKUP($A41,VOLCURVES,HLOOKUP($H$3,VOLCURVES,2,FALSE()),FALSE()),1)</f>
        <v>1.3</v>
      </c>
      <c r="AI41" s="131" t="n">
        <f aca="false">IF(ISNUMBER(VLOOKUP($A41,VOLCURVES,HLOOKUP($H$4,VOLCURVES,2,FALSE()),FALSE())),VLOOKUP($A41,VOLCURVES,HLOOKUP($H$4,VOLCURVES,2,FALSE()),FALSE()),1)</f>
        <v>1</v>
      </c>
      <c r="AJ41" s="131" t="n">
        <f aca="false">IF(ISNUMBER(VLOOKUP($A41,CORETABLE,HLOOKUP($H$3,CORETABLE,2,FALSE()),FALSE())),VLOOKUP($A41,CORETABLE,HLOOKUP($H$3,CORETABLE,2,FALSE()),FALSE()),1)</f>
        <v>0.74</v>
      </c>
      <c r="AK41" s="155" t="n">
        <f aca="false">H$18</f>
        <v>1.85</v>
      </c>
      <c r="AM41" s="4" t="n">
        <f aca="false">VLOOKUP($A41,STRADDLE,12,FALSE())</f>
        <v>0.068146567086238</v>
      </c>
      <c r="AN41" s="43" t="n">
        <f aca="false">A42-A41</f>
        <v>31</v>
      </c>
      <c r="AP41" s="9" t="n">
        <f aca="false">IF($A41&gt;=AR$32,IF($A41&lt;=AR$33,$AN41,0),0)</f>
        <v>31</v>
      </c>
      <c r="AQ41" s="123" t="n">
        <f aca="false">$B41+$K41+$B$12</f>
        <v>8.1168</v>
      </c>
      <c r="AR41" s="123" t="n">
        <f aca="false">$B41+$L41+$B$13</f>
        <v>5.4768</v>
      </c>
      <c r="AS41" s="123" t="n">
        <f aca="false">AQ41*AP41</f>
        <v>251.6208</v>
      </c>
      <c r="AT41" s="123" t="n">
        <f aca="false">AR41*AP41</f>
        <v>169.7808</v>
      </c>
      <c r="AU41" s="156" t="n">
        <f aca="false">($C41*$M41)+$B$14</f>
        <v>0.78975</v>
      </c>
      <c r="AV41" s="156" t="n">
        <f aca="false">($C41*$N41)+$B$15</f>
        <v>0.6075</v>
      </c>
      <c r="AW41" s="131" t="n">
        <f aca="false">O41+B$16</f>
        <v>0.74</v>
      </c>
      <c r="AX41" s="157" t="e">
        <f aca="false">IF(AP41=0,0,SPRDOPT(AQ41,AR41,$P41,$AM41,AU41,AV41,AW41,$D41,$B$19,0))</f>
        <v>#NAME?</v>
      </c>
      <c r="AY41" s="157" t="e">
        <f aca="false">IF(AQ41=0,0,SPRDOPT(AQ41,AR41,$P41,$AM41,AU41,AV41,AW41,$D41,$B$19,1))</f>
        <v>#NAME?</v>
      </c>
      <c r="AZ41" s="157" t="e">
        <f aca="false">IF(AR41=0,0,SPRDOPT(AQ41,AR41,$P41,$AM41,AU41,AV41,AW41,$D41,$B$19,2))</f>
        <v>#NAME?</v>
      </c>
      <c r="BA41" s="157" t="e">
        <f aca="false">IF(AS41=0,0,SPRDOPT(AQ41,AR41,$P41,$AM41,AU41,AV41,AW41,$D41,$B$19,3)/100)</f>
        <v>#NAME?</v>
      </c>
      <c r="BB41" s="157" t="e">
        <f aca="false">IF(AT41=0,0,SPRDOPT(AQ41,AR41,$P41,$AM41,AU41,AV41,AW41,$D41,$B$19,4)/100)</f>
        <v>#NAME?</v>
      </c>
      <c r="BC41" s="157" t="e">
        <f aca="false">IF(AU41=0,0,SPRDOPT(AQ41,AR41,$P41,$AM41,AU41,AV41,AW41,$D41,$B$19,5)/100)</f>
        <v>#NAME?</v>
      </c>
      <c r="BD41" s="157" t="e">
        <f aca="false">IF(AV41=0,0,SPRDOPT(AQ41,AR41,$P41,$AM41,AU41,AV41,AW41,$D41,$B$19,6)/100)</f>
        <v>#NAME?</v>
      </c>
      <c r="BE41" s="157" t="e">
        <f aca="false">IF(AW41=0,0,SPRDOPT(AQ41,AR41,$P41,$AM41,AU41,AV41,AW41,$D41,$B$19,7)/100)</f>
        <v>#NAME?</v>
      </c>
      <c r="BF41" s="157" t="e">
        <f aca="false">IF(AX41=0,0,SPRDOPT(AQ41,AR41,$P41,$AM41,AU41,AV41,AW41,$D41,$B$19,9)/365)</f>
        <v>#NAME?</v>
      </c>
      <c r="BG41" s="157" t="e">
        <f aca="false">AY41+AZ41</f>
        <v>#NAME?</v>
      </c>
      <c r="BH41" s="157" t="e">
        <f aca="false">BB41-BA41</f>
        <v>#NAME?</v>
      </c>
      <c r="BI41" s="157" t="e">
        <f aca="false">((AU41/AV41)*BC41)+BD41</f>
        <v>#NAME?</v>
      </c>
      <c r="BJ41" s="44"/>
      <c r="BK41" s="45" t="e">
        <f aca="false">$AP41*AX41</f>
        <v>#NAME?</v>
      </c>
      <c r="BL41" s="45" t="e">
        <f aca="false">$AP41*AY41</f>
        <v>#NAME?</v>
      </c>
      <c r="BM41" s="45" t="e">
        <f aca="false">$AP41*AZ41</f>
        <v>#NAME?</v>
      </c>
      <c r="BN41" s="45" t="e">
        <f aca="false">$AP41*BA41</f>
        <v>#NAME?</v>
      </c>
      <c r="BO41" s="45" t="e">
        <f aca="false">$AP41*BB41</f>
        <v>#NAME?</v>
      </c>
      <c r="BP41" s="45" t="e">
        <f aca="false">$AP41*BC41</f>
        <v>#NAME?</v>
      </c>
      <c r="BQ41" s="45" t="e">
        <f aca="false">$AP41*BD41</f>
        <v>#NAME?</v>
      </c>
      <c r="BR41" s="45" t="e">
        <f aca="false">$AP41*BE41</f>
        <v>#NAME?</v>
      </c>
      <c r="BS41" s="45" t="e">
        <f aca="false">$AP41*BF41</f>
        <v>#NAME?</v>
      </c>
      <c r="BT41" s="45" t="e">
        <f aca="false">$AP41*BG41</f>
        <v>#NAME?</v>
      </c>
      <c r="BU41" s="45" t="e">
        <f aca="false">$AP41*BH41</f>
        <v>#NAME?</v>
      </c>
      <c r="BV41" s="45" t="e">
        <f aca="false">$AP41*BI41</f>
        <v>#NAME?</v>
      </c>
      <c r="BX41" s="9" t="n">
        <f aca="false">IF($A41&gt;=BZ$32,IF($A41&lt;=BZ$33,$AN41,0),0)</f>
        <v>31</v>
      </c>
      <c r="BY41" s="123" t="n">
        <f aca="false">$B41+$R41+$D$12</f>
        <v>5.6593</v>
      </c>
      <c r="BZ41" s="123" t="n">
        <f aca="false">$B41+$S41+$D$13</f>
        <v>5.4768</v>
      </c>
      <c r="CA41" s="123" t="n">
        <f aca="false">BY41*BX41</f>
        <v>175.4383</v>
      </c>
      <c r="CB41" s="123" t="n">
        <f aca="false">BZ41*BX41</f>
        <v>169.7808</v>
      </c>
      <c r="CC41" s="156" t="n">
        <f aca="false">($C41*$T41)+$D$14</f>
        <v>0.6075</v>
      </c>
      <c r="CD41" s="156" t="n">
        <f aca="false">($C41*$U41)+$D$15</f>
        <v>0.6075</v>
      </c>
      <c r="CE41" s="131" t="n">
        <f aca="false">$V41+D$16</f>
        <v>0.9985</v>
      </c>
      <c r="CF41" s="157" t="e">
        <f aca="false">IF(BX41=0,0,SPRDOPT(BY41,BZ41,$W41,$AM41,CC41,CD41,CE41,$D41,$D$19,0))</f>
        <v>#NAME?</v>
      </c>
      <c r="CG41" s="157" t="e">
        <f aca="false">IF(BY41=0,0,SPRDOPT(BY41,BZ41,$W41,$AM41,CC41,CD41,CE41,$D41,$D$19,1))</f>
        <v>#NAME?</v>
      </c>
      <c r="CH41" s="157" t="e">
        <f aca="false">IF(BZ41=0,0,SPRDOPT(BY41,BZ41,$W41,$AM41,CC41,CD41,CE41,$D41,$D$19,2))</f>
        <v>#NAME?</v>
      </c>
      <c r="CI41" s="157" t="e">
        <f aca="false">IF(CA41=0,0,SPRDOPT(BY41,BZ41,$W41,$AM41,CC41,CD41,CE41,$D41,$D$19,3)/100)</f>
        <v>#NAME?</v>
      </c>
      <c r="CJ41" s="157" t="e">
        <f aca="false">IF(CB41=0,0,SPRDOPT(BY41,BZ41,$W41,$AM41,CC41,CD41,CE41,$D41,$D$19,4)/100)</f>
        <v>#NAME?</v>
      </c>
      <c r="CK41" s="157" t="e">
        <f aca="false">IF(CC41=0,0,SPRDOPT(BY41,BZ41,$W41,$AM41,CC41,CD41,CE41,$D41,$D$19,5)/100)</f>
        <v>#NAME?</v>
      </c>
      <c r="CL41" s="157" t="e">
        <f aca="false">IF(CD41=0,0,SPRDOPT(BY41,BZ41,$W41,$AM41,CC41,CD41,CE41,$D41,$D$19,6)/100)</f>
        <v>#NAME?</v>
      </c>
      <c r="CM41" s="157" t="e">
        <f aca="false">IF(CE41=0,0,SPRDOPT(BY41,BZ41,$W41,$AM41,CC41,CD41,CE41,$D41,$D$19,7)/100)</f>
        <v>#NAME?</v>
      </c>
      <c r="CN41" s="157" t="e">
        <f aca="false">IF(CF41=0,0,SPRDOPT(BY41,BZ41,$W41,$AM41,CC41,CD41,CE41,$D41,$D$19,9)/365)</f>
        <v>#NAME?</v>
      </c>
      <c r="CO41" s="157" t="e">
        <f aca="false">CG41+CH41</f>
        <v>#NAME?</v>
      </c>
      <c r="CP41" s="157" t="e">
        <f aca="false">CJ41-CI41</f>
        <v>#NAME?</v>
      </c>
      <c r="CQ41" s="157" t="e">
        <f aca="false">((CC41/CD41)*CK41)+CL41</f>
        <v>#NAME?</v>
      </c>
      <c r="CR41" s="44"/>
      <c r="CS41" s="45" t="e">
        <f aca="false">BX41*CF41</f>
        <v>#NAME?</v>
      </c>
      <c r="CT41" s="45" t="e">
        <f aca="false">BX41*CG41</f>
        <v>#NAME?</v>
      </c>
      <c r="CU41" s="45" t="e">
        <f aca="false">BX41*CH41</f>
        <v>#NAME?</v>
      </c>
      <c r="CV41" s="45" t="e">
        <f aca="false">BX41*CI41</f>
        <v>#NAME?</v>
      </c>
      <c r="CW41" s="45" t="e">
        <f aca="false">BX41*CJ41</f>
        <v>#NAME?</v>
      </c>
      <c r="CX41" s="45" t="e">
        <f aca="false">BX41*CK41</f>
        <v>#NAME?</v>
      </c>
      <c r="CY41" s="45" t="e">
        <f aca="false">BX41*CL41</f>
        <v>#NAME?</v>
      </c>
      <c r="CZ41" s="45" t="e">
        <f aca="false">BX41*CM41</f>
        <v>#NAME?</v>
      </c>
      <c r="DA41" s="45" t="e">
        <f aca="false">BX41*CN41</f>
        <v>#NAME?</v>
      </c>
      <c r="DB41" s="45" t="e">
        <f aca="false">BX41*CO41</f>
        <v>#NAME?</v>
      </c>
      <c r="DC41" s="45" t="e">
        <f aca="false">BX41*CP41</f>
        <v>#NAME?</v>
      </c>
      <c r="DD41" s="45" t="e">
        <f aca="false">BX41*CQ41</f>
        <v>#NAME?</v>
      </c>
      <c r="DF41" s="9" t="n">
        <f aca="false">IF($A41&gt;=DH$32,IF($A41&lt;=DH$33,$AN41,0),0)</f>
        <v>31</v>
      </c>
      <c r="DG41" s="123" t="n">
        <f aca="false">$B41+$Y41+$F$12</f>
        <v>8.1168</v>
      </c>
      <c r="DH41" s="123" t="n">
        <f aca="false">$B41+$Z41+$F$13</f>
        <v>5.4768</v>
      </c>
      <c r="DI41" s="123" t="n">
        <f aca="false">DG41*DF41</f>
        <v>251.6208</v>
      </c>
      <c r="DJ41" s="123" t="n">
        <f aca="false">DH41*DF41</f>
        <v>169.7808</v>
      </c>
      <c r="DK41" s="156" t="n">
        <f aca="false">($C41*$AA41)+$F$14</f>
        <v>0.78975</v>
      </c>
      <c r="DL41" s="156" t="n">
        <f aca="false">($C41*$AB41)+$F$15</f>
        <v>0.6075</v>
      </c>
      <c r="DM41" s="131" t="n">
        <f aca="false">$AC41+$F$16</f>
        <v>0.74</v>
      </c>
      <c r="DN41" s="157" t="e">
        <f aca="false">IF(DF41=0,0,SPRDOPT(DG41,DH41,$AD41,$AM41,DK41,DL41,DM41,$D41,$F$19,0))</f>
        <v>#NAME?</v>
      </c>
      <c r="DO41" s="157" t="e">
        <f aca="false">IF(DG41=0,0,SPRDOPT(DG41,DH41,$AD41,$AM41,DK41,DL41,DM41,$D41,$F$19,1))</f>
        <v>#NAME?</v>
      </c>
      <c r="DP41" s="157" t="e">
        <f aca="false">IF(DH41=0,0,SPRDOPT(DG41,DH41,$AD41,$AM41,DK41,DL41,DM41,$D41,$F$19,2))</f>
        <v>#NAME?</v>
      </c>
      <c r="DQ41" s="157" t="e">
        <f aca="false">IF(DI41=0,0,SPRDOPT(DG41,DH41,$AD41,$AM41,DK41,DL41,DM41,$D41,$F$19,3)/100)</f>
        <v>#NAME?</v>
      </c>
      <c r="DR41" s="157" t="e">
        <f aca="false">IF(DJ41=0,0,SPRDOPT(DG41,DH41,$AD41,$AM41,DK41,DL41,DM41,$D41,$F$19,4)/100)</f>
        <v>#NAME?</v>
      </c>
      <c r="DS41" s="157" t="e">
        <f aca="false">IF(DK41=0,0,SPRDOPT(DG41,DH41,$AD41,$AM41,DK41,DL41,DM41,$D41,$F$19,5)/100)</f>
        <v>#NAME?</v>
      </c>
      <c r="DT41" s="157" t="e">
        <f aca="false">IF(DL41=0,0,SPRDOPT(DG41,DH41,$AD41,$AM41,DK41,DL41,DM41,$D41,$F$19,6)/100)</f>
        <v>#NAME?</v>
      </c>
      <c r="DU41" s="157" t="e">
        <f aca="false">IF(DM41=0,0,SPRDOPT(DG41,DH41,$AD41,$AM41,DK41,DL41,DM41,$D41,$F$19,7)/100)</f>
        <v>#NAME?</v>
      </c>
      <c r="DV41" s="157" t="e">
        <f aca="false">IF(DN41=0,0,SPRDOPT(DG41,DH41,$AD41,$AM41,DK41,DL41,DM41,$D41,$F$19,9)/365)</f>
        <v>#NAME?</v>
      </c>
      <c r="DW41" s="157" t="e">
        <f aca="false">DO41+DP41</f>
        <v>#NAME?</v>
      </c>
      <c r="DX41" s="157" t="e">
        <f aca="false">DR41-DQ41</f>
        <v>#NAME?</v>
      </c>
      <c r="DY41" s="157" t="e">
        <f aca="false">((DK41/DL41)*DS41)+DT41</f>
        <v>#NAME?</v>
      </c>
      <c r="DZ41" s="44"/>
      <c r="EA41" s="45" t="e">
        <f aca="false">DF41*DN41</f>
        <v>#NAME?</v>
      </c>
      <c r="EB41" s="45" t="e">
        <f aca="false">DF41*DO41</f>
        <v>#NAME?</v>
      </c>
      <c r="EC41" s="45" t="e">
        <f aca="false">DF41*DP41</f>
        <v>#NAME?</v>
      </c>
      <c r="ED41" s="45" t="e">
        <f aca="false">DF41*DQ41</f>
        <v>#NAME?</v>
      </c>
      <c r="EE41" s="45" t="e">
        <f aca="false">DF41*DR41</f>
        <v>#NAME?</v>
      </c>
      <c r="EF41" s="45" t="e">
        <f aca="false">DF41*DS41</f>
        <v>#NAME?</v>
      </c>
      <c r="EG41" s="45" t="e">
        <f aca="false">DF41*DT41</f>
        <v>#NAME?</v>
      </c>
      <c r="EH41" s="45" t="e">
        <f aca="false">DF41*DU41</f>
        <v>#NAME?</v>
      </c>
      <c r="EI41" s="45" t="e">
        <f aca="false">DF41*DV41</f>
        <v>#NAME?</v>
      </c>
      <c r="EJ41" s="45" t="e">
        <f aca="false">DF41*DW41</f>
        <v>#NAME?</v>
      </c>
      <c r="EK41" s="45" t="e">
        <f aca="false">DF41*DX41</f>
        <v>#NAME?</v>
      </c>
      <c r="EL41" s="45" t="e">
        <f aca="false">DF41*DY41</f>
        <v>#NAME?</v>
      </c>
      <c r="EN41" s="9" t="n">
        <f aca="false">IF($A41&gt;=EP$32,IF($A41&lt;=EP$33,$AN41,0),0)</f>
        <v>31</v>
      </c>
      <c r="EO41" s="123" t="n">
        <f aca="false">$B41+$AF41+$H$12</f>
        <v>8.1168</v>
      </c>
      <c r="EP41" s="123" t="n">
        <f aca="false">$B41+$AG41+$H$13</f>
        <v>5.4768</v>
      </c>
      <c r="EQ41" s="123" t="n">
        <f aca="false">EO41*EN41</f>
        <v>251.6208</v>
      </c>
      <c r="ER41" s="123" t="n">
        <f aca="false">EP41*EN41</f>
        <v>169.7808</v>
      </c>
      <c r="ES41" s="156" t="n">
        <f aca="false">($C41*$AH41)+$H$14</f>
        <v>0.78975</v>
      </c>
      <c r="ET41" s="156" t="n">
        <f aca="false">($C41*$AI41)+$H$15</f>
        <v>0.6075</v>
      </c>
      <c r="EU41" s="131" t="n">
        <f aca="false">$AJ41+$H$16</f>
        <v>0.74</v>
      </c>
      <c r="EV41" s="157" t="e">
        <f aca="false">IF(EN41=0,0,SPRDOPT(EO41,EP41,$AK41,$AM41,ES41,ET41,EU41,$D41,$H$19,0))</f>
        <v>#NAME?</v>
      </c>
      <c r="EW41" s="157" t="e">
        <f aca="false">IF(EO41=0,0,SPRDOPT(EO41,EP41,$AK41,$AM41,ES41,ET41,EU41,$D41,$H$19,1))</f>
        <v>#NAME?</v>
      </c>
      <c r="EX41" s="157" t="e">
        <f aca="false">IF(EP41=0,0,SPRDOPT(EO41,EP41,$AK41,$AM41,ES41,ET41,EU41,$D41,$H$19,2))</f>
        <v>#NAME?</v>
      </c>
      <c r="EY41" s="157" t="e">
        <f aca="false">IF(EQ41=0,0,SPRDOPT(EO41,EP41,$AK41,$AM41,ES41,ET41,EU41,$D41,$H$19,3)/100)</f>
        <v>#NAME?</v>
      </c>
      <c r="EZ41" s="157" t="e">
        <f aca="false">IF(ER41=0,0,SPRDOPT(EO41,EP41,$AK41,$AM41,ES41,ET41,EU41,$D41,$H$19,4)/100)</f>
        <v>#NAME?</v>
      </c>
      <c r="FA41" s="157" t="e">
        <f aca="false">IF(ES41=0,0,SPRDOPT(EO41,EP41,$AK41,$AM41,ES41,ET41,EU41,$D41,$H$19,5)/100)</f>
        <v>#NAME?</v>
      </c>
      <c r="FB41" s="157" t="e">
        <f aca="false">IF(ET41=0,0,SPRDOPT(EO41,EP41,$AK41,$AM41,ES41,ET41,EU41,$D41,$H$19,6)/100)</f>
        <v>#NAME?</v>
      </c>
      <c r="FC41" s="157" t="e">
        <f aca="false">IF(EU41=0,0,SPRDOPT(EO41,EP41,$AK41,$AM41,ES41,ET41,EU41,$D41,$H$19,7)/100)</f>
        <v>#NAME?</v>
      </c>
      <c r="FD41" s="157" t="e">
        <f aca="false">IF(EV41=0,0,SPRDOPT(EO41,EP41,$AK41,$AM41,ES41,ET41,EU41,$D41,$H$19,9)/365)</f>
        <v>#NAME?</v>
      </c>
      <c r="FE41" s="157" t="e">
        <f aca="false">EW41+EX41</f>
        <v>#NAME?</v>
      </c>
      <c r="FF41" s="157" t="e">
        <f aca="false">EZ41-EY41</f>
        <v>#NAME?</v>
      </c>
      <c r="FG41" s="157" t="e">
        <f aca="false">((ES41/ET41)*FA41)+FB41</f>
        <v>#NAME?</v>
      </c>
      <c r="FH41" s="44"/>
      <c r="FI41" s="45" t="e">
        <f aca="false">$EN41*EV41</f>
        <v>#NAME?</v>
      </c>
      <c r="FJ41" s="45" t="e">
        <f aca="false">$EN41*EW41</f>
        <v>#NAME?</v>
      </c>
      <c r="FK41" s="45" t="e">
        <f aca="false">$EN41*EX41</f>
        <v>#NAME?</v>
      </c>
      <c r="FL41" s="45" t="e">
        <f aca="false">$EN41*EY41</f>
        <v>#NAME?</v>
      </c>
      <c r="FM41" s="45" t="e">
        <f aca="false">$EN41*EZ41</f>
        <v>#NAME?</v>
      </c>
      <c r="FN41" s="45" t="e">
        <f aca="false">$EN41*FA41</f>
        <v>#NAME?</v>
      </c>
      <c r="FO41" s="45" t="e">
        <f aca="false">$EN41*FB41</f>
        <v>#NAME?</v>
      </c>
      <c r="FP41" s="45" t="e">
        <f aca="false">$EN41*FC41</f>
        <v>#NAME?</v>
      </c>
      <c r="FQ41" s="45" t="e">
        <f aca="false">$EN41*FD41</f>
        <v>#NAME?</v>
      </c>
      <c r="FR41" s="45" t="e">
        <f aca="false">$EN41*FE41</f>
        <v>#NAME?</v>
      </c>
      <c r="FS41" s="45" t="e">
        <f aca="false">$EN41*FF41</f>
        <v>#NAME?</v>
      </c>
      <c r="FT41" s="45" t="e">
        <f aca="false">$EN41*FG41</f>
        <v>#NAME?</v>
      </c>
    </row>
    <row r="42" customFormat="false" ht="12.75" hidden="false" customHeight="false" outlineLevel="0" collapsed="false">
      <c r="A42" s="48" t="n">
        <f aca="false">DATE(YEAR(A41),MONTH(A41)+1,1)</f>
        <v>36923</v>
      </c>
      <c r="B42" s="40" t="n">
        <f aca="false">VLOOKUP(A42,STRADDLE,5,FALSE())</f>
        <v>5.1838</v>
      </c>
      <c r="C42" s="4" t="n">
        <f aca="false">VLOOKUP(A42,STRADDLE,8,FALSE())</f>
        <v>0.5975</v>
      </c>
      <c r="D42" s="136" t="n">
        <f aca="false">VLOOKUP(A42,expiration,2,FALSE())-$B$2</f>
        <v>-9006</v>
      </c>
      <c r="E42" s="131" t="e">
        <f aca="false">AY42</f>
        <v>#NAME?</v>
      </c>
      <c r="F42" s="131" t="e">
        <f aca="false">CG42</f>
        <v>#NAME?</v>
      </c>
      <c r="G42" s="131" t="e">
        <f aca="false">DO42</f>
        <v>#NAME?</v>
      </c>
      <c r="H42" s="131" t="e">
        <f aca="false">EW42</f>
        <v>#NAME?</v>
      </c>
      <c r="I42" s="41"/>
      <c r="J42" s="154"/>
      <c r="K42" s="40" t="n">
        <f aca="false">IF($B$3="NYMEX",0,VLOOKUP($A42,curvesettle,HLOOKUP($B$3,curvesettle,2,FALSE()),FALSE()))</f>
        <v>2.6</v>
      </c>
      <c r="L42" s="40" t="n">
        <f aca="false">IF($B$4="NYMEX",0,VLOOKUP($A42,curvesettle,HLOOKUP($B$4,curvesettle,2,FALSE()),FALSE()))</f>
        <v>0</v>
      </c>
      <c r="M42" s="131" t="n">
        <f aca="false">IF(ISNUMBER(VLOOKUP($A42,VOLCURVES,HLOOKUP($B$3,VOLCURVES,2,FALSE()),FALSE())),VLOOKUP($A42,VOLCURVES,HLOOKUP($B$3,VOLCURVES,2,FALSE()),FALSE()),1)</f>
        <v>1.3</v>
      </c>
      <c r="N42" s="131" t="n">
        <f aca="false">IF(ISNUMBER(VLOOKUP($A42,VOLCURVES,HLOOKUP($B$4,VOLCURVES,2,FALSE()),FALSE())),VLOOKUP($A42,VOLCURVES,HLOOKUP($B$4,VOLCURVES,2,FALSE()),FALSE()),1)</f>
        <v>1</v>
      </c>
      <c r="O42" s="131" t="n">
        <f aca="false">IF(ISNUMBER(VLOOKUP($A42,CORETABLE,HLOOKUP($B$3,CORETABLE,2,FALSE()),FALSE())),VLOOKUP($A42,CORETABLE,HLOOKUP($B$3,CORETABLE,2,FALSE()),FALSE()),0.99)</f>
        <v>0.74</v>
      </c>
      <c r="P42" s="155" t="n">
        <f aca="false">B$18</f>
        <v>2</v>
      </c>
      <c r="Q42" s="131"/>
      <c r="R42" s="40" t="n">
        <f aca="false">IF($D$3="NYMEX",0,VLOOKUP($A42,curvesettle,HLOOKUP($D$3,curvesettle,2,FALSE()),FALSE()))</f>
        <v>0.195</v>
      </c>
      <c r="S42" s="40" t="n">
        <f aca="false">IF($D$4="NYMEX",0,VLOOKUP($A42,curvesettle,HLOOKUP($D$4,curvesettle,2,FALSE()),FALSE()))</f>
        <v>0</v>
      </c>
      <c r="T42" s="131" t="n">
        <f aca="false">IF(ISNUMBER(VLOOKUP($A42,VOLCURVES,HLOOKUP($D$3,VOLCURVES,2,FALSE()),FALSE())),VLOOKUP($A42,VOLCURVES,HLOOKUP($D$3,VOLCURVES,2,FALSE()),FALSE()),1)</f>
        <v>1</v>
      </c>
      <c r="U42" s="131" t="n">
        <f aca="false">IF(ISNUMBER(VLOOKUP($A42,VOLCURVES,HLOOKUP($D$4,VOLCURVES,2,FALSE()),FALSE())),VLOOKUP($A42,VOLCURVES,HLOOKUP($D$4,VOLCURVES,2,FALSE()),FALSE()),1)</f>
        <v>1</v>
      </c>
      <c r="V42" s="131" t="n">
        <f aca="false">IF(ISNUMBER(VLOOKUP($A42,CORETABLE,HLOOKUP($D$3,CORETABLE,2,FALSE()),FALSE())),VLOOKUP($A42,CORETABLE,HLOOKUP($D$3,CORETABLE,2,FALSE()),FALSE()),0.99)</f>
        <v>0.9985</v>
      </c>
      <c r="W42" s="155" t="n">
        <f aca="false">D$18</f>
        <v>0.2</v>
      </c>
      <c r="X42" s="131"/>
      <c r="Y42" s="40" t="n">
        <f aca="false">IF($F$3="NYMEX",0,VLOOKUP($A42,curvesettle,HLOOKUP($F$3,curvesettle,2,FALSE()),FALSE()))</f>
        <v>2.6</v>
      </c>
      <c r="Z42" s="40" t="n">
        <f aca="false">IF($F$4="NYMEX",0,VLOOKUP($A42,curvesettle,HLOOKUP($F$4,curvesettle,2,FALSE()),FALSE()))</f>
        <v>0</v>
      </c>
      <c r="AA42" s="131" t="n">
        <f aca="false">IF(ISNUMBER(VLOOKUP($A42,VOLCURVES,HLOOKUP($F$3,VOLCURVES,2,FALSE()),FALSE())),VLOOKUP($A42,VOLCURVES,HLOOKUP($F$3,VOLCURVES,2,FALSE()),FALSE()),1)</f>
        <v>1.3</v>
      </c>
      <c r="AB42" s="131" t="n">
        <f aca="false">IF(ISNUMBER(VLOOKUP($A42,VOLCURVES,HLOOKUP($F$4,VOLCURVES,2,FALSE()),FALSE())),VLOOKUP($A42,VOLCURVES,HLOOKUP($F$4,VOLCURVES,2,FALSE()),FALSE()),1)</f>
        <v>1</v>
      </c>
      <c r="AC42" s="131" t="n">
        <f aca="false">IF(ISNUMBER(VLOOKUP($A42,CORETABLE,HLOOKUP($F$3,CORETABLE,2,FALSE()),FALSE())),VLOOKUP($A42,CORETABLE,HLOOKUP($F$3,CORETABLE,2,FALSE()),FALSE()),1)</f>
        <v>0.74</v>
      </c>
      <c r="AD42" s="155" t="n">
        <f aca="false">F$18</f>
        <v>1.85</v>
      </c>
      <c r="AE42" s="131"/>
      <c r="AF42" s="40" t="n">
        <f aca="false">IF($H$3="NYMEX",0,VLOOKUP($A42,curvesettle,HLOOKUP($H$3,curvesettle,2,FALSE()),FALSE()))</f>
        <v>2.6</v>
      </c>
      <c r="AG42" s="40" t="n">
        <f aca="false">IF($H$4="NYMEX",0,VLOOKUP($A42,curvesettle,HLOOKUP($H$4,curvesettle,2,FALSE()),FALSE()))</f>
        <v>0</v>
      </c>
      <c r="AH42" s="131" t="n">
        <f aca="false">IF(ISNUMBER(VLOOKUP($A42,VOLCURVES,HLOOKUP($H$3,VOLCURVES,2,FALSE()),FALSE())),VLOOKUP($A42,VOLCURVES,HLOOKUP($H$3,VOLCURVES,2,FALSE()),FALSE()),1)</f>
        <v>1.3</v>
      </c>
      <c r="AI42" s="131" t="n">
        <f aca="false">IF(ISNUMBER(VLOOKUP($A42,VOLCURVES,HLOOKUP($H$4,VOLCURVES,2,FALSE()),FALSE())),VLOOKUP($A42,VOLCURVES,HLOOKUP($H$4,VOLCURVES,2,FALSE()),FALSE()),1)</f>
        <v>1</v>
      </c>
      <c r="AJ42" s="131" t="n">
        <f aca="false">IF(ISNUMBER(VLOOKUP($A42,CORETABLE,HLOOKUP($H$3,CORETABLE,2,FALSE()),FALSE())),VLOOKUP($A42,CORETABLE,HLOOKUP($H$3,CORETABLE,2,FALSE()),FALSE()),1)</f>
        <v>0.74</v>
      </c>
      <c r="AK42" s="155" t="n">
        <f aca="false">H$18</f>
        <v>1.85</v>
      </c>
      <c r="AM42" s="4" t="n">
        <f aca="false">VLOOKUP($A42,STRADDLE,12,FALSE())</f>
        <v>0.068214589689939</v>
      </c>
      <c r="AN42" s="43" t="n">
        <f aca="false">A43-A42</f>
        <v>28</v>
      </c>
      <c r="AP42" s="9" t="n">
        <f aca="false">IF($A42&gt;=AR$32,IF($A42&lt;=AR$33,$AN42,0),0)</f>
        <v>28</v>
      </c>
      <c r="AQ42" s="123" t="n">
        <f aca="false">$B42+$K42+$B$12</f>
        <v>7.8138</v>
      </c>
      <c r="AR42" s="123" t="n">
        <f aca="false">$B42+$L42+$B$13</f>
        <v>5.1838</v>
      </c>
      <c r="AS42" s="123" t="n">
        <f aca="false">AQ42*AP42</f>
        <v>218.7864</v>
      </c>
      <c r="AT42" s="123" t="n">
        <f aca="false">AR42*AP42</f>
        <v>145.1464</v>
      </c>
      <c r="AU42" s="156" t="n">
        <f aca="false">($C42*$M42)+$B$14</f>
        <v>0.77675</v>
      </c>
      <c r="AV42" s="156" t="n">
        <f aca="false">($C42*$N42)+$B$15</f>
        <v>0.5975</v>
      </c>
      <c r="AW42" s="131" t="n">
        <f aca="false">O42+B$16</f>
        <v>0.74</v>
      </c>
      <c r="AX42" s="157" t="e">
        <f aca="false">IF(AP42=0,0,SPRDOPT(AQ42,AR42,$P42,$AM42,AU42,AV42,AW42,$D42,$B$19,0))</f>
        <v>#NAME?</v>
      </c>
      <c r="AY42" s="157" t="e">
        <f aca="false">IF(AQ42=0,0,SPRDOPT(AQ42,AR42,$P42,$AM42,AU42,AV42,AW42,$D42,$B$19,1))</f>
        <v>#NAME?</v>
      </c>
      <c r="AZ42" s="157" t="e">
        <f aca="false">IF(AR42=0,0,SPRDOPT(AQ42,AR42,$P42,$AM42,AU42,AV42,AW42,$D42,$B$19,2))</f>
        <v>#NAME?</v>
      </c>
      <c r="BA42" s="157" t="e">
        <f aca="false">IF(AS42=0,0,SPRDOPT(AQ42,AR42,$P42,$AM42,AU42,AV42,AW42,$D42,$B$19,3)/100)</f>
        <v>#NAME?</v>
      </c>
      <c r="BB42" s="157" t="e">
        <f aca="false">IF(AT42=0,0,SPRDOPT(AQ42,AR42,$P42,$AM42,AU42,AV42,AW42,$D42,$B$19,4)/100)</f>
        <v>#NAME?</v>
      </c>
      <c r="BC42" s="157" t="e">
        <f aca="false">IF(AU42=0,0,SPRDOPT(AQ42,AR42,$P42,$AM42,AU42,AV42,AW42,$D42,$B$19,5)/100)</f>
        <v>#NAME?</v>
      </c>
      <c r="BD42" s="157" t="e">
        <f aca="false">IF(AV42=0,0,SPRDOPT(AQ42,AR42,$P42,$AM42,AU42,AV42,AW42,$D42,$B$19,6)/100)</f>
        <v>#NAME?</v>
      </c>
      <c r="BE42" s="157" t="e">
        <f aca="false">IF(AW42=0,0,SPRDOPT(AQ42,AR42,$P42,$AM42,AU42,AV42,AW42,$D42,$B$19,7)/100)</f>
        <v>#NAME?</v>
      </c>
      <c r="BF42" s="157" t="e">
        <f aca="false">IF(AX42=0,0,SPRDOPT(AQ42,AR42,$P42,$AM42,AU42,AV42,AW42,$D42,$B$19,9)/365)</f>
        <v>#NAME?</v>
      </c>
      <c r="BG42" s="157" t="e">
        <f aca="false">AY42+AZ42</f>
        <v>#NAME?</v>
      </c>
      <c r="BH42" s="157" t="e">
        <f aca="false">BB42-BA42</f>
        <v>#NAME?</v>
      </c>
      <c r="BI42" s="157" t="e">
        <f aca="false">((AU42/AV42)*BC42)+BD42</f>
        <v>#NAME?</v>
      </c>
      <c r="BJ42" s="44"/>
      <c r="BK42" s="45" t="e">
        <f aca="false">$AP42*AX42</f>
        <v>#NAME?</v>
      </c>
      <c r="BL42" s="45" t="e">
        <f aca="false">$AP42*AY42</f>
        <v>#NAME?</v>
      </c>
      <c r="BM42" s="45" t="e">
        <f aca="false">$AP42*AZ42</f>
        <v>#NAME?</v>
      </c>
      <c r="BN42" s="45" t="e">
        <f aca="false">$AP42*BA42</f>
        <v>#NAME?</v>
      </c>
      <c r="BO42" s="45" t="e">
        <f aca="false">$AP42*BB42</f>
        <v>#NAME?</v>
      </c>
      <c r="BP42" s="45" t="e">
        <f aca="false">$AP42*BC42</f>
        <v>#NAME?</v>
      </c>
      <c r="BQ42" s="45" t="e">
        <f aca="false">$AP42*BD42</f>
        <v>#NAME?</v>
      </c>
      <c r="BR42" s="45" t="e">
        <f aca="false">$AP42*BE42</f>
        <v>#NAME?</v>
      </c>
      <c r="BS42" s="45" t="e">
        <f aca="false">$AP42*BF42</f>
        <v>#NAME?</v>
      </c>
      <c r="BT42" s="45" t="e">
        <f aca="false">$AP42*BG42</f>
        <v>#NAME?</v>
      </c>
      <c r="BU42" s="45" t="e">
        <f aca="false">$AP42*BH42</f>
        <v>#NAME?</v>
      </c>
      <c r="BV42" s="45" t="e">
        <f aca="false">$AP42*BI42</f>
        <v>#NAME?</v>
      </c>
      <c r="BX42" s="9" t="n">
        <f aca="false">IF($A42&gt;=BZ$32,IF($A42&lt;=BZ$33,$AN42,0),0)</f>
        <v>28</v>
      </c>
      <c r="BY42" s="123" t="n">
        <f aca="false">$B42+$R42+$D$12</f>
        <v>5.3788</v>
      </c>
      <c r="BZ42" s="123" t="n">
        <f aca="false">$B42+$S42+$D$13</f>
        <v>5.1838</v>
      </c>
      <c r="CA42" s="123" t="n">
        <f aca="false">BY42*BX42</f>
        <v>150.6064</v>
      </c>
      <c r="CB42" s="123" t="n">
        <f aca="false">BZ42*BX42</f>
        <v>145.1464</v>
      </c>
      <c r="CC42" s="156" t="n">
        <f aca="false">($C42*$T42)+$D$14</f>
        <v>0.5975</v>
      </c>
      <c r="CD42" s="156" t="n">
        <f aca="false">($C42*$U42)+$D$15</f>
        <v>0.5975</v>
      </c>
      <c r="CE42" s="131" t="n">
        <f aca="false">$V42+D$16</f>
        <v>0.9985</v>
      </c>
      <c r="CF42" s="157" t="e">
        <f aca="false">IF(BX42=0,0,SPRDOPT(BY42,BZ42,$W42,$AM42,CC42,CD42,CE42,$D42,$D$19,0))</f>
        <v>#NAME?</v>
      </c>
      <c r="CG42" s="157" t="e">
        <f aca="false">IF(BY42=0,0,SPRDOPT(BY42,BZ42,$W42,$AM42,CC42,CD42,CE42,$D42,$D$19,1))</f>
        <v>#NAME?</v>
      </c>
      <c r="CH42" s="157" t="e">
        <f aca="false">IF(BZ42=0,0,SPRDOPT(BY42,BZ42,$W42,$AM42,CC42,CD42,CE42,$D42,$D$19,2))</f>
        <v>#NAME?</v>
      </c>
      <c r="CI42" s="157" t="e">
        <f aca="false">IF(CA42=0,0,SPRDOPT(BY42,BZ42,$W42,$AM42,CC42,CD42,CE42,$D42,$D$19,3)/100)</f>
        <v>#NAME?</v>
      </c>
      <c r="CJ42" s="157" t="e">
        <f aca="false">IF(CB42=0,0,SPRDOPT(BY42,BZ42,$W42,$AM42,CC42,CD42,CE42,$D42,$D$19,4)/100)</f>
        <v>#NAME?</v>
      </c>
      <c r="CK42" s="157" t="e">
        <f aca="false">IF(CC42=0,0,SPRDOPT(BY42,BZ42,$W42,$AM42,CC42,CD42,CE42,$D42,$D$19,5)/100)</f>
        <v>#NAME?</v>
      </c>
      <c r="CL42" s="157" t="e">
        <f aca="false">IF(CD42=0,0,SPRDOPT(BY42,BZ42,$W42,$AM42,CC42,CD42,CE42,$D42,$D$19,6)/100)</f>
        <v>#NAME?</v>
      </c>
      <c r="CM42" s="157" t="e">
        <f aca="false">IF(CE42=0,0,SPRDOPT(BY42,BZ42,$W42,$AM42,CC42,CD42,CE42,$D42,$D$19,7)/100)</f>
        <v>#NAME?</v>
      </c>
      <c r="CN42" s="157" t="e">
        <f aca="false">IF(CF42=0,0,SPRDOPT(BY42,BZ42,$W42,$AM42,CC42,CD42,CE42,$D42,$D$19,9)/365)</f>
        <v>#NAME?</v>
      </c>
      <c r="CO42" s="157" t="e">
        <f aca="false">CG42+CH42</f>
        <v>#NAME?</v>
      </c>
      <c r="CP42" s="157" t="e">
        <f aca="false">CJ42-CI42</f>
        <v>#NAME?</v>
      </c>
      <c r="CQ42" s="157" t="e">
        <f aca="false">((CC42/CD42)*CK42)+CL42</f>
        <v>#NAME?</v>
      </c>
      <c r="CR42" s="44"/>
      <c r="CS42" s="45" t="e">
        <f aca="false">BX42*CF42</f>
        <v>#NAME?</v>
      </c>
      <c r="CT42" s="45" t="e">
        <f aca="false">BX42*CG42</f>
        <v>#NAME?</v>
      </c>
      <c r="CU42" s="45" t="e">
        <f aca="false">BX42*CH42</f>
        <v>#NAME?</v>
      </c>
      <c r="CV42" s="45" t="e">
        <f aca="false">BX42*CI42</f>
        <v>#NAME?</v>
      </c>
      <c r="CW42" s="45" t="e">
        <f aca="false">BX42*CJ42</f>
        <v>#NAME?</v>
      </c>
      <c r="CX42" s="45" t="e">
        <f aca="false">BX42*CK42</f>
        <v>#NAME?</v>
      </c>
      <c r="CY42" s="45" t="e">
        <f aca="false">BX42*CL42</f>
        <v>#NAME?</v>
      </c>
      <c r="CZ42" s="45" t="e">
        <f aca="false">BX42*CM42</f>
        <v>#NAME?</v>
      </c>
      <c r="DA42" s="45" t="e">
        <f aca="false">BX42*CN42</f>
        <v>#NAME?</v>
      </c>
      <c r="DB42" s="45" t="e">
        <f aca="false">BX42*CO42</f>
        <v>#NAME?</v>
      </c>
      <c r="DC42" s="45" t="e">
        <f aca="false">BX42*CP42</f>
        <v>#NAME?</v>
      </c>
      <c r="DD42" s="45" t="e">
        <f aca="false">BX42*CQ42</f>
        <v>#NAME?</v>
      </c>
      <c r="DF42" s="9" t="n">
        <f aca="false">IF($A42&gt;=DH$32,IF($A42&lt;=DH$33,$AN42,0),0)</f>
        <v>28</v>
      </c>
      <c r="DG42" s="123" t="n">
        <f aca="false">$B42+$Y42+$F$12</f>
        <v>7.8138</v>
      </c>
      <c r="DH42" s="123" t="n">
        <f aca="false">$B42+$Z42+$F$13</f>
        <v>5.1838</v>
      </c>
      <c r="DI42" s="123" t="n">
        <f aca="false">DG42*DF42</f>
        <v>218.7864</v>
      </c>
      <c r="DJ42" s="123" t="n">
        <f aca="false">DH42*DF42</f>
        <v>145.1464</v>
      </c>
      <c r="DK42" s="156" t="n">
        <f aca="false">($C42*$AA42)+$F$14</f>
        <v>0.77675</v>
      </c>
      <c r="DL42" s="156" t="n">
        <f aca="false">($C42*$AB42)+$F$15</f>
        <v>0.5975</v>
      </c>
      <c r="DM42" s="131" t="n">
        <f aca="false">$AC42+$F$16</f>
        <v>0.74</v>
      </c>
      <c r="DN42" s="157" t="e">
        <f aca="false">IF(DF42=0,0,SPRDOPT(DG42,DH42,$AD42,$AM42,DK42,DL42,DM42,$D42,$F$19,0))</f>
        <v>#NAME?</v>
      </c>
      <c r="DO42" s="157" t="e">
        <f aca="false">IF(DG42=0,0,SPRDOPT(DG42,DH42,$AD42,$AM42,DK42,DL42,DM42,$D42,$F$19,1))</f>
        <v>#NAME?</v>
      </c>
      <c r="DP42" s="157" t="e">
        <f aca="false">IF(DH42=0,0,SPRDOPT(DG42,DH42,$AD42,$AM42,DK42,DL42,DM42,$D42,$F$19,2))</f>
        <v>#NAME?</v>
      </c>
      <c r="DQ42" s="157" t="e">
        <f aca="false">IF(DI42=0,0,SPRDOPT(DG42,DH42,$AD42,$AM42,DK42,DL42,DM42,$D42,$F$19,3)/100)</f>
        <v>#NAME?</v>
      </c>
      <c r="DR42" s="157" t="e">
        <f aca="false">IF(DJ42=0,0,SPRDOPT(DG42,DH42,$AD42,$AM42,DK42,DL42,DM42,$D42,$F$19,4)/100)</f>
        <v>#NAME?</v>
      </c>
      <c r="DS42" s="157" t="e">
        <f aca="false">IF(DK42=0,0,SPRDOPT(DG42,DH42,$AD42,$AM42,DK42,DL42,DM42,$D42,$F$19,5)/100)</f>
        <v>#NAME?</v>
      </c>
      <c r="DT42" s="157" t="e">
        <f aca="false">IF(DL42=0,0,SPRDOPT(DG42,DH42,$AD42,$AM42,DK42,DL42,DM42,$D42,$F$19,6)/100)</f>
        <v>#NAME?</v>
      </c>
      <c r="DU42" s="157" t="e">
        <f aca="false">IF(DM42=0,0,SPRDOPT(DG42,DH42,$AD42,$AM42,DK42,DL42,DM42,$D42,$F$19,7)/100)</f>
        <v>#NAME?</v>
      </c>
      <c r="DV42" s="157" t="e">
        <f aca="false">IF(DN42=0,0,SPRDOPT(DG42,DH42,$AD42,$AM42,DK42,DL42,DM42,$D42,$F$19,9)/365)</f>
        <v>#NAME?</v>
      </c>
      <c r="DW42" s="157" t="e">
        <f aca="false">DO42+DP42</f>
        <v>#NAME?</v>
      </c>
      <c r="DX42" s="157" t="e">
        <f aca="false">DR42-DQ42</f>
        <v>#NAME?</v>
      </c>
      <c r="DY42" s="157" t="e">
        <f aca="false">((DK42/DL42)*DS42)+DT42</f>
        <v>#NAME?</v>
      </c>
      <c r="DZ42" s="44"/>
      <c r="EA42" s="45" t="e">
        <f aca="false">DF42*DN42</f>
        <v>#NAME?</v>
      </c>
      <c r="EB42" s="45" t="e">
        <f aca="false">DF42*DO42</f>
        <v>#NAME?</v>
      </c>
      <c r="EC42" s="45" t="e">
        <f aca="false">DF42*DP42</f>
        <v>#NAME?</v>
      </c>
      <c r="ED42" s="45" t="e">
        <f aca="false">DF42*DQ42</f>
        <v>#NAME?</v>
      </c>
      <c r="EE42" s="45" t="e">
        <f aca="false">DF42*DR42</f>
        <v>#NAME?</v>
      </c>
      <c r="EF42" s="45" t="e">
        <f aca="false">DF42*DS42</f>
        <v>#NAME?</v>
      </c>
      <c r="EG42" s="45" t="e">
        <f aca="false">DF42*DT42</f>
        <v>#NAME?</v>
      </c>
      <c r="EH42" s="45" t="e">
        <f aca="false">DF42*DU42</f>
        <v>#NAME?</v>
      </c>
      <c r="EI42" s="45" t="e">
        <f aca="false">DF42*DV42</f>
        <v>#NAME?</v>
      </c>
      <c r="EJ42" s="45" t="e">
        <f aca="false">DF42*DW42</f>
        <v>#NAME?</v>
      </c>
      <c r="EK42" s="45" t="e">
        <f aca="false">DF42*DX42</f>
        <v>#NAME?</v>
      </c>
      <c r="EL42" s="45" t="e">
        <f aca="false">DF42*DY42</f>
        <v>#NAME?</v>
      </c>
      <c r="EN42" s="9" t="n">
        <f aca="false">IF($A42&gt;=EP$32,IF($A42&lt;=EP$33,$AN42,0),0)</f>
        <v>28</v>
      </c>
      <c r="EO42" s="123" t="n">
        <f aca="false">$B42+$AF42+$H$12</f>
        <v>7.8138</v>
      </c>
      <c r="EP42" s="123" t="n">
        <f aca="false">$B42+$AG42+$H$13</f>
        <v>5.1838</v>
      </c>
      <c r="EQ42" s="123" t="n">
        <f aca="false">EO42*EN42</f>
        <v>218.7864</v>
      </c>
      <c r="ER42" s="123" t="n">
        <f aca="false">EP42*EN42</f>
        <v>145.1464</v>
      </c>
      <c r="ES42" s="156" t="n">
        <f aca="false">($C42*$AH42)+$H$14</f>
        <v>0.77675</v>
      </c>
      <c r="ET42" s="156" t="n">
        <f aca="false">($C42*$AI42)+$H$15</f>
        <v>0.5975</v>
      </c>
      <c r="EU42" s="131" t="n">
        <f aca="false">$AJ42+$H$16</f>
        <v>0.74</v>
      </c>
      <c r="EV42" s="157" t="e">
        <f aca="false">IF(EN42=0,0,SPRDOPT(EO42,EP42,$AK42,$AM42,ES42,ET42,EU42,$D42,$H$19,0))</f>
        <v>#NAME?</v>
      </c>
      <c r="EW42" s="157" t="e">
        <f aca="false">IF(EO42=0,0,SPRDOPT(EO42,EP42,$AK42,$AM42,ES42,ET42,EU42,$D42,$H$19,1))</f>
        <v>#NAME?</v>
      </c>
      <c r="EX42" s="157" t="e">
        <f aca="false">IF(EP42=0,0,SPRDOPT(EO42,EP42,$AK42,$AM42,ES42,ET42,EU42,$D42,$H$19,2))</f>
        <v>#NAME?</v>
      </c>
      <c r="EY42" s="157" t="e">
        <f aca="false">IF(EQ42=0,0,SPRDOPT(EO42,EP42,$AK42,$AM42,ES42,ET42,EU42,$D42,$H$19,3)/100)</f>
        <v>#NAME?</v>
      </c>
      <c r="EZ42" s="157" t="e">
        <f aca="false">IF(ER42=0,0,SPRDOPT(EO42,EP42,$AK42,$AM42,ES42,ET42,EU42,$D42,$H$19,4)/100)</f>
        <v>#NAME?</v>
      </c>
      <c r="FA42" s="157" t="e">
        <f aca="false">IF(ES42=0,0,SPRDOPT(EO42,EP42,$AK42,$AM42,ES42,ET42,EU42,$D42,$H$19,5)/100)</f>
        <v>#NAME?</v>
      </c>
      <c r="FB42" s="157" t="e">
        <f aca="false">IF(ET42=0,0,SPRDOPT(EO42,EP42,$AK42,$AM42,ES42,ET42,EU42,$D42,$H$19,6)/100)</f>
        <v>#NAME?</v>
      </c>
      <c r="FC42" s="157" t="e">
        <f aca="false">IF(EU42=0,0,SPRDOPT(EO42,EP42,$AK42,$AM42,ES42,ET42,EU42,$D42,$H$19,7)/100)</f>
        <v>#NAME?</v>
      </c>
      <c r="FD42" s="157" t="e">
        <f aca="false">IF(EV42=0,0,SPRDOPT(EO42,EP42,$AK42,$AM42,ES42,ET42,EU42,$D42,$H$19,9)/365)</f>
        <v>#NAME?</v>
      </c>
      <c r="FE42" s="157" t="e">
        <f aca="false">EW42+EX42</f>
        <v>#NAME?</v>
      </c>
      <c r="FF42" s="157" t="e">
        <f aca="false">EZ42-EY42</f>
        <v>#NAME?</v>
      </c>
      <c r="FG42" s="157" t="e">
        <f aca="false">((ES42/ET42)*FA42)+FB42</f>
        <v>#NAME?</v>
      </c>
      <c r="FH42" s="44"/>
      <c r="FI42" s="45" t="e">
        <f aca="false">$EN42*EV42</f>
        <v>#NAME?</v>
      </c>
      <c r="FJ42" s="45" t="e">
        <f aca="false">$EN42*EW42</f>
        <v>#NAME?</v>
      </c>
      <c r="FK42" s="45" t="e">
        <f aca="false">$EN42*EX42</f>
        <v>#NAME?</v>
      </c>
      <c r="FL42" s="45" t="e">
        <f aca="false">$EN42*EY42</f>
        <v>#NAME?</v>
      </c>
      <c r="FM42" s="45" t="e">
        <f aca="false">$EN42*EZ42</f>
        <v>#NAME?</v>
      </c>
      <c r="FN42" s="45" t="e">
        <f aca="false">$EN42*FA42</f>
        <v>#NAME?</v>
      </c>
      <c r="FO42" s="45" t="e">
        <f aca="false">$EN42*FB42</f>
        <v>#NAME?</v>
      </c>
      <c r="FP42" s="45" t="e">
        <f aca="false">$EN42*FC42</f>
        <v>#NAME?</v>
      </c>
      <c r="FQ42" s="45" t="e">
        <f aca="false">$EN42*FD42</f>
        <v>#NAME?</v>
      </c>
      <c r="FR42" s="45" t="e">
        <f aca="false">$EN42*FE42</f>
        <v>#NAME?</v>
      </c>
      <c r="FS42" s="45" t="e">
        <f aca="false">$EN42*FF42</f>
        <v>#NAME?</v>
      </c>
      <c r="FT42" s="45" t="e">
        <f aca="false">$EN42*FG42</f>
        <v>#NAME?</v>
      </c>
    </row>
    <row r="43" customFormat="false" ht="12.75" hidden="false" customHeight="false" outlineLevel="0" collapsed="false">
      <c r="A43" s="48" t="n">
        <f aca="false">DATE(YEAR(A42),MONTH(A42)+1,1)</f>
        <v>36951</v>
      </c>
      <c r="B43" s="40" t="n">
        <f aca="false">VLOOKUP(A43,STRADDLE,5,FALSE())</f>
        <v>4.8868</v>
      </c>
      <c r="C43" s="4" t="n">
        <f aca="false">VLOOKUP(A43,STRADDLE,8,FALSE())</f>
        <v>0.5375</v>
      </c>
      <c r="D43" s="136" t="n">
        <f aca="false">VLOOKUP(A43,expiration,2,FALSE())-$B$2</f>
        <v>-8978</v>
      </c>
      <c r="E43" s="131" t="e">
        <f aca="false">AY43</f>
        <v>#NAME?</v>
      </c>
      <c r="F43" s="131" t="e">
        <f aca="false">CG43</f>
        <v>#NAME?</v>
      </c>
      <c r="G43" s="131" t="e">
        <f aca="false">DO43</f>
        <v>#NAME?</v>
      </c>
      <c r="H43" s="131" t="e">
        <f aca="false">EW43</f>
        <v>#NAME?</v>
      </c>
      <c r="I43" s="41"/>
      <c r="J43" s="154"/>
      <c r="K43" s="40" t="n">
        <f aca="false">IF($B$3="NYMEX",0,VLOOKUP($A43,curvesettle,HLOOKUP($B$3,curvesettle,2,FALSE()),FALSE()))</f>
        <v>1.34</v>
      </c>
      <c r="L43" s="40" t="n">
        <f aca="false">IF($B$4="NYMEX",0,VLOOKUP($A43,curvesettle,HLOOKUP($B$4,curvesettle,2,FALSE()),FALSE()))</f>
        <v>0</v>
      </c>
      <c r="M43" s="131" t="n">
        <f aca="false">IF(ISNUMBER(VLOOKUP($A43,VOLCURVES,HLOOKUP($B$3,VOLCURVES,2,FALSE()),FALSE())),VLOOKUP($A43,VOLCURVES,HLOOKUP($B$3,VOLCURVES,2,FALSE()),FALSE()),1)</f>
        <v>1.2</v>
      </c>
      <c r="N43" s="131" t="n">
        <f aca="false">IF(ISNUMBER(VLOOKUP($A43,VOLCURVES,HLOOKUP($B$4,VOLCURVES,2,FALSE()),FALSE())),VLOOKUP($A43,VOLCURVES,HLOOKUP($B$4,VOLCURVES,2,FALSE()),FALSE()),1)</f>
        <v>1</v>
      </c>
      <c r="O43" s="131" t="n">
        <f aca="false">IF(ISNUMBER(VLOOKUP($A43,CORETABLE,HLOOKUP($B$3,CORETABLE,2,FALSE()),FALSE())),VLOOKUP($A43,CORETABLE,HLOOKUP($B$3,CORETABLE,2,FALSE()),FALSE()),0.99)</f>
        <v>0.8</v>
      </c>
      <c r="P43" s="155" t="n">
        <f aca="false">B$18</f>
        <v>2</v>
      </c>
      <c r="Q43" s="131"/>
      <c r="R43" s="40" t="n">
        <f aca="false">IF($D$3="NYMEX",0,VLOOKUP($A43,curvesettle,HLOOKUP($D$3,curvesettle,2,FALSE()),FALSE()))</f>
        <v>0.1875</v>
      </c>
      <c r="S43" s="40" t="n">
        <f aca="false">IF($D$4="NYMEX",0,VLOOKUP($A43,curvesettle,HLOOKUP($D$4,curvesettle,2,FALSE()),FALSE()))</f>
        <v>0</v>
      </c>
      <c r="T43" s="131" t="n">
        <f aca="false">IF(ISNUMBER(VLOOKUP($A43,VOLCURVES,HLOOKUP($D$3,VOLCURVES,2,FALSE()),FALSE())),VLOOKUP($A43,VOLCURVES,HLOOKUP($D$3,VOLCURVES,2,FALSE()),FALSE()),1)</f>
        <v>1</v>
      </c>
      <c r="U43" s="131" t="n">
        <f aca="false">IF(ISNUMBER(VLOOKUP($A43,VOLCURVES,HLOOKUP($D$4,VOLCURVES,2,FALSE()),FALSE())),VLOOKUP($A43,VOLCURVES,HLOOKUP($D$4,VOLCURVES,2,FALSE()),FALSE()),1)</f>
        <v>1</v>
      </c>
      <c r="V43" s="131" t="n">
        <f aca="false">IF(ISNUMBER(VLOOKUP($A43,CORETABLE,HLOOKUP($D$3,CORETABLE,2,FALSE()),FALSE())),VLOOKUP($A43,CORETABLE,HLOOKUP($D$3,CORETABLE,2,FALSE()),FALSE()),0.99)</f>
        <v>0.9985</v>
      </c>
      <c r="W43" s="155" t="n">
        <f aca="false">D$18</f>
        <v>0.2</v>
      </c>
      <c r="X43" s="131"/>
      <c r="Y43" s="40" t="n">
        <f aca="false">IF($F$3="NYMEX",0,VLOOKUP($A43,curvesettle,HLOOKUP($F$3,curvesettle,2,FALSE()),FALSE()))</f>
        <v>1.34</v>
      </c>
      <c r="Z43" s="40" t="n">
        <f aca="false">IF($F$4="NYMEX",0,VLOOKUP($A43,curvesettle,HLOOKUP($F$4,curvesettle,2,FALSE()),FALSE()))</f>
        <v>0</v>
      </c>
      <c r="AA43" s="131" t="n">
        <f aca="false">IF(ISNUMBER(VLOOKUP($A43,VOLCURVES,HLOOKUP($F$3,VOLCURVES,2,FALSE()),FALSE())),VLOOKUP($A43,VOLCURVES,HLOOKUP($F$3,VOLCURVES,2,FALSE()),FALSE()),1)</f>
        <v>1.2</v>
      </c>
      <c r="AB43" s="131" t="n">
        <f aca="false">IF(ISNUMBER(VLOOKUP($A43,VOLCURVES,HLOOKUP($F$4,VOLCURVES,2,FALSE()),FALSE())),VLOOKUP($A43,VOLCURVES,HLOOKUP($F$4,VOLCURVES,2,FALSE()),FALSE()),1)</f>
        <v>1</v>
      </c>
      <c r="AC43" s="131" t="n">
        <f aca="false">IF(ISNUMBER(VLOOKUP($A43,CORETABLE,HLOOKUP($F$3,CORETABLE,2,FALSE()),FALSE())),VLOOKUP($A43,CORETABLE,HLOOKUP($F$3,CORETABLE,2,FALSE()),FALSE()),1)</f>
        <v>0.8</v>
      </c>
      <c r="AD43" s="155" t="n">
        <f aca="false">F$18</f>
        <v>1.85</v>
      </c>
      <c r="AE43" s="131"/>
      <c r="AF43" s="40" t="n">
        <f aca="false">IF($H$3="NYMEX",0,VLOOKUP($A43,curvesettle,HLOOKUP($H$3,curvesettle,2,FALSE()),FALSE()))</f>
        <v>1.34</v>
      </c>
      <c r="AG43" s="40" t="n">
        <f aca="false">IF($H$4="NYMEX",0,VLOOKUP($A43,curvesettle,HLOOKUP($H$4,curvesettle,2,FALSE()),FALSE()))</f>
        <v>0</v>
      </c>
      <c r="AH43" s="131" t="n">
        <f aca="false">IF(ISNUMBER(VLOOKUP($A43,VOLCURVES,HLOOKUP($H$3,VOLCURVES,2,FALSE()),FALSE())),VLOOKUP($A43,VOLCURVES,HLOOKUP($H$3,VOLCURVES,2,FALSE()),FALSE()),1)</f>
        <v>1.2</v>
      </c>
      <c r="AI43" s="131" t="n">
        <f aca="false">IF(ISNUMBER(VLOOKUP($A43,VOLCURVES,HLOOKUP($H$4,VOLCURVES,2,FALSE()),FALSE())),VLOOKUP($A43,VOLCURVES,HLOOKUP($H$4,VOLCURVES,2,FALSE()),FALSE()),1)</f>
        <v>1</v>
      </c>
      <c r="AJ43" s="131" t="n">
        <f aca="false">IF(ISNUMBER(VLOOKUP($A43,CORETABLE,HLOOKUP($H$3,CORETABLE,2,FALSE()),FALSE())),VLOOKUP($A43,CORETABLE,HLOOKUP($H$3,CORETABLE,2,FALSE()),FALSE()),1)</f>
        <v>0.8</v>
      </c>
      <c r="AK43" s="155" t="n">
        <f aca="false">H$18</f>
        <v>1.85</v>
      </c>
      <c r="AM43" s="4" t="n">
        <f aca="false">VLOOKUP($A43,STRADDLE,12,FALSE())</f>
        <v>0.068276029462339</v>
      </c>
      <c r="AN43" s="43" t="n">
        <f aca="false">A44-A43</f>
        <v>31</v>
      </c>
      <c r="AP43" s="9" t="n">
        <f aca="false">IF($A43&gt;=AR$32,IF($A43&lt;=AR$33,$AN43,0),0)</f>
        <v>31</v>
      </c>
      <c r="AQ43" s="123" t="n">
        <f aca="false">$B43+$K43+$B$12</f>
        <v>6.2568</v>
      </c>
      <c r="AR43" s="123" t="n">
        <f aca="false">$B43+$L43+$B$13</f>
        <v>4.8868</v>
      </c>
      <c r="AS43" s="123" t="n">
        <f aca="false">AQ43*AP43</f>
        <v>193.9608</v>
      </c>
      <c r="AT43" s="123" t="n">
        <f aca="false">AR43*AP43</f>
        <v>151.4908</v>
      </c>
      <c r="AU43" s="156" t="n">
        <f aca="false">($C43*$M43)+$B$14</f>
        <v>0.645</v>
      </c>
      <c r="AV43" s="156" t="n">
        <f aca="false">($C43*$N43)+$B$15</f>
        <v>0.5375</v>
      </c>
      <c r="AW43" s="131" t="n">
        <f aca="false">O43+B$16</f>
        <v>0.8</v>
      </c>
      <c r="AX43" s="157" t="e">
        <f aca="false">IF(AP43=0,0,SPRDOPT(AQ43,AR43,$P43,$AM43,AU43,AV43,AW43,$D43,$B$19,0))</f>
        <v>#NAME?</v>
      </c>
      <c r="AY43" s="157" t="e">
        <f aca="false">IF(AQ43=0,0,SPRDOPT(AQ43,AR43,$P43,$AM43,AU43,AV43,AW43,$D43,$B$19,1))</f>
        <v>#NAME?</v>
      </c>
      <c r="AZ43" s="157" t="e">
        <f aca="false">IF(AR43=0,0,SPRDOPT(AQ43,AR43,$P43,$AM43,AU43,AV43,AW43,$D43,$B$19,2))</f>
        <v>#NAME?</v>
      </c>
      <c r="BA43" s="157" t="e">
        <f aca="false">IF(AS43=0,0,SPRDOPT(AQ43,AR43,$P43,$AM43,AU43,AV43,AW43,$D43,$B$19,3)/100)</f>
        <v>#NAME?</v>
      </c>
      <c r="BB43" s="157" t="e">
        <f aca="false">IF(AT43=0,0,SPRDOPT(AQ43,AR43,$P43,$AM43,AU43,AV43,AW43,$D43,$B$19,4)/100)</f>
        <v>#NAME?</v>
      </c>
      <c r="BC43" s="157" t="e">
        <f aca="false">IF(AU43=0,0,SPRDOPT(AQ43,AR43,$P43,$AM43,AU43,AV43,AW43,$D43,$B$19,5)/100)</f>
        <v>#NAME?</v>
      </c>
      <c r="BD43" s="157" t="e">
        <f aca="false">IF(AV43=0,0,SPRDOPT(AQ43,AR43,$P43,$AM43,AU43,AV43,AW43,$D43,$B$19,6)/100)</f>
        <v>#NAME?</v>
      </c>
      <c r="BE43" s="157" t="e">
        <f aca="false">IF(AW43=0,0,SPRDOPT(AQ43,AR43,$P43,$AM43,AU43,AV43,AW43,$D43,$B$19,7)/100)</f>
        <v>#NAME?</v>
      </c>
      <c r="BF43" s="157" t="e">
        <f aca="false">IF(AX43=0,0,SPRDOPT(AQ43,AR43,$P43,$AM43,AU43,AV43,AW43,$D43,$B$19,9)/365)</f>
        <v>#NAME?</v>
      </c>
      <c r="BG43" s="157" t="e">
        <f aca="false">AY43+AZ43</f>
        <v>#NAME?</v>
      </c>
      <c r="BH43" s="157" t="e">
        <f aca="false">BB43-BA43</f>
        <v>#NAME?</v>
      </c>
      <c r="BI43" s="157" t="e">
        <f aca="false">((AU43/AV43)*BC43)+BD43</f>
        <v>#NAME?</v>
      </c>
      <c r="BJ43" s="44"/>
      <c r="BK43" s="45" t="e">
        <f aca="false">$AP43*AX43</f>
        <v>#NAME?</v>
      </c>
      <c r="BL43" s="45" t="e">
        <f aca="false">$AP43*AY43</f>
        <v>#NAME?</v>
      </c>
      <c r="BM43" s="45" t="e">
        <f aca="false">$AP43*AZ43</f>
        <v>#NAME?</v>
      </c>
      <c r="BN43" s="45" t="e">
        <f aca="false">$AP43*BA43</f>
        <v>#NAME?</v>
      </c>
      <c r="BO43" s="45" t="e">
        <f aca="false">$AP43*BB43</f>
        <v>#NAME?</v>
      </c>
      <c r="BP43" s="45" t="e">
        <f aca="false">$AP43*BC43</f>
        <v>#NAME?</v>
      </c>
      <c r="BQ43" s="45" t="e">
        <f aca="false">$AP43*BD43</f>
        <v>#NAME?</v>
      </c>
      <c r="BR43" s="45" t="e">
        <f aca="false">$AP43*BE43</f>
        <v>#NAME?</v>
      </c>
      <c r="BS43" s="45" t="e">
        <f aca="false">$AP43*BF43</f>
        <v>#NAME?</v>
      </c>
      <c r="BT43" s="45" t="e">
        <f aca="false">$AP43*BG43</f>
        <v>#NAME?</v>
      </c>
      <c r="BU43" s="45" t="e">
        <f aca="false">$AP43*BH43</f>
        <v>#NAME?</v>
      </c>
      <c r="BV43" s="45" t="e">
        <f aca="false">$AP43*BI43</f>
        <v>#NAME?</v>
      </c>
      <c r="BX43" s="9" t="n">
        <f aca="false">IF($A43&gt;=BZ$32,IF($A43&lt;=BZ$33,$AN43,0),0)</f>
        <v>31</v>
      </c>
      <c r="BY43" s="123" t="n">
        <f aca="false">$B43+$R43+$D$12</f>
        <v>5.0743</v>
      </c>
      <c r="BZ43" s="123" t="n">
        <f aca="false">$B43+$S43+$D$13</f>
        <v>4.8868</v>
      </c>
      <c r="CA43" s="123" t="n">
        <f aca="false">BY43*BX43</f>
        <v>157.3033</v>
      </c>
      <c r="CB43" s="123" t="n">
        <f aca="false">BZ43*BX43</f>
        <v>151.4908</v>
      </c>
      <c r="CC43" s="156" t="n">
        <f aca="false">($C43*$T43)+$D$14</f>
        <v>0.5375</v>
      </c>
      <c r="CD43" s="156" t="n">
        <f aca="false">($C43*$U43)+$D$15</f>
        <v>0.5375</v>
      </c>
      <c r="CE43" s="131" t="n">
        <f aca="false">$V43+D$16</f>
        <v>0.9985</v>
      </c>
      <c r="CF43" s="157" t="e">
        <f aca="false">IF(BX43=0,0,SPRDOPT(BY43,BZ43,$W43,$AM43,CC43,CD43,CE43,$D43,$D$19,0))</f>
        <v>#NAME?</v>
      </c>
      <c r="CG43" s="157" t="e">
        <f aca="false">IF(BY43=0,0,SPRDOPT(BY43,BZ43,$W43,$AM43,CC43,CD43,CE43,$D43,$D$19,1))</f>
        <v>#NAME?</v>
      </c>
      <c r="CH43" s="157" t="e">
        <f aca="false">IF(BZ43=0,0,SPRDOPT(BY43,BZ43,$W43,$AM43,CC43,CD43,CE43,$D43,$D$19,2))</f>
        <v>#NAME?</v>
      </c>
      <c r="CI43" s="157" t="e">
        <f aca="false">IF(CA43=0,0,SPRDOPT(BY43,BZ43,$W43,$AM43,CC43,CD43,CE43,$D43,$D$19,3)/100)</f>
        <v>#NAME?</v>
      </c>
      <c r="CJ43" s="157" t="e">
        <f aca="false">IF(CB43=0,0,SPRDOPT(BY43,BZ43,$W43,$AM43,CC43,CD43,CE43,$D43,$D$19,4)/100)</f>
        <v>#NAME?</v>
      </c>
      <c r="CK43" s="157" t="e">
        <f aca="false">IF(CC43=0,0,SPRDOPT(BY43,BZ43,$W43,$AM43,CC43,CD43,CE43,$D43,$D$19,5)/100)</f>
        <v>#NAME?</v>
      </c>
      <c r="CL43" s="157" t="e">
        <f aca="false">IF(CD43=0,0,SPRDOPT(BY43,BZ43,$W43,$AM43,CC43,CD43,CE43,$D43,$D$19,6)/100)</f>
        <v>#NAME?</v>
      </c>
      <c r="CM43" s="157" t="e">
        <f aca="false">IF(CE43=0,0,SPRDOPT(BY43,BZ43,$W43,$AM43,CC43,CD43,CE43,$D43,$D$19,7)/100)</f>
        <v>#NAME?</v>
      </c>
      <c r="CN43" s="157" t="e">
        <f aca="false">IF(CF43=0,0,SPRDOPT(BY43,BZ43,$W43,$AM43,CC43,CD43,CE43,$D43,$D$19,9)/365)</f>
        <v>#NAME?</v>
      </c>
      <c r="CO43" s="157" t="e">
        <f aca="false">CG43+CH43</f>
        <v>#NAME?</v>
      </c>
      <c r="CP43" s="157" t="e">
        <f aca="false">CJ43-CI43</f>
        <v>#NAME?</v>
      </c>
      <c r="CQ43" s="157" t="e">
        <f aca="false">((CC43/CD43)*CK43)+CL43</f>
        <v>#NAME?</v>
      </c>
      <c r="CR43" s="44"/>
      <c r="CS43" s="45" t="e">
        <f aca="false">BX43*CF43</f>
        <v>#NAME?</v>
      </c>
      <c r="CT43" s="45" t="e">
        <f aca="false">BX43*CG43</f>
        <v>#NAME?</v>
      </c>
      <c r="CU43" s="45" t="e">
        <f aca="false">BX43*CH43</f>
        <v>#NAME?</v>
      </c>
      <c r="CV43" s="45" t="e">
        <f aca="false">BX43*CI43</f>
        <v>#NAME?</v>
      </c>
      <c r="CW43" s="45" t="e">
        <f aca="false">BX43*CJ43</f>
        <v>#NAME?</v>
      </c>
      <c r="CX43" s="45" t="e">
        <f aca="false">BX43*CK43</f>
        <v>#NAME?</v>
      </c>
      <c r="CY43" s="45" t="e">
        <f aca="false">BX43*CL43</f>
        <v>#NAME?</v>
      </c>
      <c r="CZ43" s="45" t="e">
        <f aca="false">BX43*CM43</f>
        <v>#NAME?</v>
      </c>
      <c r="DA43" s="45" t="e">
        <f aca="false">BX43*CN43</f>
        <v>#NAME?</v>
      </c>
      <c r="DB43" s="45" t="e">
        <f aca="false">BX43*CO43</f>
        <v>#NAME?</v>
      </c>
      <c r="DC43" s="45" t="e">
        <f aca="false">BX43*CP43</f>
        <v>#NAME?</v>
      </c>
      <c r="DD43" s="45" t="e">
        <f aca="false">BX43*CQ43</f>
        <v>#NAME?</v>
      </c>
      <c r="DF43" s="9" t="n">
        <f aca="false">IF($A43&gt;=DH$32,IF($A43&lt;=DH$33,$AN43,0),0)</f>
        <v>31</v>
      </c>
      <c r="DG43" s="123" t="n">
        <f aca="false">$B43+$Y43+$F$12</f>
        <v>6.2568</v>
      </c>
      <c r="DH43" s="123" t="n">
        <f aca="false">$B43+$Z43+$F$13</f>
        <v>4.8868</v>
      </c>
      <c r="DI43" s="123" t="n">
        <f aca="false">DG43*DF43</f>
        <v>193.9608</v>
      </c>
      <c r="DJ43" s="123" t="n">
        <f aca="false">DH43*DF43</f>
        <v>151.4908</v>
      </c>
      <c r="DK43" s="156" t="n">
        <f aca="false">($C43*$AA43)+$F$14</f>
        <v>0.645</v>
      </c>
      <c r="DL43" s="156" t="n">
        <f aca="false">($C43*$AB43)+$F$15</f>
        <v>0.5375</v>
      </c>
      <c r="DM43" s="131" t="n">
        <f aca="false">$AC43+$F$16</f>
        <v>0.8</v>
      </c>
      <c r="DN43" s="157" t="e">
        <f aca="false">IF(DF43=0,0,SPRDOPT(DG43,DH43,$AD43,$AM43,DK43,DL43,DM43,$D43,$F$19,0))</f>
        <v>#NAME?</v>
      </c>
      <c r="DO43" s="157" t="e">
        <f aca="false">IF(DG43=0,0,SPRDOPT(DG43,DH43,$AD43,$AM43,DK43,DL43,DM43,$D43,$F$19,1))</f>
        <v>#NAME?</v>
      </c>
      <c r="DP43" s="157" t="e">
        <f aca="false">IF(DH43=0,0,SPRDOPT(DG43,DH43,$AD43,$AM43,DK43,DL43,DM43,$D43,$F$19,2))</f>
        <v>#NAME?</v>
      </c>
      <c r="DQ43" s="157" t="e">
        <f aca="false">IF(DI43=0,0,SPRDOPT(DG43,DH43,$AD43,$AM43,DK43,DL43,DM43,$D43,$F$19,3)/100)</f>
        <v>#NAME?</v>
      </c>
      <c r="DR43" s="157" t="e">
        <f aca="false">IF(DJ43=0,0,SPRDOPT(DG43,DH43,$AD43,$AM43,DK43,DL43,DM43,$D43,$F$19,4)/100)</f>
        <v>#NAME?</v>
      </c>
      <c r="DS43" s="157" t="e">
        <f aca="false">IF(DK43=0,0,SPRDOPT(DG43,DH43,$AD43,$AM43,DK43,DL43,DM43,$D43,$F$19,5)/100)</f>
        <v>#NAME?</v>
      </c>
      <c r="DT43" s="157" t="e">
        <f aca="false">IF(DL43=0,0,SPRDOPT(DG43,DH43,$AD43,$AM43,DK43,DL43,DM43,$D43,$F$19,6)/100)</f>
        <v>#NAME?</v>
      </c>
      <c r="DU43" s="157" t="e">
        <f aca="false">IF(DM43=0,0,SPRDOPT(DG43,DH43,$AD43,$AM43,DK43,DL43,DM43,$D43,$F$19,7)/100)</f>
        <v>#NAME?</v>
      </c>
      <c r="DV43" s="157" t="e">
        <f aca="false">IF(DN43=0,0,SPRDOPT(DG43,DH43,$AD43,$AM43,DK43,DL43,DM43,$D43,$F$19,9)/365)</f>
        <v>#NAME?</v>
      </c>
      <c r="DW43" s="157" t="e">
        <f aca="false">DO43+DP43</f>
        <v>#NAME?</v>
      </c>
      <c r="DX43" s="157" t="e">
        <f aca="false">DR43-DQ43</f>
        <v>#NAME?</v>
      </c>
      <c r="DY43" s="157" t="e">
        <f aca="false">((DK43/DL43)*DS43)+DT43</f>
        <v>#NAME?</v>
      </c>
      <c r="DZ43" s="44"/>
      <c r="EA43" s="45" t="e">
        <f aca="false">DF43*DN43</f>
        <v>#NAME?</v>
      </c>
      <c r="EB43" s="45" t="e">
        <f aca="false">DF43*DO43</f>
        <v>#NAME?</v>
      </c>
      <c r="EC43" s="45" t="e">
        <f aca="false">DF43*DP43</f>
        <v>#NAME?</v>
      </c>
      <c r="ED43" s="45" t="e">
        <f aca="false">DF43*DQ43</f>
        <v>#NAME?</v>
      </c>
      <c r="EE43" s="45" t="e">
        <f aca="false">DF43*DR43</f>
        <v>#NAME?</v>
      </c>
      <c r="EF43" s="45" t="e">
        <f aca="false">DF43*DS43</f>
        <v>#NAME?</v>
      </c>
      <c r="EG43" s="45" t="e">
        <f aca="false">DF43*DT43</f>
        <v>#NAME?</v>
      </c>
      <c r="EH43" s="45" t="e">
        <f aca="false">DF43*DU43</f>
        <v>#NAME?</v>
      </c>
      <c r="EI43" s="45" t="e">
        <f aca="false">DF43*DV43</f>
        <v>#NAME?</v>
      </c>
      <c r="EJ43" s="45" t="e">
        <f aca="false">DF43*DW43</f>
        <v>#NAME?</v>
      </c>
      <c r="EK43" s="45" t="e">
        <f aca="false">DF43*DX43</f>
        <v>#NAME?</v>
      </c>
      <c r="EL43" s="45" t="e">
        <f aca="false">DF43*DY43</f>
        <v>#NAME?</v>
      </c>
      <c r="EN43" s="9" t="n">
        <f aca="false">IF($A43&gt;=EP$32,IF($A43&lt;=EP$33,$AN43,0),0)</f>
        <v>31</v>
      </c>
      <c r="EO43" s="123" t="n">
        <f aca="false">$B43+$AF43+$H$12</f>
        <v>6.2568</v>
      </c>
      <c r="EP43" s="123" t="n">
        <f aca="false">$B43+$AG43+$H$13</f>
        <v>4.8868</v>
      </c>
      <c r="EQ43" s="123" t="n">
        <f aca="false">EO43*EN43</f>
        <v>193.9608</v>
      </c>
      <c r="ER43" s="123" t="n">
        <f aca="false">EP43*EN43</f>
        <v>151.4908</v>
      </c>
      <c r="ES43" s="156" t="n">
        <f aca="false">($C43*$AH43)+$H$14</f>
        <v>0.645</v>
      </c>
      <c r="ET43" s="156" t="n">
        <f aca="false">($C43*$AI43)+$H$15</f>
        <v>0.5375</v>
      </c>
      <c r="EU43" s="131" t="n">
        <f aca="false">$AJ43+$H$16</f>
        <v>0.8</v>
      </c>
      <c r="EV43" s="157" t="e">
        <f aca="false">IF(EN43=0,0,SPRDOPT(EO43,EP43,$AK43,$AM43,ES43,ET43,EU43,$D43,$H$19,0))</f>
        <v>#NAME?</v>
      </c>
      <c r="EW43" s="157" t="e">
        <f aca="false">IF(EO43=0,0,SPRDOPT(EO43,EP43,$AK43,$AM43,ES43,ET43,EU43,$D43,$H$19,1))</f>
        <v>#NAME?</v>
      </c>
      <c r="EX43" s="157" t="e">
        <f aca="false">IF(EP43=0,0,SPRDOPT(EO43,EP43,$AK43,$AM43,ES43,ET43,EU43,$D43,$H$19,2))</f>
        <v>#NAME?</v>
      </c>
      <c r="EY43" s="157" t="e">
        <f aca="false">IF(EQ43=0,0,SPRDOPT(EO43,EP43,$AK43,$AM43,ES43,ET43,EU43,$D43,$H$19,3)/100)</f>
        <v>#NAME?</v>
      </c>
      <c r="EZ43" s="157" t="e">
        <f aca="false">IF(ER43=0,0,SPRDOPT(EO43,EP43,$AK43,$AM43,ES43,ET43,EU43,$D43,$H$19,4)/100)</f>
        <v>#NAME?</v>
      </c>
      <c r="FA43" s="157" t="e">
        <f aca="false">IF(ES43=0,0,SPRDOPT(EO43,EP43,$AK43,$AM43,ES43,ET43,EU43,$D43,$H$19,5)/100)</f>
        <v>#NAME?</v>
      </c>
      <c r="FB43" s="157" t="e">
        <f aca="false">IF(ET43=0,0,SPRDOPT(EO43,EP43,$AK43,$AM43,ES43,ET43,EU43,$D43,$H$19,6)/100)</f>
        <v>#NAME?</v>
      </c>
      <c r="FC43" s="157" t="e">
        <f aca="false">IF(EU43=0,0,SPRDOPT(EO43,EP43,$AK43,$AM43,ES43,ET43,EU43,$D43,$H$19,7)/100)</f>
        <v>#NAME?</v>
      </c>
      <c r="FD43" s="157" t="e">
        <f aca="false">IF(EV43=0,0,SPRDOPT(EO43,EP43,$AK43,$AM43,ES43,ET43,EU43,$D43,$H$19,9)/365)</f>
        <v>#NAME?</v>
      </c>
      <c r="FE43" s="157" t="e">
        <f aca="false">EW43+EX43</f>
        <v>#NAME?</v>
      </c>
      <c r="FF43" s="157" t="e">
        <f aca="false">EZ43-EY43</f>
        <v>#NAME?</v>
      </c>
      <c r="FG43" s="157" t="e">
        <f aca="false">((ES43/ET43)*FA43)+FB43</f>
        <v>#NAME?</v>
      </c>
      <c r="FH43" s="44"/>
      <c r="FI43" s="45" t="e">
        <f aca="false">$EN43*EV43</f>
        <v>#NAME?</v>
      </c>
      <c r="FJ43" s="45" t="e">
        <f aca="false">$EN43*EW43</f>
        <v>#NAME?</v>
      </c>
      <c r="FK43" s="45" t="e">
        <f aca="false">$EN43*EX43</f>
        <v>#NAME?</v>
      </c>
      <c r="FL43" s="45" t="e">
        <f aca="false">$EN43*EY43</f>
        <v>#NAME?</v>
      </c>
      <c r="FM43" s="45" t="e">
        <f aca="false">$EN43*EZ43</f>
        <v>#NAME?</v>
      </c>
      <c r="FN43" s="45" t="e">
        <f aca="false">$EN43*FA43</f>
        <v>#NAME?</v>
      </c>
      <c r="FO43" s="45" t="e">
        <f aca="false">$EN43*FB43</f>
        <v>#NAME?</v>
      </c>
      <c r="FP43" s="45" t="e">
        <f aca="false">$EN43*FC43</f>
        <v>#NAME?</v>
      </c>
      <c r="FQ43" s="45" t="e">
        <f aca="false">$EN43*FD43</f>
        <v>#NAME?</v>
      </c>
      <c r="FR43" s="45" t="e">
        <f aca="false">$EN43*FE43</f>
        <v>#NAME?</v>
      </c>
      <c r="FS43" s="45" t="e">
        <f aca="false">$EN43*FF43</f>
        <v>#NAME?</v>
      </c>
      <c r="FT43" s="45" t="e">
        <f aca="false">$EN43*FG43</f>
        <v>#NAME?</v>
      </c>
    </row>
    <row r="44" customFormat="false" ht="12.75" hidden="false" customHeight="false" outlineLevel="0" collapsed="false">
      <c r="A44" s="48" t="n">
        <f aca="false">DATE(YEAR(A43),MONTH(A43)+1,1)</f>
        <v>36982</v>
      </c>
      <c r="B44" s="40" t="n">
        <f aca="false">VLOOKUP(A44,STRADDLE,5,FALSE())</f>
        <v>4.57071428571429</v>
      </c>
      <c r="C44" s="4" t="n">
        <f aca="false">VLOOKUP(A44,STRADDLE,8,FALSE())</f>
        <v>0.435</v>
      </c>
      <c r="D44" s="136" t="n">
        <f aca="false">VLOOKUP(A44,expiration,2,FALSE())-$B$2</f>
        <v>-8948</v>
      </c>
      <c r="E44" s="131" t="e">
        <f aca="false">AY44</f>
        <v>#NAME?</v>
      </c>
      <c r="F44" s="131" t="e">
        <f aca="false">CG44</f>
        <v>#NAME?</v>
      </c>
      <c r="G44" s="131" t="e">
        <f aca="false">DO44</f>
        <v>#NAME?</v>
      </c>
      <c r="H44" s="131" t="e">
        <f aca="false">EW44</f>
        <v>#NAME?</v>
      </c>
      <c r="I44" s="41"/>
      <c r="J44" s="154"/>
      <c r="K44" s="40" t="n">
        <f aca="false">IF($B$3="NYMEX",0,VLOOKUP($A44,curvesettle,HLOOKUP($B$3,curvesettle,2,FALSE()),FALSE()))</f>
        <v>0.52</v>
      </c>
      <c r="L44" s="40" t="n">
        <f aca="false">IF($B$4="NYMEX",0,VLOOKUP($A44,curvesettle,HLOOKUP($B$4,curvesettle,2,FALSE()),FALSE()))</f>
        <v>0</v>
      </c>
      <c r="M44" s="131" t="n">
        <f aca="false">IF(ISNUMBER(VLOOKUP($A44,VOLCURVES,HLOOKUP($B$3,VOLCURVES,2,FALSE()),FALSE())),VLOOKUP($A44,VOLCURVES,HLOOKUP($B$3,VOLCURVES,2,FALSE()),FALSE()),1)</f>
        <v>0.98</v>
      </c>
      <c r="N44" s="131" t="n">
        <f aca="false">IF(ISNUMBER(VLOOKUP($A44,VOLCURVES,HLOOKUP($B$4,VOLCURVES,2,FALSE()),FALSE())),VLOOKUP($A44,VOLCURVES,HLOOKUP($B$4,VOLCURVES,2,FALSE()),FALSE()),1)</f>
        <v>1</v>
      </c>
      <c r="O44" s="131" t="n">
        <f aca="false">IF(ISNUMBER(VLOOKUP($A44,CORETABLE,HLOOKUP($B$3,CORETABLE,2,FALSE()),FALSE())),VLOOKUP($A44,CORETABLE,HLOOKUP($B$3,CORETABLE,2,FALSE()),FALSE()),0.99)</f>
        <v>0.9773</v>
      </c>
      <c r="P44" s="155" t="n">
        <f aca="false">B$18</f>
        <v>2</v>
      </c>
      <c r="Q44" s="131"/>
      <c r="R44" s="40" t="n">
        <f aca="false">IF($D$3="NYMEX",0,VLOOKUP($A44,curvesettle,HLOOKUP($D$3,curvesettle,2,FALSE()),FALSE()))</f>
        <v>0.0725</v>
      </c>
      <c r="S44" s="40" t="n">
        <f aca="false">IF($D$4="NYMEX",0,VLOOKUP($A44,curvesettle,HLOOKUP($D$4,curvesettle,2,FALSE()),FALSE()))</f>
        <v>0</v>
      </c>
      <c r="T44" s="131" t="n">
        <f aca="false">IF(ISNUMBER(VLOOKUP($A44,VOLCURVES,HLOOKUP($D$3,VOLCURVES,2,FALSE()),FALSE())),VLOOKUP($A44,VOLCURVES,HLOOKUP($D$3,VOLCURVES,2,FALSE()),FALSE()),1)</f>
        <v>1</v>
      </c>
      <c r="U44" s="131" t="n">
        <f aca="false">IF(ISNUMBER(VLOOKUP($A44,VOLCURVES,HLOOKUP($D$4,VOLCURVES,2,FALSE()),FALSE())),VLOOKUP($A44,VOLCURVES,HLOOKUP($D$4,VOLCURVES,2,FALSE()),FALSE()),1)</f>
        <v>1</v>
      </c>
      <c r="V44" s="131" t="n">
        <f aca="false">IF(ISNUMBER(VLOOKUP($A44,CORETABLE,HLOOKUP($D$3,CORETABLE,2,FALSE()),FALSE())),VLOOKUP($A44,CORETABLE,HLOOKUP($D$3,CORETABLE,2,FALSE()),FALSE()),0.99)</f>
        <v>0.994071440191916</v>
      </c>
      <c r="W44" s="155" t="n">
        <f aca="false">D$18</f>
        <v>0.2</v>
      </c>
      <c r="X44" s="131"/>
      <c r="Y44" s="40" t="n">
        <f aca="false">IF($F$3="NYMEX",0,VLOOKUP($A44,curvesettle,HLOOKUP($F$3,curvesettle,2,FALSE()),FALSE()))</f>
        <v>0.52</v>
      </c>
      <c r="Z44" s="40" t="n">
        <f aca="false">IF($F$4="NYMEX",0,VLOOKUP($A44,curvesettle,HLOOKUP($F$4,curvesettle,2,FALSE()),FALSE()))</f>
        <v>0</v>
      </c>
      <c r="AA44" s="131" t="n">
        <f aca="false">IF(ISNUMBER(VLOOKUP($A44,VOLCURVES,HLOOKUP($F$3,VOLCURVES,2,FALSE()),FALSE())),VLOOKUP($A44,VOLCURVES,HLOOKUP($F$3,VOLCURVES,2,FALSE()),FALSE()),1)</f>
        <v>0.98</v>
      </c>
      <c r="AB44" s="131" t="n">
        <f aca="false">IF(ISNUMBER(VLOOKUP($A44,VOLCURVES,HLOOKUP($F$4,VOLCURVES,2,FALSE()),FALSE())),VLOOKUP($A44,VOLCURVES,HLOOKUP($F$4,VOLCURVES,2,FALSE()),FALSE()),1)</f>
        <v>1</v>
      </c>
      <c r="AC44" s="131" t="n">
        <f aca="false">IF(ISNUMBER(VLOOKUP($A44,CORETABLE,HLOOKUP($F$3,CORETABLE,2,FALSE()),FALSE())),VLOOKUP($A44,CORETABLE,HLOOKUP($F$3,CORETABLE,2,FALSE()),FALSE()),1)</f>
        <v>0.9773</v>
      </c>
      <c r="AD44" s="155" t="n">
        <f aca="false">F$18</f>
        <v>1.85</v>
      </c>
      <c r="AE44" s="131"/>
      <c r="AF44" s="40" t="n">
        <f aca="false">IF($H$3="NYMEX",0,VLOOKUP($A44,curvesettle,HLOOKUP($H$3,curvesettle,2,FALSE()),FALSE()))</f>
        <v>0.52</v>
      </c>
      <c r="AG44" s="40" t="n">
        <f aca="false">IF($H$4="NYMEX",0,VLOOKUP($A44,curvesettle,HLOOKUP($H$4,curvesettle,2,FALSE()),FALSE()))</f>
        <v>0</v>
      </c>
      <c r="AH44" s="131" t="n">
        <f aca="false">IF(ISNUMBER(VLOOKUP($A44,VOLCURVES,HLOOKUP($H$3,VOLCURVES,2,FALSE()),FALSE())),VLOOKUP($A44,VOLCURVES,HLOOKUP($H$3,VOLCURVES,2,FALSE()),FALSE()),1)</f>
        <v>0.98</v>
      </c>
      <c r="AI44" s="131" t="n">
        <f aca="false">IF(ISNUMBER(VLOOKUP($A44,VOLCURVES,HLOOKUP($H$4,VOLCURVES,2,FALSE()),FALSE())),VLOOKUP($A44,VOLCURVES,HLOOKUP($H$4,VOLCURVES,2,FALSE()),FALSE()),1)</f>
        <v>1</v>
      </c>
      <c r="AJ44" s="131" t="n">
        <f aca="false">IF(ISNUMBER(VLOOKUP($A44,CORETABLE,HLOOKUP($H$3,CORETABLE,2,FALSE()),FALSE())),VLOOKUP($A44,CORETABLE,HLOOKUP($H$3,CORETABLE,2,FALSE()),FALSE()),1)</f>
        <v>0.9773</v>
      </c>
      <c r="AK44" s="155" t="n">
        <f aca="false">H$18</f>
        <v>1.85</v>
      </c>
      <c r="AM44" s="4" t="n">
        <f aca="false">VLOOKUP($A44,STRADDLE,12,FALSE())</f>
        <v>0.068254674043478</v>
      </c>
      <c r="AN44" s="43" t="n">
        <f aca="false">A45-A44</f>
        <v>30</v>
      </c>
      <c r="AP44" s="9" t="n">
        <f aca="false">IF($A44&gt;=AR$32,IF($A44&lt;=AR$33,$AN44,0),0)</f>
        <v>0</v>
      </c>
      <c r="AQ44" s="123" t="n">
        <f aca="false">$B44+$K44+$B$12</f>
        <v>5.12071428571429</v>
      </c>
      <c r="AR44" s="123" t="n">
        <f aca="false">$B44+$L44+$B$13</f>
        <v>4.57071428571429</v>
      </c>
      <c r="AS44" s="123" t="n">
        <f aca="false">AQ44*AP44</f>
        <v>0</v>
      </c>
      <c r="AT44" s="123" t="n">
        <f aca="false">AR44*AP44</f>
        <v>0</v>
      </c>
      <c r="AU44" s="156" t="n">
        <f aca="false">($C44*$M44)+$B$14</f>
        <v>0.4263</v>
      </c>
      <c r="AV44" s="156" t="n">
        <f aca="false">($C44*$N44)+$B$15</f>
        <v>0.435</v>
      </c>
      <c r="AW44" s="131" t="n">
        <f aca="false">O44+B$16</f>
        <v>0.9773</v>
      </c>
      <c r="AX44" s="157" t="n">
        <f aca="false">IF(AP44=0,0,SPRDOPT(AQ44,AR44,$P44,$AM44,AU44,AV44,AW44,$D44,$B$19,0))</f>
        <v>0</v>
      </c>
      <c r="AY44" s="157" t="e">
        <f aca="false">IF(AQ44=0,0,SPRDOPT(AQ44,AR44,$P44,$AM44,AU44,AV44,AW44,$D44,$B$19,1))</f>
        <v>#NAME?</v>
      </c>
      <c r="AZ44" s="157" t="e">
        <f aca="false">IF(AR44=0,0,SPRDOPT(AQ44,AR44,$P44,$AM44,AU44,AV44,AW44,$D44,$B$19,2))</f>
        <v>#NAME?</v>
      </c>
      <c r="BA44" s="157" t="n">
        <f aca="false">IF(AS44=0,0,SPRDOPT(AQ44,AR44,$P44,$AM44,AU44,AV44,AW44,$D44,$B$19,3)/100)</f>
        <v>0</v>
      </c>
      <c r="BB44" s="157" t="n">
        <f aca="false">IF(AT44=0,0,SPRDOPT(AQ44,AR44,$P44,$AM44,AU44,AV44,AW44,$D44,$B$19,4)/100)</f>
        <v>0</v>
      </c>
      <c r="BC44" s="157" t="e">
        <f aca="false">IF(AU44=0,0,SPRDOPT(AQ44,AR44,$P44,$AM44,AU44,AV44,AW44,$D44,$B$19,5)/100)</f>
        <v>#NAME?</v>
      </c>
      <c r="BD44" s="157" t="e">
        <f aca="false">IF(AV44=0,0,SPRDOPT(AQ44,AR44,$P44,$AM44,AU44,AV44,AW44,$D44,$B$19,6)/100)</f>
        <v>#NAME?</v>
      </c>
      <c r="BE44" s="157" t="e">
        <f aca="false">IF(AW44=0,0,SPRDOPT(AQ44,AR44,$P44,$AM44,AU44,AV44,AW44,$D44,$B$19,7)/100)</f>
        <v>#NAME?</v>
      </c>
      <c r="BF44" s="157" t="n">
        <f aca="false">IF(AX44=0,0,SPRDOPT(AQ44,AR44,$P44,$AM44,AU44,AV44,AW44,$D44,$B$19,9)/365)</f>
        <v>0</v>
      </c>
      <c r="BG44" s="157" t="e">
        <f aca="false">AY44+AZ44</f>
        <v>#NAME?</v>
      </c>
      <c r="BH44" s="157" t="n">
        <f aca="false">BB44-BA44</f>
        <v>0</v>
      </c>
      <c r="BI44" s="157" t="e">
        <f aca="false">((AU44/AV44)*BC44)+BD44</f>
        <v>#NAME?</v>
      </c>
      <c r="BJ44" s="44"/>
      <c r="BK44" s="45" t="n">
        <f aca="false">$AP44*AX44</f>
        <v>0</v>
      </c>
      <c r="BL44" s="45" t="e">
        <f aca="false">$AP44*AY44</f>
        <v>#NAME?</v>
      </c>
      <c r="BM44" s="45" t="e">
        <f aca="false">$AP44*AZ44</f>
        <v>#NAME?</v>
      </c>
      <c r="BN44" s="45" t="n">
        <f aca="false">$AP44*BA44</f>
        <v>0</v>
      </c>
      <c r="BO44" s="45" t="n">
        <f aca="false">$AP44*BB44</f>
        <v>0</v>
      </c>
      <c r="BP44" s="45" t="e">
        <f aca="false">$AP44*BC44</f>
        <v>#NAME?</v>
      </c>
      <c r="BQ44" s="45" t="e">
        <f aca="false">$AP44*BD44</f>
        <v>#NAME?</v>
      </c>
      <c r="BR44" s="45" t="e">
        <f aca="false">$AP44*BE44</f>
        <v>#NAME?</v>
      </c>
      <c r="BS44" s="45" t="n">
        <f aca="false">$AP44*BF44</f>
        <v>0</v>
      </c>
      <c r="BT44" s="45" t="e">
        <f aca="false">$AP44*BG44</f>
        <v>#NAME?</v>
      </c>
      <c r="BU44" s="45" t="n">
        <f aca="false">$AP44*BH44</f>
        <v>0</v>
      </c>
      <c r="BV44" s="45" t="e">
        <f aca="false">$AP44*BI44</f>
        <v>#NAME?</v>
      </c>
      <c r="BX44" s="9" t="n">
        <f aca="false">IF($A44&gt;=BZ$32,IF($A44&lt;=BZ$33,$AN44,0),0)</f>
        <v>0</v>
      </c>
      <c r="BY44" s="123" t="n">
        <f aca="false">$B44+$R44+$D$12</f>
        <v>4.64321428571429</v>
      </c>
      <c r="BZ44" s="123" t="n">
        <f aca="false">$B44+$S44+$D$13</f>
        <v>4.57071428571429</v>
      </c>
      <c r="CA44" s="123" t="n">
        <f aca="false">BY44*BX44</f>
        <v>0</v>
      </c>
      <c r="CB44" s="123" t="n">
        <f aca="false">BZ44*BX44</f>
        <v>0</v>
      </c>
      <c r="CC44" s="156" t="n">
        <f aca="false">($C44*$T44)+$D$14</f>
        <v>0.435</v>
      </c>
      <c r="CD44" s="156" t="n">
        <f aca="false">($C44*$U44)+$D$15</f>
        <v>0.435</v>
      </c>
      <c r="CE44" s="131" t="n">
        <f aca="false">$V44+D$16</f>
        <v>0.994071440191916</v>
      </c>
      <c r="CF44" s="157" t="n">
        <f aca="false">IF(BX44=0,0,SPRDOPT(BY44,BZ44,$W44,$AM44,CC44,CD44,CE44,$D44,$D$19,0))</f>
        <v>0</v>
      </c>
      <c r="CG44" s="157" t="e">
        <f aca="false">IF(BY44=0,0,SPRDOPT(BY44,BZ44,$W44,$AM44,CC44,CD44,CE44,$D44,$D$19,1))</f>
        <v>#NAME?</v>
      </c>
      <c r="CH44" s="157" t="e">
        <f aca="false">IF(BZ44=0,0,SPRDOPT(BY44,BZ44,$W44,$AM44,CC44,CD44,CE44,$D44,$D$19,2))</f>
        <v>#NAME?</v>
      </c>
      <c r="CI44" s="157" t="n">
        <f aca="false">IF(CA44=0,0,SPRDOPT(BY44,BZ44,$W44,$AM44,CC44,CD44,CE44,$D44,$D$19,3)/100)</f>
        <v>0</v>
      </c>
      <c r="CJ44" s="157" t="n">
        <f aca="false">IF(CB44=0,0,SPRDOPT(BY44,BZ44,$W44,$AM44,CC44,CD44,CE44,$D44,$D$19,4)/100)</f>
        <v>0</v>
      </c>
      <c r="CK44" s="157" t="e">
        <f aca="false">IF(CC44=0,0,SPRDOPT(BY44,BZ44,$W44,$AM44,CC44,CD44,CE44,$D44,$D$19,5)/100)</f>
        <v>#NAME?</v>
      </c>
      <c r="CL44" s="157" t="e">
        <f aca="false">IF(CD44=0,0,SPRDOPT(BY44,BZ44,$W44,$AM44,CC44,CD44,CE44,$D44,$D$19,6)/100)</f>
        <v>#NAME?</v>
      </c>
      <c r="CM44" s="157" t="e">
        <f aca="false">IF(CE44=0,0,SPRDOPT(BY44,BZ44,$W44,$AM44,CC44,CD44,CE44,$D44,$D$19,7)/100)</f>
        <v>#NAME?</v>
      </c>
      <c r="CN44" s="157" t="n">
        <f aca="false">IF(CF44=0,0,SPRDOPT(BY44,BZ44,$W44,$AM44,CC44,CD44,CE44,$D44,$D$19,9)/365)</f>
        <v>0</v>
      </c>
      <c r="CO44" s="157" t="e">
        <f aca="false">CG44+CH44</f>
        <v>#NAME?</v>
      </c>
      <c r="CP44" s="157" t="n">
        <f aca="false">CJ44-CI44</f>
        <v>0</v>
      </c>
      <c r="CQ44" s="157" t="e">
        <f aca="false">((CC44/CD44)*CK44)+CL44</f>
        <v>#NAME?</v>
      </c>
      <c r="CR44" s="44"/>
      <c r="CS44" s="45" t="n">
        <f aca="false">BX44*CF44</f>
        <v>0</v>
      </c>
      <c r="CT44" s="45" t="e">
        <f aca="false">BX44*CG44</f>
        <v>#NAME?</v>
      </c>
      <c r="CU44" s="45" t="e">
        <f aca="false">BX44*CH44</f>
        <v>#NAME?</v>
      </c>
      <c r="CV44" s="45" t="n">
        <f aca="false">BX44*CI44</f>
        <v>0</v>
      </c>
      <c r="CW44" s="45" t="n">
        <f aca="false">BX44*CJ44</f>
        <v>0</v>
      </c>
      <c r="CX44" s="45" t="e">
        <f aca="false">BX44*CK44</f>
        <v>#NAME?</v>
      </c>
      <c r="CY44" s="45" t="e">
        <f aca="false">BX44*CL44</f>
        <v>#NAME?</v>
      </c>
      <c r="CZ44" s="45" t="e">
        <f aca="false">BX44*CM44</f>
        <v>#NAME?</v>
      </c>
      <c r="DA44" s="45" t="n">
        <f aca="false">BX44*CN44</f>
        <v>0</v>
      </c>
      <c r="DB44" s="45" t="e">
        <f aca="false">BX44*CO44</f>
        <v>#NAME?</v>
      </c>
      <c r="DC44" s="45" t="n">
        <f aca="false">BX44*CP44</f>
        <v>0</v>
      </c>
      <c r="DD44" s="45" t="e">
        <f aca="false">BX44*CQ44</f>
        <v>#NAME?</v>
      </c>
      <c r="DF44" s="9" t="n">
        <f aca="false">IF($A44&gt;=DH$32,IF($A44&lt;=DH$33,$AN44,0),0)</f>
        <v>0</v>
      </c>
      <c r="DG44" s="123" t="n">
        <f aca="false">$B44+$Y44+$F$12</f>
        <v>5.12071428571429</v>
      </c>
      <c r="DH44" s="123" t="n">
        <f aca="false">$B44+$Z44+$F$13</f>
        <v>4.57071428571429</v>
      </c>
      <c r="DI44" s="123" t="n">
        <f aca="false">DG44*DF44</f>
        <v>0</v>
      </c>
      <c r="DJ44" s="123" t="n">
        <f aca="false">DH44*DF44</f>
        <v>0</v>
      </c>
      <c r="DK44" s="156" t="n">
        <f aca="false">($C44*$AA44)+$F$14</f>
        <v>0.4263</v>
      </c>
      <c r="DL44" s="156" t="n">
        <f aca="false">($C44*$AB44)+$F$15</f>
        <v>0.435</v>
      </c>
      <c r="DM44" s="131" t="n">
        <f aca="false">$AC44+$F$16</f>
        <v>0.9773</v>
      </c>
      <c r="DN44" s="157" t="n">
        <f aca="false">IF(DF44=0,0,SPRDOPT(DG44,DH44,$AD44,$AM44,DK44,DL44,DM44,$D44,$F$19,0))</f>
        <v>0</v>
      </c>
      <c r="DO44" s="157" t="e">
        <f aca="false">IF(DG44=0,0,SPRDOPT(DG44,DH44,$AD44,$AM44,DK44,DL44,DM44,$D44,$F$19,1))</f>
        <v>#NAME?</v>
      </c>
      <c r="DP44" s="157" t="e">
        <f aca="false">IF(DH44=0,0,SPRDOPT(DG44,DH44,$AD44,$AM44,DK44,DL44,DM44,$D44,$F$19,2))</f>
        <v>#NAME?</v>
      </c>
      <c r="DQ44" s="157" t="n">
        <f aca="false">IF(DI44=0,0,SPRDOPT(DG44,DH44,$AD44,$AM44,DK44,DL44,DM44,$D44,$F$19,3)/100)</f>
        <v>0</v>
      </c>
      <c r="DR44" s="157" t="n">
        <f aca="false">IF(DJ44=0,0,SPRDOPT(DG44,DH44,$AD44,$AM44,DK44,DL44,DM44,$D44,$F$19,4)/100)</f>
        <v>0</v>
      </c>
      <c r="DS44" s="157" t="e">
        <f aca="false">IF(DK44=0,0,SPRDOPT(DG44,DH44,$AD44,$AM44,DK44,DL44,DM44,$D44,$F$19,5)/100)</f>
        <v>#NAME?</v>
      </c>
      <c r="DT44" s="157" t="e">
        <f aca="false">IF(DL44=0,0,SPRDOPT(DG44,DH44,$AD44,$AM44,DK44,DL44,DM44,$D44,$F$19,6)/100)</f>
        <v>#NAME?</v>
      </c>
      <c r="DU44" s="157" t="e">
        <f aca="false">IF(DM44=0,0,SPRDOPT(DG44,DH44,$AD44,$AM44,DK44,DL44,DM44,$D44,$F$19,7)/100)</f>
        <v>#NAME?</v>
      </c>
      <c r="DV44" s="157" t="n">
        <f aca="false">IF(DN44=0,0,SPRDOPT(DG44,DH44,$AD44,$AM44,DK44,DL44,DM44,$D44,$F$19,9)/365)</f>
        <v>0</v>
      </c>
      <c r="DW44" s="157" t="e">
        <f aca="false">DO44+DP44</f>
        <v>#NAME?</v>
      </c>
      <c r="DX44" s="157" t="n">
        <f aca="false">DR44-DQ44</f>
        <v>0</v>
      </c>
      <c r="DY44" s="157" t="e">
        <f aca="false">((DK44/DL44)*DS44)+DT44</f>
        <v>#NAME?</v>
      </c>
      <c r="DZ44" s="44"/>
      <c r="EA44" s="45" t="n">
        <f aca="false">DF44*DN44</f>
        <v>0</v>
      </c>
      <c r="EB44" s="45" t="e">
        <f aca="false">DF44*DO44</f>
        <v>#NAME?</v>
      </c>
      <c r="EC44" s="45" t="e">
        <f aca="false">DF44*DP44</f>
        <v>#NAME?</v>
      </c>
      <c r="ED44" s="45" t="n">
        <f aca="false">DF44*DQ44</f>
        <v>0</v>
      </c>
      <c r="EE44" s="45" t="n">
        <f aca="false">DF44*DR44</f>
        <v>0</v>
      </c>
      <c r="EF44" s="45" t="e">
        <f aca="false">DF44*DS44</f>
        <v>#NAME?</v>
      </c>
      <c r="EG44" s="45" t="e">
        <f aca="false">DF44*DT44</f>
        <v>#NAME?</v>
      </c>
      <c r="EH44" s="45" t="e">
        <f aca="false">DF44*DU44</f>
        <v>#NAME?</v>
      </c>
      <c r="EI44" s="45" t="n">
        <f aca="false">DF44*DV44</f>
        <v>0</v>
      </c>
      <c r="EJ44" s="45" t="e">
        <f aca="false">DF44*DW44</f>
        <v>#NAME?</v>
      </c>
      <c r="EK44" s="45" t="n">
        <f aca="false">DF44*DX44</f>
        <v>0</v>
      </c>
      <c r="EL44" s="45" t="e">
        <f aca="false">DF44*DY44</f>
        <v>#NAME?</v>
      </c>
      <c r="EN44" s="9" t="n">
        <f aca="false">IF($A44&gt;=EP$32,IF($A44&lt;=EP$33,$AN44,0),0)</f>
        <v>0</v>
      </c>
      <c r="EO44" s="123" t="n">
        <f aca="false">$B44+$AF44+$H$12</f>
        <v>5.12071428571429</v>
      </c>
      <c r="EP44" s="123" t="n">
        <f aca="false">$B44+$AG44+$H$13</f>
        <v>4.57071428571429</v>
      </c>
      <c r="EQ44" s="123" t="n">
        <f aca="false">EO44*EN44</f>
        <v>0</v>
      </c>
      <c r="ER44" s="123" t="n">
        <f aca="false">EP44*EN44</f>
        <v>0</v>
      </c>
      <c r="ES44" s="156" t="n">
        <f aca="false">($C44*$AH44)+$H$14</f>
        <v>0.4263</v>
      </c>
      <c r="ET44" s="156" t="n">
        <f aca="false">($C44*$AI44)+$H$15</f>
        <v>0.435</v>
      </c>
      <c r="EU44" s="131" t="n">
        <f aca="false">$AJ44+$H$16</f>
        <v>0.9773</v>
      </c>
      <c r="EV44" s="157" t="n">
        <f aca="false">IF(EN44=0,0,SPRDOPT(EO44,EP44,$AK44,$AM44,ES44,ET44,EU44,$D44,$H$19,0))</f>
        <v>0</v>
      </c>
      <c r="EW44" s="157" t="e">
        <f aca="false">IF(EO44=0,0,SPRDOPT(EO44,EP44,$AK44,$AM44,ES44,ET44,EU44,$D44,$H$19,1))</f>
        <v>#NAME?</v>
      </c>
      <c r="EX44" s="157" t="e">
        <f aca="false">IF(EP44=0,0,SPRDOPT(EO44,EP44,$AK44,$AM44,ES44,ET44,EU44,$D44,$H$19,2))</f>
        <v>#NAME?</v>
      </c>
      <c r="EY44" s="157" t="n">
        <f aca="false">IF(EQ44=0,0,SPRDOPT(EO44,EP44,$AK44,$AM44,ES44,ET44,EU44,$D44,$H$19,3)/100)</f>
        <v>0</v>
      </c>
      <c r="EZ44" s="157" t="n">
        <f aca="false">IF(ER44=0,0,SPRDOPT(EO44,EP44,$AK44,$AM44,ES44,ET44,EU44,$D44,$H$19,4)/100)</f>
        <v>0</v>
      </c>
      <c r="FA44" s="157" t="e">
        <f aca="false">IF(ES44=0,0,SPRDOPT(EO44,EP44,$AK44,$AM44,ES44,ET44,EU44,$D44,$H$19,5)/100)</f>
        <v>#NAME?</v>
      </c>
      <c r="FB44" s="157" t="e">
        <f aca="false">IF(ET44=0,0,SPRDOPT(EO44,EP44,$AK44,$AM44,ES44,ET44,EU44,$D44,$H$19,6)/100)</f>
        <v>#NAME?</v>
      </c>
      <c r="FC44" s="157" t="e">
        <f aca="false">IF(EU44=0,0,SPRDOPT(EO44,EP44,$AK44,$AM44,ES44,ET44,EU44,$D44,$H$19,7)/100)</f>
        <v>#NAME?</v>
      </c>
      <c r="FD44" s="157" t="n">
        <f aca="false">IF(EV44=0,0,SPRDOPT(EO44,EP44,$AK44,$AM44,ES44,ET44,EU44,$D44,$H$19,9)/365)</f>
        <v>0</v>
      </c>
      <c r="FE44" s="157" t="e">
        <f aca="false">EW44+EX44</f>
        <v>#NAME?</v>
      </c>
      <c r="FF44" s="157" t="n">
        <f aca="false">EZ44-EY44</f>
        <v>0</v>
      </c>
      <c r="FG44" s="157" t="e">
        <f aca="false">((ES44/ET44)*FA44)+FB44</f>
        <v>#NAME?</v>
      </c>
      <c r="FH44" s="44"/>
      <c r="FI44" s="45" t="n">
        <f aca="false">$EN44*EV44</f>
        <v>0</v>
      </c>
      <c r="FJ44" s="45" t="e">
        <f aca="false">$EN44*EW44</f>
        <v>#NAME?</v>
      </c>
      <c r="FK44" s="45" t="e">
        <f aca="false">$EN44*EX44</f>
        <v>#NAME?</v>
      </c>
      <c r="FL44" s="45" t="n">
        <f aca="false">$EN44*EY44</f>
        <v>0</v>
      </c>
      <c r="FM44" s="45" t="n">
        <f aca="false">$EN44*EZ44</f>
        <v>0</v>
      </c>
      <c r="FN44" s="45" t="e">
        <f aca="false">$EN44*FA44</f>
        <v>#NAME?</v>
      </c>
      <c r="FO44" s="45" t="e">
        <f aca="false">$EN44*FB44</f>
        <v>#NAME?</v>
      </c>
      <c r="FP44" s="45" t="e">
        <f aca="false">$EN44*FC44</f>
        <v>#NAME?</v>
      </c>
      <c r="FQ44" s="45" t="n">
        <f aca="false">$EN44*FD44</f>
        <v>0</v>
      </c>
      <c r="FR44" s="45" t="e">
        <f aca="false">$EN44*FE44</f>
        <v>#NAME?</v>
      </c>
      <c r="FS44" s="45" t="n">
        <f aca="false">$EN44*FF44</f>
        <v>0</v>
      </c>
      <c r="FT44" s="45" t="e">
        <f aca="false">$EN44*FG44</f>
        <v>#NAME?</v>
      </c>
    </row>
    <row r="45" customFormat="false" ht="12.75" hidden="false" customHeight="false" outlineLevel="0" collapsed="false">
      <c r="A45" s="48" t="n">
        <f aca="false">DATE(YEAR(A44),MONTH(A44)+1,1)</f>
        <v>37012</v>
      </c>
      <c r="B45" s="40" t="n">
        <f aca="false">VLOOKUP(A45,STRADDLE,5,FALSE())</f>
        <v>4.46571428571429</v>
      </c>
      <c r="C45" s="4" t="n">
        <f aca="false">VLOOKUP(A45,STRADDLE,8,FALSE())</f>
        <v>0.3975</v>
      </c>
      <c r="D45" s="136" t="n">
        <f aca="false">VLOOKUP(A45,expiration,2,FALSE())-$B$2</f>
        <v>-8919</v>
      </c>
      <c r="E45" s="131" t="e">
        <f aca="false">AY45</f>
        <v>#NAME?</v>
      </c>
      <c r="F45" s="131" t="e">
        <f aca="false">CG45</f>
        <v>#NAME?</v>
      </c>
      <c r="G45" s="131" t="e">
        <f aca="false">DO45</f>
        <v>#NAME?</v>
      </c>
      <c r="H45" s="131" t="e">
        <f aca="false">EW45</f>
        <v>#NAME?</v>
      </c>
      <c r="I45" s="41"/>
      <c r="J45" s="154"/>
      <c r="K45" s="40" t="n">
        <f aca="false">IF($B$3="NYMEX",0,VLOOKUP($A45,curvesettle,HLOOKUP($B$3,curvesettle,2,FALSE()),FALSE()))</f>
        <v>0.405</v>
      </c>
      <c r="L45" s="40" t="n">
        <f aca="false">IF($B$4="NYMEX",0,VLOOKUP($A45,curvesettle,HLOOKUP($B$4,curvesettle,2,FALSE()),FALSE()))</f>
        <v>0</v>
      </c>
      <c r="M45" s="131" t="n">
        <f aca="false">IF(ISNUMBER(VLOOKUP($A45,VOLCURVES,HLOOKUP($B$3,VOLCURVES,2,FALSE()),FALSE())),VLOOKUP($A45,VOLCURVES,HLOOKUP($B$3,VOLCURVES,2,FALSE()),FALSE()),1)</f>
        <v>0.98</v>
      </c>
      <c r="N45" s="131" t="n">
        <f aca="false">IF(ISNUMBER(VLOOKUP($A45,VOLCURVES,HLOOKUP($B$4,VOLCURVES,2,FALSE()),FALSE())),VLOOKUP($A45,VOLCURVES,HLOOKUP($B$4,VOLCURVES,2,FALSE()),FALSE()),1)</f>
        <v>1</v>
      </c>
      <c r="O45" s="131" t="n">
        <f aca="false">IF(ISNUMBER(VLOOKUP($A45,CORETABLE,HLOOKUP($B$3,CORETABLE,2,FALSE()),FALSE())),VLOOKUP($A45,CORETABLE,HLOOKUP($B$3,CORETABLE,2,FALSE()),FALSE()),0.99)</f>
        <v>0.9773</v>
      </c>
      <c r="P45" s="155" t="n">
        <f aca="false">B$18</f>
        <v>2</v>
      </c>
      <c r="Q45" s="131"/>
      <c r="R45" s="40" t="n">
        <f aca="false">IF($D$3="NYMEX",0,VLOOKUP($A45,curvesettle,HLOOKUP($D$3,curvesettle,2,FALSE()),FALSE()))</f>
        <v>0.06</v>
      </c>
      <c r="S45" s="40" t="n">
        <f aca="false">IF($D$4="NYMEX",0,VLOOKUP($A45,curvesettle,HLOOKUP($D$4,curvesettle,2,FALSE()),FALSE()))</f>
        <v>0</v>
      </c>
      <c r="T45" s="131" t="n">
        <f aca="false">IF(ISNUMBER(VLOOKUP($A45,VOLCURVES,HLOOKUP($D$3,VOLCURVES,2,FALSE()),FALSE())),VLOOKUP($A45,VOLCURVES,HLOOKUP($D$3,VOLCURVES,2,FALSE()),FALSE()),1)</f>
        <v>1</v>
      </c>
      <c r="U45" s="131" t="n">
        <f aca="false">IF(ISNUMBER(VLOOKUP($A45,VOLCURVES,HLOOKUP($D$4,VOLCURVES,2,FALSE()),FALSE())),VLOOKUP($A45,VOLCURVES,HLOOKUP($D$4,VOLCURVES,2,FALSE()),FALSE()),1)</f>
        <v>1</v>
      </c>
      <c r="V45" s="131" t="n">
        <f aca="false">IF(ISNUMBER(VLOOKUP($A45,CORETABLE,HLOOKUP($D$3,CORETABLE,2,FALSE()),FALSE())),VLOOKUP($A45,CORETABLE,HLOOKUP($D$3,CORETABLE,2,FALSE()),FALSE()),0.99)</f>
        <v>0.994071440191916</v>
      </c>
      <c r="W45" s="155" t="n">
        <f aca="false">D$18</f>
        <v>0.2</v>
      </c>
      <c r="X45" s="131"/>
      <c r="Y45" s="40" t="n">
        <f aca="false">IF($F$3="NYMEX",0,VLOOKUP($A45,curvesettle,HLOOKUP($F$3,curvesettle,2,FALSE()),FALSE()))</f>
        <v>0.405</v>
      </c>
      <c r="Z45" s="40" t="n">
        <f aca="false">IF($F$4="NYMEX",0,VLOOKUP($A45,curvesettle,HLOOKUP($F$4,curvesettle,2,FALSE()),FALSE()))</f>
        <v>0</v>
      </c>
      <c r="AA45" s="131" t="n">
        <f aca="false">IF(ISNUMBER(VLOOKUP($A45,VOLCURVES,HLOOKUP($F$3,VOLCURVES,2,FALSE()),FALSE())),VLOOKUP($A45,VOLCURVES,HLOOKUP($F$3,VOLCURVES,2,FALSE()),FALSE()),1)</f>
        <v>0.98</v>
      </c>
      <c r="AB45" s="131" t="n">
        <f aca="false">IF(ISNUMBER(VLOOKUP($A45,VOLCURVES,HLOOKUP($F$4,VOLCURVES,2,FALSE()),FALSE())),VLOOKUP($A45,VOLCURVES,HLOOKUP($F$4,VOLCURVES,2,FALSE()),FALSE()),1)</f>
        <v>1</v>
      </c>
      <c r="AC45" s="131" t="n">
        <f aca="false">IF(ISNUMBER(VLOOKUP($A45,CORETABLE,HLOOKUP($F$3,CORETABLE,2,FALSE()),FALSE())),VLOOKUP($A45,CORETABLE,HLOOKUP($F$3,CORETABLE,2,FALSE()),FALSE()),1)</f>
        <v>0.9773</v>
      </c>
      <c r="AD45" s="155" t="n">
        <f aca="false">F$18</f>
        <v>1.85</v>
      </c>
      <c r="AE45" s="131"/>
      <c r="AF45" s="40" t="n">
        <f aca="false">IF($H$3="NYMEX",0,VLOOKUP($A45,curvesettle,HLOOKUP($H$3,curvesettle,2,FALSE()),FALSE()))</f>
        <v>0.405</v>
      </c>
      <c r="AG45" s="40" t="n">
        <f aca="false">IF($H$4="NYMEX",0,VLOOKUP($A45,curvesettle,HLOOKUP($H$4,curvesettle,2,FALSE()),FALSE()))</f>
        <v>0</v>
      </c>
      <c r="AH45" s="131" t="n">
        <f aca="false">IF(ISNUMBER(VLOOKUP($A45,VOLCURVES,HLOOKUP($H$3,VOLCURVES,2,FALSE()),FALSE())),VLOOKUP($A45,VOLCURVES,HLOOKUP($H$3,VOLCURVES,2,FALSE()),FALSE()),1)</f>
        <v>0.98</v>
      </c>
      <c r="AI45" s="131" t="n">
        <f aca="false">IF(ISNUMBER(VLOOKUP($A45,VOLCURVES,HLOOKUP($H$4,VOLCURVES,2,FALSE()),FALSE())),VLOOKUP($A45,VOLCURVES,HLOOKUP($H$4,VOLCURVES,2,FALSE()),FALSE()),1)</f>
        <v>1</v>
      </c>
      <c r="AJ45" s="131" t="n">
        <f aca="false">IF(ISNUMBER(VLOOKUP($A45,CORETABLE,HLOOKUP($H$3,CORETABLE,2,FALSE()),FALSE())),VLOOKUP($A45,CORETABLE,HLOOKUP($H$3,CORETABLE,2,FALSE()),FALSE()),1)</f>
        <v>0.9773</v>
      </c>
      <c r="AK45" s="155" t="n">
        <f aca="false">H$18</f>
        <v>1.85</v>
      </c>
      <c r="AM45" s="4" t="n">
        <f aca="false">VLOOKUP($A45,STRADDLE,12,FALSE())</f>
        <v>0.068096132754615</v>
      </c>
      <c r="AN45" s="43" t="n">
        <f aca="false">A46-A45</f>
        <v>31</v>
      </c>
      <c r="AP45" s="9" t="n">
        <f aca="false">IF($A45&gt;=AR$32,IF($A45&lt;=AR$33,$AN45,0),0)</f>
        <v>0</v>
      </c>
      <c r="AQ45" s="123" t="n">
        <f aca="false">$B45+$K45+$B$12</f>
        <v>4.90071428571429</v>
      </c>
      <c r="AR45" s="123" t="n">
        <f aca="false">$B45+$L45+$B$13</f>
        <v>4.46571428571429</v>
      </c>
      <c r="AS45" s="123" t="n">
        <f aca="false">AQ45*AP45</f>
        <v>0</v>
      </c>
      <c r="AT45" s="123" t="n">
        <f aca="false">AR45*AP45</f>
        <v>0</v>
      </c>
      <c r="AU45" s="156" t="n">
        <f aca="false">($C45*$M45)+$B$14</f>
        <v>0.38955</v>
      </c>
      <c r="AV45" s="156" t="n">
        <f aca="false">($C45*$N45)+$B$15</f>
        <v>0.3975</v>
      </c>
      <c r="AW45" s="131" t="n">
        <f aca="false">O45+B$16</f>
        <v>0.9773</v>
      </c>
      <c r="AX45" s="157" t="n">
        <f aca="false">IF(AP45=0,0,SPRDOPT(AQ45,AR45,$P45,$AM45,AU45,AV45,AW45,$D45,$B$19,0))</f>
        <v>0</v>
      </c>
      <c r="AY45" s="157" t="e">
        <f aca="false">IF(AQ45=0,0,SPRDOPT(AQ45,AR45,$P45,$AM45,AU45,AV45,AW45,$D45,$B$19,1))</f>
        <v>#NAME?</v>
      </c>
      <c r="AZ45" s="157" t="e">
        <f aca="false">IF(AR45=0,0,SPRDOPT(AQ45,AR45,$P45,$AM45,AU45,AV45,AW45,$D45,$B$19,2))</f>
        <v>#NAME?</v>
      </c>
      <c r="BA45" s="157" t="n">
        <f aca="false">IF(AS45=0,0,SPRDOPT(AQ45,AR45,$P45,$AM45,AU45,AV45,AW45,$D45,$B$19,3)/100)</f>
        <v>0</v>
      </c>
      <c r="BB45" s="157" t="n">
        <f aca="false">IF(AT45=0,0,SPRDOPT(AQ45,AR45,$P45,$AM45,AU45,AV45,AW45,$D45,$B$19,4)/100)</f>
        <v>0</v>
      </c>
      <c r="BC45" s="157" t="e">
        <f aca="false">IF(AU45=0,0,SPRDOPT(AQ45,AR45,$P45,$AM45,AU45,AV45,AW45,$D45,$B$19,5)/100)</f>
        <v>#NAME?</v>
      </c>
      <c r="BD45" s="157" t="e">
        <f aca="false">IF(AV45=0,0,SPRDOPT(AQ45,AR45,$P45,$AM45,AU45,AV45,AW45,$D45,$B$19,6)/100)</f>
        <v>#NAME?</v>
      </c>
      <c r="BE45" s="157" t="e">
        <f aca="false">IF(AW45=0,0,SPRDOPT(AQ45,AR45,$P45,$AM45,AU45,AV45,AW45,$D45,$B$19,7)/100)</f>
        <v>#NAME?</v>
      </c>
      <c r="BF45" s="157" t="n">
        <f aca="false">IF(AX45=0,0,SPRDOPT(AQ45,AR45,$P45,$AM45,AU45,AV45,AW45,$D45,$B$19,9)/365)</f>
        <v>0</v>
      </c>
      <c r="BG45" s="157" t="e">
        <f aca="false">AY45+AZ45</f>
        <v>#NAME?</v>
      </c>
      <c r="BH45" s="157" t="n">
        <f aca="false">BB45-BA45</f>
        <v>0</v>
      </c>
      <c r="BI45" s="157" t="e">
        <f aca="false">((AU45/AV45)*BC45)+BD45</f>
        <v>#NAME?</v>
      </c>
      <c r="BJ45" s="44"/>
      <c r="BK45" s="45" t="n">
        <f aca="false">$AP45*AX45</f>
        <v>0</v>
      </c>
      <c r="BL45" s="45" t="e">
        <f aca="false">$AP45*AY45</f>
        <v>#NAME?</v>
      </c>
      <c r="BM45" s="45" t="e">
        <f aca="false">$AP45*AZ45</f>
        <v>#NAME?</v>
      </c>
      <c r="BN45" s="45" t="n">
        <f aca="false">$AP45*BA45</f>
        <v>0</v>
      </c>
      <c r="BO45" s="45" t="n">
        <f aca="false">$AP45*BB45</f>
        <v>0</v>
      </c>
      <c r="BP45" s="45" t="e">
        <f aca="false">$AP45*BC45</f>
        <v>#NAME?</v>
      </c>
      <c r="BQ45" s="45" t="e">
        <f aca="false">$AP45*BD45</f>
        <v>#NAME?</v>
      </c>
      <c r="BR45" s="45" t="e">
        <f aca="false">$AP45*BE45</f>
        <v>#NAME?</v>
      </c>
      <c r="BS45" s="45" t="n">
        <f aca="false">$AP45*BF45</f>
        <v>0</v>
      </c>
      <c r="BT45" s="45" t="e">
        <f aca="false">$AP45*BG45</f>
        <v>#NAME?</v>
      </c>
      <c r="BU45" s="45" t="n">
        <f aca="false">$AP45*BH45</f>
        <v>0</v>
      </c>
      <c r="BV45" s="45" t="e">
        <f aca="false">$AP45*BI45</f>
        <v>#NAME?</v>
      </c>
      <c r="BX45" s="9" t="n">
        <f aca="false">IF($A45&gt;=BZ$32,IF($A45&lt;=BZ$33,$AN45,0),0)</f>
        <v>0</v>
      </c>
      <c r="BY45" s="123" t="n">
        <f aca="false">$B45+$R45+$D$12</f>
        <v>4.52571428571429</v>
      </c>
      <c r="BZ45" s="123" t="n">
        <f aca="false">$B45+$S45+$D$13</f>
        <v>4.46571428571429</v>
      </c>
      <c r="CA45" s="123" t="n">
        <f aca="false">BY45*BX45</f>
        <v>0</v>
      </c>
      <c r="CB45" s="123" t="n">
        <f aca="false">BZ45*BX45</f>
        <v>0</v>
      </c>
      <c r="CC45" s="156" t="n">
        <f aca="false">($C45*$T45)+$D$14</f>
        <v>0.3975</v>
      </c>
      <c r="CD45" s="156" t="n">
        <f aca="false">($C45*$U45)+$D$15</f>
        <v>0.3975</v>
      </c>
      <c r="CE45" s="131" t="n">
        <f aca="false">$V45+D$16</f>
        <v>0.994071440191916</v>
      </c>
      <c r="CF45" s="157" t="n">
        <f aca="false">IF(BX45=0,0,SPRDOPT(BY45,BZ45,$W45,$AM45,CC45,CD45,CE45,$D45,$D$19,0))</f>
        <v>0</v>
      </c>
      <c r="CG45" s="157" t="e">
        <f aca="false">IF(BY45=0,0,SPRDOPT(BY45,BZ45,$W45,$AM45,CC45,CD45,CE45,$D45,$D$19,1))</f>
        <v>#NAME?</v>
      </c>
      <c r="CH45" s="157" t="e">
        <f aca="false">IF(BZ45=0,0,SPRDOPT(BY45,BZ45,$W45,$AM45,CC45,CD45,CE45,$D45,$D$19,2))</f>
        <v>#NAME?</v>
      </c>
      <c r="CI45" s="157" t="n">
        <f aca="false">IF(CA45=0,0,SPRDOPT(BY45,BZ45,$W45,$AM45,CC45,CD45,CE45,$D45,$D$19,3)/100)</f>
        <v>0</v>
      </c>
      <c r="CJ45" s="157" t="n">
        <f aca="false">IF(CB45=0,0,SPRDOPT(BY45,BZ45,$W45,$AM45,CC45,CD45,CE45,$D45,$D$19,4)/100)</f>
        <v>0</v>
      </c>
      <c r="CK45" s="157" t="e">
        <f aca="false">IF(CC45=0,0,SPRDOPT(BY45,BZ45,$W45,$AM45,CC45,CD45,CE45,$D45,$D$19,5)/100)</f>
        <v>#NAME?</v>
      </c>
      <c r="CL45" s="157" t="e">
        <f aca="false">IF(CD45=0,0,SPRDOPT(BY45,BZ45,$W45,$AM45,CC45,CD45,CE45,$D45,$D$19,6)/100)</f>
        <v>#NAME?</v>
      </c>
      <c r="CM45" s="157" t="e">
        <f aca="false">IF(CE45=0,0,SPRDOPT(BY45,BZ45,$W45,$AM45,CC45,CD45,CE45,$D45,$D$19,7)/100)</f>
        <v>#NAME?</v>
      </c>
      <c r="CN45" s="157" t="n">
        <f aca="false">IF(CF45=0,0,SPRDOPT(BY45,BZ45,$W45,$AM45,CC45,CD45,CE45,$D45,$D$19,9)/365)</f>
        <v>0</v>
      </c>
      <c r="CO45" s="157" t="e">
        <f aca="false">CG45+CH45</f>
        <v>#NAME?</v>
      </c>
      <c r="CP45" s="157" t="n">
        <f aca="false">CJ45-CI45</f>
        <v>0</v>
      </c>
      <c r="CQ45" s="157" t="e">
        <f aca="false">((CC45/CD45)*CK45)+CL45</f>
        <v>#NAME?</v>
      </c>
      <c r="CR45" s="44"/>
      <c r="CS45" s="45" t="n">
        <f aca="false">BX45*CF45</f>
        <v>0</v>
      </c>
      <c r="CT45" s="45" t="e">
        <f aca="false">BX45*CG45</f>
        <v>#NAME?</v>
      </c>
      <c r="CU45" s="45" t="e">
        <f aca="false">BX45*CH45</f>
        <v>#NAME?</v>
      </c>
      <c r="CV45" s="45" t="n">
        <f aca="false">BX45*CI45</f>
        <v>0</v>
      </c>
      <c r="CW45" s="45" t="n">
        <f aca="false">BX45*CJ45</f>
        <v>0</v>
      </c>
      <c r="CX45" s="45" t="e">
        <f aca="false">BX45*CK45</f>
        <v>#NAME?</v>
      </c>
      <c r="CY45" s="45" t="e">
        <f aca="false">BX45*CL45</f>
        <v>#NAME?</v>
      </c>
      <c r="CZ45" s="45" t="e">
        <f aca="false">BX45*CM45</f>
        <v>#NAME?</v>
      </c>
      <c r="DA45" s="45" t="n">
        <f aca="false">BX45*CN45</f>
        <v>0</v>
      </c>
      <c r="DB45" s="45" t="e">
        <f aca="false">BX45*CO45</f>
        <v>#NAME?</v>
      </c>
      <c r="DC45" s="45" t="n">
        <f aca="false">BX45*CP45</f>
        <v>0</v>
      </c>
      <c r="DD45" s="45" t="e">
        <f aca="false">BX45*CQ45</f>
        <v>#NAME?</v>
      </c>
      <c r="DF45" s="9" t="n">
        <f aca="false">IF($A45&gt;=DH$32,IF($A45&lt;=DH$33,$AN45,0),0)</f>
        <v>0</v>
      </c>
      <c r="DG45" s="123" t="n">
        <f aca="false">$B45+$Y45+$F$12</f>
        <v>4.90071428571429</v>
      </c>
      <c r="DH45" s="123" t="n">
        <f aca="false">$B45+$Z45+$F$13</f>
        <v>4.46571428571429</v>
      </c>
      <c r="DI45" s="123" t="n">
        <f aca="false">DG45*DF45</f>
        <v>0</v>
      </c>
      <c r="DJ45" s="123" t="n">
        <f aca="false">DH45*DF45</f>
        <v>0</v>
      </c>
      <c r="DK45" s="156" t="n">
        <f aca="false">($C45*$AA45)+$F$14</f>
        <v>0.38955</v>
      </c>
      <c r="DL45" s="156" t="n">
        <f aca="false">($C45*$AB45)+$F$15</f>
        <v>0.3975</v>
      </c>
      <c r="DM45" s="131" t="n">
        <f aca="false">$AC45+$F$16</f>
        <v>0.9773</v>
      </c>
      <c r="DN45" s="157" t="n">
        <f aca="false">IF(DF45=0,0,SPRDOPT(DG45,DH45,$AD45,$AM45,DK45,DL45,DM45,$D45,$F$19,0))</f>
        <v>0</v>
      </c>
      <c r="DO45" s="157" t="e">
        <f aca="false">IF(DG45=0,0,SPRDOPT(DG45,DH45,$AD45,$AM45,DK45,DL45,DM45,$D45,$F$19,1))</f>
        <v>#NAME?</v>
      </c>
      <c r="DP45" s="157" t="e">
        <f aca="false">IF(DH45=0,0,SPRDOPT(DG45,DH45,$AD45,$AM45,DK45,DL45,DM45,$D45,$F$19,2))</f>
        <v>#NAME?</v>
      </c>
      <c r="DQ45" s="157" t="n">
        <f aca="false">IF(DI45=0,0,SPRDOPT(DG45,DH45,$AD45,$AM45,DK45,DL45,DM45,$D45,$F$19,3)/100)</f>
        <v>0</v>
      </c>
      <c r="DR45" s="157" t="n">
        <f aca="false">IF(DJ45=0,0,SPRDOPT(DG45,DH45,$AD45,$AM45,DK45,DL45,DM45,$D45,$F$19,4)/100)</f>
        <v>0</v>
      </c>
      <c r="DS45" s="157" t="e">
        <f aca="false">IF(DK45=0,0,SPRDOPT(DG45,DH45,$AD45,$AM45,DK45,DL45,DM45,$D45,$F$19,5)/100)</f>
        <v>#NAME?</v>
      </c>
      <c r="DT45" s="157" t="e">
        <f aca="false">IF(DL45=0,0,SPRDOPT(DG45,DH45,$AD45,$AM45,DK45,DL45,DM45,$D45,$F$19,6)/100)</f>
        <v>#NAME?</v>
      </c>
      <c r="DU45" s="157" t="e">
        <f aca="false">IF(DM45=0,0,SPRDOPT(DG45,DH45,$AD45,$AM45,DK45,DL45,DM45,$D45,$F$19,7)/100)</f>
        <v>#NAME?</v>
      </c>
      <c r="DV45" s="157" t="n">
        <f aca="false">IF(DN45=0,0,SPRDOPT(DG45,DH45,$AD45,$AM45,DK45,DL45,DM45,$D45,$F$19,9)/365)</f>
        <v>0</v>
      </c>
      <c r="DW45" s="157" t="e">
        <f aca="false">DO45+DP45</f>
        <v>#NAME?</v>
      </c>
      <c r="DX45" s="157" t="n">
        <f aca="false">DR45-DQ45</f>
        <v>0</v>
      </c>
      <c r="DY45" s="157" t="e">
        <f aca="false">((DK45/DL45)*DS45)+DT45</f>
        <v>#NAME?</v>
      </c>
      <c r="DZ45" s="44"/>
      <c r="EA45" s="45" t="n">
        <f aca="false">DF45*DN45</f>
        <v>0</v>
      </c>
      <c r="EB45" s="45" t="e">
        <f aca="false">DF45*DO45</f>
        <v>#NAME?</v>
      </c>
      <c r="EC45" s="45" t="e">
        <f aca="false">DF45*DP45</f>
        <v>#NAME?</v>
      </c>
      <c r="ED45" s="45" t="n">
        <f aca="false">DF45*DQ45</f>
        <v>0</v>
      </c>
      <c r="EE45" s="45" t="n">
        <f aca="false">DF45*DR45</f>
        <v>0</v>
      </c>
      <c r="EF45" s="45" t="e">
        <f aca="false">DF45*DS45</f>
        <v>#NAME?</v>
      </c>
      <c r="EG45" s="45" t="e">
        <f aca="false">DF45*DT45</f>
        <v>#NAME?</v>
      </c>
      <c r="EH45" s="45" t="e">
        <f aca="false">DF45*DU45</f>
        <v>#NAME?</v>
      </c>
      <c r="EI45" s="45" t="n">
        <f aca="false">DF45*DV45</f>
        <v>0</v>
      </c>
      <c r="EJ45" s="45" t="e">
        <f aca="false">DF45*DW45</f>
        <v>#NAME?</v>
      </c>
      <c r="EK45" s="45" t="n">
        <f aca="false">DF45*DX45</f>
        <v>0</v>
      </c>
      <c r="EL45" s="45" t="e">
        <f aca="false">DF45*DY45</f>
        <v>#NAME?</v>
      </c>
      <c r="EN45" s="9" t="n">
        <f aca="false">IF($A45&gt;=EP$32,IF($A45&lt;=EP$33,$AN45,0),0)</f>
        <v>0</v>
      </c>
      <c r="EO45" s="123" t="n">
        <f aca="false">$B45+$AF45+$H$12</f>
        <v>4.90071428571429</v>
      </c>
      <c r="EP45" s="123" t="n">
        <f aca="false">$B45+$AG45+$H$13</f>
        <v>4.46571428571429</v>
      </c>
      <c r="EQ45" s="123" t="n">
        <f aca="false">EO45*EN45</f>
        <v>0</v>
      </c>
      <c r="ER45" s="123" t="n">
        <f aca="false">EP45*EN45</f>
        <v>0</v>
      </c>
      <c r="ES45" s="156" t="n">
        <f aca="false">($C45*$AH45)+$H$14</f>
        <v>0.38955</v>
      </c>
      <c r="ET45" s="156" t="n">
        <f aca="false">($C45*$AI45)+$H$15</f>
        <v>0.3975</v>
      </c>
      <c r="EU45" s="131" t="n">
        <f aca="false">$AJ45+$H$16</f>
        <v>0.9773</v>
      </c>
      <c r="EV45" s="157" t="n">
        <f aca="false">IF(EN45=0,0,SPRDOPT(EO45,EP45,$AK45,$AM45,ES45,ET45,EU45,$D45,$H$19,0))</f>
        <v>0</v>
      </c>
      <c r="EW45" s="157" t="e">
        <f aca="false">IF(EO45=0,0,SPRDOPT(EO45,EP45,$AK45,$AM45,ES45,ET45,EU45,$D45,$H$19,1))</f>
        <v>#NAME?</v>
      </c>
      <c r="EX45" s="157" t="e">
        <f aca="false">IF(EP45=0,0,SPRDOPT(EO45,EP45,$AK45,$AM45,ES45,ET45,EU45,$D45,$H$19,2))</f>
        <v>#NAME?</v>
      </c>
      <c r="EY45" s="157" t="n">
        <f aca="false">IF(EQ45=0,0,SPRDOPT(EO45,EP45,$AK45,$AM45,ES45,ET45,EU45,$D45,$H$19,3)/100)</f>
        <v>0</v>
      </c>
      <c r="EZ45" s="157" t="n">
        <f aca="false">IF(ER45=0,0,SPRDOPT(EO45,EP45,$AK45,$AM45,ES45,ET45,EU45,$D45,$H$19,4)/100)</f>
        <v>0</v>
      </c>
      <c r="FA45" s="157" t="e">
        <f aca="false">IF(ES45=0,0,SPRDOPT(EO45,EP45,$AK45,$AM45,ES45,ET45,EU45,$D45,$H$19,5)/100)</f>
        <v>#NAME?</v>
      </c>
      <c r="FB45" s="157" t="e">
        <f aca="false">IF(ET45=0,0,SPRDOPT(EO45,EP45,$AK45,$AM45,ES45,ET45,EU45,$D45,$H$19,6)/100)</f>
        <v>#NAME?</v>
      </c>
      <c r="FC45" s="157" t="e">
        <f aca="false">IF(EU45=0,0,SPRDOPT(EO45,EP45,$AK45,$AM45,ES45,ET45,EU45,$D45,$H$19,7)/100)</f>
        <v>#NAME?</v>
      </c>
      <c r="FD45" s="157" t="n">
        <f aca="false">IF(EV45=0,0,SPRDOPT(EO45,EP45,$AK45,$AM45,ES45,ET45,EU45,$D45,$H$19,9)/365)</f>
        <v>0</v>
      </c>
      <c r="FE45" s="157" t="e">
        <f aca="false">EW45+EX45</f>
        <v>#NAME?</v>
      </c>
      <c r="FF45" s="157" t="n">
        <f aca="false">EZ45-EY45</f>
        <v>0</v>
      </c>
      <c r="FG45" s="157" t="e">
        <f aca="false">((ES45/ET45)*FA45)+FB45</f>
        <v>#NAME?</v>
      </c>
      <c r="FH45" s="44"/>
      <c r="FI45" s="45" t="n">
        <f aca="false">$EN45*EV45</f>
        <v>0</v>
      </c>
      <c r="FJ45" s="45" t="e">
        <f aca="false">$EN45*EW45</f>
        <v>#NAME?</v>
      </c>
      <c r="FK45" s="45" t="e">
        <f aca="false">$EN45*EX45</f>
        <v>#NAME?</v>
      </c>
      <c r="FL45" s="45" t="n">
        <f aca="false">$EN45*EY45</f>
        <v>0</v>
      </c>
      <c r="FM45" s="45" t="n">
        <f aca="false">$EN45*EZ45</f>
        <v>0</v>
      </c>
      <c r="FN45" s="45" t="e">
        <f aca="false">$EN45*FA45</f>
        <v>#NAME?</v>
      </c>
      <c r="FO45" s="45" t="e">
        <f aca="false">$EN45*FB45</f>
        <v>#NAME?</v>
      </c>
      <c r="FP45" s="45" t="e">
        <f aca="false">$EN45*FC45</f>
        <v>#NAME?</v>
      </c>
      <c r="FQ45" s="45" t="n">
        <f aca="false">$EN45*FD45</f>
        <v>0</v>
      </c>
      <c r="FR45" s="45" t="e">
        <f aca="false">$EN45*FE45</f>
        <v>#NAME?</v>
      </c>
      <c r="FS45" s="45" t="n">
        <f aca="false">$EN45*FF45</f>
        <v>0</v>
      </c>
      <c r="FT45" s="45" t="e">
        <f aca="false">$EN45*FG45</f>
        <v>#NAME?</v>
      </c>
    </row>
    <row r="46" customFormat="false" ht="12.75" hidden="false" customHeight="false" outlineLevel="0" collapsed="false">
      <c r="A46" s="48" t="n">
        <f aca="false">DATE(YEAR(A45),MONTH(A45)+1,1)</f>
        <v>37043</v>
      </c>
      <c r="B46" s="40" t="n">
        <f aca="false">VLOOKUP(A46,STRADDLE,5,FALSE())</f>
        <v>4.44071428571429</v>
      </c>
      <c r="C46" s="4" t="n">
        <f aca="false">VLOOKUP(A46,STRADDLE,8,FALSE())</f>
        <v>0.3925</v>
      </c>
      <c r="D46" s="136" t="n">
        <f aca="false">VLOOKUP(A46,expiration,2,FALSE())-$B$2</f>
        <v>-8886</v>
      </c>
      <c r="E46" s="131" t="e">
        <f aca="false">AY46</f>
        <v>#NAME?</v>
      </c>
      <c r="F46" s="131" t="e">
        <f aca="false">CG46</f>
        <v>#NAME?</v>
      </c>
      <c r="G46" s="131" t="e">
        <f aca="false">DO46</f>
        <v>#NAME?</v>
      </c>
      <c r="H46" s="131" t="e">
        <f aca="false">EW46</f>
        <v>#NAME?</v>
      </c>
      <c r="I46" s="41"/>
      <c r="J46" s="154"/>
      <c r="K46" s="40" t="n">
        <f aca="false">IF($B$3="NYMEX",0,VLOOKUP($A46,curvesettle,HLOOKUP($B$3,curvesettle,2,FALSE()),FALSE()))</f>
        <v>0.395</v>
      </c>
      <c r="L46" s="40" t="n">
        <f aca="false">IF($B$4="NYMEX",0,VLOOKUP($A46,curvesettle,HLOOKUP($B$4,curvesettle,2,FALSE()),FALSE()))</f>
        <v>0</v>
      </c>
      <c r="M46" s="131" t="n">
        <f aca="false">IF(ISNUMBER(VLOOKUP($A46,VOLCURVES,HLOOKUP($B$3,VOLCURVES,2,FALSE()),FALSE())),VLOOKUP($A46,VOLCURVES,HLOOKUP($B$3,VOLCURVES,2,FALSE()),FALSE()),1)</f>
        <v>0.98</v>
      </c>
      <c r="N46" s="131" t="n">
        <f aca="false">IF(ISNUMBER(VLOOKUP($A46,VOLCURVES,HLOOKUP($B$4,VOLCURVES,2,FALSE()),FALSE())),VLOOKUP($A46,VOLCURVES,HLOOKUP($B$4,VOLCURVES,2,FALSE()),FALSE()),1)</f>
        <v>1</v>
      </c>
      <c r="O46" s="131" t="n">
        <f aca="false">IF(ISNUMBER(VLOOKUP($A46,CORETABLE,HLOOKUP($B$3,CORETABLE,2,FALSE()),FALSE())),VLOOKUP($A46,CORETABLE,HLOOKUP($B$3,CORETABLE,2,FALSE()),FALSE()),0.99)</f>
        <v>0.9773</v>
      </c>
      <c r="P46" s="155" t="n">
        <f aca="false">B$18</f>
        <v>2</v>
      </c>
      <c r="Q46" s="131"/>
      <c r="R46" s="40" t="n">
        <f aca="false">IF($D$3="NYMEX",0,VLOOKUP($A46,curvesettle,HLOOKUP($D$3,curvesettle,2,FALSE()),FALSE()))</f>
        <v>0.0575</v>
      </c>
      <c r="S46" s="40" t="n">
        <f aca="false">IF($D$4="NYMEX",0,VLOOKUP($A46,curvesettle,HLOOKUP($D$4,curvesettle,2,FALSE()),FALSE()))</f>
        <v>0</v>
      </c>
      <c r="T46" s="131" t="n">
        <f aca="false">IF(ISNUMBER(VLOOKUP($A46,VOLCURVES,HLOOKUP($D$3,VOLCURVES,2,FALSE()),FALSE())),VLOOKUP($A46,VOLCURVES,HLOOKUP($D$3,VOLCURVES,2,FALSE()),FALSE()),1)</f>
        <v>1</v>
      </c>
      <c r="U46" s="131" t="n">
        <f aca="false">IF(ISNUMBER(VLOOKUP($A46,VOLCURVES,HLOOKUP($D$4,VOLCURVES,2,FALSE()),FALSE())),VLOOKUP($A46,VOLCURVES,HLOOKUP($D$4,VOLCURVES,2,FALSE()),FALSE()),1)</f>
        <v>1</v>
      </c>
      <c r="V46" s="131" t="n">
        <f aca="false">IF(ISNUMBER(VLOOKUP($A46,CORETABLE,HLOOKUP($D$3,CORETABLE,2,FALSE()),FALSE())),VLOOKUP($A46,CORETABLE,HLOOKUP($D$3,CORETABLE,2,FALSE()),FALSE()),0.99)</f>
        <v>0.994071440191916</v>
      </c>
      <c r="W46" s="155" t="n">
        <f aca="false">D$18</f>
        <v>0.2</v>
      </c>
      <c r="X46" s="131"/>
      <c r="Y46" s="40" t="n">
        <f aca="false">IF($F$3="NYMEX",0,VLOOKUP($A46,curvesettle,HLOOKUP($F$3,curvesettle,2,FALSE()),FALSE()))</f>
        <v>0.395</v>
      </c>
      <c r="Z46" s="40" t="n">
        <f aca="false">IF($F$4="NYMEX",0,VLOOKUP($A46,curvesettle,HLOOKUP($F$4,curvesettle,2,FALSE()),FALSE()))</f>
        <v>0</v>
      </c>
      <c r="AA46" s="131" t="n">
        <f aca="false">IF(ISNUMBER(VLOOKUP($A46,VOLCURVES,HLOOKUP($F$3,VOLCURVES,2,FALSE()),FALSE())),VLOOKUP($A46,VOLCURVES,HLOOKUP($F$3,VOLCURVES,2,FALSE()),FALSE()),1)</f>
        <v>0.98</v>
      </c>
      <c r="AB46" s="131" t="n">
        <f aca="false">IF(ISNUMBER(VLOOKUP($A46,VOLCURVES,HLOOKUP($F$4,VOLCURVES,2,FALSE()),FALSE())),VLOOKUP($A46,VOLCURVES,HLOOKUP($F$4,VOLCURVES,2,FALSE()),FALSE()),1)</f>
        <v>1</v>
      </c>
      <c r="AC46" s="131" t="n">
        <f aca="false">IF(ISNUMBER(VLOOKUP($A46,CORETABLE,HLOOKUP($F$3,CORETABLE,2,FALSE()),FALSE())),VLOOKUP($A46,CORETABLE,HLOOKUP($F$3,CORETABLE,2,FALSE()),FALSE()),1)</f>
        <v>0.9773</v>
      </c>
      <c r="AD46" s="155" t="n">
        <f aca="false">F$18</f>
        <v>1.85</v>
      </c>
      <c r="AE46" s="131"/>
      <c r="AF46" s="40" t="n">
        <f aca="false">IF($H$3="NYMEX",0,VLOOKUP($A46,curvesettle,HLOOKUP($H$3,curvesettle,2,FALSE()),FALSE()))</f>
        <v>0.395</v>
      </c>
      <c r="AG46" s="40" t="n">
        <f aca="false">IF($H$4="NYMEX",0,VLOOKUP($A46,curvesettle,HLOOKUP($H$4,curvesettle,2,FALSE()),FALSE()))</f>
        <v>0</v>
      </c>
      <c r="AH46" s="131" t="n">
        <f aca="false">IF(ISNUMBER(VLOOKUP($A46,VOLCURVES,HLOOKUP($H$3,VOLCURVES,2,FALSE()),FALSE())),VLOOKUP($A46,VOLCURVES,HLOOKUP($H$3,VOLCURVES,2,FALSE()),FALSE()),1)</f>
        <v>0.98</v>
      </c>
      <c r="AI46" s="131" t="n">
        <f aca="false">IF(ISNUMBER(VLOOKUP($A46,VOLCURVES,HLOOKUP($H$4,VOLCURVES,2,FALSE()),FALSE())),VLOOKUP($A46,VOLCURVES,HLOOKUP($H$4,VOLCURVES,2,FALSE()),FALSE()),1)</f>
        <v>1</v>
      </c>
      <c r="AJ46" s="131" t="n">
        <f aca="false">IF(ISNUMBER(VLOOKUP($A46,CORETABLE,HLOOKUP($H$3,CORETABLE,2,FALSE()),FALSE())),VLOOKUP($A46,CORETABLE,HLOOKUP($H$3,CORETABLE,2,FALSE()),FALSE()),1)</f>
        <v>0.9773</v>
      </c>
      <c r="AK46" s="155" t="n">
        <f aca="false">H$18</f>
        <v>1.85</v>
      </c>
      <c r="AM46" s="4" t="n">
        <f aca="false">VLOOKUP($A46,STRADDLE,12,FALSE())</f>
        <v>0.067932306764864</v>
      </c>
      <c r="AN46" s="43" t="n">
        <f aca="false">A47-A46</f>
        <v>30</v>
      </c>
      <c r="AP46" s="9" t="n">
        <f aca="false">IF($A46&gt;=AR$32,IF($A46&lt;=AR$33,$AN46,0),0)</f>
        <v>0</v>
      </c>
      <c r="AQ46" s="123" t="n">
        <f aca="false">$B46+$K46+$B$12</f>
        <v>4.86571428571429</v>
      </c>
      <c r="AR46" s="123" t="n">
        <f aca="false">$B46+$L46+$B$13</f>
        <v>4.44071428571429</v>
      </c>
      <c r="AS46" s="123" t="n">
        <f aca="false">AQ46*AP46</f>
        <v>0</v>
      </c>
      <c r="AT46" s="123" t="n">
        <f aca="false">AR46*AP46</f>
        <v>0</v>
      </c>
      <c r="AU46" s="156" t="n">
        <f aca="false">($C46*$M46)+$B$14</f>
        <v>0.38465</v>
      </c>
      <c r="AV46" s="156" t="n">
        <f aca="false">($C46*$N46)+$B$15</f>
        <v>0.3925</v>
      </c>
      <c r="AW46" s="131" t="n">
        <f aca="false">O46+B$16</f>
        <v>0.9773</v>
      </c>
      <c r="AX46" s="157" t="n">
        <f aca="false">IF(AP46=0,0,SPRDOPT(AQ46,AR46,$P46,$AM46,AU46,AV46,AW46,$D46,$B$19,0))</f>
        <v>0</v>
      </c>
      <c r="AY46" s="157" t="e">
        <f aca="false">IF(AQ46=0,0,SPRDOPT(AQ46,AR46,$P46,$AM46,AU46,AV46,AW46,$D46,$B$19,1))</f>
        <v>#NAME?</v>
      </c>
      <c r="AZ46" s="157" t="e">
        <f aca="false">IF(AR46=0,0,SPRDOPT(AQ46,AR46,$P46,$AM46,AU46,AV46,AW46,$D46,$B$19,2))</f>
        <v>#NAME?</v>
      </c>
      <c r="BA46" s="157" t="n">
        <f aca="false">IF(AS46=0,0,SPRDOPT(AQ46,AR46,$P46,$AM46,AU46,AV46,AW46,$D46,$B$19,3)/100)</f>
        <v>0</v>
      </c>
      <c r="BB46" s="157" t="n">
        <f aca="false">IF(AT46=0,0,SPRDOPT(AQ46,AR46,$P46,$AM46,AU46,AV46,AW46,$D46,$B$19,4)/100)</f>
        <v>0</v>
      </c>
      <c r="BC46" s="157" t="e">
        <f aca="false">IF(AU46=0,0,SPRDOPT(AQ46,AR46,$P46,$AM46,AU46,AV46,AW46,$D46,$B$19,5)/100)</f>
        <v>#NAME?</v>
      </c>
      <c r="BD46" s="157" t="e">
        <f aca="false">IF(AV46=0,0,SPRDOPT(AQ46,AR46,$P46,$AM46,AU46,AV46,AW46,$D46,$B$19,6)/100)</f>
        <v>#NAME?</v>
      </c>
      <c r="BE46" s="157" t="e">
        <f aca="false">IF(AW46=0,0,SPRDOPT(AQ46,AR46,$P46,$AM46,AU46,AV46,AW46,$D46,$B$19,7)/100)</f>
        <v>#NAME?</v>
      </c>
      <c r="BF46" s="157" t="n">
        <f aca="false">IF(AX46=0,0,SPRDOPT(AQ46,AR46,$P46,$AM46,AU46,AV46,AW46,$D46,$B$19,9)/365)</f>
        <v>0</v>
      </c>
      <c r="BG46" s="157" t="e">
        <f aca="false">AY46+AZ46</f>
        <v>#NAME?</v>
      </c>
      <c r="BH46" s="157" t="n">
        <f aca="false">BB46-BA46</f>
        <v>0</v>
      </c>
      <c r="BI46" s="157" t="e">
        <f aca="false">((AU46/AV46)*BC46)+BD46</f>
        <v>#NAME?</v>
      </c>
      <c r="BJ46" s="44"/>
      <c r="BK46" s="45" t="n">
        <f aca="false">$AP46*AX46</f>
        <v>0</v>
      </c>
      <c r="BL46" s="45" t="e">
        <f aca="false">$AP46*AY46</f>
        <v>#NAME?</v>
      </c>
      <c r="BM46" s="45" t="e">
        <f aca="false">$AP46*AZ46</f>
        <v>#NAME?</v>
      </c>
      <c r="BN46" s="45" t="n">
        <f aca="false">$AP46*BA46</f>
        <v>0</v>
      </c>
      <c r="BO46" s="45" t="n">
        <f aca="false">$AP46*BB46</f>
        <v>0</v>
      </c>
      <c r="BP46" s="45" t="e">
        <f aca="false">$AP46*BC46</f>
        <v>#NAME?</v>
      </c>
      <c r="BQ46" s="45" t="e">
        <f aca="false">$AP46*BD46</f>
        <v>#NAME?</v>
      </c>
      <c r="BR46" s="45" t="e">
        <f aca="false">$AP46*BE46</f>
        <v>#NAME?</v>
      </c>
      <c r="BS46" s="45" t="n">
        <f aca="false">$AP46*BF46</f>
        <v>0</v>
      </c>
      <c r="BT46" s="45" t="e">
        <f aca="false">$AP46*BG46</f>
        <v>#NAME?</v>
      </c>
      <c r="BU46" s="45" t="n">
        <f aca="false">$AP46*BH46</f>
        <v>0</v>
      </c>
      <c r="BV46" s="45" t="e">
        <f aca="false">$AP46*BI46</f>
        <v>#NAME?</v>
      </c>
      <c r="BX46" s="9" t="n">
        <f aca="false">IF($A46&gt;=BZ$32,IF($A46&lt;=BZ$33,$AN46,0),0)</f>
        <v>0</v>
      </c>
      <c r="BY46" s="123" t="n">
        <f aca="false">$B46+$R46+$D$12</f>
        <v>4.49821428571429</v>
      </c>
      <c r="BZ46" s="123" t="n">
        <f aca="false">$B46+$S46+$D$13</f>
        <v>4.44071428571429</v>
      </c>
      <c r="CA46" s="123" t="n">
        <f aca="false">BY46*BX46</f>
        <v>0</v>
      </c>
      <c r="CB46" s="123" t="n">
        <f aca="false">BZ46*BX46</f>
        <v>0</v>
      </c>
      <c r="CC46" s="156" t="n">
        <f aca="false">($C46*$T46)+$D$14</f>
        <v>0.3925</v>
      </c>
      <c r="CD46" s="156" t="n">
        <f aca="false">($C46*$U46)+$D$15</f>
        <v>0.3925</v>
      </c>
      <c r="CE46" s="131" t="n">
        <f aca="false">$V46+D$16</f>
        <v>0.994071440191916</v>
      </c>
      <c r="CF46" s="157" t="n">
        <f aca="false">IF(BX46=0,0,SPRDOPT(BY46,BZ46,$W46,$AM46,CC46,CD46,CE46,$D46,$D$19,0))</f>
        <v>0</v>
      </c>
      <c r="CG46" s="157" t="e">
        <f aca="false">IF(BY46=0,0,SPRDOPT(BY46,BZ46,$W46,$AM46,CC46,CD46,CE46,$D46,$D$19,1))</f>
        <v>#NAME?</v>
      </c>
      <c r="CH46" s="157" t="e">
        <f aca="false">IF(BZ46=0,0,SPRDOPT(BY46,BZ46,$W46,$AM46,CC46,CD46,CE46,$D46,$D$19,2))</f>
        <v>#NAME?</v>
      </c>
      <c r="CI46" s="157" t="n">
        <f aca="false">IF(CA46=0,0,SPRDOPT(BY46,BZ46,$W46,$AM46,CC46,CD46,CE46,$D46,$D$19,3)/100)</f>
        <v>0</v>
      </c>
      <c r="CJ46" s="157" t="n">
        <f aca="false">IF(CB46=0,0,SPRDOPT(BY46,BZ46,$W46,$AM46,CC46,CD46,CE46,$D46,$D$19,4)/100)</f>
        <v>0</v>
      </c>
      <c r="CK46" s="157" t="e">
        <f aca="false">IF(CC46=0,0,SPRDOPT(BY46,BZ46,$W46,$AM46,CC46,CD46,CE46,$D46,$D$19,5)/100)</f>
        <v>#NAME?</v>
      </c>
      <c r="CL46" s="157" t="e">
        <f aca="false">IF(CD46=0,0,SPRDOPT(BY46,BZ46,$W46,$AM46,CC46,CD46,CE46,$D46,$D$19,6)/100)</f>
        <v>#NAME?</v>
      </c>
      <c r="CM46" s="157" t="e">
        <f aca="false">IF(CE46=0,0,SPRDOPT(BY46,BZ46,$W46,$AM46,CC46,CD46,CE46,$D46,$D$19,7)/100)</f>
        <v>#NAME?</v>
      </c>
      <c r="CN46" s="157" t="n">
        <f aca="false">IF(CF46=0,0,SPRDOPT(BY46,BZ46,$W46,$AM46,CC46,CD46,CE46,$D46,$D$19,9)/365)</f>
        <v>0</v>
      </c>
      <c r="CO46" s="157" t="e">
        <f aca="false">CG46+CH46</f>
        <v>#NAME?</v>
      </c>
      <c r="CP46" s="157" t="n">
        <f aca="false">CJ46-CI46</f>
        <v>0</v>
      </c>
      <c r="CQ46" s="157" t="e">
        <f aca="false">((CC46/CD46)*CK46)+CL46</f>
        <v>#NAME?</v>
      </c>
      <c r="CR46" s="44"/>
      <c r="CS46" s="45" t="n">
        <f aca="false">BX46*CF46</f>
        <v>0</v>
      </c>
      <c r="CT46" s="45" t="e">
        <f aca="false">BX46*CG46</f>
        <v>#NAME?</v>
      </c>
      <c r="CU46" s="45" t="e">
        <f aca="false">BX46*CH46</f>
        <v>#NAME?</v>
      </c>
      <c r="CV46" s="45" t="n">
        <f aca="false">BX46*CI46</f>
        <v>0</v>
      </c>
      <c r="CW46" s="45" t="n">
        <f aca="false">BX46*CJ46</f>
        <v>0</v>
      </c>
      <c r="CX46" s="45" t="e">
        <f aca="false">BX46*CK46</f>
        <v>#NAME?</v>
      </c>
      <c r="CY46" s="45" t="e">
        <f aca="false">BX46*CL46</f>
        <v>#NAME?</v>
      </c>
      <c r="CZ46" s="45" t="e">
        <f aca="false">BX46*CM46</f>
        <v>#NAME?</v>
      </c>
      <c r="DA46" s="45" t="n">
        <f aca="false">BX46*CN46</f>
        <v>0</v>
      </c>
      <c r="DB46" s="45" t="e">
        <f aca="false">BX46*CO46</f>
        <v>#NAME?</v>
      </c>
      <c r="DC46" s="45" t="n">
        <f aca="false">BX46*CP46</f>
        <v>0</v>
      </c>
      <c r="DD46" s="45" t="e">
        <f aca="false">BX46*CQ46</f>
        <v>#NAME?</v>
      </c>
      <c r="DF46" s="9" t="n">
        <f aca="false">IF($A46&gt;=DH$32,IF($A46&lt;=DH$33,$AN46,0),0)</f>
        <v>0</v>
      </c>
      <c r="DG46" s="123" t="n">
        <f aca="false">$B46+$Y46+$F$12</f>
        <v>4.86571428571429</v>
      </c>
      <c r="DH46" s="123" t="n">
        <f aca="false">$B46+$Z46+$F$13</f>
        <v>4.44071428571429</v>
      </c>
      <c r="DI46" s="123" t="n">
        <f aca="false">DG46*DF46</f>
        <v>0</v>
      </c>
      <c r="DJ46" s="123" t="n">
        <f aca="false">DH46*DF46</f>
        <v>0</v>
      </c>
      <c r="DK46" s="156" t="n">
        <f aca="false">($C46*$AA46)+$F$14</f>
        <v>0.38465</v>
      </c>
      <c r="DL46" s="156" t="n">
        <f aca="false">($C46*$AB46)+$F$15</f>
        <v>0.3925</v>
      </c>
      <c r="DM46" s="131" t="n">
        <f aca="false">$AC46+$F$16</f>
        <v>0.9773</v>
      </c>
      <c r="DN46" s="157" t="n">
        <f aca="false">IF(DF46=0,0,SPRDOPT(DG46,DH46,$AD46,$AM46,DK46,DL46,DM46,$D46,$F$19,0))</f>
        <v>0</v>
      </c>
      <c r="DO46" s="157" t="e">
        <f aca="false">IF(DG46=0,0,SPRDOPT(DG46,DH46,$AD46,$AM46,DK46,DL46,DM46,$D46,$F$19,1))</f>
        <v>#NAME?</v>
      </c>
      <c r="DP46" s="157" t="e">
        <f aca="false">IF(DH46=0,0,SPRDOPT(DG46,DH46,$AD46,$AM46,DK46,DL46,DM46,$D46,$F$19,2))</f>
        <v>#NAME?</v>
      </c>
      <c r="DQ46" s="157" t="n">
        <f aca="false">IF(DI46=0,0,SPRDOPT(DG46,DH46,$AD46,$AM46,DK46,DL46,DM46,$D46,$F$19,3)/100)</f>
        <v>0</v>
      </c>
      <c r="DR46" s="157" t="n">
        <f aca="false">IF(DJ46=0,0,SPRDOPT(DG46,DH46,$AD46,$AM46,DK46,DL46,DM46,$D46,$F$19,4)/100)</f>
        <v>0</v>
      </c>
      <c r="DS46" s="157" t="e">
        <f aca="false">IF(DK46=0,0,SPRDOPT(DG46,DH46,$AD46,$AM46,DK46,DL46,DM46,$D46,$F$19,5)/100)</f>
        <v>#NAME?</v>
      </c>
      <c r="DT46" s="157" t="e">
        <f aca="false">IF(DL46=0,0,SPRDOPT(DG46,DH46,$AD46,$AM46,DK46,DL46,DM46,$D46,$F$19,6)/100)</f>
        <v>#NAME?</v>
      </c>
      <c r="DU46" s="157" t="e">
        <f aca="false">IF(DM46=0,0,SPRDOPT(DG46,DH46,$AD46,$AM46,DK46,DL46,DM46,$D46,$F$19,7)/100)</f>
        <v>#NAME?</v>
      </c>
      <c r="DV46" s="157" t="n">
        <f aca="false">IF(DN46=0,0,SPRDOPT(DG46,DH46,$AD46,$AM46,DK46,DL46,DM46,$D46,$F$19,9)/365)</f>
        <v>0</v>
      </c>
      <c r="DW46" s="157" t="e">
        <f aca="false">DO46+DP46</f>
        <v>#NAME?</v>
      </c>
      <c r="DX46" s="157" t="n">
        <f aca="false">DR46-DQ46</f>
        <v>0</v>
      </c>
      <c r="DY46" s="157" t="e">
        <f aca="false">((DK46/DL46)*DS46)+DT46</f>
        <v>#NAME?</v>
      </c>
      <c r="DZ46" s="44"/>
      <c r="EA46" s="45" t="n">
        <f aca="false">DF46*DN46</f>
        <v>0</v>
      </c>
      <c r="EB46" s="45" t="e">
        <f aca="false">DF46*DO46</f>
        <v>#NAME?</v>
      </c>
      <c r="EC46" s="45" t="e">
        <f aca="false">DF46*DP46</f>
        <v>#NAME?</v>
      </c>
      <c r="ED46" s="45" t="n">
        <f aca="false">DF46*DQ46</f>
        <v>0</v>
      </c>
      <c r="EE46" s="45" t="n">
        <f aca="false">DF46*DR46</f>
        <v>0</v>
      </c>
      <c r="EF46" s="45" t="e">
        <f aca="false">DF46*DS46</f>
        <v>#NAME?</v>
      </c>
      <c r="EG46" s="45" t="e">
        <f aca="false">DF46*DT46</f>
        <v>#NAME?</v>
      </c>
      <c r="EH46" s="45" t="e">
        <f aca="false">DF46*DU46</f>
        <v>#NAME?</v>
      </c>
      <c r="EI46" s="45" t="n">
        <f aca="false">DF46*DV46</f>
        <v>0</v>
      </c>
      <c r="EJ46" s="45" t="e">
        <f aca="false">DF46*DW46</f>
        <v>#NAME?</v>
      </c>
      <c r="EK46" s="45" t="n">
        <f aca="false">DF46*DX46</f>
        <v>0</v>
      </c>
      <c r="EL46" s="45" t="e">
        <f aca="false">DF46*DY46</f>
        <v>#NAME?</v>
      </c>
      <c r="EN46" s="9" t="n">
        <f aca="false">IF($A46&gt;=EP$32,IF($A46&lt;=EP$33,$AN46,0),0)</f>
        <v>0</v>
      </c>
      <c r="EO46" s="123" t="n">
        <f aca="false">$B46+$AF46+$H$12</f>
        <v>4.86571428571429</v>
      </c>
      <c r="EP46" s="123" t="n">
        <f aca="false">$B46+$AG46+$H$13</f>
        <v>4.44071428571429</v>
      </c>
      <c r="EQ46" s="123" t="n">
        <f aca="false">EO46*EN46</f>
        <v>0</v>
      </c>
      <c r="ER46" s="123" t="n">
        <f aca="false">EP46*EN46</f>
        <v>0</v>
      </c>
      <c r="ES46" s="156" t="n">
        <f aca="false">($C46*$AH46)+$H$14</f>
        <v>0.38465</v>
      </c>
      <c r="ET46" s="156" t="n">
        <f aca="false">($C46*$AI46)+$H$15</f>
        <v>0.3925</v>
      </c>
      <c r="EU46" s="131" t="n">
        <f aca="false">$AJ46+$H$16</f>
        <v>0.9773</v>
      </c>
      <c r="EV46" s="157" t="n">
        <f aca="false">IF(EN46=0,0,SPRDOPT(EO46,EP46,$AK46,$AM46,ES46,ET46,EU46,$D46,$H$19,0))</f>
        <v>0</v>
      </c>
      <c r="EW46" s="157" t="e">
        <f aca="false">IF(EO46=0,0,SPRDOPT(EO46,EP46,$AK46,$AM46,ES46,ET46,EU46,$D46,$H$19,1))</f>
        <v>#NAME?</v>
      </c>
      <c r="EX46" s="157" t="e">
        <f aca="false">IF(EP46=0,0,SPRDOPT(EO46,EP46,$AK46,$AM46,ES46,ET46,EU46,$D46,$H$19,2))</f>
        <v>#NAME?</v>
      </c>
      <c r="EY46" s="157" t="n">
        <f aca="false">IF(EQ46=0,0,SPRDOPT(EO46,EP46,$AK46,$AM46,ES46,ET46,EU46,$D46,$H$19,3)/100)</f>
        <v>0</v>
      </c>
      <c r="EZ46" s="157" t="n">
        <f aca="false">IF(ER46=0,0,SPRDOPT(EO46,EP46,$AK46,$AM46,ES46,ET46,EU46,$D46,$H$19,4)/100)</f>
        <v>0</v>
      </c>
      <c r="FA46" s="157" t="e">
        <f aca="false">IF(ES46=0,0,SPRDOPT(EO46,EP46,$AK46,$AM46,ES46,ET46,EU46,$D46,$H$19,5)/100)</f>
        <v>#NAME?</v>
      </c>
      <c r="FB46" s="157" t="e">
        <f aca="false">IF(ET46=0,0,SPRDOPT(EO46,EP46,$AK46,$AM46,ES46,ET46,EU46,$D46,$H$19,6)/100)</f>
        <v>#NAME?</v>
      </c>
      <c r="FC46" s="157" t="e">
        <f aca="false">IF(EU46=0,0,SPRDOPT(EO46,EP46,$AK46,$AM46,ES46,ET46,EU46,$D46,$H$19,7)/100)</f>
        <v>#NAME?</v>
      </c>
      <c r="FD46" s="157" t="n">
        <f aca="false">IF(EV46=0,0,SPRDOPT(EO46,EP46,$AK46,$AM46,ES46,ET46,EU46,$D46,$H$19,9)/365)</f>
        <v>0</v>
      </c>
      <c r="FE46" s="157" t="e">
        <f aca="false">EW46+EX46</f>
        <v>#NAME?</v>
      </c>
      <c r="FF46" s="157" t="n">
        <f aca="false">EZ46-EY46</f>
        <v>0</v>
      </c>
      <c r="FG46" s="157" t="e">
        <f aca="false">((ES46/ET46)*FA46)+FB46</f>
        <v>#NAME?</v>
      </c>
      <c r="FH46" s="44"/>
      <c r="FI46" s="45" t="n">
        <f aca="false">$EN46*EV46</f>
        <v>0</v>
      </c>
      <c r="FJ46" s="45" t="e">
        <f aca="false">$EN46*EW46</f>
        <v>#NAME?</v>
      </c>
      <c r="FK46" s="45" t="e">
        <f aca="false">$EN46*EX46</f>
        <v>#NAME?</v>
      </c>
      <c r="FL46" s="45" t="n">
        <f aca="false">$EN46*EY46</f>
        <v>0</v>
      </c>
      <c r="FM46" s="45" t="n">
        <f aca="false">$EN46*EZ46</f>
        <v>0</v>
      </c>
      <c r="FN46" s="45" t="e">
        <f aca="false">$EN46*FA46</f>
        <v>#NAME?</v>
      </c>
      <c r="FO46" s="45" t="e">
        <f aca="false">$EN46*FB46</f>
        <v>#NAME?</v>
      </c>
      <c r="FP46" s="45" t="e">
        <f aca="false">$EN46*FC46</f>
        <v>#NAME?</v>
      </c>
      <c r="FQ46" s="45" t="n">
        <f aca="false">$EN46*FD46</f>
        <v>0</v>
      </c>
      <c r="FR46" s="45" t="e">
        <f aca="false">$EN46*FE46</f>
        <v>#NAME?</v>
      </c>
      <c r="FS46" s="45" t="n">
        <f aca="false">$EN46*FF46</f>
        <v>0</v>
      </c>
      <c r="FT46" s="45" t="e">
        <f aca="false">$EN46*FG46</f>
        <v>#NAME?</v>
      </c>
    </row>
    <row r="47" customFormat="false" ht="12.75" hidden="false" customHeight="false" outlineLevel="0" collapsed="false">
      <c r="A47" s="48" t="n">
        <f aca="false">DATE(YEAR(A46),MONTH(A46)+1,1)</f>
        <v>37073</v>
      </c>
      <c r="B47" s="40" t="n">
        <f aca="false">VLOOKUP(A47,STRADDLE,5,FALSE())</f>
        <v>4.42071428571429</v>
      </c>
      <c r="C47" s="4" t="n">
        <f aca="false">VLOOKUP(A47,STRADDLE,8,FALSE())</f>
        <v>0.3925</v>
      </c>
      <c r="D47" s="136" t="n">
        <f aca="false">VLOOKUP(A47,expiration,2,FALSE())-$B$2</f>
        <v>-8857</v>
      </c>
      <c r="E47" s="131" t="e">
        <f aca="false">AY47</f>
        <v>#NAME?</v>
      </c>
      <c r="F47" s="131" t="e">
        <f aca="false">CG47</f>
        <v>#NAME?</v>
      </c>
      <c r="G47" s="131" t="e">
        <f aca="false">DO47</f>
        <v>#NAME?</v>
      </c>
      <c r="H47" s="131" t="e">
        <f aca="false">EW47</f>
        <v>#NAME?</v>
      </c>
      <c r="I47" s="41"/>
      <c r="J47" s="154"/>
      <c r="K47" s="40" t="n">
        <f aca="false">IF($B$3="NYMEX",0,VLOOKUP($A47,curvesettle,HLOOKUP($B$3,curvesettle,2,FALSE()),FALSE()))</f>
        <v>0.46</v>
      </c>
      <c r="L47" s="40" t="n">
        <f aca="false">IF($B$4="NYMEX",0,VLOOKUP($A47,curvesettle,HLOOKUP($B$4,curvesettle,2,FALSE()),FALSE()))</f>
        <v>0</v>
      </c>
      <c r="M47" s="131" t="n">
        <f aca="false">IF(ISNUMBER(VLOOKUP($A47,VOLCURVES,HLOOKUP($B$3,VOLCURVES,2,FALSE()),FALSE())),VLOOKUP($A47,VOLCURVES,HLOOKUP($B$3,VOLCURVES,2,FALSE()),FALSE()),1)</f>
        <v>0.98</v>
      </c>
      <c r="N47" s="131" t="n">
        <f aca="false">IF(ISNUMBER(VLOOKUP($A47,VOLCURVES,HLOOKUP($B$4,VOLCURVES,2,FALSE()),FALSE())),VLOOKUP($A47,VOLCURVES,HLOOKUP($B$4,VOLCURVES,2,FALSE()),FALSE()),1)</f>
        <v>1</v>
      </c>
      <c r="O47" s="131" t="n">
        <f aca="false">IF(ISNUMBER(VLOOKUP($A47,CORETABLE,HLOOKUP($B$3,CORETABLE,2,FALSE()),FALSE())),VLOOKUP($A47,CORETABLE,HLOOKUP($B$3,CORETABLE,2,FALSE()),FALSE()),0.99)</f>
        <v>0.9773</v>
      </c>
      <c r="P47" s="155" t="n">
        <f aca="false">B$18</f>
        <v>2</v>
      </c>
      <c r="Q47" s="131"/>
      <c r="R47" s="40" t="n">
        <f aca="false">IF($D$3="NYMEX",0,VLOOKUP($A47,curvesettle,HLOOKUP($D$3,curvesettle,2,FALSE()),FALSE()))</f>
        <v>0.0475</v>
      </c>
      <c r="S47" s="40" t="n">
        <f aca="false">IF($D$4="NYMEX",0,VLOOKUP($A47,curvesettle,HLOOKUP($D$4,curvesettle,2,FALSE()),FALSE()))</f>
        <v>0</v>
      </c>
      <c r="T47" s="131" t="n">
        <f aca="false">IF(ISNUMBER(VLOOKUP($A47,VOLCURVES,HLOOKUP($D$3,VOLCURVES,2,FALSE()),FALSE())),VLOOKUP($A47,VOLCURVES,HLOOKUP($D$3,VOLCURVES,2,FALSE()),FALSE()),1)</f>
        <v>1</v>
      </c>
      <c r="U47" s="131" t="n">
        <f aca="false">IF(ISNUMBER(VLOOKUP($A47,VOLCURVES,HLOOKUP($D$4,VOLCURVES,2,FALSE()),FALSE())),VLOOKUP($A47,VOLCURVES,HLOOKUP($D$4,VOLCURVES,2,FALSE()),FALSE()),1)</f>
        <v>1</v>
      </c>
      <c r="V47" s="131" t="n">
        <f aca="false">IF(ISNUMBER(VLOOKUP($A47,CORETABLE,HLOOKUP($D$3,CORETABLE,2,FALSE()),FALSE())),VLOOKUP($A47,CORETABLE,HLOOKUP($D$3,CORETABLE,2,FALSE()),FALSE()),0.99)</f>
        <v>0.994071440191916</v>
      </c>
      <c r="W47" s="155" t="n">
        <f aca="false">D$18</f>
        <v>0.2</v>
      </c>
      <c r="X47" s="131"/>
      <c r="Y47" s="40" t="n">
        <f aca="false">IF($F$3="NYMEX",0,VLOOKUP($A47,curvesettle,HLOOKUP($F$3,curvesettle,2,FALSE()),FALSE()))</f>
        <v>0.46</v>
      </c>
      <c r="Z47" s="40" t="n">
        <f aca="false">IF($F$4="NYMEX",0,VLOOKUP($A47,curvesettle,HLOOKUP($F$4,curvesettle,2,FALSE()),FALSE()))</f>
        <v>0</v>
      </c>
      <c r="AA47" s="131" t="n">
        <f aca="false">IF(ISNUMBER(VLOOKUP($A47,VOLCURVES,HLOOKUP($F$3,VOLCURVES,2,FALSE()),FALSE())),VLOOKUP($A47,VOLCURVES,HLOOKUP($F$3,VOLCURVES,2,FALSE()),FALSE()),1)</f>
        <v>0.98</v>
      </c>
      <c r="AB47" s="131" t="n">
        <f aca="false">IF(ISNUMBER(VLOOKUP($A47,VOLCURVES,HLOOKUP($F$4,VOLCURVES,2,FALSE()),FALSE())),VLOOKUP($A47,VOLCURVES,HLOOKUP($F$4,VOLCURVES,2,FALSE()),FALSE()),1)</f>
        <v>1</v>
      </c>
      <c r="AC47" s="131" t="n">
        <f aca="false">IF(ISNUMBER(VLOOKUP($A47,CORETABLE,HLOOKUP($F$3,CORETABLE,2,FALSE()),FALSE())),VLOOKUP($A47,CORETABLE,HLOOKUP($F$3,CORETABLE,2,FALSE()),FALSE()),1)</f>
        <v>0.9773</v>
      </c>
      <c r="AD47" s="155" t="n">
        <f aca="false">F$18</f>
        <v>1.85</v>
      </c>
      <c r="AE47" s="131"/>
      <c r="AF47" s="40" t="n">
        <f aca="false">IF($H$3="NYMEX",0,VLOOKUP($A47,curvesettle,HLOOKUP($H$3,curvesettle,2,FALSE()),FALSE()))</f>
        <v>0.46</v>
      </c>
      <c r="AG47" s="40" t="n">
        <f aca="false">IF($H$4="NYMEX",0,VLOOKUP($A47,curvesettle,HLOOKUP($H$4,curvesettle,2,FALSE()),FALSE()))</f>
        <v>0</v>
      </c>
      <c r="AH47" s="131" t="n">
        <f aca="false">IF(ISNUMBER(VLOOKUP($A47,VOLCURVES,HLOOKUP($H$3,VOLCURVES,2,FALSE()),FALSE())),VLOOKUP($A47,VOLCURVES,HLOOKUP($H$3,VOLCURVES,2,FALSE()),FALSE()),1)</f>
        <v>0.98</v>
      </c>
      <c r="AI47" s="131" t="n">
        <f aca="false">IF(ISNUMBER(VLOOKUP($A47,VOLCURVES,HLOOKUP($H$4,VOLCURVES,2,FALSE()),FALSE())),VLOOKUP($A47,VOLCURVES,HLOOKUP($H$4,VOLCURVES,2,FALSE()),FALSE()),1)</f>
        <v>1</v>
      </c>
      <c r="AJ47" s="131" t="n">
        <f aca="false">IF(ISNUMBER(VLOOKUP($A47,CORETABLE,HLOOKUP($H$3,CORETABLE,2,FALSE()),FALSE())),VLOOKUP($A47,CORETABLE,HLOOKUP($H$3,CORETABLE,2,FALSE()),FALSE()),1)</f>
        <v>0.9773</v>
      </c>
      <c r="AK47" s="155" t="n">
        <f aca="false">H$18</f>
        <v>1.85</v>
      </c>
      <c r="AM47" s="4" t="n">
        <f aca="false">VLOOKUP($A47,STRADDLE,12,FALSE())</f>
        <v>0.067795554865608</v>
      </c>
      <c r="AN47" s="43" t="n">
        <f aca="false">A48-A47</f>
        <v>31</v>
      </c>
      <c r="AP47" s="9" t="n">
        <f aca="false">IF($A47&gt;=AR$32,IF($A47&lt;=AR$33,$AN47,0),0)</f>
        <v>0</v>
      </c>
      <c r="AQ47" s="123" t="n">
        <f aca="false">$B47+$K47+$B$12</f>
        <v>4.91071428571429</v>
      </c>
      <c r="AR47" s="123" t="n">
        <f aca="false">$B47+$L47+$B$13</f>
        <v>4.42071428571429</v>
      </c>
      <c r="AS47" s="123" t="n">
        <f aca="false">AQ47*AP47</f>
        <v>0</v>
      </c>
      <c r="AT47" s="123" t="n">
        <f aca="false">AR47*AP47</f>
        <v>0</v>
      </c>
      <c r="AU47" s="156" t="n">
        <f aca="false">($C47*$M47)+$B$14</f>
        <v>0.38465</v>
      </c>
      <c r="AV47" s="156" t="n">
        <f aca="false">($C47*$N47)+$B$15</f>
        <v>0.3925</v>
      </c>
      <c r="AW47" s="131" t="n">
        <f aca="false">O47+B$16</f>
        <v>0.9773</v>
      </c>
      <c r="AX47" s="157" t="n">
        <f aca="false">IF(AP47=0,0,SPRDOPT(AQ47,AR47,$P47,$AM47,AU47,AV47,AW47,$D47,$B$19,0))</f>
        <v>0</v>
      </c>
      <c r="AY47" s="157" t="e">
        <f aca="false">IF(AQ47=0,0,SPRDOPT(AQ47,AR47,$P47,$AM47,AU47,AV47,AW47,$D47,$B$19,1))</f>
        <v>#NAME?</v>
      </c>
      <c r="AZ47" s="157" t="e">
        <f aca="false">IF(AR47=0,0,SPRDOPT(AQ47,AR47,$P47,$AM47,AU47,AV47,AW47,$D47,$B$19,2))</f>
        <v>#NAME?</v>
      </c>
      <c r="BA47" s="157" t="n">
        <f aca="false">IF(AS47=0,0,SPRDOPT(AQ47,AR47,$P47,$AM47,AU47,AV47,AW47,$D47,$B$19,3)/100)</f>
        <v>0</v>
      </c>
      <c r="BB47" s="157" t="n">
        <f aca="false">IF(AT47=0,0,SPRDOPT(AQ47,AR47,$P47,$AM47,AU47,AV47,AW47,$D47,$B$19,4)/100)</f>
        <v>0</v>
      </c>
      <c r="BC47" s="157" t="e">
        <f aca="false">IF(AU47=0,0,SPRDOPT(AQ47,AR47,$P47,$AM47,AU47,AV47,AW47,$D47,$B$19,5)/100)</f>
        <v>#NAME?</v>
      </c>
      <c r="BD47" s="157" t="e">
        <f aca="false">IF(AV47=0,0,SPRDOPT(AQ47,AR47,$P47,$AM47,AU47,AV47,AW47,$D47,$B$19,6)/100)</f>
        <v>#NAME?</v>
      </c>
      <c r="BE47" s="157" t="e">
        <f aca="false">IF(AW47=0,0,SPRDOPT(AQ47,AR47,$P47,$AM47,AU47,AV47,AW47,$D47,$B$19,7)/100)</f>
        <v>#NAME?</v>
      </c>
      <c r="BF47" s="157" t="n">
        <f aca="false">IF(AX47=0,0,SPRDOPT(AQ47,AR47,$P47,$AM47,AU47,AV47,AW47,$D47,$B$19,9)/365)</f>
        <v>0</v>
      </c>
      <c r="BG47" s="157" t="e">
        <f aca="false">AY47+AZ47</f>
        <v>#NAME?</v>
      </c>
      <c r="BH47" s="157" t="n">
        <f aca="false">BB47-BA47</f>
        <v>0</v>
      </c>
      <c r="BI47" s="157" t="e">
        <f aca="false">((AU47/AV47)*BC47)+BD47</f>
        <v>#NAME?</v>
      </c>
      <c r="BJ47" s="44"/>
      <c r="BK47" s="45" t="n">
        <f aca="false">$AP47*AX47</f>
        <v>0</v>
      </c>
      <c r="BL47" s="45" t="e">
        <f aca="false">$AP47*AY47</f>
        <v>#NAME?</v>
      </c>
      <c r="BM47" s="45" t="e">
        <f aca="false">$AP47*AZ47</f>
        <v>#NAME?</v>
      </c>
      <c r="BN47" s="45" t="n">
        <f aca="false">$AP47*BA47</f>
        <v>0</v>
      </c>
      <c r="BO47" s="45" t="n">
        <f aca="false">$AP47*BB47</f>
        <v>0</v>
      </c>
      <c r="BP47" s="45" t="e">
        <f aca="false">$AP47*BC47</f>
        <v>#NAME?</v>
      </c>
      <c r="BQ47" s="45" t="e">
        <f aca="false">$AP47*BD47</f>
        <v>#NAME?</v>
      </c>
      <c r="BR47" s="45" t="e">
        <f aca="false">$AP47*BE47</f>
        <v>#NAME?</v>
      </c>
      <c r="BS47" s="45" t="n">
        <f aca="false">$AP47*BF47</f>
        <v>0</v>
      </c>
      <c r="BT47" s="45" t="e">
        <f aca="false">$AP47*BG47</f>
        <v>#NAME?</v>
      </c>
      <c r="BU47" s="45" t="n">
        <f aca="false">$AP47*BH47</f>
        <v>0</v>
      </c>
      <c r="BV47" s="45" t="e">
        <f aca="false">$AP47*BI47</f>
        <v>#NAME?</v>
      </c>
      <c r="BX47" s="9" t="n">
        <f aca="false">IF($A47&gt;=BZ$32,IF($A47&lt;=BZ$33,$AN47,0),0)</f>
        <v>0</v>
      </c>
      <c r="BY47" s="123" t="n">
        <f aca="false">$B47+$R47+$D$12</f>
        <v>4.46821428571429</v>
      </c>
      <c r="BZ47" s="123" t="n">
        <f aca="false">$B47+$S47+$D$13</f>
        <v>4.42071428571429</v>
      </c>
      <c r="CA47" s="123" t="n">
        <f aca="false">BY47*BX47</f>
        <v>0</v>
      </c>
      <c r="CB47" s="123" t="n">
        <f aca="false">BZ47*BX47</f>
        <v>0</v>
      </c>
      <c r="CC47" s="156" t="n">
        <f aca="false">($C47*$T47)+$D$14</f>
        <v>0.3925</v>
      </c>
      <c r="CD47" s="156" t="n">
        <f aca="false">($C47*$U47)+$D$15</f>
        <v>0.3925</v>
      </c>
      <c r="CE47" s="131" t="n">
        <f aca="false">$V47+D$16</f>
        <v>0.994071440191916</v>
      </c>
      <c r="CF47" s="157" t="n">
        <f aca="false">IF(BX47=0,0,SPRDOPT(BY47,BZ47,$W47,$AM47,CC47,CD47,CE47,$D47,$D$19,0))</f>
        <v>0</v>
      </c>
      <c r="CG47" s="157" t="e">
        <f aca="false">IF(BY47=0,0,SPRDOPT(BY47,BZ47,$W47,$AM47,CC47,CD47,CE47,$D47,$D$19,1))</f>
        <v>#NAME?</v>
      </c>
      <c r="CH47" s="157" t="e">
        <f aca="false">IF(BZ47=0,0,SPRDOPT(BY47,BZ47,$W47,$AM47,CC47,CD47,CE47,$D47,$D$19,2))</f>
        <v>#NAME?</v>
      </c>
      <c r="CI47" s="157" t="n">
        <f aca="false">IF(CA47=0,0,SPRDOPT(BY47,BZ47,$W47,$AM47,CC47,CD47,CE47,$D47,$D$19,3)/100)</f>
        <v>0</v>
      </c>
      <c r="CJ47" s="157" t="n">
        <f aca="false">IF(CB47=0,0,SPRDOPT(BY47,BZ47,$W47,$AM47,CC47,CD47,CE47,$D47,$D$19,4)/100)</f>
        <v>0</v>
      </c>
      <c r="CK47" s="157" t="e">
        <f aca="false">IF(CC47=0,0,SPRDOPT(BY47,BZ47,$W47,$AM47,CC47,CD47,CE47,$D47,$D$19,5)/100)</f>
        <v>#NAME?</v>
      </c>
      <c r="CL47" s="157" t="e">
        <f aca="false">IF(CD47=0,0,SPRDOPT(BY47,BZ47,$W47,$AM47,CC47,CD47,CE47,$D47,$D$19,6)/100)</f>
        <v>#NAME?</v>
      </c>
      <c r="CM47" s="157" t="e">
        <f aca="false">IF(CE47=0,0,SPRDOPT(BY47,BZ47,$W47,$AM47,CC47,CD47,CE47,$D47,$D$19,7)/100)</f>
        <v>#NAME?</v>
      </c>
      <c r="CN47" s="157" t="n">
        <f aca="false">IF(CF47=0,0,SPRDOPT(BY47,BZ47,$W47,$AM47,CC47,CD47,CE47,$D47,$D$19,9)/365)</f>
        <v>0</v>
      </c>
      <c r="CO47" s="157" t="e">
        <f aca="false">CG47+CH47</f>
        <v>#NAME?</v>
      </c>
      <c r="CP47" s="157" t="n">
        <f aca="false">CJ47-CI47</f>
        <v>0</v>
      </c>
      <c r="CQ47" s="157" t="e">
        <f aca="false">((CC47/CD47)*CK47)+CL47</f>
        <v>#NAME?</v>
      </c>
      <c r="CR47" s="44"/>
      <c r="CS47" s="45" t="n">
        <f aca="false">BX47*CF47</f>
        <v>0</v>
      </c>
      <c r="CT47" s="45" t="e">
        <f aca="false">BX47*CG47</f>
        <v>#NAME?</v>
      </c>
      <c r="CU47" s="45" t="e">
        <f aca="false">BX47*CH47</f>
        <v>#NAME?</v>
      </c>
      <c r="CV47" s="45" t="n">
        <f aca="false">BX47*CI47</f>
        <v>0</v>
      </c>
      <c r="CW47" s="45" t="n">
        <f aca="false">BX47*CJ47</f>
        <v>0</v>
      </c>
      <c r="CX47" s="45" t="e">
        <f aca="false">BX47*CK47</f>
        <v>#NAME?</v>
      </c>
      <c r="CY47" s="45" t="e">
        <f aca="false">BX47*CL47</f>
        <v>#NAME?</v>
      </c>
      <c r="CZ47" s="45" t="e">
        <f aca="false">BX47*CM47</f>
        <v>#NAME?</v>
      </c>
      <c r="DA47" s="45" t="n">
        <f aca="false">BX47*CN47</f>
        <v>0</v>
      </c>
      <c r="DB47" s="45" t="e">
        <f aca="false">BX47*CO47</f>
        <v>#NAME?</v>
      </c>
      <c r="DC47" s="45" t="n">
        <f aca="false">BX47*CP47</f>
        <v>0</v>
      </c>
      <c r="DD47" s="45" t="e">
        <f aca="false">BX47*CQ47</f>
        <v>#NAME?</v>
      </c>
      <c r="DF47" s="9" t="n">
        <f aca="false">IF($A47&gt;=DH$32,IF($A47&lt;=DH$33,$AN47,0),0)</f>
        <v>0</v>
      </c>
      <c r="DG47" s="123" t="n">
        <f aca="false">$B47+$Y47+$F$12</f>
        <v>4.91071428571429</v>
      </c>
      <c r="DH47" s="123" t="n">
        <f aca="false">$B47+$Z47+$F$13</f>
        <v>4.42071428571429</v>
      </c>
      <c r="DI47" s="123" t="n">
        <f aca="false">DG47*DF47</f>
        <v>0</v>
      </c>
      <c r="DJ47" s="123" t="n">
        <f aca="false">DH47*DF47</f>
        <v>0</v>
      </c>
      <c r="DK47" s="156" t="n">
        <f aca="false">($C47*$AA47)+$F$14</f>
        <v>0.38465</v>
      </c>
      <c r="DL47" s="156" t="n">
        <f aca="false">($C47*$AB47)+$F$15</f>
        <v>0.3925</v>
      </c>
      <c r="DM47" s="131" t="n">
        <f aca="false">$AC47+$F$16</f>
        <v>0.9773</v>
      </c>
      <c r="DN47" s="157" t="n">
        <f aca="false">IF(DF47=0,0,SPRDOPT(DG47,DH47,$AD47,$AM47,DK47,DL47,DM47,$D47,$F$19,0))</f>
        <v>0</v>
      </c>
      <c r="DO47" s="157" t="e">
        <f aca="false">IF(DG47=0,0,SPRDOPT(DG47,DH47,$AD47,$AM47,DK47,DL47,DM47,$D47,$F$19,1))</f>
        <v>#NAME?</v>
      </c>
      <c r="DP47" s="157" t="e">
        <f aca="false">IF(DH47=0,0,SPRDOPT(DG47,DH47,$AD47,$AM47,DK47,DL47,DM47,$D47,$F$19,2))</f>
        <v>#NAME?</v>
      </c>
      <c r="DQ47" s="157" t="n">
        <f aca="false">IF(DI47=0,0,SPRDOPT(DG47,DH47,$AD47,$AM47,DK47,DL47,DM47,$D47,$F$19,3)/100)</f>
        <v>0</v>
      </c>
      <c r="DR47" s="157" t="n">
        <f aca="false">IF(DJ47=0,0,SPRDOPT(DG47,DH47,$AD47,$AM47,DK47,DL47,DM47,$D47,$F$19,4)/100)</f>
        <v>0</v>
      </c>
      <c r="DS47" s="157" t="e">
        <f aca="false">IF(DK47=0,0,SPRDOPT(DG47,DH47,$AD47,$AM47,DK47,DL47,DM47,$D47,$F$19,5)/100)</f>
        <v>#NAME?</v>
      </c>
      <c r="DT47" s="157" t="e">
        <f aca="false">IF(DL47=0,0,SPRDOPT(DG47,DH47,$AD47,$AM47,DK47,DL47,DM47,$D47,$F$19,6)/100)</f>
        <v>#NAME?</v>
      </c>
      <c r="DU47" s="157" t="e">
        <f aca="false">IF(DM47=0,0,SPRDOPT(DG47,DH47,$AD47,$AM47,DK47,DL47,DM47,$D47,$F$19,7)/100)</f>
        <v>#NAME?</v>
      </c>
      <c r="DV47" s="157" t="n">
        <f aca="false">IF(DN47=0,0,SPRDOPT(DG47,DH47,$AD47,$AM47,DK47,DL47,DM47,$D47,$F$19,9)/365)</f>
        <v>0</v>
      </c>
      <c r="DW47" s="157" t="e">
        <f aca="false">DO47+DP47</f>
        <v>#NAME?</v>
      </c>
      <c r="DX47" s="157" t="n">
        <f aca="false">DR47-DQ47</f>
        <v>0</v>
      </c>
      <c r="DY47" s="157" t="e">
        <f aca="false">((DK47/DL47)*DS47)+DT47</f>
        <v>#NAME?</v>
      </c>
      <c r="DZ47" s="44"/>
      <c r="EA47" s="45" t="n">
        <f aca="false">DF47*DN47</f>
        <v>0</v>
      </c>
      <c r="EB47" s="45" t="e">
        <f aca="false">DF47*DO47</f>
        <v>#NAME?</v>
      </c>
      <c r="EC47" s="45" t="e">
        <f aca="false">DF47*DP47</f>
        <v>#NAME?</v>
      </c>
      <c r="ED47" s="45" t="n">
        <f aca="false">DF47*DQ47</f>
        <v>0</v>
      </c>
      <c r="EE47" s="45" t="n">
        <f aca="false">DF47*DR47</f>
        <v>0</v>
      </c>
      <c r="EF47" s="45" t="e">
        <f aca="false">DF47*DS47</f>
        <v>#NAME?</v>
      </c>
      <c r="EG47" s="45" t="e">
        <f aca="false">DF47*DT47</f>
        <v>#NAME?</v>
      </c>
      <c r="EH47" s="45" t="e">
        <f aca="false">DF47*DU47</f>
        <v>#NAME?</v>
      </c>
      <c r="EI47" s="45" t="n">
        <f aca="false">DF47*DV47</f>
        <v>0</v>
      </c>
      <c r="EJ47" s="45" t="e">
        <f aca="false">DF47*DW47</f>
        <v>#NAME?</v>
      </c>
      <c r="EK47" s="45" t="n">
        <f aca="false">DF47*DX47</f>
        <v>0</v>
      </c>
      <c r="EL47" s="45" t="e">
        <f aca="false">DF47*DY47</f>
        <v>#NAME?</v>
      </c>
      <c r="EN47" s="9" t="n">
        <f aca="false">IF($A47&gt;=EP$32,IF($A47&lt;=EP$33,$AN47,0),0)</f>
        <v>0</v>
      </c>
      <c r="EO47" s="123" t="n">
        <f aca="false">$B47+$AF47+$H$12</f>
        <v>4.91071428571429</v>
      </c>
      <c r="EP47" s="123" t="n">
        <f aca="false">$B47+$AG47+$H$13</f>
        <v>4.42071428571429</v>
      </c>
      <c r="EQ47" s="123" t="n">
        <f aca="false">EO47*EN47</f>
        <v>0</v>
      </c>
      <c r="ER47" s="123" t="n">
        <f aca="false">EP47*EN47</f>
        <v>0</v>
      </c>
      <c r="ES47" s="156" t="n">
        <f aca="false">($C47*$AH47)+$H$14</f>
        <v>0.38465</v>
      </c>
      <c r="ET47" s="156" t="n">
        <f aca="false">($C47*$AI47)+$H$15</f>
        <v>0.3925</v>
      </c>
      <c r="EU47" s="131" t="n">
        <f aca="false">$AJ47+$H$16</f>
        <v>0.9773</v>
      </c>
      <c r="EV47" s="157" t="n">
        <f aca="false">IF(EN47=0,0,SPRDOPT(EO47,EP47,$AK47,$AM47,ES47,ET47,EU47,$D47,$H$19,0))</f>
        <v>0</v>
      </c>
      <c r="EW47" s="157" t="e">
        <f aca="false">IF(EO47=0,0,SPRDOPT(EO47,EP47,$AK47,$AM47,ES47,ET47,EU47,$D47,$H$19,1))</f>
        <v>#NAME?</v>
      </c>
      <c r="EX47" s="157" t="e">
        <f aca="false">IF(EP47=0,0,SPRDOPT(EO47,EP47,$AK47,$AM47,ES47,ET47,EU47,$D47,$H$19,2))</f>
        <v>#NAME?</v>
      </c>
      <c r="EY47" s="157" t="n">
        <f aca="false">IF(EQ47=0,0,SPRDOPT(EO47,EP47,$AK47,$AM47,ES47,ET47,EU47,$D47,$H$19,3)/100)</f>
        <v>0</v>
      </c>
      <c r="EZ47" s="157" t="n">
        <f aca="false">IF(ER47=0,0,SPRDOPT(EO47,EP47,$AK47,$AM47,ES47,ET47,EU47,$D47,$H$19,4)/100)</f>
        <v>0</v>
      </c>
      <c r="FA47" s="157" t="e">
        <f aca="false">IF(ES47=0,0,SPRDOPT(EO47,EP47,$AK47,$AM47,ES47,ET47,EU47,$D47,$H$19,5)/100)</f>
        <v>#NAME?</v>
      </c>
      <c r="FB47" s="157" t="e">
        <f aca="false">IF(ET47=0,0,SPRDOPT(EO47,EP47,$AK47,$AM47,ES47,ET47,EU47,$D47,$H$19,6)/100)</f>
        <v>#NAME?</v>
      </c>
      <c r="FC47" s="157" t="e">
        <f aca="false">IF(EU47=0,0,SPRDOPT(EO47,EP47,$AK47,$AM47,ES47,ET47,EU47,$D47,$H$19,7)/100)</f>
        <v>#NAME?</v>
      </c>
      <c r="FD47" s="157" t="n">
        <f aca="false">IF(EV47=0,0,SPRDOPT(EO47,EP47,$AK47,$AM47,ES47,ET47,EU47,$D47,$H$19,9)/365)</f>
        <v>0</v>
      </c>
      <c r="FE47" s="157" t="e">
        <f aca="false">EW47+EX47</f>
        <v>#NAME?</v>
      </c>
      <c r="FF47" s="157" t="n">
        <f aca="false">EZ47-EY47</f>
        <v>0</v>
      </c>
      <c r="FG47" s="157" t="e">
        <f aca="false">((ES47/ET47)*FA47)+FB47</f>
        <v>#NAME?</v>
      </c>
      <c r="FH47" s="44"/>
      <c r="FI47" s="45" t="n">
        <f aca="false">$EN47*EV47</f>
        <v>0</v>
      </c>
      <c r="FJ47" s="45" t="e">
        <f aca="false">$EN47*EW47</f>
        <v>#NAME?</v>
      </c>
      <c r="FK47" s="45" t="e">
        <f aca="false">$EN47*EX47</f>
        <v>#NAME?</v>
      </c>
      <c r="FL47" s="45" t="n">
        <f aca="false">$EN47*EY47</f>
        <v>0</v>
      </c>
      <c r="FM47" s="45" t="n">
        <f aca="false">$EN47*EZ47</f>
        <v>0</v>
      </c>
      <c r="FN47" s="45" t="e">
        <f aca="false">$EN47*FA47</f>
        <v>#NAME?</v>
      </c>
      <c r="FO47" s="45" t="e">
        <f aca="false">$EN47*FB47</f>
        <v>#NAME?</v>
      </c>
      <c r="FP47" s="45" t="e">
        <f aca="false">$EN47*FC47</f>
        <v>#NAME?</v>
      </c>
      <c r="FQ47" s="45" t="n">
        <f aca="false">$EN47*FD47</f>
        <v>0</v>
      </c>
      <c r="FR47" s="45" t="e">
        <f aca="false">$EN47*FE47</f>
        <v>#NAME?</v>
      </c>
      <c r="FS47" s="45" t="n">
        <f aca="false">$EN47*FF47</f>
        <v>0</v>
      </c>
      <c r="FT47" s="45" t="e">
        <f aca="false">$EN47*FG47</f>
        <v>#NAME?</v>
      </c>
    </row>
    <row r="48" customFormat="false" ht="12.75" hidden="false" customHeight="false" outlineLevel="0" collapsed="false">
      <c r="A48" s="48" t="n">
        <f aca="false">DATE(YEAR(A47),MONTH(A47)+1,1)</f>
        <v>37104</v>
      </c>
      <c r="B48" s="40" t="n">
        <f aca="false">VLOOKUP(A48,STRADDLE,5,FALSE())</f>
        <v>4.41071428571429</v>
      </c>
      <c r="C48" s="4" t="n">
        <f aca="false">VLOOKUP(A48,STRADDLE,8,FALSE())</f>
        <v>0.3925</v>
      </c>
      <c r="D48" s="136" t="n">
        <f aca="false">VLOOKUP(A48,expiration,2,FALSE())-$B$2</f>
        <v>-8827</v>
      </c>
      <c r="E48" s="131" t="e">
        <f aca="false">AY48</f>
        <v>#NAME?</v>
      </c>
      <c r="F48" s="131" t="e">
        <f aca="false">CG48</f>
        <v>#NAME?</v>
      </c>
      <c r="G48" s="131" t="e">
        <f aca="false">DO48</f>
        <v>#NAME?</v>
      </c>
      <c r="H48" s="131" t="e">
        <f aca="false">EW48</f>
        <v>#NAME?</v>
      </c>
      <c r="I48" s="41"/>
      <c r="J48" s="154"/>
      <c r="K48" s="40" t="n">
        <f aca="false">IF($B$3="NYMEX",0,VLOOKUP($A48,curvesettle,HLOOKUP($B$3,curvesettle,2,FALSE()),FALSE()))</f>
        <v>0.46</v>
      </c>
      <c r="L48" s="40" t="n">
        <f aca="false">IF($B$4="NYMEX",0,VLOOKUP($A48,curvesettle,HLOOKUP($B$4,curvesettle,2,FALSE()),FALSE()))</f>
        <v>0</v>
      </c>
      <c r="M48" s="131" t="n">
        <f aca="false">IF(ISNUMBER(VLOOKUP($A48,VOLCURVES,HLOOKUP($B$3,VOLCURVES,2,FALSE()),FALSE())),VLOOKUP($A48,VOLCURVES,HLOOKUP($B$3,VOLCURVES,2,FALSE()),FALSE()),1)</f>
        <v>0.98</v>
      </c>
      <c r="N48" s="131" t="n">
        <f aca="false">IF(ISNUMBER(VLOOKUP($A48,VOLCURVES,HLOOKUP($B$4,VOLCURVES,2,FALSE()),FALSE())),VLOOKUP($A48,VOLCURVES,HLOOKUP($B$4,VOLCURVES,2,FALSE()),FALSE()),1)</f>
        <v>1</v>
      </c>
      <c r="O48" s="131" t="n">
        <f aca="false">IF(ISNUMBER(VLOOKUP($A48,CORETABLE,HLOOKUP($B$3,CORETABLE,2,FALSE()),FALSE())),VLOOKUP($A48,CORETABLE,HLOOKUP($B$3,CORETABLE,2,FALSE()),FALSE()),0.99)</f>
        <v>0.9773</v>
      </c>
      <c r="P48" s="155" t="n">
        <f aca="false">B$18</f>
        <v>2</v>
      </c>
      <c r="Q48" s="131"/>
      <c r="R48" s="40" t="n">
        <f aca="false">IF($D$3="NYMEX",0,VLOOKUP($A48,curvesettle,HLOOKUP($D$3,curvesettle,2,FALSE()),FALSE()))</f>
        <v>0.06</v>
      </c>
      <c r="S48" s="40" t="n">
        <f aca="false">IF($D$4="NYMEX",0,VLOOKUP($A48,curvesettle,HLOOKUP($D$4,curvesettle,2,FALSE()),FALSE()))</f>
        <v>0</v>
      </c>
      <c r="T48" s="131" t="n">
        <f aca="false">IF(ISNUMBER(VLOOKUP($A48,VOLCURVES,HLOOKUP($D$3,VOLCURVES,2,FALSE()),FALSE())),VLOOKUP($A48,VOLCURVES,HLOOKUP($D$3,VOLCURVES,2,FALSE()),FALSE()),1)</f>
        <v>1</v>
      </c>
      <c r="U48" s="131" t="n">
        <f aca="false">IF(ISNUMBER(VLOOKUP($A48,VOLCURVES,HLOOKUP($D$4,VOLCURVES,2,FALSE()),FALSE())),VLOOKUP($A48,VOLCURVES,HLOOKUP($D$4,VOLCURVES,2,FALSE()),FALSE()),1)</f>
        <v>1</v>
      </c>
      <c r="V48" s="131" t="n">
        <f aca="false">IF(ISNUMBER(VLOOKUP($A48,CORETABLE,HLOOKUP($D$3,CORETABLE,2,FALSE()),FALSE())),VLOOKUP($A48,CORETABLE,HLOOKUP($D$3,CORETABLE,2,FALSE()),FALSE()),0.99)</f>
        <v>0.994071440191916</v>
      </c>
      <c r="W48" s="155" t="n">
        <f aca="false">D$18</f>
        <v>0.2</v>
      </c>
      <c r="X48" s="131"/>
      <c r="Y48" s="40" t="n">
        <f aca="false">IF($F$3="NYMEX",0,VLOOKUP($A48,curvesettle,HLOOKUP($F$3,curvesettle,2,FALSE()),FALSE()))</f>
        <v>0.46</v>
      </c>
      <c r="Z48" s="40" t="n">
        <f aca="false">IF($F$4="NYMEX",0,VLOOKUP($A48,curvesettle,HLOOKUP($F$4,curvesettle,2,FALSE()),FALSE()))</f>
        <v>0</v>
      </c>
      <c r="AA48" s="131" t="n">
        <f aca="false">IF(ISNUMBER(VLOOKUP($A48,VOLCURVES,HLOOKUP($F$3,VOLCURVES,2,FALSE()),FALSE())),VLOOKUP($A48,VOLCURVES,HLOOKUP($F$3,VOLCURVES,2,FALSE()),FALSE()),1)</f>
        <v>0.98</v>
      </c>
      <c r="AB48" s="131" t="n">
        <f aca="false">IF(ISNUMBER(VLOOKUP($A48,VOLCURVES,HLOOKUP($F$4,VOLCURVES,2,FALSE()),FALSE())),VLOOKUP($A48,VOLCURVES,HLOOKUP($F$4,VOLCURVES,2,FALSE()),FALSE()),1)</f>
        <v>1</v>
      </c>
      <c r="AC48" s="131" t="n">
        <f aca="false">IF(ISNUMBER(VLOOKUP($A48,CORETABLE,HLOOKUP($F$3,CORETABLE,2,FALSE()),FALSE())),VLOOKUP($A48,CORETABLE,HLOOKUP($F$3,CORETABLE,2,FALSE()),FALSE()),1)</f>
        <v>0.9773</v>
      </c>
      <c r="AD48" s="155" t="n">
        <f aca="false">F$18</f>
        <v>1.85</v>
      </c>
      <c r="AE48" s="131"/>
      <c r="AF48" s="40" t="n">
        <f aca="false">IF($H$3="NYMEX",0,VLOOKUP($A48,curvesettle,HLOOKUP($H$3,curvesettle,2,FALSE()),FALSE()))</f>
        <v>0.46</v>
      </c>
      <c r="AG48" s="40" t="n">
        <f aca="false">IF($H$4="NYMEX",0,VLOOKUP($A48,curvesettle,HLOOKUP($H$4,curvesettle,2,FALSE()),FALSE()))</f>
        <v>0</v>
      </c>
      <c r="AH48" s="131" t="n">
        <f aca="false">IF(ISNUMBER(VLOOKUP($A48,VOLCURVES,HLOOKUP($H$3,VOLCURVES,2,FALSE()),FALSE())),VLOOKUP($A48,VOLCURVES,HLOOKUP($H$3,VOLCURVES,2,FALSE()),FALSE()),1)</f>
        <v>0.98</v>
      </c>
      <c r="AI48" s="131" t="n">
        <f aca="false">IF(ISNUMBER(VLOOKUP($A48,VOLCURVES,HLOOKUP($H$4,VOLCURVES,2,FALSE()),FALSE())),VLOOKUP($A48,VOLCURVES,HLOOKUP($H$4,VOLCURVES,2,FALSE()),FALSE()),1)</f>
        <v>1</v>
      </c>
      <c r="AJ48" s="131" t="n">
        <f aca="false">IF(ISNUMBER(VLOOKUP($A48,CORETABLE,HLOOKUP($H$3,CORETABLE,2,FALSE()),FALSE())),VLOOKUP($A48,CORETABLE,HLOOKUP($H$3,CORETABLE,2,FALSE()),FALSE()),1)</f>
        <v>0.9773</v>
      </c>
      <c r="AK48" s="155" t="n">
        <f aca="false">H$18</f>
        <v>1.85</v>
      </c>
      <c r="AM48" s="4" t="n">
        <f aca="false">VLOOKUP($A48,STRADDLE,12,FALSE())</f>
        <v>0.067695044006758</v>
      </c>
      <c r="AN48" s="43" t="n">
        <f aca="false">A49-A48</f>
        <v>31</v>
      </c>
      <c r="AP48" s="9" t="n">
        <f aca="false">IF($A48&gt;=AR$32,IF($A48&lt;=AR$33,$AN48,0),0)</f>
        <v>0</v>
      </c>
      <c r="AQ48" s="123" t="n">
        <f aca="false">$B48+$K48+$B$12</f>
        <v>4.90071428571429</v>
      </c>
      <c r="AR48" s="123" t="n">
        <f aca="false">$B48+$L48+$B$13</f>
        <v>4.41071428571429</v>
      </c>
      <c r="AS48" s="123" t="n">
        <f aca="false">AQ48*AP48</f>
        <v>0</v>
      </c>
      <c r="AT48" s="123" t="n">
        <f aca="false">AR48*AP48</f>
        <v>0</v>
      </c>
      <c r="AU48" s="156" t="n">
        <f aca="false">($C48*$M48)+$B$14</f>
        <v>0.38465</v>
      </c>
      <c r="AV48" s="156" t="n">
        <f aca="false">($C48*$N48)+$B$15</f>
        <v>0.3925</v>
      </c>
      <c r="AW48" s="131" t="n">
        <f aca="false">O48+B$16</f>
        <v>0.9773</v>
      </c>
      <c r="AX48" s="157" t="n">
        <f aca="false">IF(AP48=0,0,SPRDOPT(AQ48,AR48,$P48,$AM48,AU48,AV48,AW48,$D48,$B$19,0))</f>
        <v>0</v>
      </c>
      <c r="AY48" s="157" t="e">
        <f aca="false">IF(AQ48=0,0,SPRDOPT(AQ48,AR48,$P48,$AM48,AU48,AV48,AW48,$D48,$B$19,1))</f>
        <v>#NAME?</v>
      </c>
      <c r="AZ48" s="157" t="e">
        <f aca="false">IF(AR48=0,0,SPRDOPT(AQ48,AR48,$P48,$AM48,AU48,AV48,AW48,$D48,$B$19,2))</f>
        <v>#NAME?</v>
      </c>
      <c r="BA48" s="157" t="n">
        <f aca="false">IF(AS48=0,0,SPRDOPT(AQ48,AR48,$P48,$AM48,AU48,AV48,AW48,$D48,$B$19,3)/100)</f>
        <v>0</v>
      </c>
      <c r="BB48" s="157" t="n">
        <f aca="false">IF(AT48=0,0,SPRDOPT(AQ48,AR48,$P48,$AM48,AU48,AV48,AW48,$D48,$B$19,4)/100)</f>
        <v>0</v>
      </c>
      <c r="BC48" s="157" t="e">
        <f aca="false">IF(AU48=0,0,SPRDOPT(AQ48,AR48,$P48,$AM48,AU48,AV48,AW48,$D48,$B$19,5)/100)</f>
        <v>#NAME?</v>
      </c>
      <c r="BD48" s="157" t="e">
        <f aca="false">IF(AV48=0,0,SPRDOPT(AQ48,AR48,$P48,$AM48,AU48,AV48,AW48,$D48,$B$19,6)/100)</f>
        <v>#NAME?</v>
      </c>
      <c r="BE48" s="157" t="e">
        <f aca="false">IF(AW48=0,0,SPRDOPT(AQ48,AR48,$P48,$AM48,AU48,AV48,AW48,$D48,$B$19,7)/100)</f>
        <v>#NAME?</v>
      </c>
      <c r="BF48" s="157" t="n">
        <f aca="false">IF(AX48=0,0,SPRDOPT(AQ48,AR48,$P48,$AM48,AU48,AV48,AW48,$D48,$B$19,9)/365)</f>
        <v>0</v>
      </c>
      <c r="BG48" s="157" t="e">
        <f aca="false">AY48+AZ48</f>
        <v>#NAME?</v>
      </c>
      <c r="BH48" s="157" t="n">
        <f aca="false">BB48-BA48</f>
        <v>0</v>
      </c>
      <c r="BI48" s="157" t="e">
        <f aca="false">((AU48/AV48)*BC48)+BD48</f>
        <v>#NAME?</v>
      </c>
      <c r="BJ48" s="44"/>
      <c r="BK48" s="45" t="n">
        <f aca="false">$AP48*AX48</f>
        <v>0</v>
      </c>
      <c r="BL48" s="45" t="e">
        <f aca="false">$AP48*AY48</f>
        <v>#NAME?</v>
      </c>
      <c r="BM48" s="45" t="e">
        <f aca="false">$AP48*AZ48</f>
        <v>#NAME?</v>
      </c>
      <c r="BN48" s="45" t="n">
        <f aca="false">$AP48*BA48</f>
        <v>0</v>
      </c>
      <c r="BO48" s="45" t="n">
        <f aca="false">$AP48*BB48</f>
        <v>0</v>
      </c>
      <c r="BP48" s="45" t="e">
        <f aca="false">$AP48*BC48</f>
        <v>#NAME?</v>
      </c>
      <c r="BQ48" s="45" t="e">
        <f aca="false">$AP48*BD48</f>
        <v>#NAME?</v>
      </c>
      <c r="BR48" s="45" t="e">
        <f aca="false">$AP48*BE48</f>
        <v>#NAME?</v>
      </c>
      <c r="BS48" s="45" t="n">
        <f aca="false">$AP48*BF48</f>
        <v>0</v>
      </c>
      <c r="BT48" s="45" t="e">
        <f aca="false">$AP48*BG48</f>
        <v>#NAME?</v>
      </c>
      <c r="BU48" s="45" t="n">
        <f aca="false">$AP48*BH48</f>
        <v>0</v>
      </c>
      <c r="BV48" s="45" t="e">
        <f aca="false">$AP48*BI48</f>
        <v>#NAME?</v>
      </c>
      <c r="BX48" s="9" t="n">
        <f aca="false">IF($A48&gt;=BZ$32,IF($A48&lt;=BZ$33,$AN48,0),0)</f>
        <v>0</v>
      </c>
      <c r="BY48" s="123" t="n">
        <f aca="false">$B48+$R48+$D$12</f>
        <v>4.47071428571429</v>
      </c>
      <c r="BZ48" s="123" t="n">
        <f aca="false">$B48+$S48+$D$13</f>
        <v>4.41071428571429</v>
      </c>
      <c r="CA48" s="123" t="n">
        <f aca="false">BY48*BX48</f>
        <v>0</v>
      </c>
      <c r="CB48" s="123" t="n">
        <f aca="false">BZ48*BX48</f>
        <v>0</v>
      </c>
      <c r="CC48" s="156" t="n">
        <f aca="false">($C48*$T48)+$D$14</f>
        <v>0.3925</v>
      </c>
      <c r="CD48" s="156" t="n">
        <f aca="false">($C48*$U48)+$D$15</f>
        <v>0.3925</v>
      </c>
      <c r="CE48" s="131" t="n">
        <f aca="false">$V48+D$16</f>
        <v>0.994071440191916</v>
      </c>
      <c r="CF48" s="157" t="n">
        <f aca="false">IF(BX48=0,0,SPRDOPT(BY48,BZ48,$W48,$AM48,CC48,CD48,CE48,$D48,$D$19,0))</f>
        <v>0</v>
      </c>
      <c r="CG48" s="157" t="e">
        <f aca="false">IF(BY48=0,0,SPRDOPT(BY48,BZ48,$W48,$AM48,CC48,CD48,CE48,$D48,$D$19,1))</f>
        <v>#NAME?</v>
      </c>
      <c r="CH48" s="157" t="e">
        <f aca="false">IF(BZ48=0,0,SPRDOPT(BY48,BZ48,$W48,$AM48,CC48,CD48,CE48,$D48,$D$19,2))</f>
        <v>#NAME?</v>
      </c>
      <c r="CI48" s="157" t="n">
        <f aca="false">IF(CA48=0,0,SPRDOPT(BY48,BZ48,$W48,$AM48,CC48,CD48,CE48,$D48,$D$19,3)/100)</f>
        <v>0</v>
      </c>
      <c r="CJ48" s="157" t="n">
        <f aca="false">IF(CB48=0,0,SPRDOPT(BY48,BZ48,$W48,$AM48,CC48,CD48,CE48,$D48,$D$19,4)/100)</f>
        <v>0</v>
      </c>
      <c r="CK48" s="157" t="e">
        <f aca="false">IF(CC48=0,0,SPRDOPT(BY48,BZ48,$W48,$AM48,CC48,CD48,CE48,$D48,$D$19,5)/100)</f>
        <v>#NAME?</v>
      </c>
      <c r="CL48" s="157" t="e">
        <f aca="false">IF(CD48=0,0,SPRDOPT(BY48,BZ48,$W48,$AM48,CC48,CD48,CE48,$D48,$D$19,6)/100)</f>
        <v>#NAME?</v>
      </c>
      <c r="CM48" s="157" t="e">
        <f aca="false">IF(CE48=0,0,SPRDOPT(BY48,BZ48,$W48,$AM48,CC48,CD48,CE48,$D48,$D$19,7)/100)</f>
        <v>#NAME?</v>
      </c>
      <c r="CN48" s="157" t="n">
        <f aca="false">IF(CF48=0,0,SPRDOPT(BY48,BZ48,$W48,$AM48,CC48,CD48,CE48,$D48,$D$19,9)/365)</f>
        <v>0</v>
      </c>
      <c r="CO48" s="157" t="e">
        <f aca="false">CG48+CH48</f>
        <v>#NAME?</v>
      </c>
      <c r="CP48" s="157" t="n">
        <f aca="false">CJ48-CI48</f>
        <v>0</v>
      </c>
      <c r="CQ48" s="157" t="e">
        <f aca="false">((CC48/CD48)*CK48)+CL48</f>
        <v>#NAME?</v>
      </c>
      <c r="CR48" s="44"/>
      <c r="CS48" s="45" t="n">
        <f aca="false">BX48*CF48</f>
        <v>0</v>
      </c>
      <c r="CT48" s="45" t="e">
        <f aca="false">BX48*CG48</f>
        <v>#NAME?</v>
      </c>
      <c r="CU48" s="45" t="e">
        <f aca="false">BX48*CH48</f>
        <v>#NAME?</v>
      </c>
      <c r="CV48" s="45" t="n">
        <f aca="false">BX48*CI48</f>
        <v>0</v>
      </c>
      <c r="CW48" s="45" t="n">
        <f aca="false">BX48*CJ48</f>
        <v>0</v>
      </c>
      <c r="CX48" s="45" t="e">
        <f aca="false">BX48*CK48</f>
        <v>#NAME?</v>
      </c>
      <c r="CY48" s="45" t="e">
        <f aca="false">BX48*CL48</f>
        <v>#NAME?</v>
      </c>
      <c r="CZ48" s="45" t="e">
        <f aca="false">BX48*CM48</f>
        <v>#NAME?</v>
      </c>
      <c r="DA48" s="45" t="n">
        <f aca="false">BX48*CN48</f>
        <v>0</v>
      </c>
      <c r="DB48" s="45" t="e">
        <f aca="false">BX48*CO48</f>
        <v>#NAME?</v>
      </c>
      <c r="DC48" s="45" t="n">
        <f aca="false">BX48*CP48</f>
        <v>0</v>
      </c>
      <c r="DD48" s="45" t="e">
        <f aca="false">BX48*CQ48</f>
        <v>#NAME?</v>
      </c>
      <c r="DF48" s="9" t="n">
        <f aca="false">IF($A48&gt;=DH$32,IF($A48&lt;=DH$33,$AN48,0),0)</f>
        <v>0</v>
      </c>
      <c r="DG48" s="123" t="n">
        <f aca="false">$B48+$Y48+$F$12</f>
        <v>4.90071428571429</v>
      </c>
      <c r="DH48" s="123" t="n">
        <f aca="false">$B48+$Z48+$F$13</f>
        <v>4.41071428571429</v>
      </c>
      <c r="DI48" s="123" t="n">
        <f aca="false">DG48*DF48</f>
        <v>0</v>
      </c>
      <c r="DJ48" s="123" t="n">
        <f aca="false">DH48*DF48</f>
        <v>0</v>
      </c>
      <c r="DK48" s="156" t="n">
        <f aca="false">($C48*$AA48)+$F$14</f>
        <v>0.38465</v>
      </c>
      <c r="DL48" s="156" t="n">
        <f aca="false">($C48*$AB48)+$F$15</f>
        <v>0.3925</v>
      </c>
      <c r="DM48" s="131" t="n">
        <f aca="false">$AC48+$F$16</f>
        <v>0.9773</v>
      </c>
      <c r="DN48" s="157" t="n">
        <f aca="false">IF(DF48=0,0,SPRDOPT(DG48,DH48,$AD48,$AM48,DK48,DL48,DM48,$D48,$F$19,0))</f>
        <v>0</v>
      </c>
      <c r="DO48" s="157" t="e">
        <f aca="false">IF(DG48=0,0,SPRDOPT(DG48,DH48,$AD48,$AM48,DK48,DL48,DM48,$D48,$F$19,1))</f>
        <v>#NAME?</v>
      </c>
      <c r="DP48" s="157" t="e">
        <f aca="false">IF(DH48=0,0,SPRDOPT(DG48,DH48,$AD48,$AM48,DK48,DL48,DM48,$D48,$F$19,2))</f>
        <v>#NAME?</v>
      </c>
      <c r="DQ48" s="157" t="n">
        <f aca="false">IF(DI48=0,0,SPRDOPT(DG48,DH48,$AD48,$AM48,DK48,DL48,DM48,$D48,$F$19,3)/100)</f>
        <v>0</v>
      </c>
      <c r="DR48" s="157" t="n">
        <f aca="false">IF(DJ48=0,0,SPRDOPT(DG48,DH48,$AD48,$AM48,DK48,DL48,DM48,$D48,$F$19,4)/100)</f>
        <v>0</v>
      </c>
      <c r="DS48" s="157" t="e">
        <f aca="false">IF(DK48=0,0,SPRDOPT(DG48,DH48,$AD48,$AM48,DK48,DL48,DM48,$D48,$F$19,5)/100)</f>
        <v>#NAME?</v>
      </c>
      <c r="DT48" s="157" t="e">
        <f aca="false">IF(DL48=0,0,SPRDOPT(DG48,DH48,$AD48,$AM48,DK48,DL48,DM48,$D48,$F$19,6)/100)</f>
        <v>#NAME?</v>
      </c>
      <c r="DU48" s="157" t="e">
        <f aca="false">IF(DM48=0,0,SPRDOPT(DG48,DH48,$AD48,$AM48,DK48,DL48,DM48,$D48,$F$19,7)/100)</f>
        <v>#NAME?</v>
      </c>
      <c r="DV48" s="157" t="n">
        <f aca="false">IF(DN48=0,0,SPRDOPT(DG48,DH48,$AD48,$AM48,DK48,DL48,DM48,$D48,$F$19,9)/365)</f>
        <v>0</v>
      </c>
      <c r="DW48" s="157" t="e">
        <f aca="false">DO48+DP48</f>
        <v>#NAME?</v>
      </c>
      <c r="DX48" s="157" t="n">
        <f aca="false">DR48-DQ48</f>
        <v>0</v>
      </c>
      <c r="DY48" s="157" t="e">
        <f aca="false">((DK48/DL48)*DS48)+DT48</f>
        <v>#NAME?</v>
      </c>
      <c r="DZ48" s="44"/>
      <c r="EA48" s="45" t="n">
        <f aca="false">DF48*DN48</f>
        <v>0</v>
      </c>
      <c r="EB48" s="45" t="e">
        <f aca="false">DF48*DO48</f>
        <v>#NAME?</v>
      </c>
      <c r="EC48" s="45" t="e">
        <f aca="false">DF48*DP48</f>
        <v>#NAME?</v>
      </c>
      <c r="ED48" s="45" t="n">
        <f aca="false">DF48*DQ48</f>
        <v>0</v>
      </c>
      <c r="EE48" s="45" t="n">
        <f aca="false">DF48*DR48</f>
        <v>0</v>
      </c>
      <c r="EF48" s="45" t="e">
        <f aca="false">DF48*DS48</f>
        <v>#NAME?</v>
      </c>
      <c r="EG48" s="45" t="e">
        <f aca="false">DF48*DT48</f>
        <v>#NAME?</v>
      </c>
      <c r="EH48" s="45" t="e">
        <f aca="false">DF48*DU48</f>
        <v>#NAME?</v>
      </c>
      <c r="EI48" s="45" t="n">
        <f aca="false">DF48*DV48</f>
        <v>0</v>
      </c>
      <c r="EJ48" s="45" t="e">
        <f aca="false">DF48*DW48</f>
        <v>#NAME?</v>
      </c>
      <c r="EK48" s="45" t="n">
        <f aca="false">DF48*DX48</f>
        <v>0</v>
      </c>
      <c r="EL48" s="45" t="e">
        <f aca="false">DF48*DY48</f>
        <v>#NAME?</v>
      </c>
      <c r="EN48" s="9" t="n">
        <f aca="false">IF($A48&gt;=EP$32,IF($A48&lt;=EP$33,$AN48,0),0)</f>
        <v>0</v>
      </c>
      <c r="EO48" s="123" t="n">
        <f aca="false">$B48+$AF48+$H$12</f>
        <v>4.90071428571429</v>
      </c>
      <c r="EP48" s="123" t="n">
        <f aca="false">$B48+$AG48+$H$13</f>
        <v>4.41071428571429</v>
      </c>
      <c r="EQ48" s="123" t="n">
        <f aca="false">EO48*EN48</f>
        <v>0</v>
      </c>
      <c r="ER48" s="123" t="n">
        <f aca="false">EP48*EN48</f>
        <v>0</v>
      </c>
      <c r="ES48" s="156" t="n">
        <f aca="false">($C48*$AH48)+$H$14</f>
        <v>0.38465</v>
      </c>
      <c r="ET48" s="156" t="n">
        <f aca="false">($C48*$AI48)+$H$15</f>
        <v>0.3925</v>
      </c>
      <c r="EU48" s="131" t="n">
        <f aca="false">$AJ48+$H$16</f>
        <v>0.9773</v>
      </c>
      <c r="EV48" s="157" t="n">
        <f aca="false">IF(EN48=0,0,SPRDOPT(EO48,EP48,$AK48,$AM48,ES48,ET48,EU48,$D48,$H$19,0))</f>
        <v>0</v>
      </c>
      <c r="EW48" s="157" t="e">
        <f aca="false">IF(EO48=0,0,SPRDOPT(EO48,EP48,$AK48,$AM48,ES48,ET48,EU48,$D48,$H$19,1))</f>
        <v>#NAME?</v>
      </c>
      <c r="EX48" s="157" t="e">
        <f aca="false">IF(EP48=0,0,SPRDOPT(EO48,EP48,$AK48,$AM48,ES48,ET48,EU48,$D48,$H$19,2))</f>
        <v>#NAME?</v>
      </c>
      <c r="EY48" s="157" t="n">
        <f aca="false">IF(EQ48=0,0,SPRDOPT(EO48,EP48,$AK48,$AM48,ES48,ET48,EU48,$D48,$H$19,3)/100)</f>
        <v>0</v>
      </c>
      <c r="EZ48" s="157" t="n">
        <f aca="false">IF(ER48=0,0,SPRDOPT(EO48,EP48,$AK48,$AM48,ES48,ET48,EU48,$D48,$H$19,4)/100)</f>
        <v>0</v>
      </c>
      <c r="FA48" s="157" t="e">
        <f aca="false">IF(ES48=0,0,SPRDOPT(EO48,EP48,$AK48,$AM48,ES48,ET48,EU48,$D48,$H$19,5)/100)</f>
        <v>#NAME?</v>
      </c>
      <c r="FB48" s="157" t="e">
        <f aca="false">IF(ET48=0,0,SPRDOPT(EO48,EP48,$AK48,$AM48,ES48,ET48,EU48,$D48,$H$19,6)/100)</f>
        <v>#NAME?</v>
      </c>
      <c r="FC48" s="157" t="e">
        <f aca="false">IF(EU48=0,0,SPRDOPT(EO48,EP48,$AK48,$AM48,ES48,ET48,EU48,$D48,$H$19,7)/100)</f>
        <v>#NAME?</v>
      </c>
      <c r="FD48" s="157" t="n">
        <f aca="false">IF(EV48=0,0,SPRDOPT(EO48,EP48,$AK48,$AM48,ES48,ET48,EU48,$D48,$H$19,9)/365)</f>
        <v>0</v>
      </c>
      <c r="FE48" s="157" t="e">
        <f aca="false">EW48+EX48</f>
        <v>#NAME?</v>
      </c>
      <c r="FF48" s="157" t="n">
        <f aca="false">EZ48-EY48</f>
        <v>0</v>
      </c>
      <c r="FG48" s="157" t="e">
        <f aca="false">((ES48/ET48)*FA48)+FB48</f>
        <v>#NAME?</v>
      </c>
      <c r="FH48" s="44"/>
      <c r="FI48" s="45" t="n">
        <f aca="false">$EN48*EV48</f>
        <v>0</v>
      </c>
      <c r="FJ48" s="45" t="e">
        <f aca="false">$EN48*EW48</f>
        <v>#NAME?</v>
      </c>
      <c r="FK48" s="45" t="e">
        <f aca="false">$EN48*EX48</f>
        <v>#NAME?</v>
      </c>
      <c r="FL48" s="45" t="n">
        <f aca="false">$EN48*EY48</f>
        <v>0</v>
      </c>
      <c r="FM48" s="45" t="n">
        <f aca="false">$EN48*EZ48</f>
        <v>0</v>
      </c>
      <c r="FN48" s="45" t="e">
        <f aca="false">$EN48*FA48</f>
        <v>#NAME?</v>
      </c>
      <c r="FO48" s="45" t="e">
        <f aca="false">$EN48*FB48</f>
        <v>#NAME?</v>
      </c>
      <c r="FP48" s="45" t="e">
        <f aca="false">$EN48*FC48</f>
        <v>#NAME?</v>
      </c>
      <c r="FQ48" s="45" t="n">
        <f aca="false">$EN48*FD48</f>
        <v>0</v>
      </c>
      <c r="FR48" s="45" t="e">
        <f aca="false">$EN48*FE48</f>
        <v>#NAME?</v>
      </c>
      <c r="FS48" s="45" t="n">
        <f aca="false">$EN48*FF48</f>
        <v>0</v>
      </c>
      <c r="FT48" s="45" t="e">
        <f aca="false">$EN48*FG48</f>
        <v>#NAME?</v>
      </c>
    </row>
    <row r="49" customFormat="false" ht="12.75" hidden="false" customHeight="false" outlineLevel="0" collapsed="false">
      <c r="A49" s="48" t="n">
        <f aca="false">DATE(YEAR(A48),MONTH(A48)+1,1)</f>
        <v>37135</v>
      </c>
      <c r="B49" s="40" t="n">
        <f aca="false">VLOOKUP(A49,STRADDLE,5,FALSE())</f>
        <v>4.39071428571429</v>
      </c>
      <c r="C49" s="4" t="n">
        <f aca="false">VLOOKUP(A49,STRADDLE,8,FALSE())</f>
        <v>0.395</v>
      </c>
      <c r="D49" s="136" t="n">
        <f aca="false">VLOOKUP(A49,expiration,2,FALSE())-$B$2</f>
        <v>-8794</v>
      </c>
      <c r="E49" s="131" t="e">
        <f aca="false">AY49</f>
        <v>#NAME?</v>
      </c>
      <c r="F49" s="131" t="e">
        <f aca="false">CG49</f>
        <v>#NAME?</v>
      </c>
      <c r="G49" s="131" t="e">
        <f aca="false">DO49</f>
        <v>#NAME?</v>
      </c>
      <c r="H49" s="131" t="e">
        <f aca="false">EW49</f>
        <v>#NAME?</v>
      </c>
      <c r="I49" s="41"/>
      <c r="J49" s="154"/>
      <c r="K49" s="40" t="n">
        <f aca="false">IF($B$3="NYMEX",0,VLOOKUP($A49,curvesettle,HLOOKUP($B$3,curvesettle,2,FALSE()),FALSE()))</f>
        <v>0.395</v>
      </c>
      <c r="L49" s="40" t="n">
        <f aca="false">IF($B$4="NYMEX",0,VLOOKUP($A49,curvesettle,HLOOKUP($B$4,curvesettle,2,FALSE()),FALSE()))</f>
        <v>0</v>
      </c>
      <c r="M49" s="131" t="n">
        <f aca="false">IF(ISNUMBER(VLOOKUP($A49,VOLCURVES,HLOOKUP($B$3,VOLCURVES,2,FALSE()),FALSE())),VLOOKUP($A49,VOLCURVES,HLOOKUP($B$3,VOLCURVES,2,FALSE()),FALSE()),1)</f>
        <v>0.98</v>
      </c>
      <c r="N49" s="131" t="n">
        <f aca="false">IF(ISNUMBER(VLOOKUP($A49,VOLCURVES,HLOOKUP($B$4,VOLCURVES,2,FALSE()),FALSE())),VLOOKUP($A49,VOLCURVES,HLOOKUP($B$4,VOLCURVES,2,FALSE()),FALSE()),1)</f>
        <v>1</v>
      </c>
      <c r="O49" s="131" t="n">
        <f aca="false">IF(ISNUMBER(VLOOKUP($A49,CORETABLE,HLOOKUP($B$3,CORETABLE,2,FALSE()),FALSE())),VLOOKUP($A49,CORETABLE,HLOOKUP($B$3,CORETABLE,2,FALSE()),FALSE()),0.99)</f>
        <v>0.9773</v>
      </c>
      <c r="P49" s="155" t="n">
        <f aca="false">B$18</f>
        <v>2</v>
      </c>
      <c r="Q49" s="131"/>
      <c r="R49" s="40" t="n">
        <f aca="false">IF($D$3="NYMEX",0,VLOOKUP($A49,curvesettle,HLOOKUP($D$3,curvesettle,2,FALSE()),FALSE()))</f>
        <v>0.06</v>
      </c>
      <c r="S49" s="40" t="n">
        <f aca="false">IF($D$4="NYMEX",0,VLOOKUP($A49,curvesettle,HLOOKUP($D$4,curvesettle,2,FALSE()),FALSE()))</f>
        <v>0</v>
      </c>
      <c r="T49" s="131" t="n">
        <f aca="false">IF(ISNUMBER(VLOOKUP($A49,VOLCURVES,HLOOKUP($D$3,VOLCURVES,2,FALSE()),FALSE())),VLOOKUP($A49,VOLCURVES,HLOOKUP($D$3,VOLCURVES,2,FALSE()),FALSE()),1)</f>
        <v>1</v>
      </c>
      <c r="U49" s="131" t="n">
        <f aca="false">IF(ISNUMBER(VLOOKUP($A49,VOLCURVES,HLOOKUP($D$4,VOLCURVES,2,FALSE()),FALSE())),VLOOKUP($A49,VOLCURVES,HLOOKUP($D$4,VOLCURVES,2,FALSE()),FALSE()),1)</f>
        <v>1</v>
      </c>
      <c r="V49" s="131" t="n">
        <f aca="false">IF(ISNUMBER(VLOOKUP($A49,CORETABLE,HLOOKUP($D$3,CORETABLE,2,FALSE()),FALSE())),VLOOKUP($A49,CORETABLE,HLOOKUP($D$3,CORETABLE,2,FALSE()),FALSE()),0.99)</f>
        <v>0.994071440191916</v>
      </c>
      <c r="W49" s="155" t="n">
        <f aca="false">D$18</f>
        <v>0.2</v>
      </c>
      <c r="X49" s="131"/>
      <c r="Y49" s="40" t="n">
        <f aca="false">IF($F$3="NYMEX",0,VLOOKUP($A49,curvesettle,HLOOKUP($F$3,curvesettle,2,FALSE()),FALSE()))</f>
        <v>0.395</v>
      </c>
      <c r="Z49" s="40" t="n">
        <f aca="false">IF($F$4="NYMEX",0,VLOOKUP($A49,curvesettle,HLOOKUP($F$4,curvesettle,2,FALSE()),FALSE()))</f>
        <v>0</v>
      </c>
      <c r="AA49" s="131" t="n">
        <f aca="false">IF(ISNUMBER(VLOOKUP($A49,VOLCURVES,HLOOKUP($F$3,VOLCURVES,2,FALSE()),FALSE())),VLOOKUP($A49,VOLCURVES,HLOOKUP($F$3,VOLCURVES,2,FALSE()),FALSE()),1)</f>
        <v>0.98</v>
      </c>
      <c r="AB49" s="131" t="n">
        <f aca="false">IF(ISNUMBER(VLOOKUP($A49,VOLCURVES,HLOOKUP($F$4,VOLCURVES,2,FALSE()),FALSE())),VLOOKUP($A49,VOLCURVES,HLOOKUP($F$4,VOLCURVES,2,FALSE()),FALSE()),1)</f>
        <v>1</v>
      </c>
      <c r="AC49" s="131" t="n">
        <f aca="false">IF(ISNUMBER(VLOOKUP($A49,CORETABLE,HLOOKUP($F$3,CORETABLE,2,FALSE()),FALSE())),VLOOKUP($A49,CORETABLE,HLOOKUP($F$3,CORETABLE,2,FALSE()),FALSE()),1)</f>
        <v>0.9773</v>
      </c>
      <c r="AD49" s="155" t="n">
        <f aca="false">F$18</f>
        <v>1.85</v>
      </c>
      <c r="AE49" s="131"/>
      <c r="AF49" s="40" t="n">
        <f aca="false">IF($H$3="NYMEX",0,VLOOKUP($A49,curvesettle,HLOOKUP($H$3,curvesettle,2,FALSE()),FALSE()))</f>
        <v>0.395</v>
      </c>
      <c r="AG49" s="40" t="n">
        <f aca="false">IF($H$4="NYMEX",0,VLOOKUP($A49,curvesettle,HLOOKUP($H$4,curvesettle,2,FALSE()),FALSE()))</f>
        <v>0</v>
      </c>
      <c r="AH49" s="131" t="n">
        <f aca="false">IF(ISNUMBER(VLOOKUP($A49,VOLCURVES,HLOOKUP($H$3,VOLCURVES,2,FALSE()),FALSE())),VLOOKUP($A49,VOLCURVES,HLOOKUP($H$3,VOLCURVES,2,FALSE()),FALSE()),1)</f>
        <v>0.98</v>
      </c>
      <c r="AI49" s="131" t="n">
        <f aca="false">IF(ISNUMBER(VLOOKUP($A49,VOLCURVES,HLOOKUP($H$4,VOLCURVES,2,FALSE()),FALSE())),VLOOKUP($A49,VOLCURVES,HLOOKUP($H$4,VOLCURVES,2,FALSE()),FALSE()),1)</f>
        <v>1</v>
      </c>
      <c r="AJ49" s="131" t="n">
        <f aca="false">IF(ISNUMBER(VLOOKUP($A49,CORETABLE,HLOOKUP($H$3,CORETABLE,2,FALSE()),FALSE())),VLOOKUP($A49,CORETABLE,HLOOKUP($H$3,CORETABLE,2,FALSE()),FALSE()),1)</f>
        <v>0.9773</v>
      </c>
      <c r="AK49" s="155" t="n">
        <f aca="false">H$18</f>
        <v>1.85</v>
      </c>
      <c r="AM49" s="4" t="n">
        <f aca="false">VLOOKUP($A49,STRADDLE,12,FALSE())</f>
        <v>0.067594533151252</v>
      </c>
      <c r="AN49" s="43" t="n">
        <f aca="false">A50-A49</f>
        <v>30</v>
      </c>
      <c r="AP49" s="9" t="n">
        <f aca="false">IF($A49&gt;=AR$32,IF($A49&lt;=AR$33,$AN49,0),0)</f>
        <v>0</v>
      </c>
      <c r="AQ49" s="123" t="n">
        <f aca="false">$B49+$K49+$B$12</f>
        <v>4.81571428571429</v>
      </c>
      <c r="AR49" s="123" t="n">
        <f aca="false">$B49+$L49+$B$13</f>
        <v>4.39071428571429</v>
      </c>
      <c r="AS49" s="123" t="n">
        <f aca="false">AQ49*AP49</f>
        <v>0</v>
      </c>
      <c r="AT49" s="123" t="n">
        <f aca="false">AR49*AP49</f>
        <v>0</v>
      </c>
      <c r="AU49" s="156" t="n">
        <f aca="false">($C49*$M49)+$B$14</f>
        <v>0.3871</v>
      </c>
      <c r="AV49" s="156" t="n">
        <f aca="false">($C49*$N49)+$B$15</f>
        <v>0.395</v>
      </c>
      <c r="AW49" s="131" t="n">
        <f aca="false">O49+B$16</f>
        <v>0.9773</v>
      </c>
      <c r="AX49" s="157" t="n">
        <f aca="false">IF(AP49=0,0,SPRDOPT(AQ49,AR49,$P49,$AM49,AU49,AV49,AW49,$D49,$B$19,0))</f>
        <v>0</v>
      </c>
      <c r="AY49" s="157" t="e">
        <f aca="false">IF(AQ49=0,0,SPRDOPT(AQ49,AR49,$P49,$AM49,AU49,AV49,AW49,$D49,$B$19,1))</f>
        <v>#NAME?</v>
      </c>
      <c r="AZ49" s="157" t="e">
        <f aca="false">IF(AR49=0,0,SPRDOPT(AQ49,AR49,$P49,$AM49,AU49,AV49,AW49,$D49,$B$19,2))</f>
        <v>#NAME?</v>
      </c>
      <c r="BA49" s="157" t="n">
        <f aca="false">IF(AS49=0,0,SPRDOPT(AQ49,AR49,$P49,$AM49,AU49,AV49,AW49,$D49,$B$19,3)/100)</f>
        <v>0</v>
      </c>
      <c r="BB49" s="157" t="n">
        <f aca="false">IF(AT49=0,0,SPRDOPT(AQ49,AR49,$P49,$AM49,AU49,AV49,AW49,$D49,$B$19,4)/100)</f>
        <v>0</v>
      </c>
      <c r="BC49" s="157" t="e">
        <f aca="false">IF(AU49=0,0,SPRDOPT(AQ49,AR49,$P49,$AM49,AU49,AV49,AW49,$D49,$B$19,5)/100)</f>
        <v>#NAME?</v>
      </c>
      <c r="BD49" s="157" t="e">
        <f aca="false">IF(AV49=0,0,SPRDOPT(AQ49,AR49,$P49,$AM49,AU49,AV49,AW49,$D49,$B$19,6)/100)</f>
        <v>#NAME?</v>
      </c>
      <c r="BE49" s="157" t="e">
        <f aca="false">IF(AW49=0,0,SPRDOPT(AQ49,AR49,$P49,$AM49,AU49,AV49,AW49,$D49,$B$19,7)/100)</f>
        <v>#NAME?</v>
      </c>
      <c r="BF49" s="157" t="n">
        <f aca="false">IF(AX49=0,0,SPRDOPT(AQ49,AR49,$P49,$AM49,AU49,AV49,AW49,$D49,$B$19,9)/365)</f>
        <v>0</v>
      </c>
      <c r="BG49" s="157" t="e">
        <f aca="false">AY49+AZ49</f>
        <v>#NAME?</v>
      </c>
      <c r="BH49" s="157" t="n">
        <f aca="false">BB49-BA49</f>
        <v>0</v>
      </c>
      <c r="BI49" s="157" t="e">
        <f aca="false">((AU49/AV49)*BC49)+BD49</f>
        <v>#NAME?</v>
      </c>
      <c r="BJ49" s="44"/>
      <c r="BK49" s="45" t="n">
        <f aca="false">$AP49*AX49</f>
        <v>0</v>
      </c>
      <c r="BL49" s="45" t="e">
        <f aca="false">$AP49*AY49</f>
        <v>#NAME?</v>
      </c>
      <c r="BM49" s="45" t="e">
        <f aca="false">$AP49*AZ49</f>
        <v>#NAME?</v>
      </c>
      <c r="BN49" s="45" t="n">
        <f aca="false">$AP49*BA49</f>
        <v>0</v>
      </c>
      <c r="BO49" s="45" t="n">
        <f aca="false">$AP49*BB49</f>
        <v>0</v>
      </c>
      <c r="BP49" s="45" t="e">
        <f aca="false">$AP49*BC49</f>
        <v>#NAME?</v>
      </c>
      <c r="BQ49" s="45" t="e">
        <f aca="false">$AP49*BD49</f>
        <v>#NAME?</v>
      </c>
      <c r="BR49" s="45" t="e">
        <f aca="false">$AP49*BE49</f>
        <v>#NAME?</v>
      </c>
      <c r="BS49" s="45" t="n">
        <f aca="false">$AP49*BF49</f>
        <v>0</v>
      </c>
      <c r="BT49" s="45" t="e">
        <f aca="false">$AP49*BG49</f>
        <v>#NAME?</v>
      </c>
      <c r="BU49" s="45" t="n">
        <f aca="false">$AP49*BH49</f>
        <v>0</v>
      </c>
      <c r="BV49" s="45" t="e">
        <f aca="false">$AP49*BI49</f>
        <v>#NAME?</v>
      </c>
      <c r="BX49" s="9" t="n">
        <f aca="false">IF($A49&gt;=BZ$32,IF($A49&lt;=BZ$33,$AN49,0),0)</f>
        <v>0</v>
      </c>
      <c r="BY49" s="123" t="n">
        <f aca="false">$B49+$R49+$D$12</f>
        <v>4.45071428571429</v>
      </c>
      <c r="BZ49" s="123" t="n">
        <f aca="false">$B49+$S49+$D$13</f>
        <v>4.39071428571429</v>
      </c>
      <c r="CA49" s="123" t="n">
        <f aca="false">BY49*BX49</f>
        <v>0</v>
      </c>
      <c r="CB49" s="123" t="n">
        <f aca="false">BZ49*BX49</f>
        <v>0</v>
      </c>
      <c r="CC49" s="156" t="n">
        <f aca="false">($C49*$T49)+$D$14</f>
        <v>0.395</v>
      </c>
      <c r="CD49" s="156" t="n">
        <f aca="false">($C49*$U49)+$D$15</f>
        <v>0.395</v>
      </c>
      <c r="CE49" s="131" t="n">
        <f aca="false">$V49+D$16</f>
        <v>0.994071440191916</v>
      </c>
      <c r="CF49" s="157" t="n">
        <f aca="false">IF(BX49=0,0,SPRDOPT(BY49,BZ49,$W49,$AM49,CC49,CD49,CE49,$D49,$D$19,0))</f>
        <v>0</v>
      </c>
      <c r="CG49" s="157" t="e">
        <f aca="false">IF(BY49=0,0,SPRDOPT(BY49,BZ49,$W49,$AM49,CC49,CD49,CE49,$D49,$D$19,1))</f>
        <v>#NAME?</v>
      </c>
      <c r="CH49" s="157" t="e">
        <f aca="false">IF(BZ49=0,0,SPRDOPT(BY49,BZ49,$W49,$AM49,CC49,CD49,CE49,$D49,$D$19,2))</f>
        <v>#NAME?</v>
      </c>
      <c r="CI49" s="157" t="n">
        <f aca="false">IF(CA49=0,0,SPRDOPT(BY49,BZ49,$W49,$AM49,CC49,CD49,CE49,$D49,$D$19,3)/100)</f>
        <v>0</v>
      </c>
      <c r="CJ49" s="157" t="n">
        <f aca="false">IF(CB49=0,0,SPRDOPT(BY49,BZ49,$W49,$AM49,CC49,CD49,CE49,$D49,$D$19,4)/100)</f>
        <v>0</v>
      </c>
      <c r="CK49" s="157" t="e">
        <f aca="false">IF(CC49=0,0,SPRDOPT(BY49,BZ49,$W49,$AM49,CC49,CD49,CE49,$D49,$D$19,5)/100)</f>
        <v>#NAME?</v>
      </c>
      <c r="CL49" s="157" t="e">
        <f aca="false">IF(CD49=0,0,SPRDOPT(BY49,BZ49,$W49,$AM49,CC49,CD49,CE49,$D49,$D$19,6)/100)</f>
        <v>#NAME?</v>
      </c>
      <c r="CM49" s="157" t="e">
        <f aca="false">IF(CE49=0,0,SPRDOPT(BY49,BZ49,$W49,$AM49,CC49,CD49,CE49,$D49,$D$19,7)/100)</f>
        <v>#NAME?</v>
      </c>
      <c r="CN49" s="157" t="n">
        <f aca="false">IF(CF49=0,0,SPRDOPT(BY49,BZ49,$W49,$AM49,CC49,CD49,CE49,$D49,$D$19,9)/365)</f>
        <v>0</v>
      </c>
      <c r="CO49" s="157" t="e">
        <f aca="false">CG49+CH49</f>
        <v>#NAME?</v>
      </c>
      <c r="CP49" s="157" t="n">
        <f aca="false">CJ49-CI49</f>
        <v>0</v>
      </c>
      <c r="CQ49" s="157" t="e">
        <f aca="false">((CC49/CD49)*CK49)+CL49</f>
        <v>#NAME?</v>
      </c>
      <c r="CR49" s="44"/>
      <c r="CS49" s="45" t="n">
        <f aca="false">BX49*CF49</f>
        <v>0</v>
      </c>
      <c r="CT49" s="45" t="e">
        <f aca="false">BX49*CG49</f>
        <v>#NAME?</v>
      </c>
      <c r="CU49" s="45" t="e">
        <f aca="false">BX49*CH49</f>
        <v>#NAME?</v>
      </c>
      <c r="CV49" s="45" t="n">
        <f aca="false">BX49*CI49</f>
        <v>0</v>
      </c>
      <c r="CW49" s="45" t="n">
        <f aca="false">BX49*CJ49</f>
        <v>0</v>
      </c>
      <c r="CX49" s="45" t="e">
        <f aca="false">BX49*CK49</f>
        <v>#NAME?</v>
      </c>
      <c r="CY49" s="45" t="e">
        <f aca="false">BX49*CL49</f>
        <v>#NAME?</v>
      </c>
      <c r="CZ49" s="45" t="e">
        <f aca="false">BX49*CM49</f>
        <v>#NAME?</v>
      </c>
      <c r="DA49" s="45" t="n">
        <f aca="false">BX49*CN49</f>
        <v>0</v>
      </c>
      <c r="DB49" s="45" t="e">
        <f aca="false">BX49*CO49</f>
        <v>#NAME?</v>
      </c>
      <c r="DC49" s="45" t="n">
        <f aca="false">BX49*CP49</f>
        <v>0</v>
      </c>
      <c r="DD49" s="45" t="e">
        <f aca="false">BX49*CQ49</f>
        <v>#NAME?</v>
      </c>
      <c r="DF49" s="9" t="n">
        <f aca="false">IF($A49&gt;=DH$32,IF($A49&lt;=DH$33,$AN49,0),0)</f>
        <v>0</v>
      </c>
      <c r="DG49" s="123" t="n">
        <f aca="false">$B49+$Y49+$F$12</f>
        <v>4.81571428571429</v>
      </c>
      <c r="DH49" s="123" t="n">
        <f aca="false">$B49+$Z49+$F$13</f>
        <v>4.39071428571429</v>
      </c>
      <c r="DI49" s="123" t="n">
        <f aca="false">DG49*DF49</f>
        <v>0</v>
      </c>
      <c r="DJ49" s="123" t="n">
        <f aca="false">DH49*DF49</f>
        <v>0</v>
      </c>
      <c r="DK49" s="156" t="n">
        <f aca="false">($C49*$AA49)+$F$14</f>
        <v>0.3871</v>
      </c>
      <c r="DL49" s="156" t="n">
        <f aca="false">($C49*$AB49)+$F$15</f>
        <v>0.395</v>
      </c>
      <c r="DM49" s="131" t="n">
        <f aca="false">$AC49+$F$16</f>
        <v>0.9773</v>
      </c>
      <c r="DN49" s="157" t="n">
        <f aca="false">IF(DF49=0,0,SPRDOPT(DG49,DH49,$AD49,$AM49,DK49,DL49,DM49,$D49,$F$19,0))</f>
        <v>0</v>
      </c>
      <c r="DO49" s="157" t="e">
        <f aca="false">IF(DG49=0,0,SPRDOPT(DG49,DH49,$AD49,$AM49,DK49,DL49,DM49,$D49,$F$19,1))</f>
        <v>#NAME?</v>
      </c>
      <c r="DP49" s="157" t="e">
        <f aca="false">IF(DH49=0,0,SPRDOPT(DG49,DH49,$AD49,$AM49,DK49,DL49,DM49,$D49,$F$19,2))</f>
        <v>#NAME?</v>
      </c>
      <c r="DQ49" s="157" t="n">
        <f aca="false">IF(DI49=0,0,SPRDOPT(DG49,DH49,$AD49,$AM49,DK49,DL49,DM49,$D49,$F$19,3)/100)</f>
        <v>0</v>
      </c>
      <c r="DR49" s="157" t="n">
        <f aca="false">IF(DJ49=0,0,SPRDOPT(DG49,DH49,$AD49,$AM49,DK49,DL49,DM49,$D49,$F$19,4)/100)</f>
        <v>0</v>
      </c>
      <c r="DS49" s="157" t="e">
        <f aca="false">IF(DK49=0,0,SPRDOPT(DG49,DH49,$AD49,$AM49,DK49,DL49,DM49,$D49,$F$19,5)/100)</f>
        <v>#NAME?</v>
      </c>
      <c r="DT49" s="157" t="e">
        <f aca="false">IF(DL49=0,0,SPRDOPT(DG49,DH49,$AD49,$AM49,DK49,DL49,DM49,$D49,$F$19,6)/100)</f>
        <v>#NAME?</v>
      </c>
      <c r="DU49" s="157" t="e">
        <f aca="false">IF(DM49=0,0,SPRDOPT(DG49,DH49,$AD49,$AM49,DK49,DL49,DM49,$D49,$F$19,7)/100)</f>
        <v>#NAME?</v>
      </c>
      <c r="DV49" s="157" t="n">
        <f aca="false">IF(DN49=0,0,SPRDOPT(DG49,DH49,$AD49,$AM49,DK49,DL49,DM49,$D49,$F$19,9)/365)</f>
        <v>0</v>
      </c>
      <c r="DW49" s="157" t="e">
        <f aca="false">DO49+DP49</f>
        <v>#NAME?</v>
      </c>
      <c r="DX49" s="157" t="n">
        <f aca="false">DR49-DQ49</f>
        <v>0</v>
      </c>
      <c r="DY49" s="157" t="e">
        <f aca="false">((DK49/DL49)*DS49)+DT49</f>
        <v>#NAME?</v>
      </c>
      <c r="DZ49" s="44"/>
      <c r="EA49" s="45" t="n">
        <f aca="false">DF49*DN49</f>
        <v>0</v>
      </c>
      <c r="EB49" s="45" t="e">
        <f aca="false">DF49*DO49</f>
        <v>#NAME?</v>
      </c>
      <c r="EC49" s="45" t="e">
        <f aca="false">DF49*DP49</f>
        <v>#NAME?</v>
      </c>
      <c r="ED49" s="45" t="n">
        <f aca="false">DF49*DQ49</f>
        <v>0</v>
      </c>
      <c r="EE49" s="45" t="n">
        <f aca="false">DF49*DR49</f>
        <v>0</v>
      </c>
      <c r="EF49" s="45" t="e">
        <f aca="false">DF49*DS49</f>
        <v>#NAME?</v>
      </c>
      <c r="EG49" s="45" t="e">
        <f aca="false">DF49*DT49</f>
        <v>#NAME?</v>
      </c>
      <c r="EH49" s="45" t="e">
        <f aca="false">DF49*DU49</f>
        <v>#NAME?</v>
      </c>
      <c r="EI49" s="45" t="n">
        <f aca="false">DF49*DV49</f>
        <v>0</v>
      </c>
      <c r="EJ49" s="45" t="e">
        <f aca="false">DF49*DW49</f>
        <v>#NAME?</v>
      </c>
      <c r="EK49" s="45" t="n">
        <f aca="false">DF49*DX49</f>
        <v>0</v>
      </c>
      <c r="EL49" s="45" t="e">
        <f aca="false">DF49*DY49</f>
        <v>#NAME?</v>
      </c>
      <c r="EN49" s="9" t="n">
        <f aca="false">IF($A49&gt;=EP$32,IF($A49&lt;=EP$33,$AN49,0),0)</f>
        <v>0</v>
      </c>
      <c r="EO49" s="123" t="n">
        <f aca="false">$B49+$AF49+$H$12</f>
        <v>4.81571428571429</v>
      </c>
      <c r="EP49" s="123" t="n">
        <f aca="false">$B49+$AG49+$H$13</f>
        <v>4.39071428571429</v>
      </c>
      <c r="EQ49" s="123" t="n">
        <f aca="false">EO49*EN49</f>
        <v>0</v>
      </c>
      <c r="ER49" s="123" t="n">
        <f aca="false">EP49*EN49</f>
        <v>0</v>
      </c>
      <c r="ES49" s="156" t="n">
        <f aca="false">($C49*$AH49)+$H$14</f>
        <v>0.3871</v>
      </c>
      <c r="ET49" s="156" t="n">
        <f aca="false">($C49*$AI49)+$H$15</f>
        <v>0.395</v>
      </c>
      <c r="EU49" s="131" t="n">
        <f aca="false">$AJ49+$H$16</f>
        <v>0.9773</v>
      </c>
      <c r="EV49" s="157" t="n">
        <f aca="false">IF(EN49=0,0,SPRDOPT(EO49,EP49,$AK49,$AM49,ES49,ET49,EU49,$D49,$H$19,0))</f>
        <v>0</v>
      </c>
      <c r="EW49" s="157" t="e">
        <f aca="false">IF(EO49=0,0,SPRDOPT(EO49,EP49,$AK49,$AM49,ES49,ET49,EU49,$D49,$H$19,1))</f>
        <v>#NAME?</v>
      </c>
      <c r="EX49" s="157" t="e">
        <f aca="false">IF(EP49=0,0,SPRDOPT(EO49,EP49,$AK49,$AM49,ES49,ET49,EU49,$D49,$H$19,2))</f>
        <v>#NAME?</v>
      </c>
      <c r="EY49" s="157" t="n">
        <f aca="false">IF(EQ49=0,0,SPRDOPT(EO49,EP49,$AK49,$AM49,ES49,ET49,EU49,$D49,$H$19,3)/100)</f>
        <v>0</v>
      </c>
      <c r="EZ49" s="157" t="n">
        <f aca="false">IF(ER49=0,0,SPRDOPT(EO49,EP49,$AK49,$AM49,ES49,ET49,EU49,$D49,$H$19,4)/100)</f>
        <v>0</v>
      </c>
      <c r="FA49" s="157" t="e">
        <f aca="false">IF(ES49=0,0,SPRDOPT(EO49,EP49,$AK49,$AM49,ES49,ET49,EU49,$D49,$H$19,5)/100)</f>
        <v>#NAME?</v>
      </c>
      <c r="FB49" s="157" t="e">
        <f aca="false">IF(ET49=0,0,SPRDOPT(EO49,EP49,$AK49,$AM49,ES49,ET49,EU49,$D49,$H$19,6)/100)</f>
        <v>#NAME?</v>
      </c>
      <c r="FC49" s="157" t="e">
        <f aca="false">IF(EU49=0,0,SPRDOPT(EO49,EP49,$AK49,$AM49,ES49,ET49,EU49,$D49,$H$19,7)/100)</f>
        <v>#NAME?</v>
      </c>
      <c r="FD49" s="157" t="n">
        <f aca="false">IF(EV49=0,0,SPRDOPT(EO49,EP49,$AK49,$AM49,ES49,ET49,EU49,$D49,$H$19,9)/365)</f>
        <v>0</v>
      </c>
      <c r="FE49" s="157" t="e">
        <f aca="false">EW49+EX49</f>
        <v>#NAME?</v>
      </c>
      <c r="FF49" s="157" t="n">
        <f aca="false">EZ49-EY49</f>
        <v>0</v>
      </c>
      <c r="FG49" s="157" t="e">
        <f aca="false">((ES49/ET49)*FA49)+FB49</f>
        <v>#NAME?</v>
      </c>
      <c r="FH49" s="44"/>
      <c r="FI49" s="45" t="n">
        <f aca="false">$EN49*EV49</f>
        <v>0</v>
      </c>
      <c r="FJ49" s="45" t="e">
        <f aca="false">$EN49*EW49</f>
        <v>#NAME?</v>
      </c>
      <c r="FK49" s="45" t="e">
        <f aca="false">$EN49*EX49</f>
        <v>#NAME?</v>
      </c>
      <c r="FL49" s="45" t="n">
        <f aca="false">$EN49*EY49</f>
        <v>0</v>
      </c>
      <c r="FM49" s="45" t="n">
        <f aca="false">$EN49*EZ49</f>
        <v>0</v>
      </c>
      <c r="FN49" s="45" t="e">
        <f aca="false">$EN49*FA49</f>
        <v>#NAME?</v>
      </c>
      <c r="FO49" s="45" t="e">
        <f aca="false">$EN49*FB49</f>
        <v>#NAME?</v>
      </c>
      <c r="FP49" s="45" t="e">
        <f aca="false">$EN49*FC49</f>
        <v>#NAME?</v>
      </c>
      <c r="FQ49" s="45" t="n">
        <f aca="false">$EN49*FD49</f>
        <v>0</v>
      </c>
      <c r="FR49" s="45" t="e">
        <f aca="false">$EN49*FE49</f>
        <v>#NAME?</v>
      </c>
      <c r="FS49" s="45" t="n">
        <f aca="false">$EN49*FF49</f>
        <v>0</v>
      </c>
      <c r="FT49" s="45" t="e">
        <f aca="false">$EN49*FG49</f>
        <v>#NAME?</v>
      </c>
    </row>
    <row r="50" customFormat="false" ht="12.75" hidden="false" customHeight="false" outlineLevel="0" collapsed="false">
      <c r="A50" s="48" t="n">
        <f aca="false">DATE(YEAR(A49),MONTH(A49)+1,1)</f>
        <v>37165</v>
      </c>
      <c r="B50" s="40" t="n">
        <f aca="false">VLOOKUP(A50,STRADDLE,5,FALSE())</f>
        <v>4.38071428571429</v>
      </c>
      <c r="C50" s="4" t="n">
        <f aca="false">VLOOKUP(A50,STRADDLE,8,FALSE())</f>
        <v>0.4025</v>
      </c>
      <c r="D50" s="136" t="n">
        <f aca="false">VLOOKUP(A50,expiration,2,FALSE())-$B$2</f>
        <v>-8766</v>
      </c>
      <c r="E50" s="131" t="e">
        <f aca="false">AY50</f>
        <v>#NAME?</v>
      </c>
      <c r="F50" s="131" t="e">
        <f aca="false">CG50</f>
        <v>#NAME?</v>
      </c>
      <c r="G50" s="131" t="e">
        <f aca="false">DO50</f>
        <v>#NAME?</v>
      </c>
      <c r="H50" s="131" t="e">
        <f aca="false">EW50</f>
        <v>#NAME?</v>
      </c>
      <c r="I50" s="41"/>
      <c r="J50" s="154"/>
      <c r="K50" s="40" t="n">
        <f aca="false">IF($B$3="NYMEX",0,VLOOKUP($A50,curvesettle,HLOOKUP($B$3,curvesettle,2,FALSE()),FALSE()))</f>
        <v>0.461</v>
      </c>
      <c r="L50" s="40" t="n">
        <f aca="false">IF($B$4="NYMEX",0,VLOOKUP($A50,curvesettle,HLOOKUP($B$4,curvesettle,2,FALSE()),FALSE()))</f>
        <v>0</v>
      </c>
      <c r="M50" s="131" t="n">
        <f aca="false">IF(ISNUMBER(VLOOKUP($A50,VOLCURVES,HLOOKUP($B$3,VOLCURVES,2,FALSE()),FALSE())),VLOOKUP($A50,VOLCURVES,HLOOKUP($B$3,VOLCURVES,2,FALSE()),FALSE()),1)</f>
        <v>0.98</v>
      </c>
      <c r="N50" s="131" t="n">
        <f aca="false">IF(ISNUMBER(VLOOKUP($A50,VOLCURVES,HLOOKUP($B$4,VOLCURVES,2,FALSE()),FALSE())),VLOOKUP($A50,VOLCURVES,HLOOKUP($B$4,VOLCURVES,2,FALSE()),FALSE()),1)</f>
        <v>1</v>
      </c>
      <c r="O50" s="131" t="n">
        <f aca="false">IF(ISNUMBER(VLOOKUP($A50,CORETABLE,HLOOKUP($B$3,CORETABLE,2,FALSE()),FALSE())),VLOOKUP($A50,CORETABLE,HLOOKUP($B$3,CORETABLE,2,FALSE()),FALSE()),0.99)</f>
        <v>0.9773</v>
      </c>
      <c r="P50" s="155" t="n">
        <f aca="false">B$18</f>
        <v>2</v>
      </c>
      <c r="Q50" s="131"/>
      <c r="R50" s="40" t="n">
        <f aca="false">IF($D$3="NYMEX",0,VLOOKUP($A50,curvesettle,HLOOKUP($D$3,curvesettle,2,FALSE()),FALSE()))</f>
        <v>0.08</v>
      </c>
      <c r="S50" s="40" t="n">
        <f aca="false">IF($D$4="NYMEX",0,VLOOKUP($A50,curvesettle,HLOOKUP($D$4,curvesettle,2,FALSE()),FALSE()))</f>
        <v>0</v>
      </c>
      <c r="T50" s="131" t="n">
        <f aca="false">IF(ISNUMBER(VLOOKUP($A50,VOLCURVES,HLOOKUP($D$3,VOLCURVES,2,FALSE()),FALSE())),VLOOKUP($A50,VOLCURVES,HLOOKUP($D$3,VOLCURVES,2,FALSE()),FALSE()),1)</f>
        <v>1</v>
      </c>
      <c r="U50" s="131" t="n">
        <f aca="false">IF(ISNUMBER(VLOOKUP($A50,VOLCURVES,HLOOKUP($D$4,VOLCURVES,2,FALSE()),FALSE())),VLOOKUP($A50,VOLCURVES,HLOOKUP($D$4,VOLCURVES,2,FALSE()),FALSE()),1)</f>
        <v>1</v>
      </c>
      <c r="V50" s="131" t="n">
        <f aca="false">IF(ISNUMBER(VLOOKUP($A50,CORETABLE,HLOOKUP($D$3,CORETABLE,2,FALSE()),FALSE())),VLOOKUP($A50,CORETABLE,HLOOKUP($D$3,CORETABLE,2,FALSE()),FALSE()),0.99)</f>
        <v>0.994071440191916</v>
      </c>
      <c r="W50" s="155" t="n">
        <f aca="false">D$18</f>
        <v>0.2</v>
      </c>
      <c r="X50" s="131"/>
      <c r="Y50" s="40" t="n">
        <f aca="false">IF($F$3="NYMEX",0,VLOOKUP($A50,curvesettle,HLOOKUP($F$3,curvesettle,2,FALSE()),FALSE()))</f>
        <v>0.461</v>
      </c>
      <c r="Z50" s="40" t="n">
        <f aca="false">IF($F$4="NYMEX",0,VLOOKUP($A50,curvesettle,HLOOKUP($F$4,curvesettle,2,FALSE()),FALSE()))</f>
        <v>0</v>
      </c>
      <c r="AA50" s="131" t="n">
        <f aca="false">IF(ISNUMBER(VLOOKUP($A50,VOLCURVES,HLOOKUP($F$3,VOLCURVES,2,FALSE()),FALSE())),VLOOKUP($A50,VOLCURVES,HLOOKUP($F$3,VOLCURVES,2,FALSE()),FALSE()),1)</f>
        <v>0.98</v>
      </c>
      <c r="AB50" s="131" t="n">
        <f aca="false">IF(ISNUMBER(VLOOKUP($A50,VOLCURVES,HLOOKUP($F$4,VOLCURVES,2,FALSE()),FALSE())),VLOOKUP($A50,VOLCURVES,HLOOKUP($F$4,VOLCURVES,2,FALSE()),FALSE()),1)</f>
        <v>1</v>
      </c>
      <c r="AC50" s="131" t="n">
        <f aca="false">IF(ISNUMBER(VLOOKUP($A50,CORETABLE,HLOOKUP($F$3,CORETABLE,2,FALSE()),FALSE())),VLOOKUP($A50,CORETABLE,HLOOKUP($F$3,CORETABLE,2,FALSE()),FALSE()),1)</f>
        <v>0.9773</v>
      </c>
      <c r="AD50" s="155" t="n">
        <f aca="false">F$18</f>
        <v>1.85</v>
      </c>
      <c r="AE50" s="131"/>
      <c r="AF50" s="40" t="n">
        <f aca="false">IF($H$3="NYMEX",0,VLOOKUP($A50,curvesettle,HLOOKUP($H$3,curvesettle,2,FALSE()),FALSE()))</f>
        <v>0.461</v>
      </c>
      <c r="AG50" s="40" t="n">
        <f aca="false">IF($H$4="NYMEX",0,VLOOKUP($A50,curvesettle,HLOOKUP($H$4,curvesettle,2,FALSE()),FALSE()))</f>
        <v>0</v>
      </c>
      <c r="AH50" s="131" t="n">
        <f aca="false">IF(ISNUMBER(VLOOKUP($A50,VOLCURVES,HLOOKUP($H$3,VOLCURVES,2,FALSE()),FALSE())),VLOOKUP($A50,VOLCURVES,HLOOKUP($H$3,VOLCURVES,2,FALSE()),FALSE()),1)</f>
        <v>0.98</v>
      </c>
      <c r="AI50" s="131" t="n">
        <f aca="false">IF(ISNUMBER(VLOOKUP($A50,VOLCURVES,HLOOKUP($H$4,VOLCURVES,2,FALSE()),FALSE())),VLOOKUP($A50,VOLCURVES,HLOOKUP($H$4,VOLCURVES,2,FALSE()),FALSE()),1)</f>
        <v>1</v>
      </c>
      <c r="AJ50" s="131" t="n">
        <f aca="false">IF(ISNUMBER(VLOOKUP($A50,CORETABLE,HLOOKUP($H$3,CORETABLE,2,FALSE()),FALSE())),VLOOKUP($A50,CORETABLE,HLOOKUP($H$3,CORETABLE,2,FALSE()),FALSE()),1)</f>
        <v>0.9773</v>
      </c>
      <c r="AK50" s="155" t="n">
        <f aca="false">H$18</f>
        <v>1.85</v>
      </c>
      <c r="AM50" s="4" t="n">
        <f aca="false">VLOOKUP($A50,STRADDLE,12,FALSE())</f>
        <v>0.067509261584356</v>
      </c>
      <c r="AN50" s="43" t="n">
        <f aca="false">A51-A50</f>
        <v>31</v>
      </c>
      <c r="AP50" s="9" t="n">
        <f aca="false">IF($A50&gt;=AR$32,IF($A50&lt;=AR$33,$AN50,0),0)</f>
        <v>0</v>
      </c>
      <c r="AQ50" s="123" t="n">
        <f aca="false">$B50+$K50+$B$12</f>
        <v>4.87171428571429</v>
      </c>
      <c r="AR50" s="123" t="n">
        <f aca="false">$B50+$L50+$B$13</f>
        <v>4.38071428571429</v>
      </c>
      <c r="AS50" s="123" t="n">
        <f aca="false">AQ50*AP50</f>
        <v>0</v>
      </c>
      <c r="AT50" s="123" t="n">
        <f aca="false">AR50*AP50</f>
        <v>0</v>
      </c>
      <c r="AU50" s="156" t="n">
        <f aca="false">($C50*$M50)+$B$14</f>
        <v>0.39445</v>
      </c>
      <c r="AV50" s="156" t="n">
        <f aca="false">($C50*$N50)+$B$15</f>
        <v>0.4025</v>
      </c>
      <c r="AW50" s="131" t="n">
        <f aca="false">O50+B$16</f>
        <v>0.9773</v>
      </c>
      <c r="AX50" s="157" t="n">
        <f aca="false">IF(AP50=0,0,SPRDOPT(AQ50,AR50,$P50,$AM50,AU50,AV50,AW50,$D50,$B$19,0))</f>
        <v>0</v>
      </c>
      <c r="AY50" s="157" t="e">
        <f aca="false">IF(AQ50=0,0,SPRDOPT(AQ50,AR50,$P50,$AM50,AU50,AV50,AW50,$D50,$B$19,1))</f>
        <v>#NAME?</v>
      </c>
      <c r="AZ50" s="157" t="e">
        <f aca="false">IF(AR50=0,0,SPRDOPT(AQ50,AR50,$P50,$AM50,AU50,AV50,AW50,$D50,$B$19,2))</f>
        <v>#NAME?</v>
      </c>
      <c r="BA50" s="157" t="n">
        <f aca="false">IF(AS50=0,0,SPRDOPT(AQ50,AR50,$P50,$AM50,AU50,AV50,AW50,$D50,$B$19,3)/100)</f>
        <v>0</v>
      </c>
      <c r="BB50" s="157" t="n">
        <f aca="false">IF(AT50=0,0,SPRDOPT(AQ50,AR50,$P50,$AM50,AU50,AV50,AW50,$D50,$B$19,4)/100)</f>
        <v>0</v>
      </c>
      <c r="BC50" s="157" t="e">
        <f aca="false">IF(AU50=0,0,SPRDOPT(AQ50,AR50,$P50,$AM50,AU50,AV50,AW50,$D50,$B$19,5)/100)</f>
        <v>#NAME?</v>
      </c>
      <c r="BD50" s="157" t="e">
        <f aca="false">IF(AV50=0,0,SPRDOPT(AQ50,AR50,$P50,$AM50,AU50,AV50,AW50,$D50,$B$19,6)/100)</f>
        <v>#NAME?</v>
      </c>
      <c r="BE50" s="157" t="e">
        <f aca="false">IF(AW50=0,0,SPRDOPT(AQ50,AR50,$P50,$AM50,AU50,AV50,AW50,$D50,$B$19,7)/100)</f>
        <v>#NAME?</v>
      </c>
      <c r="BF50" s="157" t="n">
        <f aca="false">IF(AX50=0,0,SPRDOPT(AQ50,AR50,$P50,$AM50,AU50,AV50,AW50,$D50,$B$19,9)/365)</f>
        <v>0</v>
      </c>
      <c r="BG50" s="157" t="e">
        <f aca="false">AY50+AZ50</f>
        <v>#NAME?</v>
      </c>
      <c r="BH50" s="157" t="n">
        <f aca="false">BB50-BA50</f>
        <v>0</v>
      </c>
      <c r="BI50" s="157" t="e">
        <f aca="false">((AU50/AV50)*BC50)+BD50</f>
        <v>#NAME?</v>
      </c>
      <c r="BJ50" s="44"/>
      <c r="BK50" s="45" t="n">
        <f aca="false">$AP50*AX50</f>
        <v>0</v>
      </c>
      <c r="BL50" s="45" t="e">
        <f aca="false">$AP50*AY50</f>
        <v>#NAME?</v>
      </c>
      <c r="BM50" s="45" t="e">
        <f aca="false">$AP50*AZ50</f>
        <v>#NAME?</v>
      </c>
      <c r="BN50" s="45" t="n">
        <f aca="false">$AP50*BA50</f>
        <v>0</v>
      </c>
      <c r="BO50" s="45" t="n">
        <f aca="false">$AP50*BB50</f>
        <v>0</v>
      </c>
      <c r="BP50" s="45" t="e">
        <f aca="false">$AP50*BC50</f>
        <v>#NAME?</v>
      </c>
      <c r="BQ50" s="45" t="e">
        <f aca="false">$AP50*BD50</f>
        <v>#NAME?</v>
      </c>
      <c r="BR50" s="45" t="e">
        <f aca="false">$AP50*BE50</f>
        <v>#NAME?</v>
      </c>
      <c r="BS50" s="45" t="n">
        <f aca="false">$AP50*BF50</f>
        <v>0</v>
      </c>
      <c r="BT50" s="45" t="e">
        <f aca="false">$AP50*BG50</f>
        <v>#NAME?</v>
      </c>
      <c r="BU50" s="45" t="n">
        <f aca="false">$AP50*BH50</f>
        <v>0</v>
      </c>
      <c r="BV50" s="45" t="e">
        <f aca="false">$AP50*BI50</f>
        <v>#NAME?</v>
      </c>
      <c r="BX50" s="9" t="n">
        <f aca="false">IF($A50&gt;=BZ$32,IF($A50&lt;=BZ$33,$AN50,0),0)</f>
        <v>0</v>
      </c>
      <c r="BY50" s="123" t="n">
        <f aca="false">$B50+$R50+$D$12</f>
        <v>4.46071428571429</v>
      </c>
      <c r="BZ50" s="123" t="n">
        <f aca="false">$B50+$S50+$D$13</f>
        <v>4.38071428571429</v>
      </c>
      <c r="CA50" s="123" t="n">
        <f aca="false">BY50*BX50</f>
        <v>0</v>
      </c>
      <c r="CB50" s="123" t="n">
        <f aca="false">BZ50*BX50</f>
        <v>0</v>
      </c>
      <c r="CC50" s="156" t="n">
        <f aca="false">($C50*$T50)+$D$14</f>
        <v>0.4025</v>
      </c>
      <c r="CD50" s="156" t="n">
        <f aca="false">($C50*$U50)+$D$15</f>
        <v>0.4025</v>
      </c>
      <c r="CE50" s="131" t="n">
        <f aca="false">$V50+D$16</f>
        <v>0.994071440191916</v>
      </c>
      <c r="CF50" s="157" t="n">
        <f aca="false">IF(BX50=0,0,SPRDOPT(BY50,BZ50,$W50,$AM50,CC50,CD50,CE50,$D50,$D$19,0))</f>
        <v>0</v>
      </c>
      <c r="CG50" s="157" t="e">
        <f aca="false">IF(BY50=0,0,SPRDOPT(BY50,BZ50,$W50,$AM50,CC50,CD50,CE50,$D50,$D$19,1))</f>
        <v>#NAME?</v>
      </c>
      <c r="CH50" s="157" t="e">
        <f aca="false">IF(BZ50=0,0,SPRDOPT(BY50,BZ50,$W50,$AM50,CC50,CD50,CE50,$D50,$D$19,2))</f>
        <v>#NAME?</v>
      </c>
      <c r="CI50" s="157" t="n">
        <f aca="false">IF(CA50=0,0,SPRDOPT(BY50,BZ50,$W50,$AM50,CC50,CD50,CE50,$D50,$D$19,3)/100)</f>
        <v>0</v>
      </c>
      <c r="CJ50" s="157" t="n">
        <f aca="false">IF(CB50=0,0,SPRDOPT(BY50,BZ50,$W50,$AM50,CC50,CD50,CE50,$D50,$D$19,4)/100)</f>
        <v>0</v>
      </c>
      <c r="CK50" s="157" t="e">
        <f aca="false">IF(CC50=0,0,SPRDOPT(BY50,BZ50,$W50,$AM50,CC50,CD50,CE50,$D50,$D$19,5)/100)</f>
        <v>#NAME?</v>
      </c>
      <c r="CL50" s="157" t="e">
        <f aca="false">IF(CD50=0,0,SPRDOPT(BY50,BZ50,$W50,$AM50,CC50,CD50,CE50,$D50,$D$19,6)/100)</f>
        <v>#NAME?</v>
      </c>
      <c r="CM50" s="157" t="e">
        <f aca="false">IF(CE50=0,0,SPRDOPT(BY50,BZ50,$W50,$AM50,CC50,CD50,CE50,$D50,$D$19,7)/100)</f>
        <v>#NAME?</v>
      </c>
      <c r="CN50" s="157" t="n">
        <f aca="false">IF(CF50=0,0,SPRDOPT(BY50,BZ50,$W50,$AM50,CC50,CD50,CE50,$D50,$D$19,9)/365)</f>
        <v>0</v>
      </c>
      <c r="CO50" s="157" t="e">
        <f aca="false">CG50+CH50</f>
        <v>#NAME?</v>
      </c>
      <c r="CP50" s="157" t="n">
        <f aca="false">CJ50-CI50</f>
        <v>0</v>
      </c>
      <c r="CQ50" s="157" t="e">
        <f aca="false">((CC50/CD50)*CK50)+CL50</f>
        <v>#NAME?</v>
      </c>
      <c r="CR50" s="44"/>
      <c r="CS50" s="45" t="n">
        <f aca="false">BX50*CF50</f>
        <v>0</v>
      </c>
      <c r="CT50" s="45" t="e">
        <f aca="false">BX50*CG50</f>
        <v>#NAME?</v>
      </c>
      <c r="CU50" s="45" t="e">
        <f aca="false">BX50*CH50</f>
        <v>#NAME?</v>
      </c>
      <c r="CV50" s="45" t="n">
        <f aca="false">BX50*CI50</f>
        <v>0</v>
      </c>
      <c r="CW50" s="45" t="n">
        <f aca="false">BX50*CJ50</f>
        <v>0</v>
      </c>
      <c r="CX50" s="45" t="e">
        <f aca="false">BX50*CK50</f>
        <v>#NAME?</v>
      </c>
      <c r="CY50" s="45" t="e">
        <f aca="false">BX50*CL50</f>
        <v>#NAME?</v>
      </c>
      <c r="CZ50" s="45" t="e">
        <f aca="false">BX50*CM50</f>
        <v>#NAME?</v>
      </c>
      <c r="DA50" s="45" t="n">
        <f aca="false">BX50*CN50</f>
        <v>0</v>
      </c>
      <c r="DB50" s="45" t="e">
        <f aca="false">BX50*CO50</f>
        <v>#NAME?</v>
      </c>
      <c r="DC50" s="45" t="n">
        <f aca="false">BX50*CP50</f>
        <v>0</v>
      </c>
      <c r="DD50" s="45" t="e">
        <f aca="false">BX50*CQ50</f>
        <v>#NAME?</v>
      </c>
      <c r="DF50" s="9" t="n">
        <f aca="false">IF($A50&gt;=DH$32,IF($A50&lt;=DH$33,$AN50,0),0)</f>
        <v>0</v>
      </c>
      <c r="DG50" s="123" t="n">
        <f aca="false">$B50+$Y50+$F$12</f>
        <v>4.87171428571429</v>
      </c>
      <c r="DH50" s="123" t="n">
        <f aca="false">$B50+$Z50+$F$13</f>
        <v>4.38071428571429</v>
      </c>
      <c r="DI50" s="123" t="n">
        <f aca="false">DG50*DF50</f>
        <v>0</v>
      </c>
      <c r="DJ50" s="123" t="n">
        <f aca="false">DH50*DF50</f>
        <v>0</v>
      </c>
      <c r="DK50" s="156" t="n">
        <f aca="false">($C50*$AA50)+$F$14</f>
        <v>0.39445</v>
      </c>
      <c r="DL50" s="156" t="n">
        <f aca="false">($C50*$AB50)+$F$15</f>
        <v>0.4025</v>
      </c>
      <c r="DM50" s="131" t="n">
        <f aca="false">$AC50+$F$16</f>
        <v>0.9773</v>
      </c>
      <c r="DN50" s="157" t="n">
        <f aca="false">IF(DF50=0,0,SPRDOPT(DG50,DH50,$AD50,$AM50,DK50,DL50,DM50,$D50,$F$19,0))</f>
        <v>0</v>
      </c>
      <c r="DO50" s="157" t="e">
        <f aca="false">IF(DG50=0,0,SPRDOPT(DG50,DH50,$AD50,$AM50,DK50,DL50,DM50,$D50,$F$19,1))</f>
        <v>#NAME?</v>
      </c>
      <c r="DP50" s="157" t="e">
        <f aca="false">IF(DH50=0,0,SPRDOPT(DG50,DH50,$AD50,$AM50,DK50,DL50,DM50,$D50,$F$19,2))</f>
        <v>#NAME?</v>
      </c>
      <c r="DQ50" s="157" t="n">
        <f aca="false">IF(DI50=0,0,SPRDOPT(DG50,DH50,$AD50,$AM50,DK50,DL50,DM50,$D50,$F$19,3)/100)</f>
        <v>0</v>
      </c>
      <c r="DR50" s="157" t="n">
        <f aca="false">IF(DJ50=0,0,SPRDOPT(DG50,DH50,$AD50,$AM50,DK50,DL50,DM50,$D50,$F$19,4)/100)</f>
        <v>0</v>
      </c>
      <c r="DS50" s="157" t="e">
        <f aca="false">IF(DK50=0,0,SPRDOPT(DG50,DH50,$AD50,$AM50,DK50,DL50,DM50,$D50,$F$19,5)/100)</f>
        <v>#NAME?</v>
      </c>
      <c r="DT50" s="157" t="e">
        <f aca="false">IF(DL50=0,0,SPRDOPT(DG50,DH50,$AD50,$AM50,DK50,DL50,DM50,$D50,$F$19,6)/100)</f>
        <v>#NAME?</v>
      </c>
      <c r="DU50" s="157" t="e">
        <f aca="false">IF(DM50=0,0,SPRDOPT(DG50,DH50,$AD50,$AM50,DK50,DL50,DM50,$D50,$F$19,7)/100)</f>
        <v>#NAME?</v>
      </c>
      <c r="DV50" s="157" t="n">
        <f aca="false">IF(DN50=0,0,SPRDOPT(DG50,DH50,$AD50,$AM50,DK50,DL50,DM50,$D50,$F$19,9)/365)</f>
        <v>0</v>
      </c>
      <c r="DW50" s="157" t="e">
        <f aca="false">DO50+DP50</f>
        <v>#NAME?</v>
      </c>
      <c r="DX50" s="157" t="n">
        <f aca="false">DR50-DQ50</f>
        <v>0</v>
      </c>
      <c r="DY50" s="157" t="e">
        <f aca="false">((DK50/DL50)*DS50)+DT50</f>
        <v>#NAME?</v>
      </c>
      <c r="DZ50" s="44"/>
      <c r="EA50" s="45" t="n">
        <f aca="false">DF50*DN50</f>
        <v>0</v>
      </c>
      <c r="EB50" s="45" t="e">
        <f aca="false">DF50*DO50</f>
        <v>#NAME?</v>
      </c>
      <c r="EC50" s="45" t="e">
        <f aca="false">DF50*DP50</f>
        <v>#NAME?</v>
      </c>
      <c r="ED50" s="45" t="n">
        <f aca="false">DF50*DQ50</f>
        <v>0</v>
      </c>
      <c r="EE50" s="45" t="n">
        <f aca="false">DF50*DR50</f>
        <v>0</v>
      </c>
      <c r="EF50" s="45" t="e">
        <f aca="false">DF50*DS50</f>
        <v>#NAME?</v>
      </c>
      <c r="EG50" s="45" t="e">
        <f aca="false">DF50*DT50</f>
        <v>#NAME?</v>
      </c>
      <c r="EH50" s="45" t="e">
        <f aca="false">DF50*DU50</f>
        <v>#NAME?</v>
      </c>
      <c r="EI50" s="45" t="n">
        <f aca="false">DF50*DV50</f>
        <v>0</v>
      </c>
      <c r="EJ50" s="45" t="e">
        <f aca="false">DF50*DW50</f>
        <v>#NAME?</v>
      </c>
      <c r="EK50" s="45" t="n">
        <f aca="false">DF50*DX50</f>
        <v>0</v>
      </c>
      <c r="EL50" s="45" t="e">
        <f aca="false">DF50*DY50</f>
        <v>#NAME?</v>
      </c>
      <c r="EN50" s="9" t="n">
        <f aca="false">IF($A50&gt;=EP$32,IF($A50&lt;=EP$33,$AN50,0),0)</f>
        <v>0</v>
      </c>
      <c r="EO50" s="123" t="n">
        <f aca="false">$B50+$AF50+$H$12</f>
        <v>4.87171428571429</v>
      </c>
      <c r="EP50" s="123" t="n">
        <f aca="false">$B50+$AG50+$H$13</f>
        <v>4.38071428571429</v>
      </c>
      <c r="EQ50" s="123" t="n">
        <f aca="false">EO50*EN50</f>
        <v>0</v>
      </c>
      <c r="ER50" s="123" t="n">
        <f aca="false">EP50*EN50</f>
        <v>0</v>
      </c>
      <c r="ES50" s="156" t="n">
        <f aca="false">($C50*$AH50)+$H$14</f>
        <v>0.39445</v>
      </c>
      <c r="ET50" s="156" t="n">
        <f aca="false">($C50*$AI50)+$H$15</f>
        <v>0.4025</v>
      </c>
      <c r="EU50" s="131" t="n">
        <f aca="false">$AJ50+$H$16</f>
        <v>0.9773</v>
      </c>
      <c r="EV50" s="157" t="n">
        <f aca="false">IF(EN50=0,0,SPRDOPT(EO50,EP50,$AK50,$AM50,ES50,ET50,EU50,$D50,$H$19,0))</f>
        <v>0</v>
      </c>
      <c r="EW50" s="157" t="e">
        <f aca="false">IF(EO50=0,0,SPRDOPT(EO50,EP50,$AK50,$AM50,ES50,ET50,EU50,$D50,$H$19,1))</f>
        <v>#NAME?</v>
      </c>
      <c r="EX50" s="157" t="e">
        <f aca="false">IF(EP50=0,0,SPRDOPT(EO50,EP50,$AK50,$AM50,ES50,ET50,EU50,$D50,$H$19,2))</f>
        <v>#NAME?</v>
      </c>
      <c r="EY50" s="157" t="n">
        <f aca="false">IF(EQ50=0,0,SPRDOPT(EO50,EP50,$AK50,$AM50,ES50,ET50,EU50,$D50,$H$19,3)/100)</f>
        <v>0</v>
      </c>
      <c r="EZ50" s="157" t="n">
        <f aca="false">IF(ER50=0,0,SPRDOPT(EO50,EP50,$AK50,$AM50,ES50,ET50,EU50,$D50,$H$19,4)/100)</f>
        <v>0</v>
      </c>
      <c r="FA50" s="157" t="e">
        <f aca="false">IF(ES50=0,0,SPRDOPT(EO50,EP50,$AK50,$AM50,ES50,ET50,EU50,$D50,$H$19,5)/100)</f>
        <v>#NAME?</v>
      </c>
      <c r="FB50" s="157" t="e">
        <f aca="false">IF(ET50=0,0,SPRDOPT(EO50,EP50,$AK50,$AM50,ES50,ET50,EU50,$D50,$H$19,6)/100)</f>
        <v>#NAME?</v>
      </c>
      <c r="FC50" s="157" t="e">
        <f aca="false">IF(EU50=0,0,SPRDOPT(EO50,EP50,$AK50,$AM50,ES50,ET50,EU50,$D50,$H$19,7)/100)</f>
        <v>#NAME?</v>
      </c>
      <c r="FD50" s="157" t="n">
        <f aca="false">IF(EV50=0,0,SPRDOPT(EO50,EP50,$AK50,$AM50,ES50,ET50,EU50,$D50,$H$19,9)/365)</f>
        <v>0</v>
      </c>
      <c r="FE50" s="157" t="e">
        <f aca="false">EW50+EX50</f>
        <v>#NAME?</v>
      </c>
      <c r="FF50" s="157" t="n">
        <f aca="false">EZ50-EY50</f>
        <v>0</v>
      </c>
      <c r="FG50" s="157" t="e">
        <f aca="false">((ES50/ET50)*FA50)+FB50</f>
        <v>#NAME?</v>
      </c>
      <c r="FH50" s="44"/>
      <c r="FI50" s="45" t="n">
        <f aca="false">$EN50*EV50</f>
        <v>0</v>
      </c>
      <c r="FJ50" s="45" t="e">
        <f aca="false">$EN50*EW50</f>
        <v>#NAME?</v>
      </c>
      <c r="FK50" s="45" t="e">
        <f aca="false">$EN50*EX50</f>
        <v>#NAME?</v>
      </c>
      <c r="FL50" s="45" t="n">
        <f aca="false">$EN50*EY50</f>
        <v>0</v>
      </c>
      <c r="FM50" s="45" t="n">
        <f aca="false">$EN50*EZ50</f>
        <v>0</v>
      </c>
      <c r="FN50" s="45" t="e">
        <f aca="false">$EN50*FA50</f>
        <v>#NAME?</v>
      </c>
      <c r="FO50" s="45" t="e">
        <f aca="false">$EN50*FB50</f>
        <v>#NAME?</v>
      </c>
      <c r="FP50" s="45" t="e">
        <f aca="false">$EN50*FC50</f>
        <v>#NAME?</v>
      </c>
      <c r="FQ50" s="45" t="n">
        <f aca="false">$EN50*FD50</f>
        <v>0</v>
      </c>
      <c r="FR50" s="45" t="e">
        <f aca="false">$EN50*FE50</f>
        <v>#NAME?</v>
      </c>
      <c r="FS50" s="45" t="n">
        <f aca="false">$EN50*FF50</f>
        <v>0</v>
      </c>
      <c r="FT50" s="45" t="e">
        <f aca="false">$EN50*FG50</f>
        <v>#NAME?</v>
      </c>
    </row>
    <row r="51" customFormat="false" ht="12.75" hidden="false" customHeight="false" outlineLevel="0" collapsed="false">
      <c r="A51" s="48" t="n">
        <f aca="false">DATE(YEAR(A50),MONTH(A50)+1,1)</f>
        <v>37196</v>
      </c>
      <c r="B51" s="40" t="n">
        <f aca="false">VLOOKUP(A51,STRADDLE,5,FALSE())</f>
        <v>4.486</v>
      </c>
      <c r="C51" s="4" t="n">
        <f aca="false">VLOOKUP(A51,STRADDLE,8,FALSE())</f>
        <v>0.4075</v>
      </c>
      <c r="D51" s="136" t="n">
        <f aca="false">VLOOKUP(A51,expiration,2,FALSE())-$B$2</f>
        <v>-8733</v>
      </c>
      <c r="E51" s="131" t="e">
        <f aca="false">AY51</f>
        <v>#NAME?</v>
      </c>
      <c r="F51" s="131" t="e">
        <f aca="false">CG51</f>
        <v>#NAME?</v>
      </c>
      <c r="G51" s="131" t="e">
        <f aca="false">DO51</f>
        <v>#NAME?</v>
      </c>
      <c r="H51" s="131" t="e">
        <f aca="false">EW51</f>
        <v>#NAME?</v>
      </c>
      <c r="I51" s="41"/>
      <c r="J51" s="154"/>
      <c r="K51" s="40" t="n">
        <f aca="false">IF($B$3="NYMEX",0,VLOOKUP($A51,curvesettle,HLOOKUP($B$3,curvesettle,2,FALSE()),FALSE()))</f>
        <v>1.19</v>
      </c>
      <c r="L51" s="40" t="n">
        <f aca="false">IF($B$4="NYMEX",0,VLOOKUP($A51,curvesettle,HLOOKUP($B$4,curvesettle,2,FALSE()),FALSE()))</f>
        <v>0</v>
      </c>
      <c r="M51" s="131" t="n">
        <f aca="false">IF(ISNUMBER(VLOOKUP($A51,VOLCURVES,HLOOKUP($B$3,VOLCURVES,2,FALSE()),FALSE())),VLOOKUP($A51,VOLCURVES,HLOOKUP($B$3,VOLCURVES,2,FALSE()),FALSE()),1)</f>
        <v>1.1</v>
      </c>
      <c r="N51" s="131" t="n">
        <f aca="false">IF(ISNUMBER(VLOOKUP($A51,VOLCURVES,HLOOKUP($B$4,VOLCURVES,2,FALSE()),FALSE())),VLOOKUP($A51,VOLCURVES,HLOOKUP($B$4,VOLCURVES,2,FALSE()),FALSE()),1)</f>
        <v>1</v>
      </c>
      <c r="O51" s="131" t="n">
        <f aca="false">IF(ISNUMBER(VLOOKUP($A51,CORETABLE,HLOOKUP($B$3,CORETABLE,2,FALSE()),FALSE())),VLOOKUP($A51,CORETABLE,HLOOKUP($B$3,CORETABLE,2,FALSE()),FALSE()),0.99)</f>
        <v>0.95</v>
      </c>
      <c r="P51" s="155" t="n">
        <f aca="false">B$18</f>
        <v>2</v>
      </c>
      <c r="Q51" s="131"/>
      <c r="R51" s="40" t="n">
        <f aca="false">IF($D$3="NYMEX",0,VLOOKUP($A51,curvesettle,HLOOKUP($D$3,curvesettle,2,FALSE()),FALSE()))</f>
        <v>0.1275</v>
      </c>
      <c r="S51" s="40" t="n">
        <f aca="false">IF($D$4="NYMEX",0,VLOOKUP($A51,curvesettle,HLOOKUP($D$4,curvesettle,2,FALSE()),FALSE()))</f>
        <v>0</v>
      </c>
      <c r="T51" s="131" t="n">
        <f aca="false">IF(ISNUMBER(VLOOKUP($A51,VOLCURVES,HLOOKUP($D$3,VOLCURVES,2,FALSE()),FALSE())),VLOOKUP($A51,VOLCURVES,HLOOKUP($D$3,VOLCURVES,2,FALSE()),FALSE()),1)</f>
        <v>1</v>
      </c>
      <c r="U51" s="131" t="n">
        <f aca="false">IF(ISNUMBER(VLOOKUP($A51,VOLCURVES,HLOOKUP($D$4,VOLCURVES,2,FALSE()),FALSE())),VLOOKUP($A51,VOLCURVES,HLOOKUP($D$4,VOLCURVES,2,FALSE()),FALSE()),1)</f>
        <v>1</v>
      </c>
      <c r="V51" s="131" t="n">
        <f aca="false">IF(ISNUMBER(VLOOKUP($A51,CORETABLE,HLOOKUP($D$3,CORETABLE,2,FALSE()),FALSE())),VLOOKUP($A51,CORETABLE,HLOOKUP($D$3,CORETABLE,2,FALSE()),FALSE()),0.99)</f>
        <v>0.984107647518451</v>
      </c>
      <c r="W51" s="155" t="n">
        <f aca="false">D$18</f>
        <v>0.2</v>
      </c>
      <c r="X51" s="131"/>
      <c r="Y51" s="40" t="n">
        <f aca="false">IF($F$3="NYMEX",0,VLOOKUP($A51,curvesettle,HLOOKUP($F$3,curvesettle,2,FALSE()),FALSE()))</f>
        <v>1.19</v>
      </c>
      <c r="Z51" s="40" t="n">
        <f aca="false">IF($F$4="NYMEX",0,VLOOKUP($A51,curvesettle,HLOOKUP($F$4,curvesettle,2,FALSE()),FALSE()))</f>
        <v>0</v>
      </c>
      <c r="AA51" s="131" t="n">
        <f aca="false">IF(ISNUMBER(VLOOKUP($A51,VOLCURVES,HLOOKUP($F$3,VOLCURVES,2,FALSE()),FALSE())),VLOOKUP($A51,VOLCURVES,HLOOKUP($F$3,VOLCURVES,2,FALSE()),FALSE()),1)</f>
        <v>1.1</v>
      </c>
      <c r="AB51" s="131" t="n">
        <f aca="false">IF(ISNUMBER(VLOOKUP($A51,VOLCURVES,HLOOKUP($F$4,VOLCURVES,2,FALSE()),FALSE())),VLOOKUP($A51,VOLCURVES,HLOOKUP($F$4,VOLCURVES,2,FALSE()),FALSE()),1)</f>
        <v>1</v>
      </c>
      <c r="AC51" s="131" t="n">
        <f aca="false">IF(ISNUMBER(VLOOKUP($A51,CORETABLE,HLOOKUP($F$3,CORETABLE,2,FALSE()),FALSE())),VLOOKUP($A51,CORETABLE,HLOOKUP($F$3,CORETABLE,2,FALSE()),FALSE()),1)</f>
        <v>0.95</v>
      </c>
      <c r="AD51" s="155" t="n">
        <f aca="false">F$18</f>
        <v>1.85</v>
      </c>
      <c r="AE51" s="131"/>
      <c r="AF51" s="40" t="n">
        <f aca="false">IF($H$3="NYMEX",0,VLOOKUP($A51,curvesettle,HLOOKUP($H$3,curvesettle,2,FALSE()),FALSE()))</f>
        <v>1.19</v>
      </c>
      <c r="AG51" s="40" t="n">
        <f aca="false">IF($H$4="NYMEX",0,VLOOKUP($A51,curvesettle,HLOOKUP($H$4,curvesettle,2,FALSE()),FALSE()))</f>
        <v>0</v>
      </c>
      <c r="AH51" s="131" t="n">
        <f aca="false">IF(ISNUMBER(VLOOKUP($A51,VOLCURVES,HLOOKUP($H$3,VOLCURVES,2,FALSE()),FALSE())),VLOOKUP($A51,VOLCURVES,HLOOKUP($H$3,VOLCURVES,2,FALSE()),FALSE()),1)</f>
        <v>1.1</v>
      </c>
      <c r="AI51" s="131" t="n">
        <f aca="false">IF(ISNUMBER(VLOOKUP($A51,VOLCURVES,HLOOKUP($H$4,VOLCURVES,2,FALSE()),FALSE())),VLOOKUP($A51,VOLCURVES,HLOOKUP($H$4,VOLCURVES,2,FALSE()),FALSE()),1)</f>
        <v>1</v>
      </c>
      <c r="AJ51" s="131" t="n">
        <f aca="false">IF(ISNUMBER(VLOOKUP($A51,CORETABLE,HLOOKUP($H$3,CORETABLE,2,FALSE()),FALSE())),VLOOKUP($A51,CORETABLE,HLOOKUP($H$3,CORETABLE,2,FALSE()),FALSE()),1)</f>
        <v>0.95</v>
      </c>
      <c r="AK51" s="155" t="n">
        <f aca="false">H$18</f>
        <v>1.85</v>
      </c>
      <c r="AM51" s="4" t="n">
        <f aca="false">VLOOKUP($A51,STRADDLE,12,FALSE())</f>
        <v>0.067440746905213</v>
      </c>
      <c r="AN51" s="43" t="n">
        <f aca="false">A52-A51</f>
        <v>30</v>
      </c>
      <c r="AP51" s="9" t="n">
        <f aca="false">IF($A51&gt;=AR$32,IF($A51&lt;=AR$33,$AN51,0),0)</f>
        <v>0</v>
      </c>
      <c r="AQ51" s="123" t="n">
        <f aca="false">$B51+$K51+$B$12</f>
        <v>5.706</v>
      </c>
      <c r="AR51" s="123" t="n">
        <f aca="false">$B51+$L51+$B$13</f>
        <v>4.486</v>
      </c>
      <c r="AS51" s="123" t="n">
        <f aca="false">AQ51*AP51</f>
        <v>0</v>
      </c>
      <c r="AT51" s="123" t="n">
        <f aca="false">AR51*AP51</f>
        <v>0</v>
      </c>
      <c r="AU51" s="156" t="n">
        <f aca="false">($C51*$M51)+$B$14</f>
        <v>0.44825</v>
      </c>
      <c r="AV51" s="156" t="n">
        <f aca="false">($C51*$N51)+$B$15</f>
        <v>0.4075</v>
      </c>
      <c r="AW51" s="131" t="n">
        <f aca="false">O51+B$16</f>
        <v>0.95</v>
      </c>
      <c r="AX51" s="157" t="n">
        <f aca="false">IF(AP51=0,0,SPRDOPT(AQ51,AR51,$P51,$AM51,AU51,AV51,AW51,$D51,$B$19,0))</f>
        <v>0</v>
      </c>
      <c r="AY51" s="157" t="e">
        <f aca="false">IF(AQ51=0,0,SPRDOPT(AQ51,AR51,$P51,$AM51,AU51,AV51,AW51,$D51,$B$19,1))</f>
        <v>#NAME?</v>
      </c>
      <c r="AZ51" s="157" t="e">
        <f aca="false">IF(AR51=0,0,SPRDOPT(AQ51,AR51,$P51,$AM51,AU51,AV51,AW51,$D51,$B$19,2))</f>
        <v>#NAME?</v>
      </c>
      <c r="BA51" s="157" t="n">
        <f aca="false">IF(AS51=0,0,SPRDOPT(AQ51,AR51,$P51,$AM51,AU51,AV51,AW51,$D51,$B$19,3)/100)</f>
        <v>0</v>
      </c>
      <c r="BB51" s="157" t="n">
        <f aca="false">IF(AT51=0,0,SPRDOPT(AQ51,AR51,$P51,$AM51,AU51,AV51,AW51,$D51,$B$19,4)/100)</f>
        <v>0</v>
      </c>
      <c r="BC51" s="157" t="e">
        <f aca="false">IF(AU51=0,0,SPRDOPT(AQ51,AR51,$P51,$AM51,AU51,AV51,AW51,$D51,$B$19,5)/100)</f>
        <v>#NAME?</v>
      </c>
      <c r="BD51" s="157" t="e">
        <f aca="false">IF(AV51=0,0,SPRDOPT(AQ51,AR51,$P51,$AM51,AU51,AV51,AW51,$D51,$B$19,6)/100)</f>
        <v>#NAME?</v>
      </c>
      <c r="BE51" s="157" t="e">
        <f aca="false">IF(AW51=0,0,SPRDOPT(AQ51,AR51,$P51,$AM51,AU51,AV51,AW51,$D51,$B$19,7)/100)</f>
        <v>#NAME?</v>
      </c>
      <c r="BF51" s="157" t="n">
        <f aca="false">IF(AX51=0,0,SPRDOPT(AQ51,AR51,$P51,$AM51,AU51,AV51,AW51,$D51,$B$19,9)/365)</f>
        <v>0</v>
      </c>
      <c r="BG51" s="157" t="e">
        <f aca="false">AY51+AZ51</f>
        <v>#NAME?</v>
      </c>
      <c r="BH51" s="157" t="n">
        <f aca="false">BB51-BA51</f>
        <v>0</v>
      </c>
      <c r="BI51" s="157" t="e">
        <f aca="false">((AU51/AV51)*BC51)+BD51</f>
        <v>#NAME?</v>
      </c>
      <c r="BJ51" s="44"/>
      <c r="BK51" s="45" t="n">
        <f aca="false">$AP51*AX51</f>
        <v>0</v>
      </c>
      <c r="BL51" s="45" t="e">
        <f aca="false">$AP51*AY51</f>
        <v>#NAME?</v>
      </c>
      <c r="BM51" s="45" t="e">
        <f aca="false">$AP51*AZ51</f>
        <v>#NAME?</v>
      </c>
      <c r="BN51" s="45" t="n">
        <f aca="false">$AP51*BA51</f>
        <v>0</v>
      </c>
      <c r="BO51" s="45" t="n">
        <f aca="false">$AP51*BB51</f>
        <v>0</v>
      </c>
      <c r="BP51" s="45" t="e">
        <f aca="false">$AP51*BC51</f>
        <v>#NAME?</v>
      </c>
      <c r="BQ51" s="45" t="e">
        <f aca="false">$AP51*BD51</f>
        <v>#NAME?</v>
      </c>
      <c r="BR51" s="45" t="e">
        <f aca="false">$AP51*BE51</f>
        <v>#NAME?</v>
      </c>
      <c r="BS51" s="45" t="n">
        <f aca="false">$AP51*BF51</f>
        <v>0</v>
      </c>
      <c r="BT51" s="45" t="e">
        <f aca="false">$AP51*BG51</f>
        <v>#NAME?</v>
      </c>
      <c r="BU51" s="45" t="n">
        <f aca="false">$AP51*BH51</f>
        <v>0</v>
      </c>
      <c r="BV51" s="45" t="e">
        <f aca="false">$AP51*BI51</f>
        <v>#NAME?</v>
      </c>
      <c r="BX51" s="9" t="n">
        <f aca="false">IF($A51&gt;=BZ$32,IF($A51&lt;=BZ$33,$AN51,0),0)</f>
        <v>0</v>
      </c>
      <c r="BY51" s="123" t="n">
        <f aca="false">$B51+$R51+$D$12</f>
        <v>4.6135</v>
      </c>
      <c r="BZ51" s="123" t="n">
        <f aca="false">$B51+$S51+$D$13</f>
        <v>4.486</v>
      </c>
      <c r="CA51" s="123" t="n">
        <f aca="false">BY51*BX51</f>
        <v>0</v>
      </c>
      <c r="CB51" s="123" t="n">
        <f aca="false">BZ51*BX51</f>
        <v>0</v>
      </c>
      <c r="CC51" s="156" t="n">
        <f aca="false">($C51*$T51)+$D$14</f>
        <v>0.4075</v>
      </c>
      <c r="CD51" s="156" t="n">
        <f aca="false">($C51*$U51)+$D$15</f>
        <v>0.4075</v>
      </c>
      <c r="CE51" s="131" t="n">
        <f aca="false">$V51+D$16</f>
        <v>0.984107647518451</v>
      </c>
      <c r="CF51" s="157" t="n">
        <f aca="false">IF(BX51=0,0,SPRDOPT(BY51,BZ51,$W51,$AM51,CC51,CD51,CE51,$D51,$D$19,0))</f>
        <v>0</v>
      </c>
      <c r="CG51" s="157" t="e">
        <f aca="false">IF(BY51=0,0,SPRDOPT(BY51,BZ51,$W51,$AM51,CC51,CD51,CE51,$D51,$D$19,1))</f>
        <v>#NAME?</v>
      </c>
      <c r="CH51" s="157" t="e">
        <f aca="false">IF(BZ51=0,0,SPRDOPT(BY51,BZ51,$W51,$AM51,CC51,CD51,CE51,$D51,$D$19,2))</f>
        <v>#NAME?</v>
      </c>
      <c r="CI51" s="157" t="n">
        <f aca="false">IF(CA51=0,0,SPRDOPT(BY51,BZ51,$W51,$AM51,CC51,CD51,CE51,$D51,$D$19,3)/100)</f>
        <v>0</v>
      </c>
      <c r="CJ51" s="157" t="n">
        <f aca="false">IF(CB51=0,0,SPRDOPT(BY51,BZ51,$W51,$AM51,CC51,CD51,CE51,$D51,$D$19,4)/100)</f>
        <v>0</v>
      </c>
      <c r="CK51" s="157" t="e">
        <f aca="false">IF(CC51=0,0,SPRDOPT(BY51,BZ51,$W51,$AM51,CC51,CD51,CE51,$D51,$D$19,5)/100)</f>
        <v>#NAME?</v>
      </c>
      <c r="CL51" s="157" t="e">
        <f aca="false">IF(CD51=0,0,SPRDOPT(BY51,BZ51,$W51,$AM51,CC51,CD51,CE51,$D51,$D$19,6)/100)</f>
        <v>#NAME?</v>
      </c>
      <c r="CM51" s="157" t="e">
        <f aca="false">IF(CE51=0,0,SPRDOPT(BY51,BZ51,$W51,$AM51,CC51,CD51,CE51,$D51,$D$19,7)/100)</f>
        <v>#NAME?</v>
      </c>
      <c r="CN51" s="157" t="n">
        <f aca="false">IF(CF51=0,0,SPRDOPT(BY51,BZ51,$W51,$AM51,CC51,CD51,CE51,$D51,$D$19,9)/365)</f>
        <v>0</v>
      </c>
      <c r="CO51" s="157" t="e">
        <f aca="false">CG51+CH51</f>
        <v>#NAME?</v>
      </c>
      <c r="CP51" s="157" t="n">
        <f aca="false">CJ51-CI51</f>
        <v>0</v>
      </c>
      <c r="CQ51" s="157" t="e">
        <f aca="false">((CC51/CD51)*CK51)+CL51</f>
        <v>#NAME?</v>
      </c>
      <c r="CR51" s="44"/>
      <c r="CS51" s="45" t="n">
        <f aca="false">BX51*CF51</f>
        <v>0</v>
      </c>
      <c r="CT51" s="45" t="e">
        <f aca="false">BX51*CG51</f>
        <v>#NAME?</v>
      </c>
      <c r="CU51" s="45" t="e">
        <f aca="false">BX51*CH51</f>
        <v>#NAME?</v>
      </c>
      <c r="CV51" s="45" t="n">
        <f aca="false">BX51*CI51</f>
        <v>0</v>
      </c>
      <c r="CW51" s="45" t="n">
        <f aca="false">BX51*CJ51</f>
        <v>0</v>
      </c>
      <c r="CX51" s="45" t="e">
        <f aca="false">BX51*CK51</f>
        <v>#NAME?</v>
      </c>
      <c r="CY51" s="45" t="e">
        <f aca="false">BX51*CL51</f>
        <v>#NAME?</v>
      </c>
      <c r="CZ51" s="45" t="e">
        <f aca="false">BX51*CM51</f>
        <v>#NAME?</v>
      </c>
      <c r="DA51" s="45" t="n">
        <f aca="false">BX51*CN51</f>
        <v>0</v>
      </c>
      <c r="DB51" s="45" t="e">
        <f aca="false">BX51*CO51</f>
        <v>#NAME?</v>
      </c>
      <c r="DC51" s="45" t="n">
        <f aca="false">BX51*CP51</f>
        <v>0</v>
      </c>
      <c r="DD51" s="45" t="e">
        <f aca="false">BX51*CQ51</f>
        <v>#NAME?</v>
      </c>
      <c r="DF51" s="9" t="n">
        <f aca="false">IF($A51&gt;=DH$32,IF($A51&lt;=DH$33,$AN51,0),0)</f>
        <v>0</v>
      </c>
      <c r="DG51" s="123" t="n">
        <f aca="false">$B51+$Y51+$F$12</f>
        <v>5.706</v>
      </c>
      <c r="DH51" s="123" t="n">
        <f aca="false">$B51+$Z51+$F$13</f>
        <v>4.486</v>
      </c>
      <c r="DI51" s="123" t="n">
        <f aca="false">DG51*DF51</f>
        <v>0</v>
      </c>
      <c r="DJ51" s="123" t="n">
        <f aca="false">DH51*DF51</f>
        <v>0</v>
      </c>
      <c r="DK51" s="156" t="n">
        <f aca="false">($C51*$AA51)+$F$14</f>
        <v>0.44825</v>
      </c>
      <c r="DL51" s="156" t="n">
        <f aca="false">($C51*$AB51)+$F$15</f>
        <v>0.4075</v>
      </c>
      <c r="DM51" s="131" t="n">
        <f aca="false">$AC51+$F$16</f>
        <v>0.95</v>
      </c>
      <c r="DN51" s="157" t="n">
        <f aca="false">IF(DF51=0,0,SPRDOPT(DG51,DH51,$AD51,$AM51,DK51,DL51,DM51,$D51,$F$19,0))</f>
        <v>0</v>
      </c>
      <c r="DO51" s="157" t="e">
        <f aca="false">IF(DG51=0,0,SPRDOPT(DG51,DH51,$AD51,$AM51,DK51,DL51,DM51,$D51,$F$19,1))</f>
        <v>#NAME?</v>
      </c>
      <c r="DP51" s="157" t="e">
        <f aca="false">IF(DH51=0,0,SPRDOPT(DG51,DH51,$AD51,$AM51,DK51,DL51,DM51,$D51,$F$19,2))</f>
        <v>#NAME?</v>
      </c>
      <c r="DQ51" s="157" t="n">
        <f aca="false">IF(DI51=0,0,SPRDOPT(DG51,DH51,$AD51,$AM51,DK51,DL51,DM51,$D51,$F$19,3)/100)</f>
        <v>0</v>
      </c>
      <c r="DR51" s="157" t="n">
        <f aca="false">IF(DJ51=0,0,SPRDOPT(DG51,DH51,$AD51,$AM51,DK51,DL51,DM51,$D51,$F$19,4)/100)</f>
        <v>0</v>
      </c>
      <c r="DS51" s="157" t="e">
        <f aca="false">IF(DK51=0,0,SPRDOPT(DG51,DH51,$AD51,$AM51,DK51,DL51,DM51,$D51,$F$19,5)/100)</f>
        <v>#NAME?</v>
      </c>
      <c r="DT51" s="157" t="e">
        <f aca="false">IF(DL51=0,0,SPRDOPT(DG51,DH51,$AD51,$AM51,DK51,DL51,DM51,$D51,$F$19,6)/100)</f>
        <v>#NAME?</v>
      </c>
      <c r="DU51" s="157" t="e">
        <f aca="false">IF(DM51=0,0,SPRDOPT(DG51,DH51,$AD51,$AM51,DK51,DL51,DM51,$D51,$F$19,7)/100)</f>
        <v>#NAME?</v>
      </c>
      <c r="DV51" s="157" t="n">
        <f aca="false">IF(DN51=0,0,SPRDOPT(DG51,DH51,$AD51,$AM51,DK51,DL51,DM51,$D51,$F$19,9)/365)</f>
        <v>0</v>
      </c>
      <c r="DW51" s="157" t="e">
        <f aca="false">DO51+DP51</f>
        <v>#NAME?</v>
      </c>
      <c r="DX51" s="157" t="n">
        <f aca="false">DR51-DQ51</f>
        <v>0</v>
      </c>
      <c r="DY51" s="157" t="e">
        <f aca="false">((DK51/DL51)*DS51)+DT51</f>
        <v>#NAME?</v>
      </c>
      <c r="DZ51" s="44"/>
      <c r="EA51" s="45" t="n">
        <f aca="false">DF51*DN51</f>
        <v>0</v>
      </c>
      <c r="EB51" s="45" t="e">
        <f aca="false">DF51*DO51</f>
        <v>#NAME?</v>
      </c>
      <c r="EC51" s="45" t="e">
        <f aca="false">DF51*DP51</f>
        <v>#NAME?</v>
      </c>
      <c r="ED51" s="45" t="n">
        <f aca="false">DF51*DQ51</f>
        <v>0</v>
      </c>
      <c r="EE51" s="45" t="n">
        <f aca="false">DF51*DR51</f>
        <v>0</v>
      </c>
      <c r="EF51" s="45" t="e">
        <f aca="false">DF51*DS51</f>
        <v>#NAME?</v>
      </c>
      <c r="EG51" s="45" t="e">
        <f aca="false">DF51*DT51</f>
        <v>#NAME?</v>
      </c>
      <c r="EH51" s="45" t="e">
        <f aca="false">DF51*DU51</f>
        <v>#NAME?</v>
      </c>
      <c r="EI51" s="45" t="n">
        <f aca="false">DF51*DV51</f>
        <v>0</v>
      </c>
      <c r="EJ51" s="45" t="e">
        <f aca="false">DF51*DW51</f>
        <v>#NAME?</v>
      </c>
      <c r="EK51" s="45" t="n">
        <f aca="false">DF51*DX51</f>
        <v>0</v>
      </c>
      <c r="EL51" s="45" t="e">
        <f aca="false">DF51*DY51</f>
        <v>#NAME?</v>
      </c>
      <c r="EN51" s="9" t="n">
        <f aca="false">IF($A51&gt;=EP$32,IF($A51&lt;=EP$33,$AN51,0),0)</f>
        <v>0</v>
      </c>
      <c r="EO51" s="123" t="n">
        <f aca="false">$B51+$AF51+$H$12</f>
        <v>5.706</v>
      </c>
      <c r="EP51" s="123" t="n">
        <f aca="false">$B51+$AG51+$H$13</f>
        <v>4.486</v>
      </c>
      <c r="EQ51" s="123" t="n">
        <f aca="false">EO51*EN51</f>
        <v>0</v>
      </c>
      <c r="ER51" s="123" t="n">
        <f aca="false">EP51*EN51</f>
        <v>0</v>
      </c>
      <c r="ES51" s="156" t="n">
        <f aca="false">($C51*$AH51)+$H$14</f>
        <v>0.44825</v>
      </c>
      <c r="ET51" s="156" t="n">
        <f aca="false">($C51*$AI51)+$H$15</f>
        <v>0.4075</v>
      </c>
      <c r="EU51" s="131" t="n">
        <f aca="false">$AJ51+$H$16</f>
        <v>0.95</v>
      </c>
      <c r="EV51" s="157" t="n">
        <f aca="false">IF(EN51=0,0,SPRDOPT(EO51,EP51,$AK51,$AM51,ES51,ET51,EU51,$D51,$H$19,0))</f>
        <v>0</v>
      </c>
      <c r="EW51" s="157" t="e">
        <f aca="false">IF(EO51=0,0,SPRDOPT(EO51,EP51,$AK51,$AM51,ES51,ET51,EU51,$D51,$H$19,1))</f>
        <v>#NAME?</v>
      </c>
      <c r="EX51" s="157" t="e">
        <f aca="false">IF(EP51=0,0,SPRDOPT(EO51,EP51,$AK51,$AM51,ES51,ET51,EU51,$D51,$H$19,2))</f>
        <v>#NAME?</v>
      </c>
      <c r="EY51" s="157" t="n">
        <f aca="false">IF(EQ51=0,0,SPRDOPT(EO51,EP51,$AK51,$AM51,ES51,ET51,EU51,$D51,$H$19,3)/100)</f>
        <v>0</v>
      </c>
      <c r="EZ51" s="157" t="n">
        <f aca="false">IF(ER51=0,0,SPRDOPT(EO51,EP51,$AK51,$AM51,ES51,ET51,EU51,$D51,$H$19,4)/100)</f>
        <v>0</v>
      </c>
      <c r="FA51" s="157" t="e">
        <f aca="false">IF(ES51=0,0,SPRDOPT(EO51,EP51,$AK51,$AM51,ES51,ET51,EU51,$D51,$H$19,5)/100)</f>
        <v>#NAME?</v>
      </c>
      <c r="FB51" s="157" t="e">
        <f aca="false">IF(ET51=0,0,SPRDOPT(EO51,EP51,$AK51,$AM51,ES51,ET51,EU51,$D51,$H$19,6)/100)</f>
        <v>#NAME?</v>
      </c>
      <c r="FC51" s="157" t="e">
        <f aca="false">IF(EU51=0,0,SPRDOPT(EO51,EP51,$AK51,$AM51,ES51,ET51,EU51,$D51,$H$19,7)/100)</f>
        <v>#NAME?</v>
      </c>
      <c r="FD51" s="157" t="n">
        <f aca="false">IF(EV51=0,0,SPRDOPT(EO51,EP51,$AK51,$AM51,ES51,ET51,EU51,$D51,$H$19,9)/365)</f>
        <v>0</v>
      </c>
      <c r="FE51" s="157" t="e">
        <f aca="false">EW51+EX51</f>
        <v>#NAME?</v>
      </c>
      <c r="FF51" s="157" t="n">
        <f aca="false">EZ51-EY51</f>
        <v>0</v>
      </c>
      <c r="FG51" s="157" t="e">
        <f aca="false">((ES51/ET51)*FA51)+FB51</f>
        <v>#NAME?</v>
      </c>
      <c r="FH51" s="44"/>
      <c r="FI51" s="45" t="n">
        <f aca="false">$EN51*EV51</f>
        <v>0</v>
      </c>
      <c r="FJ51" s="45" t="e">
        <f aca="false">$EN51*EW51</f>
        <v>#NAME?</v>
      </c>
      <c r="FK51" s="45" t="e">
        <f aca="false">$EN51*EX51</f>
        <v>#NAME?</v>
      </c>
      <c r="FL51" s="45" t="n">
        <f aca="false">$EN51*EY51</f>
        <v>0</v>
      </c>
      <c r="FM51" s="45" t="n">
        <f aca="false">$EN51*EZ51</f>
        <v>0</v>
      </c>
      <c r="FN51" s="45" t="e">
        <f aca="false">$EN51*FA51</f>
        <v>#NAME?</v>
      </c>
      <c r="FO51" s="45" t="e">
        <f aca="false">$EN51*FB51</f>
        <v>#NAME?</v>
      </c>
      <c r="FP51" s="45" t="e">
        <f aca="false">$EN51*FC51</f>
        <v>#NAME?</v>
      </c>
      <c r="FQ51" s="45" t="n">
        <f aca="false">$EN51*FD51</f>
        <v>0</v>
      </c>
      <c r="FR51" s="45" t="e">
        <f aca="false">$EN51*FE51</f>
        <v>#NAME?</v>
      </c>
      <c r="FS51" s="45" t="n">
        <f aca="false">$EN51*FF51</f>
        <v>0</v>
      </c>
      <c r="FT51" s="45" t="e">
        <f aca="false">$EN51*FG51</f>
        <v>#NAME?</v>
      </c>
    </row>
    <row r="52" customFormat="false" ht="12.75" hidden="false" customHeight="false" outlineLevel="0" collapsed="false">
      <c r="A52" s="48" t="n">
        <f aca="false">DATE(YEAR(A51),MONTH(A51)+1,1)</f>
        <v>37226</v>
      </c>
      <c r="B52" s="40" t="n">
        <f aca="false">VLOOKUP(A52,STRADDLE,5,FALSE())</f>
        <v>4.581</v>
      </c>
      <c r="C52" s="4" t="n">
        <f aca="false">VLOOKUP(A52,STRADDLE,8,FALSE())</f>
        <v>0.4125</v>
      </c>
      <c r="D52" s="136" t="n">
        <f aca="false">VLOOKUP(A52,expiration,2,FALSE())-$B$2</f>
        <v>-8703</v>
      </c>
      <c r="E52" s="131" t="e">
        <f aca="false">AY52</f>
        <v>#NAME?</v>
      </c>
      <c r="F52" s="131" t="e">
        <f aca="false">CG52</f>
        <v>#NAME?</v>
      </c>
      <c r="G52" s="131" t="e">
        <f aca="false">DO52</f>
        <v>#NAME?</v>
      </c>
      <c r="H52" s="131" t="e">
        <f aca="false">EW52</f>
        <v>#NAME?</v>
      </c>
      <c r="I52" s="41"/>
      <c r="J52" s="154"/>
      <c r="K52" s="40" t="n">
        <f aca="false">IF($B$3="NYMEX",0,VLOOKUP($A52,curvesettle,HLOOKUP($B$3,curvesettle,2,FALSE()),FALSE()))</f>
        <v>1.61</v>
      </c>
      <c r="L52" s="40" t="n">
        <f aca="false">IF($B$4="NYMEX",0,VLOOKUP($A52,curvesettle,HLOOKUP($B$4,curvesettle,2,FALSE()),FALSE()))</f>
        <v>0</v>
      </c>
      <c r="M52" s="131" t="n">
        <f aca="false">IF(ISNUMBER(VLOOKUP($A52,VOLCURVES,HLOOKUP($B$3,VOLCURVES,2,FALSE()),FALSE())),VLOOKUP($A52,VOLCURVES,HLOOKUP($B$3,VOLCURVES,2,FALSE()),FALSE()),1)</f>
        <v>1.1</v>
      </c>
      <c r="N52" s="131" t="n">
        <f aca="false">IF(ISNUMBER(VLOOKUP($A52,VOLCURVES,HLOOKUP($B$4,VOLCURVES,2,FALSE()),FALSE())),VLOOKUP($A52,VOLCURVES,HLOOKUP($B$4,VOLCURVES,2,FALSE()),FALSE()),1)</f>
        <v>1</v>
      </c>
      <c r="O52" s="131" t="n">
        <f aca="false">IF(ISNUMBER(VLOOKUP($A52,CORETABLE,HLOOKUP($B$3,CORETABLE,2,FALSE()),FALSE())),VLOOKUP($A52,CORETABLE,HLOOKUP($B$3,CORETABLE,2,FALSE()),FALSE()),0.99)</f>
        <v>0.95</v>
      </c>
      <c r="P52" s="155" t="n">
        <f aca="false">B$18</f>
        <v>2</v>
      </c>
      <c r="Q52" s="131"/>
      <c r="R52" s="40" t="n">
        <f aca="false">IF($D$3="NYMEX",0,VLOOKUP($A52,curvesettle,HLOOKUP($D$3,curvesettle,2,FALSE()),FALSE()))</f>
        <v>0.1675</v>
      </c>
      <c r="S52" s="40" t="n">
        <f aca="false">IF($D$4="NYMEX",0,VLOOKUP($A52,curvesettle,HLOOKUP($D$4,curvesettle,2,FALSE()),FALSE()))</f>
        <v>0</v>
      </c>
      <c r="T52" s="131" t="n">
        <f aca="false">IF(ISNUMBER(VLOOKUP($A52,VOLCURVES,HLOOKUP($D$3,VOLCURVES,2,FALSE()),FALSE())),VLOOKUP($A52,VOLCURVES,HLOOKUP($D$3,VOLCURVES,2,FALSE()),FALSE()),1)</f>
        <v>1</v>
      </c>
      <c r="U52" s="131" t="n">
        <f aca="false">IF(ISNUMBER(VLOOKUP($A52,VOLCURVES,HLOOKUP($D$4,VOLCURVES,2,FALSE()),FALSE())),VLOOKUP($A52,VOLCURVES,HLOOKUP($D$4,VOLCURVES,2,FALSE()),FALSE()),1)</f>
        <v>1</v>
      </c>
      <c r="V52" s="131" t="n">
        <f aca="false">IF(ISNUMBER(VLOOKUP($A52,CORETABLE,HLOOKUP($D$3,CORETABLE,2,FALSE()),FALSE())),VLOOKUP($A52,CORETABLE,HLOOKUP($D$3,CORETABLE,2,FALSE()),FALSE()),0.99)</f>
        <v>0.984107647518451</v>
      </c>
      <c r="W52" s="155" t="n">
        <f aca="false">D$18</f>
        <v>0.2</v>
      </c>
      <c r="X52" s="131"/>
      <c r="Y52" s="40" t="n">
        <f aca="false">IF($F$3="NYMEX",0,VLOOKUP($A52,curvesettle,HLOOKUP($F$3,curvesettle,2,FALSE()),FALSE()))</f>
        <v>1.61</v>
      </c>
      <c r="Z52" s="40" t="n">
        <f aca="false">IF($F$4="NYMEX",0,VLOOKUP($A52,curvesettle,HLOOKUP($F$4,curvesettle,2,FALSE()),FALSE()))</f>
        <v>0</v>
      </c>
      <c r="AA52" s="131" t="n">
        <f aca="false">IF(ISNUMBER(VLOOKUP($A52,VOLCURVES,HLOOKUP($F$3,VOLCURVES,2,FALSE()),FALSE())),VLOOKUP($A52,VOLCURVES,HLOOKUP($F$3,VOLCURVES,2,FALSE()),FALSE()),1)</f>
        <v>1.1</v>
      </c>
      <c r="AB52" s="131" t="n">
        <f aca="false">IF(ISNUMBER(VLOOKUP($A52,VOLCURVES,HLOOKUP($F$4,VOLCURVES,2,FALSE()),FALSE())),VLOOKUP($A52,VOLCURVES,HLOOKUP($F$4,VOLCURVES,2,FALSE()),FALSE()),1)</f>
        <v>1</v>
      </c>
      <c r="AC52" s="131" t="n">
        <f aca="false">IF(ISNUMBER(VLOOKUP($A52,CORETABLE,HLOOKUP($F$3,CORETABLE,2,FALSE()),FALSE())),VLOOKUP($A52,CORETABLE,HLOOKUP($F$3,CORETABLE,2,FALSE()),FALSE()),1)</f>
        <v>0.95</v>
      </c>
      <c r="AD52" s="155" t="n">
        <f aca="false">F$18</f>
        <v>1.85</v>
      </c>
      <c r="AE52" s="131"/>
      <c r="AF52" s="40" t="n">
        <f aca="false">IF($H$3="NYMEX",0,VLOOKUP($A52,curvesettle,HLOOKUP($H$3,curvesettle,2,FALSE()),FALSE()))</f>
        <v>1.61</v>
      </c>
      <c r="AG52" s="40" t="n">
        <f aca="false">IF($H$4="NYMEX",0,VLOOKUP($A52,curvesettle,HLOOKUP($H$4,curvesettle,2,FALSE()),FALSE()))</f>
        <v>0</v>
      </c>
      <c r="AH52" s="131" t="n">
        <f aca="false">IF(ISNUMBER(VLOOKUP($A52,VOLCURVES,HLOOKUP($H$3,VOLCURVES,2,FALSE()),FALSE())),VLOOKUP($A52,VOLCURVES,HLOOKUP($H$3,VOLCURVES,2,FALSE()),FALSE()),1)</f>
        <v>1.1</v>
      </c>
      <c r="AI52" s="131" t="n">
        <f aca="false">IF(ISNUMBER(VLOOKUP($A52,VOLCURVES,HLOOKUP($H$4,VOLCURVES,2,FALSE()),FALSE())),VLOOKUP($A52,VOLCURVES,HLOOKUP($H$4,VOLCURVES,2,FALSE()),FALSE()),1)</f>
        <v>1</v>
      </c>
      <c r="AJ52" s="131" t="n">
        <f aca="false">IF(ISNUMBER(VLOOKUP($A52,CORETABLE,HLOOKUP($H$3,CORETABLE,2,FALSE()),FALSE())),VLOOKUP($A52,CORETABLE,HLOOKUP($H$3,CORETABLE,2,FALSE()),FALSE()),1)</f>
        <v>0.95</v>
      </c>
      <c r="AK52" s="155" t="n">
        <f aca="false">H$18</f>
        <v>1.85</v>
      </c>
      <c r="AM52" s="4" t="n">
        <f aca="false">VLOOKUP($A52,STRADDLE,12,FALSE())</f>
        <v>0.06737444237849</v>
      </c>
      <c r="AN52" s="43" t="n">
        <f aca="false">A53-A52</f>
        <v>31</v>
      </c>
      <c r="AP52" s="9" t="n">
        <f aca="false">IF($A52&gt;=AR$32,IF($A52&lt;=AR$33,$AN52,0),0)</f>
        <v>0</v>
      </c>
      <c r="AQ52" s="123" t="n">
        <f aca="false">$B52+$K52+$B$12</f>
        <v>6.221</v>
      </c>
      <c r="AR52" s="123" t="n">
        <f aca="false">$B52+$L52+$B$13</f>
        <v>4.581</v>
      </c>
      <c r="AS52" s="123" t="n">
        <f aca="false">AQ52*AP52</f>
        <v>0</v>
      </c>
      <c r="AT52" s="123" t="n">
        <f aca="false">AR52*AP52</f>
        <v>0</v>
      </c>
      <c r="AU52" s="156" t="n">
        <f aca="false">($C52*$M52)+$B$14</f>
        <v>0.45375</v>
      </c>
      <c r="AV52" s="156" t="n">
        <f aca="false">($C52*$N52)+$B$15</f>
        <v>0.4125</v>
      </c>
      <c r="AW52" s="131" t="n">
        <f aca="false">O52+B$16</f>
        <v>0.95</v>
      </c>
      <c r="AX52" s="157" t="n">
        <f aca="false">IF(AP52=0,0,SPRDOPT(AQ52,AR52,$P52,$AM52,AU52,AV52,AW52,$D52,$B$19,0))</f>
        <v>0</v>
      </c>
      <c r="AY52" s="157" t="e">
        <f aca="false">IF(AQ52=0,0,SPRDOPT(AQ52,AR52,$P52,$AM52,AU52,AV52,AW52,$D52,$B$19,1))</f>
        <v>#NAME?</v>
      </c>
      <c r="AZ52" s="157" t="e">
        <f aca="false">IF(AR52=0,0,SPRDOPT(AQ52,AR52,$P52,$AM52,AU52,AV52,AW52,$D52,$B$19,2))</f>
        <v>#NAME?</v>
      </c>
      <c r="BA52" s="157" t="n">
        <f aca="false">IF(AS52=0,0,SPRDOPT(AQ52,AR52,$P52,$AM52,AU52,AV52,AW52,$D52,$B$19,3)/100)</f>
        <v>0</v>
      </c>
      <c r="BB52" s="157" t="n">
        <f aca="false">IF(AT52=0,0,SPRDOPT(AQ52,AR52,$P52,$AM52,AU52,AV52,AW52,$D52,$B$19,4)/100)</f>
        <v>0</v>
      </c>
      <c r="BC52" s="157" t="e">
        <f aca="false">IF(AU52=0,0,SPRDOPT(AQ52,AR52,$P52,$AM52,AU52,AV52,AW52,$D52,$B$19,5)/100)</f>
        <v>#NAME?</v>
      </c>
      <c r="BD52" s="157" t="e">
        <f aca="false">IF(AV52=0,0,SPRDOPT(AQ52,AR52,$P52,$AM52,AU52,AV52,AW52,$D52,$B$19,6)/100)</f>
        <v>#NAME?</v>
      </c>
      <c r="BE52" s="157" t="e">
        <f aca="false">IF(AW52=0,0,SPRDOPT(AQ52,AR52,$P52,$AM52,AU52,AV52,AW52,$D52,$B$19,7)/100)</f>
        <v>#NAME?</v>
      </c>
      <c r="BF52" s="157" t="n">
        <f aca="false">IF(AX52=0,0,SPRDOPT(AQ52,AR52,$P52,$AM52,AU52,AV52,AW52,$D52,$B$19,9)/365)</f>
        <v>0</v>
      </c>
      <c r="BG52" s="157" t="e">
        <f aca="false">AY52+AZ52</f>
        <v>#NAME?</v>
      </c>
      <c r="BH52" s="157" t="n">
        <f aca="false">BB52-BA52</f>
        <v>0</v>
      </c>
      <c r="BI52" s="157" t="e">
        <f aca="false">((AU52/AV52)*BC52)+BD52</f>
        <v>#NAME?</v>
      </c>
      <c r="BJ52" s="44"/>
      <c r="BK52" s="45" t="n">
        <f aca="false">$AP52*AX52</f>
        <v>0</v>
      </c>
      <c r="BL52" s="45" t="e">
        <f aca="false">$AP52*AY52</f>
        <v>#NAME?</v>
      </c>
      <c r="BM52" s="45" t="e">
        <f aca="false">$AP52*AZ52</f>
        <v>#NAME?</v>
      </c>
      <c r="BN52" s="45" t="n">
        <f aca="false">$AP52*BA52</f>
        <v>0</v>
      </c>
      <c r="BO52" s="45" t="n">
        <f aca="false">$AP52*BB52</f>
        <v>0</v>
      </c>
      <c r="BP52" s="45" t="e">
        <f aca="false">$AP52*BC52</f>
        <v>#NAME?</v>
      </c>
      <c r="BQ52" s="45" t="e">
        <f aca="false">$AP52*BD52</f>
        <v>#NAME?</v>
      </c>
      <c r="BR52" s="45" t="e">
        <f aca="false">$AP52*BE52</f>
        <v>#NAME?</v>
      </c>
      <c r="BS52" s="45" t="n">
        <f aca="false">$AP52*BF52</f>
        <v>0</v>
      </c>
      <c r="BT52" s="45" t="e">
        <f aca="false">$AP52*BG52</f>
        <v>#NAME?</v>
      </c>
      <c r="BU52" s="45" t="n">
        <f aca="false">$AP52*BH52</f>
        <v>0</v>
      </c>
      <c r="BV52" s="45" t="e">
        <f aca="false">$AP52*BI52</f>
        <v>#NAME?</v>
      </c>
      <c r="BX52" s="9" t="n">
        <f aca="false">IF($A52&gt;=BZ$32,IF($A52&lt;=BZ$33,$AN52,0),0)</f>
        <v>0</v>
      </c>
      <c r="BY52" s="123" t="n">
        <f aca="false">$B52+$R52+$D$12</f>
        <v>4.7485</v>
      </c>
      <c r="BZ52" s="123" t="n">
        <f aca="false">$B52+$S52+$D$13</f>
        <v>4.581</v>
      </c>
      <c r="CA52" s="123" t="n">
        <f aca="false">BY52*BX52</f>
        <v>0</v>
      </c>
      <c r="CB52" s="123" t="n">
        <f aca="false">BZ52*BX52</f>
        <v>0</v>
      </c>
      <c r="CC52" s="156" t="n">
        <f aca="false">($C52*$T52)+$D$14</f>
        <v>0.4125</v>
      </c>
      <c r="CD52" s="156" t="n">
        <f aca="false">($C52*$U52)+$D$15</f>
        <v>0.4125</v>
      </c>
      <c r="CE52" s="131" t="n">
        <f aca="false">$V52+D$16</f>
        <v>0.984107647518451</v>
      </c>
      <c r="CF52" s="157" t="n">
        <f aca="false">IF(BX52=0,0,SPRDOPT(BY52,BZ52,$W52,$AM52,CC52,CD52,CE52,$D52,$D$19,0))</f>
        <v>0</v>
      </c>
      <c r="CG52" s="157" t="e">
        <f aca="false">IF(BY52=0,0,SPRDOPT(BY52,BZ52,$W52,$AM52,CC52,CD52,CE52,$D52,$D$19,1))</f>
        <v>#NAME?</v>
      </c>
      <c r="CH52" s="157" t="e">
        <f aca="false">IF(BZ52=0,0,SPRDOPT(BY52,BZ52,$W52,$AM52,CC52,CD52,CE52,$D52,$D$19,2))</f>
        <v>#NAME?</v>
      </c>
      <c r="CI52" s="157" t="n">
        <f aca="false">IF(CA52=0,0,SPRDOPT(BY52,BZ52,$W52,$AM52,CC52,CD52,CE52,$D52,$D$19,3)/100)</f>
        <v>0</v>
      </c>
      <c r="CJ52" s="157" t="n">
        <f aca="false">IF(CB52=0,0,SPRDOPT(BY52,BZ52,$W52,$AM52,CC52,CD52,CE52,$D52,$D$19,4)/100)</f>
        <v>0</v>
      </c>
      <c r="CK52" s="157" t="e">
        <f aca="false">IF(CC52=0,0,SPRDOPT(BY52,BZ52,$W52,$AM52,CC52,CD52,CE52,$D52,$D$19,5)/100)</f>
        <v>#NAME?</v>
      </c>
      <c r="CL52" s="157" t="e">
        <f aca="false">IF(CD52=0,0,SPRDOPT(BY52,BZ52,$W52,$AM52,CC52,CD52,CE52,$D52,$D$19,6)/100)</f>
        <v>#NAME?</v>
      </c>
      <c r="CM52" s="157" t="e">
        <f aca="false">IF(CE52=0,0,SPRDOPT(BY52,BZ52,$W52,$AM52,CC52,CD52,CE52,$D52,$D$19,7)/100)</f>
        <v>#NAME?</v>
      </c>
      <c r="CN52" s="157" t="n">
        <f aca="false">IF(CF52=0,0,SPRDOPT(BY52,BZ52,$W52,$AM52,CC52,CD52,CE52,$D52,$D$19,9)/365)</f>
        <v>0</v>
      </c>
      <c r="CO52" s="157" t="e">
        <f aca="false">CG52+CH52</f>
        <v>#NAME?</v>
      </c>
      <c r="CP52" s="157" t="n">
        <f aca="false">CJ52-CI52</f>
        <v>0</v>
      </c>
      <c r="CQ52" s="157" t="e">
        <f aca="false">((CC52/CD52)*CK52)+CL52</f>
        <v>#NAME?</v>
      </c>
      <c r="CR52" s="44"/>
      <c r="CS52" s="45" t="n">
        <f aca="false">BX52*CF52</f>
        <v>0</v>
      </c>
      <c r="CT52" s="45" t="e">
        <f aca="false">BX52*CG52</f>
        <v>#NAME?</v>
      </c>
      <c r="CU52" s="45" t="e">
        <f aca="false">BX52*CH52</f>
        <v>#NAME?</v>
      </c>
      <c r="CV52" s="45" t="n">
        <f aca="false">BX52*CI52</f>
        <v>0</v>
      </c>
      <c r="CW52" s="45" t="n">
        <f aca="false">BX52*CJ52</f>
        <v>0</v>
      </c>
      <c r="CX52" s="45" t="e">
        <f aca="false">BX52*CK52</f>
        <v>#NAME?</v>
      </c>
      <c r="CY52" s="45" t="e">
        <f aca="false">BX52*CL52</f>
        <v>#NAME?</v>
      </c>
      <c r="CZ52" s="45" t="e">
        <f aca="false">BX52*CM52</f>
        <v>#NAME?</v>
      </c>
      <c r="DA52" s="45" t="n">
        <f aca="false">BX52*CN52</f>
        <v>0</v>
      </c>
      <c r="DB52" s="45" t="e">
        <f aca="false">BX52*CO52</f>
        <v>#NAME?</v>
      </c>
      <c r="DC52" s="45" t="n">
        <f aca="false">BX52*CP52</f>
        <v>0</v>
      </c>
      <c r="DD52" s="45" t="e">
        <f aca="false">BX52*CQ52</f>
        <v>#NAME?</v>
      </c>
      <c r="DF52" s="9" t="n">
        <f aca="false">IF($A52&gt;=DH$32,IF($A52&lt;=DH$33,$AN52,0),0)</f>
        <v>0</v>
      </c>
      <c r="DG52" s="123" t="n">
        <f aca="false">$B52+$Y52+$F$12</f>
        <v>6.221</v>
      </c>
      <c r="DH52" s="123" t="n">
        <f aca="false">$B52+$Z52+$F$13</f>
        <v>4.581</v>
      </c>
      <c r="DI52" s="123" t="n">
        <f aca="false">DG52*DF52</f>
        <v>0</v>
      </c>
      <c r="DJ52" s="123" t="n">
        <f aca="false">DH52*DF52</f>
        <v>0</v>
      </c>
      <c r="DK52" s="156" t="n">
        <f aca="false">($C52*$AA52)+$F$14</f>
        <v>0.45375</v>
      </c>
      <c r="DL52" s="156" t="n">
        <f aca="false">($C52*$AB52)+$F$15</f>
        <v>0.4125</v>
      </c>
      <c r="DM52" s="131" t="n">
        <f aca="false">$AC52+$F$16</f>
        <v>0.95</v>
      </c>
      <c r="DN52" s="157" t="n">
        <f aca="false">IF(DF52=0,0,SPRDOPT(DG52,DH52,$AD52,$AM52,DK52,DL52,DM52,$D52,$F$19,0))</f>
        <v>0</v>
      </c>
      <c r="DO52" s="157" t="e">
        <f aca="false">IF(DG52=0,0,SPRDOPT(DG52,DH52,$AD52,$AM52,DK52,DL52,DM52,$D52,$F$19,1))</f>
        <v>#NAME?</v>
      </c>
      <c r="DP52" s="157" t="e">
        <f aca="false">IF(DH52=0,0,SPRDOPT(DG52,DH52,$AD52,$AM52,DK52,DL52,DM52,$D52,$F$19,2))</f>
        <v>#NAME?</v>
      </c>
      <c r="DQ52" s="157" t="n">
        <f aca="false">IF(DI52=0,0,SPRDOPT(DG52,DH52,$AD52,$AM52,DK52,DL52,DM52,$D52,$F$19,3)/100)</f>
        <v>0</v>
      </c>
      <c r="DR52" s="157" t="n">
        <f aca="false">IF(DJ52=0,0,SPRDOPT(DG52,DH52,$AD52,$AM52,DK52,DL52,DM52,$D52,$F$19,4)/100)</f>
        <v>0</v>
      </c>
      <c r="DS52" s="157" t="e">
        <f aca="false">IF(DK52=0,0,SPRDOPT(DG52,DH52,$AD52,$AM52,DK52,DL52,DM52,$D52,$F$19,5)/100)</f>
        <v>#NAME?</v>
      </c>
      <c r="DT52" s="157" t="e">
        <f aca="false">IF(DL52=0,0,SPRDOPT(DG52,DH52,$AD52,$AM52,DK52,DL52,DM52,$D52,$F$19,6)/100)</f>
        <v>#NAME?</v>
      </c>
      <c r="DU52" s="157" t="e">
        <f aca="false">IF(DM52=0,0,SPRDOPT(DG52,DH52,$AD52,$AM52,DK52,DL52,DM52,$D52,$F$19,7)/100)</f>
        <v>#NAME?</v>
      </c>
      <c r="DV52" s="157" t="n">
        <f aca="false">IF(DN52=0,0,SPRDOPT(DG52,DH52,$AD52,$AM52,DK52,DL52,DM52,$D52,$F$19,9)/365)</f>
        <v>0</v>
      </c>
      <c r="DW52" s="157" t="e">
        <f aca="false">DO52+DP52</f>
        <v>#NAME?</v>
      </c>
      <c r="DX52" s="157" t="n">
        <f aca="false">DR52-DQ52</f>
        <v>0</v>
      </c>
      <c r="DY52" s="157" t="e">
        <f aca="false">((DK52/DL52)*DS52)+DT52</f>
        <v>#NAME?</v>
      </c>
      <c r="DZ52" s="44"/>
      <c r="EA52" s="45" t="n">
        <f aca="false">DF52*DN52</f>
        <v>0</v>
      </c>
      <c r="EB52" s="45" t="e">
        <f aca="false">DF52*DO52</f>
        <v>#NAME?</v>
      </c>
      <c r="EC52" s="45" t="e">
        <f aca="false">DF52*DP52</f>
        <v>#NAME?</v>
      </c>
      <c r="ED52" s="45" t="n">
        <f aca="false">DF52*DQ52</f>
        <v>0</v>
      </c>
      <c r="EE52" s="45" t="n">
        <f aca="false">DF52*DR52</f>
        <v>0</v>
      </c>
      <c r="EF52" s="45" t="e">
        <f aca="false">DF52*DS52</f>
        <v>#NAME?</v>
      </c>
      <c r="EG52" s="45" t="e">
        <f aca="false">DF52*DT52</f>
        <v>#NAME?</v>
      </c>
      <c r="EH52" s="45" t="e">
        <f aca="false">DF52*DU52</f>
        <v>#NAME?</v>
      </c>
      <c r="EI52" s="45" t="n">
        <f aca="false">DF52*DV52</f>
        <v>0</v>
      </c>
      <c r="EJ52" s="45" t="e">
        <f aca="false">DF52*DW52</f>
        <v>#NAME?</v>
      </c>
      <c r="EK52" s="45" t="n">
        <f aca="false">DF52*DX52</f>
        <v>0</v>
      </c>
      <c r="EL52" s="45" t="e">
        <f aca="false">DF52*DY52</f>
        <v>#NAME?</v>
      </c>
      <c r="EN52" s="9" t="n">
        <f aca="false">IF($A52&gt;=EP$32,IF($A52&lt;=EP$33,$AN52,0),0)</f>
        <v>0</v>
      </c>
      <c r="EO52" s="123" t="n">
        <f aca="false">$B52+$AF52+$H$12</f>
        <v>6.221</v>
      </c>
      <c r="EP52" s="123" t="n">
        <f aca="false">$B52+$AG52+$H$13</f>
        <v>4.581</v>
      </c>
      <c r="EQ52" s="123" t="n">
        <f aca="false">EO52*EN52</f>
        <v>0</v>
      </c>
      <c r="ER52" s="123" t="n">
        <f aca="false">EP52*EN52</f>
        <v>0</v>
      </c>
      <c r="ES52" s="156" t="n">
        <f aca="false">($C52*$AH52)+$H$14</f>
        <v>0.45375</v>
      </c>
      <c r="ET52" s="156" t="n">
        <f aca="false">($C52*$AI52)+$H$15</f>
        <v>0.4125</v>
      </c>
      <c r="EU52" s="131" t="n">
        <f aca="false">$AJ52+$H$16</f>
        <v>0.95</v>
      </c>
      <c r="EV52" s="157" t="n">
        <f aca="false">IF(EN52=0,0,SPRDOPT(EO52,EP52,$AK52,$AM52,ES52,ET52,EU52,$D52,$H$19,0))</f>
        <v>0</v>
      </c>
      <c r="EW52" s="157" t="e">
        <f aca="false">IF(EO52=0,0,SPRDOPT(EO52,EP52,$AK52,$AM52,ES52,ET52,EU52,$D52,$H$19,1))</f>
        <v>#NAME?</v>
      </c>
      <c r="EX52" s="157" t="e">
        <f aca="false">IF(EP52=0,0,SPRDOPT(EO52,EP52,$AK52,$AM52,ES52,ET52,EU52,$D52,$H$19,2))</f>
        <v>#NAME?</v>
      </c>
      <c r="EY52" s="157" t="n">
        <f aca="false">IF(EQ52=0,0,SPRDOPT(EO52,EP52,$AK52,$AM52,ES52,ET52,EU52,$D52,$H$19,3)/100)</f>
        <v>0</v>
      </c>
      <c r="EZ52" s="157" t="n">
        <f aca="false">IF(ER52=0,0,SPRDOPT(EO52,EP52,$AK52,$AM52,ES52,ET52,EU52,$D52,$H$19,4)/100)</f>
        <v>0</v>
      </c>
      <c r="FA52" s="157" t="e">
        <f aca="false">IF(ES52=0,0,SPRDOPT(EO52,EP52,$AK52,$AM52,ES52,ET52,EU52,$D52,$H$19,5)/100)</f>
        <v>#NAME?</v>
      </c>
      <c r="FB52" s="157" t="e">
        <f aca="false">IF(ET52=0,0,SPRDOPT(EO52,EP52,$AK52,$AM52,ES52,ET52,EU52,$D52,$H$19,6)/100)</f>
        <v>#NAME?</v>
      </c>
      <c r="FC52" s="157" t="e">
        <f aca="false">IF(EU52=0,0,SPRDOPT(EO52,EP52,$AK52,$AM52,ES52,ET52,EU52,$D52,$H$19,7)/100)</f>
        <v>#NAME?</v>
      </c>
      <c r="FD52" s="157" t="n">
        <f aca="false">IF(EV52=0,0,SPRDOPT(EO52,EP52,$AK52,$AM52,ES52,ET52,EU52,$D52,$H$19,9)/365)</f>
        <v>0</v>
      </c>
      <c r="FE52" s="157" t="e">
        <f aca="false">EW52+EX52</f>
        <v>#NAME?</v>
      </c>
      <c r="FF52" s="157" t="n">
        <f aca="false">EZ52-EY52</f>
        <v>0</v>
      </c>
      <c r="FG52" s="157" t="e">
        <f aca="false">((ES52/ET52)*FA52)+FB52</f>
        <v>#NAME?</v>
      </c>
      <c r="FH52" s="44"/>
      <c r="FI52" s="45" t="n">
        <f aca="false">$EN52*EV52</f>
        <v>0</v>
      </c>
      <c r="FJ52" s="45" t="e">
        <f aca="false">$EN52*EW52</f>
        <v>#NAME?</v>
      </c>
      <c r="FK52" s="45" t="e">
        <f aca="false">$EN52*EX52</f>
        <v>#NAME?</v>
      </c>
      <c r="FL52" s="45" t="n">
        <f aca="false">$EN52*EY52</f>
        <v>0</v>
      </c>
      <c r="FM52" s="45" t="n">
        <f aca="false">$EN52*EZ52</f>
        <v>0</v>
      </c>
      <c r="FN52" s="45" t="e">
        <f aca="false">$EN52*FA52</f>
        <v>#NAME?</v>
      </c>
      <c r="FO52" s="45" t="e">
        <f aca="false">$EN52*FB52</f>
        <v>#NAME?</v>
      </c>
      <c r="FP52" s="45" t="e">
        <f aca="false">$EN52*FC52</f>
        <v>#NAME?</v>
      </c>
      <c r="FQ52" s="45" t="n">
        <f aca="false">$EN52*FD52</f>
        <v>0</v>
      </c>
      <c r="FR52" s="45" t="e">
        <f aca="false">$EN52*FE52</f>
        <v>#NAME?</v>
      </c>
      <c r="FS52" s="45" t="n">
        <f aca="false">$EN52*FF52</f>
        <v>0</v>
      </c>
      <c r="FT52" s="45" t="e">
        <f aca="false">$EN52*FG52</f>
        <v>#NAME?</v>
      </c>
    </row>
    <row r="53" customFormat="false" ht="12.75" hidden="false" customHeight="false" outlineLevel="0" collapsed="false">
      <c r="A53" s="48" t="n">
        <f aca="false">DATE(YEAR(A52),MONTH(A52)+1,1)</f>
        <v>37257</v>
      </c>
      <c r="B53" s="40" t="n">
        <f aca="false">VLOOKUP(A53,STRADDLE,5,FALSE())</f>
        <v>4.546</v>
      </c>
      <c r="C53" s="4" t="n">
        <f aca="false">VLOOKUP(A53,STRADDLE,8,FALSE())</f>
        <v>0.4175</v>
      </c>
      <c r="D53" s="136" t="n">
        <f aca="false">VLOOKUP(A53,expiration,2,FALSE())-$B$2</f>
        <v>-8674</v>
      </c>
      <c r="E53" s="131" t="e">
        <f aca="false">AY53</f>
        <v>#NAME?</v>
      </c>
      <c r="F53" s="131" t="e">
        <f aca="false">CG53</f>
        <v>#NAME?</v>
      </c>
      <c r="G53" s="131" t="e">
        <f aca="false">DO53</f>
        <v>#NAME?</v>
      </c>
      <c r="H53" s="131" t="e">
        <f aca="false">EW53</f>
        <v>#NAME?</v>
      </c>
      <c r="I53" s="41"/>
      <c r="J53" s="154"/>
      <c r="K53" s="40" t="n">
        <f aca="false">IF($B$3="NYMEX",0,VLOOKUP($A53,curvesettle,HLOOKUP($B$3,curvesettle,2,FALSE()),FALSE()))</f>
        <v>1.87</v>
      </c>
      <c r="L53" s="40" t="n">
        <f aca="false">IF($B$4="NYMEX",0,VLOOKUP($A53,curvesettle,HLOOKUP($B$4,curvesettle,2,FALSE()),FALSE()))</f>
        <v>0</v>
      </c>
      <c r="M53" s="131" t="n">
        <f aca="false">IF(ISNUMBER(VLOOKUP($A53,VOLCURVES,HLOOKUP($B$3,VOLCURVES,2,FALSE()),FALSE())),VLOOKUP($A53,VOLCURVES,HLOOKUP($B$3,VOLCURVES,2,FALSE()),FALSE()),1)</f>
        <v>1.1</v>
      </c>
      <c r="N53" s="131" t="n">
        <f aca="false">IF(ISNUMBER(VLOOKUP($A53,VOLCURVES,HLOOKUP($B$4,VOLCURVES,2,FALSE()),FALSE())),VLOOKUP($A53,VOLCURVES,HLOOKUP($B$4,VOLCURVES,2,FALSE()),FALSE()),1)</f>
        <v>1</v>
      </c>
      <c r="O53" s="131" t="n">
        <f aca="false">IF(ISNUMBER(VLOOKUP($A53,CORETABLE,HLOOKUP($B$3,CORETABLE,2,FALSE()),FALSE())),VLOOKUP($A53,CORETABLE,HLOOKUP($B$3,CORETABLE,2,FALSE()),FALSE()),0.99)</f>
        <v>0.95</v>
      </c>
      <c r="P53" s="155" t="n">
        <f aca="false">B$18</f>
        <v>2</v>
      </c>
      <c r="Q53" s="131"/>
      <c r="R53" s="40" t="n">
        <f aca="false">IF($D$3="NYMEX",0,VLOOKUP($A53,curvesettle,HLOOKUP($D$3,curvesettle,2,FALSE()),FALSE()))</f>
        <v>0.18</v>
      </c>
      <c r="S53" s="40" t="n">
        <f aca="false">IF($D$4="NYMEX",0,VLOOKUP($A53,curvesettle,HLOOKUP($D$4,curvesettle,2,FALSE()),FALSE()))</f>
        <v>0</v>
      </c>
      <c r="T53" s="131" t="n">
        <f aca="false">IF(ISNUMBER(VLOOKUP($A53,VOLCURVES,HLOOKUP($D$3,VOLCURVES,2,FALSE()),FALSE())),VLOOKUP($A53,VOLCURVES,HLOOKUP($D$3,VOLCURVES,2,FALSE()),FALSE()),1)</f>
        <v>1</v>
      </c>
      <c r="U53" s="131" t="n">
        <f aca="false">IF(ISNUMBER(VLOOKUP($A53,VOLCURVES,HLOOKUP($D$4,VOLCURVES,2,FALSE()),FALSE())),VLOOKUP($A53,VOLCURVES,HLOOKUP($D$4,VOLCURVES,2,FALSE()),FALSE()),1)</f>
        <v>1</v>
      </c>
      <c r="V53" s="131" t="n">
        <f aca="false">IF(ISNUMBER(VLOOKUP($A53,CORETABLE,HLOOKUP($D$3,CORETABLE,2,FALSE()),FALSE())),VLOOKUP($A53,CORETABLE,HLOOKUP($D$3,CORETABLE,2,FALSE()),FALSE()),0.99)</f>
        <v>0.984107647518451</v>
      </c>
      <c r="W53" s="155" t="n">
        <f aca="false">D$18</f>
        <v>0.2</v>
      </c>
      <c r="X53" s="131"/>
      <c r="Y53" s="40" t="n">
        <f aca="false">IF($F$3="NYMEX",0,VLOOKUP($A53,curvesettle,HLOOKUP($F$3,curvesettle,2,FALSE()),FALSE()))</f>
        <v>1.87</v>
      </c>
      <c r="Z53" s="40" t="n">
        <f aca="false">IF($F$4="NYMEX",0,VLOOKUP($A53,curvesettle,HLOOKUP($F$4,curvesettle,2,FALSE()),FALSE()))</f>
        <v>0</v>
      </c>
      <c r="AA53" s="131" t="n">
        <f aca="false">IF(ISNUMBER(VLOOKUP($A53,VOLCURVES,HLOOKUP($F$3,VOLCURVES,2,FALSE()),FALSE())),VLOOKUP($A53,VOLCURVES,HLOOKUP($F$3,VOLCURVES,2,FALSE()),FALSE()),1)</f>
        <v>1.1</v>
      </c>
      <c r="AB53" s="131" t="n">
        <f aca="false">IF(ISNUMBER(VLOOKUP($A53,VOLCURVES,HLOOKUP($F$4,VOLCURVES,2,FALSE()),FALSE())),VLOOKUP($A53,VOLCURVES,HLOOKUP($F$4,VOLCURVES,2,FALSE()),FALSE()),1)</f>
        <v>1</v>
      </c>
      <c r="AC53" s="131" t="n">
        <f aca="false">IF(ISNUMBER(VLOOKUP($A53,CORETABLE,HLOOKUP($F$3,CORETABLE,2,FALSE()),FALSE())),VLOOKUP($A53,CORETABLE,HLOOKUP($F$3,CORETABLE,2,FALSE()),FALSE()),1)</f>
        <v>0.95</v>
      </c>
      <c r="AD53" s="155" t="n">
        <f aca="false">F$18</f>
        <v>1.85</v>
      </c>
      <c r="AE53" s="131"/>
      <c r="AF53" s="40" t="n">
        <f aca="false">IF($H$3="NYMEX",0,VLOOKUP($A53,curvesettle,HLOOKUP($H$3,curvesettle,2,FALSE()),FALSE()))</f>
        <v>1.87</v>
      </c>
      <c r="AG53" s="40" t="n">
        <f aca="false">IF($H$4="NYMEX",0,VLOOKUP($A53,curvesettle,HLOOKUP($H$4,curvesettle,2,FALSE()),FALSE()))</f>
        <v>0</v>
      </c>
      <c r="AH53" s="131" t="n">
        <f aca="false">IF(ISNUMBER(VLOOKUP($A53,VOLCURVES,HLOOKUP($H$3,VOLCURVES,2,FALSE()),FALSE())),VLOOKUP($A53,VOLCURVES,HLOOKUP($H$3,VOLCURVES,2,FALSE()),FALSE()),1)</f>
        <v>1.1</v>
      </c>
      <c r="AI53" s="131" t="n">
        <f aca="false">IF(ISNUMBER(VLOOKUP($A53,VOLCURVES,HLOOKUP($H$4,VOLCURVES,2,FALSE()),FALSE())),VLOOKUP($A53,VOLCURVES,HLOOKUP($H$4,VOLCURVES,2,FALSE()),FALSE()),1)</f>
        <v>1</v>
      </c>
      <c r="AJ53" s="131" t="n">
        <f aca="false">IF(ISNUMBER(VLOOKUP($A53,CORETABLE,HLOOKUP($H$3,CORETABLE,2,FALSE()),FALSE())),VLOOKUP($A53,CORETABLE,HLOOKUP($H$3,CORETABLE,2,FALSE()),FALSE()),1)</f>
        <v>0.95</v>
      </c>
      <c r="AK53" s="155" t="n">
        <f aca="false">H$18</f>
        <v>1.85</v>
      </c>
      <c r="AM53" s="4" t="n">
        <f aca="false">VLOOKUP($A53,STRADDLE,12,FALSE())</f>
        <v>0.067333198956693</v>
      </c>
      <c r="AN53" s="43" t="n">
        <f aca="false">A54-A53</f>
        <v>31</v>
      </c>
      <c r="AP53" s="9" t="n">
        <f aca="false">IF($A53&gt;=AR$32,IF($A53&lt;=AR$33,$AN53,0),0)</f>
        <v>0</v>
      </c>
      <c r="AQ53" s="123" t="n">
        <f aca="false">$B53+$K53+$B$12</f>
        <v>6.446</v>
      </c>
      <c r="AR53" s="123" t="n">
        <f aca="false">$B53+$L53+$B$13</f>
        <v>4.546</v>
      </c>
      <c r="AS53" s="123" t="n">
        <f aca="false">AQ53*AP53</f>
        <v>0</v>
      </c>
      <c r="AT53" s="123" t="n">
        <f aca="false">AR53*AP53</f>
        <v>0</v>
      </c>
      <c r="AU53" s="156" t="n">
        <f aca="false">($C53*$M53)+$B$14</f>
        <v>0.45925</v>
      </c>
      <c r="AV53" s="156" t="n">
        <f aca="false">($C53*$N53)+$B$15</f>
        <v>0.4175</v>
      </c>
      <c r="AW53" s="131" t="n">
        <f aca="false">O53+B$16</f>
        <v>0.95</v>
      </c>
      <c r="AX53" s="157" t="n">
        <f aca="false">IF(AP53=0,0,SPRDOPT(AQ53,AR53,$P53,$AM53,AU53,AV53,AW53,$D53,$B$19,0))</f>
        <v>0</v>
      </c>
      <c r="AY53" s="157" t="e">
        <f aca="false">IF(AQ53=0,0,SPRDOPT(AQ53,AR53,$P53,$AM53,AU53,AV53,AW53,$D53,$B$19,1))</f>
        <v>#NAME?</v>
      </c>
      <c r="AZ53" s="157" t="e">
        <f aca="false">IF(AR53=0,0,SPRDOPT(AQ53,AR53,$P53,$AM53,AU53,AV53,AW53,$D53,$B$19,2))</f>
        <v>#NAME?</v>
      </c>
      <c r="BA53" s="157" t="n">
        <f aca="false">IF(AS53=0,0,SPRDOPT(AQ53,AR53,$P53,$AM53,AU53,AV53,AW53,$D53,$B$19,3)/100)</f>
        <v>0</v>
      </c>
      <c r="BB53" s="157" t="n">
        <f aca="false">IF(AT53=0,0,SPRDOPT(AQ53,AR53,$P53,$AM53,AU53,AV53,AW53,$D53,$B$19,4)/100)</f>
        <v>0</v>
      </c>
      <c r="BC53" s="157" t="e">
        <f aca="false">IF(AU53=0,0,SPRDOPT(AQ53,AR53,$P53,$AM53,AU53,AV53,AW53,$D53,$B$19,5)/100)</f>
        <v>#NAME?</v>
      </c>
      <c r="BD53" s="157" t="e">
        <f aca="false">IF(AV53=0,0,SPRDOPT(AQ53,AR53,$P53,$AM53,AU53,AV53,AW53,$D53,$B$19,6)/100)</f>
        <v>#NAME?</v>
      </c>
      <c r="BE53" s="157" t="e">
        <f aca="false">IF(AW53=0,0,SPRDOPT(AQ53,AR53,$P53,$AM53,AU53,AV53,AW53,$D53,$B$19,7)/100)</f>
        <v>#NAME?</v>
      </c>
      <c r="BF53" s="157" t="n">
        <f aca="false">IF(AX53=0,0,SPRDOPT(AQ53,AR53,$P53,$AM53,AU53,AV53,AW53,$D53,$B$19,9)/365)</f>
        <v>0</v>
      </c>
      <c r="BG53" s="157" t="e">
        <f aca="false">AY53+AZ53</f>
        <v>#NAME?</v>
      </c>
      <c r="BH53" s="157" t="n">
        <f aca="false">BB53-BA53</f>
        <v>0</v>
      </c>
      <c r="BI53" s="157" t="e">
        <f aca="false">((AU53/AV53)*BC53)+BD53</f>
        <v>#NAME?</v>
      </c>
      <c r="BJ53" s="44"/>
      <c r="BK53" s="45" t="n">
        <f aca="false">$AP53*AX53</f>
        <v>0</v>
      </c>
      <c r="BL53" s="45" t="e">
        <f aca="false">$AP53*AY53</f>
        <v>#NAME?</v>
      </c>
      <c r="BM53" s="45" t="e">
        <f aca="false">$AP53*AZ53</f>
        <v>#NAME?</v>
      </c>
      <c r="BN53" s="45" t="n">
        <f aca="false">$AP53*BA53</f>
        <v>0</v>
      </c>
      <c r="BO53" s="45" t="n">
        <f aca="false">$AP53*BB53</f>
        <v>0</v>
      </c>
      <c r="BP53" s="45" t="e">
        <f aca="false">$AP53*BC53</f>
        <v>#NAME?</v>
      </c>
      <c r="BQ53" s="45" t="e">
        <f aca="false">$AP53*BD53</f>
        <v>#NAME?</v>
      </c>
      <c r="BR53" s="45" t="e">
        <f aca="false">$AP53*BE53</f>
        <v>#NAME?</v>
      </c>
      <c r="BS53" s="45" t="n">
        <f aca="false">$AP53*BF53</f>
        <v>0</v>
      </c>
      <c r="BT53" s="45" t="e">
        <f aca="false">$AP53*BG53</f>
        <v>#NAME?</v>
      </c>
      <c r="BU53" s="45" t="n">
        <f aca="false">$AP53*BH53</f>
        <v>0</v>
      </c>
      <c r="BV53" s="45" t="e">
        <f aca="false">$AP53*BI53</f>
        <v>#NAME?</v>
      </c>
      <c r="BX53" s="9" t="n">
        <f aca="false">IF($A53&gt;=BZ$32,IF($A53&lt;=BZ$33,$AN53,0),0)</f>
        <v>0</v>
      </c>
      <c r="BY53" s="123" t="n">
        <f aca="false">$B53+$R53+$D$12</f>
        <v>4.726</v>
      </c>
      <c r="BZ53" s="123" t="n">
        <f aca="false">$B53+$S53+$D$13</f>
        <v>4.546</v>
      </c>
      <c r="CA53" s="123" t="n">
        <f aca="false">BY53*BX53</f>
        <v>0</v>
      </c>
      <c r="CB53" s="123" t="n">
        <f aca="false">BZ53*BX53</f>
        <v>0</v>
      </c>
      <c r="CC53" s="156" t="n">
        <f aca="false">($C53*$T53)+$D$14</f>
        <v>0.4175</v>
      </c>
      <c r="CD53" s="156" t="n">
        <f aca="false">($C53*$U53)+$D$15</f>
        <v>0.4175</v>
      </c>
      <c r="CE53" s="131" t="n">
        <f aca="false">$V53+D$16</f>
        <v>0.984107647518451</v>
      </c>
      <c r="CF53" s="157" t="n">
        <f aca="false">IF(BX53=0,0,SPRDOPT(BY53,BZ53,$W53,$AM53,CC53,CD53,CE53,$D53,$D$19,0))</f>
        <v>0</v>
      </c>
      <c r="CG53" s="157" t="e">
        <f aca="false">IF(BY53=0,0,SPRDOPT(BY53,BZ53,$W53,$AM53,CC53,CD53,CE53,$D53,$D$19,1))</f>
        <v>#NAME?</v>
      </c>
      <c r="CH53" s="157" t="e">
        <f aca="false">IF(BZ53=0,0,SPRDOPT(BY53,BZ53,$W53,$AM53,CC53,CD53,CE53,$D53,$D$19,2))</f>
        <v>#NAME?</v>
      </c>
      <c r="CI53" s="157" t="n">
        <f aca="false">IF(CA53=0,0,SPRDOPT(BY53,BZ53,$W53,$AM53,CC53,CD53,CE53,$D53,$D$19,3)/100)</f>
        <v>0</v>
      </c>
      <c r="CJ53" s="157" t="n">
        <f aca="false">IF(CB53=0,0,SPRDOPT(BY53,BZ53,$W53,$AM53,CC53,CD53,CE53,$D53,$D$19,4)/100)</f>
        <v>0</v>
      </c>
      <c r="CK53" s="157" t="e">
        <f aca="false">IF(CC53=0,0,SPRDOPT(BY53,BZ53,$W53,$AM53,CC53,CD53,CE53,$D53,$D$19,5)/100)</f>
        <v>#NAME?</v>
      </c>
      <c r="CL53" s="157" t="e">
        <f aca="false">IF(CD53=0,0,SPRDOPT(BY53,BZ53,$W53,$AM53,CC53,CD53,CE53,$D53,$D$19,6)/100)</f>
        <v>#NAME?</v>
      </c>
      <c r="CM53" s="157" t="e">
        <f aca="false">IF(CE53=0,0,SPRDOPT(BY53,BZ53,$W53,$AM53,CC53,CD53,CE53,$D53,$D$19,7)/100)</f>
        <v>#NAME?</v>
      </c>
      <c r="CN53" s="157" t="n">
        <f aca="false">IF(CF53=0,0,SPRDOPT(BY53,BZ53,$W53,$AM53,CC53,CD53,CE53,$D53,$D$19,9)/365)</f>
        <v>0</v>
      </c>
      <c r="CO53" s="157" t="e">
        <f aca="false">CG53+CH53</f>
        <v>#NAME?</v>
      </c>
      <c r="CP53" s="157" t="n">
        <f aca="false">CJ53-CI53</f>
        <v>0</v>
      </c>
      <c r="CQ53" s="157" t="e">
        <f aca="false">((CC53/CD53)*CK53)+CL53</f>
        <v>#NAME?</v>
      </c>
      <c r="CR53" s="44"/>
      <c r="CS53" s="45" t="n">
        <f aca="false">BX53*CF53</f>
        <v>0</v>
      </c>
      <c r="CT53" s="45" t="e">
        <f aca="false">BX53*CG53</f>
        <v>#NAME?</v>
      </c>
      <c r="CU53" s="45" t="e">
        <f aca="false">BX53*CH53</f>
        <v>#NAME?</v>
      </c>
      <c r="CV53" s="45" t="n">
        <f aca="false">BX53*CI53</f>
        <v>0</v>
      </c>
      <c r="CW53" s="45" t="n">
        <f aca="false">BX53*CJ53</f>
        <v>0</v>
      </c>
      <c r="CX53" s="45" t="e">
        <f aca="false">BX53*CK53</f>
        <v>#NAME?</v>
      </c>
      <c r="CY53" s="45" t="e">
        <f aca="false">BX53*CL53</f>
        <v>#NAME?</v>
      </c>
      <c r="CZ53" s="45" t="e">
        <f aca="false">BX53*CM53</f>
        <v>#NAME?</v>
      </c>
      <c r="DA53" s="45" t="n">
        <f aca="false">BX53*CN53</f>
        <v>0</v>
      </c>
      <c r="DB53" s="45" t="e">
        <f aca="false">BX53*CO53</f>
        <v>#NAME?</v>
      </c>
      <c r="DC53" s="45" t="n">
        <f aca="false">BX53*CP53</f>
        <v>0</v>
      </c>
      <c r="DD53" s="45" t="e">
        <f aca="false">BX53*CQ53</f>
        <v>#NAME?</v>
      </c>
      <c r="DF53" s="9" t="n">
        <f aca="false">IF($A53&gt;=DH$32,IF($A53&lt;=DH$33,$AN53,0),0)</f>
        <v>0</v>
      </c>
      <c r="DG53" s="123" t="n">
        <f aca="false">$B53+$Y53+$F$12</f>
        <v>6.446</v>
      </c>
      <c r="DH53" s="123" t="n">
        <f aca="false">$B53+$Z53+$F$13</f>
        <v>4.546</v>
      </c>
      <c r="DI53" s="123" t="n">
        <f aca="false">DG53*DF53</f>
        <v>0</v>
      </c>
      <c r="DJ53" s="123" t="n">
        <f aca="false">DH53*DF53</f>
        <v>0</v>
      </c>
      <c r="DK53" s="156" t="n">
        <f aca="false">($C53*$AA53)+$F$14</f>
        <v>0.45925</v>
      </c>
      <c r="DL53" s="156" t="n">
        <f aca="false">($C53*$AB53)+$F$15</f>
        <v>0.4175</v>
      </c>
      <c r="DM53" s="131" t="n">
        <f aca="false">$AC53+$F$16</f>
        <v>0.95</v>
      </c>
      <c r="DN53" s="157" t="n">
        <f aca="false">IF(DF53=0,0,SPRDOPT(DG53,DH53,$AD53,$AM53,DK53,DL53,DM53,$D53,$F$19,0))</f>
        <v>0</v>
      </c>
      <c r="DO53" s="157" t="e">
        <f aca="false">IF(DG53=0,0,SPRDOPT(DG53,DH53,$AD53,$AM53,DK53,DL53,DM53,$D53,$F$19,1))</f>
        <v>#NAME?</v>
      </c>
      <c r="DP53" s="157" t="e">
        <f aca="false">IF(DH53=0,0,SPRDOPT(DG53,DH53,$AD53,$AM53,DK53,DL53,DM53,$D53,$F$19,2))</f>
        <v>#NAME?</v>
      </c>
      <c r="DQ53" s="157" t="n">
        <f aca="false">IF(DI53=0,0,SPRDOPT(DG53,DH53,$AD53,$AM53,DK53,DL53,DM53,$D53,$F$19,3)/100)</f>
        <v>0</v>
      </c>
      <c r="DR53" s="157" t="n">
        <f aca="false">IF(DJ53=0,0,SPRDOPT(DG53,DH53,$AD53,$AM53,DK53,DL53,DM53,$D53,$F$19,4)/100)</f>
        <v>0</v>
      </c>
      <c r="DS53" s="157" t="e">
        <f aca="false">IF(DK53=0,0,SPRDOPT(DG53,DH53,$AD53,$AM53,DK53,DL53,DM53,$D53,$F$19,5)/100)</f>
        <v>#NAME?</v>
      </c>
      <c r="DT53" s="157" t="e">
        <f aca="false">IF(DL53=0,0,SPRDOPT(DG53,DH53,$AD53,$AM53,DK53,DL53,DM53,$D53,$F$19,6)/100)</f>
        <v>#NAME?</v>
      </c>
      <c r="DU53" s="157" t="e">
        <f aca="false">IF(DM53=0,0,SPRDOPT(DG53,DH53,$AD53,$AM53,DK53,DL53,DM53,$D53,$F$19,7)/100)</f>
        <v>#NAME?</v>
      </c>
      <c r="DV53" s="157" t="n">
        <f aca="false">IF(DN53=0,0,SPRDOPT(DG53,DH53,$AD53,$AM53,DK53,DL53,DM53,$D53,$F$19,9)/365)</f>
        <v>0</v>
      </c>
      <c r="DW53" s="157" t="e">
        <f aca="false">DO53+DP53</f>
        <v>#NAME?</v>
      </c>
      <c r="DX53" s="157" t="n">
        <f aca="false">DR53-DQ53</f>
        <v>0</v>
      </c>
      <c r="DY53" s="157" t="e">
        <f aca="false">((DK53/DL53)*DS53)+DT53</f>
        <v>#NAME?</v>
      </c>
      <c r="DZ53" s="44"/>
      <c r="EA53" s="45" t="n">
        <f aca="false">DF53*DN53</f>
        <v>0</v>
      </c>
      <c r="EB53" s="45" t="e">
        <f aca="false">DF53*DO53</f>
        <v>#NAME?</v>
      </c>
      <c r="EC53" s="45" t="e">
        <f aca="false">DF53*DP53</f>
        <v>#NAME?</v>
      </c>
      <c r="ED53" s="45" t="n">
        <f aca="false">DF53*DQ53</f>
        <v>0</v>
      </c>
      <c r="EE53" s="45" t="n">
        <f aca="false">DF53*DR53</f>
        <v>0</v>
      </c>
      <c r="EF53" s="45" t="e">
        <f aca="false">DF53*DS53</f>
        <v>#NAME?</v>
      </c>
      <c r="EG53" s="45" t="e">
        <f aca="false">DF53*DT53</f>
        <v>#NAME?</v>
      </c>
      <c r="EH53" s="45" t="e">
        <f aca="false">DF53*DU53</f>
        <v>#NAME?</v>
      </c>
      <c r="EI53" s="45" t="n">
        <f aca="false">DF53*DV53</f>
        <v>0</v>
      </c>
      <c r="EJ53" s="45" t="e">
        <f aca="false">DF53*DW53</f>
        <v>#NAME?</v>
      </c>
      <c r="EK53" s="45" t="n">
        <f aca="false">DF53*DX53</f>
        <v>0</v>
      </c>
      <c r="EL53" s="45" t="e">
        <f aca="false">DF53*DY53</f>
        <v>#NAME?</v>
      </c>
      <c r="EN53" s="9" t="n">
        <f aca="false">IF($A53&gt;=EP$32,IF($A53&lt;=EP$33,$AN53,0),0)</f>
        <v>0</v>
      </c>
      <c r="EO53" s="123" t="n">
        <f aca="false">$B53+$AF53+$H$12</f>
        <v>6.446</v>
      </c>
      <c r="EP53" s="123" t="n">
        <f aca="false">$B53+$AG53+$H$13</f>
        <v>4.546</v>
      </c>
      <c r="EQ53" s="123" t="n">
        <f aca="false">EO53*EN53</f>
        <v>0</v>
      </c>
      <c r="ER53" s="123" t="n">
        <f aca="false">EP53*EN53</f>
        <v>0</v>
      </c>
      <c r="ES53" s="156" t="n">
        <f aca="false">($C53*$AH53)+$H$14</f>
        <v>0.45925</v>
      </c>
      <c r="ET53" s="156" t="n">
        <f aca="false">($C53*$AI53)+$H$15</f>
        <v>0.4175</v>
      </c>
      <c r="EU53" s="131" t="n">
        <f aca="false">$AJ53+$H$16</f>
        <v>0.95</v>
      </c>
      <c r="EV53" s="157" t="n">
        <f aca="false">IF(EN53=0,0,SPRDOPT(EO53,EP53,$AK53,$AM53,ES53,ET53,EU53,$D53,$H$19,0))</f>
        <v>0</v>
      </c>
      <c r="EW53" s="157" t="e">
        <f aca="false">IF(EO53=0,0,SPRDOPT(EO53,EP53,$AK53,$AM53,ES53,ET53,EU53,$D53,$H$19,1))</f>
        <v>#NAME?</v>
      </c>
      <c r="EX53" s="157" t="e">
        <f aca="false">IF(EP53=0,0,SPRDOPT(EO53,EP53,$AK53,$AM53,ES53,ET53,EU53,$D53,$H$19,2))</f>
        <v>#NAME?</v>
      </c>
      <c r="EY53" s="157" t="n">
        <f aca="false">IF(EQ53=0,0,SPRDOPT(EO53,EP53,$AK53,$AM53,ES53,ET53,EU53,$D53,$H$19,3)/100)</f>
        <v>0</v>
      </c>
      <c r="EZ53" s="157" t="n">
        <f aca="false">IF(ER53=0,0,SPRDOPT(EO53,EP53,$AK53,$AM53,ES53,ET53,EU53,$D53,$H$19,4)/100)</f>
        <v>0</v>
      </c>
      <c r="FA53" s="157" t="e">
        <f aca="false">IF(ES53=0,0,SPRDOPT(EO53,EP53,$AK53,$AM53,ES53,ET53,EU53,$D53,$H$19,5)/100)</f>
        <v>#NAME?</v>
      </c>
      <c r="FB53" s="157" t="e">
        <f aca="false">IF(ET53=0,0,SPRDOPT(EO53,EP53,$AK53,$AM53,ES53,ET53,EU53,$D53,$H$19,6)/100)</f>
        <v>#NAME?</v>
      </c>
      <c r="FC53" s="157" t="e">
        <f aca="false">IF(EU53=0,0,SPRDOPT(EO53,EP53,$AK53,$AM53,ES53,ET53,EU53,$D53,$H$19,7)/100)</f>
        <v>#NAME?</v>
      </c>
      <c r="FD53" s="157" t="n">
        <f aca="false">IF(EV53=0,0,SPRDOPT(EO53,EP53,$AK53,$AM53,ES53,ET53,EU53,$D53,$H$19,9)/365)</f>
        <v>0</v>
      </c>
      <c r="FE53" s="157" t="e">
        <f aca="false">EW53+EX53</f>
        <v>#NAME?</v>
      </c>
      <c r="FF53" s="157" t="n">
        <f aca="false">EZ53-EY53</f>
        <v>0</v>
      </c>
      <c r="FG53" s="157" t="e">
        <f aca="false">((ES53/ET53)*FA53)+FB53</f>
        <v>#NAME?</v>
      </c>
      <c r="FH53" s="44"/>
      <c r="FI53" s="45" t="n">
        <f aca="false">$EN53*EV53</f>
        <v>0</v>
      </c>
      <c r="FJ53" s="45" t="e">
        <f aca="false">$EN53*EW53</f>
        <v>#NAME?</v>
      </c>
      <c r="FK53" s="45" t="e">
        <f aca="false">$EN53*EX53</f>
        <v>#NAME?</v>
      </c>
      <c r="FL53" s="45" t="n">
        <f aca="false">$EN53*EY53</f>
        <v>0</v>
      </c>
      <c r="FM53" s="45" t="n">
        <f aca="false">$EN53*EZ53</f>
        <v>0</v>
      </c>
      <c r="FN53" s="45" t="e">
        <f aca="false">$EN53*FA53</f>
        <v>#NAME?</v>
      </c>
      <c r="FO53" s="45" t="e">
        <f aca="false">$EN53*FB53</f>
        <v>#NAME?</v>
      </c>
      <c r="FP53" s="45" t="e">
        <f aca="false">$EN53*FC53</f>
        <v>#NAME?</v>
      </c>
      <c r="FQ53" s="45" t="n">
        <f aca="false">$EN53*FD53</f>
        <v>0</v>
      </c>
      <c r="FR53" s="45" t="e">
        <f aca="false">$EN53*FE53</f>
        <v>#NAME?</v>
      </c>
      <c r="FS53" s="45" t="n">
        <f aca="false">$EN53*FF53</f>
        <v>0</v>
      </c>
      <c r="FT53" s="45" t="e">
        <f aca="false">$EN53*FG53</f>
        <v>#NAME?</v>
      </c>
    </row>
    <row r="54" customFormat="false" ht="12.75" hidden="false" customHeight="false" outlineLevel="0" collapsed="false">
      <c r="A54" s="48" t="n">
        <f aca="false">DATE(YEAR(A53),MONTH(A53)+1,1)</f>
        <v>37288</v>
      </c>
      <c r="B54" s="40" t="n">
        <f aca="false">VLOOKUP(A54,STRADDLE,5,FALSE())</f>
        <v>4.321</v>
      </c>
      <c r="C54" s="4" t="n">
        <f aca="false">VLOOKUP(A54,STRADDLE,8,FALSE())</f>
        <v>0.4075</v>
      </c>
      <c r="D54" s="136" t="n">
        <f aca="false">VLOOKUP(A54,expiration,2,FALSE())-$B$2</f>
        <v>-8641</v>
      </c>
      <c r="E54" s="131" t="e">
        <f aca="false">AY54</f>
        <v>#NAME?</v>
      </c>
      <c r="F54" s="131" t="e">
        <f aca="false">CG54</f>
        <v>#NAME?</v>
      </c>
      <c r="G54" s="131" t="e">
        <f aca="false">DO54</f>
        <v>#NAME?</v>
      </c>
      <c r="H54" s="131" t="e">
        <f aca="false">EW54</f>
        <v>#NAME?</v>
      </c>
      <c r="I54" s="41"/>
      <c r="J54" s="154"/>
      <c r="K54" s="40" t="n">
        <f aca="false">IF($B$3="NYMEX",0,VLOOKUP($A54,curvesettle,HLOOKUP($B$3,curvesettle,2,FALSE()),FALSE()))</f>
        <v>1.86</v>
      </c>
      <c r="L54" s="40" t="n">
        <f aca="false">IF($B$4="NYMEX",0,VLOOKUP($A54,curvesettle,HLOOKUP($B$4,curvesettle,2,FALSE()),FALSE()))</f>
        <v>0</v>
      </c>
      <c r="M54" s="131" t="n">
        <f aca="false">IF(ISNUMBER(VLOOKUP($A54,VOLCURVES,HLOOKUP($B$3,VOLCURVES,2,FALSE()),FALSE())),VLOOKUP($A54,VOLCURVES,HLOOKUP($B$3,VOLCURVES,2,FALSE()),FALSE()),1)</f>
        <v>1.1</v>
      </c>
      <c r="N54" s="131" t="n">
        <f aca="false">IF(ISNUMBER(VLOOKUP($A54,VOLCURVES,HLOOKUP($B$4,VOLCURVES,2,FALSE()),FALSE())),VLOOKUP($A54,VOLCURVES,HLOOKUP($B$4,VOLCURVES,2,FALSE()),FALSE()),1)</f>
        <v>1</v>
      </c>
      <c r="O54" s="131" t="n">
        <f aca="false">IF(ISNUMBER(VLOOKUP($A54,CORETABLE,HLOOKUP($B$3,CORETABLE,2,FALSE()),FALSE())),VLOOKUP($A54,CORETABLE,HLOOKUP($B$3,CORETABLE,2,FALSE()),FALSE()),0.99)</f>
        <v>0.95</v>
      </c>
      <c r="P54" s="155" t="n">
        <f aca="false">B$18</f>
        <v>2</v>
      </c>
      <c r="Q54" s="131"/>
      <c r="R54" s="40" t="n">
        <f aca="false">IF($D$3="NYMEX",0,VLOOKUP($A54,curvesettle,HLOOKUP($D$3,curvesettle,2,FALSE()),FALSE()))</f>
        <v>0.1575</v>
      </c>
      <c r="S54" s="40" t="n">
        <f aca="false">IF($D$4="NYMEX",0,VLOOKUP($A54,curvesettle,HLOOKUP($D$4,curvesettle,2,FALSE()),FALSE()))</f>
        <v>0</v>
      </c>
      <c r="T54" s="131" t="n">
        <f aca="false">IF(ISNUMBER(VLOOKUP($A54,VOLCURVES,HLOOKUP($D$3,VOLCURVES,2,FALSE()),FALSE())),VLOOKUP($A54,VOLCURVES,HLOOKUP($D$3,VOLCURVES,2,FALSE()),FALSE()),1)</f>
        <v>1</v>
      </c>
      <c r="U54" s="131" t="n">
        <f aca="false">IF(ISNUMBER(VLOOKUP($A54,VOLCURVES,HLOOKUP($D$4,VOLCURVES,2,FALSE()),FALSE())),VLOOKUP($A54,VOLCURVES,HLOOKUP($D$4,VOLCURVES,2,FALSE()),FALSE()),1)</f>
        <v>1</v>
      </c>
      <c r="V54" s="131" t="n">
        <f aca="false">IF(ISNUMBER(VLOOKUP($A54,CORETABLE,HLOOKUP($D$3,CORETABLE,2,FALSE()),FALSE())),VLOOKUP($A54,CORETABLE,HLOOKUP($D$3,CORETABLE,2,FALSE()),FALSE()),0.99)</f>
        <v>0.984107647518451</v>
      </c>
      <c r="W54" s="155" t="n">
        <f aca="false">D$18</f>
        <v>0.2</v>
      </c>
      <c r="X54" s="131"/>
      <c r="Y54" s="40" t="n">
        <f aca="false">IF($F$3="NYMEX",0,VLOOKUP($A54,curvesettle,HLOOKUP($F$3,curvesettle,2,FALSE()),FALSE()))</f>
        <v>1.86</v>
      </c>
      <c r="Z54" s="40" t="n">
        <f aca="false">IF($F$4="NYMEX",0,VLOOKUP($A54,curvesettle,HLOOKUP($F$4,curvesettle,2,FALSE()),FALSE()))</f>
        <v>0</v>
      </c>
      <c r="AA54" s="131" t="n">
        <f aca="false">IF(ISNUMBER(VLOOKUP($A54,VOLCURVES,HLOOKUP($F$3,VOLCURVES,2,FALSE()),FALSE())),VLOOKUP($A54,VOLCURVES,HLOOKUP($F$3,VOLCURVES,2,FALSE()),FALSE()),1)</f>
        <v>1.1</v>
      </c>
      <c r="AB54" s="131" t="n">
        <f aca="false">IF(ISNUMBER(VLOOKUP($A54,VOLCURVES,HLOOKUP($F$4,VOLCURVES,2,FALSE()),FALSE())),VLOOKUP($A54,VOLCURVES,HLOOKUP($F$4,VOLCURVES,2,FALSE()),FALSE()),1)</f>
        <v>1</v>
      </c>
      <c r="AC54" s="131" t="n">
        <f aca="false">IF(ISNUMBER(VLOOKUP($A54,CORETABLE,HLOOKUP($F$3,CORETABLE,2,FALSE()),FALSE())),VLOOKUP($A54,CORETABLE,HLOOKUP($F$3,CORETABLE,2,FALSE()),FALSE()),1)</f>
        <v>0.95</v>
      </c>
      <c r="AD54" s="155" t="n">
        <f aca="false">F$18</f>
        <v>1.85</v>
      </c>
      <c r="AE54" s="131"/>
      <c r="AF54" s="40" t="n">
        <f aca="false">IF($H$3="NYMEX",0,VLOOKUP($A54,curvesettle,HLOOKUP($H$3,curvesettle,2,FALSE()),FALSE()))</f>
        <v>1.86</v>
      </c>
      <c r="AG54" s="40" t="n">
        <f aca="false">IF($H$4="NYMEX",0,VLOOKUP($A54,curvesettle,HLOOKUP($H$4,curvesettle,2,FALSE()),FALSE()))</f>
        <v>0</v>
      </c>
      <c r="AH54" s="131" t="n">
        <f aca="false">IF(ISNUMBER(VLOOKUP($A54,VOLCURVES,HLOOKUP($H$3,VOLCURVES,2,FALSE()),FALSE())),VLOOKUP($A54,VOLCURVES,HLOOKUP($H$3,VOLCURVES,2,FALSE()),FALSE()),1)</f>
        <v>1.1</v>
      </c>
      <c r="AI54" s="131" t="n">
        <f aca="false">IF(ISNUMBER(VLOOKUP($A54,VOLCURVES,HLOOKUP($H$4,VOLCURVES,2,FALSE()),FALSE())),VLOOKUP($A54,VOLCURVES,HLOOKUP($H$4,VOLCURVES,2,FALSE()),FALSE()),1)</f>
        <v>1</v>
      </c>
      <c r="AJ54" s="131" t="n">
        <f aca="false">IF(ISNUMBER(VLOOKUP($A54,CORETABLE,HLOOKUP($H$3,CORETABLE,2,FALSE()),FALSE())),VLOOKUP($A54,CORETABLE,HLOOKUP($H$3,CORETABLE,2,FALSE()),FALSE()),1)</f>
        <v>0.95</v>
      </c>
      <c r="AK54" s="155" t="n">
        <f aca="false">H$18</f>
        <v>1.85</v>
      </c>
      <c r="AM54" s="4" t="n">
        <f aca="false">VLOOKUP($A54,STRADDLE,12,FALSE())</f>
        <v>0.067329715733591</v>
      </c>
      <c r="AN54" s="43" t="n">
        <f aca="false">A55-A54</f>
        <v>28</v>
      </c>
      <c r="AP54" s="9" t="n">
        <f aca="false">IF($A54&gt;=AR$32,IF($A54&lt;=AR$33,$AN54,0),0)</f>
        <v>0</v>
      </c>
      <c r="AQ54" s="123" t="n">
        <f aca="false">$B54+$K54+$B$12</f>
        <v>6.211</v>
      </c>
      <c r="AR54" s="123" t="n">
        <f aca="false">$B54+$L54+$B$13</f>
        <v>4.321</v>
      </c>
      <c r="AS54" s="123" t="n">
        <f aca="false">AQ54*AP54</f>
        <v>0</v>
      </c>
      <c r="AT54" s="123" t="n">
        <f aca="false">AR54*AP54</f>
        <v>0</v>
      </c>
      <c r="AU54" s="156" t="n">
        <f aca="false">($C54*$M54)+$B$14</f>
        <v>0.44825</v>
      </c>
      <c r="AV54" s="156" t="n">
        <f aca="false">($C54*$N54)+$B$15</f>
        <v>0.4075</v>
      </c>
      <c r="AW54" s="131" t="n">
        <f aca="false">O54+B$16</f>
        <v>0.95</v>
      </c>
      <c r="AX54" s="157" t="n">
        <f aca="false">IF(AP54=0,0,SPRDOPT(AQ54,AR54,$P54,$AM54,AU54,AV54,AW54,$D54,$B$19,0))</f>
        <v>0</v>
      </c>
      <c r="AY54" s="157" t="e">
        <f aca="false">IF(AQ54=0,0,SPRDOPT(AQ54,AR54,$P54,$AM54,AU54,AV54,AW54,$D54,$B$19,1))</f>
        <v>#NAME?</v>
      </c>
      <c r="AZ54" s="157" t="e">
        <f aca="false">IF(AR54=0,0,SPRDOPT(AQ54,AR54,$P54,$AM54,AU54,AV54,AW54,$D54,$B$19,2))</f>
        <v>#NAME?</v>
      </c>
      <c r="BA54" s="157" t="n">
        <f aca="false">IF(AS54=0,0,SPRDOPT(AQ54,AR54,$P54,$AM54,AU54,AV54,AW54,$D54,$B$19,3)/100)</f>
        <v>0</v>
      </c>
      <c r="BB54" s="157" t="n">
        <f aca="false">IF(AT54=0,0,SPRDOPT(AQ54,AR54,$P54,$AM54,AU54,AV54,AW54,$D54,$B$19,4)/100)</f>
        <v>0</v>
      </c>
      <c r="BC54" s="157" t="e">
        <f aca="false">IF(AU54=0,0,SPRDOPT(AQ54,AR54,$P54,$AM54,AU54,AV54,AW54,$D54,$B$19,5)/100)</f>
        <v>#NAME?</v>
      </c>
      <c r="BD54" s="157" t="e">
        <f aca="false">IF(AV54=0,0,SPRDOPT(AQ54,AR54,$P54,$AM54,AU54,AV54,AW54,$D54,$B$19,6)/100)</f>
        <v>#NAME?</v>
      </c>
      <c r="BE54" s="157" t="e">
        <f aca="false">IF(AW54=0,0,SPRDOPT(AQ54,AR54,$P54,$AM54,AU54,AV54,AW54,$D54,$B$19,7)/100)</f>
        <v>#NAME?</v>
      </c>
      <c r="BF54" s="157" t="n">
        <f aca="false">IF(AX54=0,0,SPRDOPT(AQ54,AR54,$P54,$AM54,AU54,AV54,AW54,$D54,$B$19,9)/365)</f>
        <v>0</v>
      </c>
      <c r="BG54" s="157" t="e">
        <f aca="false">AY54+AZ54</f>
        <v>#NAME?</v>
      </c>
      <c r="BH54" s="157" t="n">
        <f aca="false">BB54-BA54</f>
        <v>0</v>
      </c>
      <c r="BI54" s="157" t="e">
        <f aca="false">((AU54/AV54)*BC54)+BD54</f>
        <v>#NAME?</v>
      </c>
      <c r="BJ54" s="44"/>
      <c r="BK54" s="45" t="n">
        <f aca="false">$AP54*AX54</f>
        <v>0</v>
      </c>
      <c r="BL54" s="45" t="e">
        <f aca="false">$AP54*AY54</f>
        <v>#NAME?</v>
      </c>
      <c r="BM54" s="45" t="e">
        <f aca="false">$AP54*AZ54</f>
        <v>#NAME?</v>
      </c>
      <c r="BN54" s="45" t="n">
        <f aca="false">$AP54*BA54</f>
        <v>0</v>
      </c>
      <c r="BO54" s="45" t="n">
        <f aca="false">$AP54*BB54</f>
        <v>0</v>
      </c>
      <c r="BP54" s="45" t="e">
        <f aca="false">$AP54*BC54</f>
        <v>#NAME?</v>
      </c>
      <c r="BQ54" s="45" t="e">
        <f aca="false">$AP54*BD54</f>
        <v>#NAME?</v>
      </c>
      <c r="BR54" s="45" t="e">
        <f aca="false">$AP54*BE54</f>
        <v>#NAME?</v>
      </c>
      <c r="BS54" s="45" t="n">
        <f aca="false">$AP54*BF54</f>
        <v>0</v>
      </c>
      <c r="BT54" s="45" t="e">
        <f aca="false">$AP54*BG54</f>
        <v>#NAME?</v>
      </c>
      <c r="BU54" s="45" t="n">
        <f aca="false">$AP54*BH54</f>
        <v>0</v>
      </c>
      <c r="BV54" s="45" t="e">
        <f aca="false">$AP54*BI54</f>
        <v>#NAME?</v>
      </c>
      <c r="BX54" s="9" t="n">
        <f aca="false">IF($A54&gt;=BZ$32,IF($A54&lt;=BZ$33,$AN54,0),0)</f>
        <v>0</v>
      </c>
      <c r="BY54" s="123" t="n">
        <f aca="false">$B54+$R54+$D$12</f>
        <v>4.4785</v>
      </c>
      <c r="BZ54" s="123" t="n">
        <f aca="false">$B54+$S54+$D$13</f>
        <v>4.321</v>
      </c>
      <c r="CA54" s="123" t="n">
        <f aca="false">BY54*BX54</f>
        <v>0</v>
      </c>
      <c r="CB54" s="123" t="n">
        <f aca="false">BZ54*BX54</f>
        <v>0</v>
      </c>
      <c r="CC54" s="156" t="n">
        <f aca="false">($C54*$T54)+$D$14</f>
        <v>0.4075</v>
      </c>
      <c r="CD54" s="156" t="n">
        <f aca="false">($C54*$U54)+$D$15</f>
        <v>0.4075</v>
      </c>
      <c r="CE54" s="131" t="n">
        <f aca="false">$V54+D$16</f>
        <v>0.984107647518451</v>
      </c>
      <c r="CF54" s="157" t="n">
        <f aca="false">IF(BX54=0,0,SPRDOPT(BY54,BZ54,$W54,$AM54,CC54,CD54,CE54,$D54,$D$19,0))</f>
        <v>0</v>
      </c>
      <c r="CG54" s="157" t="e">
        <f aca="false">IF(BY54=0,0,SPRDOPT(BY54,BZ54,$W54,$AM54,CC54,CD54,CE54,$D54,$D$19,1))</f>
        <v>#NAME?</v>
      </c>
      <c r="CH54" s="157" t="e">
        <f aca="false">IF(BZ54=0,0,SPRDOPT(BY54,BZ54,$W54,$AM54,CC54,CD54,CE54,$D54,$D$19,2))</f>
        <v>#NAME?</v>
      </c>
      <c r="CI54" s="157" t="n">
        <f aca="false">IF(CA54=0,0,SPRDOPT(BY54,BZ54,$W54,$AM54,CC54,CD54,CE54,$D54,$D$19,3)/100)</f>
        <v>0</v>
      </c>
      <c r="CJ54" s="157" t="n">
        <f aca="false">IF(CB54=0,0,SPRDOPT(BY54,BZ54,$W54,$AM54,CC54,CD54,CE54,$D54,$D$19,4)/100)</f>
        <v>0</v>
      </c>
      <c r="CK54" s="157" t="e">
        <f aca="false">IF(CC54=0,0,SPRDOPT(BY54,BZ54,$W54,$AM54,CC54,CD54,CE54,$D54,$D$19,5)/100)</f>
        <v>#NAME?</v>
      </c>
      <c r="CL54" s="157" t="e">
        <f aca="false">IF(CD54=0,0,SPRDOPT(BY54,BZ54,$W54,$AM54,CC54,CD54,CE54,$D54,$D$19,6)/100)</f>
        <v>#NAME?</v>
      </c>
      <c r="CM54" s="157" t="e">
        <f aca="false">IF(CE54=0,0,SPRDOPT(BY54,BZ54,$W54,$AM54,CC54,CD54,CE54,$D54,$D$19,7)/100)</f>
        <v>#NAME?</v>
      </c>
      <c r="CN54" s="157" t="n">
        <f aca="false">IF(CF54=0,0,SPRDOPT(BY54,BZ54,$W54,$AM54,CC54,CD54,CE54,$D54,$D$19,9)/365)</f>
        <v>0</v>
      </c>
      <c r="CO54" s="157" t="e">
        <f aca="false">CG54+CH54</f>
        <v>#NAME?</v>
      </c>
      <c r="CP54" s="157" t="n">
        <f aca="false">CJ54-CI54</f>
        <v>0</v>
      </c>
      <c r="CQ54" s="157" t="e">
        <f aca="false">((CC54/CD54)*CK54)+CL54</f>
        <v>#NAME?</v>
      </c>
      <c r="CR54" s="44"/>
      <c r="CS54" s="45" t="n">
        <f aca="false">BX54*CF54</f>
        <v>0</v>
      </c>
      <c r="CT54" s="45" t="e">
        <f aca="false">BX54*CG54</f>
        <v>#NAME?</v>
      </c>
      <c r="CU54" s="45" t="e">
        <f aca="false">BX54*CH54</f>
        <v>#NAME?</v>
      </c>
      <c r="CV54" s="45" t="n">
        <f aca="false">BX54*CI54</f>
        <v>0</v>
      </c>
      <c r="CW54" s="45" t="n">
        <f aca="false">BX54*CJ54</f>
        <v>0</v>
      </c>
      <c r="CX54" s="45" t="e">
        <f aca="false">BX54*CK54</f>
        <v>#NAME?</v>
      </c>
      <c r="CY54" s="45" t="e">
        <f aca="false">BX54*CL54</f>
        <v>#NAME?</v>
      </c>
      <c r="CZ54" s="45" t="e">
        <f aca="false">BX54*CM54</f>
        <v>#NAME?</v>
      </c>
      <c r="DA54" s="45" t="n">
        <f aca="false">BX54*CN54</f>
        <v>0</v>
      </c>
      <c r="DB54" s="45" t="e">
        <f aca="false">BX54*CO54</f>
        <v>#NAME?</v>
      </c>
      <c r="DC54" s="45" t="n">
        <f aca="false">BX54*CP54</f>
        <v>0</v>
      </c>
      <c r="DD54" s="45" t="e">
        <f aca="false">BX54*CQ54</f>
        <v>#NAME?</v>
      </c>
      <c r="DF54" s="9" t="n">
        <f aca="false">IF($A54&gt;=DH$32,IF($A54&lt;=DH$33,$AN54,0),0)</f>
        <v>0</v>
      </c>
      <c r="DG54" s="123" t="n">
        <f aca="false">$B54+$Y54+$F$12</f>
        <v>6.211</v>
      </c>
      <c r="DH54" s="123" t="n">
        <f aca="false">$B54+$Z54+$F$13</f>
        <v>4.321</v>
      </c>
      <c r="DI54" s="123" t="n">
        <f aca="false">DG54*DF54</f>
        <v>0</v>
      </c>
      <c r="DJ54" s="123" t="n">
        <f aca="false">DH54*DF54</f>
        <v>0</v>
      </c>
      <c r="DK54" s="156" t="n">
        <f aca="false">($C54*$AA54)+$F$14</f>
        <v>0.44825</v>
      </c>
      <c r="DL54" s="156" t="n">
        <f aca="false">($C54*$AB54)+$F$15</f>
        <v>0.4075</v>
      </c>
      <c r="DM54" s="131" t="n">
        <f aca="false">$AC54+$F$16</f>
        <v>0.95</v>
      </c>
      <c r="DN54" s="157" t="n">
        <f aca="false">IF(DF54=0,0,SPRDOPT(DG54,DH54,$AD54,$AM54,DK54,DL54,DM54,$D54,$F$19,0))</f>
        <v>0</v>
      </c>
      <c r="DO54" s="157" t="e">
        <f aca="false">IF(DG54=0,0,SPRDOPT(DG54,DH54,$AD54,$AM54,DK54,DL54,DM54,$D54,$F$19,1))</f>
        <v>#NAME?</v>
      </c>
      <c r="DP54" s="157" t="e">
        <f aca="false">IF(DH54=0,0,SPRDOPT(DG54,DH54,$AD54,$AM54,DK54,DL54,DM54,$D54,$F$19,2))</f>
        <v>#NAME?</v>
      </c>
      <c r="DQ54" s="157" t="n">
        <f aca="false">IF(DI54=0,0,SPRDOPT(DG54,DH54,$AD54,$AM54,DK54,DL54,DM54,$D54,$F$19,3)/100)</f>
        <v>0</v>
      </c>
      <c r="DR54" s="157" t="n">
        <f aca="false">IF(DJ54=0,0,SPRDOPT(DG54,DH54,$AD54,$AM54,DK54,DL54,DM54,$D54,$F$19,4)/100)</f>
        <v>0</v>
      </c>
      <c r="DS54" s="157" t="e">
        <f aca="false">IF(DK54=0,0,SPRDOPT(DG54,DH54,$AD54,$AM54,DK54,DL54,DM54,$D54,$F$19,5)/100)</f>
        <v>#NAME?</v>
      </c>
      <c r="DT54" s="157" t="e">
        <f aca="false">IF(DL54=0,0,SPRDOPT(DG54,DH54,$AD54,$AM54,DK54,DL54,DM54,$D54,$F$19,6)/100)</f>
        <v>#NAME?</v>
      </c>
      <c r="DU54" s="157" t="e">
        <f aca="false">IF(DM54=0,0,SPRDOPT(DG54,DH54,$AD54,$AM54,DK54,DL54,DM54,$D54,$F$19,7)/100)</f>
        <v>#NAME?</v>
      </c>
      <c r="DV54" s="157" t="n">
        <f aca="false">IF(DN54=0,0,SPRDOPT(DG54,DH54,$AD54,$AM54,DK54,DL54,DM54,$D54,$F$19,9)/365)</f>
        <v>0</v>
      </c>
      <c r="DW54" s="157" t="e">
        <f aca="false">DO54+DP54</f>
        <v>#NAME?</v>
      </c>
      <c r="DX54" s="157" t="n">
        <f aca="false">DR54-DQ54</f>
        <v>0</v>
      </c>
      <c r="DY54" s="157" t="e">
        <f aca="false">((DK54/DL54)*DS54)+DT54</f>
        <v>#NAME?</v>
      </c>
      <c r="DZ54" s="44"/>
      <c r="EA54" s="45" t="n">
        <f aca="false">DF54*DN54</f>
        <v>0</v>
      </c>
      <c r="EB54" s="45" t="e">
        <f aca="false">DF54*DO54</f>
        <v>#NAME?</v>
      </c>
      <c r="EC54" s="45" t="e">
        <f aca="false">DF54*DP54</f>
        <v>#NAME?</v>
      </c>
      <c r="ED54" s="45" t="n">
        <f aca="false">DF54*DQ54</f>
        <v>0</v>
      </c>
      <c r="EE54" s="45" t="n">
        <f aca="false">DF54*DR54</f>
        <v>0</v>
      </c>
      <c r="EF54" s="45" t="e">
        <f aca="false">DF54*DS54</f>
        <v>#NAME?</v>
      </c>
      <c r="EG54" s="45" t="e">
        <f aca="false">DF54*DT54</f>
        <v>#NAME?</v>
      </c>
      <c r="EH54" s="45" t="e">
        <f aca="false">DF54*DU54</f>
        <v>#NAME?</v>
      </c>
      <c r="EI54" s="45" t="n">
        <f aca="false">DF54*DV54</f>
        <v>0</v>
      </c>
      <c r="EJ54" s="45" t="e">
        <f aca="false">DF54*DW54</f>
        <v>#NAME?</v>
      </c>
      <c r="EK54" s="45" t="n">
        <f aca="false">DF54*DX54</f>
        <v>0</v>
      </c>
      <c r="EL54" s="45" t="e">
        <f aca="false">DF54*DY54</f>
        <v>#NAME?</v>
      </c>
      <c r="EN54" s="9" t="n">
        <f aca="false">IF($A54&gt;=EP$32,IF($A54&lt;=EP$33,$AN54,0),0)</f>
        <v>0</v>
      </c>
      <c r="EO54" s="123" t="n">
        <f aca="false">$B54+$AF54+$H$12</f>
        <v>6.211</v>
      </c>
      <c r="EP54" s="123" t="n">
        <f aca="false">$B54+$AG54+$H$13</f>
        <v>4.321</v>
      </c>
      <c r="EQ54" s="123" t="n">
        <f aca="false">EO54*EN54</f>
        <v>0</v>
      </c>
      <c r="ER54" s="123" t="n">
        <f aca="false">EP54*EN54</f>
        <v>0</v>
      </c>
      <c r="ES54" s="156" t="n">
        <f aca="false">($C54*$AH54)+$H$14</f>
        <v>0.44825</v>
      </c>
      <c r="ET54" s="156" t="n">
        <f aca="false">($C54*$AI54)+$H$15</f>
        <v>0.4075</v>
      </c>
      <c r="EU54" s="131" t="n">
        <f aca="false">$AJ54+$H$16</f>
        <v>0.95</v>
      </c>
      <c r="EV54" s="157" t="n">
        <f aca="false">IF(EN54=0,0,SPRDOPT(EO54,EP54,$AK54,$AM54,ES54,ET54,EU54,$D54,$H$19,0))</f>
        <v>0</v>
      </c>
      <c r="EW54" s="157" t="e">
        <f aca="false">IF(EO54=0,0,SPRDOPT(EO54,EP54,$AK54,$AM54,ES54,ET54,EU54,$D54,$H$19,1))</f>
        <v>#NAME?</v>
      </c>
      <c r="EX54" s="157" t="e">
        <f aca="false">IF(EP54=0,0,SPRDOPT(EO54,EP54,$AK54,$AM54,ES54,ET54,EU54,$D54,$H$19,2))</f>
        <v>#NAME?</v>
      </c>
      <c r="EY54" s="157" t="n">
        <f aca="false">IF(EQ54=0,0,SPRDOPT(EO54,EP54,$AK54,$AM54,ES54,ET54,EU54,$D54,$H$19,3)/100)</f>
        <v>0</v>
      </c>
      <c r="EZ54" s="157" t="n">
        <f aca="false">IF(ER54=0,0,SPRDOPT(EO54,EP54,$AK54,$AM54,ES54,ET54,EU54,$D54,$H$19,4)/100)</f>
        <v>0</v>
      </c>
      <c r="FA54" s="157" t="e">
        <f aca="false">IF(ES54=0,0,SPRDOPT(EO54,EP54,$AK54,$AM54,ES54,ET54,EU54,$D54,$H$19,5)/100)</f>
        <v>#NAME?</v>
      </c>
      <c r="FB54" s="157" t="e">
        <f aca="false">IF(ET54=0,0,SPRDOPT(EO54,EP54,$AK54,$AM54,ES54,ET54,EU54,$D54,$H$19,6)/100)</f>
        <v>#NAME?</v>
      </c>
      <c r="FC54" s="157" t="e">
        <f aca="false">IF(EU54=0,0,SPRDOPT(EO54,EP54,$AK54,$AM54,ES54,ET54,EU54,$D54,$H$19,7)/100)</f>
        <v>#NAME?</v>
      </c>
      <c r="FD54" s="157" t="n">
        <f aca="false">IF(EV54=0,0,SPRDOPT(EO54,EP54,$AK54,$AM54,ES54,ET54,EU54,$D54,$H$19,9)/365)</f>
        <v>0</v>
      </c>
      <c r="FE54" s="157" t="e">
        <f aca="false">EW54+EX54</f>
        <v>#NAME?</v>
      </c>
      <c r="FF54" s="157" t="n">
        <f aca="false">EZ54-EY54</f>
        <v>0</v>
      </c>
      <c r="FG54" s="157" t="e">
        <f aca="false">((ES54/ET54)*FA54)+FB54</f>
        <v>#NAME?</v>
      </c>
      <c r="FH54" s="44"/>
      <c r="FI54" s="45" t="n">
        <f aca="false">$EN54*EV54</f>
        <v>0</v>
      </c>
      <c r="FJ54" s="45" t="e">
        <f aca="false">$EN54*EW54</f>
        <v>#NAME?</v>
      </c>
      <c r="FK54" s="45" t="e">
        <f aca="false">$EN54*EX54</f>
        <v>#NAME?</v>
      </c>
      <c r="FL54" s="45" t="n">
        <f aca="false">$EN54*EY54</f>
        <v>0</v>
      </c>
      <c r="FM54" s="45" t="n">
        <f aca="false">$EN54*EZ54</f>
        <v>0</v>
      </c>
      <c r="FN54" s="45" t="e">
        <f aca="false">$EN54*FA54</f>
        <v>#NAME?</v>
      </c>
      <c r="FO54" s="45" t="e">
        <f aca="false">$EN54*FB54</f>
        <v>#NAME?</v>
      </c>
      <c r="FP54" s="45" t="e">
        <f aca="false">$EN54*FC54</f>
        <v>#NAME?</v>
      </c>
      <c r="FQ54" s="45" t="n">
        <f aca="false">$EN54*FD54</f>
        <v>0</v>
      </c>
      <c r="FR54" s="45" t="e">
        <f aca="false">$EN54*FE54</f>
        <v>#NAME?</v>
      </c>
      <c r="FS54" s="45" t="n">
        <f aca="false">$EN54*FF54</f>
        <v>0</v>
      </c>
      <c r="FT54" s="45" t="e">
        <f aca="false">$EN54*FG54</f>
        <v>#NAME?</v>
      </c>
    </row>
    <row r="55" customFormat="false" ht="12.75" hidden="false" customHeight="false" outlineLevel="0" collapsed="false">
      <c r="A55" s="48" t="n">
        <f aca="false">DATE(YEAR(A54),MONTH(A54)+1,1)</f>
        <v>37316</v>
      </c>
      <c r="B55" s="40" t="n">
        <f aca="false">VLOOKUP(A55,STRADDLE,5,FALSE())</f>
        <v>4.091</v>
      </c>
      <c r="C55" s="4" t="n">
        <f aca="false">VLOOKUP(A55,STRADDLE,8,FALSE())</f>
        <v>0.3675</v>
      </c>
      <c r="D55" s="136" t="n">
        <f aca="false">VLOOKUP(A55,expiration,2,FALSE())-$B$2</f>
        <v>-8613</v>
      </c>
      <c r="E55" s="131" t="e">
        <f aca="false">AY55</f>
        <v>#NAME?</v>
      </c>
      <c r="F55" s="131" t="e">
        <f aca="false">CG55</f>
        <v>#NAME?</v>
      </c>
      <c r="G55" s="131" t="e">
        <f aca="false">DO55</f>
        <v>#NAME?</v>
      </c>
      <c r="H55" s="131" t="e">
        <f aca="false">EW55</f>
        <v>#NAME?</v>
      </c>
      <c r="I55" s="41"/>
      <c r="J55" s="154"/>
      <c r="K55" s="40" t="n">
        <f aca="false">IF($B$3="NYMEX",0,VLOOKUP($A55,curvesettle,HLOOKUP($B$3,curvesettle,2,FALSE()),FALSE()))</f>
        <v>1.29</v>
      </c>
      <c r="L55" s="40" t="n">
        <f aca="false">IF($B$4="NYMEX",0,VLOOKUP($A55,curvesettle,HLOOKUP($B$4,curvesettle,2,FALSE()),FALSE()))</f>
        <v>0</v>
      </c>
      <c r="M55" s="131" t="n">
        <f aca="false">IF(ISNUMBER(VLOOKUP($A55,VOLCURVES,HLOOKUP($B$3,VOLCURVES,2,FALSE()),FALSE())),VLOOKUP($A55,VOLCURVES,HLOOKUP($B$3,VOLCURVES,2,FALSE()),FALSE()),1)</f>
        <v>1.1</v>
      </c>
      <c r="N55" s="131" t="n">
        <f aca="false">IF(ISNUMBER(VLOOKUP($A55,VOLCURVES,HLOOKUP($B$4,VOLCURVES,2,FALSE()),FALSE())),VLOOKUP($A55,VOLCURVES,HLOOKUP($B$4,VOLCURVES,2,FALSE()),FALSE()),1)</f>
        <v>1</v>
      </c>
      <c r="O55" s="131" t="n">
        <f aca="false">IF(ISNUMBER(VLOOKUP($A55,CORETABLE,HLOOKUP($B$3,CORETABLE,2,FALSE()),FALSE())),VLOOKUP($A55,CORETABLE,HLOOKUP($B$3,CORETABLE,2,FALSE()),FALSE()),0.99)</f>
        <v>0.95</v>
      </c>
      <c r="P55" s="155" t="n">
        <f aca="false">B$18</f>
        <v>2</v>
      </c>
      <c r="Q55" s="131"/>
      <c r="R55" s="40" t="n">
        <f aca="false">IF($D$3="NYMEX",0,VLOOKUP($A55,curvesettle,HLOOKUP($D$3,curvesettle,2,FALSE()),FALSE()))</f>
        <v>0.155</v>
      </c>
      <c r="S55" s="40" t="n">
        <f aca="false">IF($D$4="NYMEX",0,VLOOKUP($A55,curvesettle,HLOOKUP($D$4,curvesettle,2,FALSE()),FALSE()))</f>
        <v>0</v>
      </c>
      <c r="T55" s="131" t="n">
        <f aca="false">IF(ISNUMBER(VLOOKUP($A55,VOLCURVES,HLOOKUP($D$3,VOLCURVES,2,FALSE()),FALSE())),VLOOKUP($A55,VOLCURVES,HLOOKUP($D$3,VOLCURVES,2,FALSE()),FALSE()),1)</f>
        <v>1</v>
      </c>
      <c r="U55" s="131" t="n">
        <f aca="false">IF(ISNUMBER(VLOOKUP($A55,VOLCURVES,HLOOKUP($D$4,VOLCURVES,2,FALSE()),FALSE())),VLOOKUP($A55,VOLCURVES,HLOOKUP($D$4,VOLCURVES,2,FALSE()),FALSE()),1)</f>
        <v>1</v>
      </c>
      <c r="V55" s="131" t="n">
        <f aca="false">IF(ISNUMBER(VLOOKUP($A55,CORETABLE,HLOOKUP($D$3,CORETABLE,2,FALSE()),FALSE())),VLOOKUP($A55,CORETABLE,HLOOKUP($D$3,CORETABLE,2,FALSE()),FALSE()),0.99)</f>
        <v>0.984107647518451</v>
      </c>
      <c r="W55" s="155" t="n">
        <f aca="false">D$18</f>
        <v>0.2</v>
      </c>
      <c r="X55" s="131"/>
      <c r="Y55" s="40" t="n">
        <f aca="false">IF($F$3="NYMEX",0,VLOOKUP($A55,curvesettle,HLOOKUP($F$3,curvesettle,2,FALSE()),FALSE()))</f>
        <v>1.29</v>
      </c>
      <c r="Z55" s="40" t="n">
        <f aca="false">IF($F$4="NYMEX",0,VLOOKUP($A55,curvesettle,HLOOKUP($F$4,curvesettle,2,FALSE()),FALSE()))</f>
        <v>0</v>
      </c>
      <c r="AA55" s="131" t="n">
        <f aca="false">IF(ISNUMBER(VLOOKUP($A55,VOLCURVES,HLOOKUP($F$3,VOLCURVES,2,FALSE()),FALSE())),VLOOKUP($A55,VOLCURVES,HLOOKUP($F$3,VOLCURVES,2,FALSE()),FALSE()),1)</f>
        <v>1.1</v>
      </c>
      <c r="AB55" s="131" t="n">
        <f aca="false">IF(ISNUMBER(VLOOKUP($A55,VOLCURVES,HLOOKUP($F$4,VOLCURVES,2,FALSE()),FALSE())),VLOOKUP($A55,VOLCURVES,HLOOKUP($F$4,VOLCURVES,2,FALSE()),FALSE()),1)</f>
        <v>1</v>
      </c>
      <c r="AC55" s="131" t="n">
        <f aca="false">IF(ISNUMBER(VLOOKUP($A55,CORETABLE,HLOOKUP($F$3,CORETABLE,2,FALSE()),FALSE())),VLOOKUP($A55,CORETABLE,HLOOKUP($F$3,CORETABLE,2,FALSE()),FALSE()),1)</f>
        <v>0.95</v>
      </c>
      <c r="AD55" s="155" t="n">
        <f aca="false">F$18</f>
        <v>1.85</v>
      </c>
      <c r="AE55" s="131"/>
      <c r="AF55" s="40" t="n">
        <f aca="false">IF($H$3="NYMEX",0,VLOOKUP($A55,curvesettle,HLOOKUP($H$3,curvesettle,2,FALSE()),FALSE()))</f>
        <v>1.29</v>
      </c>
      <c r="AG55" s="40" t="n">
        <f aca="false">IF($H$4="NYMEX",0,VLOOKUP($A55,curvesettle,HLOOKUP($H$4,curvesettle,2,FALSE()),FALSE()))</f>
        <v>0</v>
      </c>
      <c r="AH55" s="131" t="n">
        <f aca="false">IF(ISNUMBER(VLOOKUP($A55,VOLCURVES,HLOOKUP($H$3,VOLCURVES,2,FALSE()),FALSE())),VLOOKUP($A55,VOLCURVES,HLOOKUP($H$3,VOLCURVES,2,FALSE()),FALSE()),1)</f>
        <v>1.1</v>
      </c>
      <c r="AI55" s="131" t="n">
        <f aca="false">IF(ISNUMBER(VLOOKUP($A55,VOLCURVES,HLOOKUP($H$4,VOLCURVES,2,FALSE()),FALSE())),VLOOKUP($A55,VOLCURVES,HLOOKUP($H$4,VOLCURVES,2,FALSE()),FALSE()),1)</f>
        <v>1</v>
      </c>
      <c r="AJ55" s="131" t="n">
        <f aca="false">IF(ISNUMBER(VLOOKUP($A55,CORETABLE,HLOOKUP($H$3,CORETABLE,2,FALSE()),FALSE())),VLOOKUP($A55,CORETABLE,HLOOKUP($H$3,CORETABLE,2,FALSE()),FALSE()),1)</f>
        <v>0.95</v>
      </c>
      <c r="AK55" s="155" t="n">
        <f aca="false">H$18</f>
        <v>1.85</v>
      </c>
      <c r="AM55" s="4" t="n">
        <f aca="false">VLOOKUP($A55,STRADDLE,12,FALSE())</f>
        <v>0.067326569596599</v>
      </c>
      <c r="AN55" s="43" t="n">
        <f aca="false">A56-A55</f>
        <v>31</v>
      </c>
      <c r="AP55" s="9" t="n">
        <f aca="false">IF($A55&gt;=AR$32,IF($A55&lt;=AR$33,$AN55,0),0)</f>
        <v>0</v>
      </c>
      <c r="AQ55" s="123" t="n">
        <f aca="false">$B55+$K55+$B$12</f>
        <v>5.411</v>
      </c>
      <c r="AR55" s="123" t="n">
        <f aca="false">$B55+$L55+$B$13</f>
        <v>4.091</v>
      </c>
      <c r="AS55" s="123" t="n">
        <f aca="false">AQ55*AP55</f>
        <v>0</v>
      </c>
      <c r="AT55" s="123" t="n">
        <f aca="false">AR55*AP55</f>
        <v>0</v>
      </c>
      <c r="AU55" s="156" t="n">
        <f aca="false">($C55*$M55)+$B$14</f>
        <v>0.40425</v>
      </c>
      <c r="AV55" s="156" t="n">
        <f aca="false">($C55*$N55)+$B$15</f>
        <v>0.3675</v>
      </c>
      <c r="AW55" s="131" t="n">
        <f aca="false">O55+B$16</f>
        <v>0.95</v>
      </c>
      <c r="AX55" s="157" t="n">
        <f aca="false">IF(AP55=0,0,SPRDOPT(AQ55,AR55,$P55,$AM55,AU55,AV55,AW55,$D55,$B$19,0))</f>
        <v>0</v>
      </c>
      <c r="AY55" s="157" t="e">
        <f aca="false">IF(AQ55=0,0,SPRDOPT(AQ55,AR55,$P55,$AM55,AU55,AV55,AW55,$D55,$B$19,1))</f>
        <v>#NAME?</v>
      </c>
      <c r="AZ55" s="157" t="e">
        <f aca="false">IF(AR55=0,0,SPRDOPT(AQ55,AR55,$P55,$AM55,AU55,AV55,AW55,$D55,$B$19,2))</f>
        <v>#NAME?</v>
      </c>
      <c r="BA55" s="157" t="n">
        <f aca="false">IF(AS55=0,0,SPRDOPT(AQ55,AR55,$P55,$AM55,AU55,AV55,AW55,$D55,$B$19,3)/100)</f>
        <v>0</v>
      </c>
      <c r="BB55" s="157" t="n">
        <f aca="false">IF(AT55=0,0,SPRDOPT(AQ55,AR55,$P55,$AM55,AU55,AV55,AW55,$D55,$B$19,4)/100)</f>
        <v>0</v>
      </c>
      <c r="BC55" s="157" t="e">
        <f aca="false">IF(AU55=0,0,SPRDOPT(AQ55,AR55,$P55,$AM55,AU55,AV55,AW55,$D55,$B$19,5)/100)</f>
        <v>#NAME?</v>
      </c>
      <c r="BD55" s="157" t="e">
        <f aca="false">IF(AV55=0,0,SPRDOPT(AQ55,AR55,$P55,$AM55,AU55,AV55,AW55,$D55,$B$19,6)/100)</f>
        <v>#NAME?</v>
      </c>
      <c r="BE55" s="157" t="e">
        <f aca="false">IF(AW55=0,0,SPRDOPT(AQ55,AR55,$P55,$AM55,AU55,AV55,AW55,$D55,$B$19,7)/100)</f>
        <v>#NAME?</v>
      </c>
      <c r="BF55" s="157" t="n">
        <f aca="false">IF(AX55=0,0,SPRDOPT(AQ55,AR55,$P55,$AM55,AU55,AV55,AW55,$D55,$B$19,9)/365)</f>
        <v>0</v>
      </c>
      <c r="BG55" s="157" t="e">
        <f aca="false">AY55+AZ55</f>
        <v>#NAME?</v>
      </c>
      <c r="BH55" s="157" t="n">
        <f aca="false">BB55-BA55</f>
        <v>0</v>
      </c>
      <c r="BI55" s="157" t="e">
        <f aca="false">((AU55/AV55)*BC55)+BD55</f>
        <v>#NAME?</v>
      </c>
      <c r="BJ55" s="44"/>
      <c r="BK55" s="45" t="n">
        <f aca="false">$AP55*AX55</f>
        <v>0</v>
      </c>
      <c r="BL55" s="45" t="e">
        <f aca="false">$AP55*AY55</f>
        <v>#NAME?</v>
      </c>
      <c r="BM55" s="45" t="e">
        <f aca="false">$AP55*AZ55</f>
        <v>#NAME?</v>
      </c>
      <c r="BN55" s="45" t="n">
        <f aca="false">$AP55*BA55</f>
        <v>0</v>
      </c>
      <c r="BO55" s="45" t="n">
        <f aca="false">$AP55*BB55</f>
        <v>0</v>
      </c>
      <c r="BP55" s="45" t="e">
        <f aca="false">$AP55*BC55</f>
        <v>#NAME?</v>
      </c>
      <c r="BQ55" s="45" t="e">
        <f aca="false">$AP55*BD55</f>
        <v>#NAME?</v>
      </c>
      <c r="BR55" s="45" t="e">
        <f aca="false">$AP55*BE55</f>
        <v>#NAME?</v>
      </c>
      <c r="BS55" s="45" t="n">
        <f aca="false">$AP55*BF55</f>
        <v>0</v>
      </c>
      <c r="BT55" s="45" t="e">
        <f aca="false">$AP55*BG55</f>
        <v>#NAME?</v>
      </c>
      <c r="BU55" s="45" t="n">
        <f aca="false">$AP55*BH55</f>
        <v>0</v>
      </c>
      <c r="BV55" s="45" t="e">
        <f aca="false">$AP55*BI55</f>
        <v>#NAME?</v>
      </c>
      <c r="BX55" s="9" t="n">
        <f aca="false">IF($A55&gt;=BZ$32,IF($A55&lt;=BZ$33,$AN55,0),0)</f>
        <v>0</v>
      </c>
      <c r="BY55" s="123" t="n">
        <f aca="false">$B55+$R55+$D$12</f>
        <v>4.246</v>
      </c>
      <c r="BZ55" s="123" t="n">
        <f aca="false">$B55+$S55+$D$13</f>
        <v>4.091</v>
      </c>
      <c r="CA55" s="123" t="n">
        <f aca="false">BY55*BX55</f>
        <v>0</v>
      </c>
      <c r="CB55" s="123" t="n">
        <f aca="false">BZ55*BX55</f>
        <v>0</v>
      </c>
      <c r="CC55" s="156" t="n">
        <f aca="false">($C55*$T55)+$D$14</f>
        <v>0.3675</v>
      </c>
      <c r="CD55" s="156" t="n">
        <f aca="false">($C55*$U55)+$D$15</f>
        <v>0.3675</v>
      </c>
      <c r="CE55" s="131" t="n">
        <f aca="false">$V55+D$16</f>
        <v>0.984107647518451</v>
      </c>
      <c r="CF55" s="157" t="n">
        <f aca="false">IF(BX55=0,0,SPRDOPT(BY55,BZ55,$W55,$AM55,CC55,CD55,CE55,$D55,$D$19,0))</f>
        <v>0</v>
      </c>
      <c r="CG55" s="157" t="e">
        <f aca="false">IF(BY55=0,0,SPRDOPT(BY55,BZ55,$W55,$AM55,CC55,CD55,CE55,$D55,$D$19,1))</f>
        <v>#NAME?</v>
      </c>
      <c r="CH55" s="157" t="e">
        <f aca="false">IF(BZ55=0,0,SPRDOPT(BY55,BZ55,$W55,$AM55,CC55,CD55,CE55,$D55,$D$19,2))</f>
        <v>#NAME?</v>
      </c>
      <c r="CI55" s="157" t="n">
        <f aca="false">IF(CA55=0,0,SPRDOPT(BY55,BZ55,$W55,$AM55,CC55,CD55,CE55,$D55,$D$19,3)/100)</f>
        <v>0</v>
      </c>
      <c r="CJ55" s="157" t="n">
        <f aca="false">IF(CB55=0,0,SPRDOPT(BY55,BZ55,$W55,$AM55,CC55,CD55,CE55,$D55,$D$19,4)/100)</f>
        <v>0</v>
      </c>
      <c r="CK55" s="157" t="e">
        <f aca="false">IF(CC55=0,0,SPRDOPT(BY55,BZ55,$W55,$AM55,CC55,CD55,CE55,$D55,$D$19,5)/100)</f>
        <v>#NAME?</v>
      </c>
      <c r="CL55" s="157" t="e">
        <f aca="false">IF(CD55=0,0,SPRDOPT(BY55,BZ55,$W55,$AM55,CC55,CD55,CE55,$D55,$D$19,6)/100)</f>
        <v>#NAME?</v>
      </c>
      <c r="CM55" s="157" t="e">
        <f aca="false">IF(CE55=0,0,SPRDOPT(BY55,BZ55,$W55,$AM55,CC55,CD55,CE55,$D55,$D$19,7)/100)</f>
        <v>#NAME?</v>
      </c>
      <c r="CN55" s="157" t="n">
        <f aca="false">IF(CF55=0,0,SPRDOPT(BY55,BZ55,$W55,$AM55,CC55,CD55,CE55,$D55,$D$19,9)/365)</f>
        <v>0</v>
      </c>
      <c r="CO55" s="157" t="e">
        <f aca="false">CG55+CH55</f>
        <v>#NAME?</v>
      </c>
      <c r="CP55" s="157" t="n">
        <f aca="false">CJ55-CI55</f>
        <v>0</v>
      </c>
      <c r="CQ55" s="157" t="e">
        <f aca="false">((CC55/CD55)*CK55)+CL55</f>
        <v>#NAME?</v>
      </c>
      <c r="CR55" s="44"/>
      <c r="CS55" s="45" t="n">
        <f aca="false">BX55*CF55</f>
        <v>0</v>
      </c>
      <c r="CT55" s="45" t="e">
        <f aca="false">BX55*CG55</f>
        <v>#NAME?</v>
      </c>
      <c r="CU55" s="45" t="e">
        <f aca="false">BX55*CH55</f>
        <v>#NAME?</v>
      </c>
      <c r="CV55" s="45" t="n">
        <f aca="false">BX55*CI55</f>
        <v>0</v>
      </c>
      <c r="CW55" s="45" t="n">
        <f aca="false">BX55*CJ55</f>
        <v>0</v>
      </c>
      <c r="CX55" s="45" t="e">
        <f aca="false">BX55*CK55</f>
        <v>#NAME?</v>
      </c>
      <c r="CY55" s="45" t="e">
        <f aca="false">BX55*CL55</f>
        <v>#NAME?</v>
      </c>
      <c r="CZ55" s="45" t="e">
        <f aca="false">BX55*CM55</f>
        <v>#NAME?</v>
      </c>
      <c r="DA55" s="45" t="n">
        <f aca="false">BX55*CN55</f>
        <v>0</v>
      </c>
      <c r="DB55" s="45" t="e">
        <f aca="false">BX55*CO55</f>
        <v>#NAME?</v>
      </c>
      <c r="DC55" s="45" t="n">
        <f aca="false">BX55*CP55</f>
        <v>0</v>
      </c>
      <c r="DD55" s="45" t="e">
        <f aca="false">BX55*CQ55</f>
        <v>#NAME?</v>
      </c>
      <c r="DF55" s="9" t="n">
        <f aca="false">IF($A55&gt;=DH$32,IF($A55&lt;=DH$33,$AN55,0),0)</f>
        <v>0</v>
      </c>
      <c r="DG55" s="123" t="n">
        <f aca="false">$B55+$Y55+$F$12</f>
        <v>5.411</v>
      </c>
      <c r="DH55" s="123" t="n">
        <f aca="false">$B55+$Z55+$F$13</f>
        <v>4.091</v>
      </c>
      <c r="DI55" s="123" t="n">
        <f aca="false">DG55*DF55</f>
        <v>0</v>
      </c>
      <c r="DJ55" s="123" t="n">
        <f aca="false">DH55*DF55</f>
        <v>0</v>
      </c>
      <c r="DK55" s="156" t="n">
        <f aca="false">($C55*$AA55)+$F$14</f>
        <v>0.40425</v>
      </c>
      <c r="DL55" s="156" t="n">
        <f aca="false">($C55*$AB55)+$F$15</f>
        <v>0.3675</v>
      </c>
      <c r="DM55" s="131" t="n">
        <f aca="false">$AC55+$F$16</f>
        <v>0.95</v>
      </c>
      <c r="DN55" s="157" t="n">
        <f aca="false">IF(DF55=0,0,SPRDOPT(DG55,DH55,$AD55,$AM55,DK55,DL55,DM55,$D55,$F$19,0))</f>
        <v>0</v>
      </c>
      <c r="DO55" s="157" t="e">
        <f aca="false">IF(DG55=0,0,SPRDOPT(DG55,DH55,$AD55,$AM55,DK55,DL55,DM55,$D55,$F$19,1))</f>
        <v>#NAME?</v>
      </c>
      <c r="DP55" s="157" t="e">
        <f aca="false">IF(DH55=0,0,SPRDOPT(DG55,DH55,$AD55,$AM55,DK55,DL55,DM55,$D55,$F$19,2))</f>
        <v>#NAME?</v>
      </c>
      <c r="DQ55" s="157" t="n">
        <f aca="false">IF(DI55=0,0,SPRDOPT(DG55,DH55,$AD55,$AM55,DK55,DL55,DM55,$D55,$F$19,3)/100)</f>
        <v>0</v>
      </c>
      <c r="DR55" s="157" t="n">
        <f aca="false">IF(DJ55=0,0,SPRDOPT(DG55,DH55,$AD55,$AM55,DK55,DL55,DM55,$D55,$F$19,4)/100)</f>
        <v>0</v>
      </c>
      <c r="DS55" s="157" t="e">
        <f aca="false">IF(DK55=0,0,SPRDOPT(DG55,DH55,$AD55,$AM55,DK55,DL55,DM55,$D55,$F$19,5)/100)</f>
        <v>#NAME?</v>
      </c>
      <c r="DT55" s="157" t="e">
        <f aca="false">IF(DL55=0,0,SPRDOPT(DG55,DH55,$AD55,$AM55,DK55,DL55,DM55,$D55,$F$19,6)/100)</f>
        <v>#NAME?</v>
      </c>
      <c r="DU55" s="157" t="e">
        <f aca="false">IF(DM55=0,0,SPRDOPT(DG55,DH55,$AD55,$AM55,DK55,DL55,DM55,$D55,$F$19,7)/100)</f>
        <v>#NAME?</v>
      </c>
      <c r="DV55" s="157" t="n">
        <f aca="false">IF(DN55=0,0,SPRDOPT(DG55,DH55,$AD55,$AM55,DK55,DL55,DM55,$D55,$F$19,9)/365)</f>
        <v>0</v>
      </c>
      <c r="DW55" s="157" t="e">
        <f aca="false">DO55+DP55</f>
        <v>#NAME?</v>
      </c>
      <c r="DX55" s="157" t="n">
        <f aca="false">DR55-DQ55</f>
        <v>0</v>
      </c>
      <c r="DY55" s="157" t="e">
        <f aca="false">((DK55/DL55)*DS55)+DT55</f>
        <v>#NAME?</v>
      </c>
      <c r="DZ55" s="44"/>
      <c r="EA55" s="45" t="n">
        <f aca="false">DF55*DN55</f>
        <v>0</v>
      </c>
      <c r="EB55" s="45" t="e">
        <f aca="false">DF55*DO55</f>
        <v>#NAME?</v>
      </c>
      <c r="EC55" s="45" t="e">
        <f aca="false">DF55*DP55</f>
        <v>#NAME?</v>
      </c>
      <c r="ED55" s="45" t="n">
        <f aca="false">DF55*DQ55</f>
        <v>0</v>
      </c>
      <c r="EE55" s="45" t="n">
        <f aca="false">DF55*DR55</f>
        <v>0</v>
      </c>
      <c r="EF55" s="45" t="e">
        <f aca="false">DF55*DS55</f>
        <v>#NAME?</v>
      </c>
      <c r="EG55" s="45" t="e">
        <f aca="false">DF55*DT55</f>
        <v>#NAME?</v>
      </c>
      <c r="EH55" s="45" t="e">
        <f aca="false">DF55*DU55</f>
        <v>#NAME?</v>
      </c>
      <c r="EI55" s="45" t="n">
        <f aca="false">DF55*DV55</f>
        <v>0</v>
      </c>
      <c r="EJ55" s="45" t="e">
        <f aca="false">DF55*DW55</f>
        <v>#NAME?</v>
      </c>
      <c r="EK55" s="45" t="n">
        <f aca="false">DF55*DX55</f>
        <v>0</v>
      </c>
      <c r="EL55" s="45" t="e">
        <f aca="false">DF55*DY55</f>
        <v>#NAME?</v>
      </c>
      <c r="EN55" s="9" t="n">
        <f aca="false">IF($A55&gt;=EP$32,IF($A55&lt;=EP$33,$AN55,0),0)</f>
        <v>0</v>
      </c>
      <c r="EO55" s="123" t="n">
        <f aca="false">$B55+$AF55+$H$12</f>
        <v>5.411</v>
      </c>
      <c r="EP55" s="123" t="n">
        <f aca="false">$B55+$AG55+$H$13</f>
        <v>4.091</v>
      </c>
      <c r="EQ55" s="123" t="n">
        <f aca="false">EO55*EN55</f>
        <v>0</v>
      </c>
      <c r="ER55" s="123" t="n">
        <f aca="false">EP55*EN55</f>
        <v>0</v>
      </c>
      <c r="ES55" s="156" t="n">
        <f aca="false">($C55*$AH55)+$H$14</f>
        <v>0.40425</v>
      </c>
      <c r="ET55" s="156" t="n">
        <f aca="false">($C55*$AI55)+$H$15</f>
        <v>0.3675</v>
      </c>
      <c r="EU55" s="131" t="n">
        <f aca="false">$AJ55+$H$16</f>
        <v>0.95</v>
      </c>
      <c r="EV55" s="157" t="n">
        <f aca="false">IF(EN55=0,0,SPRDOPT(EO55,EP55,$AK55,$AM55,ES55,ET55,EU55,$D55,$H$19,0))</f>
        <v>0</v>
      </c>
      <c r="EW55" s="157" t="e">
        <f aca="false">IF(EO55=0,0,SPRDOPT(EO55,EP55,$AK55,$AM55,ES55,ET55,EU55,$D55,$H$19,1))</f>
        <v>#NAME?</v>
      </c>
      <c r="EX55" s="157" t="e">
        <f aca="false">IF(EP55=0,0,SPRDOPT(EO55,EP55,$AK55,$AM55,ES55,ET55,EU55,$D55,$H$19,2))</f>
        <v>#NAME?</v>
      </c>
      <c r="EY55" s="157" t="n">
        <f aca="false">IF(EQ55=0,0,SPRDOPT(EO55,EP55,$AK55,$AM55,ES55,ET55,EU55,$D55,$H$19,3)/100)</f>
        <v>0</v>
      </c>
      <c r="EZ55" s="157" t="n">
        <f aca="false">IF(ER55=0,0,SPRDOPT(EO55,EP55,$AK55,$AM55,ES55,ET55,EU55,$D55,$H$19,4)/100)</f>
        <v>0</v>
      </c>
      <c r="FA55" s="157" t="e">
        <f aca="false">IF(ES55=0,0,SPRDOPT(EO55,EP55,$AK55,$AM55,ES55,ET55,EU55,$D55,$H$19,5)/100)</f>
        <v>#NAME?</v>
      </c>
      <c r="FB55" s="157" t="e">
        <f aca="false">IF(ET55=0,0,SPRDOPT(EO55,EP55,$AK55,$AM55,ES55,ET55,EU55,$D55,$H$19,6)/100)</f>
        <v>#NAME?</v>
      </c>
      <c r="FC55" s="157" t="e">
        <f aca="false">IF(EU55=0,0,SPRDOPT(EO55,EP55,$AK55,$AM55,ES55,ET55,EU55,$D55,$H$19,7)/100)</f>
        <v>#NAME?</v>
      </c>
      <c r="FD55" s="157" t="n">
        <f aca="false">IF(EV55=0,0,SPRDOPT(EO55,EP55,$AK55,$AM55,ES55,ET55,EU55,$D55,$H$19,9)/365)</f>
        <v>0</v>
      </c>
      <c r="FE55" s="157" t="e">
        <f aca="false">EW55+EX55</f>
        <v>#NAME?</v>
      </c>
      <c r="FF55" s="157" t="n">
        <f aca="false">EZ55-EY55</f>
        <v>0</v>
      </c>
      <c r="FG55" s="157" t="e">
        <f aca="false">((ES55/ET55)*FA55)+FB55</f>
        <v>#NAME?</v>
      </c>
      <c r="FH55" s="44"/>
      <c r="FI55" s="45" t="n">
        <f aca="false">$EN55*EV55</f>
        <v>0</v>
      </c>
      <c r="FJ55" s="45" t="e">
        <f aca="false">$EN55*EW55</f>
        <v>#NAME?</v>
      </c>
      <c r="FK55" s="45" t="e">
        <f aca="false">$EN55*EX55</f>
        <v>#NAME?</v>
      </c>
      <c r="FL55" s="45" t="n">
        <f aca="false">$EN55*EY55</f>
        <v>0</v>
      </c>
      <c r="FM55" s="45" t="n">
        <f aca="false">$EN55*EZ55</f>
        <v>0</v>
      </c>
      <c r="FN55" s="45" t="e">
        <f aca="false">$EN55*FA55</f>
        <v>#NAME?</v>
      </c>
      <c r="FO55" s="45" t="e">
        <f aca="false">$EN55*FB55</f>
        <v>#NAME?</v>
      </c>
      <c r="FP55" s="45" t="e">
        <f aca="false">$EN55*FC55</f>
        <v>#NAME?</v>
      </c>
      <c r="FQ55" s="45" t="n">
        <f aca="false">$EN55*FD55</f>
        <v>0</v>
      </c>
      <c r="FR55" s="45" t="e">
        <f aca="false">$EN55*FE55</f>
        <v>#NAME?</v>
      </c>
      <c r="FS55" s="45" t="n">
        <f aca="false">$EN55*FF55</f>
        <v>0</v>
      </c>
      <c r="FT55" s="45" t="e">
        <f aca="false">$EN55*FG55</f>
        <v>#NAME?</v>
      </c>
    </row>
    <row r="56" customFormat="false" ht="12.75" hidden="false" customHeight="false" outlineLevel="0" collapsed="false">
      <c r="A56" s="48" t="n">
        <f aca="false">DATE(YEAR(A55),MONTH(A55)+1,1)</f>
        <v>37347</v>
      </c>
      <c r="B56" s="40" t="n">
        <f aca="false">VLOOKUP(A56,STRADDLE,5,FALSE())</f>
        <v>3.81</v>
      </c>
      <c r="C56" s="4" t="n">
        <f aca="false">VLOOKUP(A56,STRADDLE,8,FALSE())</f>
        <v>0.3075</v>
      </c>
      <c r="D56" s="136" t="n">
        <f aca="false">VLOOKUP(A56,expiration,2,FALSE())-$B$2</f>
        <v>-8585</v>
      </c>
      <c r="E56" s="131" t="e">
        <f aca="false">AY56</f>
        <v>#NAME?</v>
      </c>
      <c r="F56" s="131" t="e">
        <f aca="false">CG56</f>
        <v>#NAME?</v>
      </c>
      <c r="G56" s="131" t="e">
        <f aca="false">DO56</f>
        <v>#NAME?</v>
      </c>
      <c r="H56" s="131" t="e">
        <f aca="false">EW56</f>
        <v>#NAME?</v>
      </c>
      <c r="I56" s="41"/>
      <c r="J56" s="154"/>
      <c r="K56" s="40" t="n">
        <f aca="false">IF($B$3="NYMEX",0,VLOOKUP($A56,curvesettle,HLOOKUP($B$3,curvesettle,2,FALSE()),FALSE()))</f>
        <v>0.45</v>
      </c>
      <c r="L56" s="40" t="n">
        <f aca="false">IF($B$4="NYMEX",0,VLOOKUP($A56,curvesettle,HLOOKUP($B$4,curvesettle,2,FALSE()),FALSE()))</f>
        <v>0</v>
      </c>
      <c r="M56" s="131" t="n">
        <f aca="false">IF(ISNUMBER(VLOOKUP($A56,VOLCURVES,HLOOKUP($B$3,VOLCURVES,2,FALSE()),FALSE())),VLOOKUP($A56,VOLCURVES,HLOOKUP($B$3,VOLCURVES,2,FALSE()),FALSE()),1)</f>
        <v>0.98</v>
      </c>
      <c r="N56" s="131" t="n">
        <f aca="false">IF(ISNUMBER(VLOOKUP($A56,VOLCURVES,HLOOKUP($B$4,VOLCURVES,2,FALSE()),FALSE())),VLOOKUP($A56,VOLCURVES,HLOOKUP($B$4,VOLCURVES,2,FALSE()),FALSE()),1)</f>
        <v>1</v>
      </c>
      <c r="O56" s="131" t="n">
        <f aca="false">IF(ISNUMBER(VLOOKUP($A56,CORETABLE,HLOOKUP($B$3,CORETABLE,2,FALSE()),FALSE())),VLOOKUP($A56,CORETABLE,HLOOKUP($B$3,CORETABLE,2,FALSE()),FALSE()),0.99)</f>
        <v>0.980420749757432</v>
      </c>
      <c r="P56" s="155" t="n">
        <f aca="false">B$18</f>
        <v>2</v>
      </c>
      <c r="Q56" s="131"/>
      <c r="R56" s="40" t="n">
        <f aca="false">IF($D$3="NYMEX",0,VLOOKUP($A56,curvesettle,HLOOKUP($D$3,curvesettle,2,FALSE()),FALSE()))</f>
        <v>0.075</v>
      </c>
      <c r="S56" s="40" t="n">
        <f aca="false">IF($D$4="NYMEX",0,VLOOKUP($A56,curvesettle,HLOOKUP($D$4,curvesettle,2,FALSE()),FALSE()))</f>
        <v>0</v>
      </c>
      <c r="T56" s="131" t="n">
        <f aca="false">IF(ISNUMBER(VLOOKUP($A56,VOLCURVES,HLOOKUP($D$3,VOLCURVES,2,FALSE()),FALSE())),VLOOKUP($A56,VOLCURVES,HLOOKUP($D$3,VOLCURVES,2,FALSE()),FALSE()),1)</f>
        <v>1</v>
      </c>
      <c r="U56" s="131" t="n">
        <f aca="false">IF(ISNUMBER(VLOOKUP($A56,VOLCURVES,HLOOKUP($D$4,VOLCURVES,2,FALSE()),FALSE())),VLOOKUP($A56,VOLCURVES,HLOOKUP($D$4,VOLCURVES,2,FALSE()),FALSE()),1)</f>
        <v>1</v>
      </c>
      <c r="V56" s="131" t="n">
        <f aca="false">IF(ISNUMBER(VLOOKUP($A56,CORETABLE,HLOOKUP($D$3,CORETABLE,2,FALSE()),FALSE())),VLOOKUP($A56,CORETABLE,HLOOKUP($D$3,CORETABLE,2,FALSE()),FALSE()),0.99)</f>
        <v>0.994071440191916</v>
      </c>
      <c r="W56" s="155" t="n">
        <f aca="false">D$18</f>
        <v>0.2</v>
      </c>
      <c r="X56" s="131"/>
      <c r="Y56" s="40" t="n">
        <f aca="false">IF($F$3="NYMEX",0,VLOOKUP($A56,curvesettle,HLOOKUP($F$3,curvesettle,2,FALSE()),FALSE()))</f>
        <v>0.45</v>
      </c>
      <c r="Z56" s="40" t="n">
        <f aca="false">IF($F$4="NYMEX",0,VLOOKUP($A56,curvesettle,HLOOKUP($F$4,curvesettle,2,FALSE()),FALSE()))</f>
        <v>0</v>
      </c>
      <c r="AA56" s="131" t="n">
        <f aca="false">IF(ISNUMBER(VLOOKUP($A56,VOLCURVES,HLOOKUP($F$3,VOLCURVES,2,FALSE()),FALSE())),VLOOKUP($A56,VOLCURVES,HLOOKUP($F$3,VOLCURVES,2,FALSE()),FALSE()),1)</f>
        <v>0.98</v>
      </c>
      <c r="AB56" s="131" t="n">
        <f aca="false">IF(ISNUMBER(VLOOKUP($A56,VOLCURVES,HLOOKUP($F$4,VOLCURVES,2,FALSE()),FALSE())),VLOOKUP($A56,VOLCURVES,HLOOKUP($F$4,VOLCURVES,2,FALSE()),FALSE()),1)</f>
        <v>1</v>
      </c>
      <c r="AC56" s="131" t="n">
        <f aca="false">IF(ISNUMBER(VLOOKUP($A56,CORETABLE,HLOOKUP($F$3,CORETABLE,2,FALSE()),FALSE())),VLOOKUP($A56,CORETABLE,HLOOKUP($F$3,CORETABLE,2,FALSE()),FALSE()),1)</f>
        <v>0.980420749757432</v>
      </c>
      <c r="AD56" s="155" t="n">
        <f aca="false">F$18</f>
        <v>1.85</v>
      </c>
      <c r="AE56" s="131"/>
      <c r="AF56" s="40" t="n">
        <f aca="false">IF($H$3="NYMEX",0,VLOOKUP($A56,curvesettle,HLOOKUP($H$3,curvesettle,2,FALSE()),FALSE()))</f>
        <v>0.45</v>
      </c>
      <c r="AG56" s="40" t="n">
        <f aca="false">IF($H$4="NYMEX",0,VLOOKUP($A56,curvesettle,HLOOKUP($H$4,curvesettle,2,FALSE()),FALSE()))</f>
        <v>0</v>
      </c>
      <c r="AH56" s="131" t="n">
        <f aca="false">IF(ISNUMBER(VLOOKUP($A56,VOLCURVES,HLOOKUP($H$3,VOLCURVES,2,FALSE()),FALSE())),VLOOKUP($A56,VOLCURVES,HLOOKUP($H$3,VOLCURVES,2,FALSE()),FALSE()),1)</f>
        <v>0.98</v>
      </c>
      <c r="AI56" s="131" t="n">
        <f aca="false">IF(ISNUMBER(VLOOKUP($A56,VOLCURVES,HLOOKUP($H$4,VOLCURVES,2,FALSE()),FALSE())),VLOOKUP($A56,VOLCURVES,HLOOKUP($H$4,VOLCURVES,2,FALSE()),FALSE()),1)</f>
        <v>1</v>
      </c>
      <c r="AJ56" s="131" t="n">
        <f aca="false">IF(ISNUMBER(VLOOKUP($A56,CORETABLE,HLOOKUP($H$3,CORETABLE,2,FALSE()),FALSE())),VLOOKUP($A56,CORETABLE,HLOOKUP($H$3,CORETABLE,2,FALSE()),FALSE()),1)</f>
        <v>0.980420749757432</v>
      </c>
      <c r="AK56" s="155" t="n">
        <f aca="false">H$18</f>
        <v>1.85</v>
      </c>
      <c r="AM56" s="4" t="n">
        <f aca="false">VLOOKUP($A56,STRADDLE,12,FALSE())</f>
        <v>0.067312742785332</v>
      </c>
      <c r="AN56" s="43" t="n">
        <f aca="false">A57-A56</f>
        <v>30</v>
      </c>
      <c r="AP56" s="9" t="n">
        <f aca="false">IF($A56&gt;=AR$32,IF($A56&lt;=AR$33,$AN56,0),0)</f>
        <v>0</v>
      </c>
      <c r="AQ56" s="123" t="n">
        <f aca="false">$B56+$K56+$B$12</f>
        <v>4.29</v>
      </c>
      <c r="AR56" s="123" t="n">
        <f aca="false">$B56+$L56+$B$13</f>
        <v>3.81</v>
      </c>
      <c r="AS56" s="123" t="n">
        <f aca="false">AQ56*AP56</f>
        <v>0</v>
      </c>
      <c r="AT56" s="123" t="n">
        <f aca="false">AR56*AP56</f>
        <v>0</v>
      </c>
      <c r="AU56" s="156" t="n">
        <f aca="false">($C56*$M56)+$B$14</f>
        <v>0.30135</v>
      </c>
      <c r="AV56" s="156" t="n">
        <f aca="false">($C56*$N56)+$B$15</f>
        <v>0.3075</v>
      </c>
      <c r="AW56" s="131" t="n">
        <f aca="false">O56+B$16</f>
        <v>0.980420749757432</v>
      </c>
      <c r="AX56" s="157" t="n">
        <f aca="false">IF(AP56=0,0,SPRDOPT(AQ56,AR56,$P56,$AM56,AU56,AV56,AW56,$D56,$B$19,0))</f>
        <v>0</v>
      </c>
      <c r="AY56" s="157" t="e">
        <f aca="false">IF(AQ56=0,0,SPRDOPT(AQ56,AR56,$P56,$AM56,AU56,AV56,AW56,$D56,$B$19,1))</f>
        <v>#NAME?</v>
      </c>
      <c r="AZ56" s="157" t="e">
        <f aca="false">IF(AR56=0,0,SPRDOPT(AQ56,AR56,$P56,$AM56,AU56,AV56,AW56,$D56,$B$19,2))</f>
        <v>#NAME?</v>
      </c>
      <c r="BA56" s="157" t="n">
        <f aca="false">IF(AS56=0,0,SPRDOPT(AQ56,AR56,$P56,$AM56,AU56,AV56,AW56,$D56,$B$19,3)/100)</f>
        <v>0</v>
      </c>
      <c r="BB56" s="157" t="n">
        <f aca="false">IF(AT56=0,0,SPRDOPT(AQ56,AR56,$P56,$AM56,AU56,AV56,AW56,$D56,$B$19,4)/100)</f>
        <v>0</v>
      </c>
      <c r="BC56" s="157" t="e">
        <f aca="false">IF(AU56=0,0,SPRDOPT(AQ56,AR56,$P56,$AM56,AU56,AV56,AW56,$D56,$B$19,5)/100)</f>
        <v>#NAME?</v>
      </c>
      <c r="BD56" s="157" t="e">
        <f aca="false">IF(AV56=0,0,SPRDOPT(AQ56,AR56,$P56,$AM56,AU56,AV56,AW56,$D56,$B$19,6)/100)</f>
        <v>#NAME?</v>
      </c>
      <c r="BE56" s="157" t="e">
        <f aca="false">IF(AW56=0,0,SPRDOPT(AQ56,AR56,$P56,$AM56,AU56,AV56,AW56,$D56,$B$19,7)/100)</f>
        <v>#NAME?</v>
      </c>
      <c r="BF56" s="157" t="n">
        <f aca="false">IF(AX56=0,0,SPRDOPT(AQ56,AR56,$P56,$AM56,AU56,AV56,AW56,$D56,$B$19,9)/365)</f>
        <v>0</v>
      </c>
      <c r="BG56" s="157" t="e">
        <f aca="false">AY56+AZ56</f>
        <v>#NAME?</v>
      </c>
      <c r="BH56" s="157" t="n">
        <f aca="false">BB56-BA56</f>
        <v>0</v>
      </c>
      <c r="BI56" s="157" t="e">
        <f aca="false">((AU56/AV56)*BC56)+BD56</f>
        <v>#NAME?</v>
      </c>
      <c r="BJ56" s="44"/>
      <c r="BK56" s="45" t="n">
        <f aca="false">$AP56*AX56</f>
        <v>0</v>
      </c>
      <c r="BL56" s="45" t="e">
        <f aca="false">$AP56*AY56</f>
        <v>#NAME?</v>
      </c>
      <c r="BM56" s="45" t="e">
        <f aca="false">$AP56*AZ56</f>
        <v>#NAME?</v>
      </c>
      <c r="BN56" s="45" t="n">
        <f aca="false">$AP56*BA56</f>
        <v>0</v>
      </c>
      <c r="BO56" s="45" t="n">
        <f aca="false">$AP56*BB56</f>
        <v>0</v>
      </c>
      <c r="BP56" s="45" t="e">
        <f aca="false">$AP56*BC56</f>
        <v>#NAME?</v>
      </c>
      <c r="BQ56" s="45" t="e">
        <f aca="false">$AP56*BD56</f>
        <v>#NAME?</v>
      </c>
      <c r="BR56" s="45" t="e">
        <f aca="false">$AP56*BE56</f>
        <v>#NAME?</v>
      </c>
      <c r="BS56" s="45" t="n">
        <f aca="false">$AP56*BF56</f>
        <v>0</v>
      </c>
      <c r="BT56" s="45" t="e">
        <f aca="false">$AP56*BG56</f>
        <v>#NAME?</v>
      </c>
      <c r="BU56" s="45" t="n">
        <f aca="false">$AP56*BH56</f>
        <v>0</v>
      </c>
      <c r="BV56" s="45" t="e">
        <f aca="false">$AP56*BI56</f>
        <v>#NAME?</v>
      </c>
      <c r="BX56" s="9" t="n">
        <f aca="false">IF($A56&gt;=BZ$32,IF($A56&lt;=BZ$33,$AN56,0),0)</f>
        <v>0</v>
      </c>
      <c r="BY56" s="123" t="n">
        <f aca="false">$B56+$R56+$D$12</f>
        <v>3.885</v>
      </c>
      <c r="BZ56" s="123" t="n">
        <f aca="false">$B56+$S56+$D$13</f>
        <v>3.81</v>
      </c>
      <c r="CA56" s="123" t="n">
        <f aca="false">BY56*BX56</f>
        <v>0</v>
      </c>
      <c r="CB56" s="123" t="n">
        <f aca="false">BZ56*BX56</f>
        <v>0</v>
      </c>
      <c r="CC56" s="156" t="n">
        <f aca="false">($C56*$T56)+$D$14</f>
        <v>0.3075</v>
      </c>
      <c r="CD56" s="156" t="n">
        <f aca="false">($C56*$U56)+$D$15</f>
        <v>0.3075</v>
      </c>
      <c r="CE56" s="131" t="n">
        <f aca="false">$V56+D$16</f>
        <v>0.994071440191916</v>
      </c>
      <c r="CF56" s="157" t="n">
        <f aca="false">IF(BX56=0,0,SPRDOPT(BY56,BZ56,$W56,$AM56,CC56,CD56,CE56,$D56,$D$19,0))</f>
        <v>0</v>
      </c>
      <c r="CG56" s="157" t="e">
        <f aca="false">IF(BY56=0,0,SPRDOPT(BY56,BZ56,$W56,$AM56,CC56,CD56,CE56,$D56,$D$19,1))</f>
        <v>#NAME?</v>
      </c>
      <c r="CH56" s="157" t="e">
        <f aca="false">IF(BZ56=0,0,SPRDOPT(BY56,BZ56,$W56,$AM56,CC56,CD56,CE56,$D56,$D$19,2))</f>
        <v>#NAME?</v>
      </c>
      <c r="CI56" s="157" t="n">
        <f aca="false">IF(CA56=0,0,SPRDOPT(BY56,BZ56,$W56,$AM56,CC56,CD56,CE56,$D56,$D$19,3)/100)</f>
        <v>0</v>
      </c>
      <c r="CJ56" s="157" t="n">
        <f aca="false">IF(CB56=0,0,SPRDOPT(BY56,BZ56,$W56,$AM56,CC56,CD56,CE56,$D56,$D$19,4)/100)</f>
        <v>0</v>
      </c>
      <c r="CK56" s="157" t="e">
        <f aca="false">IF(CC56=0,0,SPRDOPT(BY56,BZ56,$W56,$AM56,CC56,CD56,CE56,$D56,$D$19,5)/100)</f>
        <v>#NAME?</v>
      </c>
      <c r="CL56" s="157" t="e">
        <f aca="false">IF(CD56=0,0,SPRDOPT(BY56,BZ56,$W56,$AM56,CC56,CD56,CE56,$D56,$D$19,6)/100)</f>
        <v>#NAME?</v>
      </c>
      <c r="CM56" s="157" t="e">
        <f aca="false">IF(CE56=0,0,SPRDOPT(BY56,BZ56,$W56,$AM56,CC56,CD56,CE56,$D56,$D$19,7)/100)</f>
        <v>#NAME?</v>
      </c>
      <c r="CN56" s="157" t="n">
        <f aca="false">IF(CF56=0,0,SPRDOPT(BY56,BZ56,$W56,$AM56,CC56,CD56,CE56,$D56,$D$19,9)/365)</f>
        <v>0</v>
      </c>
      <c r="CO56" s="157" t="e">
        <f aca="false">CG56+CH56</f>
        <v>#NAME?</v>
      </c>
      <c r="CP56" s="157" t="n">
        <f aca="false">CJ56-CI56</f>
        <v>0</v>
      </c>
      <c r="CQ56" s="157" t="e">
        <f aca="false">((CC56/CD56)*CK56)+CL56</f>
        <v>#NAME?</v>
      </c>
      <c r="CR56" s="44"/>
      <c r="CS56" s="45" t="n">
        <f aca="false">BX56*CF56</f>
        <v>0</v>
      </c>
      <c r="CT56" s="45" t="e">
        <f aca="false">BX56*CG56</f>
        <v>#NAME?</v>
      </c>
      <c r="CU56" s="45" t="e">
        <f aca="false">BX56*CH56</f>
        <v>#NAME?</v>
      </c>
      <c r="CV56" s="45" t="n">
        <f aca="false">BX56*CI56</f>
        <v>0</v>
      </c>
      <c r="CW56" s="45" t="n">
        <f aca="false">BX56*CJ56</f>
        <v>0</v>
      </c>
      <c r="CX56" s="45" t="e">
        <f aca="false">BX56*CK56</f>
        <v>#NAME?</v>
      </c>
      <c r="CY56" s="45" t="e">
        <f aca="false">BX56*CL56</f>
        <v>#NAME?</v>
      </c>
      <c r="CZ56" s="45" t="e">
        <f aca="false">BX56*CM56</f>
        <v>#NAME?</v>
      </c>
      <c r="DA56" s="45" t="n">
        <f aca="false">BX56*CN56</f>
        <v>0</v>
      </c>
      <c r="DB56" s="45" t="e">
        <f aca="false">BX56*CO56</f>
        <v>#NAME?</v>
      </c>
      <c r="DC56" s="45" t="n">
        <f aca="false">BX56*CP56</f>
        <v>0</v>
      </c>
      <c r="DD56" s="45" t="e">
        <f aca="false">BX56*CQ56</f>
        <v>#NAME?</v>
      </c>
      <c r="DF56" s="9" t="n">
        <f aca="false">IF($A56&gt;=DH$32,IF($A56&lt;=DH$33,$AN56,0),0)</f>
        <v>0</v>
      </c>
      <c r="DG56" s="123" t="n">
        <f aca="false">$B56+$Y56+$F$12</f>
        <v>4.29</v>
      </c>
      <c r="DH56" s="123" t="n">
        <f aca="false">$B56+$Z56+$F$13</f>
        <v>3.81</v>
      </c>
      <c r="DI56" s="123" t="n">
        <f aca="false">DG56*DF56</f>
        <v>0</v>
      </c>
      <c r="DJ56" s="123" t="n">
        <f aca="false">DH56*DF56</f>
        <v>0</v>
      </c>
      <c r="DK56" s="156" t="n">
        <f aca="false">($C56*$AA56)+$F$14</f>
        <v>0.30135</v>
      </c>
      <c r="DL56" s="156" t="n">
        <f aca="false">($C56*$AB56)+$F$15</f>
        <v>0.3075</v>
      </c>
      <c r="DM56" s="131" t="n">
        <f aca="false">$AC56+$F$16</f>
        <v>0.980420749757432</v>
      </c>
      <c r="DN56" s="157" t="n">
        <f aca="false">IF(DF56=0,0,SPRDOPT(DG56,DH56,$AD56,$AM56,DK56,DL56,DM56,$D56,$F$19,0))</f>
        <v>0</v>
      </c>
      <c r="DO56" s="157" t="e">
        <f aca="false">IF(DG56=0,0,SPRDOPT(DG56,DH56,$AD56,$AM56,DK56,DL56,DM56,$D56,$F$19,1))</f>
        <v>#NAME?</v>
      </c>
      <c r="DP56" s="157" t="e">
        <f aca="false">IF(DH56=0,0,SPRDOPT(DG56,DH56,$AD56,$AM56,DK56,DL56,DM56,$D56,$F$19,2))</f>
        <v>#NAME?</v>
      </c>
      <c r="DQ56" s="157" t="n">
        <f aca="false">IF(DI56=0,0,SPRDOPT(DG56,DH56,$AD56,$AM56,DK56,DL56,DM56,$D56,$F$19,3)/100)</f>
        <v>0</v>
      </c>
      <c r="DR56" s="157" t="n">
        <f aca="false">IF(DJ56=0,0,SPRDOPT(DG56,DH56,$AD56,$AM56,DK56,DL56,DM56,$D56,$F$19,4)/100)</f>
        <v>0</v>
      </c>
      <c r="DS56" s="157" t="e">
        <f aca="false">IF(DK56=0,0,SPRDOPT(DG56,DH56,$AD56,$AM56,DK56,DL56,DM56,$D56,$F$19,5)/100)</f>
        <v>#NAME?</v>
      </c>
      <c r="DT56" s="157" t="e">
        <f aca="false">IF(DL56=0,0,SPRDOPT(DG56,DH56,$AD56,$AM56,DK56,DL56,DM56,$D56,$F$19,6)/100)</f>
        <v>#NAME?</v>
      </c>
      <c r="DU56" s="157" t="e">
        <f aca="false">IF(DM56=0,0,SPRDOPT(DG56,DH56,$AD56,$AM56,DK56,DL56,DM56,$D56,$F$19,7)/100)</f>
        <v>#NAME?</v>
      </c>
      <c r="DV56" s="157" t="n">
        <f aca="false">IF(DN56=0,0,SPRDOPT(DG56,DH56,$AD56,$AM56,DK56,DL56,DM56,$D56,$F$19,9)/365)</f>
        <v>0</v>
      </c>
      <c r="DW56" s="157" t="e">
        <f aca="false">DO56+DP56</f>
        <v>#NAME?</v>
      </c>
      <c r="DX56" s="157" t="n">
        <f aca="false">DR56-DQ56</f>
        <v>0</v>
      </c>
      <c r="DY56" s="157" t="e">
        <f aca="false">((DK56/DL56)*DS56)+DT56</f>
        <v>#NAME?</v>
      </c>
      <c r="DZ56" s="44"/>
      <c r="EA56" s="45" t="n">
        <f aca="false">DF56*DN56</f>
        <v>0</v>
      </c>
      <c r="EB56" s="45" t="e">
        <f aca="false">DF56*DO56</f>
        <v>#NAME?</v>
      </c>
      <c r="EC56" s="45" t="e">
        <f aca="false">DF56*DP56</f>
        <v>#NAME?</v>
      </c>
      <c r="ED56" s="45" t="n">
        <f aca="false">DF56*DQ56</f>
        <v>0</v>
      </c>
      <c r="EE56" s="45" t="n">
        <f aca="false">DF56*DR56</f>
        <v>0</v>
      </c>
      <c r="EF56" s="45" t="e">
        <f aca="false">DF56*DS56</f>
        <v>#NAME?</v>
      </c>
      <c r="EG56" s="45" t="e">
        <f aca="false">DF56*DT56</f>
        <v>#NAME?</v>
      </c>
      <c r="EH56" s="45" t="e">
        <f aca="false">DF56*DU56</f>
        <v>#NAME?</v>
      </c>
      <c r="EI56" s="45" t="n">
        <f aca="false">DF56*DV56</f>
        <v>0</v>
      </c>
      <c r="EJ56" s="45" t="e">
        <f aca="false">DF56*DW56</f>
        <v>#NAME?</v>
      </c>
      <c r="EK56" s="45" t="n">
        <f aca="false">DF56*DX56</f>
        <v>0</v>
      </c>
      <c r="EL56" s="45" t="e">
        <f aca="false">DF56*DY56</f>
        <v>#NAME?</v>
      </c>
      <c r="EN56" s="9" t="n">
        <f aca="false">IF($A56&gt;=EP$32,IF($A56&lt;=EP$33,$AN56,0),0)</f>
        <v>0</v>
      </c>
      <c r="EO56" s="123" t="n">
        <f aca="false">$B56+$AF56+$H$12</f>
        <v>4.29</v>
      </c>
      <c r="EP56" s="123" t="n">
        <f aca="false">$B56+$AG56+$H$13</f>
        <v>3.81</v>
      </c>
      <c r="EQ56" s="123" t="n">
        <f aca="false">EO56*EN56</f>
        <v>0</v>
      </c>
      <c r="ER56" s="123" t="n">
        <f aca="false">EP56*EN56</f>
        <v>0</v>
      </c>
      <c r="ES56" s="156" t="n">
        <f aca="false">($C56*$AH56)+$H$14</f>
        <v>0.30135</v>
      </c>
      <c r="ET56" s="156" t="n">
        <f aca="false">($C56*$AI56)+$H$15</f>
        <v>0.3075</v>
      </c>
      <c r="EU56" s="131" t="n">
        <f aca="false">$AJ56+$H$16</f>
        <v>0.980420749757432</v>
      </c>
      <c r="EV56" s="157" t="n">
        <f aca="false">IF(EN56=0,0,SPRDOPT(EO56,EP56,$AK56,$AM56,ES56,ET56,EU56,$D56,$H$19,0))</f>
        <v>0</v>
      </c>
      <c r="EW56" s="157" t="e">
        <f aca="false">IF(EO56=0,0,SPRDOPT(EO56,EP56,$AK56,$AM56,ES56,ET56,EU56,$D56,$H$19,1))</f>
        <v>#NAME?</v>
      </c>
      <c r="EX56" s="157" t="e">
        <f aca="false">IF(EP56=0,0,SPRDOPT(EO56,EP56,$AK56,$AM56,ES56,ET56,EU56,$D56,$H$19,2))</f>
        <v>#NAME?</v>
      </c>
      <c r="EY56" s="157" t="n">
        <f aca="false">IF(EQ56=0,0,SPRDOPT(EO56,EP56,$AK56,$AM56,ES56,ET56,EU56,$D56,$H$19,3)/100)</f>
        <v>0</v>
      </c>
      <c r="EZ56" s="157" t="n">
        <f aca="false">IF(ER56=0,0,SPRDOPT(EO56,EP56,$AK56,$AM56,ES56,ET56,EU56,$D56,$H$19,4)/100)</f>
        <v>0</v>
      </c>
      <c r="FA56" s="157" t="e">
        <f aca="false">IF(ES56=0,0,SPRDOPT(EO56,EP56,$AK56,$AM56,ES56,ET56,EU56,$D56,$H$19,5)/100)</f>
        <v>#NAME?</v>
      </c>
      <c r="FB56" s="157" t="e">
        <f aca="false">IF(ET56=0,0,SPRDOPT(EO56,EP56,$AK56,$AM56,ES56,ET56,EU56,$D56,$H$19,6)/100)</f>
        <v>#NAME?</v>
      </c>
      <c r="FC56" s="157" t="e">
        <f aca="false">IF(EU56=0,0,SPRDOPT(EO56,EP56,$AK56,$AM56,ES56,ET56,EU56,$D56,$H$19,7)/100)</f>
        <v>#NAME?</v>
      </c>
      <c r="FD56" s="157" t="n">
        <f aca="false">IF(EV56=0,0,SPRDOPT(EO56,EP56,$AK56,$AM56,ES56,ET56,EU56,$D56,$H$19,9)/365)</f>
        <v>0</v>
      </c>
      <c r="FE56" s="157" t="e">
        <f aca="false">EW56+EX56</f>
        <v>#NAME?</v>
      </c>
      <c r="FF56" s="157" t="n">
        <f aca="false">EZ56-EY56</f>
        <v>0</v>
      </c>
      <c r="FG56" s="157" t="e">
        <f aca="false">((ES56/ET56)*FA56)+FB56</f>
        <v>#NAME?</v>
      </c>
      <c r="FH56" s="44"/>
      <c r="FI56" s="45" t="n">
        <f aca="false">$EN56*EV56</f>
        <v>0</v>
      </c>
      <c r="FJ56" s="45" t="e">
        <f aca="false">$EN56*EW56</f>
        <v>#NAME?</v>
      </c>
      <c r="FK56" s="45" t="e">
        <f aca="false">$EN56*EX56</f>
        <v>#NAME?</v>
      </c>
      <c r="FL56" s="45" t="n">
        <f aca="false">$EN56*EY56</f>
        <v>0</v>
      </c>
      <c r="FM56" s="45" t="n">
        <f aca="false">$EN56*EZ56</f>
        <v>0</v>
      </c>
      <c r="FN56" s="45" t="e">
        <f aca="false">$EN56*FA56</f>
        <v>#NAME?</v>
      </c>
      <c r="FO56" s="45" t="e">
        <f aca="false">$EN56*FB56</f>
        <v>#NAME?</v>
      </c>
      <c r="FP56" s="45" t="e">
        <f aca="false">$EN56*FC56</f>
        <v>#NAME?</v>
      </c>
      <c r="FQ56" s="45" t="n">
        <f aca="false">$EN56*FD56</f>
        <v>0</v>
      </c>
      <c r="FR56" s="45" t="e">
        <f aca="false">$EN56*FE56</f>
        <v>#NAME?</v>
      </c>
      <c r="FS56" s="45" t="n">
        <f aca="false">$EN56*FF56</f>
        <v>0</v>
      </c>
      <c r="FT56" s="45" t="e">
        <f aca="false">$EN56*FG56</f>
        <v>#NAME?</v>
      </c>
    </row>
    <row r="57" customFormat="false" ht="12.75" hidden="false" customHeight="false" outlineLevel="0" collapsed="false">
      <c r="A57" s="48" t="n">
        <f aca="false">DATE(YEAR(A56),MONTH(A56)+1,1)</f>
        <v>37377</v>
      </c>
      <c r="B57" s="40" t="n">
        <f aca="false">VLOOKUP(A57,STRADDLE,5,FALSE())</f>
        <v>3.71</v>
      </c>
      <c r="C57" s="4" t="n">
        <f aca="false">VLOOKUP(A57,STRADDLE,8,FALSE())</f>
        <v>0.2925</v>
      </c>
      <c r="D57" s="136" t="n">
        <f aca="false">VLOOKUP(A57,expiration,2,FALSE())-$B$2</f>
        <v>-8554</v>
      </c>
      <c r="E57" s="131" t="e">
        <f aca="false">AY57</f>
        <v>#NAME?</v>
      </c>
      <c r="F57" s="131" t="e">
        <f aca="false">CG57</f>
        <v>#NAME?</v>
      </c>
      <c r="G57" s="131" t="e">
        <f aca="false">DO57</f>
        <v>#NAME?</v>
      </c>
      <c r="H57" s="131" t="e">
        <f aca="false">EW57</f>
        <v>#NAME?</v>
      </c>
      <c r="I57" s="41"/>
      <c r="J57" s="154"/>
      <c r="K57" s="40" t="n">
        <f aca="false">IF($B$3="NYMEX",0,VLOOKUP($A57,curvesettle,HLOOKUP($B$3,curvesettle,2,FALSE()),FALSE()))</f>
        <v>0.405</v>
      </c>
      <c r="L57" s="40" t="n">
        <f aca="false">IF($B$4="NYMEX",0,VLOOKUP($A57,curvesettle,HLOOKUP($B$4,curvesettle,2,FALSE()),FALSE()))</f>
        <v>0</v>
      </c>
      <c r="M57" s="131" t="n">
        <f aca="false">IF(ISNUMBER(VLOOKUP($A57,VOLCURVES,HLOOKUP($B$3,VOLCURVES,2,FALSE()),FALSE())),VLOOKUP($A57,VOLCURVES,HLOOKUP($B$3,VOLCURVES,2,FALSE()),FALSE()),1)</f>
        <v>0.98</v>
      </c>
      <c r="N57" s="131" t="n">
        <f aca="false">IF(ISNUMBER(VLOOKUP($A57,VOLCURVES,HLOOKUP($B$4,VOLCURVES,2,FALSE()),FALSE())),VLOOKUP($A57,VOLCURVES,HLOOKUP($B$4,VOLCURVES,2,FALSE()),FALSE()),1)</f>
        <v>1</v>
      </c>
      <c r="O57" s="131" t="n">
        <f aca="false">IF(ISNUMBER(VLOOKUP($A57,CORETABLE,HLOOKUP($B$3,CORETABLE,2,FALSE()),FALSE())),VLOOKUP($A57,CORETABLE,HLOOKUP($B$3,CORETABLE,2,FALSE()),FALSE()),0.99)</f>
        <v>0.980420749757432</v>
      </c>
      <c r="P57" s="155" t="n">
        <f aca="false">B$18</f>
        <v>2</v>
      </c>
      <c r="Q57" s="131"/>
      <c r="R57" s="40" t="n">
        <f aca="false">IF($D$3="NYMEX",0,VLOOKUP($A57,curvesettle,HLOOKUP($D$3,curvesettle,2,FALSE()),FALSE()))</f>
        <v>0.065</v>
      </c>
      <c r="S57" s="40" t="n">
        <f aca="false">IF($D$4="NYMEX",0,VLOOKUP($A57,curvesettle,HLOOKUP($D$4,curvesettle,2,FALSE()),FALSE()))</f>
        <v>0</v>
      </c>
      <c r="T57" s="131" t="n">
        <f aca="false">IF(ISNUMBER(VLOOKUP($A57,VOLCURVES,HLOOKUP($D$3,VOLCURVES,2,FALSE()),FALSE())),VLOOKUP($A57,VOLCURVES,HLOOKUP($D$3,VOLCURVES,2,FALSE()),FALSE()),1)</f>
        <v>1</v>
      </c>
      <c r="U57" s="131" t="n">
        <f aca="false">IF(ISNUMBER(VLOOKUP($A57,VOLCURVES,HLOOKUP($D$4,VOLCURVES,2,FALSE()),FALSE())),VLOOKUP($A57,VOLCURVES,HLOOKUP($D$4,VOLCURVES,2,FALSE()),FALSE()),1)</f>
        <v>1</v>
      </c>
      <c r="V57" s="131" t="n">
        <f aca="false">IF(ISNUMBER(VLOOKUP($A57,CORETABLE,HLOOKUP($D$3,CORETABLE,2,FALSE()),FALSE())),VLOOKUP($A57,CORETABLE,HLOOKUP($D$3,CORETABLE,2,FALSE()),FALSE()),0.99)</f>
        <v>0.994071440191916</v>
      </c>
      <c r="W57" s="155" t="n">
        <f aca="false">D$18</f>
        <v>0.2</v>
      </c>
      <c r="X57" s="131"/>
      <c r="Y57" s="40" t="n">
        <f aca="false">IF($F$3="NYMEX",0,VLOOKUP($A57,curvesettle,HLOOKUP($F$3,curvesettle,2,FALSE()),FALSE()))</f>
        <v>0.405</v>
      </c>
      <c r="Z57" s="40" t="n">
        <f aca="false">IF($F$4="NYMEX",0,VLOOKUP($A57,curvesettle,HLOOKUP($F$4,curvesettle,2,FALSE()),FALSE()))</f>
        <v>0</v>
      </c>
      <c r="AA57" s="131" t="n">
        <f aca="false">IF(ISNUMBER(VLOOKUP($A57,VOLCURVES,HLOOKUP($F$3,VOLCURVES,2,FALSE()),FALSE())),VLOOKUP($A57,VOLCURVES,HLOOKUP($F$3,VOLCURVES,2,FALSE()),FALSE()),1)</f>
        <v>0.98</v>
      </c>
      <c r="AB57" s="131" t="n">
        <f aca="false">IF(ISNUMBER(VLOOKUP($A57,VOLCURVES,HLOOKUP($F$4,VOLCURVES,2,FALSE()),FALSE())),VLOOKUP($A57,VOLCURVES,HLOOKUP($F$4,VOLCURVES,2,FALSE()),FALSE()),1)</f>
        <v>1</v>
      </c>
      <c r="AC57" s="131" t="n">
        <f aca="false">IF(ISNUMBER(VLOOKUP($A57,CORETABLE,HLOOKUP($F$3,CORETABLE,2,FALSE()),FALSE())),VLOOKUP($A57,CORETABLE,HLOOKUP($F$3,CORETABLE,2,FALSE()),FALSE()),1)</f>
        <v>0.980420749757432</v>
      </c>
      <c r="AD57" s="155" t="n">
        <f aca="false">F$18</f>
        <v>1.85</v>
      </c>
      <c r="AE57" s="131"/>
      <c r="AF57" s="40" t="n">
        <f aca="false">IF($H$3="NYMEX",0,VLOOKUP($A57,curvesettle,HLOOKUP($H$3,curvesettle,2,FALSE()),FALSE()))</f>
        <v>0.405</v>
      </c>
      <c r="AG57" s="40" t="n">
        <f aca="false">IF($H$4="NYMEX",0,VLOOKUP($A57,curvesettle,HLOOKUP($H$4,curvesettle,2,FALSE()),FALSE()))</f>
        <v>0</v>
      </c>
      <c r="AH57" s="131" t="n">
        <f aca="false">IF(ISNUMBER(VLOOKUP($A57,VOLCURVES,HLOOKUP($H$3,VOLCURVES,2,FALSE()),FALSE())),VLOOKUP($A57,VOLCURVES,HLOOKUP($H$3,VOLCURVES,2,FALSE()),FALSE()),1)</f>
        <v>0.98</v>
      </c>
      <c r="AI57" s="131" t="n">
        <f aca="false">IF(ISNUMBER(VLOOKUP($A57,VOLCURVES,HLOOKUP($H$4,VOLCURVES,2,FALSE()),FALSE())),VLOOKUP($A57,VOLCURVES,HLOOKUP($H$4,VOLCURVES,2,FALSE()),FALSE()),1)</f>
        <v>1</v>
      </c>
      <c r="AJ57" s="131" t="n">
        <f aca="false">IF(ISNUMBER(VLOOKUP($A57,CORETABLE,HLOOKUP($H$3,CORETABLE,2,FALSE()),FALSE())),VLOOKUP($A57,CORETABLE,HLOOKUP($H$3,CORETABLE,2,FALSE()),FALSE()),1)</f>
        <v>0.980420749757432</v>
      </c>
      <c r="AK57" s="155" t="n">
        <f aca="false">H$18</f>
        <v>1.85</v>
      </c>
      <c r="AM57" s="4" t="n">
        <f aca="false">VLOOKUP($A57,STRADDLE,12,FALSE())</f>
        <v>0.067283554328081</v>
      </c>
      <c r="AN57" s="43" t="n">
        <f aca="false">A58-A57</f>
        <v>31</v>
      </c>
      <c r="AP57" s="9" t="n">
        <f aca="false">IF($A57&gt;=AR$32,IF($A57&lt;=AR$33,$AN57,0),0)</f>
        <v>0</v>
      </c>
      <c r="AQ57" s="123" t="n">
        <f aca="false">$B57+$K57+$B$12</f>
        <v>4.145</v>
      </c>
      <c r="AR57" s="123" t="n">
        <f aca="false">$B57+$L57+$B$13</f>
        <v>3.71</v>
      </c>
      <c r="AS57" s="123" t="n">
        <f aca="false">AQ57*AP57</f>
        <v>0</v>
      </c>
      <c r="AT57" s="123" t="n">
        <f aca="false">AR57*AP57</f>
        <v>0</v>
      </c>
      <c r="AU57" s="156" t="n">
        <f aca="false">($C57*$M57)+$B$14</f>
        <v>0.28665</v>
      </c>
      <c r="AV57" s="156" t="n">
        <f aca="false">($C57*$N57)+$B$15</f>
        <v>0.2925</v>
      </c>
      <c r="AW57" s="131" t="n">
        <f aca="false">O57+B$16</f>
        <v>0.980420749757432</v>
      </c>
      <c r="AX57" s="157" t="n">
        <f aca="false">IF(AP57=0,0,SPRDOPT(AQ57,AR57,$P57,$AM57,AU57,AV57,AW57,$D57,$B$19,0))</f>
        <v>0</v>
      </c>
      <c r="AY57" s="157" t="e">
        <f aca="false">IF(AQ57=0,0,SPRDOPT(AQ57,AR57,$P57,$AM57,AU57,AV57,AW57,$D57,$B$19,1))</f>
        <v>#NAME?</v>
      </c>
      <c r="AZ57" s="157" t="e">
        <f aca="false">IF(AR57=0,0,SPRDOPT(AQ57,AR57,$P57,$AM57,AU57,AV57,AW57,$D57,$B$19,2))</f>
        <v>#NAME?</v>
      </c>
      <c r="BA57" s="157" t="n">
        <f aca="false">IF(AS57=0,0,SPRDOPT(AQ57,AR57,$P57,$AM57,AU57,AV57,AW57,$D57,$B$19,3)/100)</f>
        <v>0</v>
      </c>
      <c r="BB57" s="157" t="n">
        <f aca="false">IF(AT57=0,0,SPRDOPT(AQ57,AR57,$P57,$AM57,AU57,AV57,AW57,$D57,$B$19,4)/100)</f>
        <v>0</v>
      </c>
      <c r="BC57" s="157" t="e">
        <f aca="false">IF(AU57=0,0,SPRDOPT(AQ57,AR57,$P57,$AM57,AU57,AV57,AW57,$D57,$B$19,5)/100)</f>
        <v>#NAME?</v>
      </c>
      <c r="BD57" s="157" t="e">
        <f aca="false">IF(AV57=0,0,SPRDOPT(AQ57,AR57,$P57,$AM57,AU57,AV57,AW57,$D57,$B$19,6)/100)</f>
        <v>#NAME?</v>
      </c>
      <c r="BE57" s="157" t="e">
        <f aca="false">IF(AW57=0,0,SPRDOPT(AQ57,AR57,$P57,$AM57,AU57,AV57,AW57,$D57,$B$19,7)/100)</f>
        <v>#NAME?</v>
      </c>
      <c r="BF57" s="157" t="n">
        <f aca="false">IF(AX57=0,0,SPRDOPT(AQ57,AR57,$P57,$AM57,AU57,AV57,AW57,$D57,$B$19,9)/365)</f>
        <v>0</v>
      </c>
      <c r="BG57" s="157" t="e">
        <f aca="false">AY57+AZ57</f>
        <v>#NAME?</v>
      </c>
      <c r="BH57" s="157" t="n">
        <f aca="false">BB57-BA57</f>
        <v>0</v>
      </c>
      <c r="BI57" s="157" t="e">
        <f aca="false">((AU57/AV57)*BC57)+BD57</f>
        <v>#NAME?</v>
      </c>
      <c r="BJ57" s="44"/>
      <c r="BK57" s="45" t="n">
        <f aca="false">$AP57*AX57</f>
        <v>0</v>
      </c>
      <c r="BL57" s="45" t="e">
        <f aca="false">$AP57*AY57</f>
        <v>#NAME?</v>
      </c>
      <c r="BM57" s="45" t="e">
        <f aca="false">$AP57*AZ57</f>
        <v>#NAME?</v>
      </c>
      <c r="BN57" s="45" t="n">
        <f aca="false">$AP57*BA57</f>
        <v>0</v>
      </c>
      <c r="BO57" s="45" t="n">
        <f aca="false">$AP57*BB57</f>
        <v>0</v>
      </c>
      <c r="BP57" s="45" t="e">
        <f aca="false">$AP57*BC57</f>
        <v>#NAME?</v>
      </c>
      <c r="BQ57" s="45" t="e">
        <f aca="false">$AP57*BD57</f>
        <v>#NAME?</v>
      </c>
      <c r="BR57" s="45" t="e">
        <f aca="false">$AP57*BE57</f>
        <v>#NAME?</v>
      </c>
      <c r="BS57" s="45" t="n">
        <f aca="false">$AP57*BF57</f>
        <v>0</v>
      </c>
      <c r="BT57" s="45" t="e">
        <f aca="false">$AP57*BG57</f>
        <v>#NAME?</v>
      </c>
      <c r="BU57" s="45" t="n">
        <f aca="false">$AP57*BH57</f>
        <v>0</v>
      </c>
      <c r="BV57" s="45" t="e">
        <f aca="false">$AP57*BI57</f>
        <v>#NAME?</v>
      </c>
      <c r="BX57" s="9" t="n">
        <f aca="false">IF($A57&gt;=BZ$32,IF($A57&lt;=BZ$33,$AN57,0),0)</f>
        <v>0</v>
      </c>
      <c r="BY57" s="123" t="n">
        <f aca="false">$B57+$R57+$D$12</f>
        <v>3.775</v>
      </c>
      <c r="BZ57" s="123" t="n">
        <f aca="false">$B57+$S57+$D$13</f>
        <v>3.71</v>
      </c>
      <c r="CA57" s="123" t="n">
        <f aca="false">BY57*BX57</f>
        <v>0</v>
      </c>
      <c r="CB57" s="123" t="n">
        <f aca="false">BZ57*BX57</f>
        <v>0</v>
      </c>
      <c r="CC57" s="156" t="n">
        <f aca="false">($C57*$T57)+$D$14</f>
        <v>0.2925</v>
      </c>
      <c r="CD57" s="156" t="n">
        <f aca="false">($C57*$U57)+$D$15</f>
        <v>0.2925</v>
      </c>
      <c r="CE57" s="131" t="n">
        <f aca="false">$V57+D$16</f>
        <v>0.994071440191916</v>
      </c>
      <c r="CF57" s="157" t="n">
        <f aca="false">IF(BX57=0,0,SPRDOPT(BY57,BZ57,$W57,$AM57,CC57,CD57,CE57,$D57,$D$19,0))</f>
        <v>0</v>
      </c>
      <c r="CG57" s="157" t="e">
        <f aca="false">IF(BY57=0,0,SPRDOPT(BY57,BZ57,$W57,$AM57,CC57,CD57,CE57,$D57,$D$19,1))</f>
        <v>#NAME?</v>
      </c>
      <c r="CH57" s="157" t="e">
        <f aca="false">IF(BZ57=0,0,SPRDOPT(BY57,BZ57,$W57,$AM57,CC57,CD57,CE57,$D57,$D$19,2))</f>
        <v>#NAME?</v>
      </c>
      <c r="CI57" s="157" t="n">
        <f aca="false">IF(CA57=0,0,SPRDOPT(BY57,BZ57,$W57,$AM57,CC57,CD57,CE57,$D57,$D$19,3)/100)</f>
        <v>0</v>
      </c>
      <c r="CJ57" s="157" t="n">
        <f aca="false">IF(CB57=0,0,SPRDOPT(BY57,BZ57,$W57,$AM57,CC57,CD57,CE57,$D57,$D$19,4)/100)</f>
        <v>0</v>
      </c>
      <c r="CK57" s="157" t="e">
        <f aca="false">IF(CC57=0,0,SPRDOPT(BY57,BZ57,$W57,$AM57,CC57,CD57,CE57,$D57,$D$19,5)/100)</f>
        <v>#NAME?</v>
      </c>
      <c r="CL57" s="157" t="e">
        <f aca="false">IF(CD57=0,0,SPRDOPT(BY57,BZ57,$W57,$AM57,CC57,CD57,CE57,$D57,$D$19,6)/100)</f>
        <v>#NAME?</v>
      </c>
      <c r="CM57" s="157" t="e">
        <f aca="false">IF(CE57=0,0,SPRDOPT(BY57,BZ57,$W57,$AM57,CC57,CD57,CE57,$D57,$D$19,7)/100)</f>
        <v>#NAME?</v>
      </c>
      <c r="CN57" s="157" t="n">
        <f aca="false">IF(CF57=0,0,SPRDOPT(BY57,BZ57,$W57,$AM57,CC57,CD57,CE57,$D57,$D$19,9)/365)</f>
        <v>0</v>
      </c>
      <c r="CO57" s="157" t="e">
        <f aca="false">CG57+CH57</f>
        <v>#NAME?</v>
      </c>
      <c r="CP57" s="157" t="n">
        <f aca="false">CJ57-CI57</f>
        <v>0</v>
      </c>
      <c r="CQ57" s="157" t="e">
        <f aca="false">((CC57/CD57)*CK57)+CL57</f>
        <v>#NAME?</v>
      </c>
      <c r="CR57" s="44"/>
      <c r="CS57" s="45" t="n">
        <f aca="false">BX57*CF57</f>
        <v>0</v>
      </c>
      <c r="CT57" s="45" t="e">
        <f aca="false">BX57*CG57</f>
        <v>#NAME?</v>
      </c>
      <c r="CU57" s="45" t="e">
        <f aca="false">BX57*CH57</f>
        <v>#NAME?</v>
      </c>
      <c r="CV57" s="45" t="n">
        <f aca="false">BX57*CI57</f>
        <v>0</v>
      </c>
      <c r="CW57" s="45" t="n">
        <f aca="false">BX57*CJ57</f>
        <v>0</v>
      </c>
      <c r="CX57" s="45" t="e">
        <f aca="false">BX57*CK57</f>
        <v>#NAME?</v>
      </c>
      <c r="CY57" s="45" t="e">
        <f aca="false">BX57*CL57</f>
        <v>#NAME?</v>
      </c>
      <c r="CZ57" s="45" t="e">
        <f aca="false">BX57*CM57</f>
        <v>#NAME?</v>
      </c>
      <c r="DA57" s="45" t="n">
        <f aca="false">BX57*CN57</f>
        <v>0</v>
      </c>
      <c r="DB57" s="45" t="e">
        <f aca="false">BX57*CO57</f>
        <v>#NAME?</v>
      </c>
      <c r="DC57" s="45" t="n">
        <f aca="false">BX57*CP57</f>
        <v>0</v>
      </c>
      <c r="DD57" s="45" t="e">
        <f aca="false">BX57*CQ57</f>
        <v>#NAME?</v>
      </c>
      <c r="DF57" s="9" t="n">
        <f aca="false">IF($A57&gt;=DH$32,IF($A57&lt;=DH$33,$AN57,0),0)</f>
        <v>0</v>
      </c>
      <c r="DG57" s="123" t="n">
        <f aca="false">$B57+$Y57+$F$12</f>
        <v>4.145</v>
      </c>
      <c r="DH57" s="123" t="n">
        <f aca="false">$B57+$Z57+$F$13</f>
        <v>3.71</v>
      </c>
      <c r="DI57" s="123" t="n">
        <f aca="false">DG57*DF57</f>
        <v>0</v>
      </c>
      <c r="DJ57" s="123" t="n">
        <f aca="false">DH57*DF57</f>
        <v>0</v>
      </c>
      <c r="DK57" s="156" t="n">
        <f aca="false">($C57*$AA57)+$F$14</f>
        <v>0.28665</v>
      </c>
      <c r="DL57" s="156" t="n">
        <f aca="false">($C57*$AB57)+$F$15</f>
        <v>0.2925</v>
      </c>
      <c r="DM57" s="131" t="n">
        <f aca="false">$AC57+$F$16</f>
        <v>0.980420749757432</v>
      </c>
      <c r="DN57" s="157" t="n">
        <f aca="false">IF(DF57=0,0,SPRDOPT(DG57,DH57,$AD57,$AM57,DK57,DL57,DM57,$D57,$F$19,0))</f>
        <v>0</v>
      </c>
      <c r="DO57" s="157" t="e">
        <f aca="false">IF(DG57=0,0,SPRDOPT(DG57,DH57,$AD57,$AM57,DK57,DL57,DM57,$D57,$F$19,1))</f>
        <v>#NAME?</v>
      </c>
      <c r="DP57" s="157" t="e">
        <f aca="false">IF(DH57=0,0,SPRDOPT(DG57,DH57,$AD57,$AM57,DK57,DL57,DM57,$D57,$F$19,2))</f>
        <v>#NAME?</v>
      </c>
      <c r="DQ57" s="157" t="n">
        <f aca="false">IF(DI57=0,0,SPRDOPT(DG57,DH57,$AD57,$AM57,DK57,DL57,DM57,$D57,$F$19,3)/100)</f>
        <v>0</v>
      </c>
      <c r="DR57" s="157" t="n">
        <f aca="false">IF(DJ57=0,0,SPRDOPT(DG57,DH57,$AD57,$AM57,DK57,DL57,DM57,$D57,$F$19,4)/100)</f>
        <v>0</v>
      </c>
      <c r="DS57" s="157" t="e">
        <f aca="false">IF(DK57=0,0,SPRDOPT(DG57,DH57,$AD57,$AM57,DK57,DL57,DM57,$D57,$F$19,5)/100)</f>
        <v>#NAME?</v>
      </c>
      <c r="DT57" s="157" t="e">
        <f aca="false">IF(DL57=0,0,SPRDOPT(DG57,DH57,$AD57,$AM57,DK57,DL57,DM57,$D57,$F$19,6)/100)</f>
        <v>#NAME?</v>
      </c>
      <c r="DU57" s="157" t="e">
        <f aca="false">IF(DM57=0,0,SPRDOPT(DG57,DH57,$AD57,$AM57,DK57,DL57,DM57,$D57,$F$19,7)/100)</f>
        <v>#NAME?</v>
      </c>
      <c r="DV57" s="157" t="n">
        <f aca="false">IF(DN57=0,0,SPRDOPT(DG57,DH57,$AD57,$AM57,DK57,DL57,DM57,$D57,$F$19,9)/365)</f>
        <v>0</v>
      </c>
      <c r="DW57" s="157" t="e">
        <f aca="false">DO57+DP57</f>
        <v>#NAME?</v>
      </c>
      <c r="DX57" s="157" t="n">
        <f aca="false">DR57-DQ57</f>
        <v>0</v>
      </c>
      <c r="DY57" s="157" t="e">
        <f aca="false">((DK57/DL57)*DS57)+DT57</f>
        <v>#NAME?</v>
      </c>
      <c r="DZ57" s="44"/>
      <c r="EA57" s="45" t="n">
        <f aca="false">DF57*DN57</f>
        <v>0</v>
      </c>
      <c r="EB57" s="45" t="e">
        <f aca="false">DF57*DO57</f>
        <v>#NAME?</v>
      </c>
      <c r="EC57" s="45" t="e">
        <f aca="false">DF57*DP57</f>
        <v>#NAME?</v>
      </c>
      <c r="ED57" s="45" t="n">
        <f aca="false">DF57*DQ57</f>
        <v>0</v>
      </c>
      <c r="EE57" s="45" t="n">
        <f aca="false">DF57*DR57</f>
        <v>0</v>
      </c>
      <c r="EF57" s="45" t="e">
        <f aca="false">DF57*DS57</f>
        <v>#NAME?</v>
      </c>
      <c r="EG57" s="45" t="e">
        <f aca="false">DF57*DT57</f>
        <v>#NAME?</v>
      </c>
      <c r="EH57" s="45" t="e">
        <f aca="false">DF57*DU57</f>
        <v>#NAME?</v>
      </c>
      <c r="EI57" s="45" t="n">
        <f aca="false">DF57*DV57</f>
        <v>0</v>
      </c>
      <c r="EJ57" s="45" t="e">
        <f aca="false">DF57*DW57</f>
        <v>#NAME?</v>
      </c>
      <c r="EK57" s="45" t="n">
        <f aca="false">DF57*DX57</f>
        <v>0</v>
      </c>
      <c r="EL57" s="45" t="e">
        <f aca="false">DF57*DY57</f>
        <v>#NAME?</v>
      </c>
      <c r="EN57" s="9" t="n">
        <f aca="false">IF($A57&gt;=EP$32,IF($A57&lt;=EP$33,$AN57,0),0)</f>
        <v>0</v>
      </c>
      <c r="EO57" s="123" t="n">
        <f aca="false">$B57+$AF57+$H$12</f>
        <v>4.145</v>
      </c>
      <c r="EP57" s="123" t="n">
        <f aca="false">$B57+$AG57+$H$13</f>
        <v>3.71</v>
      </c>
      <c r="EQ57" s="123" t="n">
        <f aca="false">EO57*EN57</f>
        <v>0</v>
      </c>
      <c r="ER57" s="123" t="n">
        <f aca="false">EP57*EN57</f>
        <v>0</v>
      </c>
      <c r="ES57" s="156" t="n">
        <f aca="false">($C57*$AH57)+$H$14</f>
        <v>0.28665</v>
      </c>
      <c r="ET57" s="156" t="n">
        <f aca="false">($C57*$AI57)+$H$15</f>
        <v>0.2925</v>
      </c>
      <c r="EU57" s="131" t="n">
        <f aca="false">$AJ57+$H$16</f>
        <v>0.980420749757432</v>
      </c>
      <c r="EV57" s="157" t="n">
        <f aca="false">IF(EN57=0,0,SPRDOPT(EO57,EP57,$AK57,$AM57,ES57,ET57,EU57,$D57,$H$19,0))</f>
        <v>0</v>
      </c>
      <c r="EW57" s="157" t="e">
        <f aca="false">IF(EO57=0,0,SPRDOPT(EO57,EP57,$AK57,$AM57,ES57,ET57,EU57,$D57,$H$19,1))</f>
        <v>#NAME?</v>
      </c>
      <c r="EX57" s="157" t="e">
        <f aca="false">IF(EP57=0,0,SPRDOPT(EO57,EP57,$AK57,$AM57,ES57,ET57,EU57,$D57,$H$19,2))</f>
        <v>#NAME?</v>
      </c>
      <c r="EY57" s="157" t="n">
        <f aca="false">IF(EQ57=0,0,SPRDOPT(EO57,EP57,$AK57,$AM57,ES57,ET57,EU57,$D57,$H$19,3)/100)</f>
        <v>0</v>
      </c>
      <c r="EZ57" s="157" t="n">
        <f aca="false">IF(ER57=0,0,SPRDOPT(EO57,EP57,$AK57,$AM57,ES57,ET57,EU57,$D57,$H$19,4)/100)</f>
        <v>0</v>
      </c>
      <c r="FA57" s="157" t="e">
        <f aca="false">IF(ES57=0,0,SPRDOPT(EO57,EP57,$AK57,$AM57,ES57,ET57,EU57,$D57,$H$19,5)/100)</f>
        <v>#NAME?</v>
      </c>
      <c r="FB57" s="157" t="e">
        <f aca="false">IF(ET57=0,0,SPRDOPT(EO57,EP57,$AK57,$AM57,ES57,ET57,EU57,$D57,$H$19,6)/100)</f>
        <v>#NAME?</v>
      </c>
      <c r="FC57" s="157" t="e">
        <f aca="false">IF(EU57=0,0,SPRDOPT(EO57,EP57,$AK57,$AM57,ES57,ET57,EU57,$D57,$H$19,7)/100)</f>
        <v>#NAME?</v>
      </c>
      <c r="FD57" s="157" t="n">
        <f aca="false">IF(EV57=0,0,SPRDOPT(EO57,EP57,$AK57,$AM57,ES57,ET57,EU57,$D57,$H$19,9)/365)</f>
        <v>0</v>
      </c>
      <c r="FE57" s="157" t="e">
        <f aca="false">EW57+EX57</f>
        <v>#NAME?</v>
      </c>
      <c r="FF57" s="157" t="n">
        <f aca="false">EZ57-EY57</f>
        <v>0</v>
      </c>
      <c r="FG57" s="157" t="e">
        <f aca="false">((ES57/ET57)*FA57)+FB57</f>
        <v>#NAME?</v>
      </c>
      <c r="FH57" s="44"/>
      <c r="FI57" s="45" t="n">
        <f aca="false">$EN57*EV57</f>
        <v>0</v>
      </c>
      <c r="FJ57" s="45" t="e">
        <f aca="false">$EN57*EW57</f>
        <v>#NAME?</v>
      </c>
      <c r="FK57" s="45" t="e">
        <f aca="false">$EN57*EX57</f>
        <v>#NAME?</v>
      </c>
      <c r="FL57" s="45" t="n">
        <f aca="false">$EN57*EY57</f>
        <v>0</v>
      </c>
      <c r="FM57" s="45" t="n">
        <f aca="false">$EN57*EZ57</f>
        <v>0</v>
      </c>
      <c r="FN57" s="45" t="e">
        <f aca="false">$EN57*FA57</f>
        <v>#NAME?</v>
      </c>
      <c r="FO57" s="45" t="e">
        <f aca="false">$EN57*FB57</f>
        <v>#NAME?</v>
      </c>
      <c r="FP57" s="45" t="e">
        <f aca="false">$EN57*FC57</f>
        <v>#NAME?</v>
      </c>
      <c r="FQ57" s="45" t="n">
        <f aca="false">$EN57*FD57</f>
        <v>0</v>
      </c>
      <c r="FR57" s="45" t="e">
        <f aca="false">$EN57*FE57</f>
        <v>#NAME?</v>
      </c>
      <c r="FS57" s="45" t="n">
        <f aca="false">$EN57*FF57</f>
        <v>0</v>
      </c>
      <c r="FT57" s="45" t="e">
        <f aca="false">$EN57*FG57</f>
        <v>#NAME?</v>
      </c>
    </row>
    <row r="58" customFormat="false" ht="12.75" hidden="false" customHeight="false" outlineLevel="0" collapsed="false">
      <c r="A58" s="48" t="n">
        <f aca="false">DATE(YEAR(A57),MONTH(A57)+1,1)</f>
        <v>37408</v>
      </c>
      <c r="B58" s="40" t="n">
        <f aca="false">VLOOKUP(A58,STRADDLE,5,FALSE())</f>
        <v>3.69</v>
      </c>
      <c r="C58" s="4" t="n">
        <f aca="false">VLOOKUP(A58,STRADDLE,8,FALSE())</f>
        <v>0.29</v>
      </c>
      <c r="D58" s="136" t="n">
        <f aca="false">VLOOKUP(A58,expiration,2,FALSE())-$B$2</f>
        <v>-8521</v>
      </c>
      <c r="E58" s="131" t="e">
        <f aca="false">AY58</f>
        <v>#NAME?</v>
      </c>
      <c r="F58" s="131" t="e">
        <f aca="false">CG58</f>
        <v>#NAME?</v>
      </c>
      <c r="G58" s="131" t="e">
        <f aca="false">DO58</f>
        <v>#NAME?</v>
      </c>
      <c r="H58" s="131" t="e">
        <f aca="false">EW58</f>
        <v>#NAME?</v>
      </c>
      <c r="I58" s="41"/>
      <c r="J58" s="154"/>
      <c r="K58" s="40" t="n">
        <f aca="false">IF($B$3="NYMEX",0,VLOOKUP($A58,curvesettle,HLOOKUP($B$3,curvesettle,2,FALSE()),FALSE()))</f>
        <v>0.395</v>
      </c>
      <c r="L58" s="40" t="n">
        <f aca="false">IF($B$4="NYMEX",0,VLOOKUP($A58,curvesettle,HLOOKUP($B$4,curvesettle,2,FALSE()),FALSE()))</f>
        <v>0</v>
      </c>
      <c r="M58" s="131" t="n">
        <f aca="false">IF(ISNUMBER(VLOOKUP($A58,VOLCURVES,HLOOKUP($B$3,VOLCURVES,2,FALSE()),FALSE())),VLOOKUP($A58,VOLCURVES,HLOOKUP($B$3,VOLCURVES,2,FALSE()),FALSE()),1)</f>
        <v>0.98</v>
      </c>
      <c r="N58" s="131" t="n">
        <f aca="false">IF(ISNUMBER(VLOOKUP($A58,VOLCURVES,HLOOKUP($B$4,VOLCURVES,2,FALSE()),FALSE())),VLOOKUP($A58,VOLCURVES,HLOOKUP($B$4,VOLCURVES,2,FALSE()),FALSE()),1)</f>
        <v>1</v>
      </c>
      <c r="O58" s="131" t="n">
        <f aca="false">IF(ISNUMBER(VLOOKUP($A58,CORETABLE,HLOOKUP($B$3,CORETABLE,2,FALSE()),FALSE())),VLOOKUP($A58,CORETABLE,HLOOKUP($B$3,CORETABLE,2,FALSE()),FALSE()),0.99)</f>
        <v>0.980420749757432</v>
      </c>
      <c r="P58" s="155" t="n">
        <f aca="false">B$18</f>
        <v>2</v>
      </c>
      <c r="Q58" s="131"/>
      <c r="R58" s="40" t="n">
        <f aca="false">IF($D$3="NYMEX",0,VLOOKUP($A58,curvesettle,HLOOKUP($D$3,curvesettle,2,FALSE()),FALSE()))</f>
        <v>0.06</v>
      </c>
      <c r="S58" s="40" t="n">
        <f aca="false">IF($D$4="NYMEX",0,VLOOKUP($A58,curvesettle,HLOOKUP($D$4,curvesettle,2,FALSE()),FALSE()))</f>
        <v>0</v>
      </c>
      <c r="T58" s="131" t="n">
        <f aca="false">IF(ISNUMBER(VLOOKUP($A58,VOLCURVES,HLOOKUP($D$3,VOLCURVES,2,FALSE()),FALSE())),VLOOKUP($A58,VOLCURVES,HLOOKUP($D$3,VOLCURVES,2,FALSE()),FALSE()),1)</f>
        <v>1</v>
      </c>
      <c r="U58" s="131" t="n">
        <f aca="false">IF(ISNUMBER(VLOOKUP($A58,VOLCURVES,HLOOKUP($D$4,VOLCURVES,2,FALSE()),FALSE())),VLOOKUP($A58,VOLCURVES,HLOOKUP($D$4,VOLCURVES,2,FALSE()),FALSE()),1)</f>
        <v>1</v>
      </c>
      <c r="V58" s="131" t="n">
        <f aca="false">IF(ISNUMBER(VLOOKUP($A58,CORETABLE,HLOOKUP($D$3,CORETABLE,2,FALSE()),FALSE())),VLOOKUP($A58,CORETABLE,HLOOKUP($D$3,CORETABLE,2,FALSE()),FALSE()),0.99)</f>
        <v>0.994071440191916</v>
      </c>
      <c r="W58" s="155" t="n">
        <f aca="false">D$18</f>
        <v>0.2</v>
      </c>
      <c r="X58" s="131"/>
      <c r="Y58" s="40" t="n">
        <f aca="false">IF($F$3="NYMEX",0,VLOOKUP($A58,curvesettle,HLOOKUP($F$3,curvesettle,2,FALSE()),FALSE()))</f>
        <v>0.395</v>
      </c>
      <c r="Z58" s="40" t="n">
        <f aca="false">IF($F$4="NYMEX",0,VLOOKUP($A58,curvesettle,HLOOKUP($F$4,curvesettle,2,FALSE()),FALSE()))</f>
        <v>0</v>
      </c>
      <c r="AA58" s="131" t="n">
        <f aca="false">IF(ISNUMBER(VLOOKUP($A58,VOLCURVES,HLOOKUP($F$3,VOLCURVES,2,FALSE()),FALSE())),VLOOKUP($A58,VOLCURVES,HLOOKUP($F$3,VOLCURVES,2,FALSE()),FALSE()),1)</f>
        <v>0.98</v>
      </c>
      <c r="AB58" s="131" t="n">
        <f aca="false">IF(ISNUMBER(VLOOKUP($A58,VOLCURVES,HLOOKUP($F$4,VOLCURVES,2,FALSE()),FALSE())),VLOOKUP($A58,VOLCURVES,HLOOKUP($F$4,VOLCURVES,2,FALSE()),FALSE()),1)</f>
        <v>1</v>
      </c>
      <c r="AC58" s="131" t="n">
        <f aca="false">IF(ISNUMBER(VLOOKUP($A58,CORETABLE,HLOOKUP($F$3,CORETABLE,2,FALSE()),FALSE())),VLOOKUP($A58,CORETABLE,HLOOKUP($F$3,CORETABLE,2,FALSE()),FALSE()),1)</f>
        <v>0.980420749757432</v>
      </c>
      <c r="AD58" s="155" t="n">
        <f aca="false">F$18</f>
        <v>1.85</v>
      </c>
      <c r="AE58" s="131"/>
      <c r="AF58" s="40" t="n">
        <f aca="false">IF($H$3="NYMEX",0,VLOOKUP($A58,curvesettle,HLOOKUP($H$3,curvesettle,2,FALSE()),FALSE()))</f>
        <v>0.395</v>
      </c>
      <c r="AG58" s="40" t="n">
        <f aca="false">IF($H$4="NYMEX",0,VLOOKUP($A58,curvesettle,HLOOKUP($H$4,curvesettle,2,FALSE()),FALSE()))</f>
        <v>0</v>
      </c>
      <c r="AH58" s="131" t="n">
        <f aca="false">IF(ISNUMBER(VLOOKUP($A58,VOLCURVES,HLOOKUP($H$3,VOLCURVES,2,FALSE()),FALSE())),VLOOKUP($A58,VOLCURVES,HLOOKUP($H$3,VOLCURVES,2,FALSE()),FALSE()),1)</f>
        <v>0.98</v>
      </c>
      <c r="AI58" s="131" t="n">
        <f aca="false">IF(ISNUMBER(VLOOKUP($A58,VOLCURVES,HLOOKUP($H$4,VOLCURVES,2,FALSE()),FALSE())),VLOOKUP($A58,VOLCURVES,HLOOKUP($H$4,VOLCURVES,2,FALSE()),FALSE()),1)</f>
        <v>1</v>
      </c>
      <c r="AJ58" s="131" t="n">
        <f aca="false">IF(ISNUMBER(VLOOKUP($A58,CORETABLE,HLOOKUP($H$3,CORETABLE,2,FALSE()),FALSE())),VLOOKUP($A58,CORETABLE,HLOOKUP($H$3,CORETABLE,2,FALSE()),FALSE()),1)</f>
        <v>0.980420749757432</v>
      </c>
      <c r="AK58" s="155" t="n">
        <f aca="false">H$18</f>
        <v>1.85</v>
      </c>
      <c r="AM58" s="4" t="n">
        <f aca="false">VLOOKUP($A58,STRADDLE,12,FALSE())</f>
        <v>0.067253392922551</v>
      </c>
      <c r="AN58" s="43" t="n">
        <f aca="false">A59-A58</f>
        <v>30</v>
      </c>
      <c r="AP58" s="9" t="n">
        <f aca="false">IF($A58&gt;=AR$32,IF($A58&lt;=AR$33,$AN58,0),0)</f>
        <v>0</v>
      </c>
      <c r="AQ58" s="123" t="n">
        <f aca="false">$B58+$K58+$B$12</f>
        <v>4.115</v>
      </c>
      <c r="AR58" s="123" t="n">
        <f aca="false">$B58+$L58+$B$13</f>
        <v>3.69</v>
      </c>
      <c r="AS58" s="123" t="n">
        <f aca="false">AQ58*AP58</f>
        <v>0</v>
      </c>
      <c r="AT58" s="123" t="n">
        <f aca="false">AR58*AP58</f>
        <v>0</v>
      </c>
      <c r="AU58" s="156" t="n">
        <f aca="false">($C58*$M58)+$B$14</f>
        <v>0.2842</v>
      </c>
      <c r="AV58" s="156" t="n">
        <f aca="false">($C58*$N58)+$B$15</f>
        <v>0.29</v>
      </c>
      <c r="AW58" s="131" t="n">
        <f aca="false">O58+B$16</f>
        <v>0.980420749757432</v>
      </c>
      <c r="AX58" s="157" t="n">
        <f aca="false">IF(AP58=0,0,SPRDOPT(AQ58,AR58,$P58,$AM58,AU58,AV58,AW58,$D58,$B$19,0))</f>
        <v>0</v>
      </c>
      <c r="AY58" s="157" t="e">
        <f aca="false">IF(AQ58=0,0,SPRDOPT(AQ58,AR58,$P58,$AM58,AU58,AV58,AW58,$D58,$B$19,1))</f>
        <v>#NAME?</v>
      </c>
      <c r="AZ58" s="157" t="e">
        <f aca="false">IF(AR58=0,0,SPRDOPT(AQ58,AR58,$P58,$AM58,AU58,AV58,AW58,$D58,$B$19,2))</f>
        <v>#NAME?</v>
      </c>
      <c r="BA58" s="157" t="n">
        <f aca="false">IF(AS58=0,0,SPRDOPT(AQ58,AR58,$P58,$AM58,AU58,AV58,AW58,$D58,$B$19,3)/100)</f>
        <v>0</v>
      </c>
      <c r="BB58" s="157" t="n">
        <f aca="false">IF(AT58=0,0,SPRDOPT(AQ58,AR58,$P58,$AM58,AU58,AV58,AW58,$D58,$B$19,4)/100)</f>
        <v>0</v>
      </c>
      <c r="BC58" s="157" t="e">
        <f aca="false">IF(AU58=0,0,SPRDOPT(AQ58,AR58,$P58,$AM58,AU58,AV58,AW58,$D58,$B$19,5)/100)</f>
        <v>#NAME?</v>
      </c>
      <c r="BD58" s="157" t="e">
        <f aca="false">IF(AV58=0,0,SPRDOPT(AQ58,AR58,$P58,$AM58,AU58,AV58,AW58,$D58,$B$19,6)/100)</f>
        <v>#NAME?</v>
      </c>
      <c r="BE58" s="157" t="e">
        <f aca="false">IF(AW58=0,0,SPRDOPT(AQ58,AR58,$P58,$AM58,AU58,AV58,AW58,$D58,$B$19,7)/100)</f>
        <v>#NAME?</v>
      </c>
      <c r="BF58" s="157" t="n">
        <f aca="false">IF(AX58=0,0,SPRDOPT(AQ58,AR58,$P58,$AM58,AU58,AV58,AW58,$D58,$B$19,9)/365)</f>
        <v>0</v>
      </c>
      <c r="BG58" s="157" t="e">
        <f aca="false">AY58+AZ58</f>
        <v>#NAME?</v>
      </c>
      <c r="BH58" s="157" t="n">
        <f aca="false">BB58-BA58</f>
        <v>0</v>
      </c>
      <c r="BI58" s="157" t="e">
        <f aca="false">((AU58/AV58)*BC58)+BD58</f>
        <v>#NAME?</v>
      </c>
      <c r="BJ58" s="44"/>
      <c r="BK58" s="45" t="n">
        <f aca="false">$AP58*AX58</f>
        <v>0</v>
      </c>
      <c r="BL58" s="45" t="e">
        <f aca="false">$AP58*AY58</f>
        <v>#NAME?</v>
      </c>
      <c r="BM58" s="45" t="e">
        <f aca="false">$AP58*AZ58</f>
        <v>#NAME?</v>
      </c>
      <c r="BN58" s="45" t="n">
        <f aca="false">$AP58*BA58</f>
        <v>0</v>
      </c>
      <c r="BO58" s="45" t="n">
        <f aca="false">$AP58*BB58</f>
        <v>0</v>
      </c>
      <c r="BP58" s="45" t="e">
        <f aca="false">$AP58*BC58</f>
        <v>#NAME?</v>
      </c>
      <c r="BQ58" s="45" t="e">
        <f aca="false">$AP58*BD58</f>
        <v>#NAME?</v>
      </c>
      <c r="BR58" s="45" t="e">
        <f aca="false">$AP58*BE58</f>
        <v>#NAME?</v>
      </c>
      <c r="BS58" s="45" t="n">
        <f aca="false">$AP58*BF58</f>
        <v>0</v>
      </c>
      <c r="BT58" s="45" t="e">
        <f aca="false">$AP58*BG58</f>
        <v>#NAME?</v>
      </c>
      <c r="BU58" s="45" t="n">
        <f aca="false">$AP58*BH58</f>
        <v>0</v>
      </c>
      <c r="BV58" s="45" t="e">
        <f aca="false">$AP58*BI58</f>
        <v>#NAME?</v>
      </c>
      <c r="BX58" s="9" t="n">
        <f aca="false">IF($A58&gt;=BZ$32,IF($A58&lt;=BZ$33,$AN58,0),0)</f>
        <v>0</v>
      </c>
      <c r="BY58" s="123" t="n">
        <f aca="false">$B58+$R58+$D$12</f>
        <v>3.75</v>
      </c>
      <c r="BZ58" s="123" t="n">
        <f aca="false">$B58+$S58+$D$13</f>
        <v>3.69</v>
      </c>
      <c r="CA58" s="123" t="n">
        <f aca="false">BY58*BX58</f>
        <v>0</v>
      </c>
      <c r="CB58" s="123" t="n">
        <f aca="false">BZ58*BX58</f>
        <v>0</v>
      </c>
      <c r="CC58" s="156" t="n">
        <f aca="false">($C58*$T58)+$D$14</f>
        <v>0.29</v>
      </c>
      <c r="CD58" s="156" t="n">
        <f aca="false">($C58*$U58)+$D$15</f>
        <v>0.29</v>
      </c>
      <c r="CE58" s="131" t="n">
        <f aca="false">$V58+D$16</f>
        <v>0.994071440191916</v>
      </c>
      <c r="CF58" s="157" t="n">
        <f aca="false">IF(BX58=0,0,SPRDOPT(BY58,BZ58,$W58,$AM58,CC58,CD58,CE58,$D58,$D$19,0))</f>
        <v>0</v>
      </c>
      <c r="CG58" s="157" t="e">
        <f aca="false">IF(BY58=0,0,SPRDOPT(BY58,BZ58,$W58,$AM58,CC58,CD58,CE58,$D58,$D$19,1))</f>
        <v>#NAME?</v>
      </c>
      <c r="CH58" s="157" t="e">
        <f aca="false">IF(BZ58=0,0,SPRDOPT(BY58,BZ58,$W58,$AM58,CC58,CD58,CE58,$D58,$D$19,2))</f>
        <v>#NAME?</v>
      </c>
      <c r="CI58" s="157" t="n">
        <f aca="false">IF(CA58=0,0,SPRDOPT(BY58,BZ58,$W58,$AM58,CC58,CD58,CE58,$D58,$D$19,3)/100)</f>
        <v>0</v>
      </c>
      <c r="CJ58" s="157" t="n">
        <f aca="false">IF(CB58=0,0,SPRDOPT(BY58,BZ58,$W58,$AM58,CC58,CD58,CE58,$D58,$D$19,4)/100)</f>
        <v>0</v>
      </c>
      <c r="CK58" s="157" t="e">
        <f aca="false">IF(CC58=0,0,SPRDOPT(BY58,BZ58,$W58,$AM58,CC58,CD58,CE58,$D58,$D$19,5)/100)</f>
        <v>#NAME?</v>
      </c>
      <c r="CL58" s="157" t="e">
        <f aca="false">IF(CD58=0,0,SPRDOPT(BY58,BZ58,$W58,$AM58,CC58,CD58,CE58,$D58,$D$19,6)/100)</f>
        <v>#NAME?</v>
      </c>
      <c r="CM58" s="157" t="e">
        <f aca="false">IF(CE58=0,0,SPRDOPT(BY58,BZ58,$W58,$AM58,CC58,CD58,CE58,$D58,$D$19,7)/100)</f>
        <v>#NAME?</v>
      </c>
      <c r="CN58" s="157" t="n">
        <f aca="false">IF(CF58=0,0,SPRDOPT(BY58,BZ58,$W58,$AM58,CC58,CD58,CE58,$D58,$D$19,9)/365)</f>
        <v>0</v>
      </c>
      <c r="CO58" s="157" t="e">
        <f aca="false">CG58+CH58</f>
        <v>#NAME?</v>
      </c>
      <c r="CP58" s="157" t="n">
        <f aca="false">CJ58-CI58</f>
        <v>0</v>
      </c>
      <c r="CQ58" s="157" t="e">
        <f aca="false">((CC58/CD58)*CK58)+CL58</f>
        <v>#NAME?</v>
      </c>
      <c r="CR58" s="44"/>
      <c r="CS58" s="45" t="n">
        <f aca="false">BX58*CF58</f>
        <v>0</v>
      </c>
      <c r="CT58" s="45" t="e">
        <f aca="false">BX58*CG58</f>
        <v>#NAME?</v>
      </c>
      <c r="CU58" s="45" t="e">
        <f aca="false">BX58*CH58</f>
        <v>#NAME?</v>
      </c>
      <c r="CV58" s="45" t="n">
        <f aca="false">BX58*CI58</f>
        <v>0</v>
      </c>
      <c r="CW58" s="45" t="n">
        <f aca="false">BX58*CJ58</f>
        <v>0</v>
      </c>
      <c r="CX58" s="45" t="e">
        <f aca="false">BX58*CK58</f>
        <v>#NAME?</v>
      </c>
      <c r="CY58" s="45" t="e">
        <f aca="false">BX58*CL58</f>
        <v>#NAME?</v>
      </c>
      <c r="CZ58" s="45" t="e">
        <f aca="false">BX58*CM58</f>
        <v>#NAME?</v>
      </c>
      <c r="DA58" s="45" t="n">
        <f aca="false">BX58*CN58</f>
        <v>0</v>
      </c>
      <c r="DB58" s="45" t="e">
        <f aca="false">BX58*CO58</f>
        <v>#NAME?</v>
      </c>
      <c r="DC58" s="45" t="n">
        <f aca="false">BX58*CP58</f>
        <v>0</v>
      </c>
      <c r="DD58" s="45" t="e">
        <f aca="false">BX58*CQ58</f>
        <v>#NAME?</v>
      </c>
      <c r="DF58" s="9" t="n">
        <f aca="false">IF($A58&gt;=DH$32,IF($A58&lt;=DH$33,$AN58,0),0)</f>
        <v>0</v>
      </c>
      <c r="DG58" s="123" t="n">
        <f aca="false">$B58+$Y58+$F$12</f>
        <v>4.115</v>
      </c>
      <c r="DH58" s="123" t="n">
        <f aca="false">$B58+$Z58+$F$13</f>
        <v>3.69</v>
      </c>
      <c r="DI58" s="123" t="n">
        <f aca="false">DG58*DF58</f>
        <v>0</v>
      </c>
      <c r="DJ58" s="123" t="n">
        <f aca="false">DH58*DF58</f>
        <v>0</v>
      </c>
      <c r="DK58" s="156" t="n">
        <f aca="false">($C58*$AA58)+$F$14</f>
        <v>0.2842</v>
      </c>
      <c r="DL58" s="156" t="n">
        <f aca="false">($C58*$AB58)+$F$15</f>
        <v>0.29</v>
      </c>
      <c r="DM58" s="131" t="n">
        <f aca="false">$AC58+$F$16</f>
        <v>0.980420749757432</v>
      </c>
      <c r="DN58" s="157" t="n">
        <f aca="false">IF(DF58=0,0,SPRDOPT(DG58,DH58,$AD58,$AM58,DK58,DL58,DM58,$D58,$F$19,0))</f>
        <v>0</v>
      </c>
      <c r="DO58" s="157" t="e">
        <f aca="false">IF(DG58=0,0,SPRDOPT(DG58,DH58,$AD58,$AM58,DK58,DL58,DM58,$D58,$F$19,1))</f>
        <v>#NAME?</v>
      </c>
      <c r="DP58" s="157" t="e">
        <f aca="false">IF(DH58=0,0,SPRDOPT(DG58,DH58,$AD58,$AM58,DK58,DL58,DM58,$D58,$F$19,2))</f>
        <v>#NAME?</v>
      </c>
      <c r="DQ58" s="157" t="n">
        <f aca="false">IF(DI58=0,0,SPRDOPT(DG58,DH58,$AD58,$AM58,DK58,DL58,DM58,$D58,$F$19,3)/100)</f>
        <v>0</v>
      </c>
      <c r="DR58" s="157" t="n">
        <f aca="false">IF(DJ58=0,0,SPRDOPT(DG58,DH58,$AD58,$AM58,DK58,DL58,DM58,$D58,$F$19,4)/100)</f>
        <v>0</v>
      </c>
      <c r="DS58" s="157" t="e">
        <f aca="false">IF(DK58=0,0,SPRDOPT(DG58,DH58,$AD58,$AM58,DK58,DL58,DM58,$D58,$F$19,5)/100)</f>
        <v>#NAME?</v>
      </c>
      <c r="DT58" s="157" t="e">
        <f aca="false">IF(DL58=0,0,SPRDOPT(DG58,DH58,$AD58,$AM58,DK58,DL58,DM58,$D58,$F$19,6)/100)</f>
        <v>#NAME?</v>
      </c>
      <c r="DU58" s="157" t="e">
        <f aca="false">IF(DM58=0,0,SPRDOPT(DG58,DH58,$AD58,$AM58,DK58,DL58,DM58,$D58,$F$19,7)/100)</f>
        <v>#NAME?</v>
      </c>
      <c r="DV58" s="157" t="n">
        <f aca="false">IF(DN58=0,0,SPRDOPT(DG58,DH58,$AD58,$AM58,DK58,DL58,DM58,$D58,$F$19,9)/365)</f>
        <v>0</v>
      </c>
      <c r="DW58" s="157" t="e">
        <f aca="false">DO58+DP58</f>
        <v>#NAME?</v>
      </c>
      <c r="DX58" s="157" t="n">
        <f aca="false">DR58-DQ58</f>
        <v>0</v>
      </c>
      <c r="DY58" s="157" t="e">
        <f aca="false">((DK58/DL58)*DS58)+DT58</f>
        <v>#NAME?</v>
      </c>
      <c r="DZ58" s="44"/>
      <c r="EA58" s="45" t="n">
        <f aca="false">DF58*DN58</f>
        <v>0</v>
      </c>
      <c r="EB58" s="45" t="e">
        <f aca="false">DF58*DO58</f>
        <v>#NAME?</v>
      </c>
      <c r="EC58" s="45" t="e">
        <f aca="false">DF58*DP58</f>
        <v>#NAME?</v>
      </c>
      <c r="ED58" s="45" t="n">
        <f aca="false">DF58*DQ58</f>
        <v>0</v>
      </c>
      <c r="EE58" s="45" t="n">
        <f aca="false">DF58*DR58</f>
        <v>0</v>
      </c>
      <c r="EF58" s="45" t="e">
        <f aca="false">DF58*DS58</f>
        <v>#NAME?</v>
      </c>
      <c r="EG58" s="45" t="e">
        <f aca="false">DF58*DT58</f>
        <v>#NAME?</v>
      </c>
      <c r="EH58" s="45" t="e">
        <f aca="false">DF58*DU58</f>
        <v>#NAME?</v>
      </c>
      <c r="EI58" s="45" t="n">
        <f aca="false">DF58*DV58</f>
        <v>0</v>
      </c>
      <c r="EJ58" s="45" t="e">
        <f aca="false">DF58*DW58</f>
        <v>#NAME?</v>
      </c>
      <c r="EK58" s="45" t="n">
        <f aca="false">DF58*DX58</f>
        <v>0</v>
      </c>
      <c r="EL58" s="45" t="e">
        <f aca="false">DF58*DY58</f>
        <v>#NAME?</v>
      </c>
      <c r="EN58" s="9" t="n">
        <f aca="false">IF($A58&gt;=EP$32,IF($A58&lt;=EP$33,$AN58,0),0)</f>
        <v>0</v>
      </c>
      <c r="EO58" s="123" t="n">
        <f aca="false">$B58+$AF58+$H$12</f>
        <v>4.115</v>
      </c>
      <c r="EP58" s="123" t="n">
        <f aca="false">$B58+$AG58+$H$13</f>
        <v>3.69</v>
      </c>
      <c r="EQ58" s="123" t="n">
        <f aca="false">EO58*EN58</f>
        <v>0</v>
      </c>
      <c r="ER58" s="123" t="n">
        <f aca="false">EP58*EN58</f>
        <v>0</v>
      </c>
      <c r="ES58" s="156" t="n">
        <f aca="false">($C58*$AH58)+$H$14</f>
        <v>0.2842</v>
      </c>
      <c r="ET58" s="156" t="n">
        <f aca="false">($C58*$AI58)+$H$15</f>
        <v>0.29</v>
      </c>
      <c r="EU58" s="131" t="n">
        <f aca="false">$AJ58+$H$16</f>
        <v>0.980420749757432</v>
      </c>
      <c r="EV58" s="157" t="n">
        <f aca="false">IF(EN58=0,0,SPRDOPT(EO58,EP58,$AK58,$AM58,ES58,ET58,EU58,$D58,$H$19,0))</f>
        <v>0</v>
      </c>
      <c r="EW58" s="157" t="e">
        <f aca="false">IF(EO58=0,0,SPRDOPT(EO58,EP58,$AK58,$AM58,ES58,ET58,EU58,$D58,$H$19,1))</f>
        <v>#NAME?</v>
      </c>
      <c r="EX58" s="157" t="e">
        <f aca="false">IF(EP58=0,0,SPRDOPT(EO58,EP58,$AK58,$AM58,ES58,ET58,EU58,$D58,$H$19,2))</f>
        <v>#NAME?</v>
      </c>
      <c r="EY58" s="157" t="n">
        <f aca="false">IF(EQ58=0,0,SPRDOPT(EO58,EP58,$AK58,$AM58,ES58,ET58,EU58,$D58,$H$19,3)/100)</f>
        <v>0</v>
      </c>
      <c r="EZ58" s="157" t="n">
        <f aca="false">IF(ER58=0,0,SPRDOPT(EO58,EP58,$AK58,$AM58,ES58,ET58,EU58,$D58,$H$19,4)/100)</f>
        <v>0</v>
      </c>
      <c r="FA58" s="157" t="e">
        <f aca="false">IF(ES58=0,0,SPRDOPT(EO58,EP58,$AK58,$AM58,ES58,ET58,EU58,$D58,$H$19,5)/100)</f>
        <v>#NAME?</v>
      </c>
      <c r="FB58" s="157" t="e">
        <f aca="false">IF(ET58=0,0,SPRDOPT(EO58,EP58,$AK58,$AM58,ES58,ET58,EU58,$D58,$H$19,6)/100)</f>
        <v>#NAME?</v>
      </c>
      <c r="FC58" s="157" t="e">
        <f aca="false">IF(EU58=0,0,SPRDOPT(EO58,EP58,$AK58,$AM58,ES58,ET58,EU58,$D58,$H$19,7)/100)</f>
        <v>#NAME?</v>
      </c>
      <c r="FD58" s="157" t="n">
        <f aca="false">IF(EV58=0,0,SPRDOPT(EO58,EP58,$AK58,$AM58,ES58,ET58,EU58,$D58,$H$19,9)/365)</f>
        <v>0</v>
      </c>
      <c r="FE58" s="157" t="e">
        <f aca="false">EW58+EX58</f>
        <v>#NAME?</v>
      </c>
      <c r="FF58" s="157" t="n">
        <f aca="false">EZ58-EY58</f>
        <v>0</v>
      </c>
      <c r="FG58" s="157" t="e">
        <f aca="false">((ES58/ET58)*FA58)+FB58</f>
        <v>#NAME?</v>
      </c>
      <c r="FH58" s="44"/>
      <c r="FI58" s="45" t="n">
        <f aca="false">$EN58*EV58</f>
        <v>0</v>
      </c>
      <c r="FJ58" s="45" t="e">
        <f aca="false">$EN58*EW58</f>
        <v>#NAME?</v>
      </c>
      <c r="FK58" s="45" t="e">
        <f aca="false">$EN58*EX58</f>
        <v>#NAME?</v>
      </c>
      <c r="FL58" s="45" t="n">
        <f aca="false">$EN58*EY58</f>
        <v>0</v>
      </c>
      <c r="FM58" s="45" t="n">
        <f aca="false">$EN58*EZ58</f>
        <v>0</v>
      </c>
      <c r="FN58" s="45" t="e">
        <f aca="false">$EN58*FA58</f>
        <v>#NAME?</v>
      </c>
      <c r="FO58" s="45" t="e">
        <f aca="false">$EN58*FB58</f>
        <v>#NAME?</v>
      </c>
      <c r="FP58" s="45" t="e">
        <f aca="false">$EN58*FC58</f>
        <v>#NAME?</v>
      </c>
      <c r="FQ58" s="45" t="n">
        <f aca="false">$EN58*FD58</f>
        <v>0</v>
      </c>
      <c r="FR58" s="45" t="e">
        <f aca="false">$EN58*FE58</f>
        <v>#NAME?</v>
      </c>
      <c r="FS58" s="45" t="n">
        <f aca="false">$EN58*FF58</f>
        <v>0</v>
      </c>
      <c r="FT58" s="45" t="e">
        <f aca="false">$EN58*FG58</f>
        <v>#NAME?</v>
      </c>
    </row>
    <row r="59" customFormat="false" ht="12.75" hidden="false" customHeight="false" outlineLevel="0" collapsed="false">
      <c r="A59" s="48" t="n">
        <f aca="false">DATE(YEAR(A58),MONTH(A58)+1,1)</f>
        <v>37438</v>
      </c>
      <c r="B59" s="40" t="n">
        <f aca="false">VLOOKUP(A59,STRADDLE,5,FALSE())</f>
        <v>3.7</v>
      </c>
      <c r="C59" s="4" t="n">
        <f aca="false">VLOOKUP(A59,STRADDLE,8,FALSE())</f>
        <v>0.29</v>
      </c>
      <c r="D59" s="136" t="n">
        <f aca="false">VLOOKUP(A59,expiration,2,FALSE())-$B$2</f>
        <v>-8493</v>
      </c>
      <c r="E59" s="131" t="e">
        <f aca="false">AY59</f>
        <v>#NAME?</v>
      </c>
      <c r="F59" s="131" t="e">
        <f aca="false">CG59</f>
        <v>#NAME?</v>
      </c>
      <c r="G59" s="131" t="e">
        <f aca="false">DO59</f>
        <v>#NAME?</v>
      </c>
      <c r="H59" s="131" t="e">
        <f aca="false">EW59</f>
        <v>#NAME?</v>
      </c>
      <c r="I59" s="41"/>
      <c r="J59" s="154"/>
      <c r="K59" s="40" t="n">
        <f aca="false">IF($B$3="NYMEX",0,VLOOKUP($A59,curvesettle,HLOOKUP($B$3,curvesettle,2,FALSE()),FALSE()))</f>
        <v>0.43</v>
      </c>
      <c r="L59" s="40" t="n">
        <f aca="false">IF($B$4="NYMEX",0,VLOOKUP($A59,curvesettle,HLOOKUP($B$4,curvesettle,2,FALSE()),FALSE()))</f>
        <v>0</v>
      </c>
      <c r="M59" s="131" t="n">
        <f aca="false">IF(ISNUMBER(VLOOKUP($A59,VOLCURVES,HLOOKUP($B$3,VOLCURVES,2,FALSE()),FALSE())),VLOOKUP($A59,VOLCURVES,HLOOKUP($B$3,VOLCURVES,2,FALSE()),FALSE()),1)</f>
        <v>0.98</v>
      </c>
      <c r="N59" s="131" t="n">
        <f aca="false">IF(ISNUMBER(VLOOKUP($A59,VOLCURVES,HLOOKUP($B$4,VOLCURVES,2,FALSE()),FALSE())),VLOOKUP($A59,VOLCURVES,HLOOKUP($B$4,VOLCURVES,2,FALSE()),FALSE()),1)</f>
        <v>1</v>
      </c>
      <c r="O59" s="131" t="n">
        <f aca="false">IF(ISNUMBER(VLOOKUP($A59,CORETABLE,HLOOKUP($B$3,CORETABLE,2,FALSE()),FALSE())),VLOOKUP($A59,CORETABLE,HLOOKUP($B$3,CORETABLE,2,FALSE()),FALSE()),0.99)</f>
        <v>0.980420749757432</v>
      </c>
      <c r="P59" s="155" t="n">
        <f aca="false">B$18</f>
        <v>2</v>
      </c>
      <c r="Q59" s="131"/>
      <c r="R59" s="40" t="n">
        <f aca="false">IF($D$3="NYMEX",0,VLOOKUP($A59,curvesettle,HLOOKUP($D$3,curvesettle,2,FALSE()),FALSE()))</f>
        <v>0.05</v>
      </c>
      <c r="S59" s="40" t="n">
        <f aca="false">IF($D$4="NYMEX",0,VLOOKUP($A59,curvesettle,HLOOKUP($D$4,curvesettle,2,FALSE()),FALSE()))</f>
        <v>0</v>
      </c>
      <c r="T59" s="131" t="n">
        <f aca="false">IF(ISNUMBER(VLOOKUP($A59,VOLCURVES,HLOOKUP($D$3,VOLCURVES,2,FALSE()),FALSE())),VLOOKUP($A59,VOLCURVES,HLOOKUP($D$3,VOLCURVES,2,FALSE()),FALSE()),1)</f>
        <v>1</v>
      </c>
      <c r="U59" s="131" t="n">
        <f aca="false">IF(ISNUMBER(VLOOKUP($A59,VOLCURVES,HLOOKUP($D$4,VOLCURVES,2,FALSE()),FALSE())),VLOOKUP($A59,VOLCURVES,HLOOKUP($D$4,VOLCURVES,2,FALSE()),FALSE()),1)</f>
        <v>1</v>
      </c>
      <c r="V59" s="131" t="n">
        <f aca="false">IF(ISNUMBER(VLOOKUP($A59,CORETABLE,HLOOKUP($D$3,CORETABLE,2,FALSE()),FALSE())),VLOOKUP($A59,CORETABLE,HLOOKUP($D$3,CORETABLE,2,FALSE()),FALSE()),0.99)</f>
        <v>0.994071440191916</v>
      </c>
      <c r="W59" s="155" t="n">
        <f aca="false">D$18</f>
        <v>0.2</v>
      </c>
      <c r="X59" s="131"/>
      <c r="Y59" s="40" t="n">
        <f aca="false">IF($F$3="NYMEX",0,VLOOKUP($A59,curvesettle,HLOOKUP($F$3,curvesettle,2,FALSE()),FALSE()))</f>
        <v>0.43</v>
      </c>
      <c r="Z59" s="40" t="n">
        <f aca="false">IF($F$4="NYMEX",0,VLOOKUP($A59,curvesettle,HLOOKUP($F$4,curvesettle,2,FALSE()),FALSE()))</f>
        <v>0</v>
      </c>
      <c r="AA59" s="131" t="n">
        <f aca="false">IF(ISNUMBER(VLOOKUP($A59,VOLCURVES,HLOOKUP($F$3,VOLCURVES,2,FALSE()),FALSE())),VLOOKUP($A59,VOLCURVES,HLOOKUP($F$3,VOLCURVES,2,FALSE()),FALSE()),1)</f>
        <v>0.98</v>
      </c>
      <c r="AB59" s="131" t="n">
        <f aca="false">IF(ISNUMBER(VLOOKUP($A59,VOLCURVES,HLOOKUP($F$4,VOLCURVES,2,FALSE()),FALSE())),VLOOKUP($A59,VOLCURVES,HLOOKUP($F$4,VOLCURVES,2,FALSE()),FALSE()),1)</f>
        <v>1</v>
      </c>
      <c r="AC59" s="131" t="n">
        <f aca="false">IF(ISNUMBER(VLOOKUP($A59,CORETABLE,HLOOKUP($F$3,CORETABLE,2,FALSE()),FALSE())),VLOOKUP($A59,CORETABLE,HLOOKUP($F$3,CORETABLE,2,FALSE()),FALSE()),1)</f>
        <v>0.980420749757432</v>
      </c>
      <c r="AD59" s="155" t="n">
        <f aca="false">F$18</f>
        <v>1.85</v>
      </c>
      <c r="AE59" s="131"/>
      <c r="AF59" s="40" t="n">
        <f aca="false">IF($H$3="NYMEX",0,VLOOKUP($A59,curvesettle,HLOOKUP($H$3,curvesettle,2,FALSE()),FALSE()))</f>
        <v>0.43</v>
      </c>
      <c r="AG59" s="40" t="n">
        <f aca="false">IF($H$4="NYMEX",0,VLOOKUP($A59,curvesettle,HLOOKUP($H$4,curvesettle,2,FALSE()),FALSE()))</f>
        <v>0</v>
      </c>
      <c r="AH59" s="131" t="n">
        <f aca="false">IF(ISNUMBER(VLOOKUP($A59,VOLCURVES,HLOOKUP($H$3,VOLCURVES,2,FALSE()),FALSE())),VLOOKUP($A59,VOLCURVES,HLOOKUP($H$3,VOLCURVES,2,FALSE()),FALSE()),1)</f>
        <v>0.98</v>
      </c>
      <c r="AI59" s="131" t="n">
        <f aca="false">IF(ISNUMBER(VLOOKUP($A59,VOLCURVES,HLOOKUP($H$4,VOLCURVES,2,FALSE()),FALSE())),VLOOKUP($A59,VOLCURVES,HLOOKUP($H$4,VOLCURVES,2,FALSE()),FALSE()),1)</f>
        <v>1</v>
      </c>
      <c r="AJ59" s="131" t="n">
        <f aca="false">IF(ISNUMBER(VLOOKUP($A59,CORETABLE,HLOOKUP($H$3,CORETABLE,2,FALSE()),FALSE())),VLOOKUP($A59,CORETABLE,HLOOKUP($H$3,CORETABLE,2,FALSE()),FALSE()),1)</f>
        <v>0.980420749757432</v>
      </c>
      <c r="AK59" s="155" t="n">
        <f aca="false">H$18</f>
        <v>1.85</v>
      </c>
      <c r="AM59" s="4" t="n">
        <f aca="false">VLOOKUP($A59,STRADDLE,12,FALSE())</f>
        <v>0.067230480386273</v>
      </c>
      <c r="AN59" s="43" t="n">
        <f aca="false">A60-A59</f>
        <v>31</v>
      </c>
      <c r="AP59" s="9" t="n">
        <f aca="false">IF($A59&gt;=AR$32,IF($A59&lt;=AR$33,$AN59,0),0)</f>
        <v>0</v>
      </c>
      <c r="AQ59" s="123" t="n">
        <f aca="false">$B59+$K59+$B$12</f>
        <v>4.16</v>
      </c>
      <c r="AR59" s="123" t="n">
        <f aca="false">$B59+$L59+$B$13</f>
        <v>3.7</v>
      </c>
      <c r="AS59" s="123" t="n">
        <f aca="false">AQ59*AP59</f>
        <v>0</v>
      </c>
      <c r="AT59" s="123" t="n">
        <f aca="false">AR59*AP59</f>
        <v>0</v>
      </c>
      <c r="AU59" s="156" t="n">
        <f aca="false">($C59*$M59)+$B$14</f>
        <v>0.2842</v>
      </c>
      <c r="AV59" s="156" t="n">
        <f aca="false">($C59*$N59)+$B$15</f>
        <v>0.29</v>
      </c>
      <c r="AW59" s="131" t="n">
        <f aca="false">O59+B$16</f>
        <v>0.980420749757432</v>
      </c>
      <c r="AX59" s="157" t="n">
        <f aca="false">IF(AP59=0,0,SPRDOPT(AQ59,AR59,$P59,$AM59,AU59,AV59,AW59,$D59,$B$19,0))</f>
        <v>0</v>
      </c>
      <c r="AY59" s="157" t="e">
        <f aca="false">IF(AQ59=0,0,SPRDOPT(AQ59,AR59,$P59,$AM59,AU59,AV59,AW59,$D59,$B$19,1))</f>
        <v>#NAME?</v>
      </c>
      <c r="AZ59" s="157" t="e">
        <f aca="false">IF(AR59=0,0,SPRDOPT(AQ59,AR59,$P59,$AM59,AU59,AV59,AW59,$D59,$B$19,2))</f>
        <v>#NAME?</v>
      </c>
      <c r="BA59" s="157" t="n">
        <f aca="false">IF(AS59=0,0,SPRDOPT(AQ59,AR59,$P59,$AM59,AU59,AV59,AW59,$D59,$B$19,3)/100)</f>
        <v>0</v>
      </c>
      <c r="BB59" s="157" t="n">
        <f aca="false">IF(AT59=0,0,SPRDOPT(AQ59,AR59,$P59,$AM59,AU59,AV59,AW59,$D59,$B$19,4)/100)</f>
        <v>0</v>
      </c>
      <c r="BC59" s="157" t="e">
        <f aca="false">IF(AU59=0,0,SPRDOPT(AQ59,AR59,$P59,$AM59,AU59,AV59,AW59,$D59,$B$19,5)/100)</f>
        <v>#NAME?</v>
      </c>
      <c r="BD59" s="157" t="e">
        <f aca="false">IF(AV59=0,0,SPRDOPT(AQ59,AR59,$P59,$AM59,AU59,AV59,AW59,$D59,$B$19,6)/100)</f>
        <v>#NAME?</v>
      </c>
      <c r="BE59" s="157" t="e">
        <f aca="false">IF(AW59=0,0,SPRDOPT(AQ59,AR59,$P59,$AM59,AU59,AV59,AW59,$D59,$B$19,7)/100)</f>
        <v>#NAME?</v>
      </c>
      <c r="BF59" s="157" t="n">
        <f aca="false">IF(AX59=0,0,SPRDOPT(AQ59,AR59,$P59,$AM59,AU59,AV59,AW59,$D59,$B$19,9)/365)</f>
        <v>0</v>
      </c>
      <c r="BG59" s="157" t="e">
        <f aca="false">AY59+AZ59</f>
        <v>#NAME?</v>
      </c>
      <c r="BH59" s="157" t="n">
        <f aca="false">BB59-BA59</f>
        <v>0</v>
      </c>
      <c r="BI59" s="157" t="e">
        <f aca="false">((AU59/AV59)*BC59)+BD59</f>
        <v>#NAME?</v>
      </c>
      <c r="BJ59" s="44"/>
      <c r="BK59" s="45" t="n">
        <f aca="false">$AP59*AX59</f>
        <v>0</v>
      </c>
      <c r="BL59" s="45" t="e">
        <f aca="false">$AP59*AY59</f>
        <v>#NAME?</v>
      </c>
      <c r="BM59" s="45" t="e">
        <f aca="false">$AP59*AZ59</f>
        <v>#NAME?</v>
      </c>
      <c r="BN59" s="45" t="n">
        <f aca="false">$AP59*BA59</f>
        <v>0</v>
      </c>
      <c r="BO59" s="45" t="n">
        <f aca="false">$AP59*BB59</f>
        <v>0</v>
      </c>
      <c r="BP59" s="45" t="e">
        <f aca="false">$AP59*BC59</f>
        <v>#NAME?</v>
      </c>
      <c r="BQ59" s="45" t="e">
        <f aca="false">$AP59*BD59</f>
        <v>#NAME?</v>
      </c>
      <c r="BR59" s="45" t="e">
        <f aca="false">$AP59*BE59</f>
        <v>#NAME?</v>
      </c>
      <c r="BS59" s="45" t="n">
        <f aca="false">$AP59*BF59</f>
        <v>0</v>
      </c>
      <c r="BT59" s="45" t="e">
        <f aca="false">$AP59*BG59</f>
        <v>#NAME?</v>
      </c>
      <c r="BU59" s="45" t="n">
        <f aca="false">$AP59*BH59</f>
        <v>0</v>
      </c>
      <c r="BV59" s="45" t="e">
        <f aca="false">$AP59*BI59</f>
        <v>#NAME?</v>
      </c>
      <c r="BX59" s="9" t="n">
        <f aca="false">IF($A59&gt;=BZ$32,IF($A59&lt;=BZ$33,$AN59,0),0)</f>
        <v>0</v>
      </c>
      <c r="BY59" s="123" t="n">
        <f aca="false">$B59+$R59+$D$12</f>
        <v>3.75</v>
      </c>
      <c r="BZ59" s="123" t="n">
        <f aca="false">$B59+$S59+$D$13</f>
        <v>3.7</v>
      </c>
      <c r="CA59" s="123" t="n">
        <f aca="false">BY59*BX59</f>
        <v>0</v>
      </c>
      <c r="CB59" s="123" t="n">
        <f aca="false">BZ59*BX59</f>
        <v>0</v>
      </c>
      <c r="CC59" s="156" t="n">
        <f aca="false">($C59*$T59)+$D$14</f>
        <v>0.29</v>
      </c>
      <c r="CD59" s="156" t="n">
        <f aca="false">($C59*$U59)+$D$15</f>
        <v>0.29</v>
      </c>
      <c r="CE59" s="131" t="n">
        <f aca="false">$V59+D$16</f>
        <v>0.994071440191916</v>
      </c>
      <c r="CF59" s="157" t="n">
        <f aca="false">IF(BX59=0,0,SPRDOPT(BY59,BZ59,$W59,$AM59,CC59,CD59,CE59,$D59,$D$19,0))</f>
        <v>0</v>
      </c>
      <c r="CG59" s="157" t="e">
        <f aca="false">IF(BY59=0,0,SPRDOPT(BY59,BZ59,$W59,$AM59,CC59,CD59,CE59,$D59,$D$19,1))</f>
        <v>#NAME?</v>
      </c>
      <c r="CH59" s="157" t="e">
        <f aca="false">IF(BZ59=0,0,SPRDOPT(BY59,BZ59,$W59,$AM59,CC59,CD59,CE59,$D59,$D$19,2))</f>
        <v>#NAME?</v>
      </c>
      <c r="CI59" s="157" t="n">
        <f aca="false">IF(CA59=0,0,SPRDOPT(BY59,BZ59,$W59,$AM59,CC59,CD59,CE59,$D59,$D$19,3)/100)</f>
        <v>0</v>
      </c>
      <c r="CJ59" s="157" t="n">
        <f aca="false">IF(CB59=0,0,SPRDOPT(BY59,BZ59,$W59,$AM59,CC59,CD59,CE59,$D59,$D$19,4)/100)</f>
        <v>0</v>
      </c>
      <c r="CK59" s="157" t="e">
        <f aca="false">IF(CC59=0,0,SPRDOPT(BY59,BZ59,$W59,$AM59,CC59,CD59,CE59,$D59,$D$19,5)/100)</f>
        <v>#NAME?</v>
      </c>
      <c r="CL59" s="157" t="e">
        <f aca="false">IF(CD59=0,0,SPRDOPT(BY59,BZ59,$W59,$AM59,CC59,CD59,CE59,$D59,$D$19,6)/100)</f>
        <v>#NAME?</v>
      </c>
      <c r="CM59" s="157" t="e">
        <f aca="false">IF(CE59=0,0,SPRDOPT(BY59,BZ59,$W59,$AM59,CC59,CD59,CE59,$D59,$D$19,7)/100)</f>
        <v>#NAME?</v>
      </c>
      <c r="CN59" s="157" t="n">
        <f aca="false">IF(CF59=0,0,SPRDOPT(BY59,BZ59,$W59,$AM59,CC59,CD59,CE59,$D59,$D$19,9)/365)</f>
        <v>0</v>
      </c>
      <c r="CO59" s="157" t="e">
        <f aca="false">CG59+CH59</f>
        <v>#NAME?</v>
      </c>
      <c r="CP59" s="157" t="n">
        <f aca="false">CJ59-CI59</f>
        <v>0</v>
      </c>
      <c r="CQ59" s="157" t="e">
        <f aca="false">((CC59/CD59)*CK59)+CL59</f>
        <v>#NAME?</v>
      </c>
      <c r="CR59" s="44"/>
      <c r="CS59" s="45" t="n">
        <f aca="false">BX59*CF59</f>
        <v>0</v>
      </c>
      <c r="CT59" s="45" t="e">
        <f aca="false">BX59*CG59</f>
        <v>#NAME?</v>
      </c>
      <c r="CU59" s="45" t="e">
        <f aca="false">BX59*CH59</f>
        <v>#NAME?</v>
      </c>
      <c r="CV59" s="45" t="n">
        <f aca="false">BX59*CI59</f>
        <v>0</v>
      </c>
      <c r="CW59" s="45" t="n">
        <f aca="false">BX59*CJ59</f>
        <v>0</v>
      </c>
      <c r="CX59" s="45" t="e">
        <f aca="false">BX59*CK59</f>
        <v>#NAME?</v>
      </c>
      <c r="CY59" s="45" t="e">
        <f aca="false">BX59*CL59</f>
        <v>#NAME?</v>
      </c>
      <c r="CZ59" s="45" t="e">
        <f aca="false">BX59*CM59</f>
        <v>#NAME?</v>
      </c>
      <c r="DA59" s="45" t="n">
        <f aca="false">BX59*CN59</f>
        <v>0</v>
      </c>
      <c r="DB59" s="45" t="e">
        <f aca="false">BX59*CO59</f>
        <v>#NAME?</v>
      </c>
      <c r="DC59" s="45" t="n">
        <f aca="false">BX59*CP59</f>
        <v>0</v>
      </c>
      <c r="DD59" s="45" t="e">
        <f aca="false">BX59*CQ59</f>
        <v>#NAME?</v>
      </c>
      <c r="DF59" s="9" t="n">
        <f aca="false">IF($A59&gt;=DH$32,IF($A59&lt;=DH$33,$AN59,0),0)</f>
        <v>0</v>
      </c>
      <c r="DG59" s="123" t="n">
        <f aca="false">$B59+$Y59+$F$12</f>
        <v>4.16</v>
      </c>
      <c r="DH59" s="123" t="n">
        <f aca="false">$B59+$Z59+$F$13</f>
        <v>3.7</v>
      </c>
      <c r="DI59" s="123" t="n">
        <f aca="false">DG59*DF59</f>
        <v>0</v>
      </c>
      <c r="DJ59" s="123" t="n">
        <f aca="false">DH59*DF59</f>
        <v>0</v>
      </c>
      <c r="DK59" s="156" t="n">
        <f aca="false">($C59*$AA59)+$F$14</f>
        <v>0.2842</v>
      </c>
      <c r="DL59" s="156" t="n">
        <f aca="false">($C59*$AB59)+$F$15</f>
        <v>0.29</v>
      </c>
      <c r="DM59" s="131" t="n">
        <f aca="false">$AC59+$F$16</f>
        <v>0.980420749757432</v>
      </c>
      <c r="DN59" s="157" t="n">
        <f aca="false">IF(DF59=0,0,SPRDOPT(DG59,DH59,$AD59,$AM59,DK59,DL59,DM59,$D59,$F$19,0))</f>
        <v>0</v>
      </c>
      <c r="DO59" s="157" t="e">
        <f aca="false">IF(DG59=0,0,SPRDOPT(DG59,DH59,$AD59,$AM59,DK59,DL59,DM59,$D59,$F$19,1))</f>
        <v>#NAME?</v>
      </c>
      <c r="DP59" s="157" t="e">
        <f aca="false">IF(DH59=0,0,SPRDOPT(DG59,DH59,$AD59,$AM59,DK59,DL59,DM59,$D59,$F$19,2))</f>
        <v>#NAME?</v>
      </c>
      <c r="DQ59" s="157" t="n">
        <f aca="false">IF(DI59=0,0,SPRDOPT(DG59,DH59,$AD59,$AM59,DK59,DL59,DM59,$D59,$F$19,3)/100)</f>
        <v>0</v>
      </c>
      <c r="DR59" s="157" t="n">
        <f aca="false">IF(DJ59=0,0,SPRDOPT(DG59,DH59,$AD59,$AM59,DK59,DL59,DM59,$D59,$F$19,4)/100)</f>
        <v>0</v>
      </c>
      <c r="DS59" s="157" t="e">
        <f aca="false">IF(DK59=0,0,SPRDOPT(DG59,DH59,$AD59,$AM59,DK59,DL59,DM59,$D59,$F$19,5)/100)</f>
        <v>#NAME?</v>
      </c>
      <c r="DT59" s="157" t="e">
        <f aca="false">IF(DL59=0,0,SPRDOPT(DG59,DH59,$AD59,$AM59,DK59,DL59,DM59,$D59,$F$19,6)/100)</f>
        <v>#NAME?</v>
      </c>
      <c r="DU59" s="157" t="e">
        <f aca="false">IF(DM59=0,0,SPRDOPT(DG59,DH59,$AD59,$AM59,DK59,DL59,DM59,$D59,$F$19,7)/100)</f>
        <v>#NAME?</v>
      </c>
      <c r="DV59" s="157" t="n">
        <f aca="false">IF(DN59=0,0,SPRDOPT(DG59,DH59,$AD59,$AM59,DK59,DL59,DM59,$D59,$F$19,9)/365)</f>
        <v>0</v>
      </c>
      <c r="DW59" s="157" t="e">
        <f aca="false">DO59+DP59</f>
        <v>#NAME?</v>
      </c>
      <c r="DX59" s="157" t="n">
        <f aca="false">DR59-DQ59</f>
        <v>0</v>
      </c>
      <c r="DY59" s="157" t="e">
        <f aca="false">((DK59/DL59)*DS59)+DT59</f>
        <v>#NAME?</v>
      </c>
      <c r="DZ59" s="44"/>
      <c r="EA59" s="45" t="n">
        <f aca="false">DF59*DN59</f>
        <v>0</v>
      </c>
      <c r="EB59" s="45" t="e">
        <f aca="false">DF59*DO59</f>
        <v>#NAME?</v>
      </c>
      <c r="EC59" s="45" t="e">
        <f aca="false">DF59*DP59</f>
        <v>#NAME?</v>
      </c>
      <c r="ED59" s="45" t="n">
        <f aca="false">DF59*DQ59</f>
        <v>0</v>
      </c>
      <c r="EE59" s="45" t="n">
        <f aca="false">DF59*DR59</f>
        <v>0</v>
      </c>
      <c r="EF59" s="45" t="e">
        <f aca="false">DF59*DS59</f>
        <v>#NAME?</v>
      </c>
      <c r="EG59" s="45" t="e">
        <f aca="false">DF59*DT59</f>
        <v>#NAME?</v>
      </c>
      <c r="EH59" s="45" t="e">
        <f aca="false">DF59*DU59</f>
        <v>#NAME?</v>
      </c>
      <c r="EI59" s="45" t="n">
        <f aca="false">DF59*DV59</f>
        <v>0</v>
      </c>
      <c r="EJ59" s="45" t="e">
        <f aca="false">DF59*DW59</f>
        <v>#NAME?</v>
      </c>
      <c r="EK59" s="45" t="n">
        <f aca="false">DF59*DX59</f>
        <v>0</v>
      </c>
      <c r="EL59" s="45" t="e">
        <f aca="false">DF59*DY59</f>
        <v>#NAME?</v>
      </c>
      <c r="EN59" s="9" t="n">
        <f aca="false">IF($A59&gt;=EP$32,IF($A59&lt;=EP$33,$AN59,0),0)</f>
        <v>0</v>
      </c>
      <c r="EO59" s="123" t="n">
        <f aca="false">$B59+$AF59+$H$12</f>
        <v>4.16</v>
      </c>
      <c r="EP59" s="123" t="n">
        <f aca="false">$B59+$AG59+$H$13</f>
        <v>3.7</v>
      </c>
      <c r="EQ59" s="123" t="n">
        <f aca="false">EO59*EN59</f>
        <v>0</v>
      </c>
      <c r="ER59" s="123" t="n">
        <f aca="false">EP59*EN59</f>
        <v>0</v>
      </c>
      <c r="ES59" s="156" t="n">
        <f aca="false">($C59*$AH59)+$H$14</f>
        <v>0.2842</v>
      </c>
      <c r="ET59" s="156" t="n">
        <f aca="false">($C59*$AI59)+$H$15</f>
        <v>0.29</v>
      </c>
      <c r="EU59" s="131" t="n">
        <f aca="false">$AJ59+$H$16</f>
        <v>0.980420749757432</v>
      </c>
      <c r="EV59" s="157" t="n">
        <f aca="false">IF(EN59=0,0,SPRDOPT(EO59,EP59,$AK59,$AM59,ES59,ET59,EU59,$D59,$H$19,0))</f>
        <v>0</v>
      </c>
      <c r="EW59" s="157" t="e">
        <f aca="false">IF(EO59=0,0,SPRDOPT(EO59,EP59,$AK59,$AM59,ES59,ET59,EU59,$D59,$H$19,1))</f>
        <v>#NAME?</v>
      </c>
      <c r="EX59" s="157" t="e">
        <f aca="false">IF(EP59=0,0,SPRDOPT(EO59,EP59,$AK59,$AM59,ES59,ET59,EU59,$D59,$H$19,2))</f>
        <v>#NAME?</v>
      </c>
      <c r="EY59" s="157" t="n">
        <f aca="false">IF(EQ59=0,0,SPRDOPT(EO59,EP59,$AK59,$AM59,ES59,ET59,EU59,$D59,$H$19,3)/100)</f>
        <v>0</v>
      </c>
      <c r="EZ59" s="157" t="n">
        <f aca="false">IF(ER59=0,0,SPRDOPT(EO59,EP59,$AK59,$AM59,ES59,ET59,EU59,$D59,$H$19,4)/100)</f>
        <v>0</v>
      </c>
      <c r="FA59" s="157" t="e">
        <f aca="false">IF(ES59=0,0,SPRDOPT(EO59,EP59,$AK59,$AM59,ES59,ET59,EU59,$D59,$H$19,5)/100)</f>
        <v>#NAME?</v>
      </c>
      <c r="FB59" s="157" t="e">
        <f aca="false">IF(ET59=0,0,SPRDOPT(EO59,EP59,$AK59,$AM59,ES59,ET59,EU59,$D59,$H$19,6)/100)</f>
        <v>#NAME?</v>
      </c>
      <c r="FC59" s="157" t="e">
        <f aca="false">IF(EU59=0,0,SPRDOPT(EO59,EP59,$AK59,$AM59,ES59,ET59,EU59,$D59,$H$19,7)/100)</f>
        <v>#NAME?</v>
      </c>
      <c r="FD59" s="157" t="n">
        <f aca="false">IF(EV59=0,0,SPRDOPT(EO59,EP59,$AK59,$AM59,ES59,ET59,EU59,$D59,$H$19,9)/365)</f>
        <v>0</v>
      </c>
      <c r="FE59" s="157" t="e">
        <f aca="false">EW59+EX59</f>
        <v>#NAME?</v>
      </c>
      <c r="FF59" s="157" t="n">
        <f aca="false">EZ59-EY59</f>
        <v>0</v>
      </c>
      <c r="FG59" s="157" t="e">
        <f aca="false">((ES59/ET59)*FA59)+FB59</f>
        <v>#NAME?</v>
      </c>
      <c r="FH59" s="44"/>
      <c r="FI59" s="45" t="n">
        <f aca="false">$EN59*EV59</f>
        <v>0</v>
      </c>
      <c r="FJ59" s="45" t="e">
        <f aca="false">$EN59*EW59</f>
        <v>#NAME?</v>
      </c>
      <c r="FK59" s="45" t="e">
        <f aca="false">$EN59*EX59</f>
        <v>#NAME?</v>
      </c>
      <c r="FL59" s="45" t="n">
        <f aca="false">$EN59*EY59</f>
        <v>0</v>
      </c>
      <c r="FM59" s="45" t="n">
        <f aca="false">$EN59*EZ59</f>
        <v>0</v>
      </c>
      <c r="FN59" s="45" t="e">
        <f aca="false">$EN59*FA59</f>
        <v>#NAME?</v>
      </c>
      <c r="FO59" s="45" t="e">
        <f aca="false">$EN59*FB59</f>
        <v>#NAME?</v>
      </c>
      <c r="FP59" s="45" t="e">
        <f aca="false">$EN59*FC59</f>
        <v>#NAME?</v>
      </c>
      <c r="FQ59" s="45" t="n">
        <f aca="false">$EN59*FD59</f>
        <v>0</v>
      </c>
      <c r="FR59" s="45" t="e">
        <f aca="false">$EN59*FE59</f>
        <v>#NAME?</v>
      </c>
      <c r="FS59" s="45" t="n">
        <f aca="false">$EN59*FF59</f>
        <v>0</v>
      </c>
      <c r="FT59" s="45" t="e">
        <f aca="false">$EN59*FG59</f>
        <v>#NAME?</v>
      </c>
    </row>
    <row r="60" customFormat="false" ht="12.75" hidden="false" customHeight="false" outlineLevel="0" collapsed="false">
      <c r="A60" s="48" t="n">
        <f aca="false">DATE(YEAR(A59),MONTH(A59)+1,1)</f>
        <v>37469</v>
      </c>
      <c r="B60" s="40" t="n">
        <f aca="false">VLOOKUP(A60,STRADDLE,5,FALSE())</f>
        <v>3.71</v>
      </c>
      <c r="C60" s="4" t="n">
        <f aca="false">VLOOKUP(A60,STRADDLE,8,FALSE())</f>
        <v>0.29</v>
      </c>
      <c r="D60" s="136" t="n">
        <f aca="false">VLOOKUP(A60,expiration,2,FALSE())-$B$2</f>
        <v>-8460</v>
      </c>
      <c r="E60" s="131" t="e">
        <f aca="false">AY60</f>
        <v>#NAME?</v>
      </c>
      <c r="F60" s="131" t="e">
        <f aca="false">CG60</f>
        <v>#NAME?</v>
      </c>
      <c r="G60" s="131" t="e">
        <f aca="false">DO60</f>
        <v>#NAME?</v>
      </c>
      <c r="H60" s="131" t="e">
        <f aca="false">EW60</f>
        <v>#NAME?</v>
      </c>
      <c r="I60" s="41"/>
      <c r="J60" s="154"/>
      <c r="K60" s="40" t="n">
        <f aca="false">IF($B$3="NYMEX",0,VLOOKUP($A60,curvesettle,HLOOKUP($B$3,curvesettle,2,FALSE()),FALSE()))</f>
        <v>0.495</v>
      </c>
      <c r="L60" s="40" t="n">
        <f aca="false">IF($B$4="NYMEX",0,VLOOKUP($A60,curvesettle,HLOOKUP($B$4,curvesettle,2,FALSE()),FALSE()))</f>
        <v>0</v>
      </c>
      <c r="M60" s="131" t="n">
        <f aca="false">IF(ISNUMBER(VLOOKUP($A60,VOLCURVES,HLOOKUP($B$3,VOLCURVES,2,FALSE()),FALSE())),VLOOKUP($A60,VOLCURVES,HLOOKUP($B$3,VOLCURVES,2,FALSE()),FALSE()),1)</f>
        <v>0.98</v>
      </c>
      <c r="N60" s="131" t="n">
        <f aca="false">IF(ISNUMBER(VLOOKUP($A60,VOLCURVES,HLOOKUP($B$4,VOLCURVES,2,FALSE()),FALSE())),VLOOKUP($A60,VOLCURVES,HLOOKUP($B$4,VOLCURVES,2,FALSE()),FALSE()),1)</f>
        <v>1</v>
      </c>
      <c r="O60" s="131" t="n">
        <f aca="false">IF(ISNUMBER(VLOOKUP($A60,CORETABLE,HLOOKUP($B$3,CORETABLE,2,FALSE()),FALSE())),VLOOKUP($A60,CORETABLE,HLOOKUP($B$3,CORETABLE,2,FALSE()),FALSE()),0.99)</f>
        <v>0.980420749757432</v>
      </c>
      <c r="P60" s="155" t="n">
        <f aca="false">B$18</f>
        <v>2</v>
      </c>
      <c r="Q60" s="131"/>
      <c r="R60" s="40" t="n">
        <f aca="false">IF($D$3="NYMEX",0,VLOOKUP($A60,curvesettle,HLOOKUP($D$3,curvesettle,2,FALSE()),FALSE()))</f>
        <v>0.0475</v>
      </c>
      <c r="S60" s="40" t="n">
        <f aca="false">IF($D$4="NYMEX",0,VLOOKUP($A60,curvesettle,HLOOKUP($D$4,curvesettle,2,FALSE()),FALSE()))</f>
        <v>0</v>
      </c>
      <c r="T60" s="131" t="n">
        <f aca="false">IF(ISNUMBER(VLOOKUP($A60,VOLCURVES,HLOOKUP($D$3,VOLCURVES,2,FALSE()),FALSE())),VLOOKUP($A60,VOLCURVES,HLOOKUP($D$3,VOLCURVES,2,FALSE()),FALSE()),1)</f>
        <v>1</v>
      </c>
      <c r="U60" s="131" t="n">
        <f aca="false">IF(ISNUMBER(VLOOKUP($A60,VOLCURVES,HLOOKUP($D$4,VOLCURVES,2,FALSE()),FALSE())),VLOOKUP($A60,VOLCURVES,HLOOKUP($D$4,VOLCURVES,2,FALSE()),FALSE()),1)</f>
        <v>1</v>
      </c>
      <c r="V60" s="131" t="n">
        <f aca="false">IF(ISNUMBER(VLOOKUP($A60,CORETABLE,HLOOKUP($D$3,CORETABLE,2,FALSE()),FALSE())),VLOOKUP($A60,CORETABLE,HLOOKUP($D$3,CORETABLE,2,FALSE()),FALSE()),0.99)</f>
        <v>0.994071440191916</v>
      </c>
      <c r="W60" s="155" t="n">
        <f aca="false">D$18</f>
        <v>0.2</v>
      </c>
      <c r="X60" s="131"/>
      <c r="Y60" s="40" t="n">
        <f aca="false">IF($F$3="NYMEX",0,VLOOKUP($A60,curvesettle,HLOOKUP($F$3,curvesettle,2,FALSE()),FALSE()))</f>
        <v>0.495</v>
      </c>
      <c r="Z60" s="40" t="n">
        <f aca="false">IF($F$4="NYMEX",0,VLOOKUP($A60,curvesettle,HLOOKUP($F$4,curvesettle,2,FALSE()),FALSE()))</f>
        <v>0</v>
      </c>
      <c r="AA60" s="131" t="n">
        <f aca="false">IF(ISNUMBER(VLOOKUP($A60,VOLCURVES,HLOOKUP($F$3,VOLCURVES,2,FALSE()),FALSE())),VLOOKUP($A60,VOLCURVES,HLOOKUP($F$3,VOLCURVES,2,FALSE()),FALSE()),1)</f>
        <v>0.98</v>
      </c>
      <c r="AB60" s="131" t="n">
        <f aca="false">IF(ISNUMBER(VLOOKUP($A60,VOLCURVES,HLOOKUP($F$4,VOLCURVES,2,FALSE()),FALSE())),VLOOKUP($A60,VOLCURVES,HLOOKUP($F$4,VOLCURVES,2,FALSE()),FALSE()),1)</f>
        <v>1</v>
      </c>
      <c r="AC60" s="131" t="n">
        <f aca="false">IF(ISNUMBER(VLOOKUP($A60,CORETABLE,HLOOKUP($F$3,CORETABLE,2,FALSE()),FALSE())),VLOOKUP($A60,CORETABLE,HLOOKUP($F$3,CORETABLE,2,FALSE()),FALSE()),1)</f>
        <v>0.980420749757432</v>
      </c>
      <c r="AD60" s="155" t="n">
        <f aca="false">F$18</f>
        <v>1.85</v>
      </c>
      <c r="AE60" s="131"/>
      <c r="AF60" s="40" t="n">
        <f aca="false">IF($H$3="NYMEX",0,VLOOKUP($A60,curvesettle,HLOOKUP($H$3,curvesettle,2,FALSE()),FALSE()))</f>
        <v>0.495</v>
      </c>
      <c r="AG60" s="40" t="n">
        <f aca="false">IF($H$4="NYMEX",0,VLOOKUP($A60,curvesettle,HLOOKUP($H$4,curvesettle,2,FALSE()),FALSE()))</f>
        <v>0</v>
      </c>
      <c r="AH60" s="131" t="n">
        <f aca="false">IF(ISNUMBER(VLOOKUP($A60,VOLCURVES,HLOOKUP($H$3,VOLCURVES,2,FALSE()),FALSE())),VLOOKUP($A60,VOLCURVES,HLOOKUP($H$3,VOLCURVES,2,FALSE()),FALSE()),1)</f>
        <v>0.98</v>
      </c>
      <c r="AI60" s="131" t="n">
        <f aca="false">IF(ISNUMBER(VLOOKUP($A60,VOLCURVES,HLOOKUP($H$4,VOLCURVES,2,FALSE()),FALSE())),VLOOKUP($A60,VOLCURVES,HLOOKUP($H$4,VOLCURVES,2,FALSE()),FALSE()),1)</f>
        <v>1</v>
      </c>
      <c r="AJ60" s="131" t="n">
        <f aca="false">IF(ISNUMBER(VLOOKUP($A60,CORETABLE,HLOOKUP($H$3,CORETABLE,2,FALSE()),FALSE())),VLOOKUP($A60,CORETABLE,HLOOKUP($H$3,CORETABLE,2,FALSE()),FALSE()),1)</f>
        <v>0.980420749757432</v>
      </c>
      <c r="AK60" s="155" t="n">
        <f aca="false">H$18</f>
        <v>1.85</v>
      </c>
      <c r="AM60" s="4" t="n">
        <f aca="false">VLOOKUP($A60,STRADDLE,12,FALSE())</f>
        <v>0.067217129309422</v>
      </c>
      <c r="AN60" s="43" t="n">
        <f aca="false">A61-A60</f>
        <v>31</v>
      </c>
      <c r="AP60" s="9" t="n">
        <f aca="false">IF($A60&gt;=AR$32,IF($A60&lt;=AR$33,$AN60,0),0)</f>
        <v>0</v>
      </c>
      <c r="AQ60" s="123" t="n">
        <f aca="false">$B60+$K60+$B$12</f>
        <v>4.235</v>
      </c>
      <c r="AR60" s="123" t="n">
        <f aca="false">$B60+$L60+$B$13</f>
        <v>3.71</v>
      </c>
      <c r="AS60" s="123" t="n">
        <f aca="false">AQ60*AP60</f>
        <v>0</v>
      </c>
      <c r="AT60" s="123" t="n">
        <f aca="false">AR60*AP60</f>
        <v>0</v>
      </c>
      <c r="AU60" s="156" t="n">
        <f aca="false">($C60*$M60)+$B$14</f>
        <v>0.2842</v>
      </c>
      <c r="AV60" s="156" t="n">
        <f aca="false">($C60*$N60)+$B$15</f>
        <v>0.29</v>
      </c>
      <c r="AW60" s="131" t="n">
        <f aca="false">O60+B$16</f>
        <v>0.980420749757432</v>
      </c>
      <c r="AX60" s="157" t="n">
        <f aca="false">IF(AP60=0,0,SPRDOPT(AQ60,AR60,$P60,$AM60,AU60,AV60,AW60,$D60,$B$19,0))</f>
        <v>0</v>
      </c>
      <c r="AY60" s="157" t="e">
        <f aca="false">IF(AQ60=0,0,SPRDOPT(AQ60,AR60,$P60,$AM60,AU60,AV60,AW60,$D60,$B$19,1))</f>
        <v>#NAME?</v>
      </c>
      <c r="AZ60" s="157" t="e">
        <f aca="false">IF(AR60=0,0,SPRDOPT(AQ60,AR60,$P60,$AM60,AU60,AV60,AW60,$D60,$B$19,2))</f>
        <v>#NAME?</v>
      </c>
      <c r="BA60" s="157" t="n">
        <f aca="false">IF(AS60=0,0,SPRDOPT(AQ60,AR60,$P60,$AM60,AU60,AV60,AW60,$D60,$B$19,3)/100)</f>
        <v>0</v>
      </c>
      <c r="BB60" s="157" t="n">
        <f aca="false">IF(AT60=0,0,SPRDOPT(AQ60,AR60,$P60,$AM60,AU60,AV60,AW60,$D60,$B$19,4)/100)</f>
        <v>0</v>
      </c>
      <c r="BC60" s="157" t="e">
        <f aca="false">IF(AU60=0,0,SPRDOPT(AQ60,AR60,$P60,$AM60,AU60,AV60,AW60,$D60,$B$19,5)/100)</f>
        <v>#NAME?</v>
      </c>
      <c r="BD60" s="157" t="e">
        <f aca="false">IF(AV60=0,0,SPRDOPT(AQ60,AR60,$P60,$AM60,AU60,AV60,AW60,$D60,$B$19,6)/100)</f>
        <v>#NAME?</v>
      </c>
      <c r="BE60" s="157" t="e">
        <f aca="false">IF(AW60=0,0,SPRDOPT(AQ60,AR60,$P60,$AM60,AU60,AV60,AW60,$D60,$B$19,7)/100)</f>
        <v>#NAME?</v>
      </c>
      <c r="BF60" s="157" t="n">
        <f aca="false">IF(AX60=0,0,SPRDOPT(AQ60,AR60,$P60,$AM60,AU60,AV60,AW60,$D60,$B$19,9)/365)</f>
        <v>0</v>
      </c>
      <c r="BG60" s="157" t="e">
        <f aca="false">AY60+AZ60</f>
        <v>#NAME?</v>
      </c>
      <c r="BH60" s="157" t="n">
        <f aca="false">BB60-BA60</f>
        <v>0</v>
      </c>
      <c r="BI60" s="157" t="e">
        <f aca="false">((AU60/AV60)*BC60)+BD60</f>
        <v>#NAME?</v>
      </c>
      <c r="BJ60" s="44"/>
      <c r="BK60" s="45" t="n">
        <f aca="false">$AP60*AX60</f>
        <v>0</v>
      </c>
      <c r="BL60" s="45" t="e">
        <f aca="false">$AP60*AY60</f>
        <v>#NAME?</v>
      </c>
      <c r="BM60" s="45" t="e">
        <f aca="false">$AP60*AZ60</f>
        <v>#NAME?</v>
      </c>
      <c r="BN60" s="45" t="n">
        <f aca="false">$AP60*BA60</f>
        <v>0</v>
      </c>
      <c r="BO60" s="45" t="n">
        <f aca="false">$AP60*BB60</f>
        <v>0</v>
      </c>
      <c r="BP60" s="45" t="e">
        <f aca="false">$AP60*BC60</f>
        <v>#NAME?</v>
      </c>
      <c r="BQ60" s="45" t="e">
        <f aca="false">$AP60*BD60</f>
        <v>#NAME?</v>
      </c>
      <c r="BR60" s="45" t="e">
        <f aca="false">$AP60*BE60</f>
        <v>#NAME?</v>
      </c>
      <c r="BS60" s="45" t="n">
        <f aca="false">$AP60*BF60</f>
        <v>0</v>
      </c>
      <c r="BT60" s="45" t="e">
        <f aca="false">$AP60*BG60</f>
        <v>#NAME?</v>
      </c>
      <c r="BU60" s="45" t="n">
        <f aca="false">$AP60*BH60</f>
        <v>0</v>
      </c>
      <c r="BV60" s="45" t="e">
        <f aca="false">$AP60*BI60</f>
        <v>#NAME?</v>
      </c>
      <c r="BX60" s="9" t="n">
        <f aca="false">IF($A60&gt;=BZ$32,IF($A60&lt;=BZ$33,$AN60,0),0)</f>
        <v>0</v>
      </c>
      <c r="BY60" s="123" t="n">
        <f aca="false">$B60+$R60+$D$12</f>
        <v>3.7575</v>
      </c>
      <c r="BZ60" s="123" t="n">
        <f aca="false">$B60+$S60+$D$13</f>
        <v>3.71</v>
      </c>
      <c r="CA60" s="123" t="n">
        <f aca="false">BY60*BX60</f>
        <v>0</v>
      </c>
      <c r="CB60" s="123" t="n">
        <f aca="false">BZ60*BX60</f>
        <v>0</v>
      </c>
      <c r="CC60" s="156" t="n">
        <f aca="false">($C60*$T60)+$D$14</f>
        <v>0.29</v>
      </c>
      <c r="CD60" s="156" t="n">
        <f aca="false">($C60*$U60)+$D$15</f>
        <v>0.29</v>
      </c>
      <c r="CE60" s="131" t="n">
        <f aca="false">$V60+D$16</f>
        <v>0.994071440191916</v>
      </c>
      <c r="CF60" s="157" t="n">
        <f aca="false">IF(BX60=0,0,SPRDOPT(BY60,BZ60,$W60,$AM60,CC60,CD60,CE60,$D60,$D$19,0))</f>
        <v>0</v>
      </c>
      <c r="CG60" s="157" t="e">
        <f aca="false">IF(BY60=0,0,SPRDOPT(BY60,BZ60,$W60,$AM60,CC60,CD60,CE60,$D60,$D$19,1))</f>
        <v>#NAME?</v>
      </c>
      <c r="CH60" s="157" t="e">
        <f aca="false">IF(BZ60=0,0,SPRDOPT(BY60,BZ60,$W60,$AM60,CC60,CD60,CE60,$D60,$D$19,2))</f>
        <v>#NAME?</v>
      </c>
      <c r="CI60" s="157" t="n">
        <f aca="false">IF(CA60=0,0,SPRDOPT(BY60,BZ60,$W60,$AM60,CC60,CD60,CE60,$D60,$D$19,3)/100)</f>
        <v>0</v>
      </c>
      <c r="CJ60" s="157" t="n">
        <f aca="false">IF(CB60=0,0,SPRDOPT(BY60,BZ60,$W60,$AM60,CC60,CD60,CE60,$D60,$D$19,4)/100)</f>
        <v>0</v>
      </c>
      <c r="CK60" s="157" t="e">
        <f aca="false">IF(CC60=0,0,SPRDOPT(BY60,BZ60,$W60,$AM60,CC60,CD60,CE60,$D60,$D$19,5)/100)</f>
        <v>#NAME?</v>
      </c>
      <c r="CL60" s="157" t="e">
        <f aca="false">IF(CD60=0,0,SPRDOPT(BY60,BZ60,$W60,$AM60,CC60,CD60,CE60,$D60,$D$19,6)/100)</f>
        <v>#NAME?</v>
      </c>
      <c r="CM60" s="157" t="e">
        <f aca="false">IF(CE60=0,0,SPRDOPT(BY60,BZ60,$W60,$AM60,CC60,CD60,CE60,$D60,$D$19,7)/100)</f>
        <v>#NAME?</v>
      </c>
      <c r="CN60" s="157" t="n">
        <f aca="false">IF(CF60=0,0,SPRDOPT(BY60,BZ60,$W60,$AM60,CC60,CD60,CE60,$D60,$D$19,9)/365)</f>
        <v>0</v>
      </c>
      <c r="CO60" s="157" t="e">
        <f aca="false">CG60+CH60</f>
        <v>#NAME?</v>
      </c>
      <c r="CP60" s="157" t="n">
        <f aca="false">CJ60-CI60</f>
        <v>0</v>
      </c>
      <c r="CQ60" s="157" t="e">
        <f aca="false">((CC60/CD60)*CK60)+CL60</f>
        <v>#NAME?</v>
      </c>
      <c r="CR60" s="44"/>
      <c r="CS60" s="45" t="n">
        <f aca="false">BX60*CF60</f>
        <v>0</v>
      </c>
      <c r="CT60" s="45" t="e">
        <f aca="false">BX60*CG60</f>
        <v>#NAME?</v>
      </c>
      <c r="CU60" s="45" t="e">
        <f aca="false">BX60*CH60</f>
        <v>#NAME?</v>
      </c>
      <c r="CV60" s="45" t="n">
        <f aca="false">BX60*CI60</f>
        <v>0</v>
      </c>
      <c r="CW60" s="45" t="n">
        <f aca="false">BX60*CJ60</f>
        <v>0</v>
      </c>
      <c r="CX60" s="45" t="e">
        <f aca="false">BX60*CK60</f>
        <v>#NAME?</v>
      </c>
      <c r="CY60" s="45" t="e">
        <f aca="false">BX60*CL60</f>
        <v>#NAME?</v>
      </c>
      <c r="CZ60" s="45" t="e">
        <f aca="false">BX60*CM60</f>
        <v>#NAME?</v>
      </c>
      <c r="DA60" s="45" t="n">
        <f aca="false">BX60*CN60</f>
        <v>0</v>
      </c>
      <c r="DB60" s="45" t="e">
        <f aca="false">BX60*CO60</f>
        <v>#NAME?</v>
      </c>
      <c r="DC60" s="45" t="n">
        <f aca="false">BX60*CP60</f>
        <v>0</v>
      </c>
      <c r="DD60" s="45" t="e">
        <f aca="false">BX60*CQ60</f>
        <v>#NAME?</v>
      </c>
      <c r="DF60" s="9" t="n">
        <f aca="false">IF($A60&gt;=DH$32,IF($A60&lt;=DH$33,$AN60,0),0)</f>
        <v>0</v>
      </c>
      <c r="DG60" s="123" t="n">
        <f aca="false">$B60+$Y60+$F$12</f>
        <v>4.235</v>
      </c>
      <c r="DH60" s="123" t="n">
        <f aca="false">$B60+$Z60+$F$13</f>
        <v>3.71</v>
      </c>
      <c r="DI60" s="123" t="n">
        <f aca="false">DG60*DF60</f>
        <v>0</v>
      </c>
      <c r="DJ60" s="123" t="n">
        <f aca="false">DH60*DF60</f>
        <v>0</v>
      </c>
      <c r="DK60" s="156" t="n">
        <f aca="false">($C60*$AA60)+$F$14</f>
        <v>0.2842</v>
      </c>
      <c r="DL60" s="156" t="n">
        <f aca="false">($C60*$AB60)+$F$15</f>
        <v>0.29</v>
      </c>
      <c r="DM60" s="131" t="n">
        <f aca="false">$AC60+$F$16</f>
        <v>0.980420749757432</v>
      </c>
      <c r="DN60" s="157" t="n">
        <f aca="false">IF(DF60=0,0,SPRDOPT(DG60,DH60,$AD60,$AM60,DK60,DL60,DM60,$D60,$F$19,0))</f>
        <v>0</v>
      </c>
      <c r="DO60" s="157" t="e">
        <f aca="false">IF(DG60=0,0,SPRDOPT(DG60,DH60,$AD60,$AM60,DK60,DL60,DM60,$D60,$F$19,1))</f>
        <v>#NAME?</v>
      </c>
      <c r="DP60" s="157" t="e">
        <f aca="false">IF(DH60=0,0,SPRDOPT(DG60,DH60,$AD60,$AM60,DK60,DL60,DM60,$D60,$F$19,2))</f>
        <v>#NAME?</v>
      </c>
      <c r="DQ60" s="157" t="n">
        <f aca="false">IF(DI60=0,0,SPRDOPT(DG60,DH60,$AD60,$AM60,DK60,DL60,DM60,$D60,$F$19,3)/100)</f>
        <v>0</v>
      </c>
      <c r="DR60" s="157" t="n">
        <f aca="false">IF(DJ60=0,0,SPRDOPT(DG60,DH60,$AD60,$AM60,DK60,DL60,DM60,$D60,$F$19,4)/100)</f>
        <v>0</v>
      </c>
      <c r="DS60" s="157" t="e">
        <f aca="false">IF(DK60=0,0,SPRDOPT(DG60,DH60,$AD60,$AM60,DK60,DL60,DM60,$D60,$F$19,5)/100)</f>
        <v>#NAME?</v>
      </c>
      <c r="DT60" s="157" t="e">
        <f aca="false">IF(DL60=0,0,SPRDOPT(DG60,DH60,$AD60,$AM60,DK60,DL60,DM60,$D60,$F$19,6)/100)</f>
        <v>#NAME?</v>
      </c>
      <c r="DU60" s="157" t="e">
        <f aca="false">IF(DM60=0,0,SPRDOPT(DG60,DH60,$AD60,$AM60,DK60,DL60,DM60,$D60,$F$19,7)/100)</f>
        <v>#NAME?</v>
      </c>
      <c r="DV60" s="157" t="n">
        <f aca="false">IF(DN60=0,0,SPRDOPT(DG60,DH60,$AD60,$AM60,DK60,DL60,DM60,$D60,$F$19,9)/365)</f>
        <v>0</v>
      </c>
      <c r="DW60" s="157" t="e">
        <f aca="false">DO60+DP60</f>
        <v>#NAME?</v>
      </c>
      <c r="DX60" s="157" t="n">
        <f aca="false">DR60-DQ60</f>
        <v>0</v>
      </c>
      <c r="DY60" s="157" t="e">
        <f aca="false">((DK60/DL60)*DS60)+DT60</f>
        <v>#NAME?</v>
      </c>
      <c r="DZ60" s="44"/>
      <c r="EA60" s="45" t="n">
        <f aca="false">DF60*DN60</f>
        <v>0</v>
      </c>
      <c r="EB60" s="45" t="e">
        <f aca="false">DF60*DO60</f>
        <v>#NAME?</v>
      </c>
      <c r="EC60" s="45" t="e">
        <f aca="false">DF60*DP60</f>
        <v>#NAME?</v>
      </c>
      <c r="ED60" s="45" t="n">
        <f aca="false">DF60*DQ60</f>
        <v>0</v>
      </c>
      <c r="EE60" s="45" t="n">
        <f aca="false">DF60*DR60</f>
        <v>0</v>
      </c>
      <c r="EF60" s="45" t="e">
        <f aca="false">DF60*DS60</f>
        <v>#NAME?</v>
      </c>
      <c r="EG60" s="45" t="e">
        <f aca="false">DF60*DT60</f>
        <v>#NAME?</v>
      </c>
      <c r="EH60" s="45" t="e">
        <f aca="false">DF60*DU60</f>
        <v>#NAME?</v>
      </c>
      <c r="EI60" s="45" t="n">
        <f aca="false">DF60*DV60</f>
        <v>0</v>
      </c>
      <c r="EJ60" s="45" t="e">
        <f aca="false">DF60*DW60</f>
        <v>#NAME?</v>
      </c>
      <c r="EK60" s="45" t="n">
        <f aca="false">DF60*DX60</f>
        <v>0</v>
      </c>
      <c r="EL60" s="45" t="e">
        <f aca="false">DF60*DY60</f>
        <v>#NAME?</v>
      </c>
      <c r="EN60" s="9" t="n">
        <f aca="false">IF($A60&gt;=EP$32,IF($A60&lt;=EP$33,$AN60,0),0)</f>
        <v>0</v>
      </c>
      <c r="EO60" s="123" t="n">
        <f aca="false">$B60+$AF60+$H$12</f>
        <v>4.235</v>
      </c>
      <c r="EP60" s="123" t="n">
        <f aca="false">$B60+$AG60+$H$13</f>
        <v>3.71</v>
      </c>
      <c r="EQ60" s="123" t="n">
        <f aca="false">EO60*EN60</f>
        <v>0</v>
      </c>
      <c r="ER60" s="123" t="n">
        <f aca="false">EP60*EN60</f>
        <v>0</v>
      </c>
      <c r="ES60" s="156" t="n">
        <f aca="false">($C60*$AH60)+$H$14</f>
        <v>0.2842</v>
      </c>
      <c r="ET60" s="156" t="n">
        <f aca="false">($C60*$AI60)+$H$15</f>
        <v>0.29</v>
      </c>
      <c r="EU60" s="131" t="n">
        <f aca="false">$AJ60+$H$16</f>
        <v>0.980420749757432</v>
      </c>
      <c r="EV60" s="157" t="n">
        <f aca="false">IF(EN60=0,0,SPRDOPT(EO60,EP60,$AK60,$AM60,ES60,ET60,EU60,$D60,$H$19,0))</f>
        <v>0</v>
      </c>
      <c r="EW60" s="157" t="e">
        <f aca="false">IF(EO60=0,0,SPRDOPT(EO60,EP60,$AK60,$AM60,ES60,ET60,EU60,$D60,$H$19,1))</f>
        <v>#NAME?</v>
      </c>
      <c r="EX60" s="157" t="e">
        <f aca="false">IF(EP60=0,0,SPRDOPT(EO60,EP60,$AK60,$AM60,ES60,ET60,EU60,$D60,$H$19,2))</f>
        <v>#NAME?</v>
      </c>
      <c r="EY60" s="157" t="n">
        <f aca="false">IF(EQ60=0,0,SPRDOPT(EO60,EP60,$AK60,$AM60,ES60,ET60,EU60,$D60,$H$19,3)/100)</f>
        <v>0</v>
      </c>
      <c r="EZ60" s="157" t="n">
        <f aca="false">IF(ER60=0,0,SPRDOPT(EO60,EP60,$AK60,$AM60,ES60,ET60,EU60,$D60,$H$19,4)/100)</f>
        <v>0</v>
      </c>
      <c r="FA60" s="157" t="e">
        <f aca="false">IF(ES60=0,0,SPRDOPT(EO60,EP60,$AK60,$AM60,ES60,ET60,EU60,$D60,$H$19,5)/100)</f>
        <v>#NAME?</v>
      </c>
      <c r="FB60" s="157" t="e">
        <f aca="false">IF(ET60=0,0,SPRDOPT(EO60,EP60,$AK60,$AM60,ES60,ET60,EU60,$D60,$H$19,6)/100)</f>
        <v>#NAME?</v>
      </c>
      <c r="FC60" s="157" t="e">
        <f aca="false">IF(EU60=0,0,SPRDOPT(EO60,EP60,$AK60,$AM60,ES60,ET60,EU60,$D60,$H$19,7)/100)</f>
        <v>#NAME?</v>
      </c>
      <c r="FD60" s="157" t="n">
        <f aca="false">IF(EV60=0,0,SPRDOPT(EO60,EP60,$AK60,$AM60,ES60,ET60,EU60,$D60,$H$19,9)/365)</f>
        <v>0</v>
      </c>
      <c r="FE60" s="157" t="e">
        <f aca="false">EW60+EX60</f>
        <v>#NAME?</v>
      </c>
      <c r="FF60" s="157" t="n">
        <f aca="false">EZ60-EY60</f>
        <v>0</v>
      </c>
      <c r="FG60" s="157" t="e">
        <f aca="false">((ES60/ET60)*FA60)+FB60</f>
        <v>#NAME?</v>
      </c>
      <c r="FH60" s="44"/>
      <c r="FI60" s="45" t="n">
        <f aca="false">$EN60*EV60</f>
        <v>0</v>
      </c>
      <c r="FJ60" s="45" t="e">
        <f aca="false">$EN60*EW60</f>
        <v>#NAME?</v>
      </c>
      <c r="FK60" s="45" t="e">
        <f aca="false">$EN60*EX60</f>
        <v>#NAME?</v>
      </c>
      <c r="FL60" s="45" t="n">
        <f aca="false">$EN60*EY60</f>
        <v>0</v>
      </c>
      <c r="FM60" s="45" t="n">
        <f aca="false">$EN60*EZ60</f>
        <v>0</v>
      </c>
      <c r="FN60" s="45" t="e">
        <f aca="false">$EN60*FA60</f>
        <v>#NAME?</v>
      </c>
      <c r="FO60" s="45" t="e">
        <f aca="false">$EN60*FB60</f>
        <v>#NAME?</v>
      </c>
      <c r="FP60" s="45" t="e">
        <f aca="false">$EN60*FC60</f>
        <v>#NAME?</v>
      </c>
      <c r="FQ60" s="45" t="n">
        <f aca="false">$EN60*FD60</f>
        <v>0</v>
      </c>
      <c r="FR60" s="45" t="e">
        <f aca="false">$EN60*FE60</f>
        <v>#NAME?</v>
      </c>
      <c r="FS60" s="45" t="n">
        <f aca="false">$EN60*FF60</f>
        <v>0</v>
      </c>
      <c r="FT60" s="45" t="e">
        <f aca="false">$EN60*FG60</f>
        <v>#NAME?</v>
      </c>
    </row>
    <row r="61" customFormat="false" ht="12.75" hidden="false" customHeight="false" outlineLevel="0" collapsed="false">
      <c r="A61" s="48" t="n">
        <f aca="false">DATE(YEAR(A60),MONTH(A60)+1,1)</f>
        <v>37500</v>
      </c>
      <c r="B61" s="40" t="n">
        <f aca="false">VLOOKUP(A61,STRADDLE,5,FALSE())</f>
        <v>3.705</v>
      </c>
      <c r="C61" s="4" t="n">
        <f aca="false">VLOOKUP(A61,STRADDLE,8,FALSE())</f>
        <v>0.29</v>
      </c>
      <c r="D61" s="136" t="n">
        <f aca="false">VLOOKUP(A61,expiration,2,FALSE())-$B$2</f>
        <v>-8430</v>
      </c>
      <c r="E61" s="131" t="e">
        <f aca="false">AY61</f>
        <v>#NAME?</v>
      </c>
      <c r="F61" s="131" t="e">
        <f aca="false">CG61</f>
        <v>#NAME?</v>
      </c>
      <c r="G61" s="131" t="e">
        <f aca="false">DO61</f>
        <v>#NAME?</v>
      </c>
      <c r="H61" s="131" t="e">
        <f aca="false">EW61</f>
        <v>#NAME?</v>
      </c>
      <c r="I61" s="41"/>
      <c r="J61" s="154"/>
      <c r="K61" s="40" t="n">
        <f aca="false">IF($B$3="NYMEX",0,VLOOKUP($A61,curvesettle,HLOOKUP($B$3,curvesettle,2,FALSE()),FALSE()))</f>
        <v>0.395</v>
      </c>
      <c r="L61" s="40" t="n">
        <f aca="false">IF($B$4="NYMEX",0,VLOOKUP($A61,curvesettle,HLOOKUP($B$4,curvesettle,2,FALSE()),FALSE()))</f>
        <v>0</v>
      </c>
      <c r="M61" s="131" t="n">
        <f aca="false">IF(ISNUMBER(VLOOKUP($A61,VOLCURVES,HLOOKUP($B$3,VOLCURVES,2,FALSE()),FALSE())),VLOOKUP($A61,VOLCURVES,HLOOKUP($B$3,VOLCURVES,2,FALSE()),FALSE()),1)</f>
        <v>0.98</v>
      </c>
      <c r="N61" s="131" t="n">
        <f aca="false">IF(ISNUMBER(VLOOKUP($A61,VOLCURVES,HLOOKUP($B$4,VOLCURVES,2,FALSE()),FALSE())),VLOOKUP($A61,VOLCURVES,HLOOKUP($B$4,VOLCURVES,2,FALSE()),FALSE()),1)</f>
        <v>1</v>
      </c>
      <c r="O61" s="131" t="n">
        <f aca="false">IF(ISNUMBER(VLOOKUP($A61,CORETABLE,HLOOKUP($B$3,CORETABLE,2,FALSE()),FALSE())),VLOOKUP($A61,CORETABLE,HLOOKUP($B$3,CORETABLE,2,FALSE()),FALSE()),0.99)</f>
        <v>0.980420749757432</v>
      </c>
      <c r="P61" s="155" t="n">
        <f aca="false">B$18</f>
        <v>2</v>
      </c>
      <c r="Q61" s="131"/>
      <c r="R61" s="40" t="n">
        <f aca="false">IF($D$3="NYMEX",0,VLOOKUP($A61,curvesettle,HLOOKUP($D$3,curvesettle,2,FALSE()),FALSE()))</f>
        <v>0.045</v>
      </c>
      <c r="S61" s="40" t="n">
        <f aca="false">IF($D$4="NYMEX",0,VLOOKUP($A61,curvesettle,HLOOKUP($D$4,curvesettle,2,FALSE()),FALSE()))</f>
        <v>0</v>
      </c>
      <c r="T61" s="131" t="n">
        <f aca="false">IF(ISNUMBER(VLOOKUP($A61,VOLCURVES,HLOOKUP($D$3,VOLCURVES,2,FALSE()),FALSE())),VLOOKUP($A61,VOLCURVES,HLOOKUP($D$3,VOLCURVES,2,FALSE()),FALSE()),1)</f>
        <v>1</v>
      </c>
      <c r="U61" s="131" t="n">
        <f aca="false">IF(ISNUMBER(VLOOKUP($A61,VOLCURVES,HLOOKUP($D$4,VOLCURVES,2,FALSE()),FALSE())),VLOOKUP($A61,VOLCURVES,HLOOKUP($D$4,VOLCURVES,2,FALSE()),FALSE()),1)</f>
        <v>1</v>
      </c>
      <c r="V61" s="131" t="n">
        <f aca="false">IF(ISNUMBER(VLOOKUP($A61,CORETABLE,HLOOKUP($D$3,CORETABLE,2,FALSE()),FALSE())),VLOOKUP($A61,CORETABLE,HLOOKUP($D$3,CORETABLE,2,FALSE()),FALSE()),0.99)</f>
        <v>0.994071440191916</v>
      </c>
      <c r="W61" s="155" t="n">
        <f aca="false">D$18</f>
        <v>0.2</v>
      </c>
      <c r="X61" s="131"/>
      <c r="Y61" s="40" t="n">
        <f aca="false">IF($F$3="NYMEX",0,VLOOKUP($A61,curvesettle,HLOOKUP($F$3,curvesettle,2,FALSE()),FALSE()))</f>
        <v>0.395</v>
      </c>
      <c r="Z61" s="40" t="n">
        <f aca="false">IF($F$4="NYMEX",0,VLOOKUP($A61,curvesettle,HLOOKUP($F$4,curvesettle,2,FALSE()),FALSE()))</f>
        <v>0</v>
      </c>
      <c r="AA61" s="131" t="n">
        <f aca="false">IF(ISNUMBER(VLOOKUP($A61,VOLCURVES,HLOOKUP($F$3,VOLCURVES,2,FALSE()),FALSE())),VLOOKUP($A61,VOLCURVES,HLOOKUP($F$3,VOLCURVES,2,FALSE()),FALSE()),1)</f>
        <v>0.98</v>
      </c>
      <c r="AB61" s="131" t="n">
        <f aca="false">IF(ISNUMBER(VLOOKUP($A61,VOLCURVES,HLOOKUP($F$4,VOLCURVES,2,FALSE()),FALSE())),VLOOKUP($A61,VOLCURVES,HLOOKUP($F$4,VOLCURVES,2,FALSE()),FALSE()),1)</f>
        <v>1</v>
      </c>
      <c r="AC61" s="131" t="n">
        <f aca="false">IF(ISNUMBER(VLOOKUP($A61,CORETABLE,HLOOKUP($F$3,CORETABLE,2,FALSE()),FALSE())),VLOOKUP($A61,CORETABLE,HLOOKUP($F$3,CORETABLE,2,FALSE()),FALSE()),1)</f>
        <v>0.980420749757432</v>
      </c>
      <c r="AD61" s="155" t="n">
        <f aca="false">F$18</f>
        <v>1.85</v>
      </c>
      <c r="AE61" s="131"/>
      <c r="AF61" s="40" t="n">
        <f aca="false">IF($H$3="NYMEX",0,VLOOKUP($A61,curvesettle,HLOOKUP($H$3,curvesettle,2,FALSE()),FALSE()))</f>
        <v>0.395</v>
      </c>
      <c r="AG61" s="40" t="n">
        <f aca="false">IF($H$4="NYMEX",0,VLOOKUP($A61,curvesettle,HLOOKUP($H$4,curvesettle,2,FALSE()),FALSE()))</f>
        <v>0</v>
      </c>
      <c r="AH61" s="131" t="n">
        <f aca="false">IF(ISNUMBER(VLOOKUP($A61,VOLCURVES,HLOOKUP($H$3,VOLCURVES,2,FALSE()),FALSE())),VLOOKUP($A61,VOLCURVES,HLOOKUP($H$3,VOLCURVES,2,FALSE()),FALSE()),1)</f>
        <v>0.98</v>
      </c>
      <c r="AI61" s="131" t="n">
        <f aca="false">IF(ISNUMBER(VLOOKUP($A61,VOLCURVES,HLOOKUP($H$4,VOLCURVES,2,FALSE()),FALSE())),VLOOKUP($A61,VOLCURVES,HLOOKUP($H$4,VOLCURVES,2,FALSE()),FALSE()),1)</f>
        <v>1</v>
      </c>
      <c r="AJ61" s="131" t="n">
        <f aca="false">IF(ISNUMBER(VLOOKUP($A61,CORETABLE,HLOOKUP($H$3,CORETABLE,2,FALSE()),FALSE())),VLOOKUP($A61,CORETABLE,HLOOKUP($H$3,CORETABLE,2,FALSE()),FALSE()),1)</f>
        <v>0.980420749757432</v>
      </c>
      <c r="AK61" s="155" t="n">
        <f aca="false">H$18</f>
        <v>1.85</v>
      </c>
      <c r="AM61" s="4" t="n">
        <f aca="false">VLOOKUP($A61,STRADDLE,12,FALSE())</f>
        <v>0.06720377823263</v>
      </c>
      <c r="AN61" s="43" t="n">
        <f aca="false">A62-A61</f>
        <v>30</v>
      </c>
      <c r="AP61" s="9" t="n">
        <f aca="false">IF($A61&gt;=AR$32,IF($A61&lt;=AR$33,$AN61,0),0)</f>
        <v>0</v>
      </c>
      <c r="AQ61" s="123" t="n">
        <f aca="false">$B61+$K61+$B$12</f>
        <v>4.13</v>
      </c>
      <c r="AR61" s="123" t="n">
        <f aca="false">$B61+$L61+$B$13</f>
        <v>3.705</v>
      </c>
      <c r="AS61" s="123" t="n">
        <f aca="false">AQ61*AP61</f>
        <v>0</v>
      </c>
      <c r="AT61" s="123" t="n">
        <f aca="false">AR61*AP61</f>
        <v>0</v>
      </c>
      <c r="AU61" s="156" t="n">
        <f aca="false">($C61*$M61)+$B$14</f>
        <v>0.2842</v>
      </c>
      <c r="AV61" s="156" t="n">
        <f aca="false">($C61*$N61)+$B$15</f>
        <v>0.29</v>
      </c>
      <c r="AW61" s="131" t="n">
        <f aca="false">O61+B$16</f>
        <v>0.980420749757432</v>
      </c>
      <c r="AX61" s="157" t="n">
        <f aca="false">IF(AP61=0,0,SPRDOPT(AQ61,AR61,$P61,$AM61,AU61,AV61,AW61,$D61,$B$19,0))</f>
        <v>0</v>
      </c>
      <c r="AY61" s="157" t="e">
        <f aca="false">IF(AQ61=0,0,SPRDOPT(AQ61,AR61,$P61,$AM61,AU61,AV61,AW61,$D61,$B$19,1))</f>
        <v>#NAME?</v>
      </c>
      <c r="AZ61" s="157" t="e">
        <f aca="false">IF(AR61=0,0,SPRDOPT(AQ61,AR61,$P61,$AM61,AU61,AV61,AW61,$D61,$B$19,2))</f>
        <v>#NAME?</v>
      </c>
      <c r="BA61" s="157" t="n">
        <f aca="false">IF(AS61=0,0,SPRDOPT(AQ61,AR61,$P61,$AM61,AU61,AV61,AW61,$D61,$B$19,3)/100)</f>
        <v>0</v>
      </c>
      <c r="BB61" s="157" t="n">
        <f aca="false">IF(AT61=0,0,SPRDOPT(AQ61,AR61,$P61,$AM61,AU61,AV61,AW61,$D61,$B$19,4)/100)</f>
        <v>0</v>
      </c>
      <c r="BC61" s="157" t="e">
        <f aca="false">IF(AU61=0,0,SPRDOPT(AQ61,AR61,$P61,$AM61,AU61,AV61,AW61,$D61,$B$19,5)/100)</f>
        <v>#NAME?</v>
      </c>
      <c r="BD61" s="157" t="e">
        <f aca="false">IF(AV61=0,0,SPRDOPT(AQ61,AR61,$P61,$AM61,AU61,AV61,AW61,$D61,$B$19,6)/100)</f>
        <v>#NAME?</v>
      </c>
      <c r="BE61" s="157" t="e">
        <f aca="false">IF(AW61=0,0,SPRDOPT(AQ61,AR61,$P61,$AM61,AU61,AV61,AW61,$D61,$B$19,7)/100)</f>
        <v>#NAME?</v>
      </c>
      <c r="BF61" s="157" t="n">
        <f aca="false">IF(AX61=0,0,SPRDOPT(AQ61,AR61,$P61,$AM61,AU61,AV61,AW61,$D61,$B$19,9)/365)</f>
        <v>0</v>
      </c>
      <c r="BG61" s="157" t="e">
        <f aca="false">AY61+AZ61</f>
        <v>#NAME?</v>
      </c>
      <c r="BH61" s="157" t="n">
        <f aca="false">BB61-BA61</f>
        <v>0</v>
      </c>
      <c r="BI61" s="157" t="e">
        <f aca="false">((AU61/AV61)*BC61)+BD61</f>
        <v>#NAME?</v>
      </c>
      <c r="BJ61" s="44"/>
      <c r="BK61" s="45" t="n">
        <f aca="false">$AP61*AX61</f>
        <v>0</v>
      </c>
      <c r="BL61" s="45" t="e">
        <f aca="false">$AP61*AY61</f>
        <v>#NAME?</v>
      </c>
      <c r="BM61" s="45" t="e">
        <f aca="false">$AP61*AZ61</f>
        <v>#NAME?</v>
      </c>
      <c r="BN61" s="45" t="n">
        <f aca="false">$AP61*BA61</f>
        <v>0</v>
      </c>
      <c r="BO61" s="45" t="n">
        <f aca="false">$AP61*BB61</f>
        <v>0</v>
      </c>
      <c r="BP61" s="45" t="e">
        <f aca="false">$AP61*BC61</f>
        <v>#NAME?</v>
      </c>
      <c r="BQ61" s="45" t="e">
        <f aca="false">$AP61*BD61</f>
        <v>#NAME?</v>
      </c>
      <c r="BR61" s="45" t="e">
        <f aca="false">$AP61*BE61</f>
        <v>#NAME?</v>
      </c>
      <c r="BS61" s="45" t="n">
        <f aca="false">$AP61*BF61</f>
        <v>0</v>
      </c>
      <c r="BT61" s="45" t="e">
        <f aca="false">$AP61*BG61</f>
        <v>#NAME?</v>
      </c>
      <c r="BU61" s="45" t="n">
        <f aca="false">$AP61*BH61</f>
        <v>0</v>
      </c>
      <c r="BV61" s="45" t="e">
        <f aca="false">$AP61*BI61</f>
        <v>#NAME?</v>
      </c>
      <c r="BX61" s="9" t="n">
        <f aca="false">IF($A61&gt;=BZ$32,IF($A61&lt;=BZ$33,$AN61,0),0)</f>
        <v>0</v>
      </c>
      <c r="BY61" s="123" t="n">
        <f aca="false">$B61+$R61+$D$12</f>
        <v>3.75</v>
      </c>
      <c r="BZ61" s="123" t="n">
        <f aca="false">$B61+$S61+$D$13</f>
        <v>3.705</v>
      </c>
      <c r="CA61" s="123" t="n">
        <f aca="false">BY61*BX61</f>
        <v>0</v>
      </c>
      <c r="CB61" s="123" t="n">
        <f aca="false">BZ61*BX61</f>
        <v>0</v>
      </c>
      <c r="CC61" s="156" t="n">
        <f aca="false">($C61*$T61)+$D$14</f>
        <v>0.29</v>
      </c>
      <c r="CD61" s="156" t="n">
        <f aca="false">($C61*$U61)+$D$15</f>
        <v>0.29</v>
      </c>
      <c r="CE61" s="131" t="n">
        <f aca="false">$V61+D$16</f>
        <v>0.994071440191916</v>
      </c>
      <c r="CF61" s="157" t="n">
        <f aca="false">IF(BX61=0,0,SPRDOPT(BY61,BZ61,$W61,$AM61,CC61,CD61,CE61,$D61,$D$19,0))</f>
        <v>0</v>
      </c>
      <c r="CG61" s="157" t="e">
        <f aca="false">IF(BY61=0,0,SPRDOPT(BY61,BZ61,$W61,$AM61,CC61,CD61,CE61,$D61,$D$19,1))</f>
        <v>#NAME?</v>
      </c>
      <c r="CH61" s="157" t="e">
        <f aca="false">IF(BZ61=0,0,SPRDOPT(BY61,BZ61,$W61,$AM61,CC61,CD61,CE61,$D61,$D$19,2))</f>
        <v>#NAME?</v>
      </c>
      <c r="CI61" s="157" t="n">
        <f aca="false">IF(CA61=0,0,SPRDOPT(BY61,BZ61,$W61,$AM61,CC61,CD61,CE61,$D61,$D$19,3)/100)</f>
        <v>0</v>
      </c>
      <c r="CJ61" s="157" t="n">
        <f aca="false">IF(CB61=0,0,SPRDOPT(BY61,BZ61,$W61,$AM61,CC61,CD61,CE61,$D61,$D$19,4)/100)</f>
        <v>0</v>
      </c>
      <c r="CK61" s="157" t="e">
        <f aca="false">IF(CC61=0,0,SPRDOPT(BY61,BZ61,$W61,$AM61,CC61,CD61,CE61,$D61,$D$19,5)/100)</f>
        <v>#NAME?</v>
      </c>
      <c r="CL61" s="157" t="e">
        <f aca="false">IF(CD61=0,0,SPRDOPT(BY61,BZ61,$W61,$AM61,CC61,CD61,CE61,$D61,$D$19,6)/100)</f>
        <v>#NAME?</v>
      </c>
      <c r="CM61" s="157" t="e">
        <f aca="false">IF(CE61=0,0,SPRDOPT(BY61,BZ61,$W61,$AM61,CC61,CD61,CE61,$D61,$D$19,7)/100)</f>
        <v>#NAME?</v>
      </c>
      <c r="CN61" s="157" t="n">
        <f aca="false">IF(CF61=0,0,SPRDOPT(BY61,BZ61,$W61,$AM61,CC61,CD61,CE61,$D61,$D$19,9)/365)</f>
        <v>0</v>
      </c>
      <c r="CO61" s="157" t="e">
        <f aca="false">CG61+CH61</f>
        <v>#NAME?</v>
      </c>
      <c r="CP61" s="157" t="n">
        <f aca="false">CJ61-CI61</f>
        <v>0</v>
      </c>
      <c r="CQ61" s="157" t="e">
        <f aca="false">((CC61/CD61)*CK61)+CL61</f>
        <v>#NAME?</v>
      </c>
      <c r="CR61" s="44"/>
      <c r="CS61" s="45" t="n">
        <f aca="false">BX61*CF61</f>
        <v>0</v>
      </c>
      <c r="CT61" s="45" t="e">
        <f aca="false">BX61*CG61</f>
        <v>#NAME?</v>
      </c>
      <c r="CU61" s="45" t="e">
        <f aca="false">BX61*CH61</f>
        <v>#NAME?</v>
      </c>
      <c r="CV61" s="45" t="n">
        <f aca="false">BX61*CI61</f>
        <v>0</v>
      </c>
      <c r="CW61" s="45" t="n">
        <f aca="false">BX61*CJ61</f>
        <v>0</v>
      </c>
      <c r="CX61" s="45" t="e">
        <f aca="false">BX61*CK61</f>
        <v>#NAME?</v>
      </c>
      <c r="CY61" s="45" t="e">
        <f aca="false">BX61*CL61</f>
        <v>#NAME?</v>
      </c>
      <c r="CZ61" s="45" t="e">
        <f aca="false">BX61*CM61</f>
        <v>#NAME?</v>
      </c>
      <c r="DA61" s="45" t="n">
        <f aca="false">BX61*CN61</f>
        <v>0</v>
      </c>
      <c r="DB61" s="45" t="e">
        <f aca="false">BX61*CO61</f>
        <v>#NAME?</v>
      </c>
      <c r="DC61" s="45" t="n">
        <f aca="false">BX61*CP61</f>
        <v>0</v>
      </c>
      <c r="DD61" s="45" t="e">
        <f aca="false">BX61*CQ61</f>
        <v>#NAME?</v>
      </c>
      <c r="DF61" s="9" t="n">
        <f aca="false">IF($A61&gt;=DH$32,IF($A61&lt;=DH$33,$AN61,0),0)</f>
        <v>0</v>
      </c>
      <c r="DG61" s="123" t="n">
        <f aca="false">$B61+$Y61+$F$12</f>
        <v>4.13</v>
      </c>
      <c r="DH61" s="123" t="n">
        <f aca="false">$B61+$Z61+$F$13</f>
        <v>3.705</v>
      </c>
      <c r="DI61" s="123" t="n">
        <f aca="false">DG61*DF61</f>
        <v>0</v>
      </c>
      <c r="DJ61" s="123" t="n">
        <f aca="false">DH61*DF61</f>
        <v>0</v>
      </c>
      <c r="DK61" s="156" t="n">
        <f aca="false">($C61*$AA61)+$F$14</f>
        <v>0.2842</v>
      </c>
      <c r="DL61" s="156" t="n">
        <f aca="false">($C61*$AB61)+$F$15</f>
        <v>0.29</v>
      </c>
      <c r="DM61" s="131" t="n">
        <f aca="false">$AC61+$F$16</f>
        <v>0.980420749757432</v>
      </c>
      <c r="DN61" s="157" t="n">
        <f aca="false">IF(DF61=0,0,SPRDOPT(DG61,DH61,$AD61,$AM61,DK61,DL61,DM61,$D61,$F$19,0))</f>
        <v>0</v>
      </c>
      <c r="DO61" s="157" t="e">
        <f aca="false">IF(DG61=0,0,SPRDOPT(DG61,DH61,$AD61,$AM61,DK61,DL61,DM61,$D61,$F$19,1))</f>
        <v>#NAME?</v>
      </c>
      <c r="DP61" s="157" t="e">
        <f aca="false">IF(DH61=0,0,SPRDOPT(DG61,DH61,$AD61,$AM61,DK61,DL61,DM61,$D61,$F$19,2))</f>
        <v>#NAME?</v>
      </c>
      <c r="DQ61" s="157" t="n">
        <f aca="false">IF(DI61=0,0,SPRDOPT(DG61,DH61,$AD61,$AM61,DK61,DL61,DM61,$D61,$F$19,3)/100)</f>
        <v>0</v>
      </c>
      <c r="DR61" s="157" t="n">
        <f aca="false">IF(DJ61=0,0,SPRDOPT(DG61,DH61,$AD61,$AM61,DK61,DL61,DM61,$D61,$F$19,4)/100)</f>
        <v>0</v>
      </c>
      <c r="DS61" s="157" t="e">
        <f aca="false">IF(DK61=0,0,SPRDOPT(DG61,DH61,$AD61,$AM61,DK61,DL61,DM61,$D61,$F$19,5)/100)</f>
        <v>#NAME?</v>
      </c>
      <c r="DT61" s="157" t="e">
        <f aca="false">IF(DL61=0,0,SPRDOPT(DG61,DH61,$AD61,$AM61,DK61,DL61,DM61,$D61,$F$19,6)/100)</f>
        <v>#NAME?</v>
      </c>
      <c r="DU61" s="157" t="e">
        <f aca="false">IF(DM61=0,0,SPRDOPT(DG61,DH61,$AD61,$AM61,DK61,DL61,DM61,$D61,$F$19,7)/100)</f>
        <v>#NAME?</v>
      </c>
      <c r="DV61" s="157" t="n">
        <f aca="false">IF(DN61=0,0,SPRDOPT(DG61,DH61,$AD61,$AM61,DK61,DL61,DM61,$D61,$F$19,9)/365)</f>
        <v>0</v>
      </c>
      <c r="DW61" s="157" t="e">
        <f aca="false">DO61+DP61</f>
        <v>#NAME?</v>
      </c>
      <c r="DX61" s="157" t="n">
        <f aca="false">DR61-DQ61</f>
        <v>0</v>
      </c>
      <c r="DY61" s="157" t="e">
        <f aca="false">((DK61/DL61)*DS61)+DT61</f>
        <v>#NAME?</v>
      </c>
      <c r="DZ61" s="44"/>
      <c r="EA61" s="45" t="n">
        <f aca="false">DF61*DN61</f>
        <v>0</v>
      </c>
      <c r="EB61" s="45" t="e">
        <f aca="false">DF61*DO61</f>
        <v>#NAME?</v>
      </c>
      <c r="EC61" s="45" t="e">
        <f aca="false">DF61*DP61</f>
        <v>#NAME?</v>
      </c>
      <c r="ED61" s="45" t="n">
        <f aca="false">DF61*DQ61</f>
        <v>0</v>
      </c>
      <c r="EE61" s="45" t="n">
        <f aca="false">DF61*DR61</f>
        <v>0</v>
      </c>
      <c r="EF61" s="45" t="e">
        <f aca="false">DF61*DS61</f>
        <v>#NAME?</v>
      </c>
      <c r="EG61" s="45" t="e">
        <f aca="false">DF61*DT61</f>
        <v>#NAME?</v>
      </c>
      <c r="EH61" s="45" t="e">
        <f aca="false">DF61*DU61</f>
        <v>#NAME?</v>
      </c>
      <c r="EI61" s="45" t="n">
        <f aca="false">DF61*DV61</f>
        <v>0</v>
      </c>
      <c r="EJ61" s="45" t="e">
        <f aca="false">DF61*DW61</f>
        <v>#NAME?</v>
      </c>
      <c r="EK61" s="45" t="n">
        <f aca="false">DF61*DX61</f>
        <v>0</v>
      </c>
      <c r="EL61" s="45" t="e">
        <f aca="false">DF61*DY61</f>
        <v>#NAME?</v>
      </c>
      <c r="EN61" s="9" t="n">
        <f aca="false">IF($A61&gt;=EP$32,IF($A61&lt;=EP$33,$AN61,0),0)</f>
        <v>0</v>
      </c>
      <c r="EO61" s="123" t="n">
        <f aca="false">$B61+$AF61+$H$12</f>
        <v>4.13</v>
      </c>
      <c r="EP61" s="123" t="n">
        <f aca="false">$B61+$AG61+$H$13</f>
        <v>3.705</v>
      </c>
      <c r="EQ61" s="123" t="n">
        <f aca="false">EO61*EN61</f>
        <v>0</v>
      </c>
      <c r="ER61" s="123" t="n">
        <f aca="false">EP61*EN61</f>
        <v>0</v>
      </c>
      <c r="ES61" s="156" t="n">
        <f aca="false">($C61*$AH61)+$H$14</f>
        <v>0.2842</v>
      </c>
      <c r="ET61" s="156" t="n">
        <f aca="false">($C61*$AI61)+$H$15</f>
        <v>0.29</v>
      </c>
      <c r="EU61" s="131" t="n">
        <f aca="false">$AJ61+$H$16</f>
        <v>0.980420749757432</v>
      </c>
      <c r="EV61" s="157" t="n">
        <f aca="false">IF(EN61=0,0,SPRDOPT(EO61,EP61,$AK61,$AM61,ES61,ET61,EU61,$D61,$H$19,0))</f>
        <v>0</v>
      </c>
      <c r="EW61" s="157" t="e">
        <f aca="false">IF(EO61=0,0,SPRDOPT(EO61,EP61,$AK61,$AM61,ES61,ET61,EU61,$D61,$H$19,1))</f>
        <v>#NAME?</v>
      </c>
      <c r="EX61" s="157" t="e">
        <f aca="false">IF(EP61=0,0,SPRDOPT(EO61,EP61,$AK61,$AM61,ES61,ET61,EU61,$D61,$H$19,2))</f>
        <v>#NAME?</v>
      </c>
      <c r="EY61" s="157" t="n">
        <f aca="false">IF(EQ61=0,0,SPRDOPT(EO61,EP61,$AK61,$AM61,ES61,ET61,EU61,$D61,$H$19,3)/100)</f>
        <v>0</v>
      </c>
      <c r="EZ61" s="157" t="n">
        <f aca="false">IF(ER61=0,0,SPRDOPT(EO61,EP61,$AK61,$AM61,ES61,ET61,EU61,$D61,$H$19,4)/100)</f>
        <v>0</v>
      </c>
      <c r="FA61" s="157" t="e">
        <f aca="false">IF(ES61=0,0,SPRDOPT(EO61,EP61,$AK61,$AM61,ES61,ET61,EU61,$D61,$H$19,5)/100)</f>
        <v>#NAME?</v>
      </c>
      <c r="FB61" s="157" t="e">
        <f aca="false">IF(ET61=0,0,SPRDOPT(EO61,EP61,$AK61,$AM61,ES61,ET61,EU61,$D61,$H$19,6)/100)</f>
        <v>#NAME?</v>
      </c>
      <c r="FC61" s="157" t="e">
        <f aca="false">IF(EU61=0,0,SPRDOPT(EO61,EP61,$AK61,$AM61,ES61,ET61,EU61,$D61,$H$19,7)/100)</f>
        <v>#NAME?</v>
      </c>
      <c r="FD61" s="157" t="n">
        <f aca="false">IF(EV61=0,0,SPRDOPT(EO61,EP61,$AK61,$AM61,ES61,ET61,EU61,$D61,$H$19,9)/365)</f>
        <v>0</v>
      </c>
      <c r="FE61" s="157" t="e">
        <f aca="false">EW61+EX61</f>
        <v>#NAME?</v>
      </c>
      <c r="FF61" s="157" t="n">
        <f aca="false">EZ61-EY61</f>
        <v>0</v>
      </c>
      <c r="FG61" s="157" t="e">
        <f aca="false">((ES61/ET61)*FA61)+FB61</f>
        <v>#NAME?</v>
      </c>
      <c r="FH61" s="44"/>
      <c r="FI61" s="45" t="n">
        <f aca="false">$EN61*EV61</f>
        <v>0</v>
      </c>
      <c r="FJ61" s="45" t="e">
        <f aca="false">$EN61*EW61</f>
        <v>#NAME?</v>
      </c>
      <c r="FK61" s="45" t="e">
        <f aca="false">$EN61*EX61</f>
        <v>#NAME?</v>
      </c>
      <c r="FL61" s="45" t="n">
        <f aca="false">$EN61*EY61</f>
        <v>0</v>
      </c>
      <c r="FM61" s="45" t="n">
        <f aca="false">$EN61*EZ61</f>
        <v>0</v>
      </c>
      <c r="FN61" s="45" t="e">
        <f aca="false">$EN61*FA61</f>
        <v>#NAME?</v>
      </c>
      <c r="FO61" s="45" t="e">
        <f aca="false">$EN61*FB61</f>
        <v>#NAME?</v>
      </c>
      <c r="FP61" s="45" t="e">
        <f aca="false">$EN61*FC61</f>
        <v>#NAME?</v>
      </c>
      <c r="FQ61" s="45" t="n">
        <f aca="false">$EN61*FD61</f>
        <v>0</v>
      </c>
      <c r="FR61" s="45" t="e">
        <f aca="false">$EN61*FE61</f>
        <v>#NAME?</v>
      </c>
      <c r="FS61" s="45" t="n">
        <f aca="false">$EN61*FF61</f>
        <v>0</v>
      </c>
      <c r="FT61" s="45" t="e">
        <f aca="false">$EN61*FG61</f>
        <v>#NAME?</v>
      </c>
    </row>
    <row r="62" customFormat="false" ht="12.75" hidden="false" customHeight="false" outlineLevel="0" collapsed="false">
      <c r="A62" s="48" t="n">
        <f aca="false">DATE(YEAR(A61),MONTH(A61)+1,1)</f>
        <v>37530</v>
      </c>
      <c r="B62" s="40"/>
      <c r="C62" s="4"/>
      <c r="D62" s="40"/>
      <c r="E62" s="131"/>
      <c r="F62" s="136"/>
      <c r="G62" s="4"/>
      <c r="H62" s="4"/>
      <c r="I62" s="41"/>
      <c r="J62" s="154"/>
      <c r="K62" s="40"/>
      <c r="L62" s="40"/>
      <c r="M62" s="131"/>
      <c r="N62" s="131"/>
      <c r="O62" s="131"/>
      <c r="P62" s="131"/>
      <c r="Q62" s="131"/>
      <c r="R62" s="40"/>
      <c r="S62" s="40"/>
      <c r="T62" s="131"/>
      <c r="U62" s="131"/>
      <c r="V62" s="131"/>
      <c r="W62" s="131"/>
      <c r="X62" s="131"/>
      <c r="Y62" s="40"/>
      <c r="Z62" s="40"/>
      <c r="AA62" s="131"/>
      <c r="AB62" s="131"/>
      <c r="AC62" s="131"/>
      <c r="AD62" s="131"/>
      <c r="AE62" s="131"/>
      <c r="AF62" s="40"/>
      <c r="AG62" s="40"/>
      <c r="AH62" s="131"/>
      <c r="AI62" s="131"/>
      <c r="AJ62" s="131"/>
      <c r="AK62" s="131"/>
      <c r="AM62" s="4"/>
      <c r="AN62" s="43"/>
    </row>
    <row r="63" customFormat="false" ht="12.75" hidden="false" customHeight="false" outlineLevel="0" collapsed="false">
      <c r="A63" s="48"/>
      <c r="B63" s="40"/>
      <c r="C63" s="4"/>
      <c r="D63" s="40"/>
      <c r="E63" s="131"/>
      <c r="F63" s="136"/>
      <c r="G63" s="4"/>
      <c r="H63" s="4"/>
      <c r="I63" s="41"/>
      <c r="J63" s="154"/>
      <c r="K63" s="40"/>
      <c r="L63" s="40"/>
      <c r="M63" s="131"/>
      <c r="N63" s="131"/>
      <c r="O63" s="131"/>
      <c r="P63" s="131"/>
      <c r="Q63" s="131"/>
      <c r="R63" s="40"/>
      <c r="S63" s="40"/>
      <c r="T63" s="131"/>
      <c r="U63" s="131"/>
      <c r="V63" s="131"/>
      <c r="W63" s="131"/>
      <c r="X63" s="131"/>
      <c r="Y63" s="40"/>
      <c r="Z63" s="40"/>
      <c r="AA63" s="131"/>
      <c r="AB63" s="131"/>
      <c r="AC63" s="131"/>
      <c r="AD63" s="131"/>
      <c r="AE63" s="131"/>
      <c r="AF63" s="40"/>
      <c r="AG63" s="40"/>
      <c r="AH63" s="131"/>
      <c r="AI63" s="131"/>
      <c r="AJ63" s="131"/>
      <c r="AK63" s="131"/>
      <c r="AM63" s="4"/>
      <c r="AN63" s="43"/>
    </row>
    <row r="64" customFormat="false" ht="12.75" hidden="false" customHeight="false" outlineLevel="0" collapsed="false">
      <c r="A64" s="48"/>
      <c r="B64" s="40"/>
      <c r="C64" s="4"/>
      <c r="D64" s="40"/>
      <c r="E64" s="131"/>
      <c r="F64" s="136"/>
      <c r="G64" s="4"/>
      <c r="H64" s="4"/>
      <c r="I64" s="41"/>
      <c r="J64" s="154"/>
      <c r="K64" s="40"/>
      <c r="L64" s="40"/>
      <c r="M64" s="131"/>
      <c r="N64" s="131"/>
      <c r="O64" s="131"/>
      <c r="P64" s="131"/>
      <c r="Q64" s="131"/>
      <c r="R64" s="40"/>
      <c r="S64" s="40"/>
      <c r="T64" s="131"/>
      <c r="U64" s="131"/>
      <c r="V64" s="131"/>
      <c r="W64" s="131"/>
      <c r="X64" s="131"/>
      <c r="Y64" s="40"/>
      <c r="Z64" s="40"/>
      <c r="AA64" s="131"/>
      <c r="AB64" s="131"/>
      <c r="AC64" s="131"/>
      <c r="AD64" s="131"/>
      <c r="AE64" s="131"/>
      <c r="AF64" s="40"/>
      <c r="AG64" s="40"/>
      <c r="AH64" s="131"/>
      <c r="AI64" s="131"/>
      <c r="AJ64" s="131"/>
      <c r="AK64" s="131"/>
      <c r="AM64" s="4"/>
      <c r="AN64" s="43"/>
    </row>
    <row r="65" customFormat="false" ht="12.75" hidden="false" customHeight="false" outlineLevel="0" collapsed="false">
      <c r="A65" s="48"/>
      <c r="B65" s="40"/>
      <c r="C65" s="4"/>
      <c r="D65" s="40"/>
      <c r="E65" s="131"/>
      <c r="F65" s="136"/>
      <c r="G65" s="4"/>
      <c r="H65" s="4"/>
      <c r="I65" s="41"/>
      <c r="J65" s="154"/>
      <c r="K65" s="40"/>
      <c r="L65" s="40"/>
      <c r="M65" s="131"/>
      <c r="N65" s="131"/>
      <c r="O65" s="131"/>
      <c r="P65" s="131"/>
      <c r="Q65" s="131"/>
      <c r="R65" s="40"/>
      <c r="S65" s="40"/>
      <c r="T65" s="131"/>
      <c r="U65" s="131"/>
      <c r="V65" s="131"/>
      <c r="W65" s="131"/>
      <c r="X65" s="131"/>
      <c r="Y65" s="40"/>
      <c r="Z65" s="40"/>
      <c r="AA65" s="131"/>
      <c r="AB65" s="131"/>
      <c r="AC65" s="131"/>
      <c r="AD65" s="131"/>
      <c r="AE65" s="131"/>
      <c r="AF65" s="40"/>
      <c r="AG65" s="40"/>
      <c r="AH65" s="131"/>
      <c r="AI65" s="131"/>
      <c r="AJ65" s="131"/>
      <c r="AK65" s="131"/>
      <c r="AM65" s="4"/>
      <c r="AN65" s="43"/>
    </row>
    <row r="66" customFormat="false" ht="12.75" hidden="false" customHeight="false" outlineLevel="0" collapsed="false">
      <c r="A66" s="48"/>
      <c r="B66" s="40"/>
      <c r="C66" s="4"/>
      <c r="D66" s="40"/>
      <c r="E66" s="131"/>
      <c r="F66" s="136"/>
      <c r="G66" s="4"/>
      <c r="H66" s="4"/>
      <c r="I66" s="41"/>
      <c r="J66" s="154"/>
      <c r="K66" s="40"/>
      <c r="L66" s="40"/>
      <c r="M66" s="131"/>
      <c r="N66" s="131"/>
      <c r="O66" s="131"/>
      <c r="P66" s="131"/>
      <c r="Q66" s="131"/>
      <c r="R66" s="40"/>
      <c r="S66" s="40"/>
      <c r="T66" s="131"/>
      <c r="U66" s="131"/>
      <c r="V66" s="131"/>
      <c r="W66" s="131"/>
      <c r="X66" s="131"/>
      <c r="Y66" s="40"/>
      <c r="Z66" s="40"/>
      <c r="AA66" s="131"/>
      <c r="AB66" s="131"/>
      <c r="AC66" s="131"/>
      <c r="AD66" s="131"/>
      <c r="AE66" s="131"/>
      <c r="AF66" s="40"/>
      <c r="AG66" s="40"/>
      <c r="AH66" s="131"/>
      <c r="AI66" s="131"/>
      <c r="AJ66" s="131"/>
      <c r="AK66" s="131"/>
      <c r="AM66" s="4"/>
      <c r="AN66" s="43"/>
    </row>
    <row r="67" customFormat="false" ht="12.75" hidden="false" customHeight="false" outlineLevel="0" collapsed="false">
      <c r="A67" s="48"/>
      <c r="B67" s="40"/>
      <c r="C67" s="4"/>
      <c r="D67" s="40"/>
      <c r="E67" s="131"/>
      <c r="F67" s="136"/>
      <c r="G67" s="4"/>
      <c r="H67" s="4"/>
      <c r="I67" s="41"/>
      <c r="J67" s="154"/>
      <c r="K67" s="40"/>
      <c r="L67" s="40"/>
      <c r="M67" s="131"/>
      <c r="N67" s="131"/>
      <c r="O67" s="131"/>
      <c r="P67" s="131"/>
      <c r="Q67" s="131"/>
      <c r="R67" s="40"/>
      <c r="S67" s="40"/>
      <c r="T67" s="131"/>
      <c r="U67" s="131"/>
      <c r="V67" s="131"/>
      <c r="W67" s="131"/>
      <c r="X67" s="131"/>
      <c r="Y67" s="40"/>
      <c r="Z67" s="40"/>
      <c r="AA67" s="131"/>
      <c r="AB67" s="131"/>
      <c r="AC67" s="131"/>
      <c r="AD67" s="131"/>
      <c r="AE67" s="131"/>
      <c r="AF67" s="40"/>
      <c r="AG67" s="40"/>
      <c r="AH67" s="131"/>
      <c r="AI67" s="131"/>
      <c r="AJ67" s="131"/>
      <c r="AK67" s="131"/>
      <c r="AM67" s="4"/>
      <c r="AN67" s="43"/>
    </row>
    <row r="68" customFormat="false" ht="12.75" hidden="false" customHeight="false" outlineLevel="0" collapsed="false">
      <c r="A68" s="48"/>
      <c r="B68" s="40"/>
      <c r="C68" s="4"/>
      <c r="D68" s="40"/>
      <c r="E68" s="131"/>
      <c r="F68" s="136"/>
      <c r="G68" s="4"/>
      <c r="H68" s="4"/>
      <c r="I68" s="41"/>
      <c r="J68" s="154"/>
      <c r="K68" s="40"/>
      <c r="L68" s="40"/>
      <c r="M68" s="131"/>
      <c r="N68" s="131"/>
      <c r="O68" s="131"/>
      <c r="P68" s="131"/>
      <c r="Q68" s="131"/>
      <c r="R68" s="40"/>
      <c r="S68" s="40"/>
      <c r="T68" s="131"/>
      <c r="U68" s="131"/>
      <c r="V68" s="131"/>
      <c r="W68" s="131"/>
      <c r="X68" s="131"/>
      <c r="Y68" s="40"/>
      <c r="Z68" s="40"/>
      <c r="AA68" s="131"/>
      <c r="AB68" s="131"/>
      <c r="AC68" s="131"/>
      <c r="AD68" s="131"/>
      <c r="AE68" s="131"/>
      <c r="AF68" s="40"/>
      <c r="AG68" s="40"/>
      <c r="AH68" s="131"/>
      <c r="AI68" s="131"/>
      <c r="AJ68" s="131"/>
      <c r="AK68" s="131"/>
      <c r="AM68" s="4"/>
      <c r="AN68" s="43"/>
    </row>
    <row r="69" customFormat="false" ht="12.75" hidden="false" customHeight="false" outlineLevel="0" collapsed="false">
      <c r="A69" s="48"/>
      <c r="B69" s="40"/>
      <c r="C69" s="4"/>
      <c r="D69" s="40"/>
      <c r="E69" s="131"/>
      <c r="F69" s="136"/>
      <c r="G69" s="4"/>
      <c r="H69" s="4"/>
      <c r="I69" s="41"/>
      <c r="J69" s="154"/>
      <c r="K69" s="40"/>
      <c r="L69" s="40"/>
      <c r="M69" s="131"/>
      <c r="N69" s="131"/>
      <c r="O69" s="131"/>
      <c r="P69" s="131"/>
      <c r="Q69" s="131"/>
      <c r="R69" s="40"/>
      <c r="S69" s="40"/>
      <c r="T69" s="131"/>
      <c r="U69" s="131"/>
      <c r="V69" s="131"/>
      <c r="W69" s="131"/>
      <c r="X69" s="131"/>
      <c r="Y69" s="40"/>
      <c r="Z69" s="40"/>
      <c r="AA69" s="131"/>
      <c r="AB69" s="131"/>
      <c r="AC69" s="131"/>
      <c r="AD69" s="131"/>
      <c r="AE69" s="131"/>
      <c r="AF69" s="40"/>
      <c r="AG69" s="40"/>
      <c r="AH69" s="131"/>
      <c r="AI69" s="131"/>
      <c r="AJ69" s="131"/>
      <c r="AK69" s="131"/>
      <c r="AM69" s="4"/>
      <c r="AN69" s="43"/>
    </row>
    <row r="70" customFormat="false" ht="12.75" hidden="false" customHeight="false" outlineLevel="0" collapsed="false">
      <c r="A70" s="48"/>
      <c r="B70" s="40"/>
      <c r="C70" s="4"/>
      <c r="D70" s="40"/>
      <c r="E70" s="131"/>
      <c r="F70" s="136"/>
      <c r="G70" s="4"/>
      <c r="H70" s="4"/>
      <c r="I70" s="41"/>
      <c r="J70" s="154"/>
      <c r="K70" s="40"/>
      <c r="L70" s="40"/>
      <c r="M70" s="131"/>
      <c r="N70" s="131"/>
      <c r="O70" s="131"/>
      <c r="P70" s="131"/>
      <c r="Q70" s="131"/>
      <c r="R70" s="40"/>
      <c r="S70" s="40"/>
      <c r="T70" s="131"/>
      <c r="U70" s="131"/>
      <c r="V70" s="131"/>
      <c r="W70" s="131"/>
      <c r="X70" s="131"/>
      <c r="Y70" s="40"/>
      <c r="Z70" s="40"/>
      <c r="AA70" s="131"/>
      <c r="AB70" s="131"/>
      <c r="AC70" s="131"/>
      <c r="AD70" s="131"/>
      <c r="AE70" s="131"/>
      <c r="AF70" s="40"/>
      <c r="AG70" s="40"/>
      <c r="AH70" s="131"/>
      <c r="AI70" s="131"/>
      <c r="AJ70" s="131"/>
      <c r="AK70" s="131"/>
      <c r="AM70" s="4"/>
      <c r="AN70" s="43"/>
    </row>
    <row r="71" customFormat="false" ht="12.75" hidden="false" customHeight="false" outlineLevel="0" collapsed="false">
      <c r="A71" s="48"/>
      <c r="B71" s="40"/>
      <c r="C71" s="4"/>
      <c r="D71" s="40"/>
      <c r="E71" s="131"/>
      <c r="F71" s="136"/>
      <c r="G71" s="4"/>
      <c r="H71" s="4"/>
      <c r="I71" s="41"/>
      <c r="J71" s="154"/>
      <c r="K71" s="40"/>
      <c r="L71" s="40"/>
      <c r="M71" s="131"/>
      <c r="N71" s="131"/>
      <c r="O71" s="131"/>
      <c r="P71" s="131"/>
      <c r="Q71" s="131"/>
      <c r="R71" s="40"/>
      <c r="S71" s="40"/>
      <c r="T71" s="131"/>
      <c r="U71" s="131"/>
      <c r="V71" s="131"/>
      <c r="W71" s="131"/>
      <c r="X71" s="131"/>
      <c r="Y71" s="40"/>
      <c r="Z71" s="40"/>
      <c r="AA71" s="131"/>
      <c r="AB71" s="131"/>
      <c r="AC71" s="131"/>
      <c r="AD71" s="131"/>
      <c r="AE71" s="131"/>
      <c r="AF71" s="40"/>
      <c r="AG71" s="40"/>
      <c r="AH71" s="131"/>
      <c r="AI71" s="131"/>
      <c r="AJ71" s="131"/>
      <c r="AK71" s="131"/>
      <c r="AM71" s="4"/>
      <c r="AN71" s="43"/>
    </row>
    <row r="72" customFormat="false" ht="12.75" hidden="false" customHeight="false" outlineLevel="0" collapsed="false">
      <c r="A72" s="48"/>
      <c r="B72" s="40"/>
      <c r="C72" s="4"/>
      <c r="D72" s="40"/>
      <c r="E72" s="131"/>
      <c r="F72" s="136"/>
      <c r="G72" s="4"/>
      <c r="H72" s="4"/>
      <c r="I72" s="41"/>
      <c r="J72" s="154"/>
      <c r="K72" s="40"/>
      <c r="L72" s="40"/>
      <c r="M72" s="131"/>
      <c r="N72" s="131"/>
      <c r="O72" s="131"/>
      <c r="P72" s="131"/>
      <c r="Q72" s="131"/>
      <c r="R72" s="40"/>
      <c r="S72" s="40"/>
      <c r="T72" s="131"/>
      <c r="U72" s="131"/>
      <c r="V72" s="131"/>
      <c r="W72" s="131"/>
      <c r="X72" s="131"/>
      <c r="Y72" s="40"/>
      <c r="Z72" s="40"/>
      <c r="AA72" s="131"/>
      <c r="AB72" s="131"/>
      <c r="AC72" s="131"/>
      <c r="AD72" s="131"/>
      <c r="AE72" s="131"/>
      <c r="AF72" s="40"/>
      <c r="AG72" s="40"/>
      <c r="AH72" s="131"/>
      <c r="AI72" s="131"/>
      <c r="AJ72" s="131"/>
      <c r="AK72" s="131"/>
      <c r="AM72" s="4"/>
      <c r="AN72" s="43"/>
    </row>
    <row r="73" customFormat="false" ht="12.75" hidden="false" customHeight="false" outlineLevel="0" collapsed="false">
      <c r="A73" s="48"/>
      <c r="B73" s="40"/>
      <c r="C73" s="4"/>
      <c r="D73" s="40"/>
      <c r="E73" s="131"/>
      <c r="F73" s="136"/>
      <c r="G73" s="4"/>
      <c r="H73" s="4"/>
      <c r="I73" s="41"/>
      <c r="J73" s="154"/>
      <c r="K73" s="40"/>
      <c r="L73" s="40"/>
      <c r="M73" s="131"/>
      <c r="N73" s="131"/>
      <c r="O73" s="131"/>
      <c r="P73" s="131"/>
      <c r="Q73" s="131"/>
      <c r="R73" s="40"/>
      <c r="S73" s="40"/>
      <c r="T73" s="131"/>
      <c r="U73" s="131"/>
      <c r="V73" s="131"/>
      <c r="W73" s="131"/>
      <c r="X73" s="131"/>
      <c r="Y73" s="40"/>
      <c r="Z73" s="40"/>
      <c r="AA73" s="131"/>
      <c r="AB73" s="131"/>
      <c r="AC73" s="131"/>
      <c r="AD73" s="131"/>
      <c r="AE73" s="131"/>
      <c r="AF73" s="40"/>
      <c r="AG73" s="40"/>
      <c r="AH73" s="131"/>
      <c r="AI73" s="131"/>
      <c r="AJ73" s="131"/>
      <c r="AK73" s="131"/>
      <c r="AM73" s="4"/>
      <c r="AN73" s="43"/>
    </row>
    <row r="74" customFormat="false" ht="12.75" hidden="false" customHeight="false" outlineLevel="0" collapsed="false">
      <c r="A74" s="48"/>
      <c r="B74" s="40"/>
      <c r="C74" s="4"/>
      <c r="D74" s="40"/>
      <c r="E74" s="131"/>
      <c r="F74" s="136"/>
      <c r="G74" s="4"/>
      <c r="H74" s="4"/>
      <c r="I74" s="41"/>
      <c r="J74" s="154"/>
      <c r="K74" s="40"/>
      <c r="L74" s="40"/>
      <c r="M74" s="131"/>
      <c r="N74" s="131"/>
      <c r="O74" s="131"/>
      <c r="P74" s="131"/>
      <c r="Q74" s="131"/>
      <c r="R74" s="40"/>
      <c r="S74" s="40"/>
      <c r="T74" s="131"/>
      <c r="U74" s="131"/>
      <c r="V74" s="131"/>
      <c r="W74" s="131"/>
      <c r="X74" s="131"/>
      <c r="Y74" s="40"/>
      <c r="Z74" s="40"/>
      <c r="AA74" s="131"/>
      <c r="AB74" s="131"/>
      <c r="AC74" s="131"/>
      <c r="AD74" s="131"/>
      <c r="AE74" s="131"/>
      <c r="AF74" s="40"/>
      <c r="AG74" s="40"/>
      <c r="AH74" s="131"/>
      <c r="AI74" s="131"/>
      <c r="AJ74" s="131"/>
      <c r="AK74" s="131"/>
      <c r="AM74" s="4"/>
      <c r="AN74" s="43"/>
    </row>
    <row r="75" customFormat="false" ht="12.75" hidden="false" customHeight="false" outlineLevel="0" collapsed="false">
      <c r="A75" s="48"/>
      <c r="B75" s="40"/>
      <c r="C75" s="4"/>
      <c r="D75" s="40"/>
      <c r="E75" s="131"/>
      <c r="F75" s="136"/>
      <c r="G75" s="4"/>
      <c r="H75" s="4"/>
      <c r="I75" s="41"/>
      <c r="J75" s="154"/>
      <c r="K75" s="40"/>
      <c r="L75" s="40"/>
      <c r="M75" s="131"/>
      <c r="N75" s="131"/>
      <c r="O75" s="131"/>
      <c r="P75" s="131"/>
      <c r="Q75" s="131"/>
      <c r="R75" s="40"/>
      <c r="S75" s="40"/>
      <c r="T75" s="131"/>
      <c r="U75" s="131"/>
      <c r="V75" s="131"/>
      <c r="W75" s="131"/>
      <c r="X75" s="131"/>
      <c r="Y75" s="40"/>
      <c r="Z75" s="40"/>
      <c r="AA75" s="131"/>
      <c r="AB75" s="131"/>
      <c r="AC75" s="131"/>
      <c r="AD75" s="131"/>
      <c r="AE75" s="131"/>
      <c r="AF75" s="40"/>
      <c r="AG75" s="40"/>
      <c r="AH75" s="131"/>
      <c r="AI75" s="131"/>
      <c r="AJ75" s="131"/>
      <c r="AK75" s="131"/>
      <c r="AM75" s="4"/>
      <c r="AN75" s="43"/>
    </row>
    <row r="76" customFormat="false" ht="12.75" hidden="false" customHeight="false" outlineLevel="0" collapsed="false">
      <c r="A76" s="48"/>
      <c r="B76" s="40"/>
      <c r="C76" s="4"/>
      <c r="D76" s="40"/>
      <c r="E76" s="131"/>
      <c r="F76" s="136"/>
      <c r="G76" s="4"/>
      <c r="H76" s="4"/>
      <c r="I76" s="41"/>
      <c r="J76" s="154"/>
      <c r="K76" s="40"/>
      <c r="L76" s="40"/>
      <c r="M76" s="131"/>
      <c r="N76" s="131"/>
      <c r="O76" s="131"/>
      <c r="P76" s="131"/>
      <c r="Q76" s="131"/>
      <c r="R76" s="40"/>
      <c r="S76" s="40"/>
      <c r="T76" s="131"/>
      <c r="U76" s="131"/>
      <c r="V76" s="131"/>
      <c r="W76" s="131"/>
      <c r="X76" s="131"/>
      <c r="Y76" s="40"/>
      <c r="Z76" s="40"/>
      <c r="AA76" s="131"/>
      <c r="AB76" s="131"/>
      <c r="AC76" s="131"/>
      <c r="AD76" s="131"/>
      <c r="AE76" s="131"/>
      <c r="AF76" s="40"/>
      <c r="AG76" s="40"/>
      <c r="AH76" s="131"/>
      <c r="AI76" s="131"/>
      <c r="AJ76" s="131"/>
      <c r="AK76" s="131"/>
      <c r="AM76" s="4"/>
      <c r="AN76" s="43"/>
    </row>
    <row r="77" customFormat="false" ht="12.75" hidden="false" customHeight="false" outlineLevel="0" collapsed="false">
      <c r="A77" s="48"/>
      <c r="B77" s="40"/>
      <c r="C77" s="4"/>
      <c r="D77" s="40"/>
      <c r="E77" s="131"/>
      <c r="F77" s="136"/>
      <c r="G77" s="4"/>
      <c r="H77" s="4"/>
      <c r="I77" s="41"/>
      <c r="J77" s="154"/>
      <c r="K77" s="40"/>
      <c r="L77" s="40"/>
      <c r="M77" s="131"/>
      <c r="N77" s="131"/>
      <c r="O77" s="131"/>
      <c r="P77" s="131"/>
      <c r="Q77" s="131"/>
      <c r="R77" s="40"/>
      <c r="S77" s="40"/>
      <c r="T77" s="131"/>
      <c r="U77" s="131"/>
      <c r="V77" s="131"/>
      <c r="W77" s="131"/>
      <c r="X77" s="131"/>
      <c r="Y77" s="40"/>
      <c r="Z77" s="40"/>
      <c r="AA77" s="131"/>
      <c r="AB77" s="131"/>
      <c r="AC77" s="131"/>
      <c r="AD77" s="131"/>
      <c r="AE77" s="131"/>
      <c r="AF77" s="40"/>
      <c r="AG77" s="40"/>
      <c r="AH77" s="131"/>
      <c r="AI77" s="131"/>
      <c r="AJ77" s="131"/>
      <c r="AK77" s="131"/>
      <c r="AM77" s="4"/>
      <c r="AN77" s="43"/>
    </row>
    <row r="78" customFormat="false" ht="12.75" hidden="false" customHeight="false" outlineLevel="0" collapsed="false">
      <c r="A78" s="48"/>
      <c r="B78" s="40"/>
      <c r="C78" s="4"/>
      <c r="D78" s="40"/>
      <c r="E78" s="131"/>
      <c r="F78" s="136"/>
      <c r="G78" s="4"/>
      <c r="H78" s="4"/>
      <c r="I78" s="41"/>
      <c r="J78" s="154"/>
      <c r="K78" s="40"/>
      <c r="L78" s="40"/>
      <c r="M78" s="131"/>
      <c r="N78" s="131"/>
      <c r="O78" s="131"/>
      <c r="P78" s="131"/>
      <c r="Q78" s="131"/>
      <c r="R78" s="40"/>
      <c r="S78" s="40"/>
      <c r="T78" s="131"/>
      <c r="U78" s="131"/>
      <c r="V78" s="131"/>
      <c r="W78" s="131"/>
      <c r="X78" s="131"/>
      <c r="Y78" s="40"/>
      <c r="Z78" s="40"/>
      <c r="AA78" s="131"/>
      <c r="AB78" s="131"/>
      <c r="AC78" s="131"/>
      <c r="AD78" s="131"/>
      <c r="AE78" s="131"/>
      <c r="AF78" s="40"/>
      <c r="AG78" s="40"/>
      <c r="AH78" s="131"/>
      <c r="AI78" s="131"/>
      <c r="AJ78" s="131"/>
      <c r="AK78" s="131"/>
      <c r="AM78" s="4"/>
      <c r="AN78" s="43"/>
    </row>
    <row r="79" customFormat="false" ht="12.75" hidden="false" customHeight="false" outlineLevel="0" collapsed="false">
      <c r="A79" s="48"/>
      <c r="B79" s="40"/>
      <c r="C79" s="4"/>
      <c r="D79" s="40"/>
      <c r="E79" s="131"/>
      <c r="F79" s="136"/>
      <c r="G79" s="4"/>
      <c r="H79" s="4"/>
      <c r="I79" s="41"/>
      <c r="J79" s="154"/>
      <c r="K79" s="40"/>
      <c r="L79" s="40"/>
      <c r="M79" s="131"/>
      <c r="N79" s="131"/>
      <c r="O79" s="131"/>
      <c r="P79" s="131"/>
      <c r="Q79" s="131"/>
      <c r="R79" s="40"/>
      <c r="S79" s="40"/>
      <c r="T79" s="131"/>
      <c r="U79" s="131"/>
      <c r="V79" s="131"/>
      <c r="W79" s="131"/>
      <c r="X79" s="131"/>
      <c r="Y79" s="40"/>
      <c r="Z79" s="40"/>
      <c r="AA79" s="131"/>
      <c r="AB79" s="131"/>
      <c r="AC79" s="131"/>
      <c r="AD79" s="131"/>
      <c r="AE79" s="131"/>
      <c r="AF79" s="40"/>
      <c r="AG79" s="40"/>
      <c r="AH79" s="131"/>
      <c r="AI79" s="131"/>
      <c r="AJ79" s="131"/>
      <c r="AK79" s="131"/>
      <c r="AM79" s="4"/>
      <c r="AN79" s="43"/>
    </row>
    <row r="80" customFormat="false" ht="12.75" hidden="false" customHeight="false" outlineLevel="0" collapsed="false">
      <c r="A80" s="48"/>
      <c r="B80" s="40"/>
      <c r="C80" s="4"/>
      <c r="D80" s="40"/>
      <c r="E80" s="131"/>
      <c r="F80" s="136"/>
      <c r="G80" s="4"/>
      <c r="H80" s="4"/>
      <c r="I80" s="41"/>
      <c r="J80" s="154"/>
      <c r="K80" s="40"/>
      <c r="L80" s="40"/>
      <c r="M80" s="131"/>
      <c r="N80" s="131"/>
      <c r="O80" s="131"/>
      <c r="P80" s="131"/>
      <c r="Q80" s="131"/>
      <c r="R80" s="40"/>
      <c r="S80" s="40"/>
      <c r="T80" s="131"/>
      <c r="U80" s="131"/>
      <c r="V80" s="131"/>
      <c r="W80" s="131"/>
      <c r="X80" s="131"/>
      <c r="Y80" s="40"/>
      <c r="Z80" s="40"/>
      <c r="AA80" s="131"/>
      <c r="AB80" s="131"/>
      <c r="AC80" s="131"/>
      <c r="AD80" s="131"/>
      <c r="AE80" s="131"/>
      <c r="AF80" s="40"/>
      <c r="AG80" s="40"/>
      <c r="AH80" s="131"/>
      <c r="AI80" s="131"/>
      <c r="AJ80" s="131"/>
      <c r="AK80" s="131"/>
      <c r="AM80" s="4"/>
      <c r="AN80" s="43"/>
    </row>
    <row r="81" customFormat="false" ht="12.75" hidden="false" customHeight="false" outlineLevel="0" collapsed="false">
      <c r="A81" s="48"/>
      <c r="B81" s="40"/>
      <c r="C81" s="4"/>
      <c r="D81" s="40"/>
      <c r="E81" s="131"/>
      <c r="F81" s="136"/>
      <c r="G81" s="4"/>
      <c r="H81" s="4"/>
      <c r="I81" s="41"/>
      <c r="J81" s="154"/>
      <c r="K81" s="40"/>
      <c r="L81" s="40"/>
      <c r="M81" s="131"/>
      <c r="N81" s="131"/>
      <c r="O81" s="131"/>
      <c r="P81" s="131"/>
      <c r="Q81" s="131"/>
      <c r="R81" s="40"/>
      <c r="S81" s="40"/>
      <c r="T81" s="131"/>
      <c r="U81" s="131"/>
      <c r="V81" s="131"/>
      <c r="W81" s="131"/>
      <c r="X81" s="131"/>
      <c r="Y81" s="40"/>
      <c r="Z81" s="40"/>
      <c r="AA81" s="131"/>
      <c r="AB81" s="131"/>
      <c r="AC81" s="131"/>
      <c r="AD81" s="131"/>
      <c r="AE81" s="131"/>
      <c r="AF81" s="40"/>
      <c r="AG81" s="40"/>
      <c r="AH81" s="131"/>
      <c r="AI81" s="131"/>
      <c r="AJ81" s="131"/>
      <c r="AK81" s="131"/>
      <c r="AM81" s="4"/>
      <c r="AN81" s="43"/>
    </row>
    <row r="82" customFormat="false" ht="12.75" hidden="false" customHeight="false" outlineLevel="0" collapsed="false">
      <c r="A82" s="48"/>
      <c r="B82" s="40"/>
      <c r="C82" s="4"/>
      <c r="D82" s="40"/>
      <c r="E82" s="131"/>
      <c r="F82" s="136"/>
      <c r="G82" s="4"/>
      <c r="H82" s="4"/>
      <c r="I82" s="41"/>
      <c r="J82" s="154"/>
      <c r="K82" s="40"/>
      <c r="L82" s="40"/>
      <c r="M82" s="131"/>
      <c r="N82" s="131"/>
      <c r="O82" s="131"/>
      <c r="P82" s="131"/>
      <c r="Q82" s="131"/>
      <c r="R82" s="40"/>
      <c r="S82" s="40"/>
      <c r="T82" s="131"/>
      <c r="U82" s="131"/>
      <c r="V82" s="131"/>
      <c r="W82" s="131"/>
      <c r="X82" s="131"/>
      <c r="Y82" s="40"/>
      <c r="Z82" s="40"/>
      <c r="AA82" s="131"/>
      <c r="AB82" s="131"/>
      <c r="AC82" s="131"/>
      <c r="AD82" s="131"/>
      <c r="AE82" s="131"/>
      <c r="AF82" s="40"/>
      <c r="AG82" s="40"/>
      <c r="AH82" s="131"/>
      <c r="AI82" s="131"/>
      <c r="AJ82" s="131"/>
      <c r="AK82" s="131"/>
      <c r="AM82" s="4"/>
      <c r="AN82" s="43"/>
    </row>
    <row r="83" customFormat="false" ht="12.75" hidden="false" customHeight="false" outlineLevel="0" collapsed="false">
      <c r="A83" s="48"/>
      <c r="B83" s="40"/>
      <c r="C83" s="4"/>
      <c r="D83" s="40"/>
      <c r="E83" s="131"/>
      <c r="F83" s="136"/>
      <c r="G83" s="4"/>
      <c r="H83" s="4"/>
      <c r="I83" s="41"/>
      <c r="J83" s="154"/>
      <c r="K83" s="40"/>
      <c r="L83" s="40"/>
      <c r="M83" s="131"/>
      <c r="N83" s="131"/>
      <c r="O83" s="131"/>
      <c r="P83" s="131"/>
      <c r="Q83" s="131"/>
      <c r="R83" s="40"/>
      <c r="S83" s="40"/>
      <c r="T83" s="131"/>
      <c r="U83" s="131"/>
      <c r="V83" s="131"/>
      <c r="W83" s="131"/>
      <c r="X83" s="131"/>
      <c r="Y83" s="40"/>
      <c r="Z83" s="40"/>
      <c r="AA83" s="131"/>
      <c r="AB83" s="131"/>
      <c r="AC83" s="131"/>
      <c r="AD83" s="131"/>
      <c r="AE83" s="131"/>
      <c r="AF83" s="40"/>
      <c r="AG83" s="40"/>
      <c r="AH83" s="131"/>
      <c r="AI83" s="131"/>
      <c r="AJ83" s="131"/>
      <c r="AK83" s="131"/>
      <c r="AM83" s="4"/>
      <c r="AN83" s="43"/>
    </row>
    <row r="84" customFormat="false" ht="12.75" hidden="false" customHeight="false" outlineLevel="0" collapsed="false">
      <c r="A84" s="48"/>
      <c r="B84" s="40"/>
      <c r="C84" s="4"/>
      <c r="D84" s="40"/>
      <c r="E84" s="131"/>
      <c r="F84" s="136"/>
      <c r="G84" s="4"/>
      <c r="H84" s="4"/>
      <c r="I84" s="41"/>
      <c r="J84" s="154"/>
      <c r="K84" s="40"/>
      <c r="L84" s="40"/>
      <c r="M84" s="131"/>
      <c r="N84" s="131"/>
      <c r="O84" s="131"/>
      <c r="P84" s="131"/>
      <c r="Q84" s="131"/>
      <c r="R84" s="40"/>
      <c r="S84" s="40"/>
      <c r="T84" s="131"/>
      <c r="U84" s="131"/>
      <c r="V84" s="131"/>
      <c r="W84" s="131"/>
      <c r="X84" s="131"/>
      <c r="Y84" s="40"/>
      <c r="Z84" s="40"/>
      <c r="AA84" s="131"/>
      <c r="AB84" s="131"/>
      <c r="AC84" s="131"/>
      <c r="AD84" s="131"/>
      <c r="AE84" s="131"/>
      <c r="AF84" s="40"/>
      <c r="AG84" s="40"/>
      <c r="AH84" s="131"/>
      <c r="AI84" s="131"/>
      <c r="AJ84" s="131"/>
      <c r="AK84" s="131"/>
      <c r="AM84" s="4"/>
      <c r="AN84" s="43"/>
    </row>
    <row r="85" customFormat="false" ht="12.75" hidden="false" customHeight="false" outlineLevel="0" collapsed="false">
      <c r="A85" s="48"/>
      <c r="B85" s="40"/>
      <c r="C85" s="4"/>
      <c r="D85" s="40"/>
      <c r="E85" s="131"/>
      <c r="F85" s="136"/>
      <c r="G85" s="4"/>
      <c r="H85" s="4"/>
      <c r="I85" s="41"/>
      <c r="J85" s="154"/>
      <c r="K85" s="40"/>
      <c r="L85" s="40"/>
      <c r="M85" s="131"/>
      <c r="N85" s="131"/>
      <c r="O85" s="131"/>
      <c r="P85" s="131"/>
      <c r="Q85" s="131"/>
      <c r="R85" s="40"/>
      <c r="S85" s="40"/>
      <c r="T85" s="131"/>
      <c r="U85" s="131"/>
      <c r="V85" s="131"/>
      <c r="W85" s="131"/>
      <c r="X85" s="131"/>
      <c r="Y85" s="40"/>
      <c r="Z85" s="40"/>
      <c r="AA85" s="131"/>
      <c r="AB85" s="131"/>
      <c r="AC85" s="131"/>
      <c r="AD85" s="131"/>
      <c r="AE85" s="131"/>
      <c r="AF85" s="40"/>
      <c r="AG85" s="40"/>
      <c r="AH85" s="131"/>
      <c r="AI85" s="131"/>
      <c r="AJ85" s="131"/>
      <c r="AK85" s="131"/>
      <c r="AM85" s="4"/>
      <c r="AN85" s="43"/>
    </row>
    <row r="86" customFormat="false" ht="12.75" hidden="false" customHeight="false" outlineLevel="0" collapsed="false">
      <c r="A86" s="48"/>
      <c r="B86" s="40"/>
      <c r="C86" s="4"/>
      <c r="D86" s="40"/>
      <c r="E86" s="131"/>
      <c r="F86" s="136"/>
      <c r="G86" s="4"/>
      <c r="H86" s="4"/>
      <c r="I86" s="41"/>
      <c r="J86" s="154"/>
      <c r="K86" s="40"/>
      <c r="L86" s="40"/>
      <c r="M86" s="131"/>
      <c r="N86" s="131"/>
      <c r="O86" s="131"/>
      <c r="P86" s="131"/>
      <c r="Q86" s="131"/>
      <c r="R86" s="40"/>
      <c r="S86" s="40"/>
      <c r="T86" s="131"/>
      <c r="U86" s="131"/>
      <c r="V86" s="131"/>
      <c r="W86" s="131"/>
      <c r="X86" s="131"/>
      <c r="Y86" s="40"/>
      <c r="Z86" s="40"/>
      <c r="AA86" s="131"/>
      <c r="AB86" s="131"/>
      <c r="AC86" s="131"/>
      <c r="AD86" s="131"/>
      <c r="AE86" s="131"/>
      <c r="AF86" s="40"/>
      <c r="AG86" s="40"/>
      <c r="AH86" s="131"/>
      <c r="AI86" s="131"/>
      <c r="AJ86" s="131"/>
      <c r="AK86" s="131"/>
      <c r="AM86" s="4"/>
      <c r="AN86" s="43"/>
    </row>
    <row r="87" customFormat="false" ht="12.75" hidden="false" customHeight="false" outlineLevel="0" collapsed="false">
      <c r="A87" s="48"/>
      <c r="B87" s="40"/>
      <c r="C87" s="4"/>
      <c r="D87" s="40"/>
      <c r="E87" s="131"/>
      <c r="F87" s="136"/>
      <c r="G87" s="4"/>
      <c r="H87" s="4"/>
      <c r="I87" s="41"/>
      <c r="J87" s="154"/>
      <c r="K87" s="40"/>
      <c r="L87" s="40"/>
      <c r="M87" s="131"/>
      <c r="N87" s="131"/>
      <c r="O87" s="131"/>
      <c r="P87" s="131"/>
      <c r="Q87" s="131"/>
      <c r="R87" s="40"/>
      <c r="S87" s="40"/>
      <c r="T87" s="131"/>
      <c r="U87" s="131"/>
      <c r="V87" s="131"/>
      <c r="W87" s="131"/>
      <c r="X87" s="131"/>
      <c r="Y87" s="40"/>
      <c r="Z87" s="40"/>
      <c r="AA87" s="131"/>
      <c r="AB87" s="131"/>
      <c r="AC87" s="131"/>
      <c r="AD87" s="131"/>
      <c r="AE87" s="131"/>
      <c r="AF87" s="40"/>
      <c r="AG87" s="40"/>
      <c r="AH87" s="131"/>
      <c r="AI87" s="131"/>
      <c r="AJ87" s="131"/>
      <c r="AK87" s="131"/>
      <c r="AM87" s="4"/>
      <c r="AN87" s="43"/>
    </row>
    <row r="88" customFormat="false" ht="12.75" hidden="false" customHeight="false" outlineLevel="0" collapsed="false">
      <c r="A88" s="48"/>
      <c r="B88" s="40"/>
      <c r="C88" s="4"/>
      <c r="D88" s="40"/>
      <c r="E88" s="131"/>
      <c r="F88" s="136"/>
      <c r="G88" s="4"/>
      <c r="H88" s="4"/>
      <c r="I88" s="41"/>
      <c r="J88" s="154"/>
      <c r="K88" s="40"/>
      <c r="L88" s="40"/>
      <c r="M88" s="131"/>
      <c r="N88" s="131"/>
      <c r="O88" s="131"/>
      <c r="P88" s="131"/>
      <c r="Q88" s="131"/>
      <c r="R88" s="40"/>
      <c r="S88" s="40"/>
      <c r="T88" s="131"/>
      <c r="U88" s="131"/>
      <c r="V88" s="131"/>
      <c r="W88" s="131"/>
      <c r="X88" s="131"/>
      <c r="Y88" s="40"/>
      <c r="Z88" s="40"/>
      <c r="AA88" s="131"/>
      <c r="AB88" s="131"/>
      <c r="AC88" s="131"/>
      <c r="AD88" s="131"/>
      <c r="AE88" s="131"/>
      <c r="AF88" s="40"/>
      <c r="AG88" s="40"/>
      <c r="AH88" s="131"/>
      <c r="AI88" s="131"/>
      <c r="AJ88" s="131"/>
      <c r="AK88" s="131"/>
      <c r="AM88" s="4"/>
      <c r="AN88" s="43"/>
    </row>
    <row r="89" customFormat="false" ht="12.75" hidden="false" customHeight="false" outlineLevel="0" collapsed="false">
      <c r="A89" s="48"/>
      <c r="B89" s="40"/>
      <c r="C89" s="4"/>
      <c r="D89" s="40"/>
      <c r="E89" s="131"/>
      <c r="F89" s="136"/>
      <c r="G89" s="4"/>
      <c r="H89" s="4"/>
      <c r="I89" s="41"/>
      <c r="J89" s="154"/>
      <c r="K89" s="40"/>
      <c r="L89" s="40"/>
      <c r="M89" s="131"/>
      <c r="N89" s="131"/>
      <c r="O89" s="131"/>
      <c r="P89" s="131"/>
      <c r="Q89" s="131"/>
      <c r="R89" s="40"/>
      <c r="S89" s="40"/>
      <c r="T89" s="131"/>
      <c r="U89" s="131"/>
      <c r="V89" s="131"/>
      <c r="W89" s="131"/>
      <c r="X89" s="131"/>
      <c r="Y89" s="40"/>
      <c r="Z89" s="40"/>
      <c r="AA89" s="131"/>
      <c r="AB89" s="131"/>
      <c r="AC89" s="131"/>
      <c r="AD89" s="131"/>
      <c r="AE89" s="131"/>
      <c r="AF89" s="40"/>
      <c r="AG89" s="40"/>
      <c r="AH89" s="131"/>
      <c r="AI89" s="131"/>
      <c r="AJ89" s="131"/>
      <c r="AK89" s="131"/>
      <c r="AM89" s="4"/>
      <c r="AN89" s="43"/>
    </row>
    <row r="90" customFormat="false" ht="12.75" hidden="false" customHeight="false" outlineLevel="0" collapsed="false">
      <c r="A90" s="48"/>
      <c r="B90" s="40"/>
      <c r="C90" s="4"/>
      <c r="D90" s="40"/>
      <c r="E90" s="131"/>
      <c r="F90" s="136"/>
      <c r="G90" s="4"/>
      <c r="H90" s="4"/>
      <c r="I90" s="41"/>
      <c r="J90" s="154"/>
      <c r="K90" s="40"/>
      <c r="L90" s="40"/>
      <c r="M90" s="131"/>
      <c r="N90" s="131"/>
      <c r="O90" s="131"/>
      <c r="P90" s="131"/>
      <c r="Q90" s="131"/>
      <c r="R90" s="40"/>
      <c r="S90" s="40"/>
      <c r="T90" s="131"/>
      <c r="U90" s="131"/>
      <c r="V90" s="131"/>
      <c r="W90" s="131"/>
      <c r="X90" s="131"/>
      <c r="Y90" s="40"/>
      <c r="Z90" s="40"/>
      <c r="AA90" s="131"/>
      <c r="AB90" s="131"/>
      <c r="AC90" s="131"/>
      <c r="AD90" s="131"/>
      <c r="AE90" s="131"/>
      <c r="AF90" s="40"/>
      <c r="AG90" s="40"/>
      <c r="AH90" s="131"/>
      <c r="AI90" s="131"/>
      <c r="AJ90" s="131"/>
      <c r="AK90" s="131"/>
      <c r="AM90" s="4"/>
      <c r="AN90" s="43"/>
    </row>
    <row r="91" customFormat="false" ht="12.75" hidden="false" customHeight="false" outlineLevel="0" collapsed="false">
      <c r="A91" s="48"/>
      <c r="B91" s="40"/>
      <c r="C91" s="4"/>
      <c r="D91" s="40"/>
      <c r="E91" s="131"/>
      <c r="F91" s="136"/>
      <c r="G91" s="4"/>
      <c r="H91" s="4"/>
      <c r="I91" s="41"/>
      <c r="J91" s="154"/>
      <c r="K91" s="40"/>
      <c r="L91" s="40"/>
      <c r="M91" s="131"/>
      <c r="N91" s="131"/>
      <c r="O91" s="131"/>
      <c r="P91" s="131"/>
      <c r="Q91" s="131"/>
      <c r="R91" s="40"/>
      <c r="S91" s="40"/>
      <c r="T91" s="131"/>
      <c r="U91" s="131"/>
      <c r="V91" s="131"/>
      <c r="W91" s="131"/>
      <c r="X91" s="131"/>
      <c r="Y91" s="40"/>
      <c r="Z91" s="40"/>
      <c r="AA91" s="131"/>
      <c r="AB91" s="131"/>
      <c r="AC91" s="131"/>
      <c r="AD91" s="131"/>
      <c r="AE91" s="131"/>
      <c r="AF91" s="40"/>
      <c r="AG91" s="40"/>
      <c r="AH91" s="131"/>
      <c r="AI91" s="131"/>
      <c r="AJ91" s="131"/>
      <c r="AK91" s="131"/>
      <c r="AM91" s="4"/>
      <c r="AN91" s="43"/>
    </row>
    <row r="92" customFormat="false" ht="12.75" hidden="false" customHeight="false" outlineLevel="0" collapsed="false">
      <c r="A92" s="48"/>
      <c r="B92" s="40"/>
      <c r="C92" s="4"/>
      <c r="D92" s="40"/>
      <c r="E92" s="131"/>
      <c r="F92" s="136"/>
      <c r="G92" s="4"/>
      <c r="H92" s="4"/>
      <c r="I92" s="41"/>
      <c r="J92" s="154"/>
      <c r="K92" s="40"/>
      <c r="L92" s="40"/>
      <c r="M92" s="131"/>
      <c r="N92" s="131"/>
      <c r="O92" s="131"/>
      <c r="P92" s="131"/>
      <c r="Q92" s="131"/>
      <c r="R92" s="40"/>
      <c r="S92" s="40"/>
      <c r="T92" s="131"/>
      <c r="U92" s="131"/>
      <c r="V92" s="131"/>
      <c r="W92" s="131"/>
      <c r="X92" s="131"/>
      <c r="Y92" s="40"/>
      <c r="Z92" s="40"/>
      <c r="AA92" s="131"/>
      <c r="AB92" s="131"/>
      <c r="AC92" s="131"/>
      <c r="AD92" s="131"/>
      <c r="AE92" s="131"/>
      <c r="AF92" s="40"/>
      <c r="AG92" s="40"/>
      <c r="AH92" s="131"/>
      <c r="AI92" s="131"/>
      <c r="AJ92" s="131"/>
      <c r="AK92" s="131"/>
      <c r="AM92" s="4"/>
      <c r="AN92" s="43"/>
    </row>
    <row r="93" customFormat="false" ht="12.75" hidden="false" customHeight="false" outlineLevel="0" collapsed="false">
      <c r="A93" s="48"/>
      <c r="B93" s="40"/>
      <c r="C93" s="4"/>
      <c r="D93" s="40"/>
      <c r="E93" s="131"/>
      <c r="F93" s="136"/>
      <c r="G93" s="4"/>
      <c r="H93" s="4"/>
      <c r="I93" s="41"/>
      <c r="J93" s="154"/>
      <c r="K93" s="40"/>
      <c r="L93" s="40"/>
      <c r="M93" s="131"/>
      <c r="N93" s="131"/>
      <c r="O93" s="131"/>
      <c r="P93" s="131"/>
      <c r="Q93" s="131"/>
      <c r="R93" s="40"/>
      <c r="S93" s="40"/>
      <c r="T93" s="131"/>
      <c r="U93" s="131"/>
      <c r="V93" s="131"/>
      <c r="W93" s="131"/>
      <c r="X93" s="131"/>
      <c r="Y93" s="40"/>
      <c r="Z93" s="40"/>
      <c r="AA93" s="131"/>
      <c r="AB93" s="131"/>
      <c r="AC93" s="131"/>
      <c r="AD93" s="131"/>
      <c r="AE93" s="131"/>
      <c r="AF93" s="40"/>
      <c r="AG93" s="40"/>
      <c r="AH93" s="131"/>
      <c r="AI93" s="131"/>
      <c r="AJ93" s="131"/>
      <c r="AK93" s="131"/>
      <c r="AM93" s="4"/>
      <c r="AN93" s="43"/>
    </row>
    <row r="94" customFormat="false" ht="12.75" hidden="false" customHeight="false" outlineLevel="0" collapsed="false">
      <c r="A94" s="48"/>
      <c r="B94" s="40"/>
      <c r="C94" s="4"/>
      <c r="D94" s="40"/>
      <c r="E94" s="131"/>
      <c r="F94" s="136"/>
      <c r="G94" s="4"/>
      <c r="H94" s="4"/>
      <c r="I94" s="41"/>
      <c r="J94" s="154"/>
      <c r="K94" s="40"/>
      <c r="L94" s="40"/>
      <c r="M94" s="131"/>
      <c r="N94" s="131"/>
      <c r="O94" s="131"/>
      <c r="P94" s="131"/>
      <c r="Q94" s="131"/>
      <c r="R94" s="40"/>
      <c r="S94" s="40"/>
      <c r="T94" s="131"/>
      <c r="U94" s="131"/>
      <c r="V94" s="131"/>
      <c r="W94" s="131"/>
      <c r="X94" s="131"/>
      <c r="Y94" s="40"/>
      <c r="Z94" s="40"/>
      <c r="AA94" s="131"/>
      <c r="AB94" s="131"/>
      <c r="AC94" s="131"/>
      <c r="AD94" s="131"/>
      <c r="AE94" s="131"/>
      <c r="AF94" s="40"/>
      <c r="AG94" s="40"/>
      <c r="AH94" s="131"/>
      <c r="AI94" s="131"/>
      <c r="AJ94" s="131"/>
      <c r="AK94" s="131"/>
      <c r="AM94" s="4"/>
      <c r="AN94" s="43"/>
    </row>
    <row r="95" customFormat="false" ht="12.75" hidden="false" customHeight="false" outlineLevel="0" collapsed="false">
      <c r="A95" s="48"/>
      <c r="B95" s="40"/>
      <c r="C95" s="4"/>
      <c r="D95" s="40"/>
      <c r="E95" s="131"/>
      <c r="F95" s="136"/>
      <c r="G95" s="4"/>
      <c r="H95" s="4"/>
      <c r="I95" s="41"/>
      <c r="J95" s="154"/>
      <c r="K95" s="40"/>
      <c r="L95" s="40"/>
      <c r="M95" s="131"/>
      <c r="N95" s="131"/>
      <c r="O95" s="131"/>
      <c r="P95" s="131"/>
      <c r="Q95" s="131"/>
      <c r="R95" s="40"/>
      <c r="S95" s="40"/>
      <c r="T95" s="131"/>
      <c r="U95" s="131"/>
      <c r="V95" s="131"/>
      <c r="W95" s="131"/>
      <c r="X95" s="131"/>
      <c r="Y95" s="40"/>
      <c r="Z95" s="40"/>
      <c r="AA95" s="131"/>
      <c r="AB95" s="131"/>
      <c r="AC95" s="131"/>
      <c r="AD95" s="131"/>
      <c r="AE95" s="131"/>
      <c r="AF95" s="40"/>
      <c r="AG95" s="40"/>
      <c r="AH95" s="131"/>
      <c r="AI95" s="131"/>
      <c r="AJ95" s="131"/>
      <c r="AK95" s="131"/>
      <c r="AM95" s="4"/>
      <c r="AN95" s="43"/>
    </row>
    <row r="96" customFormat="false" ht="12.75" hidden="false" customHeight="false" outlineLevel="0" collapsed="false">
      <c r="A96" s="48"/>
      <c r="B96" s="40"/>
      <c r="C96" s="4"/>
      <c r="D96" s="40"/>
      <c r="E96" s="131"/>
      <c r="F96" s="136"/>
      <c r="G96" s="4"/>
      <c r="H96" s="4"/>
      <c r="I96" s="41"/>
      <c r="J96" s="154"/>
      <c r="K96" s="40"/>
      <c r="L96" s="40"/>
      <c r="M96" s="131"/>
      <c r="N96" s="131"/>
      <c r="O96" s="131"/>
      <c r="P96" s="131"/>
      <c r="Q96" s="131"/>
      <c r="R96" s="40"/>
      <c r="S96" s="40"/>
      <c r="T96" s="131"/>
      <c r="U96" s="131"/>
      <c r="V96" s="131"/>
      <c r="W96" s="131"/>
      <c r="X96" s="131"/>
      <c r="Y96" s="40"/>
      <c r="Z96" s="40"/>
      <c r="AA96" s="131"/>
      <c r="AB96" s="131"/>
      <c r="AC96" s="131"/>
      <c r="AD96" s="131"/>
      <c r="AE96" s="131"/>
      <c r="AF96" s="40"/>
      <c r="AG96" s="40"/>
      <c r="AH96" s="131"/>
      <c r="AI96" s="131"/>
      <c r="AJ96" s="131"/>
      <c r="AK96" s="131"/>
      <c r="AM96" s="4"/>
      <c r="AN96" s="43"/>
    </row>
    <row r="97" customFormat="false" ht="12.75" hidden="false" customHeight="false" outlineLevel="0" collapsed="false">
      <c r="A97" s="48"/>
      <c r="B97" s="40"/>
      <c r="C97" s="4"/>
      <c r="D97" s="40"/>
      <c r="E97" s="131"/>
      <c r="F97" s="136"/>
      <c r="G97" s="4"/>
      <c r="H97" s="4"/>
      <c r="I97" s="41"/>
      <c r="J97" s="154"/>
      <c r="K97" s="40"/>
      <c r="L97" s="40"/>
      <c r="M97" s="131"/>
      <c r="N97" s="131"/>
      <c r="O97" s="131"/>
      <c r="P97" s="131"/>
      <c r="Q97" s="131"/>
      <c r="R97" s="40"/>
      <c r="S97" s="40"/>
      <c r="T97" s="131"/>
      <c r="U97" s="131"/>
      <c r="V97" s="131"/>
      <c r="W97" s="131"/>
      <c r="X97" s="131"/>
      <c r="Y97" s="40"/>
      <c r="Z97" s="40"/>
      <c r="AA97" s="131"/>
      <c r="AB97" s="131"/>
      <c r="AC97" s="131"/>
      <c r="AD97" s="131"/>
      <c r="AE97" s="131"/>
      <c r="AF97" s="40"/>
      <c r="AG97" s="40"/>
      <c r="AH97" s="131"/>
      <c r="AI97" s="131"/>
      <c r="AJ97" s="131"/>
      <c r="AK97" s="131"/>
      <c r="AM97" s="4"/>
      <c r="AN97" s="43"/>
    </row>
    <row r="98" customFormat="false" ht="12.75" hidden="false" customHeight="false" outlineLevel="0" collapsed="false">
      <c r="A98" s="48"/>
      <c r="B98" s="40"/>
      <c r="C98" s="4"/>
      <c r="D98" s="40"/>
      <c r="E98" s="131"/>
      <c r="F98" s="136"/>
      <c r="G98" s="4"/>
      <c r="H98" s="4"/>
      <c r="I98" s="41"/>
      <c r="J98" s="154"/>
      <c r="K98" s="40"/>
      <c r="L98" s="40"/>
      <c r="M98" s="131"/>
      <c r="N98" s="131"/>
      <c r="O98" s="131"/>
      <c r="P98" s="131"/>
      <c r="Q98" s="131"/>
      <c r="R98" s="40"/>
      <c r="S98" s="40"/>
      <c r="T98" s="131"/>
      <c r="U98" s="131"/>
      <c r="V98" s="131"/>
      <c r="W98" s="131"/>
      <c r="X98" s="131"/>
      <c r="Y98" s="40"/>
      <c r="Z98" s="40"/>
      <c r="AA98" s="131"/>
      <c r="AB98" s="131"/>
      <c r="AC98" s="131"/>
      <c r="AD98" s="131"/>
      <c r="AE98" s="131"/>
      <c r="AF98" s="40"/>
      <c r="AG98" s="40"/>
      <c r="AH98" s="131"/>
      <c r="AI98" s="131"/>
      <c r="AJ98" s="131"/>
      <c r="AK98" s="131"/>
      <c r="AM98" s="4"/>
      <c r="AN98" s="43"/>
    </row>
    <row r="99" customFormat="false" ht="12.75" hidden="false" customHeight="false" outlineLevel="0" collapsed="false">
      <c r="A99" s="48"/>
      <c r="B99" s="40"/>
      <c r="C99" s="4"/>
      <c r="D99" s="40"/>
      <c r="E99" s="131"/>
      <c r="F99" s="136"/>
      <c r="G99" s="4"/>
      <c r="H99" s="4"/>
      <c r="I99" s="41"/>
      <c r="J99" s="154"/>
      <c r="K99" s="40"/>
      <c r="L99" s="40"/>
      <c r="M99" s="131"/>
      <c r="N99" s="131"/>
      <c r="O99" s="131"/>
      <c r="P99" s="131"/>
      <c r="Q99" s="131"/>
      <c r="R99" s="40"/>
      <c r="S99" s="40"/>
      <c r="T99" s="131"/>
      <c r="U99" s="131"/>
      <c r="V99" s="131"/>
      <c r="W99" s="131"/>
      <c r="X99" s="131"/>
      <c r="Y99" s="40"/>
      <c r="Z99" s="40"/>
      <c r="AA99" s="131"/>
      <c r="AB99" s="131"/>
      <c r="AC99" s="131"/>
      <c r="AD99" s="131"/>
      <c r="AE99" s="131"/>
      <c r="AF99" s="40"/>
      <c r="AG99" s="40"/>
      <c r="AH99" s="131"/>
      <c r="AI99" s="131"/>
      <c r="AJ99" s="131"/>
      <c r="AK99" s="131"/>
      <c r="AM99" s="4"/>
      <c r="AN99" s="43"/>
    </row>
    <row r="100" customFormat="false" ht="12.75" hidden="false" customHeight="false" outlineLevel="0" collapsed="false">
      <c r="A100" s="48"/>
      <c r="B100" s="40"/>
      <c r="C100" s="4"/>
      <c r="D100" s="40"/>
      <c r="E100" s="131"/>
      <c r="F100" s="136"/>
      <c r="G100" s="4"/>
      <c r="H100" s="4"/>
      <c r="I100" s="41"/>
      <c r="J100" s="154"/>
      <c r="K100" s="40"/>
      <c r="L100" s="40"/>
      <c r="M100" s="131"/>
      <c r="N100" s="131"/>
      <c r="O100" s="131"/>
      <c r="P100" s="131"/>
      <c r="Q100" s="131"/>
      <c r="R100" s="40"/>
      <c r="S100" s="40"/>
      <c r="T100" s="131"/>
      <c r="U100" s="131"/>
      <c r="V100" s="131"/>
      <c r="W100" s="131"/>
      <c r="X100" s="131"/>
      <c r="Y100" s="40"/>
      <c r="Z100" s="40"/>
      <c r="AA100" s="131"/>
      <c r="AB100" s="131"/>
      <c r="AC100" s="131"/>
      <c r="AD100" s="131"/>
      <c r="AE100" s="131"/>
      <c r="AF100" s="40"/>
      <c r="AG100" s="40"/>
      <c r="AH100" s="131"/>
      <c r="AI100" s="131"/>
      <c r="AJ100" s="131"/>
      <c r="AK100" s="131"/>
      <c r="AM100" s="4"/>
      <c r="AN100" s="43"/>
    </row>
    <row r="101" customFormat="false" ht="12.75" hidden="false" customHeight="false" outlineLevel="0" collapsed="false">
      <c r="A101" s="48"/>
      <c r="B101" s="40"/>
      <c r="C101" s="4"/>
      <c r="D101" s="40"/>
      <c r="E101" s="131"/>
      <c r="F101" s="136"/>
      <c r="G101" s="4"/>
      <c r="H101" s="4"/>
      <c r="I101" s="41"/>
      <c r="J101" s="154"/>
      <c r="K101" s="40"/>
      <c r="L101" s="40"/>
      <c r="M101" s="131"/>
      <c r="N101" s="131"/>
      <c r="O101" s="131"/>
      <c r="P101" s="131"/>
      <c r="Q101" s="131"/>
      <c r="R101" s="40"/>
      <c r="S101" s="40"/>
      <c r="T101" s="131"/>
      <c r="U101" s="131"/>
      <c r="V101" s="131"/>
      <c r="W101" s="131"/>
      <c r="X101" s="131"/>
      <c r="Y101" s="40"/>
      <c r="Z101" s="40"/>
      <c r="AA101" s="131"/>
      <c r="AB101" s="131"/>
      <c r="AC101" s="131"/>
      <c r="AD101" s="131"/>
      <c r="AE101" s="131"/>
      <c r="AF101" s="40"/>
      <c r="AG101" s="40"/>
      <c r="AH101" s="131"/>
      <c r="AI101" s="131"/>
      <c r="AJ101" s="131"/>
      <c r="AK101" s="131"/>
      <c r="AM101" s="4"/>
      <c r="AN101" s="43"/>
    </row>
    <row r="102" customFormat="false" ht="12.75" hidden="false" customHeight="false" outlineLevel="0" collapsed="false">
      <c r="A102" s="48"/>
      <c r="B102" s="40"/>
      <c r="C102" s="4"/>
      <c r="D102" s="40"/>
      <c r="E102" s="131"/>
      <c r="F102" s="136"/>
      <c r="G102" s="4"/>
      <c r="H102" s="4"/>
      <c r="I102" s="41"/>
      <c r="J102" s="154"/>
      <c r="K102" s="40"/>
      <c r="L102" s="40"/>
      <c r="M102" s="131"/>
      <c r="N102" s="131"/>
      <c r="O102" s="131"/>
      <c r="P102" s="131"/>
      <c r="Q102" s="131"/>
      <c r="R102" s="40"/>
      <c r="S102" s="40"/>
      <c r="T102" s="131"/>
      <c r="U102" s="131"/>
      <c r="V102" s="131"/>
      <c r="W102" s="131"/>
      <c r="X102" s="131"/>
      <c r="Y102" s="40"/>
      <c r="Z102" s="40"/>
      <c r="AA102" s="131"/>
      <c r="AB102" s="131"/>
      <c r="AC102" s="131"/>
      <c r="AD102" s="131"/>
      <c r="AE102" s="131"/>
      <c r="AF102" s="40"/>
      <c r="AG102" s="40"/>
      <c r="AH102" s="131"/>
      <c r="AI102" s="131"/>
      <c r="AJ102" s="131"/>
      <c r="AK102" s="131"/>
      <c r="AM102" s="4"/>
      <c r="AN102" s="43"/>
    </row>
    <row r="103" customFormat="false" ht="12.75" hidden="false" customHeight="false" outlineLevel="0" collapsed="false">
      <c r="A103" s="48"/>
      <c r="B103" s="40"/>
      <c r="C103" s="4"/>
      <c r="D103" s="40"/>
      <c r="E103" s="131"/>
      <c r="F103" s="136"/>
      <c r="G103" s="4"/>
      <c r="H103" s="4"/>
      <c r="I103" s="41"/>
      <c r="J103" s="154"/>
      <c r="K103" s="40"/>
      <c r="L103" s="40"/>
      <c r="M103" s="131"/>
      <c r="N103" s="131"/>
      <c r="O103" s="131"/>
      <c r="P103" s="131"/>
      <c r="Q103" s="131"/>
      <c r="R103" s="40"/>
      <c r="S103" s="40"/>
      <c r="T103" s="131"/>
      <c r="U103" s="131"/>
      <c r="V103" s="131"/>
      <c r="W103" s="131"/>
      <c r="X103" s="131"/>
      <c r="Y103" s="40"/>
      <c r="Z103" s="40"/>
      <c r="AA103" s="131"/>
      <c r="AB103" s="131"/>
      <c r="AC103" s="131"/>
      <c r="AD103" s="131"/>
      <c r="AE103" s="131"/>
      <c r="AF103" s="40"/>
      <c r="AG103" s="40"/>
      <c r="AH103" s="131"/>
      <c r="AI103" s="131"/>
      <c r="AJ103" s="131"/>
      <c r="AK103" s="131"/>
      <c r="AM103" s="4"/>
      <c r="AN103" s="43"/>
    </row>
    <row r="104" customFormat="false" ht="12.75" hidden="false" customHeight="false" outlineLevel="0" collapsed="false">
      <c r="A104" s="48"/>
      <c r="B104" s="40"/>
      <c r="C104" s="4"/>
      <c r="D104" s="40"/>
      <c r="E104" s="131"/>
      <c r="F104" s="136"/>
      <c r="G104" s="4"/>
      <c r="H104" s="4"/>
      <c r="I104" s="41"/>
      <c r="J104" s="154"/>
      <c r="K104" s="40"/>
      <c r="L104" s="40"/>
      <c r="M104" s="131"/>
      <c r="N104" s="131"/>
      <c r="O104" s="131"/>
      <c r="P104" s="131"/>
      <c r="Q104" s="131"/>
      <c r="R104" s="40"/>
      <c r="S104" s="40"/>
      <c r="T104" s="131"/>
      <c r="U104" s="131"/>
      <c r="V104" s="131"/>
      <c r="W104" s="131"/>
      <c r="X104" s="131"/>
      <c r="Y104" s="40"/>
      <c r="Z104" s="40"/>
      <c r="AA104" s="131"/>
      <c r="AB104" s="131"/>
      <c r="AC104" s="131"/>
      <c r="AD104" s="131"/>
      <c r="AE104" s="131"/>
      <c r="AF104" s="40"/>
      <c r="AG104" s="40"/>
      <c r="AH104" s="131"/>
      <c r="AI104" s="131"/>
      <c r="AJ104" s="131"/>
      <c r="AK104" s="131"/>
      <c r="AM104" s="4"/>
      <c r="AN104" s="43"/>
    </row>
    <row r="105" customFormat="false" ht="12.75" hidden="false" customHeight="false" outlineLevel="0" collapsed="false">
      <c r="A105" s="48"/>
      <c r="B105" s="40"/>
      <c r="C105" s="4"/>
      <c r="D105" s="40"/>
      <c r="E105" s="131"/>
      <c r="F105" s="136"/>
      <c r="G105" s="4"/>
      <c r="H105" s="4"/>
      <c r="I105" s="41"/>
      <c r="J105" s="154"/>
      <c r="K105" s="40"/>
      <c r="L105" s="40"/>
      <c r="M105" s="131"/>
      <c r="N105" s="131"/>
      <c r="O105" s="131"/>
      <c r="P105" s="131"/>
      <c r="Q105" s="131"/>
      <c r="R105" s="40"/>
      <c r="S105" s="40"/>
      <c r="T105" s="131"/>
      <c r="U105" s="131"/>
      <c r="V105" s="131"/>
      <c r="W105" s="131"/>
      <c r="X105" s="131"/>
      <c r="Y105" s="40"/>
      <c r="Z105" s="40"/>
      <c r="AA105" s="131"/>
      <c r="AB105" s="131"/>
      <c r="AC105" s="131"/>
      <c r="AD105" s="131"/>
      <c r="AE105" s="131"/>
      <c r="AF105" s="40"/>
      <c r="AG105" s="40"/>
      <c r="AH105" s="131"/>
      <c r="AI105" s="131"/>
      <c r="AJ105" s="131"/>
      <c r="AK105" s="131"/>
      <c r="AM105" s="4"/>
      <c r="AN105" s="43"/>
    </row>
    <row r="106" customFormat="false" ht="12.75" hidden="false" customHeight="false" outlineLevel="0" collapsed="false">
      <c r="A106" s="48"/>
      <c r="B106" s="40"/>
      <c r="C106" s="4"/>
      <c r="D106" s="40"/>
      <c r="E106" s="131"/>
      <c r="F106" s="136"/>
      <c r="G106" s="4"/>
      <c r="H106" s="4"/>
      <c r="I106" s="41"/>
      <c r="J106" s="154"/>
      <c r="K106" s="40"/>
      <c r="L106" s="40"/>
      <c r="M106" s="131"/>
      <c r="N106" s="131"/>
      <c r="O106" s="131"/>
      <c r="P106" s="131"/>
      <c r="Q106" s="131"/>
      <c r="R106" s="40"/>
      <c r="S106" s="40"/>
      <c r="T106" s="131"/>
      <c r="U106" s="131"/>
      <c r="V106" s="131"/>
      <c r="W106" s="131"/>
      <c r="X106" s="131"/>
      <c r="Y106" s="40"/>
      <c r="Z106" s="40"/>
      <c r="AA106" s="131"/>
      <c r="AB106" s="131"/>
      <c r="AC106" s="131"/>
      <c r="AD106" s="131"/>
      <c r="AE106" s="131"/>
      <c r="AF106" s="40"/>
      <c r="AG106" s="40"/>
      <c r="AH106" s="131"/>
      <c r="AI106" s="131"/>
      <c r="AJ106" s="131"/>
      <c r="AK106" s="131"/>
      <c r="AM106" s="4"/>
      <c r="AN106" s="43"/>
    </row>
    <row r="107" customFormat="false" ht="12.75" hidden="false" customHeight="false" outlineLevel="0" collapsed="false">
      <c r="A107" s="48"/>
      <c r="B107" s="40"/>
      <c r="C107" s="4"/>
      <c r="D107" s="40"/>
      <c r="E107" s="131"/>
      <c r="F107" s="136"/>
      <c r="G107" s="4"/>
      <c r="H107" s="4"/>
      <c r="I107" s="41"/>
      <c r="J107" s="154"/>
      <c r="K107" s="40"/>
      <c r="L107" s="40"/>
      <c r="M107" s="131"/>
      <c r="N107" s="131"/>
      <c r="O107" s="131"/>
      <c r="P107" s="131"/>
      <c r="Q107" s="131"/>
      <c r="R107" s="40"/>
      <c r="S107" s="40"/>
      <c r="T107" s="131"/>
      <c r="U107" s="131"/>
      <c r="V107" s="131"/>
      <c r="W107" s="131"/>
      <c r="X107" s="131"/>
      <c r="Y107" s="40"/>
      <c r="Z107" s="40"/>
      <c r="AA107" s="131"/>
      <c r="AB107" s="131"/>
      <c r="AC107" s="131"/>
      <c r="AD107" s="131"/>
      <c r="AE107" s="131"/>
      <c r="AF107" s="40"/>
      <c r="AG107" s="40"/>
      <c r="AH107" s="131"/>
      <c r="AI107" s="131"/>
      <c r="AJ107" s="131"/>
      <c r="AK107" s="131"/>
      <c r="AM107" s="4"/>
      <c r="AN107" s="43"/>
    </row>
    <row r="108" customFormat="false" ht="12.75" hidden="false" customHeight="false" outlineLevel="0" collapsed="false">
      <c r="A108" s="48"/>
      <c r="B108" s="40"/>
      <c r="C108" s="4"/>
      <c r="D108" s="40"/>
      <c r="E108" s="131"/>
      <c r="F108" s="136"/>
      <c r="G108" s="4"/>
      <c r="H108" s="4"/>
      <c r="I108" s="41"/>
      <c r="J108" s="154"/>
      <c r="K108" s="40"/>
      <c r="L108" s="40"/>
      <c r="M108" s="131"/>
      <c r="N108" s="131"/>
      <c r="O108" s="131"/>
      <c r="P108" s="131"/>
      <c r="Q108" s="131"/>
      <c r="R108" s="40"/>
      <c r="S108" s="40"/>
      <c r="T108" s="131"/>
      <c r="U108" s="131"/>
      <c r="V108" s="131"/>
      <c r="W108" s="131"/>
      <c r="X108" s="131"/>
      <c r="Y108" s="40"/>
      <c r="Z108" s="40"/>
      <c r="AA108" s="131"/>
      <c r="AB108" s="131"/>
      <c r="AC108" s="131"/>
      <c r="AD108" s="131"/>
      <c r="AE108" s="131"/>
      <c r="AF108" s="40"/>
      <c r="AG108" s="40"/>
      <c r="AH108" s="131"/>
      <c r="AI108" s="131"/>
      <c r="AJ108" s="131"/>
      <c r="AK108" s="131"/>
      <c r="AM108" s="4"/>
      <c r="AN108" s="43"/>
    </row>
    <row r="109" customFormat="false" ht="12.75" hidden="false" customHeight="false" outlineLevel="0" collapsed="false">
      <c r="A109" s="48"/>
      <c r="B109" s="40"/>
      <c r="C109" s="4"/>
      <c r="D109" s="40"/>
      <c r="E109" s="131"/>
      <c r="F109" s="136"/>
      <c r="G109" s="4"/>
      <c r="H109" s="4"/>
      <c r="I109" s="41"/>
      <c r="J109" s="154"/>
      <c r="K109" s="40"/>
      <c r="L109" s="40"/>
      <c r="M109" s="131"/>
      <c r="N109" s="131"/>
      <c r="O109" s="131"/>
      <c r="P109" s="131"/>
      <c r="Q109" s="131"/>
      <c r="R109" s="40"/>
      <c r="S109" s="40"/>
      <c r="T109" s="131"/>
      <c r="U109" s="131"/>
      <c r="V109" s="131"/>
      <c r="W109" s="131"/>
      <c r="X109" s="131"/>
      <c r="Y109" s="40"/>
      <c r="Z109" s="40"/>
      <c r="AA109" s="131"/>
      <c r="AB109" s="131"/>
      <c r="AC109" s="131"/>
      <c r="AD109" s="131"/>
      <c r="AE109" s="131"/>
      <c r="AF109" s="40"/>
      <c r="AG109" s="40"/>
      <c r="AH109" s="131"/>
      <c r="AI109" s="131"/>
      <c r="AJ109" s="131"/>
      <c r="AK109" s="131"/>
      <c r="AM109" s="4"/>
      <c r="AN109" s="43"/>
    </row>
    <row r="110" customFormat="false" ht="12.75" hidden="false" customHeight="false" outlineLevel="0" collapsed="false">
      <c r="A110" s="48"/>
      <c r="B110" s="40"/>
      <c r="C110" s="4"/>
      <c r="D110" s="40"/>
      <c r="E110" s="131"/>
      <c r="F110" s="136"/>
      <c r="G110" s="4"/>
      <c r="H110" s="4"/>
      <c r="I110" s="41"/>
      <c r="J110" s="154"/>
      <c r="K110" s="40"/>
      <c r="L110" s="40"/>
      <c r="M110" s="131"/>
      <c r="N110" s="131"/>
      <c r="O110" s="131"/>
      <c r="P110" s="131"/>
      <c r="Q110" s="131"/>
      <c r="R110" s="40"/>
      <c r="S110" s="40"/>
      <c r="T110" s="131"/>
      <c r="U110" s="131"/>
      <c r="V110" s="131"/>
      <c r="W110" s="131"/>
      <c r="X110" s="131"/>
      <c r="Y110" s="40"/>
      <c r="Z110" s="40"/>
      <c r="AA110" s="131"/>
      <c r="AB110" s="131"/>
      <c r="AC110" s="131"/>
      <c r="AD110" s="131"/>
      <c r="AE110" s="131"/>
      <c r="AF110" s="40"/>
      <c r="AG110" s="40"/>
      <c r="AH110" s="131"/>
      <c r="AI110" s="131"/>
      <c r="AJ110" s="131"/>
      <c r="AK110" s="131"/>
      <c r="AM110" s="4"/>
      <c r="AN110" s="43"/>
    </row>
    <row r="111" customFormat="false" ht="12.75" hidden="false" customHeight="false" outlineLevel="0" collapsed="false">
      <c r="A111" s="48"/>
      <c r="B111" s="40"/>
      <c r="C111" s="4"/>
      <c r="D111" s="40"/>
      <c r="E111" s="131"/>
      <c r="F111" s="136"/>
      <c r="G111" s="4"/>
      <c r="H111" s="4"/>
      <c r="I111" s="41"/>
      <c r="J111" s="154"/>
      <c r="K111" s="40"/>
      <c r="L111" s="40"/>
      <c r="M111" s="131"/>
      <c r="N111" s="131"/>
      <c r="O111" s="131"/>
      <c r="P111" s="131"/>
      <c r="Q111" s="131"/>
      <c r="R111" s="40"/>
      <c r="S111" s="40"/>
      <c r="T111" s="131"/>
      <c r="U111" s="131"/>
      <c r="V111" s="131"/>
      <c r="W111" s="131"/>
      <c r="X111" s="131"/>
      <c r="Y111" s="40"/>
      <c r="Z111" s="40"/>
      <c r="AA111" s="131"/>
      <c r="AB111" s="131"/>
      <c r="AC111" s="131"/>
      <c r="AD111" s="131"/>
      <c r="AE111" s="131"/>
      <c r="AF111" s="40"/>
      <c r="AG111" s="40"/>
      <c r="AH111" s="131"/>
      <c r="AI111" s="131"/>
      <c r="AJ111" s="131"/>
      <c r="AK111" s="131"/>
      <c r="AM111" s="4"/>
      <c r="AN111" s="43"/>
    </row>
    <row r="112" customFormat="false" ht="12.75" hidden="false" customHeight="false" outlineLevel="0" collapsed="false">
      <c r="A112" s="48"/>
      <c r="B112" s="40"/>
      <c r="C112" s="4"/>
      <c r="D112" s="40"/>
      <c r="E112" s="131"/>
      <c r="F112" s="136"/>
      <c r="G112" s="4"/>
      <c r="H112" s="4"/>
      <c r="I112" s="41"/>
      <c r="J112" s="154"/>
      <c r="K112" s="40"/>
      <c r="L112" s="40"/>
      <c r="M112" s="131"/>
      <c r="N112" s="131"/>
      <c r="O112" s="131"/>
      <c r="P112" s="131"/>
      <c r="Q112" s="131"/>
      <c r="R112" s="40"/>
      <c r="S112" s="40"/>
      <c r="T112" s="131"/>
      <c r="U112" s="131"/>
      <c r="V112" s="131"/>
      <c r="W112" s="131"/>
      <c r="X112" s="131"/>
      <c r="Y112" s="40"/>
      <c r="Z112" s="40"/>
      <c r="AA112" s="131"/>
      <c r="AB112" s="131"/>
      <c r="AC112" s="131"/>
      <c r="AD112" s="131"/>
      <c r="AE112" s="131"/>
      <c r="AF112" s="40"/>
      <c r="AG112" s="40"/>
      <c r="AH112" s="131"/>
      <c r="AI112" s="131"/>
      <c r="AJ112" s="131"/>
      <c r="AK112" s="131"/>
      <c r="AM112" s="4"/>
      <c r="AN112" s="43"/>
    </row>
    <row r="113" customFormat="false" ht="12.75" hidden="false" customHeight="false" outlineLevel="0" collapsed="false">
      <c r="A113" s="48"/>
      <c r="B113" s="40"/>
      <c r="C113" s="4"/>
      <c r="D113" s="40"/>
      <c r="E113" s="131"/>
      <c r="F113" s="136"/>
      <c r="G113" s="4"/>
      <c r="H113" s="4"/>
      <c r="I113" s="41"/>
      <c r="J113" s="154"/>
      <c r="K113" s="40"/>
      <c r="L113" s="40"/>
      <c r="M113" s="131"/>
      <c r="N113" s="131"/>
      <c r="O113" s="131"/>
      <c r="P113" s="131"/>
      <c r="Q113" s="131"/>
      <c r="R113" s="40"/>
      <c r="S113" s="40"/>
      <c r="T113" s="131"/>
      <c r="U113" s="131"/>
      <c r="V113" s="131"/>
      <c r="W113" s="131"/>
      <c r="X113" s="131"/>
      <c r="Y113" s="40"/>
      <c r="Z113" s="40"/>
      <c r="AA113" s="131"/>
      <c r="AB113" s="131"/>
      <c r="AC113" s="131"/>
      <c r="AD113" s="131"/>
      <c r="AE113" s="131"/>
      <c r="AF113" s="40"/>
      <c r="AG113" s="40"/>
      <c r="AH113" s="131"/>
      <c r="AI113" s="131"/>
      <c r="AJ113" s="131"/>
      <c r="AK113" s="131"/>
      <c r="AM113" s="4"/>
      <c r="AN113" s="43"/>
    </row>
    <row r="114" customFormat="false" ht="12.75" hidden="false" customHeight="false" outlineLevel="0" collapsed="false">
      <c r="A114" s="48"/>
      <c r="B114" s="40"/>
      <c r="C114" s="4"/>
      <c r="D114" s="40"/>
      <c r="E114" s="131"/>
      <c r="F114" s="136"/>
      <c r="G114" s="4"/>
      <c r="H114" s="4"/>
      <c r="I114" s="41"/>
      <c r="J114" s="154"/>
      <c r="K114" s="40"/>
      <c r="L114" s="40"/>
      <c r="M114" s="131"/>
      <c r="N114" s="131"/>
      <c r="O114" s="131"/>
      <c r="P114" s="131"/>
      <c r="Q114" s="131"/>
      <c r="R114" s="40"/>
      <c r="S114" s="40"/>
      <c r="T114" s="131"/>
      <c r="U114" s="131"/>
      <c r="V114" s="131"/>
      <c r="W114" s="131"/>
      <c r="X114" s="131"/>
      <c r="Y114" s="40"/>
      <c r="Z114" s="40"/>
      <c r="AA114" s="131"/>
      <c r="AB114" s="131"/>
      <c r="AC114" s="131"/>
      <c r="AD114" s="131"/>
      <c r="AE114" s="131"/>
      <c r="AF114" s="40"/>
      <c r="AG114" s="40"/>
      <c r="AH114" s="131"/>
      <c r="AI114" s="131"/>
      <c r="AJ114" s="131"/>
      <c r="AK114" s="131"/>
      <c r="AM114" s="4"/>
      <c r="AN114" s="43"/>
    </row>
    <row r="115" customFormat="false" ht="12.75" hidden="false" customHeight="false" outlineLevel="0" collapsed="false">
      <c r="A115" s="48"/>
      <c r="B115" s="40"/>
      <c r="C115" s="4"/>
      <c r="D115" s="40"/>
      <c r="E115" s="131"/>
      <c r="F115" s="136"/>
      <c r="G115" s="4"/>
      <c r="H115" s="4"/>
      <c r="I115" s="41"/>
      <c r="J115" s="154"/>
      <c r="K115" s="40"/>
      <c r="L115" s="40"/>
      <c r="M115" s="131"/>
      <c r="N115" s="131"/>
      <c r="O115" s="131"/>
      <c r="P115" s="131"/>
      <c r="Q115" s="131"/>
      <c r="R115" s="40"/>
      <c r="S115" s="40"/>
      <c r="T115" s="131"/>
      <c r="U115" s="131"/>
      <c r="V115" s="131"/>
      <c r="W115" s="131"/>
      <c r="X115" s="131"/>
      <c r="Y115" s="40"/>
      <c r="Z115" s="40"/>
      <c r="AA115" s="131"/>
      <c r="AB115" s="131"/>
      <c r="AC115" s="131"/>
      <c r="AD115" s="131"/>
      <c r="AE115" s="131"/>
      <c r="AF115" s="40"/>
      <c r="AG115" s="40"/>
      <c r="AH115" s="131"/>
      <c r="AI115" s="131"/>
      <c r="AJ115" s="131"/>
      <c r="AK115" s="131"/>
      <c r="AM115" s="4"/>
      <c r="AN115" s="43"/>
    </row>
    <row r="116" customFormat="false" ht="12.75" hidden="false" customHeight="false" outlineLevel="0" collapsed="false">
      <c r="A116" s="48"/>
      <c r="B116" s="49"/>
      <c r="C116" s="50"/>
      <c r="E116" s="46"/>
      <c r="F116" s="46"/>
      <c r="G116" s="46"/>
      <c r="H116" s="133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BX116" s="10"/>
      <c r="DF116" s="10"/>
      <c r="EN116" s="10"/>
    </row>
    <row r="117" customFormat="false" ht="12.75" hidden="false" customHeight="false" outlineLevel="0" collapsed="false">
      <c r="A117" s="51"/>
      <c r="B117" s="49"/>
      <c r="C117" s="50"/>
      <c r="E117" s="46"/>
      <c r="F117" s="46"/>
      <c r="G117" s="46"/>
      <c r="H117" s="133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BX117" s="10"/>
      <c r="DF117" s="10"/>
      <c r="EN117" s="10"/>
    </row>
    <row r="118" customFormat="false" ht="12.75" hidden="false" customHeight="false" outlineLevel="0" collapsed="false">
      <c r="A118" s="51"/>
      <c r="B118" s="49"/>
      <c r="C118" s="50"/>
      <c r="E118" s="46"/>
      <c r="F118" s="46"/>
      <c r="G118" s="46"/>
      <c r="H118" s="133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BX118" s="10"/>
      <c r="DF118" s="10"/>
      <c r="EN118" s="10"/>
    </row>
    <row r="119" customFormat="false" ht="12.75" hidden="false" customHeight="false" outlineLevel="0" collapsed="false">
      <c r="A119" s="51"/>
      <c r="B119" s="49"/>
      <c r="C119" s="50"/>
      <c r="E119" s="46"/>
      <c r="F119" s="46"/>
      <c r="G119" s="46"/>
      <c r="H119" s="133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BX119" s="10"/>
      <c r="DF119" s="10"/>
      <c r="EN119" s="10"/>
    </row>
    <row r="120" customFormat="false" ht="12.75" hidden="false" customHeight="false" outlineLevel="0" collapsed="false">
      <c r="A120" s="51"/>
      <c r="B120" s="49"/>
      <c r="C120" s="50"/>
      <c r="E120" s="46"/>
      <c r="F120" s="46"/>
      <c r="G120" s="46"/>
      <c r="H120" s="133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BX120" s="10"/>
      <c r="DF120" s="10"/>
      <c r="EN120" s="10"/>
    </row>
    <row r="121" customFormat="false" ht="12.75" hidden="false" customHeight="false" outlineLevel="0" collapsed="false">
      <c r="A121" s="51"/>
      <c r="B121" s="49"/>
      <c r="C121" s="50"/>
      <c r="E121" s="46"/>
      <c r="F121" s="46"/>
      <c r="G121" s="46"/>
      <c r="H121" s="133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BX121" s="10"/>
      <c r="DF121" s="10"/>
      <c r="EN121" s="10"/>
    </row>
    <row r="122" customFormat="false" ht="12.75" hidden="false" customHeight="false" outlineLevel="0" collapsed="false">
      <c r="A122" s="51"/>
      <c r="B122" s="49"/>
      <c r="C122" s="50"/>
      <c r="E122" s="46"/>
      <c r="F122" s="46"/>
      <c r="G122" s="46"/>
      <c r="H122" s="133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BX122" s="10"/>
      <c r="DF122" s="10"/>
      <c r="EN122" s="10"/>
    </row>
    <row r="123" customFormat="false" ht="12.75" hidden="false" customHeight="false" outlineLevel="0" collapsed="false">
      <c r="A123" s="51"/>
      <c r="B123" s="49"/>
      <c r="C123" s="50"/>
      <c r="E123" s="46"/>
      <c r="F123" s="46"/>
      <c r="G123" s="46"/>
      <c r="H123" s="133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BX123" s="10"/>
      <c r="DF123" s="10"/>
      <c r="EN123" s="10"/>
    </row>
    <row r="124" customFormat="false" ht="12.75" hidden="false" customHeight="false" outlineLevel="0" collapsed="false">
      <c r="A124" s="51"/>
      <c r="B124" s="49"/>
      <c r="C124" s="50"/>
      <c r="E124" s="46"/>
      <c r="F124" s="46"/>
      <c r="G124" s="46"/>
      <c r="H124" s="133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BX124" s="10"/>
      <c r="DF124" s="10"/>
      <c r="EN124" s="10"/>
    </row>
    <row r="125" customFormat="false" ht="12.75" hidden="false" customHeight="false" outlineLevel="0" collapsed="false">
      <c r="A125" s="51"/>
      <c r="B125" s="49"/>
      <c r="C125" s="50"/>
      <c r="E125" s="46"/>
      <c r="F125" s="46"/>
      <c r="G125" s="46"/>
      <c r="H125" s="133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BX125" s="10"/>
      <c r="DF125" s="10"/>
      <c r="EN125" s="10"/>
    </row>
    <row r="126" customFormat="false" ht="12.75" hidden="false" customHeight="false" outlineLevel="0" collapsed="false">
      <c r="A126" s="51"/>
      <c r="B126" s="49"/>
      <c r="C126" s="50"/>
      <c r="E126" s="46"/>
      <c r="F126" s="46"/>
      <c r="G126" s="46"/>
      <c r="H126" s="133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BX126" s="10"/>
      <c r="DF126" s="10"/>
      <c r="EN126" s="10"/>
    </row>
    <row r="127" customFormat="false" ht="12.75" hidden="false" customHeight="false" outlineLevel="0" collapsed="false">
      <c r="A127" s="52"/>
      <c r="E127" s="22"/>
      <c r="F127" s="22"/>
      <c r="G127" s="22"/>
      <c r="H127" s="133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BX127" s="10"/>
      <c r="DF127" s="10"/>
      <c r="EN127" s="10"/>
    </row>
    <row r="128" customFormat="false" ht="12.75" hidden="false" customHeight="false" outlineLevel="0" collapsed="false">
      <c r="A128" s="51"/>
      <c r="B128" s="49"/>
      <c r="C128" s="50"/>
      <c r="E128" s="46"/>
      <c r="F128" s="46"/>
      <c r="G128" s="46"/>
      <c r="H128" s="133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BX128" s="10"/>
      <c r="DF128" s="10"/>
      <c r="EN128" s="10"/>
    </row>
    <row r="129" customFormat="false" ht="12.75" hidden="false" customHeight="false" outlineLevel="0" collapsed="false">
      <c r="B129" s="51"/>
      <c r="C129" s="53"/>
      <c r="D129" s="54"/>
      <c r="E129" s="55"/>
      <c r="F129" s="55"/>
      <c r="G129" s="55"/>
      <c r="H129" s="46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0"/>
      <c r="AN129" s="55"/>
      <c r="AO129" s="55"/>
      <c r="AP129" s="10"/>
      <c r="BX129" s="10"/>
      <c r="DF129" s="10"/>
      <c r="EN129" s="10"/>
    </row>
    <row r="130" customFormat="false" ht="12.75" hidden="false" customHeight="false" outlineLevel="0" collapsed="false">
      <c r="B130" s="51"/>
      <c r="C130" s="53"/>
      <c r="D130" s="54"/>
      <c r="E130" s="55"/>
      <c r="F130" s="55"/>
      <c r="G130" s="55"/>
      <c r="H130" s="46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0"/>
      <c r="AN130" s="55"/>
      <c r="AO130" s="55"/>
      <c r="AP130" s="10"/>
      <c r="BX130" s="10"/>
      <c r="DF130" s="10"/>
      <c r="EN130" s="10"/>
    </row>
    <row r="131" customFormat="false" ht="12.75" hidden="false" customHeight="false" outlineLevel="0" collapsed="false">
      <c r="B131" s="51"/>
      <c r="C131" s="53"/>
      <c r="D131" s="54"/>
      <c r="E131" s="55"/>
      <c r="F131" s="55"/>
      <c r="G131" s="55"/>
      <c r="H131" s="46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0"/>
      <c r="AN131" s="55"/>
      <c r="AO131" s="55"/>
      <c r="AP131" s="10"/>
      <c r="BX131" s="10"/>
      <c r="DF131" s="10"/>
      <c r="EN131" s="10"/>
    </row>
    <row r="132" customFormat="false" ht="12.75" hidden="false" customHeight="false" outlineLevel="0" collapsed="false">
      <c r="B132" s="51"/>
      <c r="C132" s="53"/>
      <c r="D132" s="54"/>
      <c r="E132" s="55"/>
      <c r="F132" s="55"/>
      <c r="G132" s="55"/>
      <c r="H132" s="46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0"/>
      <c r="AN132" s="55"/>
      <c r="AO132" s="55"/>
      <c r="AP132" s="10"/>
      <c r="BX132" s="10"/>
      <c r="DF132" s="10"/>
      <c r="EN132" s="10"/>
    </row>
    <row r="133" customFormat="false" ht="12.75" hidden="false" customHeight="false" outlineLevel="0" collapsed="false">
      <c r="B133" s="51"/>
      <c r="C133" s="53"/>
      <c r="D133" s="54"/>
      <c r="E133" s="55"/>
      <c r="F133" s="55"/>
      <c r="G133" s="55"/>
      <c r="H133" s="46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0"/>
      <c r="AN133" s="55"/>
      <c r="AO133" s="55"/>
      <c r="AP133" s="10"/>
      <c r="BX133" s="10"/>
      <c r="DF133" s="10"/>
      <c r="EN133" s="10"/>
    </row>
    <row r="134" customFormat="false" ht="12.75" hidden="false" customHeight="false" outlineLevel="0" collapsed="false">
      <c r="B134" s="51"/>
      <c r="C134" s="53"/>
      <c r="D134" s="54"/>
      <c r="E134" s="55"/>
      <c r="F134" s="55"/>
      <c r="G134" s="55"/>
      <c r="H134" s="46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0"/>
      <c r="AN134" s="55"/>
      <c r="AO134" s="55"/>
      <c r="AP134" s="10"/>
      <c r="BX134" s="10"/>
      <c r="DF134" s="10"/>
      <c r="EN134" s="10"/>
    </row>
    <row r="135" customFormat="false" ht="12.75" hidden="false" customHeight="false" outlineLevel="0" collapsed="false">
      <c r="B135" s="51"/>
      <c r="C135" s="53"/>
      <c r="D135" s="54"/>
      <c r="E135" s="55"/>
      <c r="F135" s="55"/>
      <c r="G135" s="55"/>
      <c r="H135" s="46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0"/>
      <c r="AN135" s="55"/>
      <c r="AO135" s="55"/>
      <c r="AP135" s="10"/>
      <c r="BX135" s="10"/>
      <c r="DF135" s="10"/>
      <c r="EN135" s="10"/>
    </row>
    <row r="136" customFormat="false" ht="12.75" hidden="false" customHeight="false" outlineLevel="0" collapsed="false">
      <c r="B136" s="51"/>
      <c r="C136" s="53"/>
      <c r="D136" s="54"/>
      <c r="E136" s="55"/>
      <c r="F136" s="55"/>
      <c r="G136" s="55"/>
      <c r="H136" s="46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0"/>
      <c r="AN136" s="55"/>
      <c r="AO136" s="55"/>
      <c r="AP136" s="10"/>
      <c r="BX136" s="10"/>
      <c r="DF136" s="10"/>
      <c r="EN136" s="10"/>
    </row>
    <row r="137" customFormat="false" ht="12.75" hidden="false" customHeight="false" outlineLevel="0" collapsed="false">
      <c r="B137" s="51"/>
      <c r="C137" s="53"/>
      <c r="D137" s="54"/>
      <c r="E137" s="55"/>
      <c r="F137" s="55"/>
      <c r="G137" s="55"/>
      <c r="H137" s="46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0"/>
      <c r="AN137" s="55"/>
      <c r="AO137" s="55"/>
      <c r="AP137" s="10"/>
      <c r="BX137" s="10"/>
      <c r="DF137" s="10"/>
      <c r="EN137" s="10"/>
    </row>
    <row r="138" customFormat="false" ht="12.75" hidden="false" customHeight="false" outlineLevel="0" collapsed="false">
      <c r="B138" s="51"/>
      <c r="C138" s="53"/>
      <c r="D138" s="54"/>
      <c r="E138" s="55"/>
      <c r="F138" s="55"/>
      <c r="G138" s="55"/>
      <c r="H138" s="46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0"/>
      <c r="AN138" s="55"/>
      <c r="AO138" s="55"/>
      <c r="AP138" s="10"/>
      <c r="BX138" s="10"/>
      <c r="DF138" s="10"/>
      <c r="EN138" s="10"/>
    </row>
    <row r="139" customFormat="false" ht="12.75" hidden="false" customHeight="false" outlineLevel="0" collapsed="false">
      <c r="B139" s="51"/>
      <c r="C139" s="53"/>
      <c r="D139" s="54"/>
      <c r="E139" s="55"/>
      <c r="F139" s="55"/>
      <c r="G139" s="55"/>
      <c r="H139" s="46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0"/>
      <c r="AN139" s="55"/>
      <c r="AO139" s="55"/>
      <c r="AP139" s="10"/>
      <c r="BX139" s="10"/>
      <c r="DF139" s="10"/>
      <c r="EN139" s="10"/>
    </row>
    <row r="140" customFormat="false" ht="12.75" hidden="false" customHeight="false" outlineLevel="0" collapsed="false">
      <c r="B140" s="51"/>
      <c r="C140" s="53"/>
      <c r="D140" s="54"/>
      <c r="E140" s="55"/>
      <c r="F140" s="55"/>
      <c r="G140" s="55"/>
      <c r="H140" s="46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0"/>
      <c r="AN140" s="55"/>
      <c r="AO140" s="55"/>
      <c r="AP140" s="10"/>
      <c r="BX140" s="10"/>
      <c r="DF140" s="10"/>
      <c r="EN140" s="10"/>
    </row>
    <row r="141" customFormat="false" ht="13.5" hidden="false" customHeight="false" outlineLevel="0" collapsed="false">
      <c r="B141" s="51"/>
      <c r="C141" s="53"/>
      <c r="D141" s="56"/>
      <c r="E141" s="55"/>
      <c r="F141" s="55"/>
      <c r="G141" s="55"/>
      <c r="H141" s="46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0"/>
      <c r="AN141" s="10"/>
      <c r="AO141" s="10"/>
      <c r="AP141" s="10"/>
      <c r="BX141" s="10"/>
      <c r="DF141" s="10"/>
      <c r="EN141" s="10"/>
    </row>
    <row r="142" customFormat="false" ht="12.75" hidden="false" customHeight="false" outlineLevel="0" collapsed="false">
      <c r="B142" s="51"/>
      <c r="C142" s="53"/>
      <c r="D142" s="57"/>
      <c r="E142" s="55"/>
      <c r="F142" s="55"/>
      <c r="G142" s="55"/>
      <c r="H142" s="46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0"/>
      <c r="AN142" s="10"/>
      <c r="AO142" s="10"/>
      <c r="AP142" s="10"/>
      <c r="BX142" s="10"/>
      <c r="DF142" s="10"/>
      <c r="EN142" s="10"/>
    </row>
    <row r="143" customFormat="false" ht="13.5" hidden="false" customHeight="false" outlineLevel="0" collapsed="false">
      <c r="B143" s="51"/>
      <c r="C143" s="53"/>
      <c r="D143" s="58"/>
      <c r="E143" s="55"/>
      <c r="F143" s="55"/>
      <c r="G143" s="55"/>
      <c r="H143" s="46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0"/>
      <c r="AN143" s="10"/>
      <c r="AO143" s="10"/>
      <c r="AP143" s="10"/>
      <c r="BX143" s="10"/>
      <c r="DF143" s="10"/>
      <c r="EN143" s="10"/>
    </row>
    <row r="144" customFormat="false" ht="13.5" hidden="false" customHeight="false" outlineLevel="0" collapsed="false">
      <c r="B144" s="51"/>
      <c r="C144" s="53"/>
      <c r="D144" s="58"/>
      <c r="E144" s="55"/>
      <c r="F144" s="55"/>
      <c r="G144" s="55"/>
      <c r="H144" s="46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0"/>
      <c r="AN144" s="10"/>
      <c r="AO144" s="10"/>
      <c r="AP144" s="10"/>
      <c r="BX144" s="10"/>
      <c r="DF144" s="10"/>
      <c r="EN144" s="10"/>
    </row>
    <row r="145" customFormat="false" ht="12.75" hidden="false" customHeight="false" outlineLevel="0" collapsed="false">
      <c r="B145" s="51"/>
      <c r="C145" s="53"/>
      <c r="D145" s="59"/>
      <c r="E145" s="55"/>
      <c r="F145" s="55"/>
      <c r="G145" s="55"/>
      <c r="H145" s="46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0"/>
      <c r="AN145" s="10"/>
      <c r="AO145" s="10"/>
      <c r="AP145" s="10"/>
      <c r="BX145" s="10"/>
      <c r="DF145" s="10"/>
      <c r="EN145" s="10"/>
    </row>
    <row r="146" customFormat="false" ht="12.75" hidden="false" customHeight="false" outlineLevel="0" collapsed="false">
      <c r="B146" s="51"/>
      <c r="C146" s="53"/>
      <c r="D146" s="59"/>
      <c r="E146" s="55"/>
      <c r="F146" s="55"/>
      <c r="G146" s="55"/>
      <c r="H146" s="46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0"/>
      <c r="AN146" s="10"/>
      <c r="AO146" s="10"/>
      <c r="AP146" s="10"/>
      <c r="BX146" s="10"/>
      <c r="DF146" s="10"/>
      <c r="EN146" s="10"/>
    </row>
    <row r="147" customFormat="false" ht="12.75" hidden="false" customHeight="false" outlineLevel="0" collapsed="false">
      <c r="B147" s="51"/>
      <c r="C147" s="53"/>
      <c r="D147" s="59"/>
      <c r="E147" s="55"/>
      <c r="F147" s="55"/>
      <c r="G147" s="55"/>
      <c r="H147" s="46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0"/>
      <c r="AN147" s="10"/>
      <c r="AO147" s="10"/>
      <c r="AP147" s="10"/>
      <c r="BX147" s="10"/>
      <c r="DF147" s="10"/>
      <c r="EN147" s="10"/>
    </row>
    <row r="148" customFormat="false" ht="12.75" hidden="false" customHeight="false" outlineLevel="0" collapsed="false">
      <c r="B148" s="51"/>
      <c r="C148" s="53"/>
      <c r="D148" s="59"/>
      <c r="E148" s="55"/>
      <c r="F148" s="55"/>
      <c r="G148" s="55"/>
      <c r="H148" s="46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0"/>
      <c r="AN148" s="10"/>
      <c r="AO148" s="10"/>
      <c r="AP148" s="10"/>
      <c r="BX148" s="10"/>
      <c r="DF148" s="10"/>
      <c r="EN148" s="10"/>
    </row>
    <row r="149" customFormat="false" ht="12.75" hidden="false" customHeight="false" outlineLevel="0" collapsed="false">
      <c r="B149" s="51"/>
      <c r="C149" s="53"/>
      <c r="D149" s="59"/>
      <c r="E149" s="55"/>
      <c r="F149" s="55"/>
      <c r="G149" s="55"/>
      <c r="H149" s="46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0"/>
      <c r="AN149" s="10"/>
      <c r="AO149" s="10"/>
      <c r="AP149" s="10"/>
      <c r="BX149" s="10"/>
      <c r="DF149" s="10"/>
      <c r="EN149" s="10"/>
    </row>
    <row r="150" customFormat="false" ht="12.75" hidden="false" customHeight="false" outlineLevel="0" collapsed="false">
      <c r="B150" s="51"/>
      <c r="C150" s="53"/>
      <c r="D150" s="59"/>
      <c r="E150" s="55"/>
      <c r="F150" s="55"/>
      <c r="G150" s="55"/>
      <c r="H150" s="46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0"/>
      <c r="AP150" s="10"/>
      <c r="BX150" s="10"/>
      <c r="DF150" s="10"/>
      <c r="EN150" s="10"/>
    </row>
    <row r="151" customFormat="false" ht="12.75" hidden="false" customHeight="false" outlineLevel="0" collapsed="false">
      <c r="B151" s="51"/>
      <c r="C151" s="53"/>
      <c r="D151" s="59"/>
      <c r="E151" s="55"/>
      <c r="F151" s="55"/>
      <c r="G151" s="55"/>
      <c r="H151" s="46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0"/>
      <c r="AN151" s="10"/>
      <c r="AO151" s="10"/>
      <c r="AP151" s="10"/>
      <c r="BX151" s="10"/>
      <c r="DF151" s="10"/>
      <c r="EN151" s="10"/>
    </row>
    <row r="152" customFormat="false" ht="12.75" hidden="false" customHeight="false" outlineLevel="0" collapsed="false">
      <c r="B152" s="51"/>
      <c r="C152" s="53"/>
      <c r="D152" s="59"/>
      <c r="E152" s="55"/>
      <c r="F152" s="55"/>
      <c r="G152" s="55"/>
      <c r="H152" s="46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0"/>
      <c r="AN152" s="10"/>
      <c r="AO152" s="10"/>
      <c r="AP152" s="10"/>
      <c r="BX152" s="10"/>
      <c r="DF152" s="10"/>
      <c r="EN152" s="10"/>
    </row>
    <row r="153" customFormat="false" ht="12.75" hidden="false" customHeight="false" outlineLevel="0" collapsed="false">
      <c r="B153" s="51"/>
      <c r="C153" s="53"/>
      <c r="D153" s="59"/>
      <c r="E153" s="55"/>
      <c r="F153" s="55"/>
      <c r="G153" s="55"/>
      <c r="H153" s="46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0"/>
      <c r="AN153" s="10"/>
      <c r="AO153" s="10"/>
      <c r="AP153" s="10"/>
      <c r="BX153" s="10"/>
      <c r="DF153" s="10"/>
      <c r="EN153" s="10"/>
    </row>
    <row r="154" customFormat="false" ht="12.75" hidden="false" customHeight="false" outlineLevel="0" collapsed="false">
      <c r="B154" s="51"/>
      <c r="C154" s="53"/>
      <c r="D154" s="59"/>
      <c r="E154" s="55"/>
      <c r="F154" s="55"/>
      <c r="G154" s="55"/>
      <c r="H154" s="46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0"/>
      <c r="AN154" s="10"/>
      <c r="AO154" s="10"/>
      <c r="AP154" s="10"/>
      <c r="BX154" s="10"/>
      <c r="DF154" s="10"/>
      <c r="EN154" s="10"/>
    </row>
    <row r="155" customFormat="false" ht="12.75" hidden="false" customHeight="false" outlineLevel="0" collapsed="false">
      <c r="B155" s="51"/>
      <c r="C155" s="53"/>
      <c r="D155" s="59"/>
      <c r="E155" s="55"/>
      <c r="F155" s="55"/>
      <c r="G155" s="55"/>
      <c r="H155" s="46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0"/>
      <c r="AN155" s="10"/>
      <c r="AO155" s="10"/>
      <c r="AP155" s="10"/>
      <c r="BX155" s="10"/>
      <c r="DF155" s="10"/>
      <c r="EN155" s="10"/>
    </row>
    <row r="156" customFormat="false" ht="12.75" hidden="false" customHeight="false" outlineLevel="0" collapsed="false">
      <c r="B156" s="51"/>
      <c r="C156" s="53"/>
      <c r="D156" s="59"/>
      <c r="E156" s="55"/>
      <c r="F156" s="55"/>
      <c r="G156" s="55"/>
      <c r="H156" s="46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0"/>
      <c r="AN156" s="10"/>
      <c r="AO156" s="10"/>
      <c r="AP156" s="10"/>
      <c r="BX156" s="10"/>
      <c r="DF156" s="10"/>
      <c r="EN156" s="10"/>
    </row>
    <row r="157" customFormat="false" ht="12.75" hidden="false" customHeight="false" outlineLevel="0" collapsed="false">
      <c r="B157" s="51"/>
      <c r="C157" s="53"/>
      <c r="D157" s="59"/>
      <c r="E157" s="55"/>
      <c r="F157" s="55"/>
      <c r="G157" s="55"/>
      <c r="H157" s="46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0"/>
      <c r="AN157" s="10"/>
      <c r="AO157" s="10"/>
      <c r="AP157" s="10"/>
      <c r="BX157" s="10"/>
      <c r="DF157" s="10"/>
      <c r="EN157" s="10"/>
    </row>
    <row r="158" customFormat="false" ht="12.75" hidden="false" customHeight="false" outlineLevel="0" collapsed="false">
      <c r="B158" s="51"/>
      <c r="C158" s="53"/>
      <c r="D158" s="59"/>
      <c r="E158" s="55"/>
      <c r="F158" s="55"/>
      <c r="G158" s="55"/>
      <c r="H158" s="46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0"/>
      <c r="AN158" s="10"/>
      <c r="AO158" s="10"/>
      <c r="AP158" s="10"/>
      <c r="BX158" s="10"/>
      <c r="DF158" s="10"/>
      <c r="EN158" s="10"/>
    </row>
    <row r="159" customFormat="false" ht="12.75" hidden="false" customHeight="false" outlineLevel="0" collapsed="false">
      <c r="B159" s="51"/>
      <c r="C159" s="53"/>
      <c r="D159" s="59"/>
      <c r="E159" s="55"/>
      <c r="F159" s="55"/>
      <c r="G159" s="55"/>
      <c r="H159" s="46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0"/>
      <c r="AN159" s="10"/>
      <c r="AO159" s="10"/>
      <c r="AP159" s="10"/>
      <c r="BX159" s="10"/>
      <c r="DF159" s="10"/>
      <c r="EN159" s="10"/>
    </row>
    <row r="160" customFormat="false" ht="12.75" hidden="false" customHeight="false" outlineLevel="0" collapsed="false">
      <c r="B160" s="51"/>
      <c r="C160" s="53"/>
      <c r="D160" s="59"/>
      <c r="E160" s="55"/>
      <c r="F160" s="55"/>
      <c r="G160" s="55"/>
      <c r="H160" s="46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0"/>
      <c r="AN160" s="10"/>
      <c r="AO160" s="10"/>
      <c r="AP160" s="10"/>
      <c r="BX160" s="10"/>
      <c r="DF160" s="10"/>
      <c r="EN160" s="10"/>
    </row>
    <row r="161" customFormat="false" ht="12.75" hidden="false" customHeight="false" outlineLevel="0" collapsed="false">
      <c r="B161" s="51"/>
      <c r="C161" s="53"/>
      <c r="D161" s="59"/>
      <c r="E161" s="55"/>
      <c r="F161" s="55"/>
      <c r="G161" s="55"/>
      <c r="H161" s="46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0"/>
      <c r="AN161" s="10"/>
      <c r="AO161" s="10"/>
      <c r="AP161" s="10"/>
      <c r="BX161" s="10"/>
      <c r="DF161" s="10"/>
      <c r="EN161" s="10"/>
    </row>
    <row r="162" customFormat="false" ht="12.75" hidden="false" customHeight="false" outlineLevel="0" collapsed="false">
      <c r="B162" s="51"/>
      <c r="C162" s="53"/>
      <c r="D162" s="59"/>
      <c r="E162" s="55"/>
      <c r="F162" s="55"/>
      <c r="G162" s="55"/>
      <c r="H162" s="46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0"/>
      <c r="AN162" s="10"/>
      <c r="AO162" s="10"/>
      <c r="AP162" s="10"/>
      <c r="BX162" s="10"/>
      <c r="DF162" s="10"/>
      <c r="EN162" s="10"/>
    </row>
    <row r="163" customFormat="false" ht="12.75" hidden="false" customHeight="false" outlineLevel="0" collapsed="false">
      <c r="B163" s="51"/>
      <c r="C163" s="53"/>
      <c r="D163" s="59"/>
      <c r="E163" s="55"/>
      <c r="F163" s="55"/>
      <c r="G163" s="55"/>
      <c r="H163" s="46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0"/>
      <c r="AN163" s="10"/>
      <c r="AO163" s="10"/>
      <c r="AP163" s="10"/>
      <c r="BX163" s="10"/>
      <c r="DF163" s="10"/>
      <c r="EN163" s="10"/>
    </row>
    <row r="164" customFormat="false" ht="12.75" hidden="false" customHeight="false" outlineLevel="0" collapsed="false">
      <c r="B164" s="51"/>
      <c r="C164" s="53"/>
      <c r="D164" s="59"/>
      <c r="E164" s="55"/>
      <c r="F164" s="55"/>
      <c r="G164" s="55"/>
      <c r="H164" s="46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0"/>
      <c r="AN164" s="10"/>
      <c r="AO164" s="10"/>
      <c r="AP164" s="10"/>
      <c r="BX164" s="10"/>
      <c r="DF164" s="10"/>
      <c r="EN164" s="10"/>
    </row>
    <row r="165" customFormat="false" ht="12.75" hidden="false" customHeight="false" outlineLevel="0" collapsed="false">
      <c r="B165" s="51"/>
      <c r="C165" s="53"/>
      <c r="D165" s="59"/>
      <c r="E165" s="55"/>
      <c r="F165" s="55"/>
      <c r="G165" s="55"/>
      <c r="H165" s="46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0"/>
      <c r="AN165" s="10"/>
      <c r="AO165" s="10"/>
      <c r="AP165" s="10"/>
      <c r="BX165" s="10"/>
      <c r="DF165" s="10"/>
      <c r="EN165" s="10"/>
    </row>
    <row r="166" customFormat="false" ht="12.75" hidden="false" customHeight="false" outlineLevel="0" collapsed="false">
      <c r="B166" s="51"/>
      <c r="C166" s="53"/>
      <c r="D166" s="59"/>
      <c r="E166" s="55"/>
      <c r="F166" s="55"/>
      <c r="G166" s="55"/>
      <c r="H166" s="46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0"/>
      <c r="AN166" s="10"/>
      <c r="AO166" s="10"/>
      <c r="AP166" s="10"/>
      <c r="BX166" s="10"/>
      <c r="DF166" s="10"/>
      <c r="EN166" s="10"/>
    </row>
    <row r="167" customFormat="false" ht="12.75" hidden="false" customHeight="false" outlineLevel="0" collapsed="false">
      <c r="B167" s="51"/>
      <c r="C167" s="53"/>
      <c r="D167" s="59"/>
      <c r="E167" s="55"/>
      <c r="F167" s="55"/>
      <c r="G167" s="55"/>
      <c r="H167" s="46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0"/>
      <c r="AN167" s="10"/>
      <c r="AO167" s="10"/>
      <c r="AP167" s="10"/>
      <c r="BX167" s="10"/>
      <c r="DF167" s="10"/>
      <c r="EN167" s="10"/>
    </row>
    <row r="168" customFormat="false" ht="12.75" hidden="false" customHeight="false" outlineLevel="0" collapsed="false">
      <c r="B168" s="51"/>
      <c r="C168" s="53"/>
      <c r="D168" s="59"/>
      <c r="E168" s="55"/>
      <c r="F168" s="55"/>
      <c r="G168" s="55"/>
      <c r="H168" s="46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0"/>
      <c r="AN168" s="10"/>
      <c r="AO168" s="10"/>
      <c r="AP168" s="10"/>
      <c r="BX168" s="10"/>
      <c r="DF168" s="10"/>
      <c r="EN168" s="10"/>
    </row>
    <row r="169" customFormat="false" ht="12.75" hidden="false" customHeight="false" outlineLevel="0" collapsed="false">
      <c r="B169" s="51"/>
      <c r="C169" s="53"/>
      <c r="D169" s="59"/>
      <c r="E169" s="55"/>
      <c r="F169" s="55"/>
      <c r="G169" s="55"/>
      <c r="H169" s="46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0"/>
      <c r="AN169" s="10"/>
      <c r="AO169" s="10"/>
      <c r="AP169" s="10"/>
      <c r="BX169" s="10"/>
      <c r="DF169" s="10"/>
      <c r="EN169" s="10"/>
    </row>
    <row r="170" customFormat="false" ht="12.75" hidden="false" customHeight="false" outlineLevel="0" collapsed="false">
      <c r="B170" s="51"/>
      <c r="C170" s="53"/>
      <c r="D170" s="59"/>
      <c r="E170" s="55"/>
      <c r="F170" s="55"/>
      <c r="G170" s="55"/>
      <c r="H170" s="46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0"/>
      <c r="AN170" s="10"/>
      <c r="AO170" s="10"/>
      <c r="AP170" s="10"/>
      <c r="BX170" s="10"/>
      <c r="DF170" s="10"/>
      <c r="EN170" s="10"/>
    </row>
    <row r="171" customFormat="false" ht="12.75" hidden="false" customHeight="false" outlineLevel="0" collapsed="false">
      <c r="B171" s="51"/>
      <c r="C171" s="53"/>
      <c r="D171" s="59"/>
      <c r="E171" s="55"/>
      <c r="F171" s="55"/>
      <c r="G171" s="55"/>
      <c r="H171" s="46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0"/>
      <c r="AN171" s="10"/>
      <c r="AO171" s="10"/>
      <c r="AP171" s="10"/>
      <c r="BX171" s="10"/>
      <c r="DF171" s="10"/>
      <c r="EN171" s="10"/>
    </row>
    <row r="172" customFormat="false" ht="12.75" hidden="false" customHeight="false" outlineLevel="0" collapsed="false">
      <c r="B172" s="51"/>
      <c r="C172" s="53"/>
      <c r="D172" s="59"/>
      <c r="E172" s="55"/>
      <c r="F172" s="55"/>
      <c r="G172" s="55"/>
      <c r="H172" s="46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0"/>
      <c r="AN172" s="10"/>
      <c r="AO172" s="10"/>
      <c r="AP172" s="10"/>
      <c r="BX172" s="10"/>
      <c r="DF172" s="10"/>
      <c r="EN172" s="10"/>
    </row>
    <row r="173" customFormat="false" ht="12.75" hidden="false" customHeight="false" outlineLevel="0" collapsed="false">
      <c r="B173" s="51"/>
      <c r="C173" s="53"/>
      <c r="D173" s="59"/>
      <c r="E173" s="55"/>
      <c r="F173" s="55"/>
      <c r="G173" s="55"/>
      <c r="H173" s="46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0"/>
      <c r="AN173" s="10"/>
      <c r="AO173" s="10"/>
      <c r="AP173" s="10"/>
      <c r="BX173" s="10"/>
      <c r="DF173" s="10"/>
      <c r="EN173" s="10"/>
    </row>
    <row r="174" customFormat="false" ht="12.75" hidden="false" customHeight="false" outlineLevel="0" collapsed="false">
      <c r="B174" s="51"/>
      <c r="C174" s="53"/>
      <c r="D174" s="59"/>
      <c r="E174" s="55"/>
      <c r="F174" s="55"/>
      <c r="G174" s="55"/>
      <c r="H174" s="46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0"/>
      <c r="AN174" s="10"/>
      <c r="AO174" s="10"/>
      <c r="AP174" s="10"/>
      <c r="BX174" s="10"/>
      <c r="DF174" s="10"/>
      <c r="EN174" s="10"/>
    </row>
    <row r="175" customFormat="false" ht="12.75" hidden="false" customHeight="false" outlineLevel="0" collapsed="false">
      <c r="B175" s="60"/>
      <c r="C175" s="59"/>
      <c r="D175" s="59"/>
      <c r="E175" s="55"/>
      <c r="F175" s="55"/>
      <c r="G175" s="55"/>
      <c r="H175" s="46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0"/>
      <c r="AN175" s="10"/>
      <c r="AO175" s="10"/>
      <c r="AP175" s="10"/>
      <c r="BX175" s="10"/>
      <c r="DF175" s="10"/>
      <c r="EN175" s="10"/>
    </row>
    <row r="176" customFormat="false" ht="12.75" hidden="false" customHeight="false" outlineLevel="0" collapsed="false">
      <c r="B176" s="60"/>
      <c r="C176" s="59"/>
      <c r="D176" s="59"/>
      <c r="E176" s="55"/>
      <c r="F176" s="55"/>
      <c r="G176" s="55"/>
      <c r="H176" s="46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0"/>
      <c r="AN176" s="10"/>
      <c r="AO176" s="10"/>
      <c r="AP176" s="10"/>
      <c r="BX176" s="10"/>
      <c r="DF176" s="10"/>
      <c r="EN176" s="10"/>
    </row>
    <row r="177" customFormat="false" ht="12.75" hidden="false" customHeight="false" outlineLevel="0" collapsed="false">
      <c r="B177" s="60"/>
      <c r="C177" s="59"/>
      <c r="D177" s="59"/>
      <c r="E177" s="55"/>
      <c r="F177" s="55"/>
      <c r="G177" s="55"/>
      <c r="H177" s="46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0"/>
      <c r="AN177" s="10"/>
      <c r="AO177" s="10"/>
      <c r="AP177" s="10"/>
      <c r="BX177" s="10"/>
      <c r="DF177" s="10"/>
      <c r="EN177" s="10"/>
    </row>
    <row r="178" customFormat="false" ht="12.75" hidden="false" customHeight="false" outlineLevel="0" collapsed="false">
      <c r="B178" s="60"/>
      <c r="C178" s="59"/>
      <c r="D178" s="59"/>
      <c r="E178" s="55"/>
      <c r="F178" s="55"/>
      <c r="G178" s="55"/>
      <c r="H178" s="46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0"/>
      <c r="AN178" s="10"/>
      <c r="AO178" s="10"/>
      <c r="AP178" s="10"/>
      <c r="BX178" s="10"/>
      <c r="DF178" s="10"/>
      <c r="EN178" s="10"/>
    </row>
    <row r="179" customFormat="false" ht="12.75" hidden="false" customHeight="false" outlineLevel="0" collapsed="false">
      <c r="B179" s="60"/>
      <c r="C179" s="59"/>
      <c r="D179" s="59"/>
      <c r="E179" s="55"/>
      <c r="F179" s="55"/>
      <c r="G179" s="55"/>
      <c r="H179" s="46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0"/>
      <c r="AN179" s="10"/>
      <c r="AO179" s="10"/>
      <c r="AP179" s="10"/>
      <c r="BX179" s="10"/>
      <c r="DF179" s="10"/>
      <c r="EN179" s="10"/>
    </row>
    <row r="180" customFormat="false" ht="12.75" hidden="false" customHeight="false" outlineLevel="0" collapsed="false">
      <c r="B180" s="60"/>
      <c r="C180" s="59"/>
      <c r="D180" s="59"/>
      <c r="E180" s="55"/>
      <c r="F180" s="55"/>
      <c r="G180" s="55"/>
      <c r="H180" s="46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0"/>
      <c r="AN180" s="10"/>
      <c r="AO180" s="10"/>
      <c r="AP180" s="10"/>
      <c r="BX180" s="10"/>
      <c r="DF180" s="10"/>
      <c r="EN180" s="10"/>
    </row>
    <row r="181" customFormat="false" ht="12.75" hidden="false" customHeight="false" outlineLevel="0" collapsed="false">
      <c r="B181" s="60"/>
      <c r="C181" s="59"/>
      <c r="D181" s="59"/>
      <c r="E181" s="55"/>
      <c r="F181" s="55"/>
      <c r="G181" s="55"/>
      <c r="H181" s="46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0"/>
      <c r="AN181" s="10"/>
      <c r="AO181" s="10"/>
      <c r="AP181" s="10"/>
      <c r="BX181" s="10"/>
      <c r="DF181" s="10"/>
      <c r="EN181" s="10"/>
    </row>
    <row r="182" customFormat="false" ht="12.75" hidden="false" customHeight="false" outlineLevel="0" collapsed="false">
      <c r="B182" s="60"/>
      <c r="C182" s="59"/>
      <c r="D182" s="59"/>
      <c r="E182" s="55"/>
      <c r="F182" s="55"/>
      <c r="G182" s="55"/>
      <c r="H182" s="46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0"/>
      <c r="AN182" s="10"/>
      <c r="AO182" s="10"/>
      <c r="AP182" s="10"/>
      <c r="BX182" s="10"/>
      <c r="DF182" s="10"/>
      <c r="EN182" s="10"/>
    </row>
    <row r="183" customFormat="false" ht="12.75" hidden="false" customHeight="false" outlineLevel="0" collapsed="false">
      <c r="B183" s="60"/>
      <c r="C183" s="59"/>
      <c r="D183" s="59"/>
      <c r="E183" s="55"/>
      <c r="F183" s="55"/>
      <c r="G183" s="55"/>
      <c r="H183" s="46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0"/>
      <c r="AN183" s="10"/>
      <c r="AO183" s="10"/>
      <c r="AP183" s="10"/>
      <c r="BX183" s="10"/>
      <c r="DF183" s="10"/>
      <c r="EN183" s="10"/>
    </row>
    <row r="184" customFormat="false" ht="12.75" hidden="false" customHeight="false" outlineLevel="0" collapsed="false">
      <c r="B184" s="60"/>
      <c r="C184" s="59"/>
      <c r="D184" s="59"/>
      <c r="E184" s="55"/>
      <c r="F184" s="55"/>
      <c r="G184" s="55"/>
      <c r="H184" s="46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0"/>
      <c r="AN184" s="10"/>
      <c r="AO184" s="10"/>
      <c r="AP184" s="10"/>
      <c r="BX184" s="10"/>
      <c r="DF184" s="10"/>
      <c r="EN184" s="10"/>
    </row>
    <row r="185" customFormat="false" ht="12.75" hidden="false" customHeight="false" outlineLevel="0" collapsed="false">
      <c r="B185" s="60"/>
      <c r="C185" s="59"/>
      <c r="D185" s="59"/>
      <c r="E185" s="55"/>
      <c r="F185" s="55"/>
      <c r="G185" s="55"/>
      <c r="H185" s="46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0"/>
      <c r="AN185" s="10"/>
      <c r="AO185" s="10"/>
      <c r="AP185" s="10"/>
      <c r="BX185" s="10"/>
      <c r="DF185" s="10"/>
      <c r="EN185" s="10"/>
    </row>
    <row r="186" customFormat="false" ht="12.75" hidden="false" customHeight="false" outlineLevel="0" collapsed="false">
      <c r="B186" s="60"/>
      <c r="C186" s="59"/>
      <c r="D186" s="59"/>
      <c r="E186" s="55"/>
      <c r="F186" s="55"/>
      <c r="G186" s="55"/>
      <c r="H186" s="46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0"/>
      <c r="AN186" s="10"/>
      <c r="AO186" s="10"/>
      <c r="AP186" s="10"/>
      <c r="BX186" s="10"/>
      <c r="DF186" s="10"/>
      <c r="EN186" s="10"/>
    </row>
    <row r="187" customFormat="false" ht="12.75" hidden="false" customHeight="false" outlineLevel="0" collapsed="false">
      <c r="B187" s="60"/>
      <c r="C187" s="59"/>
      <c r="D187" s="59"/>
      <c r="E187" s="55"/>
      <c r="F187" s="55"/>
      <c r="G187" s="55"/>
      <c r="H187" s="46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0"/>
      <c r="AN187" s="10"/>
      <c r="AO187" s="10"/>
      <c r="AP187" s="10"/>
      <c r="BX187" s="10"/>
      <c r="DF187" s="10"/>
      <c r="EN187" s="1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T1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9" activeCellId="0" sqref="D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8.7"/>
    <col collapsed="false" customWidth="true" hidden="false" outlineLevel="0" max="2" min="2" style="1" width="9.56"/>
    <col collapsed="false" customWidth="true" hidden="false" outlineLevel="0" max="4" min="3" style="1" width="9.14"/>
    <col collapsed="false" customWidth="true" hidden="false" outlineLevel="0" max="5" min="5" style="1" width="10.13"/>
    <col collapsed="false" customWidth="true" hidden="false" outlineLevel="0" max="42" min="6" style="1" width="9.14"/>
    <col collapsed="false" customWidth="true" hidden="false" outlineLevel="0" max="76" min="76" style="1" width="9.14"/>
    <col collapsed="false" customWidth="true" hidden="false" outlineLevel="0" max="110" min="110" style="1" width="9.14"/>
    <col collapsed="false" customWidth="true" hidden="false" outlineLevel="0" max="144" min="144" style="1" width="9.14"/>
  </cols>
  <sheetData>
    <row r="1" customFormat="false" ht="12.75" hidden="false" customHeight="false" outlineLevel="0" collapsed="false">
      <c r="A1" s="5"/>
      <c r="B1" s="102"/>
      <c r="C1" s="4"/>
      <c r="D1" s="2" t="s">
        <v>134</v>
      </c>
      <c r="E1" s="2" t="n">
        <f aca="false">summerstrip</f>
        <v>5.3329</v>
      </c>
      <c r="F1" s="2"/>
      <c r="G1" s="103" t="s">
        <v>4</v>
      </c>
      <c r="I1" s="0"/>
      <c r="J1" s="0" t="s">
        <v>168</v>
      </c>
      <c r="K1" s="0"/>
      <c r="L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</row>
    <row r="2" customFormat="false" ht="12.75" hidden="false" customHeight="false" outlineLevel="0" collapsed="false">
      <c r="A2" s="5" t="s">
        <v>136</v>
      </c>
      <c r="B2" s="104" t="n">
        <f aca="true">TODAY()</f>
        <v>45926</v>
      </c>
      <c r="C2" s="4"/>
      <c r="D2" s="2" t="s">
        <v>137</v>
      </c>
      <c r="E2" s="2" t="n">
        <f aca="false">winterstrip</f>
        <v>5.12898285714286</v>
      </c>
      <c r="F2" s="2"/>
      <c r="G2" s="2"/>
      <c r="I2" s="0"/>
      <c r="K2" s="0" t="s">
        <v>169</v>
      </c>
      <c r="L2" s="0" t="s">
        <v>170</v>
      </c>
      <c r="O2" s="0"/>
      <c r="P2" s="0"/>
      <c r="Q2" s="0"/>
      <c r="S2" s="0"/>
      <c r="T2" s="0"/>
      <c r="U2" s="0"/>
      <c r="V2" s="0"/>
      <c r="W2" s="0"/>
      <c r="X2" s="0"/>
      <c r="Z2" s="0"/>
      <c r="AA2" s="0"/>
      <c r="AB2" s="0"/>
      <c r="AC2" s="0"/>
      <c r="AD2" s="0"/>
      <c r="AE2" s="0"/>
      <c r="AG2" s="0"/>
      <c r="AH2" s="0"/>
      <c r="AI2" s="0"/>
      <c r="AJ2" s="0"/>
      <c r="AK2" s="0"/>
      <c r="AL2" s="0"/>
      <c r="AP2" s="10"/>
      <c r="BX2" s="10"/>
      <c r="DF2" s="10"/>
      <c r="EN2" s="10"/>
    </row>
    <row r="3" customFormat="false" ht="12.75" hidden="false" customHeight="false" outlineLevel="0" collapsed="false">
      <c r="A3" s="2" t="s">
        <v>141</v>
      </c>
      <c r="B3" s="64" t="s">
        <v>100</v>
      </c>
      <c r="D3" s="64" t="s">
        <v>37</v>
      </c>
      <c r="E3" s="64" t="s">
        <v>35</v>
      </c>
      <c r="F3" s="64" t="s">
        <v>47</v>
      </c>
      <c r="H3" s="64" t="s">
        <v>52</v>
      </c>
      <c r="I3" s="14"/>
      <c r="J3" s="1" t="n">
        <v>-1</v>
      </c>
      <c r="K3" s="142" t="e">
        <f aca="false">#REF!</f>
        <v>#REF!</v>
      </c>
      <c r="L3" s="142" t="e">
        <f aca="false">#REF!</f>
        <v>#REF!</v>
      </c>
      <c r="O3" s="14"/>
      <c r="P3" s="14"/>
      <c r="Q3" s="14"/>
      <c r="S3" s="14"/>
      <c r="T3" s="14"/>
      <c r="U3" s="14"/>
      <c r="V3" s="14"/>
      <c r="W3" s="14"/>
      <c r="X3" s="14"/>
      <c r="Z3" s="14"/>
      <c r="AA3" s="14"/>
      <c r="AB3" s="14"/>
      <c r="AC3" s="14"/>
      <c r="AD3" s="14"/>
      <c r="AE3" s="14"/>
      <c r="AG3" s="14"/>
      <c r="AH3" s="14"/>
      <c r="AI3" s="14"/>
      <c r="AJ3" s="14"/>
      <c r="AK3" s="14"/>
      <c r="AL3" s="14"/>
      <c r="AP3" s="10"/>
      <c r="BX3" s="10"/>
      <c r="DF3" s="10"/>
      <c r="EN3" s="10"/>
    </row>
    <row r="4" customFormat="false" ht="12.75" hidden="false" customHeight="false" outlineLevel="0" collapsed="false">
      <c r="A4" s="2"/>
      <c r="B4" s="64" t="s">
        <v>174</v>
      </c>
      <c r="D4" s="64" t="s">
        <v>174</v>
      </c>
      <c r="E4" s="2"/>
      <c r="F4" s="64" t="s">
        <v>174</v>
      </c>
      <c r="G4" s="2"/>
      <c r="H4" s="64" t="s">
        <v>174</v>
      </c>
      <c r="I4" s="14"/>
      <c r="K4" s="142"/>
      <c r="L4" s="142"/>
      <c r="O4" s="14"/>
      <c r="P4" s="14"/>
      <c r="Q4" s="14"/>
      <c r="S4" s="14"/>
      <c r="T4" s="14"/>
      <c r="U4" s="14"/>
      <c r="V4" s="14"/>
      <c r="W4" s="14"/>
      <c r="X4" s="14"/>
      <c r="Z4" s="14"/>
      <c r="AA4" s="14"/>
      <c r="AB4" s="14"/>
      <c r="AC4" s="14"/>
      <c r="AD4" s="14"/>
      <c r="AE4" s="14"/>
      <c r="AG4" s="14"/>
      <c r="AH4" s="14"/>
      <c r="AI4" s="14"/>
      <c r="AJ4" s="14"/>
      <c r="AK4" s="14"/>
      <c r="AL4" s="14"/>
      <c r="AP4" s="10"/>
      <c r="BX4" s="10"/>
      <c r="DF4" s="10"/>
      <c r="EN4" s="10"/>
    </row>
    <row r="5" customFormat="false" ht="12.75" hidden="false" customHeight="false" outlineLevel="0" collapsed="false">
      <c r="A5" s="2"/>
      <c r="B5" s="2" t="s">
        <v>7</v>
      </c>
      <c r="D5" s="2" t="s">
        <v>8</v>
      </c>
      <c r="F5" s="2" t="s">
        <v>143</v>
      </c>
      <c r="H5" s="2" t="s">
        <v>144</v>
      </c>
      <c r="K5" s="142" t="e">
        <f aca="false">#REF!</f>
        <v>#REF!</v>
      </c>
      <c r="L5" s="142" t="e">
        <f aca="false">#REF!</f>
        <v>#REF!</v>
      </c>
      <c r="AP5" s="10"/>
      <c r="BX5" s="10"/>
      <c r="DF5" s="10"/>
      <c r="EN5" s="10"/>
    </row>
    <row r="6" customFormat="false" ht="12.75" hidden="false" customHeight="false" outlineLevel="0" collapsed="false">
      <c r="A6" s="2" t="s">
        <v>145</v>
      </c>
      <c r="B6" s="70" t="n">
        <v>36831</v>
      </c>
      <c r="C6" s="143"/>
      <c r="D6" s="70" t="n">
        <v>36831</v>
      </c>
      <c r="E6" s="143"/>
      <c r="F6" s="70" t="n">
        <v>36831</v>
      </c>
      <c r="G6" s="143"/>
      <c r="H6" s="70" t="n">
        <v>36892</v>
      </c>
      <c r="K6" s="142" t="e">
        <f aca="false">#REF!</f>
        <v>#REF!</v>
      </c>
      <c r="L6" s="142" t="e">
        <f aca="false">#REF!</f>
        <v>#REF!</v>
      </c>
      <c r="M6" s="2"/>
      <c r="N6" s="105"/>
      <c r="AP6" s="10"/>
      <c r="BX6" s="10"/>
      <c r="DF6" s="10"/>
      <c r="EN6" s="10"/>
    </row>
    <row r="7" customFormat="false" ht="12.75" hidden="false" customHeight="false" outlineLevel="0" collapsed="false">
      <c r="A7" s="5" t="s">
        <v>146</v>
      </c>
      <c r="B7" s="70" t="n">
        <v>36951</v>
      </c>
      <c r="C7" s="143"/>
      <c r="D7" s="70" t="n">
        <v>36951</v>
      </c>
      <c r="E7" s="143"/>
      <c r="F7" s="70" t="n">
        <v>36951</v>
      </c>
      <c r="G7" s="143"/>
      <c r="H7" s="70" t="n">
        <v>36951</v>
      </c>
      <c r="K7" s="107"/>
      <c r="L7" s="108"/>
      <c r="M7" s="5"/>
      <c r="N7" s="105"/>
      <c r="AP7" s="10"/>
      <c r="BX7" s="10"/>
      <c r="DF7" s="10"/>
      <c r="EN7" s="10"/>
    </row>
    <row r="8" customFormat="false" ht="12.75" hidden="false" customHeight="false" outlineLevel="0" collapsed="false">
      <c r="A8" s="109"/>
      <c r="B8" s="110"/>
      <c r="C8" s="111"/>
      <c r="D8" s="110"/>
      <c r="E8" s="111"/>
      <c r="F8" s="110"/>
      <c r="G8" s="111"/>
      <c r="H8" s="110"/>
      <c r="I8" s="111"/>
      <c r="M8" s="109"/>
      <c r="N8" s="112"/>
      <c r="O8" s="111"/>
      <c r="P8" s="111"/>
      <c r="Q8" s="111"/>
      <c r="S8" s="111"/>
      <c r="T8" s="111"/>
      <c r="U8" s="111"/>
      <c r="V8" s="111"/>
      <c r="W8" s="111"/>
      <c r="X8" s="111"/>
      <c r="Z8" s="111"/>
      <c r="AA8" s="111"/>
      <c r="AB8" s="111"/>
      <c r="AC8" s="111"/>
      <c r="AD8" s="111"/>
      <c r="AE8" s="111"/>
      <c r="AG8" s="111"/>
      <c r="AH8" s="111"/>
      <c r="AI8" s="111"/>
      <c r="AJ8" s="111"/>
      <c r="AK8" s="111"/>
      <c r="AP8" s="10"/>
      <c r="BX8" s="10"/>
      <c r="DF8" s="10"/>
      <c r="EN8" s="10"/>
    </row>
    <row r="9" customFormat="false" ht="12.75" hidden="false" customHeight="false" outlineLevel="0" collapsed="false">
      <c r="A9" s="109" t="s">
        <v>51</v>
      </c>
      <c r="B9" s="110" t="n">
        <f aca="false">AS31-AT31</f>
        <v>0.163195364238411</v>
      </c>
      <c r="C9" s="111"/>
      <c r="D9" s="110" t="n">
        <f aca="false">CA31-CB31</f>
        <v>-0.37819536423841</v>
      </c>
      <c r="E9" s="111"/>
      <c r="F9" s="110" t="n">
        <f aca="false">DI31-DJ31</f>
        <v>-0.135082781456953</v>
      </c>
      <c r="G9" s="111"/>
      <c r="H9" s="110" t="n">
        <f aca="false">EQ31-ER31</f>
        <v>0.193111111111111</v>
      </c>
      <c r="I9" s="111"/>
      <c r="J9" s="64"/>
      <c r="L9" s="64"/>
      <c r="M9" s="109"/>
      <c r="N9" s="112"/>
      <c r="O9" s="111"/>
      <c r="P9" s="111"/>
      <c r="Q9" s="111"/>
      <c r="S9" s="111"/>
      <c r="T9" s="111"/>
      <c r="U9" s="111"/>
      <c r="V9" s="111"/>
      <c r="W9" s="111"/>
      <c r="X9" s="111"/>
      <c r="Z9" s="111"/>
      <c r="AA9" s="111"/>
      <c r="AB9" s="111"/>
      <c r="AC9" s="111"/>
      <c r="AD9" s="111"/>
      <c r="AE9" s="111"/>
      <c r="AG9" s="111"/>
      <c r="AH9" s="111"/>
      <c r="AI9" s="111"/>
      <c r="AJ9" s="111"/>
      <c r="AK9" s="111"/>
      <c r="AP9" s="10"/>
      <c r="BX9" s="10"/>
      <c r="DF9" s="10"/>
      <c r="EN9" s="10"/>
    </row>
    <row r="10" customFormat="false" ht="12.75" hidden="false" customHeight="false" outlineLevel="0" collapsed="false">
      <c r="A10" s="109" t="s">
        <v>175</v>
      </c>
      <c r="B10" s="110" t="n">
        <f aca="false">AT31</f>
        <v>5.30147549668874</v>
      </c>
      <c r="C10" s="111"/>
      <c r="D10" s="110" t="n">
        <f aca="false">CB31</f>
        <v>5.30147549668874</v>
      </c>
      <c r="E10" s="111"/>
      <c r="F10" s="110" t="n">
        <f aca="false">DJ31</f>
        <v>5.30147549668874</v>
      </c>
      <c r="G10" s="111"/>
      <c r="H10" s="110" t="n">
        <f aca="false">ER31</f>
        <v>5.18242222222222</v>
      </c>
      <c r="I10" s="0"/>
      <c r="M10" s="62"/>
      <c r="N10" s="115"/>
      <c r="O10" s="111"/>
      <c r="P10" s="111"/>
      <c r="Q10" s="111"/>
      <c r="S10" s="111"/>
      <c r="T10" s="111"/>
      <c r="U10" s="111"/>
      <c r="V10" s="111"/>
      <c r="W10" s="111"/>
      <c r="X10" s="111"/>
      <c r="Z10" s="111"/>
      <c r="AA10" s="111"/>
      <c r="AB10" s="111"/>
      <c r="AC10" s="111"/>
      <c r="AD10" s="111"/>
      <c r="AE10" s="111"/>
      <c r="AG10" s="111"/>
      <c r="AH10" s="111"/>
      <c r="AI10" s="111"/>
      <c r="AJ10" s="111"/>
      <c r="AK10" s="111"/>
      <c r="AP10" s="10"/>
      <c r="BX10" s="10"/>
      <c r="DF10" s="10"/>
      <c r="EN10" s="10"/>
    </row>
    <row r="11" customFormat="false" ht="12.75" hidden="false" customHeight="false" outlineLevel="0" collapsed="false">
      <c r="I11" s="0"/>
      <c r="J11" s="64"/>
      <c r="K11" s="64" t="s">
        <v>31</v>
      </c>
      <c r="L11" s="64"/>
      <c r="M11" s="62"/>
      <c r="N11" s="115"/>
      <c r="O11" s="111"/>
      <c r="P11" s="111"/>
      <c r="Q11" s="111"/>
      <c r="S11" s="111"/>
      <c r="T11" s="111"/>
      <c r="U11" s="111"/>
      <c r="V11" s="111"/>
      <c r="W11" s="111"/>
      <c r="X11" s="111"/>
      <c r="Z11" s="111"/>
      <c r="AA11" s="111"/>
      <c r="AB11" s="111"/>
      <c r="AC11" s="111"/>
      <c r="AD11" s="111"/>
      <c r="AE11" s="111"/>
      <c r="AG11" s="111"/>
      <c r="AH11" s="111"/>
      <c r="AI11" s="111"/>
      <c r="AJ11" s="111"/>
      <c r="AK11" s="111"/>
      <c r="AP11" s="10"/>
      <c r="BX11" s="10"/>
      <c r="DF11" s="10"/>
      <c r="EN11" s="10"/>
    </row>
    <row r="12" customFormat="false" ht="12.75" hidden="false" customHeight="false" outlineLevel="0" collapsed="false">
      <c r="A12" s="109" t="s">
        <v>149</v>
      </c>
      <c r="B12" s="145" t="n">
        <v>-0.0325</v>
      </c>
      <c r="C12" s="146"/>
      <c r="D12" s="145" t="n">
        <v>-0.0325</v>
      </c>
      <c r="E12" s="146"/>
      <c r="F12" s="145" t="n">
        <v>0</v>
      </c>
      <c r="G12" s="146"/>
      <c r="H12" s="145" t="n">
        <v>0.005</v>
      </c>
      <c r="I12" s="0"/>
      <c r="J12" s="64"/>
      <c r="K12" s="64" t="s">
        <v>91</v>
      </c>
      <c r="L12" s="64"/>
      <c r="M12" s="62"/>
      <c r="N12" s="116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P12" s="10"/>
      <c r="BX12" s="10"/>
      <c r="DF12" s="10"/>
      <c r="EN12" s="10"/>
    </row>
    <row r="13" customFormat="false" ht="12.75" hidden="false" customHeight="false" outlineLevel="0" collapsed="false">
      <c r="A13" s="109" t="s">
        <v>176</v>
      </c>
      <c r="B13" s="145" t="n">
        <v>0</v>
      </c>
      <c r="C13" s="146"/>
      <c r="D13" s="145" t="n">
        <v>0</v>
      </c>
      <c r="E13" s="146"/>
      <c r="F13" s="145" t="n">
        <v>0</v>
      </c>
      <c r="G13" s="146"/>
      <c r="H13" s="145" t="n">
        <v>0</v>
      </c>
      <c r="I13" s="0"/>
      <c r="J13" s="64"/>
      <c r="K13" s="64" t="s">
        <v>31</v>
      </c>
      <c r="L13" s="64"/>
      <c r="M13" s="62"/>
      <c r="N13" s="116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O13" s="14"/>
      <c r="AP13" s="10"/>
      <c r="BX13" s="10"/>
      <c r="DF13" s="10"/>
      <c r="EN13" s="10"/>
    </row>
    <row r="14" customFormat="false" ht="12.75" hidden="false" customHeight="false" outlineLevel="0" collapsed="false">
      <c r="A14" s="62" t="s">
        <v>177</v>
      </c>
      <c r="B14" s="147" t="n">
        <v>0</v>
      </c>
      <c r="C14" s="147"/>
      <c r="D14" s="147" t="n">
        <v>0</v>
      </c>
      <c r="E14" s="147"/>
      <c r="F14" s="147" t="n">
        <v>0</v>
      </c>
      <c r="G14" s="147"/>
      <c r="H14" s="147" t="n">
        <v>0</v>
      </c>
      <c r="I14" s="0"/>
      <c r="J14" s="10"/>
      <c r="K14" s="64" t="s">
        <v>38</v>
      </c>
      <c r="L14" s="64"/>
      <c r="M14" s="62"/>
      <c r="N14" s="116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O14" s="14"/>
      <c r="AP14" s="10"/>
      <c r="BX14" s="10"/>
      <c r="DF14" s="10"/>
      <c r="EN14" s="10"/>
    </row>
    <row r="15" customFormat="false" ht="12.75" hidden="false" customHeight="false" outlineLevel="0" collapsed="false">
      <c r="A15" s="62" t="s">
        <v>178</v>
      </c>
      <c r="B15" s="147" t="n">
        <v>0</v>
      </c>
      <c r="C15" s="147"/>
      <c r="D15" s="147" t="n">
        <v>0</v>
      </c>
      <c r="E15" s="147"/>
      <c r="F15" s="147" t="n">
        <v>0</v>
      </c>
      <c r="G15" s="147"/>
      <c r="H15" s="147" t="n">
        <v>0</v>
      </c>
      <c r="I15" s="0"/>
      <c r="J15" s="10"/>
      <c r="K15" s="64"/>
      <c r="L15" s="64"/>
      <c r="M15" s="62"/>
      <c r="N15" s="116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O15" s="14"/>
      <c r="AP15" s="10"/>
      <c r="BX15" s="10"/>
      <c r="DF15" s="10"/>
      <c r="EN15" s="10"/>
    </row>
    <row r="16" customFormat="false" ht="12.75" hidden="false" customHeight="false" outlineLevel="0" collapsed="false">
      <c r="A16" s="62" t="s">
        <v>179</v>
      </c>
      <c r="B16" s="147" t="n">
        <v>0</v>
      </c>
      <c r="C16" s="148"/>
      <c r="D16" s="147" t="n">
        <v>0</v>
      </c>
      <c r="E16" s="149"/>
      <c r="F16" s="147" t="n">
        <v>0</v>
      </c>
      <c r="G16" s="149"/>
      <c r="H16" s="147" t="n">
        <v>0</v>
      </c>
      <c r="I16" s="0"/>
      <c r="K16" s="64" t="s">
        <v>42</v>
      </c>
      <c r="M16" s="61"/>
      <c r="N16" s="117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P16" s="10"/>
      <c r="BX16" s="10"/>
      <c r="DF16" s="10"/>
      <c r="EN16" s="10"/>
    </row>
    <row r="17" customFormat="false" ht="12.75" hidden="false" customHeight="false" outlineLevel="0" collapsed="false">
      <c r="A17" s="109"/>
      <c r="B17" s="145"/>
      <c r="C17" s="146"/>
      <c r="D17" s="145"/>
      <c r="E17" s="146"/>
      <c r="F17" s="145"/>
      <c r="G17" s="146"/>
      <c r="H17" s="145"/>
      <c r="I17" s="0"/>
      <c r="K17" s="64" t="s">
        <v>47</v>
      </c>
      <c r="L17" s="64"/>
      <c r="M17" s="62"/>
      <c r="N17" s="120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P17" s="10"/>
      <c r="BX17" s="10"/>
      <c r="DF17" s="10"/>
      <c r="EN17" s="10"/>
    </row>
    <row r="18" customFormat="false" ht="12.75" hidden="false" customHeight="false" outlineLevel="0" collapsed="false">
      <c r="A18" s="62" t="s">
        <v>9</v>
      </c>
      <c r="B18" s="150" t="n">
        <v>0.3</v>
      </c>
      <c r="C18" s="149"/>
      <c r="D18" s="150" t="n">
        <v>-0.35</v>
      </c>
      <c r="E18" s="149"/>
      <c r="F18" s="150" t="n">
        <v>-0.2</v>
      </c>
      <c r="G18" s="149"/>
      <c r="H18" s="150" t="n">
        <v>0.2</v>
      </c>
      <c r="I18" s="0"/>
      <c r="J18" s="64"/>
      <c r="K18" s="64" t="s">
        <v>37</v>
      </c>
      <c r="L18" s="64"/>
      <c r="M18" s="62"/>
      <c r="N18" s="120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P18" s="10"/>
      <c r="BX18" s="10"/>
      <c r="DF18" s="10"/>
      <c r="EN18" s="10"/>
    </row>
    <row r="19" customFormat="false" ht="12.75" hidden="false" customHeight="false" outlineLevel="0" collapsed="false">
      <c r="A19" s="62" t="s">
        <v>10</v>
      </c>
      <c r="B19" s="151" t="n">
        <v>1</v>
      </c>
      <c r="C19" s="149"/>
      <c r="D19" s="151" t="n">
        <v>0</v>
      </c>
      <c r="E19" s="149"/>
      <c r="F19" s="151" t="n">
        <v>0</v>
      </c>
      <c r="G19" s="149"/>
      <c r="H19" s="151" t="n">
        <v>1</v>
      </c>
      <c r="I19" s="0"/>
      <c r="K19" s="64" t="s">
        <v>52</v>
      </c>
      <c r="N19" s="120"/>
    </row>
    <row r="20" customFormat="false" ht="12.75" hidden="false" customHeight="false" outlineLevel="0" collapsed="false">
      <c r="I20" s="0"/>
      <c r="K20" s="64" t="s">
        <v>75</v>
      </c>
      <c r="N20" s="120"/>
    </row>
    <row r="21" customFormat="false" ht="12.75" hidden="false" customHeight="false" outlineLevel="0" collapsed="false">
      <c r="A21" s="62" t="s">
        <v>1</v>
      </c>
      <c r="B21" s="120" t="e">
        <f aca="false">BK$31</f>
        <v>#NAME?</v>
      </c>
      <c r="C21" s="114"/>
      <c r="D21" s="120" t="e">
        <f aca="false">CS$31</f>
        <v>#NAME?</v>
      </c>
      <c r="E21" s="114"/>
      <c r="F21" s="120" t="e">
        <f aca="false">EA$31</f>
        <v>#NAME?</v>
      </c>
      <c r="G21" s="114"/>
      <c r="H21" s="120" t="e">
        <f aca="false">FI$31</f>
        <v>#NAME?</v>
      </c>
      <c r="I21" s="0"/>
      <c r="K21" s="64" t="s">
        <v>58</v>
      </c>
      <c r="N21" s="120"/>
      <c r="AM21" s="120" t="n">
        <f aca="false">FH$31</f>
        <v>0</v>
      </c>
    </row>
    <row r="22" customFormat="false" ht="12.75" hidden="false" customHeight="false" outlineLevel="0" collapsed="false">
      <c r="A22" s="62" t="s">
        <v>180</v>
      </c>
      <c r="B22" s="120" t="e">
        <f aca="false">BL$31</f>
        <v>#NAME?</v>
      </c>
      <c r="C22" s="114"/>
      <c r="D22" s="120" t="e">
        <f aca="false">CT$31</f>
        <v>#NAME?</v>
      </c>
      <c r="E22" s="114"/>
      <c r="F22" s="120" t="e">
        <f aca="false">EB$31</f>
        <v>#NAME?</v>
      </c>
      <c r="G22" s="114"/>
      <c r="H22" s="120" t="e">
        <f aca="false">FJ$31</f>
        <v>#NAME?</v>
      </c>
      <c r="K22" s="64" t="s">
        <v>35</v>
      </c>
      <c r="AM22" s="120" t="e">
        <f aca="false">FI$31</f>
        <v>#NAME?</v>
      </c>
    </row>
    <row r="23" customFormat="false" ht="12.75" hidden="false" customHeight="false" outlineLevel="0" collapsed="false">
      <c r="A23" s="62" t="s">
        <v>181</v>
      </c>
      <c r="B23" s="120" t="e">
        <f aca="false">BM$31</f>
        <v>#NAME?</v>
      </c>
      <c r="C23" s="114"/>
      <c r="D23" s="120" t="e">
        <f aca="false">CU$31</f>
        <v>#NAME?</v>
      </c>
      <c r="E23" s="114"/>
      <c r="F23" s="120" t="e">
        <f aca="false">EC$31</f>
        <v>#NAME?</v>
      </c>
      <c r="G23" s="114"/>
      <c r="H23" s="120" t="e">
        <f aca="false">FK$31</f>
        <v>#NAME?</v>
      </c>
      <c r="K23" s="64" t="s">
        <v>87</v>
      </c>
      <c r="AM23" s="120" t="e">
        <f aca="false">FJ$31</f>
        <v>#NAME?</v>
      </c>
    </row>
    <row r="24" customFormat="false" ht="12.75" hidden="false" customHeight="false" outlineLevel="0" collapsed="false">
      <c r="A24" s="62" t="s">
        <v>182</v>
      </c>
      <c r="B24" s="120" t="e">
        <f aca="false">BN$31</f>
        <v>#NAME?</v>
      </c>
      <c r="C24" s="114"/>
      <c r="D24" s="120" t="e">
        <f aca="false">CV$31</f>
        <v>#NAME?</v>
      </c>
      <c r="E24" s="114"/>
      <c r="F24" s="120" t="e">
        <f aca="false">ED$31</f>
        <v>#NAME?</v>
      </c>
      <c r="G24" s="114"/>
      <c r="H24" s="120" t="e">
        <f aca="false">FL$31</f>
        <v>#NAME?</v>
      </c>
      <c r="K24" s="64" t="s">
        <v>100</v>
      </c>
      <c r="AM24" s="120" t="e">
        <f aca="false">FK$31</f>
        <v>#NAME?</v>
      </c>
    </row>
    <row r="25" customFormat="false" ht="12.75" hidden="false" customHeight="false" outlineLevel="0" collapsed="false">
      <c r="A25" s="62" t="s">
        <v>183</v>
      </c>
      <c r="B25" s="120" t="e">
        <f aca="false">BO$31</f>
        <v>#NAME?</v>
      </c>
      <c r="C25" s="114"/>
      <c r="D25" s="120" t="e">
        <f aca="false">CW$31</f>
        <v>#NAME?</v>
      </c>
      <c r="E25" s="114"/>
      <c r="F25" s="120" t="e">
        <f aca="false">EE$31</f>
        <v>#NAME?</v>
      </c>
      <c r="G25" s="114"/>
      <c r="H25" s="120" t="e">
        <f aca="false">FM$31</f>
        <v>#NAME?</v>
      </c>
      <c r="K25" s="64" t="s">
        <v>117</v>
      </c>
      <c r="AM25" s="120" t="e">
        <f aca="false">FL$31</f>
        <v>#NAME?</v>
      </c>
    </row>
    <row r="26" customFormat="false" ht="12.75" hidden="false" customHeight="false" outlineLevel="0" collapsed="false">
      <c r="A26" s="62" t="s">
        <v>184</v>
      </c>
      <c r="B26" s="120" t="e">
        <f aca="false">BP$31</f>
        <v>#NAME?</v>
      </c>
      <c r="C26" s="114"/>
      <c r="D26" s="120" t="e">
        <f aca="false">CX$31</f>
        <v>#NAME?</v>
      </c>
      <c r="E26" s="114"/>
      <c r="F26" s="120" t="e">
        <f aca="false">EF$31</f>
        <v>#NAME?</v>
      </c>
      <c r="G26" s="114"/>
      <c r="H26" s="120" t="e">
        <f aca="false">FN$31</f>
        <v>#NAME?</v>
      </c>
      <c r="K26" s="64"/>
      <c r="AM26" s="120" t="e">
        <f aca="false">FM$31</f>
        <v>#NAME?</v>
      </c>
    </row>
    <row r="27" customFormat="false" ht="12.75" hidden="false" customHeight="false" outlineLevel="0" collapsed="false">
      <c r="A27" s="62" t="s">
        <v>185</v>
      </c>
      <c r="B27" s="120" t="e">
        <f aca="false">BQ$31</f>
        <v>#NAME?</v>
      </c>
      <c r="C27" s="114"/>
      <c r="D27" s="120" t="e">
        <f aca="false">CY$31</f>
        <v>#NAME?</v>
      </c>
      <c r="E27" s="114"/>
      <c r="F27" s="120" t="e">
        <f aca="false">EG$31</f>
        <v>#NAME?</v>
      </c>
      <c r="G27" s="114"/>
      <c r="H27" s="120" t="e">
        <f aca="false">FO$31</f>
        <v>#NAME?</v>
      </c>
      <c r="K27" s="64"/>
      <c r="AM27" s="120" t="e">
        <f aca="false">FN$31</f>
        <v>#NAME?</v>
      </c>
    </row>
    <row r="28" customFormat="false" ht="12.75" hidden="false" customHeight="false" outlineLevel="0" collapsed="false">
      <c r="A28" s="62" t="s">
        <v>186</v>
      </c>
      <c r="B28" s="120" t="e">
        <f aca="false">BR$31</f>
        <v>#NAME?</v>
      </c>
      <c r="C28" s="114"/>
      <c r="D28" s="120" t="e">
        <f aca="false">CZ$31</f>
        <v>#NAME?</v>
      </c>
      <c r="E28" s="114"/>
      <c r="F28" s="120" t="e">
        <f aca="false">EH$31</f>
        <v>#NAME?</v>
      </c>
      <c r="G28" s="114"/>
      <c r="H28" s="120" t="e">
        <f aca="false">FP$31</f>
        <v>#NAME?</v>
      </c>
      <c r="K28" s="64"/>
      <c r="AM28" s="120" t="e">
        <f aca="false">FO$31</f>
        <v>#NAME?</v>
      </c>
    </row>
    <row r="29" customFormat="false" ht="12.75" hidden="false" customHeight="false" outlineLevel="0" collapsed="false">
      <c r="A29" s="62" t="s">
        <v>5</v>
      </c>
      <c r="B29" s="120" t="e">
        <f aca="false">BS$31</f>
        <v>#NAME?</v>
      </c>
      <c r="C29" s="114"/>
      <c r="D29" s="120" t="e">
        <f aca="false">DA$31</f>
        <v>#NAME?</v>
      </c>
      <c r="E29" s="114"/>
      <c r="F29" s="120" t="e">
        <f aca="false">EI$31</f>
        <v>#NAME?</v>
      </c>
      <c r="G29" s="114"/>
      <c r="H29" s="120" t="e">
        <f aca="false">FQ$31</f>
        <v>#NAME?</v>
      </c>
      <c r="K29" s="64"/>
      <c r="AM29" s="120" t="e">
        <f aca="false">FP$31</f>
        <v>#NAME?</v>
      </c>
    </row>
    <row r="30" customFormat="false" ht="12.75" hidden="false" customHeight="false" outlineLevel="0" collapsed="false">
      <c r="A30" s="62" t="s">
        <v>187</v>
      </c>
      <c r="B30" s="120" t="e">
        <f aca="false">BT$31</f>
        <v>#NAME?</v>
      </c>
      <c r="C30" s="114"/>
      <c r="D30" s="120" t="e">
        <f aca="false">DB$31</f>
        <v>#NAME?</v>
      </c>
      <c r="E30" s="114"/>
      <c r="F30" s="120" t="e">
        <f aca="false">EJ$31</f>
        <v>#NAME?</v>
      </c>
      <c r="G30" s="114"/>
      <c r="H30" s="120" t="e">
        <f aca="false">FR$31</f>
        <v>#NAME?</v>
      </c>
      <c r="AM30" s="120" t="e">
        <f aca="false">FQ$31</f>
        <v>#NAME?</v>
      </c>
    </row>
    <row r="31" customFormat="false" ht="12.75" hidden="false" customHeight="false" outlineLevel="0" collapsed="false">
      <c r="A31" s="62" t="s">
        <v>188</v>
      </c>
      <c r="B31" s="120" t="e">
        <f aca="false">BU$31</f>
        <v>#NAME?</v>
      </c>
      <c r="C31" s="10"/>
      <c r="D31" s="120" t="e">
        <f aca="false">DC$31</f>
        <v>#NAME?</v>
      </c>
      <c r="E31" s="10"/>
      <c r="F31" s="120" t="e">
        <f aca="false">EK$31</f>
        <v>#NAME?</v>
      </c>
      <c r="G31" s="10"/>
      <c r="H31" s="120" t="e">
        <f aca="false">FS$31</f>
        <v>#NAME?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K31" s="10"/>
      <c r="AM31" s="120" t="e">
        <f aca="false">FR$31</f>
        <v>#NAME?</v>
      </c>
      <c r="AP31" s="10"/>
      <c r="AQ31" s="45"/>
      <c r="AR31" s="1"/>
      <c r="AS31" s="1" t="n">
        <f aca="false">AS33/AP35</f>
        <v>5.46467086092715</v>
      </c>
      <c r="AT31" s="1" t="n">
        <f aca="false">AT33/AP35</f>
        <v>5.30147549668874</v>
      </c>
      <c r="AU31" s="10"/>
      <c r="AV31" s="11"/>
      <c r="AW31" s="29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23" t="e">
        <f aca="false">BK33/AP35</f>
        <v>#NAME?</v>
      </c>
      <c r="BL31" s="123" t="e">
        <f aca="false">BL33/AP35</f>
        <v>#NAME?</v>
      </c>
      <c r="BM31" s="123" t="e">
        <f aca="false">BM33/AP35</f>
        <v>#NAME?</v>
      </c>
      <c r="BN31" s="123" t="e">
        <f aca="false">BN33/AP35</f>
        <v>#NAME?</v>
      </c>
      <c r="BO31" s="123" t="e">
        <f aca="false">BO33/AP35</f>
        <v>#NAME?</v>
      </c>
      <c r="BP31" s="123" t="e">
        <f aca="false">BP33/AP35</f>
        <v>#NAME?</v>
      </c>
      <c r="BQ31" s="123" t="e">
        <f aca="false">BQ33/AP35</f>
        <v>#NAME?</v>
      </c>
      <c r="BR31" s="123" t="e">
        <f aca="false">BR33/AP35</f>
        <v>#NAME?</v>
      </c>
      <c r="BS31" s="123" t="e">
        <f aca="false">BS33/AP35</f>
        <v>#NAME?</v>
      </c>
      <c r="BT31" s="123" t="e">
        <f aca="false">BT33/AP35</f>
        <v>#NAME?</v>
      </c>
      <c r="BU31" s="123" t="e">
        <f aca="false">BU33/AP35</f>
        <v>#NAME?</v>
      </c>
      <c r="BV31" s="123" t="e">
        <f aca="false">BV33/AP35</f>
        <v>#NAME?</v>
      </c>
      <c r="BX31" s="10"/>
      <c r="BY31" s="45"/>
      <c r="BZ31" s="1"/>
      <c r="CA31" s="1" t="n">
        <f aca="false">CA33/BX35</f>
        <v>4.92328013245033</v>
      </c>
      <c r="CB31" s="1" t="n">
        <f aca="false">CB33/BX35</f>
        <v>5.30147549668874</v>
      </c>
      <c r="CC31" s="10"/>
      <c r="CD31" s="11"/>
      <c r="CE31" s="29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23" t="e">
        <f aca="false">CS33/BX35</f>
        <v>#NAME?</v>
      </c>
      <c r="CT31" s="123" t="e">
        <f aca="false">CT33/BX35</f>
        <v>#NAME?</v>
      </c>
      <c r="CU31" s="123" t="e">
        <f aca="false">CU33/BX35</f>
        <v>#NAME?</v>
      </c>
      <c r="CV31" s="123" t="e">
        <f aca="false">CV33/BX35</f>
        <v>#NAME?</v>
      </c>
      <c r="CW31" s="123" t="e">
        <f aca="false">CW33/BX35</f>
        <v>#NAME?</v>
      </c>
      <c r="CX31" s="123" t="e">
        <f aca="false">CX33/BX35</f>
        <v>#NAME?</v>
      </c>
      <c r="CY31" s="123" t="e">
        <f aca="false">CY33/BX35</f>
        <v>#NAME?</v>
      </c>
      <c r="CZ31" s="123" t="e">
        <f aca="false">CZ33/BX35</f>
        <v>#NAME?</v>
      </c>
      <c r="DA31" s="123" t="e">
        <f aca="false">DA33/BX35</f>
        <v>#NAME?</v>
      </c>
      <c r="DB31" s="123" t="e">
        <f aca="false">DB33/BX35</f>
        <v>#NAME?</v>
      </c>
      <c r="DC31" s="123" t="e">
        <f aca="false">DC33/BX35</f>
        <v>#NAME?</v>
      </c>
      <c r="DD31" s="123" t="e">
        <f aca="false">DD33/BX35</f>
        <v>#NAME?</v>
      </c>
      <c r="DF31" s="10"/>
      <c r="DG31" s="45"/>
      <c r="DH31" s="1"/>
      <c r="DI31" s="1" t="n">
        <f aca="false">DI33/DF35</f>
        <v>5.16639271523179</v>
      </c>
      <c r="DJ31" s="1" t="n">
        <f aca="false">DJ33/DF35</f>
        <v>5.30147549668874</v>
      </c>
      <c r="DK31" s="10"/>
      <c r="DL31" s="11"/>
      <c r="DM31" s="2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23" t="e">
        <f aca="false">EA33/DF35</f>
        <v>#NAME?</v>
      </c>
      <c r="EB31" s="123" t="e">
        <f aca="false">EB33/DF35</f>
        <v>#NAME?</v>
      </c>
      <c r="EC31" s="123" t="e">
        <f aca="false">EC33/DF35</f>
        <v>#NAME?</v>
      </c>
      <c r="ED31" s="123" t="e">
        <f aca="false">ED33/DF35</f>
        <v>#NAME?</v>
      </c>
      <c r="EE31" s="123" t="e">
        <f aca="false">EE33/DF35</f>
        <v>#NAME?</v>
      </c>
      <c r="EF31" s="123" t="e">
        <f aca="false">EF33/DF35</f>
        <v>#NAME?</v>
      </c>
      <c r="EG31" s="123" t="e">
        <f aca="false">EG33/DF35</f>
        <v>#NAME?</v>
      </c>
      <c r="EH31" s="123" t="e">
        <f aca="false">EH33/DF35</f>
        <v>#NAME?</v>
      </c>
      <c r="EI31" s="123" t="e">
        <f aca="false">EI33/DF35</f>
        <v>#NAME?</v>
      </c>
      <c r="EJ31" s="123" t="e">
        <f aca="false">EJ33/DF35</f>
        <v>#NAME?</v>
      </c>
      <c r="EK31" s="123" t="e">
        <f aca="false">EK33/DF35</f>
        <v>#NAME?</v>
      </c>
      <c r="EL31" s="123" t="e">
        <f aca="false">EL33/DF35</f>
        <v>#NAME?</v>
      </c>
      <c r="EN31" s="10"/>
      <c r="EO31" s="45"/>
      <c r="EP31" s="1"/>
      <c r="EQ31" s="1" t="n">
        <f aca="false">EQ33/EN35</f>
        <v>5.37553333333333</v>
      </c>
      <c r="ER31" s="1" t="n">
        <f aca="false">ER33/EN35</f>
        <v>5.18242222222222</v>
      </c>
      <c r="ES31" s="10"/>
      <c r="ET31" s="11"/>
      <c r="EU31" s="29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23" t="e">
        <f aca="false">FI33/EN35</f>
        <v>#NAME?</v>
      </c>
      <c r="FJ31" s="123" t="e">
        <f aca="false">FJ33/EN35</f>
        <v>#NAME?</v>
      </c>
      <c r="FK31" s="123" t="e">
        <f aca="false">FK33/EN35</f>
        <v>#NAME?</v>
      </c>
      <c r="FL31" s="123" t="e">
        <f aca="false">FL33/EN35</f>
        <v>#NAME?</v>
      </c>
      <c r="FM31" s="123" t="e">
        <f aca="false">FM33/EN35</f>
        <v>#NAME?</v>
      </c>
      <c r="FN31" s="123" t="e">
        <f aca="false">FN33/EN35</f>
        <v>#NAME?</v>
      </c>
      <c r="FO31" s="123" t="e">
        <f aca="false">FO33/EN35</f>
        <v>#NAME?</v>
      </c>
      <c r="FP31" s="123" t="e">
        <f aca="false">FP33/EN35</f>
        <v>#NAME?</v>
      </c>
      <c r="FQ31" s="123" t="e">
        <f aca="false">FQ33/EN35</f>
        <v>#NAME?</v>
      </c>
      <c r="FR31" s="123" t="e">
        <f aca="false">FR33/EN35</f>
        <v>#NAME?</v>
      </c>
      <c r="FS31" s="123" t="e">
        <f aca="false">FS33/EN35</f>
        <v>#NAME?</v>
      </c>
      <c r="FT31" s="123" t="e">
        <f aca="false">FT33/EN35</f>
        <v>#NAME?</v>
      </c>
    </row>
    <row r="32" customFormat="false" ht="12.75" hidden="false" customHeight="false" outlineLevel="0" collapsed="false">
      <c r="A32" s="62" t="s">
        <v>189</v>
      </c>
      <c r="B32" s="120" t="e">
        <f aca="false">BV$31</f>
        <v>#NAME?</v>
      </c>
      <c r="C32" s="10"/>
      <c r="D32" s="120" t="e">
        <f aca="false">DD$31</f>
        <v>#NAME?</v>
      </c>
      <c r="E32" s="10"/>
      <c r="F32" s="120" t="e">
        <f aca="false">EL$31</f>
        <v>#NAME?</v>
      </c>
      <c r="G32" s="10"/>
      <c r="H32" s="120" t="e">
        <f aca="false">FT$31</f>
        <v>#NAME?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K32" s="10"/>
      <c r="AM32" s="120" t="e">
        <f aca="false">FS$31</f>
        <v>#NAME?</v>
      </c>
      <c r="AP32" s="10"/>
      <c r="AQ32" s="10"/>
      <c r="AR32" s="125" t="n">
        <f aca="false">B6</f>
        <v>36831</v>
      </c>
      <c r="AS32" s="1"/>
      <c r="AT32" s="1"/>
      <c r="AU32" s="10"/>
      <c r="AV32" s="11"/>
      <c r="AW32" s="29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X32" s="10"/>
      <c r="BY32" s="10"/>
      <c r="BZ32" s="125" t="n">
        <f aca="false">D6</f>
        <v>36831</v>
      </c>
      <c r="CA32" s="1"/>
      <c r="CB32" s="1"/>
      <c r="CC32" s="10"/>
      <c r="CD32" s="11"/>
      <c r="CE32" s="29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F32" s="10"/>
      <c r="DG32" s="10"/>
      <c r="DH32" s="125" t="n">
        <f aca="false">F6</f>
        <v>36831</v>
      </c>
      <c r="DI32" s="1"/>
      <c r="DJ32" s="1"/>
      <c r="DK32" s="10"/>
      <c r="DL32" s="11"/>
      <c r="DM32" s="2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N32" s="10"/>
      <c r="EO32" s="10"/>
      <c r="EP32" s="125" t="n">
        <f aca="false">H6</f>
        <v>36892</v>
      </c>
      <c r="EQ32" s="1"/>
      <c r="ER32" s="1"/>
      <c r="ES32" s="10"/>
      <c r="ET32" s="11"/>
      <c r="EU32" s="29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</row>
    <row r="33" customFormat="false" ht="12.75" hidden="false" customHeight="false" outlineLevel="0" collapsed="false">
      <c r="A33" s="10"/>
      <c r="B33" s="152"/>
      <c r="C33" s="10"/>
      <c r="D33" s="152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29"/>
      <c r="AM33" s="36"/>
      <c r="AN33" s="130"/>
      <c r="AO33" s="30"/>
      <c r="AP33" s="10" t="s">
        <v>27</v>
      </c>
      <c r="AQ33" s="10"/>
      <c r="AR33" s="125" t="n">
        <f aca="false">B7</f>
        <v>36951</v>
      </c>
      <c r="AS33" s="33" t="n">
        <f aca="false">SUM(AS38:AS61)</f>
        <v>825.1653</v>
      </c>
      <c r="AT33" s="33" t="n">
        <f aca="false">SUM(AT38:AT61)</f>
        <v>800.5228</v>
      </c>
      <c r="AU33" s="10"/>
      <c r="AV33" s="11"/>
      <c r="AW33" s="32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 t="e">
        <f aca="false">SUM(BK38:BK61)</f>
        <v>#NAME?</v>
      </c>
      <c r="BL33" s="33" t="e">
        <f aca="false">SUM(BL38:BL61)</f>
        <v>#NAME?</v>
      </c>
      <c r="BM33" s="33" t="e">
        <f aca="false">SUM(BM38:BM61)</f>
        <v>#NAME?</v>
      </c>
      <c r="BN33" s="33" t="e">
        <f aca="false">SUM(BN38:BN61)</f>
        <v>#NAME?</v>
      </c>
      <c r="BO33" s="33" t="e">
        <f aca="false">SUM(BO38:BO61)</f>
        <v>#NAME?</v>
      </c>
      <c r="BP33" s="33" t="e">
        <f aca="false">SUM(BP38:BP61)</f>
        <v>#NAME?</v>
      </c>
      <c r="BQ33" s="33" t="e">
        <f aca="false">SUM(BQ38:BQ61)</f>
        <v>#NAME?</v>
      </c>
      <c r="BR33" s="33" t="e">
        <f aca="false">SUM(BR38:BR61)</f>
        <v>#NAME?</v>
      </c>
      <c r="BS33" s="33" t="e">
        <f aca="false">SUM(BS38:BS61)</f>
        <v>#NAME?</v>
      </c>
      <c r="BT33" s="33" t="e">
        <f aca="false">SUM(BT38:BT61)</f>
        <v>#NAME?</v>
      </c>
      <c r="BU33" s="33" t="e">
        <f aca="false">SUM(BU38:BU61)</f>
        <v>#NAME?</v>
      </c>
      <c r="BV33" s="33" t="e">
        <f aca="false">SUM(BV38:BV61)</f>
        <v>#NAME?</v>
      </c>
      <c r="BX33" s="10" t="s">
        <v>28</v>
      </c>
      <c r="BY33" s="10"/>
      <c r="BZ33" s="125" t="n">
        <f aca="false">D7</f>
        <v>36951</v>
      </c>
      <c r="CA33" s="33" t="n">
        <f aca="false">SUM(CA38:CA61)</f>
        <v>743.4153</v>
      </c>
      <c r="CB33" s="33" t="n">
        <f aca="false">SUM(CB38:CB61)</f>
        <v>800.5228</v>
      </c>
      <c r="CC33" s="10"/>
      <c r="CD33" s="11"/>
      <c r="CE33" s="32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 t="e">
        <f aca="false">SUM(CS38:CS61)</f>
        <v>#NAME?</v>
      </c>
      <c r="CT33" s="33" t="e">
        <f aca="false">SUM(CT38:CT61)</f>
        <v>#NAME?</v>
      </c>
      <c r="CU33" s="33" t="e">
        <f aca="false">SUM(CU38:CU61)</f>
        <v>#NAME?</v>
      </c>
      <c r="CV33" s="33" t="e">
        <f aca="false">SUM(CV38:CV61)</f>
        <v>#NAME?</v>
      </c>
      <c r="CW33" s="33" t="e">
        <f aca="false">SUM(CW38:CW61)</f>
        <v>#NAME?</v>
      </c>
      <c r="CX33" s="33" t="e">
        <f aca="false">SUM(CX38:CX61)</f>
        <v>#NAME?</v>
      </c>
      <c r="CY33" s="33" t="e">
        <f aca="false">SUM(CY38:CY61)</f>
        <v>#NAME?</v>
      </c>
      <c r="CZ33" s="33" t="e">
        <f aca="false">SUM(CZ38:CZ61)</f>
        <v>#NAME?</v>
      </c>
      <c r="DA33" s="33" t="e">
        <f aca="false">SUM(DA38:DA61)</f>
        <v>#NAME?</v>
      </c>
      <c r="DB33" s="33" t="e">
        <f aca="false">SUM(DB38:DB61)</f>
        <v>#NAME?</v>
      </c>
      <c r="DC33" s="33" t="e">
        <f aca="false">SUM(DC38:DC61)</f>
        <v>#NAME?</v>
      </c>
      <c r="DD33" s="33" t="e">
        <f aca="false">SUM(DD38:DD61)</f>
        <v>#NAME?</v>
      </c>
      <c r="DF33" s="10" t="s">
        <v>29</v>
      </c>
      <c r="DG33" s="10"/>
      <c r="DH33" s="125" t="n">
        <f aca="false">F7</f>
        <v>36951</v>
      </c>
      <c r="DI33" s="33" t="n">
        <f aca="false">SUM(DI38:DI61)</f>
        <v>780.1253</v>
      </c>
      <c r="DJ33" s="33" t="n">
        <f aca="false">SUM(DJ38:DJ61)</f>
        <v>800.5228</v>
      </c>
      <c r="DK33" s="10"/>
      <c r="DL33" s="11"/>
      <c r="DM33" s="32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 t="e">
        <f aca="false">SUM(EA38:EA61)</f>
        <v>#NAME?</v>
      </c>
      <c r="EB33" s="33" t="e">
        <f aca="false">SUM(EB38:EB61)</f>
        <v>#NAME?</v>
      </c>
      <c r="EC33" s="33" t="e">
        <f aca="false">SUM(EC38:EC61)</f>
        <v>#NAME?</v>
      </c>
      <c r="ED33" s="33" t="e">
        <f aca="false">SUM(ED38:ED61)</f>
        <v>#NAME?</v>
      </c>
      <c r="EE33" s="33" t="e">
        <f aca="false">SUM(EE38:EE61)</f>
        <v>#NAME?</v>
      </c>
      <c r="EF33" s="33" t="e">
        <f aca="false">SUM(EF38:EF61)</f>
        <v>#NAME?</v>
      </c>
      <c r="EG33" s="33" t="e">
        <f aca="false">SUM(EG38:EG61)</f>
        <v>#NAME?</v>
      </c>
      <c r="EH33" s="33" t="e">
        <f aca="false">SUM(EH38:EH61)</f>
        <v>#NAME?</v>
      </c>
      <c r="EI33" s="33" t="e">
        <f aca="false">SUM(EI38:EI61)</f>
        <v>#NAME?</v>
      </c>
      <c r="EJ33" s="33" t="e">
        <f aca="false">SUM(EJ38:EJ61)</f>
        <v>#NAME?</v>
      </c>
      <c r="EK33" s="33" t="e">
        <f aca="false">SUM(EK38:EK61)</f>
        <v>#NAME?</v>
      </c>
      <c r="EL33" s="33" t="e">
        <f aca="false">SUM(EL38:EL61)</f>
        <v>#NAME?</v>
      </c>
      <c r="EN33" s="10" t="s">
        <v>30</v>
      </c>
      <c r="EO33" s="10"/>
      <c r="EP33" s="125" t="n">
        <f aca="false">H7</f>
        <v>36951</v>
      </c>
      <c r="EQ33" s="33" t="n">
        <f aca="false">SUM(EQ38:EQ61)</f>
        <v>483.798</v>
      </c>
      <c r="ER33" s="33" t="n">
        <f aca="false">SUM(ER38:ER61)</f>
        <v>466.418</v>
      </c>
      <c r="ES33" s="10"/>
      <c r="ET33" s="11"/>
      <c r="EU33" s="32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 t="e">
        <f aca="false">SUM(FI38:FI61)</f>
        <v>#NAME?</v>
      </c>
      <c r="FJ33" s="33" t="e">
        <f aca="false">SUM(FJ38:FJ61)</f>
        <v>#NAME?</v>
      </c>
      <c r="FK33" s="33" t="e">
        <f aca="false">SUM(FK38:FK61)</f>
        <v>#NAME?</v>
      </c>
      <c r="FL33" s="33" t="e">
        <f aca="false">SUM(FL38:FL61)</f>
        <v>#NAME?</v>
      </c>
      <c r="FM33" s="33" t="e">
        <f aca="false">SUM(FM38:FM61)</f>
        <v>#NAME?</v>
      </c>
      <c r="FN33" s="33" t="e">
        <f aca="false">SUM(FN38:FN61)</f>
        <v>#NAME?</v>
      </c>
      <c r="FO33" s="33" t="e">
        <f aca="false">SUM(FO38:FO61)</f>
        <v>#NAME?</v>
      </c>
      <c r="FP33" s="33" t="e">
        <f aca="false">SUM(FP38:FP61)</f>
        <v>#NAME?</v>
      </c>
      <c r="FQ33" s="33" t="e">
        <f aca="false">SUM(FQ38:FQ61)</f>
        <v>#NAME?</v>
      </c>
      <c r="FR33" s="33" t="e">
        <f aca="false">SUM(FR38:FR61)</f>
        <v>#NAME?</v>
      </c>
      <c r="FS33" s="33" t="e">
        <f aca="false">SUM(FS38:FS61)</f>
        <v>#NAME?</v>
      </c>
      <c r="FT33" s="33" t="e">
        <f aca="false">SUM(FT38:FT61)</f>
        <v>#NAME?</v>
      </c>
    </row>
    <row r="34" customFormat="false" ht="12.75" hidden="false" customHeight="false" outlineLevel="0" collapsed="false">
      <c r="A34" s="10"/>
      <c r="B34" s="144" t="e">
        <f aca="false">B21-D21</f>
        <v>#NAME?</v>
      </c>
      <c r="C34" s="10"/>
      <c r="D34" s="2"/>
      <c r="E34" s="10"/>
      <c r="F34" s="144" t="e">
        <f aca="false">F21-H21</f>
        <v>#NAME?</v>
      </c>
      <c r="G34" s="10"/>
      <c r="H34" s="144"/>
      <c r="I34" s="10"/>
      <c r="J34" s="10"/>
      <c r="K34" s="2" t="s">
        <v>7</v>
      </c>
      <c r="L34" s="10" t="str">
        <f aca="false">B3</f>
        <v>IF-NTHWST/CANBR</v>
      </c>
      <c r="M34" s="10"/>
      <c r="N34" s="10"/>
      <c r="O34" s="10"/>
      <c r="P34" s="10"/>
      <c r="Q34" s="10"/>
      <c r="R34" s="2" t="s">
        <v>8</v>
      </c>
      <c r="S34" s="10" t="str">
        <f aca="false">D3</f>
        <v>IF-NWPL_ROCKY_M</v>
      </c>
      <c r="T34" s="10"/>
      <c r="U34" s="10"/>
      <c r="V34" s="10"/>
      <c r="W34" s="10"/>
      <c r="X34" s="10"/>
      <c r="Y34" s="2" t="s">
        <v>143</v>
      </c>
      <c r="Z34" s="10" t="str">
        <f aca="false">F3</f>
        <v>IF-PAN/TX/OK</v>
      </c>
      <c r="AA34" s="10"/>
      <c r="AB34" s="10"/>
      <c r="AC34" s="10"/>
      <c r="AD34" s="10"/>
      <c r="AE34" s="10"/>
      <c r="AF34" s="2" t="s">
        <v>144</v>
      </c>
      <c r="AG34" s="10" t="str">
        <f aca="false">H3</f>
        <v>NGI/CHI. GATE</v>
      </c>
      <c r="AH34" s="10"/>
      <c r="AI34" s="10"/>
      <c r="AJ34" s="10"/>
      <c r="AK34" s="10"/>
      <c r="AM34" s="131"/>
      <c r="AP34" s="10"/>
      <c r="AQ34" s="10"/>
      <c r="AR34" s="1"/>
      <c r="AS34" s="1"/>
      <c r="AT34" s="1"/>
      <c r="AU34" s="10"/>
      <c r="AV34" s="1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X34" s="10"/>
      <c r="BY34" s="10"/>
      <c r="BZ34" s="1"/>
      <c r="CA34" s="1"/>
      <c r="CB34" s="1"/>
      <c r="CC34" s="10"/>
      <c r="CD34" s="1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DF34" s="10"/>
      <c r="DG34" s="10"/>
      <c r="DH34" s="1"/>
      <c r="DI34" s="1"/>
      <c r="DJ34" s="1"/>
      <c r="DK34" s="10"/>
      <c r="DL34" s="1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N34" s="10"/>
      <c r="EO34" s="10"/>
      <c r="EP34" s="1"/>
      <c r="EQ34" s="1"/>
      <c r="ER34" s="1"/>
      <c r="ES34" s="10"/>
      <c r="ET34" s="1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</row>
    <row r="35" customFormat="false" ht="12.75" hidden="false" customHeight="false" outlineLevel="0" collapsed="false">
      <c r="A35" s="10"/>
      <c r="B35" s="132"/>
      <c r="C35" s="132"/>
      <c r="D35" s="64"/>
      <c r="AM35" s="127"/>
      <c r="AP35" s="35" t="n">
        <f aca="false">SUM(AP38:AP61)</f>
        <v>151</v>
      </c>
      <c r="AQ35" s="35"/>
      <c r="AR35" s="1"/>
      <c r="AS35" s="1"/>
      <c r="AT35" s="1"/>
      <c r="AU35" s="1"/>
      <c r="AV35" s="11"/>
      <c r="AW35" s="32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X35" s="35" t="n">
        <f aca="false">SUM(BX38:BX61)</f>
        <v>151</v>
      </c>
      <c r="BY35" s="35"/>
      <c r="BZ35" s="1"/>
      <c r="CA35" s="1"/>
      <c r="CB35" s="1"/>
      <c r="CC35" s="1"/>
      <c r="CD35" s="11"/>
      <c r="CE35" s="32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DF35" s="35" t="n">
        <f aca="false">SUM(DF38:DF61)</f>
        <v>151</v>
      </c>
      <c r="DG35" s="35"/>
      <c r="DH35" s="1"/>
      <c r="DI35" s="1"/>
      <c r="DJ35" s="1"/>
      <c r="DK35" s="1"/>
      <c r="DL35" s="11"/>
      <c r="DM35" s="32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N35" s="35" t="n">
        <f aca="false">SUM(EN38:EN61)</f>
        <v>90</v>
      </c>
      <c r="EO35" s="35"/>
      <c r="EP35" s="1"/>
      <c r="EQ35" s="1"/>
      <c r="ER35" s="1"/>
      <c r="ES35" s="1"/>
      <c r="ET35" s="11"/>
      <c r="EU35" s="32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</row>
    <row r="36" customFormat="false" ht="13.5" hidden="false" customHeight="false" outlineLevel="0" collapsed="false">
      <c r="B36" s="134"/>
      <c r="C36" s="13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29"/>
      <c r="AN36" s="10"/>
      <c r="AO36" s="10"/>
      <c r="AQ36" s="1"/>
      <c r="AR36" s="1"/>
      <c r="AS36" s="23" t="s">
        <v>6</v>
      </c>
      <c r="AT36" s="23" t="s">
        <v>154</v>
      </c>
      <c r="AU36" s="1" t="s">
        <v>190</v>
      </c>
      <c r="AV36" s="1" t="s">
        <v>191</v>
      </c>
      <c r="AW36" s="10" t="s">
        <v>192</v>
      </c>
      <c r="AX36" s="23" t="s">
        <v>1</v>
      </c>
      <c r="AY36" s="23" t="s">
        <v>180</v>
      </c>
      <c r="AZ36" s="23" t="s">
        <v>181</v>
      </c>
      <c r="BA36" s="23" t="s">
        <v>182</v>
      </c>
      <c r="BB36" s="23" t="s">
        <v>183</v>
      </c>
      <c r="BC36" s="23" t="s">
        <v>184</v>
      </c>
      <c r="BD36" s="23" t="s">
        <v>185</v>
      </c>
      <c r="BE36" s="23" t="s">
        <v>186</v>
      </c>
      <c r="BF36" s="23" t="s">
        <v>5</v>
      </c>
      <c r="BG36" s="23" t="s">
        <v>187</v>
      </c>
      <c r="BH36" s="23" t="s">
        <v>188</v>
      </c>
      <c r="BI36" s="23" t="s">
        <v>189</v>
      </c>
      <c r="BJ36" s="23"/>
      <c r="BK36" s="23" t="s">
        <v>1</v>
      </c>
      <c r="BL36" s="23" t="s">
        <v>180</v>
      </c>
      <c r="BM36" s="23" t="s">
        <v>181</v>
      </c>
      <c r="BN36" s="23" t="s">
        <v>182</v>
      </c>
      <c r="BO36" s="23" t="s">
        <v>183</v>
      </c>
      <c r="BP36" s="23" t="s">
        <v>184</v>
      </c>
      <c r="BQ36" s="23" t="s">
        <v>185</v>
      </c>
      <c r="BR36" s="23" t="s">
        <v>186</v>
      </c>
      <c r="BS36" s="23" t="s">
        <v>5</v>
      </c>
      <c r="BT36" s="23" t="s">
        <v>187</v>
      </c>
      <c r="BU36" s="23" t="s">
        <v>188</v>
      </c>
      <c r="BV36" s="23" t="s">
        <v>189</v>
      </c>
      <c r="BY36" s="1"/>
      <c r="BZ36" s="1"/>
      <c r="CA36" s="23" t="s">
        <v>6</v>
      </c>
      <c r="CB36" s="23" t="s">
        <v>154</v>
      </c>
      <c r="CC36" s="1" t="s">
        <v>190</v>
      </c>
      <c r="CD36" s="1" t="s">
        <v>191</v>
      </c>
      <c r="CE36" s="10" t="s">
        <v>192</v>
      </c>
      <c r="CF36" s="23" t="s">
        <v>1</v>
      </c>
      <c r="CG36" s="23" t="s">
        <v>180</v>
      </c>
      <c r="CH36" s="23" t="s">
        <v>181</v>
      </c>
      <c r="CI36" s="23" t="s">
        <v>182</v>
      </c>
      <c r="CJ36" s="23" t="s">
        <v>183</v>
      </c>
      <c r="CK36" s="23" t="s">
        <v>184</v>
      </c>
      <c r="CL36" s="23" t="s">
        <v>185</v>
      </c>
      <c r="CM36" s="23" t="s">
        <v>186</v>
      </c>
      <c r="CN36" s="23" t="s">
        <v>5</v>
      </c>
      <c r="CO36" s="23" t="s">
        <v>187</v>
      </c>
      <c r="CP36" s="23" t="s">
        <v>188</v>
      </c>
      <c r="CQ36" s="23" t="s">
        <v>189</v>
      </c>
      <c r="CR36" s="23"/>
      <c r="CS36" s="23" t="s">
        <v>1</v>
      </c>
      <c r="CT36" s="23" t="s">
        <v>180</v>
      </c>
      <c r="CU36" s="23" t="s">
        <v>181</v>
      </c>
      <c r="CV36" s="23" t="s">
        <v>182</v>
      </c>
      <c r="CW36" s="23" t="s">
        <v>183</v>
      </c>
      <c r="CX36" s="23" t="s">
        <v>184</v>
      </c>
      <c r="CY36" s="23" t="s">
        <v>185</v>
      </c>
      <c r="CZ36" s="23" t="s">
        <v>186</v>
      </c>
      <c r="DA36" s="23" t="s">
        <v>5</v>
      </c>
      <c r="DB36" s="23" t="s">
        <v>187</v>
      </c>
      <c r="DC36" s="23" t="s">
        <v>188</v>
      </c>
      <c r="DD36" s="23" t="s">
        <v>189</v>
      </c>
      <c r="DG36" s="1"/>
      <c r="DH36" s="1"/>
      <c r="DI36" s="23" t="s">
        <v>6</v>
      </c>
      <c r="DJ36" s="23" t="s">
        <v>154</v>
      </c>
      <c r="DK36" s="1" t="s">
        <v>190</v>
      </c>
      <c r="DL36" s="1" t="s">
        <v>191</v>
      </c>
      <c r="DM36" s="10" t="s">
        <v>192</v>
      </c>
      <c r="DN36" s="23" t="s">
        <v>1</v>
      </c>
      <c r="DO36" s="23" t="s">
        <v>180</v>
      </c>
      <c r="DP36" s="23" t="s">
        <v>181</v>
      </c>
      <c r="DQ36" s="23" t="s">
        <v>182</v>
      </c>
      <c r="DR36" s="23" t="s">
        <v>183</v>
      </c>
      <c r="DS36" s="23" t="s">
        <v>184</v>
      </c>
      <c r="DT36" s="23" t="s">
        <v>185</v>
      </c>
      <c r="DU36" s="23" t="s">
        <v>186</v>
      </c>
      <c r="DV36" s="23" t="s">
        <v>5</v>
      </c>
      <c r="DW36" s="23" t="s">
        <v>187</v>
      </c>
      <c r="DX36" s="23" t="s">
        <v>188</v>
      </c>
      <c r="DY36" s="23" t="s">
        <v>189</v>
      </c>
      <c r="DZ36" s="23"/>
      <c r="EA36" s="23" t="s">
        <v>1</v>
      </c>
      <c r="EB36" s="23" t="s">
        <v>180</v>
      </c>
      <c r="EC36" s="23" t="s">
        <v>181</v>
      </c>
      <c r="ED36" s="23" t="s">
        <v>182</v>
      </c>
      <c r="EE36" s="23" t="s">
        <v>183</v>
      </c>
      <c r="EF36" s="23" t="s">
        <v>184</v>
      </c>
      <c r="EG36" s="23" t="s">
        <v>185</v>
      </c>
      <c r="EH36" s="23" t="s">
        <v>186</v>
      </c>
      <c r="EI36" s="23" t="s">
        <v>5</v>
      </c>
      <c r="EJ36" s="23" t="s">
        <v>187</v>
      </c>
      <c r="EK36" s="23" t="s">
        <v>188</v>
      </c>
      <c r="EL36" s="23" t="s">
        <v>189</v>
      </c>
      <c r="EO36" s="1"/>
      <c r="EP36" s="1"/>
      <c r="EQ36" s="23" t="s">
        <v>6</v>
      </c>
      <c r="ER36" s="23" t="s">
        <v>154</v>
      </c>
      <c r="ES36" s="1" t="s">
        <v>190</v>
      </c>
      <c r="ET36" s="1" t="s">
        <v>191</v>
      </c>
      <c r="EU36" s="10" t="s">
        <v>192</v>
      </c>
      <c r="EV36" s="23" t="s">
        <v>1</v>
      </c>
      <c r="EW36" s="23" t="s">
        <v>180</v>
      </c>
      <c r="EX36" s="23" t="s">
        <v>181</v>
      </c>
      <c r="EY36" s="23" t="s">
        <v>182</v>
      </c>
      <c r="EZ36" s="23" t="s">
        <v>183</v>
      </c>
      <c r="FA36" s="23" t="s">
        <v>184</v>
      </c>
      <c r="FB36" s="23" t="s">
        <v>185</v>
      </c>
      <c r="FC36" s="23" t="s">
        <v>186</v>
      </c>
      <c r="FD36" s="23" t="s">
        <v>5</v>
      </c>
      <c r="FE36" s="23" t="s">
        <v>187</v>
      </c>
      <c r="FF36" s="23" t="s">
        <v>188</v>
      </c>
      <c r="FG36" s="23" t="s">
        <v>189</v>
      </c>
      <c r="FH36" s="23"/>
      <c r="FI36" s="23" t="s">
        <v>1</v>
      </c>
      <c r="FJ36" s="23" t="s">
        <v>180</v>
      </c>
      <c r="FK36" s="23" t="s">
        <v>181</v>
      </c>
      <c r="FL36" s="23" t="s">
        <v>182</v>
      </c>
      <c r="FM36" s="23" t="s">
        <v>183</v>
      </c>
      <c r="FN36" s="23" t="s">
        <v>184</v>
      </c>
      <c r="FO36" s="23" t="s">
        <v>185</v>
      </c>
      <c r="FP36" s="23" t="s">
        <v>186</v>
      </c>
      <c r="FQ36" s="23" t="s">
        <v>5</v>
      </c>
      <c r="FR36" s="23" t="s">
        <v>187</v>
      </c>
      <c r="FS36" s="23" t="s">
        <v>188</v>
      </c>
      <c r="FT36" s="23" t="s">
        <v>189</v>
      </c>
    </row>
    <row r="37" customFormat="false" ht="14.25" hidden="false" customHeight="false" outlineLevel="0" collapsed="false">
      <c r="A37" s="37" t="s">
        <v>0</v>
      </c>
      <c r="B37" s="37" t="s">
        <v>49</v>
      </c>
      <c r="C37" s="37" t="s">
        <v>155</v>
      </c>
      <c r="D37" s="37" t="s">
        <v>51</v>
      </c>
      <c r="E37" s="37" t="s">
        <v>11</v>
      </c>
      <c r="F37" s="37" t="s">
        <v>22</v>
      </c>
      <c r="G37" s="37"/>
      <c r="H37" s="37"/>
      <c r="I37" s="37"/>
      <c r="J37" s="38"/>
      <c r="K37" s="37" t="s">
        <v>51</v>
      </c>
      <c r="L37" s="37" t="s">
        <v>51</v>
      </c>
      <c r="M37" s="37" t="s">
        <v>11</v>
      </c>
      <c r="N37" s="37" t="s">
        <v>11</v>
      </c>
      <c r="O37" s="37" t="s">
        <v>193</v>
      </c>
      <c r="P37" s="37" t="s">
        <v>9</v>
      </c>
      <c r="Q37" s="0"/>
      <c r="R37" s="37" t="s">
        <v>51</v>
      </c>
      <c r="S37" s="37" t="s">
        <v>51</v>
      </c>
      <c r="T37" s="37" t="s">
        <v>11</v>
      </c>
      <c r="U37" s="37" t="s">
        <v>11</v>
      </c>
      <c r="V37" s="37" t="s">
        <v>193</v>
      </c>
      <c r="W37" s="37" t="s">
        <v>9</v>
      </c>
      <c r="X37" s="38"/>
      <c r="Y37" s="37" t="s">
        <v>51</v>
      </c>
      <c r="Z37" s="37" t="s">
        <v>51</v>
      </c>
      <c r="AA37" s="37" t="s">
        <v>11</v>
      </c>
      <c r="AB37" s="37" t="s">
        <v>11</v>
      </c>
      <c r="AC37" s="37" t="s">
        <v>193</v>
      </c>
      <c r="AD37" s="37" t="s">
        <v>9</v>
      </c>
      <c r="AE37" s="38"/>
      <c r="AF37" s="37" t="s">
        <v>51</v>
      </c>
      <c r="AG37" s="37" t="s">
        <v>51</v>
      </c>
      <c r="AH37" s="37" t="s">
        <v>11</v>
      </c>
      <c r="AI37" s="37" t="s">
        <v>11</v>
      </c>
      <c r="AJ37" s="37" t="s">
        <v>193</v>
      </c>
      <c r="AK37" s="37" t="s">
        <v>9</v>
      </c>
      <c r="AM37" s="37" t="s">
        <v>21</v>
      </c>
      <c r="AN37" s="10"/>
      <c r="AP37" s="1" t="s">
        <v>166</v>
      </c>
      <c r="AQ37" s="1" t="s">
        <v>194</v>
      </c>
      <c r="AR37" s="1" t="s">
        <v>195</v>
      </c>
      <c r="AS37" s="1"/>
      <c r="AT37" s="11"/>
      <c r="AU37" s="1"/>
      <c r="AV37" s="1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"/>
      <c r="BL37" s="1"/>
      <c r="BM37" s="1"/>
      <c r="BN37" s="1"/>
      <c r="BO37" s="1"/>
      <c r="BX37" s="1" t="s">
        <v>166</v>
      </c>
      <c r="BY37" s="1" t="s">
        <v>194</v>
      </c>
      <c r="BZ37" s="1" t="s">
        <v>195</v>
      </c>
      <c r="CA37" s="1"/>
      <c r="CB37" s="11"/>
      <c r="CC37" s="1"/>
      <c r="CD37" s="1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"/>
      <c r="CT37" s="1"/>
      <c r="CU37" s="1"/>
      <c r="CV37" s="1"/>
      <c r="CW37" s="1"/>
      <c r="DF37" s="1" t="s">
        <v>166</v>
      </c>
      <c r="DG37" s="1" t="s">
        <v>194</v>
      </c>
      <c r="DH37" s="1" t="s">
        <v>195</v>
      </c>
      <c r="DI37" s="1"/>
      <c r="DJ37" s="11"/>
      <c r="DK37" s="1"/>
      <c r="DL37" s="1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"/>
      <c r="EB37" s="1"/>
      <c r="EC37" s="1"/>
      <c r="ED37" s="1"/>
      <c r="EE37" s="1"/>
      <c r="EN37" s="1" t="s">
        <v>166</v>
      </c>
      <c r="EO37" s="1" t="s">
        <v>194</v>
      </c>
      <c r="EP37" s="1" t="s">
        <v>195</v>
      </c>
      <c r="EQ37" s="1"/>
      <c r="ER37" s="11"/>
      <c r="ES37" s="1"/>
      <c r="ET37" s="1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"/>
      <c r="FJ37" s="1"/>
      <c r="FK37" s="1"/>
      <c r="FL37" s="1"/>
      <c r="FM37" s="1"/>
    </row>
    <row r="38" customFormat="false" ht="13.5" hidden="false" customHeight="false" outlineLevel="0" collapsed="false">
      <c r="A38" s="48" t="n">
        <v>36800</v>
      </c>
      <c r="B38" s="40" t="n">
        <f aca="false">VLOOKUP(A38,STRADDLE,5,FALSE())</f>
        <v>5.24</v>
      </c>
      <c r="C38" s="4" t="n">
        <f aca="false">VLOOKUP(A38,STRADDLE,8,FALSE())</f>
        <v>0.48</v>
      </c>
      <c r="D38" s="40"/>
      <c r="E38" s="131"/>
      <c r="F38" s="136" t="n">
        <f aca="false">VLOOKUP(A38,expiration,2,FALSE())-$B$2</f>
        <v>-9130</v>
      </c>
      <c r="G38" s="4"/>
      <c r="H38" s="4"/>
      <c r="I38" s="41"/>
      <c r="J38" s="154"/>
      <c r="K38" s="40" t="n">
        <f aca="false">IF($B$3="NYMEX",0,VLOOKUP($A38,curvesettle,HLOOKUP($B$3,curvesettle,2,FALSE()),FALSE()))</f>
        <v>-0.43</v>
      </c>
      <c r="L38" s="40" t="n">
        <f aca="false">IF($B$4="NYMEX",0,VLOOKUP($A38,curvesettle,HLOOKUP($B$4,curvesettle,2,FALSE()),FALSE()))</f>
        <v>0</v>
      </c>
      <c r="M38" s="131" t="n">
        <f aca="false">IF(ISNUMBER(VLOOKUP($A38,VOLCURVES,HLOOKUP($B$3,VOLCURVES,2,FALSE()),FALSE())),VLOOKUP($A38,VOLCURVES,HLOOKUP($B$3,VOLCURVES,2,FALSE()),FALSE()),1)</f>
        <v>1.02</v>
      </c>
      <c r="N38" s="131" t="n">
        <f aca="false">IF(ISNUMBER(VLOOKUP($A38,VOLCURVES,HLOOKUP($B$4,VOLCURVES,2,FALSE()),FALSE())),VLOOKUP($A38,VOLCURVES,HLOOKUP($B$4,VOLCURVES,2,FALSE()),FALSE()),1)</f>
        <v>1</v>
      </c>
      <c r="O38" s="131" t="n">
        <f aca="false">IF(ISNUMBER(VLOOKUP($A38,CORETABLE,HLOOKUP($B$3,CORETABLE,2,FALSE()),FALSE())),VLOOKUP($A38,CORETABLE,HLOOKUP($B$3,CORETABLE,2,FALSE()),FALSE()),0.99)</f>
        <v>0.84</v>
      </c>
      <c r="P38" s="155" t="n">
        <f aca="false">B$18</f>
        <v>0.3</v>
      </c>
      <c r="Q38" s="155"/>
      <c r="R38" s="40" t="n">
        <f aca="false">IF($D$3="NYMEX",0,VLOOKUP($A38,curvesettle,HLOOKUP($D$3,curvesettle,2,FALSE()),FALSE()))</f>
        <v>-0.7775</v>
      </c>
      <c r="S38" s="40" t="n">
        <f aca="false">IF($D$4="NYMEX",0,VLOOKUP($A38,curvesettle,HLOOKUP($D$4,curvesettle,2,FALSE()),FALSE()))</f>
        <v>0</v>
      </c>
      <c r="T38" s="131" t="n">
        <f aca="false">IF(ISNUMBER(VLOOKUP($A38,VOLCURVES,HLOOKUP($D$3,VOLCURVES,2,FALSE()),FALSE())),VLOOKUP($A38,VOLCURVES,HLOOKUP($D$3,VOLCURVES,2,FALSE()),FALSE()),1)</f>
        <v>0.96</v>
      </c>
      <c r="U38" s="131" t="n">
        <f aca="false">IF(ISNUMBER(VLOOKUP($A38,VOLCURVES,HLOOKUP($D$4,VOLCURVES,2,FALSE()),FALSE())),VLOOKUP($A38,VOLCURVES,HLOOKUP($D$4,VOLCURVES,2,FALSE()),FALSE()),1)</f>
        <v>1</v>
      </c>
      <c r="V38" s="131" t="n">
        <f aca="false">IF(ISNUMBER(VLOOKUP($A38,CORETABLE,HLOOKUP($D$3,CORETABLE,2,FALSE()),FALSE())),VLOOKUP($A38,CORETABLE,HLOOKUP($D$3,CORETABLE,2,FALSE()),FALSE()),0.99)</f>
        <v>0.84</v>
      </c>
      <c r="W38" s="155" t="n">
        <f aca="false">D$18</f>
        <v>-0.35</v>
      </c>
      <c r="X38" s="131"/>
      <c r="Y38" s="40" t="n">
        <f aca="false">IF($F$3="NYMEX",0,VLOOKUP($A38,curvesettle,HLOOKUP($F$3,curvesettle,2,FALSE()),FALSE()))</f>
        <v>-0.115</v>
      </c>
      <c r="Z38" s="40" t="n">
        <f aca="false">IF($F$4="NYMEX",0,VLOOKUP($A38,curvesettle,HLOOKUP($F$4,curvesettle,2,FALSE()),FALSE()))</f>
        <v>0</v>
      </c>
      <c r="AA38" s="131" t="n">
        <f aca="false">IF(ISNUMBER(VLOOKUP($A38,VOLCURVES,HLOOKUP($F$3,VOLCURVES,2,FALSE()),FALSE())),VLOOKUP($A38,VOLCURVES,HLOOKUP($F$3,VOLCURVES,2,FALSE()),FALSE()),1)</f>
        <v>1</v>
      </c>
      <c r="AB38" s="131" t="n">
        <f aca="false">IF(ISNUMBER(VLOOKUP($A38,VOLCURVES,HLOOKUP($F$4,VOLCURVES,2,FALSE()),FALSE())),VLOOKUP($A38,VOLCURVES,HLOOKUP($F$4,VOLCURVES,2,FALSE()),FALSE()),1)</f>
        <v>1</v>
      </c>
      <c r="AC38" s="131" t="n">
        <f aca="false">IF(ISNUMBER(VLOOKUP($A38,CORETABLE,HLOOKUP($F$3,CORETABLE,2,FALSE()),FALSE())),VLOOKUP($A38,CORETABLE,HLOOKUP($F$3,CORETABLE,2,FALSE()),FALSE()),1)</f>
        <v>0.995</v>
      </c>
      <c r="AD38" s="155" t="n">
        <f aca="false">F$18</f>
        <v>-0.2</v>
      </c>
      <c r="AE38" s="131"/>
      <c r="AF38" s="40" t="n">
        <f aca="false">IF($H$3="NYMEX",0,VLOOKUP($A38,curvesettle,HLOOKUP($H$3,curvesettle,2,FALSE()),FALSE()))</f>
        <v>0.115</v>
      </c>
      <c r="AG38" s="40" t="n">
        <f aca="false">IF($H$4="NYMEX",0,VLOOKUP($A38,curvesettle,HLOOKUP($H$4,curvesettle,2,FALSE()),FALSE()))</f>
        <v>0</v>
      </c>
      <c r="AH38" s="131" t="n">
        <f aca="false">IF(ISNUMBER(VLOOKUP($A38,VOLCURVES,HLOOKUP($H$3,VOLCURVES,2,FALSE()),FALSE())),VLOOKUP($A38,VOLCURVES,HLOOKUP($H$3,VOLCURVES,2,FALSE()),FALSE()),1)</f>
        <v>1</v>
      </c>
      <c r="AI38" s="131" t="n">
        <f aca="false">IF(ISNUMBER(VLOOKUP($A38,VOLCURVES,HLOOKUP($H$4,VOLCURVES,2,FALSE()),FALSE())),VLOOKUP($A38,VOLCURVES,HLOOKUP($H$4,VOLCURVES,2,FALSE()),FALSE()),1)</f>
        <v>1</v>
      </c>
      <c r="AJ38" s="131" t="n">
        <f aca="false">IF(ISNUMBER(VLOOKUP($A38,CORETABLE,HLOOKUP($H$3,CORETABLE,2,FALSE()),FALSE())),VLOOKUP($A38,CORETABLE,HLOOKUP($H$3,CORETABLE,2,FALSE()),FALSE()),1)</f>
        <v>0.994071440191916</v>
      </c>
      <c r="AK38" s="155" t="n">
        <f aca="false">H$18</f>
        <v>0.2</v>
      </c>
      <c r="AM38" s="4" t="n">
        <f aca="false">VLOOKUP($A38,STRADDLE,12,FALSE())</f>
        <v>0.067720515824946</v>
      </c>
      <c r="AN38" s="43" t="n">
        <f aca="false">A39-A38</f>
        <v>31</v>
      </c>
      <c r="AP38" s="9" t="n">
        <f aca="false">IF($A38&gt;=AR$32,IF($A38&lt;=AR$33,$AN38,0),0)</f>
        <v>0</v>
      </c>
      <c r="AQ38" s="123" t="n">
        <f aca="false">$B38+$K38+$B$12</f>
        <v>4.7775</v>
      </c>
      <c r="AR38" s="123" t="n">
        <f aca="false">$B38+$L38+$B$13</f>
        <v>5.24</v>
      </c>
      <c r="AS38" s="123" t="n">
        <f aca="false">AQ38*AP38</f>
        <v>0</v>
      </c>
      <c r="AT38" s="123" t="n">
        <f aca="false">AR38*AP38</f>
        <v>0</v>
      </c>
      <c r="AU38" s="156" t="n">
        <f aca="false">($C38*$M38)+$B$14</f>
        <v>0.4896</v>
      </c>
      <c r="AV38" s="156" t="n">
        <f aca="false">($C38*$N38)+$B$15</f>
        <v>0.48</v>
      </c>
      <c r="AW38" s="131" t="n">
        <f aca="false">O38+B$16</f>
        <v>0.84</v>
      </c>
      <c r="AX38" s="157" t="n">
        <f aca="false">IF(AP38=0,0,SPRDOPT(AQ38,AR38,$P38,$AM38,AU38,AV38,AW38,$F38,$B$19,0))</f>
        <v>0</v>
      </c>
      <c r="AY38" s="157" t="e">
        <f aca="false">IF(AQ38=0,0,SPRDOPT(AQ38,AR38,$P38,$AM38,AU38,AV38,AW38,$F38,$B$19,1))</f>
        <v>#NAME?</v>
      </c>
      <c r="AZ38" s="157" t="e">
        <f aca="false">IF(AR38=0,0,SPRDOPT(AQ38,AR38,$P38,$AM38,AU38,AV38,AW38,$F38,$B$19,2))</f>
        <v>#NAME?</v>
      </c>
      <c r="BA38" s="157" t="n">
        <f aca="false">IF(AS38=0,0,SPRDOPT(AQ38,AR38,$P38,$AM38,AU38,AV38,AW38,$F38,$B$19,3)/100)</f>
        <v>0</v>
      </c>
      <c r="BB38" s="157" t="n">
        <f aca="false">IF(AT38=0,0,SPRDOPT(AQ38,AR38,$P38,$AM38,AU38,AV38,AW38,$F38,$B$19,4)/100)</f>
        <v>0</v>
      </c>
      <c r="BC38" s="157" t="e">
        <f aca="false">IF(AU38=0,0,SPRDOPT(AQ38,AR38,$P38,$AM38,AU38,AV38,AW38,$F38,$B$19,5)/100)</f>
        <v>#NAME?</v>
      </c>
      <c r="BD38" s="157" t="e">
        <f aca="false">IF(AV38=0,0,SPRDOPT(AQ38,AR38,$P38,$AM38,AU38,AV38,AW38,$F38,$B$19,6)/100)</f>
        <v>#NAME?</v>
      </c>
      <c r="BE38" s="157" t="e">
        <f aca="false">IF(AW38=0,0,SPRDOPT(AQ38,AR38,$P38,$AM38,AU38,AV38,AW38,$F38,$B$19,7)/100)</f>
        <v>#NAME?</v>
      </c>
      <c r="BF38" s="157" t="n">
        <f aca="false">IF(AX38=0,0,SPRDOPT(AQ38,AR38,$P38,$AM38,AU38,AV38,AW38,$F38,$B$19,9)/365)</f>
        <v>0</v>
      </c>
      <c r="BG38" s="157" t="e">
        <f aca="false">AY38+AZ38</f>
        <v>#NAME?</v>
      </c>
      <c r="BH38" s="157" t="n">
        <f aca="false">BB38-BA38</f>
        <v>0</v>
      </c>
      <c r="BI38" s="157" t="e">
        <f aca="false">((AU38/AV38)*BC38)+BD38</f>
        <v>#NAME?</v>
      </c>
      <c r="BJ38" s="44"/>
      <c r="BK38" s="45" t="n">
        <f aca="false">$AP38*AX38</f>
        <v>0</v>
      </c>
      <c r="BL38" s="45" t="e">
        <f aca="false">$AP38*AY38</f>
        <v>#NAME?</v>
      </c>
      <c r="BM38" s="45" t="e">
        <f aca="false">$AP38*AZ38</f>
        <v>#NAME?</v>
      </c>
      <c r="BN38" s="45" t="n">
        <f aca="false">$AP38*BA38</f>
        <v>0</v>
      </c>
      <c r="BO38" s="45" t="n">
        <f aca="false">$AP38*BB38</f>
        <v>0</v>
      </c>
      <c r="BP38" s="45" t="e">
        <f aca="false">$AP38*BC38</f>
        <v>#NAME?</v>
      </c>
      <c r="BQ38" s="45" t="e">
        <f aca="false">$AP38*BD38</f>
        <v>#NAME?</v>
      </c>
      <c r="BR38" s="45" t="e">
        <f aca="false">$AP38*BE38</f>
        <v>#NAME?</v>
      </c>
      <c r="BS38" s="45" t="n">
        <f aca="false">$AP38*BF38</f>
        <v>0</v>
      </c>
      <c r="BT38" s="45" t="e">
        <f aca="false">$AP38*BG38</f>
        <v>#NAME?</v>
      </c>
      <c r="BU38" s="45" t="n">
        <f aca="false">$AP38*BH38</f>
        <v>0</v>
      </c>
      <c r="BV38" s="45" t="e">
        <f aca="false">$AP38*BI38</f>
        <v>#NAME?</v>
      </c>
      <c r="BX38" s="9" t="n">
        <f aca="false">IF($A38&gt;=BZ$32,IF($A38&lt;=BZ$33,$AN38,0),0)</f>
        <v>0</v>
      </c>
      <c r="BY38" s="123" t="n">
        <f aca="false">$B38+$R38+$D$12</f>
        <v>4.43</v>
      </c>
      <c r="BZ38" s="123" t="n">
        <f aca="false">$B38+$S38+$D$13</f>
        <v>5.24</v>
      </c>
      <c r="CA38" s="123" t="n">
        <f aca="false">BY38*BX38</f>
        <v>0</v>
      </c>
      <c r="CB38" s="123" t="n">
        <f aca="false">BZ38*BX38</f>
        <v>0</v>
      </c>
      <c r="CC38" s="156" t="n">
        <f aca="false">($C38*$T38)+$D$14</f>
        <v>0.4608</v>
      </c>
      <c r="CD38" s="156" t="n">
        <f aca="false">($C38*$U38)+$D$15</f>
        <v>0.48</v>
      </c>
      <c r="CE38" s="131" t="n">
        <f aca="false">$V38+D$16</f>
        <v>0.84</v>
      </c>
      <c r="CF38" s="157" t="n">
        <f aca="false">IF(BX38=0,0,SPRDOPT(BY38,BZ38,$W38,$AM38,CC38,CD38,CE38,$F38,$D$19,0))</f>
        <v>0</v>
      </c>
      <c r="CG38" s="157" t="e">
        <f aca="false">IF(BY38=0,0,SPRDOPT(BY38,BZ38,$W38,$AM38,CC38,CD38,CE38,$F38,$D$19,1))</f>
        <v>#NAME?</v>
      </c>
      <c r="CH38" s="157" t="e">
        <f aca="false">IF(BZ38=0,0,SPRDOPT(BY38,BZ38,$W38,$AM38,CC38,CD38,CE38,$F38,$D$19,2))</f>
        <v>#NAME?</v>
      </c>
      <c r="CI38" s="157" t="n">
        <f aca="false">IF(CA38=0,0,SPRDOPT(BY38,BZ38,$W38,$AM38,CC38,CD38,CE38,$F38,$D$19,3)/100)</f>
        <v>0</v>
      </c>
      <c r="CJ38" s="157" t="n">
        <f aca="false">IF(CB38=0,0,SPRDOPT(BY38,BZ38,$W38,$AM38,CC38,CD38,CE38,$F38,$D$19,4)/100)</f>
        <v>0</v>
      </c>
      <c r="CK38" s="157" t="e">
        <f aca="false">IF(CC38=0,0,SPRDOPT(BY38,BZ38,$W38,$AM38,CC38,CD38,CE38,$F38,$D$19,5)/100)</f>
        <v>#NAME?</v>
      </c>
      <c r="CL38" s="157" t="e">
        <f aca="false">IF(CD38=0,0,SPRDOPT(BY38,BZ38,$W38,$AM38,CC38,CD38,CE38,$F38,$D$19,6)/100)</f>
        <v>#NAME?</v>
      </c>
      <c r="CM38" s="157" t="e">
        <f aca="false">IF(CE38=0,0,SPRDOPT(BY38,BZ38,$W38,$AM38,CC38,CD38,CE38,$F38,$D$19,7)/100)</f>
        <v>#NAME?</v>
      </c>
      <c r="CN38" s="157" t="n">
        <f aca="false">IF(CF38=0,0,SPRDOPT(BY38,BZ38,$W38,$AM38,CC38,CD38,CE38,$F38,$D$19,9)/365)</f>
        <v>0</v>
      </c>
      <c r="CO38" s="157" t="e">
        <f aca="false">CG38+CH38</f>
        <v>#NAME?</v>
      </c>
      <c r="CP38" s="157" t="n">
        <f aca="false">CJ38-CI38</f>
        <v>0</v>
      </c>
      <c r="CQ38" s="157" t="e">
        <f aca="false">((CC38/CD38)*CK38)+CL38</f>
        <v>#NAME?</v>
      </c>
      <c r="CR38" s="44"/>
      <c r="CS38" s="45" t="n">
        <f aca="false">BX38*CF38</f>
        <v>0</v>
      </c>
      <c r="CT38" s="45" t="e">
        <f aca="false">BX38*CG38</f>
        <v>#NAME?</v>
      </c>
      <c r="CU38" s="45" t="e">
        <f aca="false">BX38*CH38</f>
        <v>#NAME?</v>
      </c>
      <c r="CV38" s="45" t="n">
        <f aca="false">BX38*CI38</f>
        <v>0</v>
      </c>
      <c r="CW38" s="45" t="n">
        <f aca="false">BX38*CJ38</f>
        <v>0</v>
      </c>
      <c r="CX38" s="45" t="e">
        <f aca="false">BX38*CK38</f>
        <v>#NAME?</v>
      </c>
      <c r="CY38" s="45" t="e">
        <f aca="false">BX38*CL38</f>
        <v>#NAME?</v>
      </c>
      <c r="CZ38" s="45" t="e">
        <f aca="false">BX38*CM38</f>
        <v>#NAME?</v>
      </c>
      <c r="DA38" s="45" t="n">
        <f aca="false">BX38*CN38</f>
        <v>0</v>
      </c>
      <c r="DB38" s="45" t="e">
        <f aca="false">BX38*CO38</f>
        <v>#NAME?</v>
      </c>
      <c r="DC38" s="45" t="n">
        <f aca="false">BX38*CP38</f>
        <v>0</v>
      </c>
      <c r="DD38" s="45" t="e">
        <f aca="false">BX38*CQ38</f>
        <v>#NAME?</v>
      </c>
      <c r="DF38" s="9" t="n">
        <f aca="false">IF($A38&gt;=DH$32,IF($A38&lt;=DH$33,$AN38,0),0)</f>
        <v>0</v>
      </c>
      <c r="DG38" s="123" t="n">
        <f aca="false">$B38+$Y38+$F$12</f>
        <v>5.125</v>
      </c>
      <c r="DH38" s="123" t="n">
        <f aca="false">$B38+$Z38+$F$13</f>
        <v>5.24</v>
      </c>
      <c r="DI38" s="123" t="n">
        <f aca="false">DG38*DF38</f>
        <v>0</v>
      </c>
      <c r="DJ38" s="123" t="n">
        <f aca="false">DH38*DF38</f>
        <v>0</v>
      </c>
      <c r="DK38" s="156" t="n">
        <f aca="false">($C38*$AA38)+$F$14</f>
        <v>0.48</v>
      </c>
      <c r="DL38" s="156" t="n">
        <f aca="false">($C38*$AB38)+$F$15</f>
        <v>0.48</v>
      </c>
      <c r="DM38" s="131" t="n">
        <f aca="false">$AC38+$F$16</f>
        <v>0.995</v>
      </c>
      <c r="DN38" s="157" t="n">
        <f aca="false">IF(DF38=0,0,SPRDOPT(DG38,DH38,$AD38,$AM38,DK38,DL38,DM38,$F38,$F$19,0))</f>
        <v>0</v>
      </c>
      <c r="DO38" s="157" t="e">
        <f aca="false">IF(DG38=0,0,SPRDOPT(DG38,DH38,$AD38,$AM38,DK38,DL38,DM38,$F38,$F$19,1))</f>
        <v>#NAME?</v>
      </c>
      <c r="DP38" s="157" t="e">
        <f aca="false">IF(DH38=0,0,SPRDOPT(DG38,DH38,$AD38,$AM38,DK38,DL38,DM38,$F38,$F$19,2))</f>
        <v>#NAME?</v>
      </c>
      <c r="DQ38" s="157" t="n">
        <f aca="false">IF(DI38=0,0,SPRDOPT(DG38,DH38,$AD38,$AM38,DK38,DL38,DM38,$F38,$F$19,3)/100)</f>
        <v>0</v>
      </c>
      <c r="DR38" s="157" t="n">
        <f aca="false">IF(DJ38=0,0,SPRDOPT(DG38,DH38,$AD38,$AM38,DK38,DL38,DM38,$F38,$F$19,4)/100)</f>
        <v>0</v>
      </c>
      <c r="DS38" s="157" t="e">
        <f aca="false">IF(DK38=0,0,SPRDOPT(DG38,DH38,$AD38,$AM38,DK38,DL38,DM38,$F38,$F$19,5)/100)</f>
        <v>#NAME?</v>
      </c>
      <c r="DT38" s="157" t="e">
        <f aca="false">IF(DL38=0,0,SPRDOPT(DG38,DH38,$AD38,$AM38,DK38,DL38,DM38,$F38,$F$19,6)/100)</f>
        <v>#NAME?</v>
      </c>
      <c r="DU38" s="157" t="e">
        <f aca="false">IF(DM38=0,0,SPRDOPT(DG38,DH38,$AD38,$AM38,DK38,DL38,DM38,$F38,$F$19,7)/100)</f>
        <v>#NAME?</v>
      </c>
      <c r="DV38" s="157" t="n">
        <f aca="false">IF(DN38=0,0,SPRDOPT(DG38,DH38,$AD38,$AM38,DK38,DL38,DM38,$F38,$F$19,9)/365)</f>
        <v>0</v>
      </c>
      <c r="DW38" s="157" t="e">
        <f aca="false">DO38+DP38</f>
        <v>#NAME?</v>
      </c>
      <c r="DX38" s="157" t="n">
        <f aca="false">DR38-DQ38</f>
        <v>0</v>
      </c>
      <c r="DY38" s="157" t="e">
        <f aca="false">((DK38/DL38)*DS38)+DT38</f>
        <v>#NAME?</v>
      </c>
      <c r="DZ38" s="44"/>
      <c r="EA38" s="45" t="n">
        <f aca="false">DF38*DN38</f>
        <v>0</v>
      </c>
      <c r="EB38" s="45" t="e">
        <f aca="false">DF38*DO38</f>
        <v>#NAME?</v>
      </c>
      <c r="EC38" s="45" t="e">
        <f aca="false">DF38*DP38</f>
        <v>#NAME?</v>
      </c>
      <c r="ED38" s="45" t="n">
        <f aca="false">DF38*DQ38</f>
        <v>0</v>
      </c>
      <c r="EE38" s="45" t="n">
        <f aca="false">DF38*DR38</f>
        <v>0</v>
      </c>
      <c r="EF38" s="45" t="e">
        <f aca="false">DF38*DS38</f>
        <v>#NAME?</v>
      </c>
      <c r="EG38" s="45" t="e">
        <f aca="false">DF38*DT38</f>
        <v>#NAME?</v>
      </c>
      <c r="EH38" s="45" t="e">
        <f aca="false">DF38*DU38</f>
        <v>#NAME?</v>
      </c>
      <c r="EI38" s="45" t="n">
        <f aca="false">DF38*DV38</f>
        <v>0</v>
      </c>
      <c r="EJ38" s="45" t="e">
        <f aca="false">DF38*DW38</f>
        <v>#NAME?</v>
      </c>
      <c r="EK38" s="45" t="n">
        <f aca="false">DF38*DX38</f>
        <v>0</v>
      </c>
      <c r="EL38" s="45" t="e">
        <f aca="false">DF38*DY38</f>
        <v>#NAME?</v>
      </c>
      <c r="EN38" s="9" t="n">
        <f aca="false">IF($A38&gt;=EP$32,IF($A38&lt;=EP$33,$AN38,0),0)</f>
        <v>0</v>
      </c>
      <c r="EO38" s="123" t="n">
        <f aca="false">$B38+$AF38+$H$12</f>
        <v>5.36</v>
      </c>
      <c r="EP38" s="123" t="n">
        <f aca="false">$B38+$AG38+$H$13</f>
        <v>5.24</v>
      </c>
      <c r="EQ38" s="123" t="n">
        <f aca="false">EO38*EN38</f>
        <v>0</v>
      </c>
      <c r="ER38" s="123" t="n">
        <f aca="false">EP38*EN38</f>
        <v>0</v>
      </c>
      <c r="ES38" s="156" t="n">
        <f aca="false">($C38*$AH38)+$H$14</f>
        <v>0.48</v>
      </c>
      <c r="ET38" s="156" t="n">
        <f aca="false">($C38*$AI38)+$H$15</f>
        <v>0.48</v>
      </c>
      <c r="EU38" s="131" t="n">
        <f aca="false">$AJ38+$H$16</f>
        <v>0.994071440191916</v>
      </c>
      <c r="EV38" s="157" t="n">
        <f aca="false">IF(EN38=0,0,SPRDOPT(EO38,EP38,$AK38,$AM38,ES38,ET38,EU38,$F38,$H$19,0))</f>
        <v>0</v>
      </c>
      <c r="EW38" s="157" t="e">
        <f aca="false">IF(EO38=0,0,SPRDOPT(EO38,EP38,$AK38,$AM38,ES38,ET38,EU38,$F38,$H$19,1))</f>
        <v>#NAME?</v>
      </c>
      <c r="EX38" s="157" t="e">
        <f aca="false">IF(EP38=0,0,SPRDOPT(EO38,EP38,$AK38,$AM38,ES38,ET38,EU38,$F38,$H$19,2))</f>
        <v>#NAME?</v>
      </c>
      <c r="EY38" s="157" t="n">
        <f aca="false">IF(EQ38=0,0,SPRDOPT(EO38,EP38,$AK38,$AM38,ES38,ET38,EU38,$F38,$H$19,3)/100)</f>
        <v>0</v>
      </c>
      <c r="EZ38" s="157" t="n">
        <f aca="false">IF(ER38=0,0,SPRDOPT(EO38,EP38,$AK38,$AM38,ES38,ET38,EU38,$F38,$H$19,4)/100)</f>
        <v>0</v>
      </c>
      <c r="FA38" s="157" t="e">
        <f aca="false">IF(ES38=0,0,SPRDOPT(EO38,EP38,$AK38,$AM38,ES38,ET38,EU38,$F38,$H$19,5)/100)</f>
        <v>#NAME?</v>
      </c>
      <c r="FB38" s="157" t="e">
        <f aca="false">IF(ET38=0,0,SPRDOPT(EO38,EP38,$AK38,$AM38,ES38,ET38,EU38,$F38,$H$19,6)/100)</f>
        <v>#NAME?</v>
      </c>
      <c r="FC38" s="157" t="e">
        <f aca="false">IF(EU38=0,0,SPRDOPT(EO38,EP38,$AK38,$AM38,ES38,ET38,EU38,$F38,$H$19,7)/100)</f>
        <v>#NAME?</v>
      </c>
      <c r="FD38" s="157" t="n">
        <f aca="false">IF(EV38=0,0,SPRDOPT(EO38,EP38,$AK38,$AM38,ES38,ET38,EU38,$F38,$H$19,9)/365)</f>
        <v>0</v>
      </c>
      <c r="FE38" s="157" t="e">
        <f aca="false">EW38+EX38</f>
        <v>#NAME?</v>
      </c>
      <c r="FF38" s="157" t="n">
        <f aca="false">EZ38-EY38</f>
        <v>0</v>
      </c>
      <c r="FG38" s="157" t="e">
        <f aca="false">((ES38/ET38)*FA38)+FB38</f>
        <v>#NAME?</v>
      </c>
      <c r="FH38" s="44"/>
      <c r="FI38" s="45" t="n">
        <f aca="false">$EN38*EV38</f>
        <v>0</v>
      </c>
      <c r="FJ38" s="45" t="e">
        <f aca="false">$EN38*EW38</f>
        <v>#NAME?</v>
      </c>
      <c r="FK38" s="45" t="e">
        <f aca="false">$EN38*EX38</f>
        <v>#NAME?</v>
      </c>
      <c r="FL38" s="45" t="n">
        <f aca="false">$EN38*EY38</f>
        <v>0</v>
      </c>
      <c r="FM38" s="45" t="n">
        <f aca="false">$EN38*EZ38</f>
        <v>0</v>
      </c>
      <c r="FN38" s="45" t="e">
        <f aca="false">$EN38*FA38</f>
        <v>#NAME?</v>
      </c>
      <c r="FO38" s="45" t="e">
        <f aca="false">$EN38*FB38</f>
        <v>#NAME?</v>
      </c>
      <c r="FP38" s="45" t="e">
        <f aca="false">$EN38*FC38</f>
        <v>#NAME?</v>
      </c>
      <c r="FQ38" s="45" t="n">
        <f aca="false">$EN38*FD38</f>
        <v>0</v>
      </c>
      <c r="FR38" s="45" t="e">
        <f aca="false">$EN38*FE38</f>
        <v>#NAME?</v>
      </c>
      <c r="FS38" s="45" t="n">
        <f aca="false">$EN38*FF38</f>
        <v>0</v>
      </c>
      <c r="FT38" s="45" t="e">
        <f aca="false">$EN38*FG38</f>
        <v>#NAME?</v>
      </c>
    </row>
    <row r="39" customFormat="false" ht="12.75" hidden="false" customHeight="false" outlineLevel="0" collapsed="false">
      <c r="A39" s="48" t="n">
        <f aca="false">DATE(YEAR(A38),MONTH(A38)+1,1)</f>
        <v>36831</v>
      </c>
      <c r="B39" s="40" t="n">
        <f aca="false">VLOOKUP(A39,STRADDLE,5,FALSE())</f>
        <v>5.4258</v>
      </c>
      <c r="C39" s="4" t="n">
        <f aca="false">VLOOKUP(A39,STRADDLE,8,FALSE())</f>
        <v>0.52</v>
      </c>
      <c r="D39" s="40"/>
      <c r="E39" s="131"/>
      <c r="F39" s="136" t="n">
        <f aca="false">VLOOKUP(A39,expiration,2,FALSE())-$B$2</f>
        <v>-9100</v>
      </c>
      <c r="G39" s="4"/>
      <c r="H39" s="4"/>
      <c r="I39" s="41"/>
      <c r="J39" s="154"/>
      <c r="K39" s="40" t="n">
        <f aca="false">IF($B$3="NYMEX",0,VLOOKUP($A39,curvesettle,HLOOKUP($B$3,curvesettle,2,FALSE()),FALSE()))</f>
        <v>-0.225</v>
      </c>
      <c r="L39" s="40" t="n">
        <f aca="false">IF($B$4="NYMEX",0,VLOOKUP($A39,curvesettle,HLOOKUP($B$4,curvesettle,2,FALSE()),FALSE()))</f>
        <v>0</v>
      </c>
      <c r="M39" s="131" t="n">
        <f aca="false">IF(ISNUMBER(VLOOKUP($A39,VOLCURVES,HLOOKUP($B$3,VOLCURVES,2,FALSE()),FALSE())),VLOOKUP($A39,VOLCURVES,HLOOKUP($B$3,VOLCURVES,2,FALSE()),FALSE()),1)</f>
        <v>1.05</v>
      </c>
      <c r="N39" s="131" t="n">
        <f aca="false">IF(ISNUMBER(VLOOKUP($A39,VOLCURVES,HLOOKUP($B$4,VOLCURVES,2,FALSE()),FALSE())),VLOOKUP($A39,VOLCURVES,HLOOKUP($B$4,VOLCURVES,2,FALSE()),FALSE()),1)</f>
        <v>1</v>
      </c>
      <c r="O39" s="131" t="n">
        <f aca="false">IF(ISNUMBER(VLOOKUP($A39,CORETABLE,HLOOKUP($B$3,CORETABLE,2,FALSE()),FALSE())),VLOOKUP($A39,CORETABLE,HLOOKUP($B$3,CORETABLE,2,FALSE()),FALSE()),0.99)</f>
        <v>0.91</v>
      </c>
      <c r="P39" s="155" t="n">
        <f aca="false">B$18</f>
        <v>0.3</v>
      </c>
      <c r="Q39" s="131"/>
      <c r="R39" s="40" t="n">
        <f aca="false">IF($D$3="NYMEX",0,VLOOKUP($A39,curvesettle,HLOOKUP($D$3,curvesettle,2,FALSE()),FALSE()))</f>
        <v>-0.44</v>
      </c>
      <c r="S39" s="40" t="n">
        <f aca="false">IF($D$4="NYMEX",0,VLOOKUP($A39,curvesettle,HLOOKUP($D$4,curvesettle,2,FALSE()),FALSE()))</f>
        <v>0</v>
      </c>
      <c r="T39" s="131" t="n">
        <f aca="false">IF(ISNUMBER(VLOOKUP($A39,VOLCURVES,HLOOKUP($D$3,VOLCURVES,2,FALSE()),FALSE())),VLOOKUP($A39,VOLCURVES,HLOOKUP($D$3,VOLCURVES,2,FALSE()),FALSE()),1)</f>
        <v>0.96</v>
      </c>
      <c r="U39" s="131" t="n">
        <f aca="false">IF(ISNUMBER(VLOOKUP($A39,VOLCURVES,HLOOKUP($D$4,VOLCURVES,2,FALSE()),FALSE())),VLOOKUP($A39,VOLCURVES,HLOOKUP($D$4,VOLCURVES,2,FALSE()),FALSE()),1)</f>
        <v>1</v>
      </c>
      <c r="V39" s="131" t="n">
        <f aca="false">IF(ISNUMBER(VLOOKUP($A39,CORETABLE,HLOOKUP($D$3,CORETABLE,2,FALSE()),FALSE())),VLOOKUP($A39,CORETABLE,HLOOKUP($D$3,CORETABLE,2,FALSE()),FALSE()),0.99)</f>
        <v>0.96</v>
      </c>
      <c r="W39" s="155" t="n">
        <f aca="false">D$18</f>
        <v>-0.35</v>
      </c>
      <c r="X39" s="131"/>
      <c r="Y39" s="40" t="n">
        <f aca="false">IF($F$3="NYMEX",0,VLOOKUP($A39,curvesettle,HLOOKUP($F$3,curvesettle,2,FALSE()),FALSE()))</f>
        <v>-0.13</v>
      </c>
      <c r="Z39" s="40" t="n">
        <f aca="false">IF($F$4="NYMEX",0,VLOOKUP($A39,curvesettle,HLOOKUP($F$4,curvesettle,2,FALSE()),FALSE()))</f>
        <v>0</v>
      </c>
      <c r="AA39" s="131" t="n">
        <f aca="false">IF(ISNUMBER(VLOOKUP($A39,VOLCURVES,HLOOKUP($F$3,VOLCURVES,2,FALSE()),FALSE())),VLOOKUP($A39,VOLCURVES,HLOOKUP($F$3,VOLCURVES,2,FALSE()),FALSE()),1)</f>
        <v>1</v>
      </c>
      <c r="AB39" s="131" t="n">
        <f aca="false">IF(ISNUMBER(VLOOKUP($A39,VOLCURVES,HLOOKUP($F$4,VOLCURVES,2,FALSE()),FALSE())),VLOOKUP($A39,VOLCURVES,HLOOKUP($F$4,VOLCURVES,2,FALSE()),FALSE()),1)</f>
        <v>1</v>
      </c>
      <c r="AC39" s="131" t="n">
        <f aca="false">IF(ISNUMBER(VLOOKUP($A39,CORETABLE,HLOOKUP($F$3,CORETABLE,2,FALSE()),FALSE())),VLOOKUP($A39,CORETABLE,HLOOKUP($F$3,CORETABLE,2,FALSE()),FALSE()),1)</f>
        <v>0.995</v>
      </c>
      <c r="AD39" s="155" t="n">
        <f aca="false">F$18</f>
        <v>-0.2</v>
      </c>
      <c r="AE39" s="131"/>
      <c r="AF39" s="40" t="n">
        <f aca="false">IF($H$3="NYMEX",0,VLOOKUP($A39,curvesettle,HLOOKUP($H$3,curvesettle,2,FALSE()),FALSE()))</f>
        <v>0.125</v>
      </c>
      <c r="AG39" s="40" t="n">
        <f aca="false">IF($H$4="NYMEX",0,VLOOKUP($A39,curvesettle,HLOOKUP($H$4,curvesettle,2,FALSE()),FALSE()))</f>
        <v>0</v>
      </c>
      <c r="AH39" s="131" t="n">
        <f aca="false">IF(ISNUMBER(VLOOKUP($A39,VOLCURVES,HLOOKUP($H$3,VOLCURVES,2,FALSE()),FALSE())),VLOOKUP($A39,VOLCURVES,HLOOKUP($H$3,VOLCURVES,2,FALSE()),FALSE()),1)</f>
        <v>1</v>
      </c>
      <c r="AI39" s="131" t="n">
        <f aca="false">IF(ISNUMBER(VLOOKUP($A39,VOLCURVES,HLOOKUP($H$4,VOLCURVES,2,FALSE()),FALSE())),VLOOKUP($A39,VOLCURVES,HLOOKUP($H$4,VOLCURVES,2,FALSE()),FALSE()),1)</f>
        <v>1</v>
      </c>
      <c r="AJ39" s="131" t="n">
        <f aca="false">IF(ISNUMBER(VLOOKUP($A39,CORETABLE,HLOOKUP($H$3,CORETABLE,2,FALSE()),FALSE())),VLOOKUP($A39,CORETABLE,HLOOKUP($H$3,CORETABLE,2,FALSE()),FALSE()),1)</f>
        <v>0.9985</v>
      </c>
      <c r="AK39" s="155" t="n">
        <f aca="false">H$18</f>
        <v>0.2</v>
      </c>
      <c r="AM39" s="4" t="n">
        <f aca="false">VLOOKUP($A39,STRADDLE,12,FALSE())</f>
        <v>0.068087889350767</v>
      </c>
      <c r="AN39" s="43" t="n">
        <f aca="false">A40-A39</f>
        <v>30</v>
      </c>
      <c r="AP39" s="9" t="n">
        <f aca="false">IF($A39&gt;=AR$32,IF($A39&lt;=AR$33,$AN39,0),0)</f>
        <v>30</v>
      </c>
      <c r="AQ39" s="123" t="n">
        <f aca="false">$B39+$K39+$B$12</f>
        <v>5.1683</v>
      </c>
      <c r="AR39" s="123" t="n">
        <f aca="false">$B39+$L39+$B$13</f>
        <v>5.4258</v>
      </c>
      <c r="AS39" s="123" t="n">
        <f aca="false">AQ39*AP39</f>
        <v>155.049</v>
      </c>
      <c r="AT39" s="123" t="n">
        <f aca="false">AR39*AP39</f>
        <v>162.774</v>
      </c>
      <c r="AU39" s="156" t="n">
        <f aca="false">($C39*$M39)+$B$14</f>
        <v>0.546</v>
      </c>
      <c r="AV39" s="156" t="n">
        <f aca="false">($C39*$N39)+$B$15</f>
        <v>0.52</v>
      </c>
      <c r="AW39" s="131" t="n">
        <f aca="false">O39+B$16</f>
        <v>0.91</v>
      </c>
      <c r="AX39" s="157" t="e">
        <f aca="false">IF(AP39=0,0,SPRDOPT(AQ39,AR39,$P39,$AM39,AU39,AV39,AW39,$F39,$B$19,0))</f>
        <v>#NAME?</v>
      </c>
      <c r="AY39" s="157" t="e">
        <f aca="false">IF(AQ39=0,0,SPRDOPT(AQ39,AR39,$P39,$AM39,AU39,AV39,AW39,$F39,$B$19,1))</f>
        <v>#NAME?</v>
      </c>
      <c r="AZ39" s="157" t="e">
        <f aca="false">IF(AR39=0,0,SPRDOPT(AQ39,AR39,$P39,$AM39,AU39,AV39,AW39,$F39,$B$19,2))</f>
        <v>#NAME?</v>
      </c>
      <c r="BA39" s="157" t="e">
        <f aca="false">IF(AS39=0,0,SPRDOPT(AQ39,AR39,$P39,$AM39,AU39,AV39,AW39,$F39,$B$19,3)/100)</f>
        <v>#NAME?</v>
      </c>
      <c r="BB39" s="157" t="e">
        <f aca="false">IF(AT39=0,0,SPRDOPT(AQ39,AR39,$P39,$AM39,AU39,AV39,AW39,$F39,$B$19,4)/100)</f>
        <v>#NAME?</v>
      </c>
      <c r="BC39" s="157" t="e">
        <f aca="false">IF(AU39=0,0,SPRDOPT(AQ39,AR39,$P39,$AM39,AU39,AV39,AW39,$F39,$B$19,5)/100)</f>
        <v>#NAME?</v>
      </c>
      <c r="BD39" s="157" t="e">
        <f aca="false">IF(AV39=0,0,SPRDOPT(AQ39,AR39,$P39,$AM39,AU39,AV39,AW39,$F39,$B$19,6)/100)</f>
        <v>#NAME?</v>
      </c>
      <c r="BE39" s="157" t="e">
        <f aca="false">IF(AW39=0,0,SPRDOPT(AQ39,AR39,$P39,$AM39,AU39,AV39,AW39,$F39,$B$19,7)/100)</f>
        <v>#NAME?</v>
      </c>
      <c r="BF39" s="157" t="e">
        <f aca="false">IF(AX39=0,0,SPRDOPT(AQ39,AR39,$P39,$AM39,AU39,AV39,AW39,$F39,$B$19,9)/365)</f>
        <v>#NAME?</v>
      </c>
      <c r="BG39" s="157" t="e">
        <f aca="false">AY39+AZ39</f>
        <v>#NAME?</v>
      </c>
      <c r="BH39" s="157" t="e">
        <f aca="false">BB39-BA39</f>
        <v>#NAME?</v>
      </c>
      <c r="BI39" s="157" t="e">
        <f aca="false">((AU39/AV39)*BC39)+BD39</f>
        <v>#NAME?</v>
      </c>
      <c r="BJ39" s="44"/>
      <c r="BK39" s="45" t="e">
        <f aca="false">$AP39*AX39</f>
        <v>#NAME?</v>
      </c>
      <c r="BL39" s="45" t="e">
        <f aca="false">$AP39*AY39</f>
        <v>#NAME?</v>
      </c>
      <c r="BM39" s="45" t="e">
        <f aca="false">$AP39*AZ39</f>
        <v>#NAME?</v>
      </c>
      <c r="BN39" s="45" t="e">
        <f aca="false">$AP39*BA39</f>
        <v>#NAME?</v>
      </c>
      <c r="BO39" s="45" t="e">
        <f aca="false">$AP39*BB39</f>
        <v>#NAME?</v>
      </c>
      <c r="BP39" s="45" t="e">
        <f aca="false">$AP39*BC39</f>
        <v>#NAME?</v>
      </c>
      <c r="BQ39" s="45" t="e">
        <f aca="false">$AP39*BD39</f>
        <v>#NAME?</v>
      </c>
      <c r="BR39" s="45" t="e">
        <f aca="false">$AP39*BE39</f>
        <v>#NAME?</v>
      </c>
      <c r="BS39" s="45" t="e">
        <f aca="false">$AP39*BF39</f>
        <v>#NAME?</v>
      </c>
      <c r="BT39" s="45" t="e">
        <f aca="false">$AP39*BG39</f>
        <v>#NAME?</v>
      </c>
      <c r="BU39" s="45" t="e">
        <f aca="false">$AP39*BH39</f>
        <v>#NAME?</v>
      </c>
      <c r="BV39" s="45" t="e">
        <f aca="false">$AP39*BI39</f>
        <v>#NAME?</v>
      </c>
      <c r="BX39" s="9" t="n">
        <f aca="false">IF($A39&gt;=BZ$32,IF($A39&lt;=BZ$33,$AN39,0),0)</f>
        <v>30</v>
      </c>
      <c r="BY39" s="123" t="n">
        <f aca="false">$B39+$R39+$D$12</f>
        <v>4.9533</v>
      </c>
      <c r="BZ39" s="123" t="n">
        <f aca="false">$B39+$S39+$D$13</f>
        <v>5.4258</v>
      </c>
      <c r="CA39" s="123" t="n">
        <f aca="false">BY39*BX39</f>
        <v>148.599</v>
      </c>
      <c r="CB39" s="123" t="n">
        <f aca="false">BZ39*BX39</f>
        <v>162.774</v>
      </c>
      <c r="CC39" s="156" t="n">
        <f aca="false">($C39*$T39)+$D$14</f>
        <v>0.4992</v>
      </c>
      <c r="CD39" s="156" t="n">
        <f aca="false">($C39*$U39)+$D$15</f>
        <v>0.52</v>
      </c>
      <c r="CE39" s="131" t="n">
        <f aca="false">$V39+D$16</f>
        <v>0.96</v>
      </c>
      <c r="CF39" s="157" t="e">
        <f aca="false">IF(BX39=0,0,SPRDOPT(BY39,BZ39,$W39,$AM39,CC39,CD39,CE39,$F39,$D$19,0))</f>
        <v>#NAME?</v>
      </c>
      <c r="CG39" s="157" t="e">
        <f aca="false">IF(BY39=0,0,SPRDOPT(BY39,BZ39,$W39,$AM39,CC39,CD39,CE39,$F39,$D$19,1))</f>
        <v>#NAME?</v>
      </c>
      <c r="CH39" s="157" t="e">
        <f aca="false">IF(BZ39=0,0,SPRDOPT(BY39,BZ39,$W39,$AM39,CC39,CD39,CE39,$F39,$D$19,2))</f>
        <v>#NAME?</v>
      </c>
      <c r="CI39" s="157" t="e">
        <f aca="false">IF(CA39=0,0,SPRDOPT(BY39,BZ39,$W39,$AM39,CC39,CD39,CE39,$F39,$D$19,3)/100)</f>
        <v>#NAME?</v>
      </c>
      <c r="CJ39" s="157" t="e">
        <f aca="false">IF(CB39=0,0,SPRDOPT(BY39,BZ39,$W39,$AM39,CC39,CD39,CE39,$F39,$D$19,4)/100)</f>
        <v>#NAME?</v>
      </c>
      <c r="CK39" s="157" t="e">
        <f aca="false">IF(CC39=0,0,SPRDOPT(BY39,BZ39,$W39,$AM39,CC39,CD39,CE39,$F39,$D$19,5)/100)</f>
        <v>#NAME?</v>
      </c>
      <c r="CL39" s="157" t="e">
        <f aca="false">IF(CD39=0,0,SPRDOPT(BY39,BZ39,$W39,$AM39,CC39,CD39,CE39,$F39,$D$19,6)/100)</f>
        <v>#NAME?</v>
      </c>
      <c r="CM39" s="157" t="e">
        <f aca="false">IF(CE39=0,0,SPRDOPT(BY39,BZ39,$W39,$AM39,CC39,CD39,CE39,$F39,$D$19,7)/100)</f>
        <v>#NAME?</v>
      </c>
      <c r="CN39" s="157" t="e">
        <f aca="false">IF(CF39=0,0,SPRDOPT(BY39,BZ39,$W39,$AM39,CC39,CD39,CE39,$F39,$D$19,9)/365)</f>
        <v>#NAME?</v>
      </c>
      <c r="CO39" s="157" t="e">
        <f aca="false">CG39+CH39</f>
        <v>#NAME?</v>
      </c>
      <c r="CP39" s="157" t="e">
        <f aca="false">CJ39-CI39</f>
        <v>#NAME?</v>
      </c>
      <c r="CQ39" s="157" t="e">
        <f aca="false">((CC39/CD39)*CK39)+CL39</f>
        <v>#NAME?</v>
      </c>
      <c r="CR39" s="44"/>
      <c r="CS39" s="45" t="e">
        <f aca="false">BX39*CF39</f>
        <v>#NAME?</v>
      </c>
      <c r="CT39" s="45" t="e">
        <f aca="false">BX39*CG39</f>
        <v>#NAME?</v>
      </c>
      <c r="CU39" s="45" t="e">
        <f aca="false">BX39*CH39</f>
        <v>#NAME?</v>
      </c>
      <c r="CV39" s="45" t="e">
        <f aca="false">BX39*CI39</f>
        <v>#NAME?</v>
      </c>
      <c r="CW39" s="45" t="e">
        <f aca="false">BX39*CJ39</f>
        <v>#NAME?</v>
      </c>
      <c r="CX39" s="45" t="e">
        <f aca="false">BX39*CK39</f>
        <v>#NAME?</v>
      </c>
      <c r="CY39" s="45" t="e">
        <f aca="false">BX39*CL39</f>
        <v>#NAME?</v>
      </c>
      <c r="CZ39" s="45" t="e">
        <f aca="false">BX39*CM39</f>
        <v>#NAME?</v>
      </c>
      <c r="DA39" s="45" t="e">
        <f aca="false">BX39*CN39</f>
        <v>#NAME?</v>
      </c>
      <c r="DB39" s="45" t="e">
        <f aca="false">BX39*CO39</f>
        <v>#NAME?</v>
      </c>
      <c r="DC39" s="45" t="e">
        <f aca="false">BX39*CP39</f>
        <v>#NAME?</v>
      </c>
      <c r="DD39" s="45" t="e">
        <f aca="false">BX39*CQ39</f>
        <v>#NAME?</v>
      </c>
      <c r="DF39" s="9" t="n">
        <f aca="false">IF($A39&gt;=DH$32,IF($A39&lt;=DH$33,$AN39,0),0)</f>
        <v>30</v>
      </c>
      <c r="DG39" s="123" t="n">
        <f aca="false">$B39+$Y39+$F$12</f>
        <v>5.2958</v>
      </c>
      <c r="DH39" s="123" t="n">
        <f aca="false">$B39+$Z39+$F$13</f>
        <v>5.4258</v>
      </c>
      <c r="DI39" s="123" t="n">
        <f aca="false">DG39*DF39</f>
        <v>158.874</v>
      </c>
      <c r="DJ39" s="123" t="n">
        <f aca="false">DH39*DF39</f>
        <v>162.774</v>
      </c>
      <c r="DK39" s="156" t="n">
        <f aca="false">($C39*$AA39)+$F$14</f>
        <v>0.52</v>
      </c>
      <c r="DL39" s="156" t="n">
        <f aca="false">($C39*$AB39)+$F$15</f>
        <v>0.52</v>
      </c>
      <c r="DM39" s="131" t="n">
        <f aca="false">$AC39+$F$16</f>
        <v>0.995</v>
      </c>
      <c r="DN39" s="157" t="e">
        <f aca="false">IF(DF39=0,0,SPRDOPT(DG39,DH39,$AD39,$AM39,DK39,DL39,DM39,$F39,$F$19,0))</f>
        <v>#NAME?</v>
      </c>
      <c r="DO39" s="157" t="e">
        <f aca="false">IF(DG39=0,0,SPRDOPT(DG39,DH39,$AD39,$AM39,DK39,DL39,DM39,$F39,$F$19,1))</f>
        <v>#NAME?</v>
      </c>
      <c r="DP39" s="157" t="e">
        <f aca="false">IF(DH39=0,0,SPRDOPT(DG39,DH39,$AD39,$AM39,DK39,DL39,DM39,$F39,$F$19,2))</f>
        <v>#NAME?</v>
      </c>
      <c r="DQ39" s="157" t="e">
        <f aca="false">IF(DI39=0,0,SPRDOPT(DG39,DH39,$AD39,$AM39,DK39,DL39,DM39,$F39,$F$19,3)/100)</f>
        <v>#NAME?</v>
      </c>
      <c r="DR39" s="157" t="e">
        <f aca="false">IF(DJ39=0,0,SPRDOPT(DG39,DH39,$AD39,$AM39,DK39,DL39,DM39,$F39,$F$19,4)/100)</f>
        <v>#NAME?</v>
      </c>
      <c r="DS39" s="157" t="e">
        <f aca="false">IF(DK39=0,0,SPRDOPT(DG39,DH39,$AD39,$AM39,DK39,DL39,DM39,$F39,$F$19,5)/100)</f>
        <v>#NAME?</v>
      </c>
      <c r="DT39" s="157" t="e">
        <f aca="false">IF(DL39=0,0,SPRDOPT(DG39,DH39,$AD39,$AM39,DK39,DL39,DM39,$F39,$F$19,6)/100)</f>
        <v>#NAME?</v>
      </c>
      <c r="DU39" s="157" t="e">
        <f aca="false">IF(DM39=0,0,SPRDOPT(DG39,DH39,$AD39,$AM39,DK39,DL39,DM39,$F39,$F$19,7)/100)</f>
        <v>#NAME?</v>
      </c>
      <c r="DV39" s="157" t="e">
        <f aca="false">IF(DN39=0,0,SPRDOPT(DG39,DH39,$AD39,$AM39,DK39,DL39,DM39,$F39,$F$19,9)/365)</f>
        <v>#NAME?</v>
      </c>
      <c r="DW39" s="157" t="e">
        <f aca="false">DO39+DP39</f>
        <v>#NAME?</v>
      </c>
      <c r="DX39" s="157" t="e">
        <f aca="false">DR39-DQ39</f>
        <v>#NAME?</v>
      </c>
      <c r="DY39" s="157" t="e">
        <f aca="false">((DK39/DL39)*DS39)+DT39</f>
        <v>#NAME?</v>
      </c>
      <c r="DZ39" s="44"/>
      <c r="EA39" s="45" t="e">
        <f aca="false">DF39*DN39</f>
        <v>#NAME?</v>
      </c>
      <c r="EB39" s="45" t="e">
        <f aca="false">DF39*DO39</f>
        <v>#NAME?</v>
      </c>
      <c r="EC39" s="45" t="e">
        <f aca="false">DF39*DP39</f>
        <v>#NAME?</v>
      </c>
      <c r="ED39" s="45" t="e">
        <f aca="false">DF39*DQ39</f>
        <v>#NAME?</v>
      </c>
      <c r="EE39" s="45" t="e">
        <f aca="false">DF39*DR39</f>
        <v>#NAME?</v>
      </c>
      <c r="EF39" s="45" t="e">
        <f aca="false">DF39*DS39</f>
        <v>#NAME?</v>
      </c>
      <c r="EG39" s="45" t="e">
        <f aca="false">DF39*DT39</f>
        <v>#NAME?</v>
      </c>
      <c r="EH39" s="45" t="e">
        <f aca="false">DF39*DU39</f>
        <v>#NAME?</v>
      </c>
      <c r="EI39" s="45" t="e">
        <f aca="false">DF39*DV39</f>
        <v>#NAME?</v>
      </c>
      <c r="EJ39" s="45" t="e">
        <f aca="false">DF39*DW39</f>
        <v>#NAME?</v>
      </c>
      <c r="EK39" s="45" t="e">
        <f aca="false">DF39*DX39</f>
        <v>#NAME?</v>
      </c>
      <c r="EL39" s="45" t="e">
        <f aca="false">DF39*DY39</f>
        <v>#NAME?</v>
      </c>
      <c r="EN39" s="9" t="n">
        <f aca="false">IF($A39&gt;=EP$32,IF($A39&lt;=EP$33,$AN39,0),0)</f>
        <v>0</v>
      </c>
      <c r="EO39" s="123" t="n">
        <f aca="false">$B39+$AF39+$H$12</f>
        <v>5.5558</v>
      </c>
      <c r="EP39" s="123" t="n">
        <f aca="false">$B39+$AG39+$H$13</f>
        <v>5.4258</v>
      </c>
      <c r="EQ39" s="123" t="n">
        <f aca="false">EO39*EN39</f>
        <v>0</v>
      </c>
      <c r="ER39" s="123" t="n">
        <f aca="false">EP39*EN39</f>
        <v>0</v>
      </c>
      <c r="ES39" s="156" t="n">
        <f aca="false">($C39*$AH39)+$H$14</f>
        <v>0.52</v>
      </c>
      <c r="ET39" s="156" t="n">
        <f aca="false">($C39*$AI39)+$H$15</f>
        <v>0.52</v>
      </c>
      <c r="EU39" s="131" t="n">
        <f aca="false">$AJ39+$H$16</f>
        <v>0.9985</v>
      </c>
      <c r="EV39" s="157" t="n">
        <f aca="false">IF(EN39=0,0,SPRDOPT(EO39,EP39,$AK39,$AM39,ES39,ET39,EU39,$F39,$H$19,0))</f>
        <v>0</v>
      </c>
      <c r="EW39" s="157" t="e">
        <f aca="false">IF(EO39=0,0,SPRDOPT(EO39,EP39,$AK39,$AM39,ES39,ET39,EU39,$F39,$H$19,1))</f>
        <v>#NAME?</v>
      </c>
      <c r="EX39" s="157" t="e">
        <f aca="false">IF(EP39=0,0,SPRDOPT(EO39,EP39,$AK39,$AM39,ES39,ET39,EU39,$F39,$H$19,2))</f>
        <v>#NAME?</v>
      </c>
      <c r="EY39" s="157" t="n">
        <f aca="false">IF(EQ39=0,0,SPRDOPT(EO39,EP39,$AK39,$AM39,ES39,ET39,EU39,$F39,$H$19,3)/100)</f>
        <v>0</v>
      </c>
      <c r="EZ39" s="157" t="n">
        <f aca="false">IF(ER39=0,0,SPRDOPT(EO39,EP39,$AK39,$AM39,ES39,ET39,EU39,$F39,$H$19,4)/100)</f>
        <v>0</v>
      </c>
      <c r="FA39" s="157" t="e">
        <f aca="false">IF(ES39=0,0,SPRDOPT(EO39,EP39,$AK39,$AM39,ES39,ET39,EU39,$F39,$H$19,5)/100)</f>
        <v>#NAME?</v>
      </c>
      <c r="FB39" s="157" t="e">
        <f aca="false">IF(ET39=0,0,SPRDOPT(EO39,EP39,$AK39,$AM39,ES39,ET39,EU39,$F39,$H$19,6)/100)</f>
        <v>#NAME?</v>
      </c>
      <c r="FC39" s="157" t="e">
        <f aca="false">IF(EU39=0,0,SPRDOPT(EO39,EP39,$AK39,$AM39,ES39,ET39,EU39,$F39,$H$19,7)/100)</f>
        <v>#NAME?</v>
      </c>
      <c r="FD39" s="157" t="n">
        <f aca="false">IF(EV39=0,0,SPRDOPT(EO39,EP39,$AK39,$AM39,ES39,ET39,EU39,$F39,$H$19,9)/365)</f>
        <v>0</v>
      </c>
      <c r="FE39" s="157" t="e">
        <f aca="false">EW39+EX39</f>
        <v>#NAME?</v>
      </c>
      <c r="FF39" s="157" t="n">
        <f aca="false">EZ39-EY39</f>
        <v>0</v>
      </c>
      <c r="FG39" s="157" t="e">
        <f aca="false">((ES39/ET39)*FA39)+FB39</f>
        <v>#NAME?</v>
      </c>
      <c r="FH39" s="44"/>
      <c r="FI39" s="45" t="n">
        <f aca="false">$EN39*EV39</f>
        <v>0</v>
      </c>
      <c r="FJ39" s="45" t="e">
        <f aca="false">$EN39*EW39</f>
        <v>#NAME?</v>
      </c>
      <c r="FK39" s="45" t="e">
        <f aca="false">$EN39*EX39</f>
        <v>#NAME?</v>
      </c>
      <c r="FL39" s="45" t="n">
        <f aca="false">$EN39*EY39</f>
        <v>0</v>
      </c>
      <c r="FM39" s="45" t="n">
        <f aca="false">$EN39*EZ39</f>
        <v>0</v>
      </c>
      <c r="FN39" s="45" t="e">
        <f aca="false">$EN39*FA39</f>
        <v>#NAME?</v>
      </c>
      <c r="FO39" s="45" t="e">
        <f aca="false">$EN39*FB39</f>
        <v>#NAME?</v>
      </c>
      <c r="FP39" s="45" t="e">
        <f aca="false">$EN39*FC39</f>
        <v>#NAME?</v>
      </c>
      <c r="FQ39" s="45" t="n">
        <f aca="false">$EN39*FD39</f>
        <v>0</v>
      </c>
      <c r="FR39" s="45" t="e">
        <f aca="false">$EN39*FE39</f>
        <v>#NAME?</v>
      </c>
      <c r="FS39" s="45" t="n">
        <f aca="false">$EN39*FF39</f>
        <v>0</v>
      </c>
      <c r="FT39" s="45" t="e">
        <f aca="false">$EN39*FG39</f>
        <v>#NAME?</v>
      </c>
    </row>
    <row r="40" customFormat="false" ht="12.75" hidden="false" customHeight="false" outlineLevel="0" collapsed="false">
      <c r="A40" s="48" t="n">
        <f aca="false">DATE(YEAR(A39),MONTH(A39)+1,1)</f>
        <v>36861</v>
      </c>
      <c r="B40" s="40" t="n">
        <f aca="false">VLOOKUP(A40,STRADDLE,5,FALSE())</f>
        <v>5.5268</v>
      </c>
      <c r="C40" s="4" t="n">
        <f aca="false">VLOOKUP(A40,STRADDLE,8,FALSE())</f>
        <v>0.5725</v>
      </c>
      <c r="D40" s="40"/>
      <c r="E40" s="131"/>
      <c r="F40" s="136" t="n">
        <f aca="false">VLOOKUP(A40,expiration,2,FALSE())-$B$2</f>
        <v>-9068</v>
      </c>
      <c r="G40" s="4"/>
      <c r="H40" s="4"/>
      <c r="I40" s="41"/>
      <c r="J40" s="154"/>
      <c r="K40" s="40" t="n">
        <f aca="false">IF($B$3="NYMEX",0,VLOOKUP($A40,curvesettle,HLOOKUP($B$3,curvesettle,2,FALSE()),FALSE()))</f>
        <v>0.485</v>
      </c>
      <c r="L40" s="40" t="n">
        <f aca="false">IF($B$4="NYMEX",0,VLOOKUP($A40,curvesettle,HLOOKUP($B$4,curvesettle,2,FALSE()),FALSE()))</f>
        <v>0</v>
      </c>
      <c r="M40" s="131" t="n">
        <f aca="false">IF(ISNUMBER(VLOOKUP($A40,VOLCURVES,HLOOKUP($B$3,VOLCURVES,2,FALSE()),FALSE())),VLOOKUP($A40,VOLCURVES,HLOOKUP($B$3,VOLCURVES,2,FALSE()),FALSE()),1)</f>
        <v>1.05</v>
      </c>
      <c r="N40" s="131" t="n">
        <f aca="false">IF(ISNUMBER(VLOOKUP($A40,VOLCURVES,HLOOKUP($B$4,VOLCURVES,2,FALSE()),FALSE())),VLOOKUP($A40,VOLCURVES,HLOOKUP($B$4,VOLCURVES,2,FALSE()),FALSE()),1)</f>
        <v>1</v>
      </c>
      <c r="O40" s="131" t="n">
        <f aca="false">IF(ISNUMBER(VLOOKUP($A40,CORETABLE,HLOOKUP($B$3,CORETABLE,2,FALSE()),FALSE())),VLOOKUP($A40,CORETABLE,HLOOKUP($B$3,CORETABLE,2,FALSE()),FALSE()),0.99)</f>
        <v>0.91</v>
      </c>
      <c r="P40" s="155" t="n">
        <f aca="false">B$18</f>
        <v>0.3</v>
      </c>
      <c r="Q40" s="131"/>
      <c r="R40" s="40" t="n">
        <f aca="false">IF($D$3="NYMEX",0,VLOOKUP($A40,curvesettle,HLOOKUP($D$3,curvesettle,2,FALSE()),FALSE()))</f>
        <v>-0.3</v>
      </c>
      <c r="S40" s="40" t="n">
        <f aca="false">IF($D$4="NYMEX",0,VLOOKUP($A40,curvesettle,HLOOKUP($D$4,curvesettle,2,FALSE()),FALSE()))</f>
        <v>0</v>
      </c>
      <c r="T40" s="131" t="n">
        <f aca="false">IF(ISNUMBER(VLOOKUP($A40,VOLCURVES,HLOOKUP($D$3,VOLCURVES,2,FALSE()),FALSE())),VLOOKUP($A40,VOLCURVES,HLOOKUP($D$3,VOLCURVES,2,FALSE()),FALSE()),1)</f>
        <v>0.96</v>
      </c>
      <c r="U40" s="131" t="n">
        <f aca="false">IF(ISNUMBER(VLOOKUP($A40,VOLCURVES,HLOOKUP($D$4,VOLCURVES,2,FALSE()),FALSE())),VLOOKUP($A40,VOLCURVES,HLOOKUP($D$4,VOLCURVES,2,FALSE()),FALSE()),1)</f>
        <v>1</v>
      </c>
      <c r="V40" s="131" t="n">
        <f aca="false">IF(ISNUMBER(VLOOKUP($A40,CORETABLE,HLOOKUP($D$3,CORETABLE,2,FALSE()),FALSE())),VLOOKUP($A40,CORETABLE,HLOOKUP($D$3,CORETABLE,2,FALSE()),FALSE()),0.99)</f>
        <v>0.96</v>
      </c>
      <c r="W40" s="155" t="n">
        <f aca="false">D$18</f>
        <v>-0.35</v>
      </c>
      <c r="X40" s="131"/>
      <c r="Y40" s="40" t="n">
        <f aca="false">IF($F$3="NYMEX",0,VLOOKUP($A40,curvesettle,HLOOKUP($F$3,curvesettle,2,FALSE()),FALSE()))</f>
        <v>-0.14</v>
      </c>
      <c r="Z40" s="40" t="n">
        <f aca="false">IF($F$4="NYMEX",0,VLOOKUP($A40,curvesettle,HLOOKUP($F$4,curvesettle,2,FALSE()),FALSE()))</f>
        <v>0</v>
      </c>
      <c r="AA40" s="131" t="n">
        <f aca="false">IF(ISNUMBER(VLOOKUP($A40,VOLCURVES,HLOOKUP($F$3,VOLCURVES,2,FALSE()),FALSE())),VLOOKUP($A40,VOLCURVES,HLOOKUP($F$3,VOLCURVES,2,FALSE()),FALSE()),1)</f>
        <v>1</v>
      </c>
      <c r="AB40" s="131" t="n">
        <f aca="false">IF(ISNUMBER(VLOOKUP($A40,VOLCURVES,HLOOKUP($F$4,VOLCURVES,2,FALSE()),FALSE())),VLOOKUP($A40,VOLCURVES,HLOOKUP($F$4,VOLCURVES,2,FALSE()),FALSE()),1)</f>
        <v>1</v>
      </c>
      <c r="AC40" s="131" t="n">
        <f aca="false">IF(ISNUMBER(VLOOKUP($A40,CORETABLE,HLOOKUP($F$3,CORETABLE,2,FALSE()),FALSE())),VLOOKUP($A40,CORETABLE,HLOOKUP($F$3,CORETABLE,2,FALSE()),FALSE()),1)</f>
        <v>0.995</v>
      </c>
      <c r="AD40" s="155" t="n">
        <f aca="false">F$18</f>
        <v>-0.2</v>
      </c>
      <c r="AE40" s="131"/>
      <c r="AF40" s="40" t="n">
        <f aca="false">IF($H$3="NYMEX",0,VLOOKUP($A40,curvesettle,HLOOKUP($H$3,curvesettle,2,FALSE()),FALSE()))</f>
        <v>0.1475</v>
      </c>
      <c r="AG40" s="40" t="n">
        <f aca="false">IF($H$4="NYMEX",0,VLOOKUP($A40,curvesettle,HLOOKUP($H$4,curvesettle,2,FALSE()),FALSE()))</f>
        <v>0</v>
      </c>
      <c r="AH40" s="131" t="n">
        <f aca="false">IF(ISNUMBER(VLOOKUP($A40,VOLCURVES,HLOOKUP($H$3,VOLCURVES,2,FALSE()),FALSE())),VLOOKUP($A40,VOLCURVES,HLOOKUP($H$3,VOLCURVES,2,FALSE()),FALSE()),1)</f>
        <v>1</v>
      </c>
      <c r="AI40" s="131" t="n">
        <f aca="false">IF(ISNUMBER(VLOOKUP($A40,VOLCURVES,HLOOKUP($H$4,VOLCURVES,2,FALSE()),FALSE())),VLOOKUP($A40,VOLCURVES,HLOOKUP($H$4,VOLCURVES,2,FALSE()),FALSE()),1)</f>
        <v>1</v>
      </c>
      <c r="AJ40" s="131" t="n">
        <f aca="false">IF(ISNUMBER(VLOOKUP($A40,CORETABLE,HLOOKUP($H$3,CORETABLE,2,FALSE()),FALSE())),VLOOKUP($A40,CORETABLE,HLOOKUP($H$3,CORETABLE,2,FALSE()),FALSE()),1)</f>
        <v>0.9985</v>
      </c>
      <c r="AK40" s="155" t="n">
        <f aca="false">H$18</f>
        <v>0.2</v>
      </c>
      <c r="AM40" s="4" t="n">
        <f aca="false">VLOOKUP($A40,STRADDLE,12,FALSE())</f>
        <v>0.068102551581873</v>
      </c>
      <c r="AN40" s="43" t="n">
        <f aca="false">A41-A40</f>
        <v>31</v>
      </c>
      <c r="AP40" s="9" t="n">
        <f aca="false">IF($A40&gt;=AR$32,IF($A40&lt;=AR$33,$AN40,0),0)</f>
        <v>31</v>
      </c>
      <c r="AQ40" s="123" t="n">
        <f aca="false">$B40+$K40+$B$12</f>
        <v>5.9793</v>
      </c>
      <c r="AR40" s="123" t="n">
        <f aca="false">$B40+$L40+$B$13</f>
        <v>5.5268</v>
      </c>
      <c r="AS40" s="123" t="n">
        <f aca="false">AQ40*AP40</f>
        <v>185.3583</v>
      </c>
      <c r="AT40" s="123" t="n">
        <f aca="false">AR40*AP40</f>
        <v>171.3308</v>
      </c>
      <c r="AU40" s="156" t="n">
        <f aca="false">($C40*$M40)+$B$14</f>
        <v>0.601125</v>
      </c>
      <c r="AV40" s="156" t="n">
        <f aca="false">($C40*$N40)+$B$15</f>
        <v>0.5725</v>
      </c>
      <c r="AW40" s="131" t="n">
        <f aca="false">O40+B$16</f>
        <v>0.91</v>
      </c>
      <c r="AX40" s="157" t="e">
        <f aca="false">IF(AP40=0,0,SPRDOPT(AQ40,AR40,$P40,$AM40,AU40,AV40,AW40,$F40,$B$19,0))</f>
        <v>#NAME?</v>
      </c>
      <c r="AY40" s="157" t="e">
        <f aca="false">IF(AQ40=0,0,SPRDOPT(AQ40,AR40,$P40,$AM40,AU40,AV40,AW40,$F40,$B$19,1))</f>
        <v>#NAME?</v>
      </c>
      <c r="AZ40" s="157" t="e">
        <f aca="false">IF(AR40=0,0,SPRDOPT(AQ40,AR40,$P40,$AM40,AU40,AV40,AW40,$F40,$B$19,2))</f>
        <v>#NAME?</v>
      </c>
      <c r="BA40" s="157" t="e">
        <f aca="false">IF(AS40=0,0,SPRDOPT(AQ40,AR40,$P40,$AM40,AU40,AV40,AW40,$F40,$B$19,3)/100)</f>
        <v>#NAME?</v>
      </c>
      <c r="BB40" s="157" t="e">
        <f aca="false">IF(AT40=0,0,SPRDOPT(AQ40,AR40,$P40,$AM40,AU40,AV40,AW40,$F40,$B$19,4)/100)</f>
        <v>#NAME?</v>
      </c>
      <c r="BC40" s="157" t="e">
        <f aca="false">IF(AU40=0,0,SPRDOPT(AQ40,AR40,$P40,$AM40,AU40,AV40,AW40,$F40,$B$19,5)/100)</f>
        <v>#NAME?</v>
      </c>
      <c r="BD40" s="157" t="e">
        <f aca="false">IF(AV40=0,0,SPRDOPT(AQ40,AR40,$P40,$AM40,AU40,AV40,AW40,$F40,$B$19,6)/100)</f>
        <v>#NAME?</v>
      </c>
      <c r="BE40" s="157" t="e">
        <f aca="false">IF(AW40=0,0,SPRDOPT(AQ40,AR40,$P40,$AM40,AU40,AV40,AW40,$F40,$B$19,7)/100)</f>
        <v>#NAME?</v>
      </c>
      <c r="BF40" s="157" t="e">
        <f aca="false">IF(AX40=0,0,SPRDOPT(AQ40,AR40,$P40,$AM40,AU40,AV40,AW40,$F40,$B$19,9)/365)</f>
        <v>#NAME?</v>
      </c>
      <c r="BG40" s="157" t="e">
        <f aca="false">AY40+AZ40</f>
        <v>#NAME?</v>
      </c>
      <c r="BH40" s="157" t="e">
        <f aca="false">BB40-BA40</f>
        <v>#NAME?</v>
      </c>
      <c r="BI40" s="157" t="e">
        <f aca="false">((AU40/AV40)*BC40)+BD40</f>
        <v>#NAME?</v>
      </c>
      <c r="BJ40" s="44"/>
      <c r="BK40" s="45" t="e">
        <f aca="false">$AP40*AX40</f>
        <v>#NAME?</v>
      </c>
      <c r="BL40" s="45" t="e">
        <f aca="false">$AP40*AY40</f>
        <v>#NAME?</v>
      </c>
      <c r="BM40" s="45" t="e">
        <f aca="false">$AP40*AZ40</f>
        <v>#NAME?</v>
      </c>
      <c r="BN40" s="45" t="e">
        <f aca="false">$AP40*BA40</f>
        <v>#NAME?</v>
      </c>
      <c r="BO40" s="45" t="e">
        <f aca="false">$AP40*BB40</f>
        <v>#NAME?</v>
      </c>
      <c r="BP40" s="45" t="e">
        <f aca="false">$AP40*BC40</f>
        <v>#NAME?</v>
      </c>
      <c r="BQ40" s="45" t="e">
        <f aca="false">$AP40*BD40</f>
        <v>#NAME?</v>
      </c>
      <c r="BR40" s="45" t="e">
        <f aca="false">$AP40*BE40</f>
        <v>#NAME?</v>
      </c>
      <c r="BS40" s="45" t="e">
        <f aca="false">$AP40*BF40</f>
        <v>#NAME?</v>
      </c>
      <c r="BT40" s="45" t="e">
        <f aca="false">$AP40*BG40</f>
        <v>#NAME?</v>
      </c>
      <c r="BU40" s="45" t="e">
        <f aca="false">$AP40*BH40</f>
        <v>#NAME?</v>
      </c>
      <c r="BV40" s="45" t="e">
        <f aca="false">$AP40*BI40</f>
        <v>#NAME?</v>
      </c>
      <c r="BX40" s="9" t="n">
        <f aca="false">IF($A40&gt;=BZ$32,IF($A40&lt;=BZ$33,$AN40,0),0)</f>
        <v>31</v>
      </c>
      <c r="BY40" s="123" t="n">
        <f aca="false">$B40+$R40+$D$12</f>
        <v>5.1943</v>
      </c>
      <c r="BZ40" s="123" t="n">
        <f aca="false">$B40+$S40+$D$13</f>
        <v>5.5268</v>
      </c>
      <c r="CA40" s="123" t="n">
        <f aca="false">BY40*BX40</f>
        <v>161.0233</v>
      </c>
      <c r="CB40" s="123" t="n">
        <f aca="false">BZ40*BX40</f>
        <v>171.3308</v>
      </c>
      <c r="CC40" s="156" t="n">
        <f aca="false">($C40*$T40)+$D$14</f>
        <v>0.5496</v>
      </c>
      <c r="CD40" s="156" t="n">
        <f aca="false">($C40*$U40)+$D$15</f>
        <v>0.5725</v>
      </c>
      <c r="CE40" s="131" t="n">
        <f aca="false">$V40+D$16</f>
        <v>0.96</v>
      </c>
      <c r="CF40" s="157" t="e">
        <f aca="false">IF(BX40=0,0,SPRDOPT(BY40,BZ40,$W40,$AM40,CC40,CD40,CE40,$F40,$D$19,0))</f>
        <v>#NAME?</v>
      </c>
      <c r="CG40" s="157" t="e">
        <f aca="false">IF(BY40=0,0,SPRDOPT(BY40,BZ40,$W40,$AM40,CC40,CD40,CE40,$F40,$D$19,1))</f>
        <v>#NAME?</v>
      </c>
      <c r="CH40" s="157" t="e">
        <f aca="false">IF(BZ40=0,0,SPRDOPT(BY40,BZ40,$W40,$AM40,CC40,CD40,CE40,$F40,$D$19,2))</f>
        <v>#NAME?</v>
      </c>
      <c r="CI40" s="157" t="e">
        <f aca="false">IF(CA40=0,0,SPRDOPT(BY40,BZ40,$W40,$AM40,CC40,CD40,CE40,$F40,$D$19,3)/100)</f>
        <v>#NAME?</v>
      </c>
      <c r="CJ40" s="157" t="e">
        <f aca="false">IF(CB40=0,0,SPRDOPT(BY40,BZ40,$W40,$AM40,CC40,CD40,CE40,$F40,$D$19,4)/100)</f>
        <v>#NAME?</v>
      </c>
      <c r="CK40" s="157" t="e">
        <f aca="false">IF(CC40=0,0,SPRDOPT(BY40,BZ40,$W40,$AM40,CC40,CD40,CE40,$F40,$D$19,5)/100)</f>
        <v>#NAME?</v>
      </c>
      <c r="CL40" s="157" t="e">
        <f aca="false">IF(CD40=0,0,SPRDOPT(BY40,BZ40,$W40,$AM40,CC40,CD40,CE40,$F40,$D$19,6)/100)</f>
        <v>#NAME?</v>
      </c>
      <c r="CM40" s="157" t="e">
        <f aca="false">IF(CE40=0,0,SPRDOPT(BY40,BZ40,$W40,$AM40,CC40,CD40,CE40,$F40,$D$19,7)/100)</f>
        <v>#NAME?</v>
      </c>
      <c r="CN40" s="157" t="e">
        <f aca="false">IF(CF40=0,0,SPRDOPT(BY40,BZ40,$W40,$AM40,CC40,CD40,CE40,$F40,$D$19,9)/365)</f>
        <v>#NAME?</v>
      </c>
      <c r="CO40" s="157" t="e">
        <f aca="false">CG40+CH40</f>
        <v>#NAME?</v>
      </c>
      <c r="CP40" s="157" t="e">
        <f aca="false">CJ40-CI40</f>
        <v>#NAME?</v>
      </c>
      <c r="CQ40" s="157" t="e">
        <f aca="false">((CC40/CD40)*CK40)+CL40</f>
        <v>#NAME?</v>
      </c>
      <c r="CR40" s="44"/>
      <c r="CS40" s="45" t="e">
        <f aca="false">BX40*CF40</f>
        <v>#NAME?</v>
      </c>
      <c r="CT40" s="45" t="e">
        <f aca="false">BX40*CG40</f>
        <v>#NAME?</v>
      </c>
      <c r="CU40" s="45" t="e">
        <f aca="false">BX40*CH40</f>
        <v>#NAME?</v>
      </c>
      <c r="CV40" s="45" t="e">
        <f aca="false">BX40*CI40</f>
        <v>#NAME?</v>
      </c>
      <c r="CW40" s="45" t="e">
        <f aca="false">BX40*CJ40</f>
        <v>#NAME?</v>
      </c>
      <c r="CX40" s="45" t="e">
        <f aca="false">BX40*CK40</f>
        <v>#NAME?</v>
      </c>
      <c r="CY40" s="45" t="e">
        <f aca="false">BX40*CL40</f>
        <v>#NAME?</v>
      </c>
      <c r="CZ40" s="45" t="e">
        <f aca="false">BX40*CM40</f>
        <v>#NAME?</v>
      </c>
      <c r="DA40" s="45" t="e">
        <f aca="false">BX40*CN40</f>
        <v>#NAME?</v>
      </c>
      <c r="DB40" s="45" t="e">
        <f aca="false">BX40*CO40</f>
        <v>#NAME?</v>
      </c>
      <c r="DC40" s="45" t="e">
        <f aca="false">BX40*CP40</f>
        <v>#NAME?</v>
      </c>
      <c r="DD40" s="45" t="e">
        <f aca="false">BX40*CQ40</f>
        <v>#NAME?</v>
      </c>
      <c r="DF40" s="9" t="n">
        <f aca="false">IF($A40&gt;=DH$32,IF($A40&lt;=DH$33,$AN40,0),0)</f>
        <v>31</v>
      </c>
      <c r="DG40" s="123" t="n">
        <f aca="false">$B40+$Y40+$F$12</f>
        <v>5.3868</v>
      </c>
      <c r="DH40" s="123" t="n">
        <f aca="false">$B40+$Z40+$F$13</f>
        <v>5.5268</v>
      </c>
      <c r="DI40" s="123" t="n">
        <f aca="false">DG40*DF40</f>
        <v>166.9908</v>
      </c>
      <c r="DJ40" s="123" t="n">
        <f aca="false">DH40*DF40</f>
        <v>171.3308</v>
      </c>
      <c r="DK40" s="156" t="n">
        <f aca="false">($C40*$AA40)+$F$14</f>
        <v>0.5725</v>
      </c>
      <c r="DL40" s="156" t="n">
        <f aca="false">($C40*$AB40)+$F$15</f>
        <v>0.5725</v>
      </c>
      <c r="DM40" s="131" t="n">
        <f aca="false">$AC40+$F$16</f>
        <v>0.995</v>
      </c>
      <c r="DN40" s="157" t="e">
        <f aca="false">IF(DF40=0,0,SPRDOPT(DG40,DH40,$AD40,$AM40,DK40,DL40,DM40,$F40,$F$19,0))</f>
        <v>#NAME?</v>
      </c>
      <c r="DO40" s="157" t="e">
        <f aca="false">IF(DG40=0,0,SPRDOPT(DG40,DH40,$AD40,$AM40,DK40,DL40,DM40,$F40,$F$19,1))</f>
        <v>#NAME?</v>
      </c>
      <c r="DP40" s="157" t="e">
        <f aca="false">IF(DH40=0,0,SPRDOPT(DG40,DH40,$AD40,$AM40,DK40,DL40,DM40,$F40,$F$19,2))</f>
        <v>#NAME?</v>
      </c>
      <c r="DQ40" s="157" t="e">
        <f aca="false">IF(DI40=0,0,SPRDOPT(DG40,DH40,$AD40,$AM40,DK40,DL40,DM40,$F40,$F$19,3)/100)</f>
        <v>#NAME?</v>
      </c>
      <c r="DR40" s="157" t="e">
        <f aca="false">IF(DJ40=0,0,SPRDOPT(DG40,DH40,$AD40,$AM40,DK40,DL40,DM40,$F40,$F$19,4)/100)</f>
        <v>#NAME?</v>
      </c>
      <c r="DS40" s="157" t="e">
        <f aca="false">IF(DK40=0,0,SPRDOPT(DG40,DH40,$AD40,$AM40,DK40,DL40,DM40,$F40,$F$19,5)/100)</f>
        <v>#NAME?</v>
      </c>
      <c r="DT40" s="157" t="e">
        <f aca="false">IF(DL40=0,0,SPRDOPT(DG40,DH40,$AD40,$AM40,DK40,DL40,DM40,$F40,$F$19,6)/100)</f>
        <v>#NAME?</v>
      </c>
      <c r="DU40" s="157" t="e">
        <f aca="false">IF(DM40=0,0,SPRDOPT(DG40,DH40,$AD40,$AM40,DK40,DL40,DM40,$F40,$F$19,7)/100)</f>
        <v>#NAME?</v>
      </c>
      <c r="DV40" s="157" t="e">
        <f aca="false">IF(DN40=0,0,SPRDOPT(DG40,DH40,$AD40,$AM40,DK40,DL40,DM40,$F40,$F$19,9)/365)</f>
        <v>#NAME?</v>
      </c>
      <c r="DW40" s="157" t="e">
        <f aca="false">DO40+DP40</f>
        <v>#NAME?</v>
      </c>
      <c r="DX40" s="157" t="e">
        <f aca="false">DR40-DQ40</f>
        <v>#NAME?</v>
      </c>
      <c r="DY40" s="157" t="e">
        <f aca="false">((DK40/DL40)*DS40)+DT40</f>
        <v>#NAME?</v>
      </c>
      <c r="DZ40" s="44"/>
      <c r="EA40" s="45" t="e">
        <f aca="false">DF40*DN40</f>
        <v>#NAME?</v>
      </c>
      <c r="EB40" s="45" t="e">
        <f aca="false">DF40*DO40</f>
        <v>#NAME?</v>
      </c>
      <c r="EC40" s="45" t="e">
        <f aca="false">DF40*DP40</f>
        <v>#NAME?</v>
      </c>
      <c r="ED40" s="45" t="e">
        <f aca="false">DF40*DQ40</f>
        <v>#NAME?</v>
      </c>
      <c r="EE40" s="45" t="e">
        <f aca="false">DF40*DR40</f>
        <v>#NAME?</v>
      </c>
      <c r="EF40" s="45" t="e">
        <f aca="false">DF40*DS40</f>
        <v>#NAME?</v>
      </c>
      <c r="EG40" s="45" t="e">
        <f aca="false">DF40*DT40</f>
        <v>#NAME?</v>
      </c>
      <c r="EH40" s="45" t="e">
        <f aca="false">DF40*DU40</f>
        <v>#NAME?</v>
      </c>
      <c r="EI40" s="45" t="e">
        <f aca="false">DF40*DV40</f>
        <v>#NAME?</v>
      </c>
      <c r="EJ40" s="45" t="e">
        <f aca="false">DF40*DW40</f>
        <v>#NAME?</v>
      </c>
      <c r="EK40" s="45" t="e">
        <f aca="false">DF40*DX40</f>
        <v>#NAME?</v>
      </c>
      <c r="EL40" s="45" t="e">
        <f aca="false">DF40*DY40</f>
        <v>#NAME?</v>
      </c>
      <c r="EN40" s="9" t="n">
        <f aca="false">IF($A40&gt;=EP$32,IF($A40&lt;=EP$33,$AN40,0),0)</f>
        <v>0</v>
      </c>
      <c r="EO40" s="123" t="n">
        <f aca="false">$B40+$AF40+$H$12</f>
        <v>5.6793</v>
      </c>
      <c r="EP40" s="123" t="n">
        <f aca="false">$B40+$AG40+$H$13</f>
        <v>5.5268</v>
      </c>
      <c r="EQ40" s="123" t="n">
        <f aca="false">EO40*EN40</f>
        <v>0</v>
      </c>
      <c r="ER40" s="123" t="n">
        <f aca="false">EP40*EN40</f>
        <v>0</v>
      </c>
      <c r="ES40" s="156" t="n">
        <f aca="false">($C40*$AH40)+$H$14</f>
        <v>0.5725</v>
      </c>
      <c r="ET40" s="156" t="n">
        <f aca="false">($C40*$AI40)+$H$15</f>
        <v>0.5725</v>
      </c>
      <c r="EU40" s="131" t="n">
        <f aca="false">$AJ40+$H$16</f>
        <v>0.9985</v>
      </c>
      <c r="EV40" s="157" t="n">
        <f aca="false">IF(EN40=0,0,SPRDOPT(EO40,EP40,$AK40,$AM40,ES40,ET40,EU40,$F40,$H$19,0))</f>
        <v>0</v>
      </c>
      <c r="EW40" s="157" t="e">
        <f aca="false">IF(EO40=0,0,SPRDOPT(EO40,EP40,$AK40,$AM40,ES40,ET40,EU40,$F40,$H$19,1))</f>
        <v>#NAME?</v>
      </c>
      <c r="EX40" s="157" t="e">
        <f aca="false">IF(EP40=0,0,SPRDOPT(EO40,EP40,$AK40,$AM40,ES40,ET40,EU40,$F40,$H$19,2))</f>
        <v>#NAME?</v>
      </c>
      <c r="EY40" s="157" t="n">
        <f aca="false">IF(EQ40=0,0,SPRDOPT(EO40,EP40,$AK40,$AM40,ES40,ET40,EU40,$F40,$H$19,3)/100)</f>
        <v>0</v>
      </c>
      <c r="EZ40" s="157" t="n">
        <f aca="false">IF(ER40=0,0,SPRDOPT(EO40,EP40,$AK40,$AM40,ES40,ET40,EU40,$F40,$H$19,4)/100)</f>
        <v>0</v>
      </c>
      <c r="FA40" s="157" t="e">
        <f aca="false">IF(ES40=0,0,SPRDOPT(EO40,EP40,$AK40,$AM40,ES40,ET40,EU40,$F40,$H$19,5)/100)</f>
        <v>#NAME?</v>
      </c>
      <c r="FB40" s="157" t="e">
        <f aca="false">IF(ET40=0,0,SPRDOPT(EO40,EP40,$AK40,$AM40,ES40,ET40,EU40,$F40,$H$19,6)/100)</f>
        <v>#NAME?</v>
      </c>
      <c r="FC40" s="157" t="e">
        <f aca="false">IF(EU40=0,0,SPRDOPT(EO40,EP40,$AK40,$AM40,ES40,ET40,EU40,$F40,$H$19,7)/100)</f>
        <v>#NAME?</v>
      </c>
      <c r="FD40" s="157" t="n">
        <f aca="false">IF(EV40=0,0,SPRDOPT(EO40,EP40,$AK40,$AM40,ES40,ET40,EU40,$F40,$H$19,9)/365)</f>
        <v>0</v>
      </c>
      <c r="FE40" s="157" t="e">
        <f aca="false">EW40+EX40</f>
        <v>#NAME?</v>
      </c>
      <c r="FF40" s="157" t="n">
        <f aca="false">EZ40-EY40</f>
        <v>0</v>
      </c>
      <c r="FG40" s="157" t="e">
        <f aca="false">((ES40/ET40)*FA40)+FB40</f>
        <v>#NAME?</v>
      </c>
      <c r="FH40" s="44"/>
      <c r="FI40" s="45" t="n">
        <f aca="false">$EN40*EV40</f>
        <v>0</v>
      </c>
      <c r="FJ40" s="45" t="e">
        <f aca="false">$EN40*EW40</f>
        <v>#NAME?</v>
      </c>
      <c r="FK40" s="45" t="e">
        <f aca="false">$EN40*EX40</f>
        <v>#NAME?</v>
      </c>
      <c r="FL40" s="45" t="n">
        <f aca="false">$EN40*EY40</f>
        <v>0</v>
      </c>
      <c r="FM40" s="45" t="n">
        <f aca="false">$EN40*EZ40</f>
        <v>0</v>
      </c>
      <c r="FN40" s="45" t="e">
        <f aca="false">$EN40*FA40</f>
        <v>#NAME?</v>
      </c>
      <c r="FO40" s="45" t="e">
        <f aca="false">$EN40*FB40</f>
        <v>#NAME?</v>
      </c>
      <c r="FP40" s="45" t="e">
        <f aca="false">$EN40*FC40</f>
        <v>#NAME?</v>
      </c>
      <c r="FQ40" s="45" t="n">
        <f aca="false">$EN40*FD40</f>
        <v>0</v>
      </c>
      <c r="FR40" s="45" t="e">
        <f aca="false">$EN40*FE40</f>
        <v>#NAME?</v>
      </c>
      <c r="FS40" s="45" t="n">
        <f aca="false">$EN40*FF40</f>
        <v>0</v>
      </c>
      <c r="FT40" s="45" t="e">
        <f aca="false">$EN40*FG40</f>
        <v>#NAME?</v>
      </c>
    </row>
    <row r="41" customFormat="false" ht="12.75" hidden="false" customHeight="false" outlineLevel="0" collapsed="false">
      <c r="A41" s="48" t="n">
        <f aca="false">DATE(YEAR(A40),MONTH(A40)+1,1)</f>
        <v>36892</v>
      </c>
      <c r="B41" s="40" t="n">
        <f aca="false">VLOOKUP(A41,STRADDLE,5,FALSE())</f>
        <v>5.4768</v>
      </c>
      <c r="C41" s="4" t="n">
        <f aca="false">VLOOKUP(A41,STRADDLE,8,FALSE())</f>
        <v>0.6075</v>
      </c>
      <c r="D41" s="40"/>
      <c r="E41" s="131"/>
      <c r="F41" s="136" t="n">
        <f aca="false">VLOOKUP(A41,expiration,2,FALSE())-$B$2</f>
        <v>-9039</v>
      </c>
      <c r="G41" s="4"/>
      <c r="H41" s="4"/>
      <c r="I41" s="41"/>
      <c r="J41" s="154"/>
      <c r="K41" s="40" t="n">
        <f aca="false">IF($B$3="NYMEX",0,VLOOKUP($A41,curvesettle,HLOOKUP($B$3,curvesettle,2,FALSE()),FALSE()))</f>
        <v>0.485</v>
      </c>
      <c r="L41" s="40" t="n">
        <f aca="false">IF($B$4="NYMEX",0,VLOOKUP($A41,curvesettle,HLOOKUP($B$4,curvesettle,2,FALSE()),FALSE()))</f>
        <v>0</v>
      </c>
      <c r="M41" s="131" t="n">
        <f aca="false">IF(ISNUMBER(VLOOKUP($A41,VOLCURVES,HLOOKUP($B$3,VOLCURVES,2,FALSE()),FALSE())),VLOOKUP($A41,VOLCURVES,HLOOKUP($B$3,VOLCURVES,2,FALSE()),FALSE()),1)</f>
        <v>1.05</v>
      </c>
      <c r="N41" s="131" t="n">
        <f aca="false">IF(ISNUMBER(VLOOKUP($A41,VOLCURVES,HLOOKUP($B$4,VOLCURVES,2,FALSE()),FALSE())),VLOOKUP($A41,VOLCURVES,HLOOKUP($B$4,VOLCURVES,2,FALSE()),FALSE()),1)</f>
        <v>1</v>
      </c>
      <c r="O41" s="131" t="n">
        <f aca="false">IF(ISNUMBER(VLOOKUP($A41,CORETABLE,HLOOKUP($B$3,CORETABLE,2,FALSE()),FALSE())),VLOOKUP($A41,CORETABLE,HLOOKUP($B$3,CORETABLE,2,FALSE()),FALSE()),0.99)</f>
        <v>0.91</v>
      </c>
      <c r="P41" s="155" t="n">
        <f aca="false">B$18</f>
        <v>0.3</v>
      </c>
      <c r="Q41" s="131"/>
      <c r="R41" s="40" t="n">
        <f aca="false">IF($D$3="NYMEX",0,VLOOKUP($A41,curvesettle,HLOOKUP($D$3,curvesettle,2,FALSE()),FALSE()))</f>
        <v>-0.31</v>
      </c>
      <c r="S41" s="40" t="n">
        <f aca="false">IF($D$4="NYMEX",0,VLOOKUP($A41,curvesettle,HLOOKUP($D$4,curvesettle,2,FALSE()),FALSE()))</f>
        <v>0</v>
      </c>
      <c r="T41" s="131" t="n">
        <f aca="false">IF(ISNUMBER(VLOOKUP($A41,VOLCURVES,HLOOKUP($D$3,VOLCURVES,2,FALSE()),FALSE())),VLOOKUP($A41,VOLCURVES,HLOOKUP($D$3,VOLCURVES,2,FALSE()),FALSE()),1)</f>
        <v>0.96</v>
      </c>
      <c r="U41" s="131" t="n">
        <f aca="false">IF(ISNUMBER(VLOOKUP($A41,VOLCURVES,HLOOKUP($D$4,VOLCURVES,2,FALSE()),FALSE())),VLOOKUP($A41,VOLCURVES,HLOOKUP($D$4,VOLCURVES,2,FALSE()),FALSE()),1)</f>
        <v>1</v>
      </c>
      <c r="V41" s="131" t="n">
        <f aca="false">IF(ISNUMBER(VLOOKUP($A41,CORETABLE,HLOOKUP($D$3,CORETABLE,2,FALSE()),FALSE())),VLOOKUP($A41,CORETABLE,HLOOKUP($D$3,CORETABLE,2,FALSE()),FALSE()),0.99)</f>
        <v>0.96</v>
      </c>
      <c r="W41" s="155" t="n">
        <f aca="false">D$18</f>
        <v>-0.35</v>
      </c>
      <c r="X41" s="131"/>
      <c r="Y41" s="40" t="n">
        <f aca="false">IF($F$3="NYMEX",0,VLOOKUP($A41,curvesettle,HLOOKUP($F$3,curvesettle,2,FALSE()),FALSE()))</f>
        <v>-0.1475</v>
      </c>
      <c r="Z41" s="40" t="n">
        <f aca="false">IF($F$4="NYMEX",0,VLOOKUP($A41,curvesettle,HLOOKUP($F$4,curvesettle,2,FALSE()),FALSE()))</f>
        <v>0</v>
      </c>
      <c r="AA41" s="131" t="n">
        <f aca="false">IF(ISNUMBER(VLOOKUP($A41,VOLCURVES,HLOOKUP($F$3,VOLCURVES,2,FALSE()),FALSE())),VLOOKUP($A41,VOLCURVES,HLOOKUP($F$3,VOLCURVES,2,FALSE()),FALSE()),1)</f>
        <v>1</v>
      </c>
      <c r="AB41" s="131" t="n">
        <f aca="false">IF(ISNUMBER(VLOOKUP($A41,VOLCURVES,HLOOKUP($F$4,VOLCURVES,2,FALSE()),FALSE())),VLOOKUP($A41,VOLCURVES,HLOOKUP($F$4,VOLCURVES,2,FALSE()),FALSE()),1)</f>
        <v>1</v>
      </c>
      <c r="AC41" s="131" t="n">
        <f aca="false">IF(ISNUMBER(VLOOKUP($A41,CORETABLE,HLOOKUP($F$3,CORETABLE,2,FALSE()),FALSE())),VLOOKUP($A41,CORETABLE,HLOOKUP($F$3,CORETABLE,2,FALSE()),FALSE()),1)</f>
        <v>0.995</v>
      </c>
      <c r="AD41" s="155" t="n">
        <f aca="false">F$18</f>
        <v>-0.2</v>
      </c>
      <c r="AE41" s="131"/>
      <c r="AF41" s="40" t="n">
        <f aca="false">IF($H$3="NYMEX",0,VLOOKUP($A41,curvesettle,HLOOKUP($H$3,curvesettle,2,FALSE()),FALSE()))</f>
        <v>0.1825</v>
      </c>
      <c r="AG41" s="40" t="n">
        <f aca="false">IF($H$4="NYMEX",0,VLOOKUP($A41,curvesettle,HLOOKUP($H$4,curvesettle,2,FALSE()),FALSE()))</f>
        <v>0</v>
      </c>
      <c r="AH41" s="131" t="n">
        <f aca="false">IF(ISNUMBER(VLOOKUP($A41,VOLCURVES,HLOOKUP($H$3,VOLCURVES,2,FALSE()),FALSE())),VLOOKUP($A41,VOLCURVES,HLOOKUP($H$3,VOLCURVES,2,FALSE()),FALSE()),1)</f>
        <v>1</v>
      </c>
      <c r="AI41" s="131" t="n">
        <f aca="false">IF(ISNUMBER(VLOOKUP($A41,VOLCURVES,HLOOKUP($H$4,VOLCURVES,2,FALSE()),FALSE())),VLOOKUP($A41,VOLCURVES,HLOOKUP($H$4,VOLCURVES,2,FALSE()),FALSE()),1)</f>
        <v>1</v>
      </c>
      <c r="AJ41" s="131" t="n">
        <f aca="false">IF(ISNUMBER(VLOOKUP($A41,CORETABLE,HLOOKUP($H$3,CORETABLE,2,FALSE()),FALSE())),VLOOKUP($A41,CORETABLE,HLOOKUP($H$3,CORETABLE,2,FALSE()),FALSE()),1)</f>
        <v>0.9985</v>
      </c>
      <c r="AK41" s="155" t="n">
        <f aca="false">H$18</f>
        <v>0.2</v>
      </c>
      <c r="AM41" s="4" t="n">
        <f aca="false">VLOOKUP($A41,STRADDLE,12,FALSE())</f>
        <v>0.068146567086238</v>
      </c>
      <c r="AN41" s="43" t="n">
        <f aca="false">A42-A41</f>
        <v>31</v>
      </c>
      <c r="AP41" s="9" t="n">
        <f aca="false">IF($A41&gt;=AR$32,IF($A41&lt;=AR$33,$AN41,0),0)</f>
        <v>31</v>
      </c>
      <c r="AQ41" s="123" t="n">
        <f aca="false">$B41+$K41+$B$12</f>
        <v>5.9293</v>
      </c>
      <c r="AR41" s="123" t="n">
        <f aca="false">$B41+$L41+$B$13</f>
        <v>5.4768</v>
      </c>
      <c r="AS41" s="123" t="n">
        <f aca="false">AQ41*AP41</f>
        <v>183.8083</v>
      </c>
      <c r="AT41" s="123" t="n">
        <f aca="false">AR41*AP41</f>
        <v>169.7808</v>
      </c>
      <c r="AU41" s="156" t="n">
        <f aca="false">($C41*$M41)+$B$14</f>
        <v>0.637875</v>
      </c>
      <c r="AV41" s="156" t="n">
        <f aca="false">($C41*$N41)+$B$15</f>
        <v>0.6075</v>
      </c>
      <c r="AW41" s="131" t="n">
        <f aca="false">O41+B$16</f>
        <v>0.91</v>
      </c>
      <c r="AX41" s="157" t="e">
        <f aca="false">IF(AP41=0,0,SPRDOPT(AQ41,AR41,$P41,$AM41,AU41,AV41,AW41,$F41,$B$19,0))</f>
        <v>#NAME?</v>
      </c>
      <c r="AY41" s="157" t="e">
        <f aca="false">IF(AQ41=0,0,SPRDOPT(AQ41,AR41,$P41,$AM41,AU41,AV41,AW41,$F41,$B$19,1))</f>
        <v>#NAME?</v>
      </c>
      <c r="AZ41" s="157" t="e">
        <f aca="false">IF(AR41=0,0,SPRDOPT(AQ41,AR41,$P41,$AM41,AU41,AV41,AW41,$F41,$B$19,2))</f>
        <v>#NAME?</v>
      </c>
      <c r="BA41" s="157" t="e">
        <f aca="false">IF(AS41=0,0,SPRDOPT(AQ41,AR41,$P41,$AM41,AU41,AV41,AW41,$F41,$B$19,3)/100)</f>
        <v>#NAME?</v>
      </c>
      <c r="BB41" s="157" t="e">
        <f aca="false">IF(AT41=0,0,SPRDOPT(AQ41,AR41,$P41,$AM41,AU41,AV41,AW41,$F41,$B$19,4)/100)</f>
        <v>#NAME?</v>
      </c>
      <c r="BC41" s="157" t="e">
        <f aca="false">IF(AU41=0,0,SPRDOPT(AQ41,AR41,$P41,$AM41,AU41,AV41,AW41,$F41,$B$19,5)/100)</f>
        <v>#NAME?</v>
      </c>
      <c r="BD41" s="157" t="e">
        <f aca="false">IF(AV41=0,0,SPRDOPT(AQ41,AR41,$P41,$AM41,AU41,AV41,AW41,$F41,$B$19,6)/100)</f>
        <v>#NAME?</v>
      </c>
      <c r="BE41" s="157" t="e">
        <f aca="false">IF(AW41=0,0,SPRDOPT(AQ41,AR41,$P41,$AM41,AU41,AV41,AW41,$F41,$B$19,7)/100)</f>
        <v>#NAME?</v>
      </c>
      <c r="BF41" s="157" t="e">
        <f aca="false">IF(AX41=0,0,SPRDOPT(AQ41,AR41,$P41,$AM41,AU41,AV41,AW41,$F41,$B$19,9)/365)</f>
        <v>#NAME?</v>
      </c>
      <c r="BG41" s="157" t="e">
        <f aca="false">AY41+AZ41</f>
        <v>#NAME?</v>
      </c>
      <c r="BH41" s="157" t="e">
        <f aca="false">BB41-BA41</f>
        <v>#NAME?</v>
      </c>
      <c r="BI41" s="157" t="e">
        <f aca="false">((AU41/AV41)*BC41)+BD41</f>
        <v>#NAME?</v>
      </c>
      <c r="BJ41" s="44"/>
      <c r="BK41" s="45" t="e">
        <f aca="false">$AP41*AX41</f>
        <v>#NAME?</v>
      </c>
      <c r="BL41" s="45" t="e">
        <f aca="false">$AP41*AY41</f>
        <v>#NAME?</v>
      </c>
      <c r="BM41" s="45" t="e">
        <f aca="false">$AP41*AZ41</f>
        <v>#NAME?</v>
      </c>
      <c r="BN41" s="45" t="e">
        <f aca="false">$AP41*BA41</f>
        <v>#NAME?</v>
      </c>
      <c r="BO41" s="45" t="e">
        <f aca="false">$AP41*BB41</f>
        <v>#NAME?</v>
      </c>
      <c r="BP41" s="45" t="e">
        <f aca="false">$AP41*BC41</f>
        <v>#NAME?</v>
      </c>
      <c r="BQ41" s="45" t="e">
        <f aca="false">$AP41*BD41</f>
        <v>#NAME?</v>
      </c>
      <c r="BR41" s="45" t="e">
        <f aca="false">$AP41*BE41</f>
        <v>#NAME?</v>
      </c>
      <c r="BS41" s="45" t="e">
        <f aca="false">$AP41*BF41</f>
        <v>#NAME?</v>
      </c>
      <c r="BT41" s="45" t="e">
        <f aca="false">$AP41*BG41</f>
        <v>#NAME?</v>
      </c>
      <c r="BU41" s="45" t="e">
        <f aca="false">$AP41*BH41</f>
        <v>#NAME?</v>
      </c>
      <c r="BV41" s="45" t="e">
        <f aca="false">$AP41*BI41</f>
        <v>#NAME?</v>
      </c>
      <c r="BX41" s="9" t="n">
        <f aca="false">IF($A41&gt;=BZ$32,IF($A41&lt;=BZ$33,$AN41,0),0)</f>
        <v>31</v>
      </c>
      <c r="BY41" s="123" t="n">
        <f aca="false">$B41+$R41+$D$12</f>
        <v>5.1343</v>
      </c>
      <c r="BZ41" s="123" t="n">
        <f aca="false">$B41+$S41+$D$13</f>
        <v>5.4768</v>
      </c>
      <c r="CA41" s="123" t="n">
        <f aca="false">BY41*BX41</f>
        <v>159.1633</v>
      </c>
      <c r="CB41" s="123" t="n">
        <f aca="false">BZ41*BX41</f>
        <v>169.7808</v>
      </c>
      <c r="CC41" s="156" t="n">
        <f aca="false">($C41*$T41)+$D$14</f>
        <v>0.5832</v>
      </c>
      <c r="CD41" s="156" t="n">
        <f aca="false">($C41*$U41)+$D$15</f>
        <v>0.6075</v>
      </c>
      <c r="CE41" s="131" t="n">
        <f aca="false">$V41+D$16</f>
        <v>0.96</v>
      </c>
      <c r="CF41" s="157" t="e">
        <f aca="false">IF(BX41=0,0,SPRDOPT(BY41,BZ41,$W41,$AM41,CC41,CD41,CE41,$F41,$D$19,0))</f>
        <v>#NAME?</v>
      </c>
      <c r="CG41" s="157" t="e">
        <f aca="false">IF(BY41=0,0,SPRDOPT(BY41,BZ41,$W41,$AM41,CC41,CD41,CE41,$F41,$D$19,1))</f>
        <v>#NAME?</v>
      </c>
      <c r="CH41" s="157" t="e">
        <f aca="false">IF(BZ41=0,0,SPRDOPT(BY41,BZ41,$W41,$AM41,CC41,CD41,CE41,$F41,$D$19,2))</f>
        <v>#NAME?</v>
      </c>
      <c r="CI41" s="157" t="e">
        <f aca="false">IF(CA41=0,0,SPRDOPT(BY41,BZ41,$W41,$AM41,CC41,CD41,CE41,$F41,$D$19,3)/100)</f>
        <v>#NAME?</v>
      </c>
      <c r="CJ41" s="157" t="e">
        <f aca="false">IF(CB41=0,0,SPRDOPT(BY41,BZ41,$W41,$AM41,CC41,CD41,CE41,$F41,$D$19,4)/100)</f>
        <v>#NAME?</v>
      </c>
      <c r="CK41" s="157" t="e">
        <f aca="false">IF(CC41=0,0,SPRDOPT(BY41,BZ41,$W41,$AM41,CC41,CD41,CE41,$F41,$D$19,5)/100)</f>
        <v>#NAME?</v>
      </c>
      <c r="CL41" s="157" t="e">
        <f aca="false">IF(CD41=0,0,SPRDOPT(BY41,BZ41,$W41,$AM41,CC41,CD41,CE41,$F41,$D$19,6)/100)</f>
        <v>#NAME?</v>
      </c>
      <c r="CM41" s="157" t="e">
        <f aca="false">IF(CE41=0,0,SPRDOPT(BY41,BZ41,$W41,$AM41,CC41,CD41,CE41,$F41,$D$19,7)/100)</f>
        <v>#NAME?</v>
      </c>
      <c r="CN41" s="157" t="e">
        <f aca="false">IF(CF41=0,0,SPRDOPT(BY41,BZ41,$W41,$AM41,CC41,CD41,CE41,$F41,$D$19,9)/365)</f>
        <v>#NAME?</v>
      </c>
      <c r="CO41" s="157" t="e">
        <f aca="false">CG41+CH41</f>
        <v>#NAME?</v>
      </c>
      <c r="CP41" s="157" t="e">
        <f aca="false">CJ41-CI41</f>
        <v>#NAME?</v>
      </c>
      <c r="CQ41" s="157" t="e">
        <f aca="false">((CC41/CD41)*CK41)+CL41</f>
        <v>#NAME?</v>
      </c>
      <c r="CR41" s="44"/>
      <c r="CS41" s="45" t="e">
        <f aca="false">BX41*CF41</f>
        <v>#NAME?</v>
      </c>
      <c r="CT41" s="45" t="e">
        <f aca="false">BX41*CG41</f>
        <v>#NAME?</v>
      </c>
      <c r="CU41" s="45" t="e">
        <f aca="false">BX41*CH41</f>
        <v>#NAME?</v>
      </c>
      <c r="CV41" s="45" t="e">
        <f aca="false">BX41*CI41</f>
        <v>#NAME?</v>
      </c>
      <c r="CW41" s="45" t="e">
        <f aca="false">BX41*CJ41</f>
        <v>#NAME?</v>
      </c>
      <c r="CX41" s="45" t="e">
        <f aca="false">BX41*CK41</f>
        <v>#NAME?</v>
      </c>
      <c r="CY41" s="45" t="e">
        <f aca="false">BX41*CL41</f>
        <v>#NAME?</v>
      </c>
      <c r="CZ41" s="45" t="e">
        <f aca="false">BX41*CM41</f>
        <v>#NAME?</v>
      </c>
      <c r="DA41" s="45" t="e">
        <f aca="false">BX41*CN41</f>
        <v>#NAME?</v>
      </c>
      <c r="DB41" s="45" t="e">
        <f aca="false">BX41*CO41</f>
        <v>#NAME?</v>
      </c>
      <c r="DC41" s="45" t="e">
        <f aca="false">BX41*CP41</f>
        <v>#NAME?</v>
      </c>
      <c r="DD41" s="45" t="e">
        <f aca="false">BX41*CQ41</f>
        <v>#NAME?</v>
      </c>
      <c r="DF41" s="9" t="n">
        <f aca="false">IF($A41&gt;=DH$32,IF($A41&lt;=DH$33,$AN41,0),0)</f>
        <v>31</v>
      </c>
      <c r="DG41" s="123" t="n">
        <f aca="false">$B41+$Y41+$F$12</f>
        <v>5.3293</v>
      </c>
      <c r="DH41" s="123" t="n">
        <f aca="false">$B41+$Z41+$F$13</f>
        <v>5.4768</v>
      </c>
      <c r="DI41" s="123" t="n">
        <f aca="false">DG41*DF41</f>
        <v>165.2083</v>
      </c>
      <c r="DJ41" s="123" t="n">
        <f aca="false">DH41*DF41</f>
        <v>169.7808</v>
      </c>
      <c r="DK41" s="156" t="n">
        <f aca="false">($C41*$AA41)+$F$14</f>
        <v>0.6075</v>
      </c>
      <c r="DL41" s="156" t="n">
        <f aca="false">($C41*$AB41)+$F$15</f>
        <v>0.6075</v>
      </c>
      <c r="DM41" s="131" t="n">
        <f aca="false">$AC41+$F$16</f>
        <v>0.995</v>
      </c>
      <c r="DN41" s="157" t="e">
        <f aca="false">IF(DF41=0,0,SPRDOPT(DG41,DH41,$AD41,$AM41,DK41,DL41,DM41,$F41,$F$19,0))</f>
        <v>#NAME?</v>
      </c>
      <c r="DO41" s="157" t="e">
        <f aca="false">IF(DG41=0,0,SPRDOPT(DG41,DH41,$AD41,$AM41,DK41,DL41,DM41,$F41,$F$19,1))</f>
        <v>#NAME?</v>
      </c>
      <c r="DP41" s="157" t="e">
        <f aca="false">IF(DH41=0,0,SPRDOPT(DG41,DH41,$AD41,$AM41,DK41,DL41,DM41,$F41,$F$19,2))</f>
        <v>#NAME?</v>
      </c>
      <c r="DQ41" s="157" t="e">
        <f aca="false">IF(DI41=0,0,SPRDOPT(DG41,DH41,$AD41,$AM41,DK41,DL41,DM41,$F41,$F$19,3)/100)</f>
        <v>#NAME?</v>
      </c>
      <c r="DR41" s="157" t="e">
        <f aca="false">IF(DJ41=0,0,SPRDOPT(DG41,DH41,$AD41,$AM41,DK41,DL41,DM41,$F41,$F$19,4)/100)</f>
        <v>#NAME?</v>
      </c>
      <c r="DS41" s="157" t="e">
        <f aca="false">IF(DK41=0,0,SPRDOPT(DG41,DH41,$AD41,$AM41,DK41,DL41,DM41,$F41,$F$19,5)/100)</f>
        <v>#NAME?</v>
      </c>
      <c r="DT41" s="157" t="e">
        <f aca="false">IF(DL41=0,0,SPRDOPT(DG41,DH41,$AD41,$AM41,DK41,DL41,DM41,$F41,$F$19,6)/100)</f>
        <v>#NAME?</v>
      </c>
      <c r="DU41" s="157" t="e">
        <f aca="false">IF(DM41=0,0,SPRDOPT(DG41,DH41,$AD41,$AM41,DK41,DL41,DM41,$F41,$F$19,7)/100)</f>
        <v>#NAME?</v>
      </c>
      <c r="DV41" s="157" t="e">
        <f aca="false">IF(DN41=0,0,SPRDOPT(DG41,DH41,$AD41,$AM41,DK41,DL41,DM41,$F41,$F$19,9)/365)</f>
        <v>#NAME?</v>
      </c>
      <c r="DW41" s="157" t="e">
        <f aca="false">DO41+DP41</f>
        <v>#NAME?</v>
      </c>
      <c r="DX41" s="157" t="e">
        <f aca="false">DR41-DQ41</f>
        <v>#NAME?</v>
      </c>
      <c r="DY41" s="157" t="e">
        <f aca="false">((DK41/DL41)*DS41)+DT41</f>
        <v>#NAME?</v>
      </c>
      <c r="DZ41" s="44"/>
      <c r="EA41" s="45" t="e">
        <f aca="false">DF41*DN41</f>
        <v>#NAME?</v>
      </c>
      <c r="EB41" s="45" t="e">
        <f aca="false">DF41*DO41</f>
        <v>#NAME?</v>
      </c>
      <c r="EC41" s="45" t="e">
        <f aca="false">DF41*DP41</f>
        <v>#NAME?</v>
      </c>
      <c r="ED41" s="45" t="e">
        <f aca="false">DF41*DQ41</f>
        <v>#NAME?</v>
      </c>
      <c r="EE41" s="45" t="e">
        <f aca="false">DF41*DR41</f>
        <v>#NAME?</v>
      </c>
      <c r="EF41" s="45" t="e">
        <f aca="false">DF41*DS41</f>
        <v>#NAME?</v>
      </c>
      <c r="EG41" s="45" t="e">
        <f aca="false">DF41*DT41</f>
        <v>#NAME?</v>
      </c>
      <c r="EH41" s="45" t="e">
        <f aca="false">DF41*DU41</f>
        <v>#NAME?</v>
      </c>
      <c r="EI41" s="45" t="e">
        <f aca="false">DF41*DV41</f>
        <v>#NAME?</v>
      </c>
      <c r="EJ41" s="45" t="e">
        <f aca="false">DF41*DW41</f>
        <v>#NAME?</v>
      </c>
      <c r="EK41" s="45" t="e">
        <f aca="false">DF41*DX41</f>
        <v>#NAME?</v>
      </c>
      <c r="EL41" s="45" t="e">
        <f aca="false">DF41*DY41</f>
        <v>#NAME?</v>
      </c>
      <c r="EN41" s="9" t="n">
        <f aca="false">IF($A41&gt;=EP$32,IF($A41&lt;=EP$33,$AN41,0),0)</f>
        <v>31</v>
      </c>
      <c r="EO41" s="123" t="n">
        <f aca="false">$B41+$AF41+$H$12</f>
        <v>5.6643</v>
      </c>
      <c r="EP41" s="123" t="n">
        <f aca="false">$B41+$AG41+$H$13</f>
        <v>5.4768</v>
      </c>
      <c r="EQ41" s="123" t="n">
        <f aca="false">EO41*EN41</f>
        <v>175.5933</v>
      </c>
      <c r="ER41" s="123" t="n">
        <f aca="false">EP41*EN41</f>
        <v>169.7808</v>
      </c>
      <c r="ES41" s="156" t="n">
        <f aca="false">($C41*$AH41)+$H$14</f>
        <v>0.6075</v>
      </c>
      <c r="ET41" s="156" t="n">
        <f aca="false">($C41*$AI41)+$H$15</f>
        <v>0.6075</v>
      </c>
      <c r="EU41" s="131" t="n">
        <f aca="false">$AJ41+$H$16</f>
        <v>0.9985</v>
      </c>
      <c r="EV41" s="157" t="e">
        <f aca="false">IF(EN41=0,0,SPRDOPT(EO41,EP41,$AK41,$AM41,ES41,ET41,EU41,$F41,$H$19,0))</f>
        <v>#NAME?</v>
      </c>
      <c r="EW41" s="157" t="e">
        <f aca="false">IF(EO41=0,0,SPRDOPT(EO41,EP41,$AK41,$AM41,ES41,ET41,EU41,$F41,$H$19,1))</f>
        <v>#NAME?</v>
      </c>
      <c r="EX41" s="157" t="e">
        <f aca="false">IF(EP41=0,0,SPRDOPT(EO41,EP41,$AK41,$AM41,ES41,ET41,EU41,$F41,$H$19,2))</f>
        <v>#NAME?</v>
      </c>
      <c r="EY41" s="157" t="e">
        <f aca="false">IF(EQ41=0,0,SPRDOPT(EO41,EP41,$AK41,$AM41,ES41,ET41,EU41,$F41,$H$19,3)/100)</f>
        <v>#NAME?</v>
      </c>
      <c r="EZ41" s="157" t="e">
        <f aca="false">IF(ER41=0,0,SPRDOPT(EO41,EP41,$AK41,$AM41,ES41,ET41,EU41,$F41,$H$19,4)/100)</f>
        <v>#NAME?</v>
      </c>
      <c r="FA41" s="157" t="e">
        <f aca="false">IF(ES41=0,0,SPRDOPT(EO41,EP41,$AK41,$AM41,ES41,ET41,EU41,$F41,$H$19,5)/100)</f>
        <v>#NAME?</v>
      </c>
      <c r="FB41" s="157" t="e">
        <f aca="false">IF(ET41=0,0,SPRDOPT(EO41,EP41,$AK41,$AM41,ES41,ET41,EU41,$F41,$H$19,6)/100)</f>
        <v>#NAME?</v>
      </c>
      <c r="FC41" s="157" t="e">
        <f aca="false">IF(EU41=0,0,SPRDOPT(EO41,EP41,$AK41,$AM41,ES41,ET41,EU41,$F41,$H$19,7)/100)</f>
        <v>#NAME?</v>
      </c>
      <c r="FD41" s="157" t="e">
        <f aca="false">IF(EV41=0,0,SPRDOPT(EO41,EP41,$AK41,$AM41,ES41,ET41,EU41,$F41,$H$19,9)/365)</f>
        <v>#NAME?</v>
      </c>
      <c r="FE41" s="157" t="e">
        <f aca="false">EW41+EX41</f>
        <v>#NAME?</v>
      </c>
      <c r="FF41" s="157" t="e">
        <f aca="false">EZ41-EY41</f>
        <v>#NAME?</v>
      </c>
      <c r="FG41" s="157" t="e">
        <f aca="false">((ES41/ET41)*FA41)+FB41</f>
        <v>#NAME?</v>
      </c>
      <c r="FH41" s="44"/>
      <c r="FI41" s="45" t="e">
        <f aca="false">$EN41*EV41</f>
        <v>#NAME?</v>
      </c>
      <c r="FJ41" s="45" t="e">
        <f aca="false">$EN41*EW41</f>
        <v>#NAME?</v>
      </c>
      <c r="FK41" s="45" t="e">
        <f aca="false">$EN41*EX41</f>
        <v>#NAME?</v>
      </c>
      <c r="FL41" s="45" t="e">
        <f aca="false">$EN41*EY41</f>
        <v>#NAME?</v>
      </c>
      <c r="FM41" s="45" t="e">
        <f aca="false">$EN41*EZ41</f>
        <v>#NAME?</v>
      </c>
      <c r="FN41" s="45" t="e">
        <f aca="false">$EN41*FA41</f>
        <v>#NAME?</v>
      </c>
      <c r="FO41" s="45" t="e">
        <f aca="false">$EN41*FB41</f>
        <v>#NAME?</v>
      </c>
      <c r="FP41" s="45" t="e">
        <f aca="false">$EN41*FC41</f>
        <v>#NAME?</v>
      </c>
      <c r="FQ41" s="45" t="e">
        <f aca="false">$EN41*FD41</f>
        <v>#NAME?</v>
      </c>
      <c r="FR41" s="45" t="e">
        <f aca="false">$EN41*FE41</f>
        <v>#NAME?</v>
      </c>
      <c r="FS41" s="45" t="e">
        <f aca="false">$EN41*FF41</f>
        <v>#NAME?</v>
      </c>
      <c r="FT41" s="45" t="e">
        <f aca="false">$EN41*FG41</f>
        <v>#NAME?</v>
      </c>
    </row>
    <row r="42" customFormat="false" ht="12.75" hidden="false" customHeight="false" outlineLevel="0" collapsed="false">
      <c r="A42" s="48" t="n">
        <f aca="false">DATE(YEAR(A41),MONTH(A41)+1,1)</f>
        <v>36923</v>
      </c>
      <c r="B42" s="40" t="n">
        <f aca="false">VLOOKUP(A42,STRADDLE,5,FALSE())</f>
        <v>5.1838</v>
      </c>
      <c r="C42" s="4" t="n">
        <f aca="false">VLOOKUP(A42,STRADDLE,8,FALSE())</f>
        <v>0.5975</v>
      </c>
      <c r="D42" s="40"/>
      <c r="E42" s="131"/>
      <c r="F42" s="136" t="n">
        <f aca="false">VLOOKUP(A42,expiration,2,FALSE())-$B$2</f>
        <v>-9006</v>
      </c>
      <c r="G42" s="4"/>
      <c r="H42" s="4"/>
      <c r="I42" s="41"/>
      <c r="J42" s="154"/>
      <c r="K42" s="40" t="n">
        <f aca="false">IF($B$3="NYMEX",0,VLOOKUP($A42,curvesettle,HLOOKUP($B$3,curvesettle,2,FALSE()),FALSE()))</f>
        <v>0.3</v>
      </c>
      <c r="L42" s="40" t="n">
        <f aca="false">IF($B$4="NYMEX",0,VLOOKUP($A42,curvesettle,HLOOKUP($B$4,curvesettle,2,FALSE()),FALSE()))</f>
        <v>0</v>
      </c>
      <c r="M42" s="131" t="n">
        <f aca="false">IF(ISNUMBER(VLOOKUP($A42,VOLCURVES,HLOOKUP($B$3,VOLCURVES,2,FALSE()),FALSE())),VLOOKUP($A42,VOLCURVES,HLOOKUP($B$3,VOLCURVES,2,FALSE()),FALSE()),1)</f>
        <v>1.05</v>
      </c>
      <c r="N42" s="131" t="n">
        <f aca="false">IF(ISNUMBER(VLOOKUP($A42,VOLCURVES,HLOOKUP($B$4,VOLCURVES,2,FALSE()),FALSE())),VLOOKUP($A42,VOLCURVES,HLOOKUP($B$4,VOLCURVES,2,FALSE()),FALSE()),1)</f>
        <v>1</v>
      </c>
      <c r="O42" s="131" t="n">
        <f aca="false">IF(ISNUMBER(VLOOKUP($A42,CORETABLE,HLOOKUP($B$3,CORETABLE,2,FALSE()),FALSE())),VLOOKUP($A42,CORETABLE,HLOOKUP($B$3,CORETABLE,2,FALSE()),FALSE()),0.99)</f>
        <v>0.91</v>
      </c>
      <c r="P42" s="155" t="n">
        <f aca="false">B$18</f>
        <v>0.3</v>
      </c>
      <c r="Q42" s="131"/>
      <c r="R42" s="40" t="n">
        <f aca="false">IF($D$3="NYMEX",0,VLOOKUP($A42,curvesettle,HLOOKUP($D$3,curvesettle,2,FALSE()),FALSE()))</f>
        <v>-0.33</v>
      </c>
      <c r="S42" s="40" t="n">
        <f aca="false">IF($D$4="NYMEX",0,VLOOKUP($A42,curvesettle,HLOOKUP($D$4,curvesettle,2,FALSE()),FALSE()))</f>
        <v>0</v>
      </c>
      <c r="T42" s="131" t="n">
        <f aca="false">IF(ISNUMBER(VLOOKUP($A42,VOLCURVES,HLOOKUP($D$3,VOLCURVES,2,FALSE()),FALSE())),VLOOKUP($A42,VOLCURVES,HLOOKUP($D$3,VOLCURVES,2,FALSE()),FALSE()),1)</f>
        <v>0.96</v>
      </c>
      <c r="U42" s="131" t="n">
        <f aca="false">IF(ISNUMBER(VLOOKUP($A42,VOLCURVES,HLOOKUP($D$4,VOLCURVES,2,FALSE()),FALSE())),VLOOKUP($A42,VOLCURVES,HLOOKUP($D$4,VOLCURVES,2,FALSE()),FALSE()),1)</f>
        <v>1</v>
      </c>
      <c r="V42" s="131" t="n">
        <f aca="false">IF(ISNUMBER(VLOOKUP($A42,CORETABLE,HLOOKUP($D$3,CORETABLE,2,FALSE()),FALSE())),VLOOKUP($A42,CORETABLE,HLOOKUP($D$3,CORETABLE,2,FALSE()),FALSE()),0.99)</f>
        <v>0.96</v>
      </c>
      <c r="W42" s="155" t="n">
        <f aca="false">D$18</f>
        <v>-0.35</v>
      </c>
      <c r="X42" s="131"/>
      <c r="Y42" s="40" t="n">
        <f aca="false">IF($F$3="NYMEX",0,VLOOKUP($A42,curvesettle,HLOOKUP($F$3,curvesettle,2,FALSE()),FALSE()))</f>
        <v>-0.1325</v>
      </c>
      <c r="Z42" s="40" t="n">
        <f aca="false">IF($F$4="NYMEX",0,VLOOKUP($A42,curvesettle,HLOOKUP($F$4,curvesettle,2,FALSE()),FALSE()))</f>
        <v>0</v>
      </c>
      <c r="AA42" s="131" t="n">
        <f aca="false">IF(ISNUMBER(VLOOKUP($A42,VOLCURVES,HLOOKUP($F$3,VOLCURVES,2,FALSE()),FALSE())),VLOOKUP($A42,VOLCURVES,HLOOKUP($F$3,VOLCURVES,2,FALSE()),FALSE()),1)</f>
        <v>1</v>
      </c>
      <c r="AB42" s="131" t="n">
        <f aca="false">IF(ISNUMBER(VLOOKUP($A42,VOLCURVES,HLOOKUP($F$4,VOLCURVES,2,FALSE()),FALSE())),VLOOKUP($A42,VOLCURVES,HLOOKUP($F$4,VOLCURVES,2,FALSE()),FALSE()),1)</f>
        <v>1</v>
      </c>
      <c r="AC42" s="131" t="n">
        <f aca="false">IF(ISNUMBER(VLOOKUP($A42,CORETABLE,HLOOKUP($F$3,CORETABLE,2,FALSE()),FALSE())),VLOOKUP($A42,CORETABLE,HLOOKUP($F$3,CORETABLE,2,FALSE()),FALSE()),1)</f>
        <v>0.995</v>
      </c>
      <c r="AD42" s="155" t="n">
        <f aca="false">F$18</f>
        <v>-0.2</v>
      </c>
      <c r="AE42" s="131"/>
      <c r="AF42" s="40" t="n">
        <f aca="false">IF($H$3="NYMEX",0,VLOOKUP($A42,curvesettle,HLOOKUP($H$3,curvesettle,2,FALSE()),FALSE()))</f>
        <v>0.195</v>
      </c>
      <c r="AG42" s="40" t="n">
        <f aca="false">IF($H$4="NYMEX",0,VLOOKUP($A42,curvesettle,HLOOKUP($H$4,curvesettle,2,FALSE()),FALSE()))</f>
        <v>0</v>
      </c>
      <c r="AH42" s="131" t="n">
        <f aca="false">IF(ISNUMBER(VLOOKUP($A42,VOLCURVES,HLOOKUP($H$3,VOLCURVES,2,FALSE()),FALSE())),VLOOKUP($A42,VOLCURVES,HLOOKUP($H$3,VOLCURVES,2,FALSE()),FALSE()),1)</f>
        <v>1</v>
      </c>
      <c r="AI42" s="131" t="n">
        <f aca="false">IF(ISNUMBER(VLOOKUP($A42,VOLCURVES,HLOOKUP($H$4,VOLCURVES,2,FALSE()),FALSE())),VLOOKUP($A42,VOLCURVES,HLOOKUP($H$4,VOLCURVES,2,FALSE()),FALSE()),1)</f>
        <v>1</v>
      </c>
      <c r="AJ42" s="131" t="n">
        <f aca="false">IF(ISNUMBER(VLOOKUP($A42,CORETABLE,HLOOKUP($H$3,CORETABLE,2,FALSE()),FALSE())),VLOOKUP($A42,CORETABLE,HLOOKUP($H$3,CORETABLE,2,FALSE()),FALSE()),1)</f>
        <v>0.9985</v>
      </c>
      <c r="AK42" s="155" t="n">
        <f aca="false">H$18</f>
        <v>0.2</v>
      </c>
      <c r="AM42" s="4" t="n">
        <f aca="false">VLOOKUP($A42,STRADDLE,12,FALSE())</f>
        <v>0.068214589689939</v>
      </c>
      <c r="AN42" s="43" t="n">
        <f aca="false">A43-A42</f>
        <v>28</v>
      </c>
      <c r="AP42" s="9" t="n">
        <f aca="false">IF($A42&gt;=AR$32,IF($A42&lt;=AR$33,$AN42,0),0)</f>
        <v>28</v>
      </c>
      <c r="AQ42" s="123" t="n">
        <f aca="false">$B42+$K42+$B$12</f>
        <v>5.4513</v>
      </c>
      <c r="AR42" s="123" t="n">
        <f aca="false">$B42+$L42+$B$13</f>
        <v>5.1838</v>
      </c>
      <c r="AS42" s="123" t="n">
        <f aca="false">AQ42*AP42</f>
        <v>152.6364</v>
      </c>
      <c r="AT42" s="123" t="n">
        <f aca="false">AR42*AP42</f>
        <v>145.1464</v>
      </c>
      <c r="AU42" s="156" t="n">
        <f aca="false">($C42*$M42)+$B$14</f>
        <v>0.627375</v>
      </c>
      <c r="AV42" s="156" t="n">
        <f aca="false">($C42*$N42)+$B$15</f>
        <v>0.5975</v>
      </c>
      <c r="AW42" s="131" t="n">
        <f aca="false">O42+B$16</f>
        <v>0.91</v>
      </c>
      <c r="AX42" s="157" t="e">
        <f aca="false">IF(AP42=0,0,SPRDOPT(AQ42,AR42,$P42,$AM42,AU42,AV42,AW42,$F42,$B$19,0))</f>
        <v>#NAME?</v>
      </c>
      <c r="AY42" s="157" t="e">
        <f aca="false">IF(AQ42=0,0,SPRDOPT(AQ42,AR42,$P42,$AM42,AU42,AV42,AW42,$F42,$B$19,1))</f>
        <v>#NAME?</v>
      </c>
      <c r="AZ42" s="157" t="e">
        <f aca="false">IF(AR42=0,0,SPRDOPT(AQ42,AR42,$P42,$AM42,AU42,AV42,AW42,$F42,$B$19,2))</f>
        <v>#NAME?</v>
      </c>
      <c r="BA42" s="157" t="e">
        <f aca="false">IF(AS42=0,0,SPRDOPT(AQ42,AR42,$P42,$AM42,AU42,AV42,AW42,$F42,$B$19,3)/100)</f>
        <v>#NAME?</v>
      </c>
      <c r="BB42" s="157" t="e">
        <f aca="false">IF(AT42=0,0,SPRDOPT(AQ42,AR42,$P42,$AM42,AU42,AV42,AW42,$F42,$B$19,4)/100)</f>
        <v>#NAME?</v>
      </c>
      <c r="BC42" s="157" t="e">
        <f aca="false">IF(AU42=0,0,SPRDOPT(AQ42,AR42,$P42,$AM42,AU42,AV42,AW42,$F42,$B$19,5)/100)</f>
        <v>#NAME?</v>
      </c>
      <c r="BD42" s="157" t="e">
        <f aca="false">IF(AV42=0,0,SPRDOPT(AQ42,AR42,$P42,$AM42,AU42,AV42,AW42,$F42,$B$19,6)/100)</f>
        <v>#NAME?</v>
      </c>
      <c r="BE42" s="157" t="e">
        <f aca="false">IF(AW42=0,0,SPRDOPT(AQ42,AR42,$P42,$AM42,AU42,AV42,AW42,$F42,$B$19,7)/100)</f>
        <v>#NAME?</v>
      </c>
      <c r="BF42" s="157" t="e">
        <f aca="false">IF(AX42=0,0,SPRDOPT(AQ42,AR42,$P42,$AM42,AU42,AV42,AW42,$F42,$B$19,9)/365)</f>
        <v>#NAME?</v>
      </c>
      <c r="BG42" s="157" t="e">
        <f aca="false">AY42+AZ42</f>
        <v>#NAME?</v>
      </c>
      <c r="BH42" s="157" t="e">
        <f aca="false">BB42-BA42</f>
        <v>#NAME?</v>
      </c>
      <c r="BI42" s="157" t="e">
        <f aca="false">((AU42/AV42)*BC42)+BD42</f>
        <v>#NAME?</v>
      </c>
      <c r="BJ42" s="44"/>
      <c r="BK42" s="45" t="e">
        <f aca="false">$AP42*AX42</f>
        <v>#NAME?</v>
      </c>
      <c r="BL42" s="45" t="e">
        <f aca="false">$AP42*AY42</f>
        <v>#NAME?</v>
      </c>
      <c r="BM42" s="45" t="e">
        <f aca="false">$AP42*AZ42</f>
        <v>#NAME?</v>
      </c>
      <c r="BN42" s="45" t="e">
        <f aca="false">$AP42*BA42</f>
        <v>#NAME?</v>
      </c>
      <c r="BO42" s="45" t="e">
        <f aca="false">$AP42*BB42</f>
        <v>#NAME?</v>
      </c>
      <c r="BP42" s="45" t="e">
        <f aca="false">$AP42*BC42</f>
        <v>#NAME?</v>
      </c>
      <c r="BQ42" s="45" t="e">
        <f aca="false">$AP42*BD42</f>
        <v>#NAME?</v>
      </c>
      <c r="BR42" s="45" t="e">
        <f aca="false">$AP42*BE42</f>
        <v>#NAME?</v>
      </c>
      <c r="BS42" s="45" t="e">
        <f aca="false">$AP42*BF42</f>
        <v>#NAME?</v>
      </c>
      <c r="BT42" s="45" t="e">
        <f aca="false">$AP42*BG42</f>
        <v>#NAME?</v>
      </c>
      <c r="BU42" s="45" t="e">
        <f aca="false">$AP42*BH42</f>
        <v>#NAME?</v>
      </c>
      <c r="BV42" s="45" t="e">
        <f aca="false">$AP42*BI42</f>
        <v>#NAME?</v>
      </c>
      <c r="BX42" s="9" t="n">
        <f aca="false">IF($A42&gt;=BZ$32,IF($A42&lt;=BZ$33,$AN42,0),0)</f>
        <v>28</v>
      </c>
      <c r="BY42" s="123" t="n">
        <f aca="false">$B42+$R42+$D$12</f>
        <v>4.8213</v>
      </c>
      <c r="BZ42" s="123" t="n">
        <f aca="false">$B42+$S42+$D$13</f>
        <v>5.1838</v>
      </c>
      <c r="CA42" s="123" t="n">
        <f aca="false">BY42*BX42</f>
        <v>134.9964</v>
      </c>
      <c r="CB42" s="123" t="n">
        <f aca="false">BZ42*BX42</f>
        <v>145.1464</v>
      </c>
      <c r="CC42" s="156" t="n">
        <f aca="false">($C42*$T42)+$D$14</f>
        <v>0.5736</v>
      </c>
      <c r="CD42" s="156" t="n">
        <f aca="false">($C42*$U42)+$D$15</f>
        <v>0.5975</v>
      </c>
      <c r="CE42" s="131" t="n">
        <f aca="false">$V42+D$16</f>
        <v>0.96</v>
      </c>
      <c r="CF42" s="157" t="e">
        <f aca="false">IF(BX42=0,0,SPRDOPT(BY42,BZ42,$W42,$AM42,CC42,CD42,CE42,$F42,$D$19,0))</f>
        <v>#NAME?</v>
      </c>
      <c r="CG42" s="157" t="e">
        <f aca="false">IF(BY42=0,0,SPRDOPT(BY42,BZ42,$W42,$AM42,CC42,CD42,CE42,$F42,$D$19,1))</f>
        <v>#NAME?</v>
      </c>
      <c r="CH42" s="157" t="e">
        <f aca="false">IF(BZ42=0,0,SPRDOPT(BY42,BZ42,$W42,$AM42,CC42,CD42,CE42,$F42,$D$19,2))</f>
        <v>#NAME?</v>
      </c>
      <c r="CI42" s="157" t="e">
        <f aca="false">IF(CA42=0,0,SPRDOPT(BY42,BZ42,$W42,$AM42,CC42,CD42,CE42,$F42,$D$19,3)/100)</f>
        <v>#NAME?</v>
      </c>
      <c r="CJ42" s="157" t="e">
        <f aca="false">IF(CB42=0,0,SPRDOPT(BY42,BZ42,$W42,$AM42,CC42,CD42,CE42,$F42,$D$19,4)/100)</f>
        <v>#NAME?</v>
      </c>
      <c r="CK42" s="157" t="e">
        <f aca="false">IF(CC42=0,0,SPRDOPT(BY42,BZ42,$W42,$AM42,CC42,CD42,CE42,$F42,$D$19,5)/100)</f>
        <v>#NAME?</v>
      </c>
      <c r="CL42" s="157" t="e">
        <f aca="false">IF(CD42=0,0,SPRDOPT(BY42,BZ42,$W42,$AM42,CC42,CD42,CE42,$F42,$D$19,6)/100)</f>
        <v>#NAME?</v>
      </c>
      <c r="CM42" s="157" t="e">
        <f aca="false">IF(CE42=0,0,SPRDOPT(BY42,BZ42,$W42,$AM42,CC42,CD42,CE42,$F42,$D$19,7)/100)</f>
        <v>#NAME?</v>
      </c>
      <c r="CN42" s="157" t="e">
        <f aca="false">IF(CF42=0,0,SPRDOPT(BY42,BZ42,$W42,$AM42,CC42,CD42,CE42,$F42,$D$19,9)/365)</f>
        <v>#NAME?</v>
      </c>
      <c r="CO42" s="157" t="e">
        <f aca="false">CG42+CH42</f>
        <v>#NAME?</v>
      </c>
      <c r="CP42" s="157" t="e">
        <f aca="false">CJ42-CI42</f>
        <v>#NAME?</v>
      </c>
      <c r="CQ42" s="157" t="e">
        <f aca="false">((CC42/CD42)*CK42)+CL42</f>
        <v>#NAME?</v>
      </c>
      <c r="CR42" s="44"/>
      <c r="CS42" s="45" t="e">
        <f aca="false">BX42*CF42</f>
        <v>#NAME?</v>
      </c>
      <c r="CT42" s="45" t="e">
        <f aca="false">BX42*CG42</f>
        <v>#NAME?</v>
      </c>
      <c r="CU42" s="45" t="e">
        <f aca="false">BX42*CH42</f>
        <v>#NAME?</v>
      </c>
      <c r="CV42" s="45" t="e">
        <f aca="false">BX42*CI42</f>
        <v>#NAME?</v>
      </c>
      <c r="CW42" s="45" t="e">
        <f aca="false">BX42*CJ42</f>
        <v>#NAME?</v>
      </c>
      <c r="CX42" s="45" t="e">
        <f aca="false">BX42*CK42</f>
        <v>#NAME?</v>
      </c>
      <c r="CY42" s="45" t="e">
        <f aca="false">BX42*CL42</f>
        <v>#NAME?</v>
      </c>
      <c r="CZ42" s="45" t="e">
        <f aca="false">BX42*CM42</f>
        <v>#NAME?</v>
      </c>
      <c r="DA42" s="45" t="e">
        <f aca="false">BX42*CN42</f>
        <v>#NAME?</v>
      </c>
      <c r="DB42" s="45" t="e">
        <f aca="false">BX42*CO42</f>
        <v>#NAME?</v>
      </c>
      <c r="DC42" s="45" t="e">
        <f aca="false">BX42*CP42</f>
        <v>#NAME?</v>
      </c>
      <c r="DD42" s="45" t="e">
        <f aca="false">BX42*CQ42</f>
        <v>#NAME?</v>
      </c>
      <c r="DF42" s="9" t="n">
        <f aca="false">IF($A42&gt;=DH$32,IF($A42&lt;=DH$33,$AN42,0),0)</f>
        <v>28</v>
      </c>
      <c r="DG42" s="123" t="n">
        <f aca="false">$B42+$Y42+$F$12</f>
        <v>5.0513</v>
      </c>
      <c r="DH42" s="123" t="n">
        <f aca="false">$B42+$Z42+$F$13</f>
        <v>5.1838</v>
      </c>
      <c r="DI42" s="123" t="n">
        <f aca="false">DG42*DF42</f>
        <v>141.4364</v>
      </c>
      <c r="DJ42" s="123" t="n">
        <f aca="false">DH42*DF42</f>
        <v>145.1464</v>
      </c>
      <c r="DK42" s="156" t="n">
        <f aca="false">($C42*$AA42)+$F$14</f>
        <v>0.5975</v>
      </c>
      <c r="DL42" s="156" t="n">
        <f aca="false">($C42*$AB42)+$F$15</f>
        <v>0.5975</v>
      </c>
      <c r="DM42" s="131" t="n">
        <f aca="false">$AC42+$F$16</f>
        <v>0.995</v>
      </c>
      <c r="DN42" s="157" t="e">
        <f aca="false">IF(DF42=0,0,SPRDOPT(DG42,DH42,$AD42,$AM42,DK42,DL42,DM42,$F42,$F$19,0))</f>
        <v>#NAME?</v>
      </c>
      <c r="DO42" s="157" t="e">
        <f aca="false">IF(DG42=0,0,SPRDOPT(DG42,DH42,$AD42,$AM42,DK42,DL42,DM42,$F42,$F$19,1))</f>
        <v>#NAME?</v>
      </c>
      <c r="DP42" s="157" t="e">
        <f aca="false">IF(DH42=0,0,SPRDOPT(DG42,DH42,$AD42,$AM42,DK42,DL42,DM42,$F42,$F$19,2))</f>
        <v>#NAME?</v>
      </c>
      <c r="DQ42" s="157" t="e">
        <f aca="false">IF(DI42=0,0,SPRDOPT(DG42,DH42,$AD42,$AM42,DK42,DL42,DM42,$F42,$F$19,3)/100)</f>
        <v>#NAME?</v>
      </c>
      <c r="DR42" s="157" t="e">
        <f aca="false">IF(DJ42=0,0,SPRDOPT(DG42,DH42,$AD42,$AM42,DK42,DL42,DM42,$F42,$F$19,4)/100)</f>
        <v>#NAME?</v>
      </c>
      <c r="DS42" s="157" t="e">
        <f aca="false">IF(DK42=0,0,SPRDOPT(DG42,DH42,$AD42,$AM42,DK42,DL42,DM42,$F42,$F$19,5)/100)</f>
        <v>#NAME?</v>
      </c>
      <c r="DT42" s="157" t="e">
        <f aca="false">IF(DL42=0,0,SPRDOPT(DG42,DH42,$AD42,$AM42,DK42,DL42,DM42,$F42,$F$19,6)/100)</f>
        <v>#NAME?</v>
      </c>
      <c r="DU42" s="157" t="e">
        <f aca="false">IF(DM42=0,0,SPRDOPT(DG42,DH42,$AD42,$AM42,DK42,DL42,DM42,$F42,$F$19,7)/100)</f>
        <v>#NAME?</v>
      </c>
      <c r="DV42" s="157" t="e">
        <f aca="false">IF(DN42=0,0,SPRDOPT(DG42,DH42,$AD42,$AM42,DK42,DL42,DM42,$F42,$F$19,9)/365)</f>
        <v>#NAME?</v>
      </c>
      <c r="DW42" s="157" t="e">
        <f aca="false">DO42+DP42</f>
        <v>#NAME?</v>
      </c>
      <c r="DX42" s="157" t="e">
        <f aca="false">DR42-DQ42</f>
        <v>#NAME?</v>
      </c>
      <c r="DY42" s="157" t="e">
        <f aca="false">((DK42/DL42)*DS42)+DT42</f>
        <v>#NAME?</v>
      </c>
      <c r="DZ42" s="44"/>
      <c r="EA42" s="45" t="e">
        <f aca="false">DF42*DN42</f>
        <v>#NAME?</v>
      </c>
      <c r="EB42" s="45" t="e">
        <f aca="false">DF42*DO42</f>
        <v>#NAME?</v>
      </c>
      <c r="EC42" s="45" t="e">
        <f aca="false">DF42*DP42</f>
        <v>#NAME?</v>
      </c>
      <c r="ED42" s="45" t="e">
        <f aca="false">DF42*DQ42</f>
        <v>#NAME?</v>
      </c>
      <c r="EE42" s="45" t="e">
        <f aca="false">DF42*DR42</f>
        <v>#NAME?</v>
      </c>
      <c r="EF42" s="45" t="e">
        <f aca="false">DF42*DS42</f>
        <v>#NAME?</v>
      </c>
      <c r="EG42" s="45" t="e">
        <f aca="false">DF42*DT42</f>
        <v>#NAME?</v>
      </c>
      <c r="EH42" s="45" t="e">
        <f aca="false">DF42*DU42</f>
        <v>#NAME?</v>
      </c>
      <c r="EI42" s="45" t="e">
        <f aca="false">DF42*DV42</f>
        <v>#NAME?</v>
      </c>
      <c r="EJ42" s="45" t="e">
        <f aca="false">DF42*DW42</f>
        <v>#NAME?</v>
      </c>
      <c r="EK42" s="45" t="e">
        <f aca="false">DF42*DX42</f>
        <v>#NAME?</v>
      </c>
      <c r="EL42" s="45" t="e">
        <f aca="false">DF42*DY42</f>
        <v>#NAME?</v>
      </c>
      <c r="EN42" s="9" t="n">
        <f aca="false">IF($A42&gt;=EP$32,IF($A42&lt;=EP$33,$AN42,0),0)</f>
        <v>28</v>
      </c>
      <c r="EO42" s="123" t="n">
        <f aca="false">$B42+$AF42+$H$12</f>
        <v>5.3838</v>
      </c>
      <c r="EP42" s="123" t="n">
        <f aca="false">$B42+$AG42+$H$13</f>
        <v>5.1838</v>
      </c>
      <c r="EQ42" s="123" t="n">
        <f aca="false">EO42*EN42</f>
        <v>150.7464</v>
      </c>
      <c r="ER42" s="123" t="n">
        <f aca="false">EP42*EN42</f>
        <v>145.1464</v>
      </c>
      <c r="ES42" s="156" t="n">
        <f aca="false">($C42*$AH42)+$H$14</f>
        <v>0.5975</v>
      </c>
      <c r="ET42" s="156" t="n">
        <f aca="false">($C42*$AI42)+$H$15</f>
        <v>0.5975</v>
      </c>
      <c r="EU42" s="131" t="n">
        <f aca="false">$AJ42+$H$16</f>
        <v>0.9985</v>
      </c>
      <c r="EV42" s="157" t="e">
        <f aca="false">IF(EN42=0,0,SPRDOPT(EO42,EP42,$AK42,$AM42,ES42,ET42,EU42,$F42,$H$19,0))</f>
        <v>#NAME?</v>
      </c>
      <c r="EW42" s="157" t="e">
        <f aca="false">IF(EO42=0,0,SPRDOPT(EO42,EP42,$AK42,$AM42,ES42,ET42,EU42,$F42,$H$19,1))</f>
        <v>#NAME?</v>
      </c>
      <c r="EX42" s="157" t="e">
        <f aca="false">IF(EP42=0,0,SPRDOPT(EO42,EP42,$AK42,$AM42,ES42,ET42,EU42,$F42,$H$19,2))</f>
        <v>#NAME?</v>
      </c>
      <c r="EY42" s="157" t="e">
        <f aca="false">IF(EQ42=0,0,SPRDOPT(EO42,EP42,$AK42,$AM42,ES42,ET42,EU42,$F42,$H$19,3)/100)</f>
        <v>#NAME?</v>
      </c>
      <c r="EZ42" s="157" t="e">
        <f aca="false">IF(ER42=0,0,SPRDOPT(EO42,EP42,$AK42,$AM42,ES42,ET42,EU42,$F42,$H$19,4)/100)</f>
        <v>#NAME?</v>
      </c>
      <c r="FA42" s="157" t="e">
        <f aca="false">IF(ES42=0,0,SPRDOPT(EO42,EP42,$AK42,$AM42,ES42,ET42,EU42,$F42,$H$19,5)/100)</f>
        <v>#NAME?</v>
      </c>
      <c r="FB42" s="157" t="e">
        <f aca="false">IF(ET42=0,0,SPRDOPT(EO42,EP42,$AK42,$AM42,ES42,ET42,EU42,$F42,$H$19,6)/100)</f>
        <v>#NAME?</v>
      </c>
      <c r="FC42" s="157" t="e">
        <f aca="false">IF(EU42=0,0,SPRDOPT(EO42,EP42,$AK42,$AM42,ES42,ET42,EU42,$F42,$H$19,7)/100)</f>
        <v>#NAME?</v>
      </c>
      <c r="FD42" s="157" t="e">
        <f aca="false">IF(EV42=0,0,SPRDOPT(EO42,EP42,$AK42,$AM42,ES42,ET42,EU42,$F42,$H$19,9)/365)</f>
        <v>#NAME?</v>
      </c>
      <c r="FE42" s="157" t="e">
        <f aca="false">EW42+EX42</f>
        <v>#NAME?</v>
      </c>
      <c r="FF42" s="157" t="e">
        <f aca="false">EZ42-EY42</f>
        <v>#NAME?</v>
      </c>
      <c r="FG42" s="157" t="e">
        <f aca="false">((ES42/ET42)*FA42)+FB42</f>
        <v>#NAME?</v>
      </c>
      <c r="FH42" s="44"/>
      <c r="FI42" s="45" t="e">
        <f aca="false">$EN42*EV42</f>
        <v>#NAME?</v>
      </c>
      <c r="FJ42" s="45" t="e">
        <f aca="false">$EN42*EW42</f>
        <v>#NAME?</v>
      </c>
      <c r="FK42" s="45" t="e">
        <f aca="false">$EN42*EX42</f>
        <v>#NAME?</v>
      </c>
      <c r="FL42" s="45" t="e">
        <f aca="false">$EN42*EY42</f>
        <v>#NAME?</v>
      </c>
      <c r="FM42" s="45" t="e">
        <f aca="false">$EN42*EZ42</f>
        <v>#NAME?</v>
      </c>
      <c r="FN42" s="45" t="e">
        <f aca="false">$EN42*FA42</f>
        <v>#NAME?</v>
      </c>
      <c r="FO42" s="45" t="e">
        <f aca="false">$EN42*FB42</f>
        <v>#NAME?</v>
      </c>
      <c r="FP42" s="45" t="e">
        <f aca="false">$EN42*FC42</f>
        <v>#NAME?</v>
      </c>
      <c r="FQ42" s="45" t="e">
        <f aca="false">$EN42*FD42</f>
        <v>#NAME?</v>
      </c>
      <c r="FR42" s="45" t="e">
        <f aca="false">$EN42*FE42</f>
        <v>#NAME?</v>
      </c>
      <c r="FS42" s="45" t="e">
        <f aca="false">$EN42*FF42</f>
        <v>#NAME?</v>
      </c>
      <c r="FT42" s="45" t="e">
        <f aca="false">$EN42*FG42</f>
        <v>#NAME?</v>
      </c>
    </row>
    <row r="43" customFormat="false" ht="12.75" hidden="false" customHeight="false" outlineLevel="0" collapsed="false">
      <c r="A43" s="48" t="n">
        <f aca="false">DATE(YEAR(A42),MONTH(A42)+1,1)</f>
        <v>36951</v>
      </c>
      <c r="B43" s="40" t="n">
        <f aca="false">VLOOKUP(A43,STRADDLE,5,FALSE())</f>
        <v>4.8868</v>
      </c>
      <c r="C43" s="4" t="n">
        <f aca="false">VLOOKUP(A43,STRADDLE,8,FALSE())</f>
        <v>0.5375</v>
      </c>
      <c r="D43" s="40"/>
      <c r="E43" s="131"/>
      <c r="F43" s="136" t="n">
        <f aca="false">VLOOKUP(A43,expiration,2,FALSE())-$B$2</f>
        <v>-8978</v>
      </c>
      <c r="G43" s="4"/>
      <c r="H43" s="4"/>
      <c r="I43" s="41"/>
      <c r="J43" s="154"/>
      <c r="K43" s="40" t="n">
        <f aca="false">IF($B$3="NYMEX",0,VLOOKUP($A43,curvesettle,HLOOKUP($B$3,curvesettle,2,FALSE()),FALSE()))</f>
        <v>-0.07</v>
      </c>
      <c r="L43" s="40" t="n">
        <f aca="false">IF($B$4="NYMEX",0,VLOOKUP($A43,curvesettle,HLOOKUP($B$4,curvesettle,2,FALSE()),FALSE()))</f>
        <v>0</v>
      </c>
      <c r="M43" s="131" t="n">
        <f aca="false">IF(ISNUMBER(VLOOKUP($A43,VOLCURVES,HLOOKUP($B$3,VOLCURVES,2,FALSE()),FALSE())),VLOOKUP($A43,VOLCURVES,HLOOKUP($B$3,VOLCURVES,2,FALSE()),FALSE()),1)</f>
        <v>1.05</v>
      </c>
      <c r="N43" s="131" t="n">
        <f aca="false">IF(ISNUMBER(VLOOKUP($A43,VOLCURVES,HLOOKUP($B$4,VOLCURVES,2,FALSE()),FALSE())),VLOOKUP($A43,VOLCURVES,HLOOKUP($B$4,VOLCURVES,2,FALSE()),FALSE()),1)</f>
        <v>1</v>
      </c>
      <c r="O43" s="131" t="n">
        <f aca="false">IF(ISNUMBER(VLOOKUP($A43,CORETABLE,HLOOKUP($B$3,CORETABLE,2,FALSE()),FALSE())),VLOOKUP($A43,CORETABLE,HLOOKUP($B$3,CORETABLE,2,FALSE()),FALSE()),0.99)</f>
        <v>0.91</v>
      </c>
      <c r="P43" s="155" t="n">
        <f aca="false">B$18</f>
        <v>0.3</v>
      </c>
      <c r="Q43" s="131"/>
      <c r="R43" s="40" t="n">
        <f aca="false">IF($D$3="NYMEX",0,VLOOKUP($A43,curvesettle,HLOOKUP($D$3,curvesettle,2,FALSE()),FALSE()))</f>
        <v>-0.35</v>
      </c>
      <c r="S43" s="40" t="n">
        <f aca="false">IF($D$4="NYMEX",0,VLOOKUP($A43,curvesettle,HLOOKUP($D$4,curvesettle,2,FALSE()),FALSE()))</f>
        <v>0</v>
      </c>
      <c r="T43" s="131" t="n">
        <f aca="false">IF(ISNUMBER(VLOOKUP($A43,VOLCURVES,HLOOKUP($D$3,VOLCURVES,2,FALSE()),FALSE())),VLOOKUP($A43,VOLCURVES,HLOOKUP($D$3,VOLCURVES,2,FALSE()),FALSE()),1)</f>
        <v>0.96</v>
      </c>
      <c r="U43" s="131" t="n">
        <f aca="false">IF(ISNUMBER(VLOOKUP($A43,VOLCURVES,HLOOKUP($D$4,VOLCURVES,2,FALSE()),FALSE())),VLOOKUP($A43,VOLCURVES,HLOOKUP($D$4,VOLCURVES,2,FALSE()),FALSE()),1)</f>
        <v>1</v>
      </c>
      <c r="V43" s="131" t="n">
        <f aca="false">IF(ISNUMBER(VLOOKUP($A43,CORETABLE,HLOOKUP($D$3,CORETABLE,2,FALSE()),FALSE())),VLOOKUP($A43,CORETABLE,HLOOKUP($D$3,CORETABLE,2,FALSE()),FALSE()),0.99)</f>
        <v>0.96</v>
      </c>
      <c r="W43" s="155" t="n">
        <f aca="false">D$18</f>
        <v>-0.35</v>
      </c>
      <c r="X43" s="131"/>
      <c r="Y43" s="40" t="n">
        <f aca="false">IF($F$3="NYMEX",0,VLOOKUP($A43,curvesettle,HLOOKUP($F$3,curvesettle,2,FALSE()),FALSE()))</f>
        <v>-0.125</v>
      </c>
      <c r="Z43" s="40" t="n">
        <f aca="false">IF($F$4="NYMEX",0,VLOOKUP($A43,curvesettle,HLOOKUP($F$4,curvesettle,2,FALSE()),FALSE()))</f>
        <v>0</v>
      </c>
      <c r="AA43" s="131" t="n">
        <f aca="false">IF(ISNUMBER(VLOOKUP($A43,VOLCURVES,HLOOKUP($F$3,VOLCURVES,2,FALSE()),FALSE())),VLOOKUP($A43,VOLCURVES,HLOOKUP($F$3,VOLCURVES,2,FALSE()),FALSE()),1)</f>
        <v>1</v>
      </c>
      <c r="AB43" s="131" t="n">
        <f aca="false">IF(ISNUMBER(VLOOKUP($A43,VOLCURVES,HLOOKUP($F$4,VOLCURVES,2,FALSE()),FALSE())),VLOOKUP($A43,VOLCURVES,HLOOKUP($F$4,VOLCURVES,2,FALSE()),FALSE()),1)</f>
        <v>1</v>
      </c>
      <c r="AC43" s="131" t="n">
        <f aca="false">IF(ISNUMBER(VLOOKUP($A43,CORETABLE,HLOOKUP($F$3,CORETABLE,2,FALSE()),FALSE())),VLOOKUP($A43,CORETABLE,HLOOKUP($F$3,CORETABLE,2,FALSE()),FALSE()),1)</f>
        <v>0.995</v>
      </c>
      <c r="AD43" s="155" t="n">
        <f aca="false">F$18</f>
        <v>-0.2</v>
      </c>
      <c r="AE43" s="131"/>
      <c r="AF43" s="40" t="n">
        <f aca="false">IF($H$3="NYMEX",0,VLOOKUP($A43,curvesettle,HLOOKUP($H$3,curvesettle,2,FALSE()),FALSE()))</f>
        <v>0.1875</v>
      </c>
      <c r="AG43" s="40" t="n">
        <f aca="false">IF($H$4="NYMEX",0,VLOOKUP($A43,curvesettle,HLOOKUP($H$4,curvesettle,2,FALSE()),FALSE()))</f>
        <v>0</v>
      </c>
      <c r="AH43" s="131" t="n">
        <f aca="false">IF(ISNUMBER(VLOOKUP($A43,VOLCURVES,HLOOKUP($H$3,VOLCURVES,2,FALSE()),FALSE())),VLOOKUP($A43,VOLCURVES,HLOOKUP($H$3,VOLCURVES,2,FALSE()),FALSE()),1)</f>
        <v>1</v>
      </c>
      <c r="AI43" s="131" t="n">
        <f aca="false">IF(ISNUMBER(VLOOKUP($A43,VOLCURVES,HLOOKUP($H$4,VOLCURVES,2,FALSE()),FALSE())),VLOOKUP($A43,VOLCURVES,HLOOKUP($H$4,VOLCURVES,2,FALSE()),FALSE()),1)</f>
        <v>1</v>
      </c>
      <c r="AJ43" s="131" t="n">
        <f aca="false">IF(ISNUMBER(VLOOKUP($A43,CORETABLE,HLOOKUP($H$3,CORETABLE,2,FALSE()),FALSE())),VLOOKUP($A43,CORETABLE,HLOOKUP($H$3,CORETABLE,2,FALSE()),FALSE()),1)</f>
        <v>0.9985</v>
      </c>
      <c r="AK43" s="155" t="n">
        <f aca="false">H$18</f>
        <v>0.2</v>
      </c>
      <c r="AM43" s="4" t="n">
        <f aca="false">VLOOKUP($A43,STRADDLE,12,FALSE())</f>
        <v>0.068276029462339</v>
      </c>
      <c r="AN43" s="43" t="n">
        <f aca="false">A44-A43</f>
        <v>31</v>
      </c>
      <c r="AP43" s="9" t="n">
        <f aca="false">IF($A43&gt;=AR$32,IF($A43&lt;=AR$33,$AN43,0),0)</f>
        <v>31</v>
      </c>
      <c r="AQ43" s="123" t="n">
        <f aca="false">$B43+$K43+$B$12</f>
        <v>4.7843</v>
      </c>
      <c r="AR43" s="123" t="n">
        <f aca="false">$B43+$L43+$B$13</f>
        <v>4.8868</v>
      </c>
      <c r="AS43" s="123" t="n">
        <f aca="false">AQ43*AP43</f>
        <v>148.3133</v>
      </c>
      <c r="AT43" s="123" t="n">
        <f aca="false">AR43*AP43</f>
        <v>151.4908</v>
      </c>
      <c r="AU43" s="156" t="n">
        <f aca="false">($C43*$M43)+$B$14</f>
        <v>0.564375</v>
      </c>
      <c r="AV43" s="156" t="n">
        <f aca="false">($C43*$N43)+$B$15</f>
        <v>0.5375</v>
      </c>
      <c r="AW43" s="131" t="n">
        <f aca="false">O43+B$16</f>
        <v>0.91</v>
      </c>
      <c r="AX43" s="157" t="e">
        <f aca="false">IF(AP43=0,0,SPRDOPT(AQ43,AR43,$P43,$AM43,AU43,AV43,AW43,$F43,$B$19,0))</f>
        <v>#NAME?</v>
      </c>
      <c r="AY43" s="157" t="e">
        <f aca="false">IF(AQ43=0,0,SPRDOPT(AQ43,AR43,$P43,$AM43,AU43,AV43,AW43,$F43,$B$19,1))</f>
        <v>#NAME?</v>
      </c>
      <c r="AZ43" s="157" t="e">
        <f aca="false">IF(AR43=0,0,SPRDOPT(AQ43,AR43,$P43,$AM43,AU43,AV43,AW43,$F43,$B$19,2))</f>
        <v>#NAME?</v>
      </c>
      <c r="BA43" s="157" t="e">
        <f aca="false">IF(AS43=0,0,SPRDOPT(AQ43,AR43,$P43,$AM43,AU43,AV43,AW43,$F43,$B$19,3)/100)</f>
        <v>#NAME?</v>
      </c>
      <c r="BB43" s="157" t="e">
        <f aca="false">IF(AT43=0,0,SPRDOPT(AQ43,AR43,$P43,$AM43,AU43,AV43,AW43,$F43,$B$19,4)/100)</f>
        <v>#NAME?</v>
      </c>
      <c r="BC43" s="157" t="e">
        <f aca="false">IF(AU43=0,0,SPRDOPT(AQ43,AR43,$P43,$AM43,AU43,AV43,AW43,$F43,$B$19,5)/100)</f>
        <v>#NAME?</v>
      </c>
      <c r="BD43" s="157" t="e">
        <f aca="false">IF(AV43=0,0,SPRDOPT(AQ43,AR43,$P43,$AM43,AU43,AV43,AW43,$F43,$B$19,6)/100)</f>
        <v>#NAME?</v>
      </c>
      <c r="BE43" s="157" t="e">
        <f aca="false">IF(AW43=0,0,SPRDOPT(AQ43,AR43,$P43,$AM43,AU43,AV43,AW43,$F43,$B$19,7)/100)</f>
        <v>#NAME?</v>
      </c>
      <c r="BF43" s="157" t="e">
        <f aca="false">IF(AX43=0,0,SPRDOPT(AQ43,AR43,$P43,$AM43,AU43,AV43,AW43,$F43,$B$19,9)/365)</f>
        <v>#NAME?</v>
      </c>
      <c r="BG43" s="157" t="e">
        <f aca="false">AY43+AZ43</f>
        <v>#NAME?</v>
      </c>
      <c r="BH43" s="157" t="e">
        <f aca="false">BB43-BA43</f>
        <v>#NAME?</v>
      </c>
      <c r="BI43" s="157" t="e">
        <f aca="false">((AU43/AV43)*BC43)+BD43</f>
        <v>#NAME?</v>
      </c>
      <c r="BJ43" s="44"/>
      <c r="BK43" s="45" t="e">
        <f aca="false">$AP43*AX43</f>
        <v>#NAME?</v>
      </c>
      <c r="BL43" s="45" t="e">
        <f aca="false">$AP43*AY43</f>
        <v>#NAME?</v>
      </c>
      <c r="BM43" s="45" t="e">
        <f aca="false">$AP43*AZ43</f>
        <v>#NAME?</v>
      </c>
      <c r="BN43" s="45" t="e">
        <f aca="false">$AP43*BA43</f>
        <v>#NAME?</v>
      </c>
      <c r="BO43" s="45" t="e">
        <f aca="false">$AP43*BB43</f>
        <v>#NAME?</v>
      </c>
      <c r="BP43" s="45" t="e">
        <f aca="false">$AP43*BC43</f>
        <v>#NAME?</v>
      </c>
      <c r="BQ43" s="45" t="e">
        <f aca="false">$AP43*BD43</f>
        <v>#NAME?</v>
      </c>
      <c r="BR43" s="45" t="e">
        <f aca="false">$AP43*BE43</f>
        <v>#NAME?</v>
      </c>
      <c r="BS43" s="45" t="e">
        <f aca="false">$AP43*BF43</f>
        <v>#NAME?</v>
      </c>
      <c r="BT43" s="45" t="e">
        <f aca="false">$AP43*BG43</f>
        <v>#NAME?</v>
      </c>
      <c r="BU43" s="45" t="e">
        <f aca="false">$AP43*BH43</f>
        <v>#NAME?</v>
      </c>
      <c r="BV43" s="45" t="e">
        <f aca="false">$AP43*BI43</f>
        <v>#NAME?</v>
      </c>
      <c r="BX43" s="9" t="n">
        <f aca="false">IF($A43&gt;=BZ$32,IF($A43&lt;=BZ$33,$AN43,0),0)</f>
        <v>31</v>
      </c>
      <c r="BY43" s="123" t="n">
        <f aca="false">$B43+$R43+$D$12</f>
        <v>4.5043</v>
      </c>
      <c r="BZ43" s="123" t="n">
        <f aca="false">$B43+$S43+$D$13</f>
        <v>4.8868</v>
      </c>
      <c r="CA43" s="123" t="n">
        <f aca="false">BY43*BX43</f>
        <v>139.6333</v>
      </c>
      <c r="CB43" s="123" t="n">
        <f aca="false">BZ43*BX43</f>
        <v>151.4908</v>
      </c>
      <c r="CC43" s="156" t="n">
        <f aca="false">($C43*$T43)+$D$14</f>
        <v>0.516</v>
      </c>
      <c r="CD43" s="156" t="n">
        <f aca="false">($C43*$U43)+$D$15</f>
        <v>0.5375</v>
      </c>
      <c r="CE43" s="131" t="n">
        <f aca="false">$V43+D$16</f>
        <v>0.96</v>
      </c>
      <c r="CF43" s="157" t="e">
        <f aca="false">IF(BX43=0,0,SPRDOPT(BY43,BZ43,$W43,$AM43,CC43,CD43,CE43,$F43,$D$19,0))</f>
        <v>#NAME?</v>
      </c>
      <c r="CG43" s="157" t="e">
        <f aca="false">IF(BY43=0,0,SPRDOPT(BY43,BZ43,$W43,$AM43,CC43,CD43,CE43,$F43,$D$19,1))</f>
        <v>#NAME?</v>
      </c>
      <c r="CH43" s="157" t="e">
        <f aca="false">IF(BZ43=0,0,SPRDOPT(BY43,BZ43,$W43,$AM43,CC43,CD43,CE43,$F43,$D$19,2))</f>
        <v>#NAME?</v>
      </c>
      <c r="CI43" s="157" t="e">
        <f aca="false">IF(CA43=0,0,SPRDOPT(BY43,BZ43,$W43,$AM43,CC43,CD43,CE43,$F43,$D$19,3)/100)</f>
        <v>#NAME?</v>
      </c>
      <c r="CJ43" s="157" t="e">
        <f aca="false">IF(CB43=0,0,SPRDOPT(BY43,BZ43,$W43,$AM43,CC43,CD43,CE43,$F43,$D$19,4)/100)</f>
        <v>#NAME?</v>
      </c>
      <c r="CK43" s="157" t="e">
        <f aca="false">IF(CC43=0,0,SPRDOPT(BY43,BZ43,$W43,$AM43,CC43,CD43,CE43,$F43,$D$19,5)/100)</f>
        <v>#NAME?</v>
      </c>
      <c r="CL43" s="157" t="e">
        <f aca="false">IF(CD43=0,0,SPRDOPT(BY43,BZ43,$W43,$AM43,CC43,CD43,CE43,$F43,$D$19,6)/100)</f>
        <v>#NAME?</v>
      </c>
      <c r="CM43" s="157" t="e">
        <f aca="false">IF(CE43=0,0,SPRDOPT(BY43,BZ43,$W43,$AM43,CC43,CD43,CE43,$F43,$D$19,7)/100)</f>
        <v>#NAME?</v>
      </c>
      <c r="CN43" s="157" t="e">
        <f aca="false">IF(CF43=0,0,SPRDOPT(BY43,BZ43,$W43,$AM43,CC43,CD43,CE43,$F43,$D$19,9)/365)</f>
        <v>#NAME?</v>
      </c>
      <c r="CO43" s="157" t="e">
        <f aca="false">CG43+CH43</f>
        <v>#NAME?</v>
      </c>
      <c r="CP43" s="157" t="e">
        <f aca="false">CJ43-CI43</f>
        <v>#NAME?</v>
      </c>
      <c r="CQ43" s="157" t="e">
        <f aca="false">((CC43/CD43)*CK43)+CL43</f>
        <v>#NAME?</v>
      </c>
      <c r="CR43" s="44"/>
      <c r="CS43" s="45" t="e">
        <f aca="false">BX43*CF43</f>
        <v>#NAME?</v>
      </c>
      <c r="CT43" s="45" t="e">
        <f aca="false">BX43*CG43</f>
        <v>#NAME?</v>
      </c>
      <c r="CU43" s="45" t="e">
        <f aca="false">BX43*CH43</f>
        <v>#NAME?</v>
      </c>
      <c r="CV43" s="45" t="e">
        <f aca="false">BX43*CI43</f>
        <v>#NAME?</v>
      </c>
      <c r="CW43" s="45" t="e">
        <f aca="false">BX43*CJ43</f>
        <v>#NAME?</v>
      </c>
      <c r="CX43" s="45" t="e">
        <f aca="false">BX43*CK43</f>
        <v>#NAME?</v>
      </c>
      <c r="CY43" s="45" t="e">
        <f aca="false">BX43*CL43</f>
        <v>#NAME?</v>
      </c>
      <c r="CZ43" s="45" t="e">
        <f aca="false">BX43*CM43</f>
        <v>#NAME?</v>
      </c>
      <c r="DA43" s="45" t="e">
        <f aca="false">BX43*CN43</f>
        <v>#NAME?</v>
      </c>
      <c r="DB43" s="45" t="e">
        <f aca="false">BX43*CO43</f>
        <v>#NAME?</v>
      </c>
      <c r="DC43" s="45" t="e">
        <f aca="false">BX43*CP43</f>
        <v>#NAME?</v>
      </c>
      <c r="DD43" s="45" t="e">
        <f aca="false">BX43*CQ43</f>
        <v>#NAME?</v>
      </c>
      <c r="DF43" s="9" t="n">
        <f aca="false">IF($A43&gt;=DH$32,IF($A43&lt;=DH$33,$AN43,0),0)</f>
        <v>31</v>
      </c>
      <c r="DG43" s="123" t="n">
        <f aca="false">$B43+$Y43+$F$12</f>
        <v>4.7618</v>
      </c>
      <c r="DH43" s="123" t="n">
        <f aca="false">$B43+$Z43+$F$13</f>
        <v>4.8868</v>
      </c>
      <c r="DI43" s="123" t="n">
        <f aca="false">DG43*DF43</f>
        <v>147.6158</v>
      </c>
      <c r="DJ43" s="123" t="n">
        <f aca="false">DH43*DF43</f>
        <v>151.4908</v>
      </c>
      <c r="DK43" s="156" t="n">
        <f aca="false">($C43*$AA43)+$F$14</f>
        <v>0.5375</v>
      </c>
      <c r="DL43" s="156" t="n">
        <f aca="false">($C43*$AB43)+$F$15</f>
        <v>0.5375</v>
      </c>
      <c r="DM43" s="131" t="n">
        <f aca="false">$AC43+$F$16</f>
        <v>0.995</v>
      </c>
      <c r="DN43" s="157" t="e">
        <f aca="false">IF(DF43=0,0,SPRDOPT(DG43,DH43,$AD43,$AM43,DK43,DL43,DM43,$F43,$F$19,0))</f>
        <v>#NAME?</v>
      </c>
      <c r="DO43" s="157" t="e">
        <f aca="false">IF(DG43=0,0,SPRDOPT(DG43,DH43,$AD43,$AM43,DK43,DL43,DM43,$F43,$F$19,1))</f>
        <v>#NAME?</v>
      </c>
      <c r="DP43" s="157" t="e">
        <f aca="false">IF(DH43=0,0,SPRDOPT(DG43,DH43,$AD43,$AM43,DK43,DL43,DM43,$F43,$F$19,2))</f>
        <v>#NAME?</v>
      </c>
      <c r="DQ43" s="157" t="e">
        <f aca="false">IF(DI43=0,0,SPRDOPT(DG43,DH43,$AD43,$AM43,DK43,DL43,DM43,$F43,$F$19,3)/100)</f>
        <v>#NAME?</v>
      </c>
      <c r="DR43" s="157" t="e">
        <f aca="false">IF(DJ43=0,0,SPRDOPT(DG43,DH43,$AD43,$AM43,DK43,DL43,DM43,$F43,$F$19,4)/100)</f>
        <v>#NAME?</v>
      </c>
      <c r="DS43" s="157" t="e">
        <f aca="false">IF(DK43=0,0,SPRDOPT(DG43,DH43,$AD43,$AM43,DK43,DL43,DM43,$F43,$F$19,5)/100)</f>
        <v>#NAME?</v>
      </c>
      <c r="DT43" s="157" t="e">
        <f aca="false">IF(DL43=0,0,SPRDOPT(DG43,DH43,$AD43,$AM43,DK43,DL43,DM43,$F43,$F$19,6)/100)</f>
        <v>#NAME?</v>
      </c>
      <c r="DU43" s="157" t="e">
        <f aca="false">IF(DM43=0,0,SPRDOPT(DG43,DH43,$AD43,$AM43,DK43,DL43,DM43,$F43,$F$19,7)/100)</f>
        <v>#NAME?</v>
      </c>
      <c r="DV43" s="157" t="e">
        <f aca="false">IF(DN43=0,0,SPRDOPT(DG43,DH43,$AD43,$AM43,DK43,DL43,DM43,$F43,$F$19,9)/365)</f>
        <v>#NAME?</v>
      </c>
      <c r="DW43" s="157" t="e">
        <f aca="false">DO43+DP43</f>
        <v>#NAME?</v>
      </c>
      <c r="DX43" s="157" t="e">
        <f aca="false">DR43-DQ43</f>
        <v>#NAME?</v>
      </c>
      <c r="DY43" s="157" t="e">
        <f aca="false">((DK43/DL43)*DS43)+DT43</f>
        <v>#NAME?</v>
      </c>
      <c r="DZ43" s="44"/>
      <c r="EA43" s="45" t="e">
        <f aca="false">DF43*DN43</f>
        <v>#NAME?</v>
      </c>
      <c r="EB43" s="45" t="e">
        <f aca="false">DF43*DO43</f>
        <v>#NAME?</v>
      </c>
      <c r="EC43" s="45" t="e">
        <f aca="false">DF43*DP43</f>
        <v>#NAME?</v>
      </c>
      <c r="ED43" s="45" t="e">
        <f aca="false">DF43*DQ43</f>
        <v>#NAME?</v>
      </c>
      <c r="EE43" s="45" t="e">
        <f aca="false">DF43*DR43</f>
        <v>#NAME?</v>
      </c>
      <c r="EF43" s="45" t="e">
        <f aca="false">DF43*DS43</f>
        <v>#NAME?</v>
      </c>
      <c r="EG43" s="45" t="e">
        <f aca="false">DF43*DT43</f>
        <v>#NAME?</v>
      </c>
      <c r="EH43" s="45" t="e">
        <f aca="false">DF43*DU43</f>
        <v>#NAME?</v>
      </c>
      <c r="EI43" s="45" t="e">
        <f aca="false">DF43*DV43</f>
        <v>#NAME?</v>
      </c>
      <c r="EJ43" s="45" t="e">
        <f aca="false">DF43*DW43</f>
        <v>#NAME?</v>
      </c>
      <c r="EK43" s="45" t="e">
        <f aca="false">DF43*DX43</f>
        <v>#NAME?</v>
      </c>
      <c r="EL43" s="45" t="e">
        <f aca="false">DF43*DY43</f>
        <v>#NAME?</v>
      </c>
      <c r="EN43" s="9" t="n">
        <f aca="false">IF($A43&gt;=EP$32,IF($A43&lt;=EP$33,$AN43,0),0)</f>
        <v>31</v>
      </c>
      <c r="EO43" s="123" t="n">
        <f aca="false">$B43+$AF43+$H$12</f>
        <v>5.0793</v>
      </c>
      <c r="EP43" s="123" t="n">
        <f aca="false">$B43+$AG43+$H$13</f>
        <v>4.8868</v>
      </c>
      <c r="EQ43" s="123" t="n">
        <f aca="false">EO43*EN43</f>
        <v>157.4583</v>
      </c>
      <c r="ER43" s="123" t="n">
        <f aca="false">EP43*EN43</f>
        <v>151.4908</v>
      </c>
      <c r="ES43" s="156" t="n">
        <f aca="false">($C43*$AH43)+$H$14</f>
        <v>0.5375</v>
      </c>
      <c r="ET43" s="156" t="n">
        <f aca="false">($C43*$AI43)+$H$15</f>
        <v>0.5375</v>
      </c>
      <c r="EU43" s="131" t="n">
        <f aca="false">$AJ43+$H$16</f>
        <v>0.9985</v>
      </c>
      <c r="EV43" s="157" t="e">
        <f aca="false">IF(EN43=0,0,SPRDOPT(EO43,EP43,$AK43,$AM43,ES43,ET43,EU43,$F43,$H$19,0))</f>
        <v>#NAME?</v>
      </c>
      <c r="EW43" s="157" t="e">
        <f aca="false">IF(EO43=0,0,SPRDOPT(EO43,EP43,$AK43,$AM43,ES43,ET43,EU43,$F43,$H$19,1))</f>
        <v>#NAME?</v>
      </c>
      <c r="EX43" s="157" t="e">
        <f aca="false">IF(EP43=0,0,SPRDOPT(EO43,EP43,$AK43,$AM43,ES43,ET43,EU43,$F43,$H$19,2))</f>
        <v>#NAME?</v>
      </c>
      <c r="EY43" s="157" t="e">
        <f aca="false">IF(EQ43=0,0,SPRDOPT(EO43,EP43,$AK43,$AM43,ES43,ET43,EU43,$F43,$H$19,3)/100)</f>
        <v>#NAME?</v>
      </c>
      <c r="EZ43" s="157" t="e">
        <f aca="false">IF(ER43=0,0,SPRDOPT(EO43,EP43,$AK43,$AM43,ES43,ET43,EU43,$F43,$H$19,4)/100)</f>
        <v>#NAME?</v>
      </c>
      <c r="FA43" s="157" t="e">
        <f aca="false">IF(ES43=0,0,SPRDOPT(EO43,EP43,$AK43,$AM43,ES43,ET43,EU43,$F43,$H$19,5)/100)</f>
        <v>#NAME?</v>
      </c>
      <c r="FB43" s="157" t="e">
        <f aca="false">IF(ET43=0,0,SPRDOPT(EO43,EP43,$AK43,$AM43,ES43,ET43,EU43,$F43,$H$19,6)/100)</f>
        <v>#NAME?</v>
      </c>
      <c r="FC43" s="157" t="e">
        <f aca="false">IF(EU43=0,0,SPRDOPT(EO43,EP43,$AK43,$AM43,ES43,ET43,EU43,$F43,$H$19,7)/100)</f>
        <v>#NAME?</v>
      </c>
      <c r="FD43" s="157" t="e">
        <f aca="false">IF(EV43=0,0,SPRDOPT(EO43,EP43,$AK43,$AM43,ES43,ET43,EU43,$F43,$H$19,9)/365)</f>
        <v>#NAME?</v>
      </c>
      <c r="FE43" s="157" t="e">
        <f aca="false">EW43+EX43</f>
        <v>#NAME?</v>
      </c>
      <c r="FF43" s="157" t="e">
        <f aca="false">EZ43-EY43</f>
        <v>#NAME?</v>
      </c>
      <c r="FG43" s="157" t="e">
        <f aca="false">((ES43/ET43)*FA43)+FB43</f>
        <v>#NAME?</v>
      </c>
      <c r="FH43" s="44"/>
      <c r="FI43" s="45" t="e">
        <f aca="false">$EN43*EV43</f>
        <v>#NAME?</v>
      </c>
      <c r="FJ43" s="45" t="e">
        <f aca="false">$EN43*EW43</f>
        <v>#NAME?</v>
      </c>
      <c r="FK43" s="45" t="e">
        <f aca="false">$EN43*EX43</f>
        <v>#NAME?</v>
      </c>
      <c r="FL43" s="45" t="e">
        <f aca="false">$EN43*EY43</f>
        <v>#NAME?</v>
      </c>
      <c r="FM43" s="45" t="e">
        <f aca="false">$EN43*EZ43</f>
        <v>#NAME?</v>
      </c>
      <c r="FN43" s="45" t="e">
        <f aca="false">$EN43*FA43</f>
        <v>#NAME?</v>
      </c>
      <c r="FO43" s="45" t="e">
        <f aca="false">$EN43*FB43</f>
        <v>#NAME?</v>
      </c>
      <c r="FP43" s="45" t="e">
        <f aca="false">$EN43*FC43</f>
        <v>#NAME?</v>
      </c>
      <c r="FQ43" s="45" t="e">
        <f aca="false">$EN43*FD43</f>
        <v>#NAME?</v>
      </c>
      <c r="FR43" s="45" t="e">
        <f aca="false">$EN43*FE43</f>
        <v>#NAME?</v>
      </c>
      <c r="FS43" s="45" t="e">
        <f aca="false">$EN43*FF43</f>
        <v>#NAME?</v>
      </c>
      <c r="FT43" s="45" t="e">
        <f aca="false">$EN43*FG43</f>
        <v>#NAME?</v>
      </c>
    </row>
    <row r="44" customFormat="false" ht="12.75" hidden="false" customHeight="false" outlineLevel="0" collapsed="false">
      <c r="A44" s="48" t="n">
        <f aca="false">DATE(YEAR(A43),MONTH(A43)+1,1)</f>
        <v>36982</v>
      </c>
      <c r="B44" s="40" t="n">
        <f aca="false">VLOOKUP(A44,STRADDLE,5,FALSE())</f>
        <v>4.57071428571429</v>
      </c>
      <c r="C44" s="4" t="n">
        <f aca="false">VLOOKUP(A44,STRADDLE,8,FALSE())</f>
        <v>0.435</v>
      </c>
      <c r="D44" s="40"/>
      <c r="E44" s="131"/>
      <c r="F44" s="136" t="n">
        <f aca="false">VLOOKUP(A44,expiration,2,FALSE())-$B$2</f>
        <v>-8948</v>
      </c>
      <c r="G44" s="4"/>
      <c r="H44" s="4"/>
      <c r="I44" s="41"/>
      <c r="J44" s="154"/>
      <c r="K44" s="40" t="n">
        <f aca="false">IF($B$3="NYMEX",0,VLOOKUP($A44,curvesettle,HLOOKUP($B$3,curvesettle,2,FALSE()),FALSE()))</f>
        <v>-0.35</v>
      </c>
      <c r="L44" s="40" t="n">
        <f aca="false">IF($B$4="NYMEX",0,VLOOKUP($A44,curvesettle,HLOOKUP($B$4,curvesettle,2,FALSE()),FALSE()))</f>
        <v>0</v>
      </c>
      <c r="M44" s="131" t="n">
        <f aca="false">IF(ISNUMBER(VLOOKUP($A44,VOLCURVES,HLOOKUP($B$3,VOLCURVES,2,FALSE()),FALSE())),VLOOKUP($A44,VOLCURVES,HLOOKUP($B$3,VOLCURVES,2,FALSE()),FALSE()),1)</f>
        <v>1.02</v>
      </c>
      <c r="N44" s="131" t="n">
        <f aca="false">IF(ISNUMBER(VLOOKUP($A44,VOLCURVES,HLOOKUP($B$4,VOLCURVES,2,FALSE()),FALSE())),VLOOKUP($A44,VOLCURVES,HLOOKUP($B$4,VOLCURVES,2,FALSE()),FALSE()),1)</f>
        <v>1</v>
      </c>
      <c r="O44" s="131" t="n">
        <f aca="false">IF(ISNUMBER(VLOOKUP($A44,CORETABLE,HLOOKUP($B$3,CORETABLE,2,FALSE()),FALSE())),VLOOKUP($A44,CORETABLE,HLOOKUP($B$3,CORETABLE,2,FALSE()),FALSE()),0.99)</f>
        <v>0.96</v>
      </c>
      <c r="P44" s="155" t="n">
        <f aca="false">B$18</f>
        <v>0.3</v>
      </c>
      <c r="Q44" s="131"/>
      <c r="R44" s="40" t="n">
        <f aca="false">IF($D$3="NYMEX",0,VLOOKUP($A44,curvesettle,HLOOKUP($D$3,curvesettle,2,FALSE()),FALSE()))</f>
        <v>-0.5375</v>
      </c>
      <c r="S44" s="40" t="n">
        <f aca="false">IF($D$4="NYMEX",0,VLOOKUP($A44,curvesettle,HLOOKUP($D$4,curvesettle,2,FALSE()),FALSE()))</f>
        <v>0</v>
      </c>
      <c r="T44" s="131" t="n">
        <f aca="false">IF(ISNUMBER(VLOOKUP($A44,VOLCURVES,HLOOKUP($D$3,VOLCURVES,2,FALSE()),FALSE())),VLOOKUP($A44,VOLCURVES,HLOOKUP($D$3,VOLCURVES,2,FALSE()),FALSE()),1)</f>
        <v>0.97</v>
      </c>
      <c r="U44" s="131" t="n">
        <f aca="false">IF(ISNUMBER(VLOOKUP($A44,VOLCURVES,HLOOKUP($D$4,VOLCURVES,2,FALSE()),FALSE())),VLOOKUP($A44,VOLCURVES,HLOOKUP($D$4,VOLCURVES,2,FALSE()),FALSE()),1)</f>
        <v>1</v>
      </c>
      <c r="V44" s="131" t="n">
        <f aca="false">IF(ISNUMBER(VLOOKUP($A44,CORETABLE,HLOOKUP($D$3,CORETABLE,2,FALSE()),FALSE())),VLOOKUP($A44,CORETABLE,HLOOKUP($D$3,CORETABLE,2,FALSE()),FALSE()),0.99)</f>
        <v>0.96</v>
      </c>
      <c r="W44" s="155" t="n">
        <f aca="false">D$18</f>
        <v>-0.35</v>
      </c>
      <c r="X44" s="131"/>
      <c r="Y44" s="40" t="n">
        <f aca="false">IF($F$3="NYMEX",0,VLOOKUP($A44,curvesettle,HLOOKUP($F$3,curvesettle,2,FALSE()),FALSE()))</f>
        <v>-0.14</v>
      </c>
      <c r="Z44" s="40" t="n">
        <f aca="false">IF($F$4="NYMEX",0,VLOOKUP($A44,curvesettle,HLOOKUP($F$4,curvesettle,2,FALSE()),FALSE()))</f>
        <v>0</v>
      </c>
      <c r="AA44" s="131" t="n">
        <f aca="false">IF(ISNUMBER(VLOOKUP($A44,VOLCURVES,HLOOKUP($F$3,VOLCURVES,2,FALSE()),FALSE())),VLOOKUP($A44,VOLCURVES,HLOOKUP($F$3,VOLCURVES,2,FALSE()),FALSE()),1)</f>
        <v>1</v>
      </c>
      <c r="AB44" s="131" t="n">
        <f aca="false">IF(ISNUMBER(VLOOKUP($A44,VOLCURVES,HLOOKUP($F$4,VOLCURVES,2,FALSE()),FALSE())),VLOOKUP($A44,VOLCURVES,HLOOKUP($F$4,VOLCURVES,2,FALSE()),FALSE()),1)</f>
        <v>1</v>
      </c>
      <c r="AC44" s="131" t="n">
        <f aca="false">IF(ISNUMBER(VLOOKUP($A44,CORETABLE,HLOOKUP($F$3,CORETABLE,2,FALSE()),FALSE())),VLOOKUP($A44,CORETABLE,HLOOKUP($F$3,CORETABLE,2,FALSE()),FALSE()),1)</f>
        <v>0.995</v>
      </c>
      <c r="AD44" s="155" t="n">
        <f aca="false">F$18</f>
        <v>-0.2</v>
      </c>
      <c r="AE44" s="131"/>
      <c r="AF44" s="40" t="n">
        <f aca="false">IF($H$3="NYMEX",0,VLOOKUP($A44,curvesettle,HLOOKUP($H$3,curvesettle,2,FALSE()),FALSE()))</f>
        <v>0.0725</v>
      </c>
      <c r="AG44" s="40" t="n">
        <f aca="false">IF($H$4="NYMEX",0,VLOOKUP($A44,curvesettle,HLOOKUP($H$4,curvesettle,2,FALSE()),FALSE()))</f>
        <v>0</v>
      </c>
      <c r="AH44" s="131" t="n">
        <f aca="false">IF(ISNUMBER(VLOOKUP($A44,VOLCURVES,HLOOKUP($H$3,VOLCURVES,2,FALSE()),FALSE())),VLOOKUP($A44,VOLCURVES,HLOOKUP($H$3,VOLCURVES,2,FALSE()),FALSE()),1)</f>
        <v>1</v>
      </c>
      <c r="AI44" s="131" t="n">
        <f aca="false">IF(ISNUMBER(VLOOKUP($A44,VOLCURVES,HLOOKUP($H$4,VOLCURVES,2,FALSE()),FALSE())),VLOOKUP($A44,VOLCURVES,HLOOKUP($H$4,VOLCURVES,2,FALSE()),FALSE()),1)</f>
        <v>1</v>
      </c>
      <c r="AJ44" s="131" t="n">
        <f aca="false">IF(ISNUMBER(VLOOKUP($A44,CORETABLE,HLOOKUP($H$3,CORETABLE,2,FALSE()),FALSE())),VLOOKUP($A44,CORETABLE,HLOOKUP($H$3,CORETABLE,2,FALSE()),FALSE()),1)</f>
        <v>0.994071440191916</v>
      </c>
      <c r="AK44" s="155" t="n">
        <f aca="false">H$18</f>
        <v>0.2</v>
      </c>
      <c r="AM44" s="4" t="n">
        <f aca="false">VLOOKUP($A44,STRADDLE,12,FALSE())</f>
        <v>0.068254674043478</v>
      </c>
      <c r="AN44" s="43" t="n">
        <f aca="false">A45-A44</f>
        <v>30</v>
      </c>
      <c r="AP44" s="9" t="n">
        <f aca="false">IF($A44&gt;=AR$32,IF($A44&lt;=AR$33,$AN44,0),0)</f>
        <v>0</v>
      </c>
      <c r="AQ44" s="123" t="n">
        <f aca="false">$B44+$K44+$B$12</f>
        <v>4.18821428571429</v>
      </c>
      <c r="AR44" s="123" t="n">
        <f aca="false">$B44+$L44+$B$13</f>
        <v>4.57071428571429</v>
      </c>
      <c r="AS44" s="123" t="n">
        <f aca="false">AQ44*AP44</f>
        <v>0</v>
      </c>
      <c r="AT44" s="123" t="n">
        <f aca="false">AR44*AP44</f>
        <v>0</v>
      </c>
      <c r="AU44" s="156" t="n">
        <f aca="false">($C44*$M44)+$B$14</f>
        <v>0.4437</v>
      </c>
      <c r="AV44" s="156" t="n">
        <f aca="false">($C44*$N44)+$B$15</f>
        <v>0.435</v>
      </c>
      <c r="AW44" s="131" t="n">
        <f aca="false">O44+B$16</f>
        <v>0.96</v>
      </c>
      <c r="AX44" s="157" t="n">
        <f aca="false">IF(AP44=0,0,SPRDOPT(AQ44,AR44,$P44,$AM44,AU44,AV44,AW44,$F44,$B$19,0))</f>
        <v>0</v>
      </c>
      <c r="AY44" s="157" t="e">
        <f aca="false">IF(AQ44=0,0,SPRDOPT(AQ44,AR44,$P44,$AM44,AU44,AV44,AW44,$F44,$B$19,1))</f>
        <v>#NAME?</v>
      </c>
      <c r="AZ44" s="157" t="e">
        <f aca="false">IF(AR44=0,0,SPRDOPT(AQ44,AR44,$P44,$AM44,AU44,AV44,AW44,$F44,$B$19,2))</f>
        <v>#NAME?</v>
      </c>
      <c r="BA44" s="157" t="n">
        <f aca="false">IF(AS44=0,0,SPRDOPT(AQ44,AR44,$P44,$AM44,AU44,AV44,AW44,$F44,$B$19,3)/100)</f>
        <v>0</v>
      </c>
      <c r="BB44" s="157" t="n">
        <f aca="false">IF(AT44=0,0,SPRDOPT(AQ44,AR44,$P44,$AM44,AU44,AV44,AW44,$F44,$B$19,4)/100)</f>
        <v>0</v>
      </c>
      <c r="BC44" s="157" t="e">
        <f aca="false">IF(AU44=0,0,SPRDOPT(AQ44,AR44,$P44,$AM44,AU44,AV44,AW44,$F44,$B$19,5)/100)</f>
        <v>#NAME?</v>
      </c>
      <c r="BD44" s="157" t="e">
        <f aca="false">IF(AV44=0,0,SPRDOPT(AQ44,AR44,$P44,$AM44,AU44,AV44,AW44,$F44,$B$19,6)/100)</f>
        <v>#NAME?</v>
      </c>
      <c r="BE44" s="157" t="e">
        <f aca="false">IF(AW44=0,0,SPRDOPT(AQ44,AR44,$P44,$AM44,AU44,AV44,AW44,$F44,$B$19,7)/100)</f>
        <v>#NAME?</v>
      </c>
      <c r="BF44" s="157" t="n">
        <f aca="false">IF(AX44=0,0,SPRDOPT(AQ44,AR44,$P44,$AM44,AU44,AV44,AW44,$F44,$B$19,9)/365)</f>
        <v>0</v>
      </c>
      <c r="BG44" s="157" t="e">
        <f aca="false">AY44+AZ44</f>
        <v>#NAME?</v>
      </c>
      <c r="BH44" s="157" t="n">
        <f aca="false">BB44-BA44</f>
        <v>0</v>
      </c>
      <c r="BI44" s="157" t="e">
        <f aca="false">((AU44/AV44)*BC44)+BD44</f>
        <v>#NAME?</v>
      </c>
      <c r="BJ44" s="44"/>
      <c r="BK44" s="45" t="n">
        <f aca="false">$AP44*AX44</f>
        <v>0</v>
      </c>
      <c r="BL44" s="45" t="e">
        <f aca="false">$AP44*AY44</f>
        <v>#NAME?</v>
      </c>
      <c r="BM44" s="45" t="e">
        <f aca="false">$AP44*AZ44</f>
        <v>#NAME?</v>
      </c>
      <c r="BN44" s="45" t="n">
        <f aca="false">$AP44*BA44</f>
        <v>0</v>
      </c>
      <c r="BO44" s="45" t="n">
        <f aca="false">$AP44*BB44</f>
        <v>0</v>
      </c>
      <c r="BP44" s="45" t="e">
        <f aca="false">$AP44*BC44</f>
        <v>#NAME?</v>
      </c>
      <c r="BQ44" s="45" t="e">
        <f aca="false">$AP44*BD44</f>
        <v>#NAME?</v>
      </c>
      <c r="BR44" s="45" t="e">
        <f aca="false">$AP44*BE44</f>
        <v>#NAME?</v>
      </c>
      <c r="BS44" s="45" t="n">
        <f aca="false">$AP44*BF44</f>
        <v>0</v>
      </c>
      <c r="BT44" s="45" t="e">
        <f aca="false">$AP44*BG44</f>
        <v>#NAME?</v>
      </c>
      <c r="BU44" s="45" t="n">
        <f aca="false">$AP44*BH44</f>
        <v>0</v>
      </c>
      <c r="BV44" s="45" t="e">
        <f aca="false">$AP44*BI44</f>
        <v>#NAME?</v>
      </c>
      <c r="BX44" s="9" t="n">
        <f aca="false">IF($A44&gt;=BZ$32,IF($A44&lt;=BZ$33,$AN44,0),0)</f>
        <v>0</v>
      </c>
      <c r="BY44" s="123" t="n">
        <f aca="false">$B44+$R44+$D$12</f>
        <v>4.00071428571429</v>
      </c>
      <c r="BZ44" s="123" t="n">
        <f aca="false">$B44+$S44+$D$13</f>
        <v>4.57071428571429</v>
      </c>
      <c r="CA44" s="123" t="n">
        <f aca="false">BY44*BX44</f>
        <v>0</v>
      </c>
      <c r="CB44" s="123" t="n">
        <f aca="false">BZ44*BX44</f>
        <v>0</v>
      </c>
      <c r="CC44" s="156" t="n">
        <f aca="false">($C44*$T44)+$D$14</f>
        <v>0.42195</v>
      </c>
      <c r="CD44" s="156" t="n">
        <f aca="false">($C44*$U44)+$D$15</f>
        <v>0.435</v>
      </c>
      <c r="CE44" s="131" t="n">
        <f aca="false">$V44+D$16</f>
        <v>0.96</v>
      </c>
      <c r="CF44" s="157" t="n">
        <f aca="false">IF(BX44=0,0,SPRDOPT(BY44,BZ44,$W44,$AM44,CC44,CD44,CE44,$F44,$D$19,0))</f>
        <v>0</v>
      </c>
      <c r="CG44" s="157" t="e">
        <f aca="false">IF(BY44=0,0,SPRDOPT(BY44,BZ44,$W44,$AM44,CC44,CD44,CE44,$F44,$D$19,1))</f>
        <v>#NAME?</v>
      </c>
      <c r="CH44" s="157" t="e">
        <f aca="false">IF(BZ44=0,0,SPRDOPT(BY44,BZ44,$W44,$AM44,CC44,CD44,CE44,$F44,$D$19,2))</f>
        <v>#NAME?</v>
      </c>
      <c r="CI44" s="157" t="n">
        <f aca="false">IF(CA44=0,0,SPRDOPT(BY44,BZ44,$W44,$AM44,CC44,CD44,CE44,$F44,$D$19,3)/100)</f>
        <v>0</v>
      </c>
      <c r="CJ44" s="157" t="n">
        <f aca="false">IF(CB44=0,0,SPRDOPT(BY44,BZ44,$W44,$AM44,CC44,CD44,CE44,$F44,$D$19,4)/100)</f>
        <v>0</v>
      </c>
      <c r="CK44" s="157" t="e">
        <f aca="false">IF(CC44=0,0,SPRDOPT(BY44,BZ44,$W44,$AM44,CC44,CD44,CE44,$F44,$D$19,5)/100)</f>
        <v>#NAME?</v>
      </c>
      <c r="CL44" s="157" t="e">
        <f aca="false">IF(CD44=0,0,SPRDOPT(BY44,BZ44,$W44,$AM44,CC44,CD44,CE44,$F44,$D$19,6)/100)</f>
        <v>#NAME?</v>
      </c>
      <c r="CM44" s="157" t="e">
        <f aca="false">IF(CE44=0,0,SPRDOPT(BY44,BZ44,$W44,$AM44,CC44,CD44,CE44,$F44,$D$19,7)/100)</f>
        <v>#NAME?</v>
      </c>
      <c r="CN44" s="157" t="n">
        <f aca="false">IF(CF44=0,0,SPRDOPT(BY44,BZ44,$W44,$AM44,CC44,CD44,CE44,$F44,$D$19,9)/365)</f>
        <v>0</v>
      </c>
      <c r="CO44" s="157" t="e">
        <f aca="false">CG44+CH44</f>
        <v>#NAME?</v>
      </c>
      <c r="CP44" s="157" t="n">
        <f aca="false">CJ44-CI44</f>
        <v>0</v>
      </c>
      <c r="CQ44" s="157" t="e">
        <f aca="false">((CC44/CD44)*CK44)+CL44</f>
        <v>#NAME?</v>
      </c>
      <c r="CR44" s="44"/>
      <c r="CS44" s="45" t="n">
        <f aca="false">BX44*CF44</f>
        <v>0</v>
      </c>
      <c r="CT44" s="45" t="e">
        <f aca="false">BX44*CG44</f>
        <v>#NAME?</v>
      </c>
      <c r="CU44" s="45" t="e">
        <f aca="false">BX44*CH44</f>
        <v>#NAME?</v>
      </c>
      <c r="CV44" s="45" t="n">
        <f aca="false">BX44*CI44</f>
        <v>0</v>
      </c>
      <c r="CW44" s="45" t="n">
        <f aca="false">BX44*CJ44</f>
        <v>0</v>
      </c>
      <c r="CX44" s="45" t="e">
        <f aca="false">BX44*CK44</f>
        <v>#NAME?</v>
      </c>
      <c r="CY44" s="45" t="e">
        <f aca="false">BX44*CL44</f>
        <v>#NAME?</v>
      </c>
      <c r="CZ44" s="45" t="e">
        <f aca="false">BX44*CM44</f>
        <v>#NAME?</v>
      </c>
      <c r="DA44" s="45" t="n">
        <f aca="false">BX44*CN44</f>
        <v>0</v>
      </c>
      <c r="DB44" s="45" t="e">
        <f aca="false">BX44*CO44</f>
        <v>#NAME?</v>
      </c>
      <c r="DC44" s="45" t="n">
        <f aca="false">BX44*CP44</f>
        <v>0</v>
      </c>
      <c r="DD44" s="45" t="e">
        <f aca="false">BX44*CQ44</f>
        <v>#NAME?</v>
      </c>
      <c r="DF44" s="9" t="n">
        <f aca="false">IF($A44&gt;=DH$32,IF($A44&lt;=DH$33,$AN44,0),0)</f>
        <v>0</v>
      </c>
      <c r="DG44" s="123" t="n">
        <f aca="false">$B44+$Y44+$F$12</f>
        <v>4.43071428571429</v>
      </c>
      <c r="DH44" s="123" t="n">
        <f aca="false">$B44+$Z44+$F$13</f>
        <v>4.57071428571429</v>
      </c>
      <c r="DI44" s="123" t="n">
        <f aca="false">DG44*DF44</f>
        <v>0</v>
      </c>
      <c r="DJ44" s="123" t="n">
        <f aca="false">DH44*DF44</f>
        <v>0</v>
      </c>
      <c r="DK44" s="156" t="n">
        <f aca="false">($C44*$AA44)+$F$14</f>
        <v>0.435</v>
      </c>
      <c r="DL44" s="156" t="n">
        <f aca="false">($C44*$AB44)+$F$15</f>
        <v>0.435</v>
      </c>
      <c r="DM44" s="131" t="n">
        <f aca="false">$AC44+$F$16</f>
        <v>0.995</v>
      </c>
      <c r="DN44" s="157" t="n">
        <f aca="false">IF(DF44=0,0,SPRDOPT(DG44,DH44,$AD44,$AM44,DK44,DL44,DM44,$F44,$F$19,0))</f>
        <v>0</v>
      </c>
      <c r="DO44" s="157" t="e">
        <f aca="false">IF(DG44=0,0,SPRDOPT(DG44,DH44,$AD44,$AM44,DK44,DL44,DM44,$F44,$F$19,1))</f>
        <v>#NAME?</v>
      </c>
      <c r="DP44" s="157" t="e">
        <f aca="false">IF(DH44=0,0,SPRDOPT(DG44,DH44,$AD44,$AM44,DK44,DL44,DM44,$F44,$F$19,2))</f>
        <v>#NAME?</v>
      </c>
      <c r="DQ44" s="157" t="n">
        <f aca="false">IF(DI44=0,0,SPRDOPT(DG44,DH44,$AD44,$AM44,DK44,DL44,DM44,$F44,$F$19,3)/100)</f>
        <v>0</v>
      </c>
      <c r="DR44" s="157" t="n">
        <f aca="false">IF(DJ44=0,0,SPRDOPT(DG44,DH44,$AD44,$AM44,DK44,DL44,DM44,$F44,$F$19,4)/100)</f>
        <v>0</v>
      </c>
      <c r="DS44" s="157" t="e">
        <f aca="false">IF(DK44=0,0,SPRDOPT(DG44,DH44,$AD44,$AM44,DK44,DL44,DM44,$F44,$F$19,5)/100)</f>
        <v>#NAME?</v>
      </c>
      <c r="DT44" s="157" t="e">
        <f aca="false">IF(DL44=0,0,SPRDOPT(DG44,DH44,$AD44,$AM44,DK44,DL44,DM44,$F44,$F$19,6)/100)</f>
        <v>#NAME?</v>
      </c>
      <c r="DU44" s="157" t="e">
        <f aca="false">IF(DM44=0,0,SPRDOPT(DG44,DH44,$AD44,$AM44,DK44,DL44,DM44,$F44,$F$19,7)/100)</f>
        <v>#NAME?</v>
      </c>
      <c r="DV44" s="157" t="n">
        <f aca="false">IF(DN44=0,0,SPRDOPT(DG44,DH44,$AD44,$AM44,DK44,DL44,DM44,$F44,$F$19,9)/365)</f>
        <v>0</v>
      </c>
      <c r="DW44" s="157" t="e">
        <f aca="false">DO44+DP44</f>
        <v>#NAME?</v>
      </c>
      <c r="DX44" s="157" t="n">
        <f aca="false">DR44-DQ44</f>
        <v>0</v>
      </c>
      <c r="DY44" s="157" t="e">
        <f aca="false">((DK44/DL44)*DS44)+DT44</f>
        <v>#NAME?</v>
      </c>
      <c r="DZ44" s="44"/>
      <c r="EA44" s="45" t="n">
        <f aca="false">DF44*DN44</f>
        <v>0</v>
      </c>
      <c r="EB44" s="45" t="e">
        <f aca="false">DF44*DO44</f>
        <v>#NAME?</v>
      </c>
      <c r="EC44" s="45" t="e">
        <f aca="false">DF44*DP44</f>
        <v>#NAME?</v>
      </c>
      <c r="ED44" s="45" t="n">
        <f aca="false">DF44*DQ44</f>
        <v>0</v>
      </c>
      <c r="EE44" s="45" t="n">
        <f aca="false">DF44*DR44</f>
        <v>0</v>
      </c>
      <c r="EF44" s="45" t="e">
        <f aca="false">DF44*DS44</f>
        <v>#NAME?</v>
      </c>
      <c r="EG44" s="45" t="e">
        <f aca="false">DF44*DT44</f>
        <v>#NAME?</v>
      </c>
      <c r="EH44" s="45" t="e">
        <f aca="false">DF44*DU44</f>
        <v>#NAME?</v>
      </c>
      <c r="EI44" s="45" t="n">
        <f aca="false">DF44*DV44</f>
        <v>0</v>
      </c>
      <c r="EJ44" s="45" t="e">
        <f aca="false">DF44*DW44</f>
        <v>#NAME?</v>
      </c>
      <c r="EK44" s="45" t="n">
        <f aca="false">DF44*DX44</f>
        <v>0</v>
      </c>
      <c r="EL44" s="45" t="e">
        <f aca="false">DF44*DY44</f>
        <v>#NAME?</v>
      </c>
      <c r="EN44" s="9" t="n">
        <f aca="false">IF($A44&gt;=EP$32,IF($A44&lt;=EP$33,$AN44,0),0)</f>
        <v>0</v>
      </c>
      <c r="EO44" s="123" t="n">
        <f aca="false">$B44+$AF44+$H$12</f>
        <v>4.64821428571429</v>
      </c>
      <c r="EP44" s="123" t="n">
        <f aca="false">$B44+$AG44+$H$13</f>
        <v>4.57071428571429</v>
      </c>
      <c r="EQ44" s="123" t="n">
        <f aca="false">EO44*EN44</f>
        <v>0</v>
      </c>
      <c r="ER44" s="123" t="n">
        <f aca="false">EP44*EN44</f>
        <v>0</v>
      </c>
      <c r="ES44" s="156" t="n">
        <f aca="false">($C44*$AH44)+$H$14</f>
        <v>0.435</v>
      </c>
      <c r="ET44" s="156" t="n">
        <f aca="false">($C44*$AI44)+$H$15</f>
        <v>0.435</v>
      </c>
      <c r="EU44" s="131" t="n">
        <f aca="false">$AJ44+$H$16</f>
        <v>0.994071440191916</v>
      </c>
      <c r="EV44" s="157" t="n">
        <f aca="false">IF(EN44=0,0,SPRDOPT(EO44,EP44,$AK44,$AM44,ES44,ET44,EU44,$F44,$H$19,0))</f>
        <v>0</v>
      </c>
      <c r="EW44" s="157" t="e">
        <f aca="false">IF(EO44=0,0,SPRDOPT(EO44,EP44,$AK44,$AM44,ES44,ET44,EU44,$F44,$H$19,1))</f>
        <v>#NAME?</v>
      </c>
      <c r="EX44" s="157" t="e">
        <f aca="false">IF(EP44=0,0,SPRDOPT(EO44,EP44,$AK44,$AM44,ES44,ET44,EU44,$F44,$H$19,2))</f>
        <v>#NAME?</v>
      </c>
      <c r="EY44" s="157" t="n">
        <f aca="false">IF(EQ44=0,0,SPRDOPT(EO44,EP44,$AK44,$AM44,ES44,ET44,EU44,$F44,$H$19,3)/100)</f>
        <v>0</v>
      </c>
      <c r="EZ44" s="157" t="n">
        <f aca="false">IF(ER44=0,0,SPRDOPT(EO44,EP44,$AK44,$AM44,ES44,ET44,EU44,$F44,$H$19,4)/100)</f>
        <v>0</v>
      </c>
      <c r="FA44" s="157" t="e">
        <f aca="false">IF(ES44=0,0,SPRDOPT(EO44,EP44,$AK44,$AM44,ES44,ET44,EU44,$F44,$H$19,5)/100)</f>
        <v>#NAME?</v>
      </c>
      <c r="FB44" s="157" t="e">
        <f aca="false">IF(ET44=0,0,SPRDOPT(EO44,EP44,$AK44,$AM44,ES44,ET44,EU44,$F44,$H$19,6)/100)</f>
        <v>#NAME?</v>
      </c>
      <c r="FC44" s="157" t="e">
        <f aca="false">IF(EU44=0,0,SPRDOPT(EO44,EP44,$AK44,$AM44,ES44,ET44,EU44,$F44,$H$19,7)/100)</f>
        <v>#NAME?</v>
      </c>
      <c r="FD44" s="157" t="n">
        <f aca="false">IF(EV44=0,0,SPRDOPT(EO44,EP44,$AK44,$AM44,ES44,ET44,EU44,$F44,$H$19,9)/365)</f>
        <v>0</v>
      </c>
      <c r="FE44" s="157" t="e">
        <f aca="false">EW44+EX44</f>
        <v>#NAME?</v>
      </c>
      <c r="FF44" s="157" t="n">
        <f aca="false">EZ44-EY44</f>
        <v>0</v>
      </c>
      <c r="FG44" s="157" t="e">
        <f aca="false">((ES44/ET44)*FA44)+FB44</f>
        <v>#NAME?</v>
      </c>
      <c r="FH44" s="44"/>
      <c r="FI44" s="45" t="n">
        <f aca="false">$EN44*EV44</f>
        <v>0</v>
      </c>
      <c r="FJ44" s="45" t="e">
        <f aca="false">$EN44*EW44</f>
        <v>#NAME?</v>
      </c>
      <c r="FK44" s="45" t="e">
        <f aca="false">$EN44*EX44</f>
        <v>#NAME?</v>
      </c>
      <c r="FL44" s="45" t="n">
        <f aca="false">$EN44*EY44</f>
        <v>0</v>
      </c>
      <c r="FM44" s="45" t="n">
        <f aca="false">$EN44*EZ44</f>
        <v>0</v>
      </c>
      <c r="FN44" s="45" t="e">
        <f aca="false">$EN44*FA44</f>
        <v>#NAME?</v>
      </c>
      <c r="FO44" s="45" t="e">
        <f aca="false">$EN44*FB44</f>
        <v>#NAME?</v>
      </c>
      <c r="FP44" s="45" t="e">
        <f aca="false">$EN44*FC44</f>
        <v>#NAME?</v>
      </c>
      <c r="FQ44" s="45" t="n">
        <f aca="false">$EN44*FD44</f>
        <v>0</v>
      </c>
      <c r="FR44" s="45" t="e">
        <f aca="false">$EN44*FE44</f>
        <v>#NAME?</v>
      </c>
      <c r="FS44" s="45" t="n">
        <f aca="false">$EN44*FF44</f>
        <v>0</v>
      </c>
      <c r="FT44" s="45" t="e">
        <f aca="false">$EN44*FG44</f>
        <v>#NAME?</v>
      </c>
    </row>
    <row r="45" customFormat="false" ht="12.75" hidden="false" customHeight="false" outlineLevel="0" collapsed="false">
      <c r="A45" s="48" t="n">
        <f aca="false">DATE(YEAR(A44),MONTH(A44)+1,1)</f>
        <v>37012</v>
      </c>
      <c r="B45" s="40" t="n">
        <f aca="false">VLOOKUP(A45,STRADDLE,5,FALSE())</f>
        <v>4.46571428571429</v>
      </c>
      <c r="C45" s="4" t="n">
        <f aca="false">VLOOKUP(A45,STRADDLE,8,FALSE())</f>
        <v>0.3975</v>
      </c>
      <c r="D45" s="40"/>
      <c r="E45" s="131"/>
      <c r="F45" s="136" t="n">
        <f aca="false">VLOOKUP(A45,expiration,2,FALSE())-$B$2</f>
        <v>-8919</v>
      </c>
      <c r="G45" s="4"/>
      <c r="H45" s="4"/>
      <c r="I45" s="41"/>
      <c r="J45" s="154"/>
      <c r="K45" s="40" t="n">
        <f aca="false">IF($B$3="NYMEX",0,VLOOKUP($A45,curvesettle,HLOOKUP($B$3,curvesettle,2,FALSE()),FALSE()))</f>
        <v>-0.35</v>
      </c>
      <c r="L45" s="40" t="n">
        <f aca="false">IF($B$4="NYMEX",0,VLOOKUP($A45,curvesettle,HLOOKUP($B$4,curvesettle,2,FALSE()),FALSE()))</f>
        <v>0</v>
      </c>
      <c r="M45" s="131" t="n">
        <f aca="false">IF(ISNUMBER(VLOOKUP($A45,VOLCURVES,HLOOKUP($B$3,VOLCURVES,2,FALSE()),FALSE())),VLOOKUP($A45,VOLCURVES,HLOOKUP($B$3,VOLCURVES,2,FALSE()),FALSE()),1)</f>
        <v>1.02</v>
      </c>
      <c r="N45" s="131" t="n">
        <f aca="false">IF(ISNUMBER(VLOOKUP($A45,VOLCURVES,HLOOKUP($B$4,VOLCURVES,2,FALSE()),FALSE())),VLOOKUP($A45,VOLCURVES,HLOOKUP($B$4,VOLCURVES,2,FALSE()),FALSE()),1)</f>
        <v>1</v>
      </c>
      <c r="O45" s="131" t="n">
        <f aca="false">IF(ISNUMBER(VLOOKUP($A45,CORETABLE,HLOOKUP($B$3,CORETABLE,2,FALSE()),FALSE())),VLOOKUP($A45,CORETABLE,HLOOKUP($B$3,CORETABLE,2,FALSE()),FALSE()),0.99)</f>
        <v>0.96</v>
      </c>
      <c r="P45" s="155" t="n">
        <f aca="false">B$18</f>
        <v>0.3</v>
      </c>
      <c r="Q45" s="131"/>
      <c r="R45" s="40" t="n">
        <f aca="false">IF($D$3="NYMEX",0,VLOOKUP($A45,curvesettle,HLOOKUP($D$3,curvesettle,2,FALSE()),FALSE()))</f>
        <v>-0.5375</v>
      </c>
      <c r="S45" s="40" t="n">
        <f aca="false">IF($D$4="NYMEX",0,VLOOKUP($A45,curvesettle,HLOOKUP($D$4,curvesettle,2,FALSE()),FALSE()))</f>
        <v>0</v>
      </c>
      <c r="T45" s="131" t="n">
        <f aca="false">IF(ISNUMBER(VLOOKUP($A45,VOLCURVES,HLOOKUP($D$3,VOLCURVES,2,FALSE()),FALSE())),VLOOKUP($A45,VOLCURVES,HLOOKUP($D$3,VOLCURVES,2,FALSE()),FALSE()),1)</f>
        <v>0.97</v>
      </c>
      <c r="U45" s="131" t="n">
        <f aca="false">IF(ISNUMBER(VLOOKUP($A45,VOLCURVES,HLOOKUP($D$4,VOLCURVES,2,FALSE()),FALSE())),VLOOKUP($A45,VOLCURVES,HLOOKUP($D$4,VOLCURVES,2,FALSE()),FALSE()),1)</f>
        <v>1</v>
      </c>
      <c r="V45" s="131" t="n">
        <f aca="false">IF(ISNUMBER(VLOOKUP($A45,CORETABLE,HLOOKUP($D$3,CORETABLE,2,FALSE()),FALSE())),VLOOKUP($A45,CORETABLE,HLOOKUP($D$3,CORETABLE,2,FALSE()),FALSE()),0.99)</f>
        <v>0.96</v>
      </c>
      <c r="W45" s="155" t="n">
        <f aca="false">D$18</f>
        <v>-0.35</v>
      </c>
      <c r="X45" s="131"/>
      <c r="Y45" s="40" t="n">
        <f aca="false">IF($F$3="NYMEX",0,VLOOKUP($A45,curvesettle,HLOOKUP($F$3,curvesettle,2,FALSE()),FALSE()))</f>
        <v>-0.135</v>
      </c>
      <c r="Z45" s="40" t="n">
        <f aca="false">IF($F$4="NYMEX",0,VLOOKUP($A45,curvesettle,HLOOKUP($F$4,curvesettle,2,FALSE()),FALSE()))</f>
        <v>0</v>
      </c>
      <c r="AA45" s="131" t="n">
        <f aca="false">IF(ISNUMBER(VLOOKUP($A45,VOLCURVES,HLOOKUP($F$3,VOLCURVES,2,FALSE()),FALSE())),VLOOKUP($A45,VOLCURVES,HLOOKUP($F$3,VOLCURVES,2,FALSE()),FALSE()),1)</f>
        <v>1</v>
      </c>
      <c r="AB45" s="131" t="n">
        <f aca="false">IF(ISNUMBER(VLOOKUP($A45,VOLCURVES,HLOOKUP($F$4,VOLCURVES,2,FALSE()),FALSE())),VLOOKUP($A45,VOLCURVES,HLOOKUP($F$4,VOLCURVES,2,FALSE()),FALSE()),1)</f>
        <v>1</v>
      </c>
      <c r="AC45" s="131" t="n">
        <f aca="false">IF(ISNUMBER(VLOOKUP($A45,CORETABLE,HLOOKUP($F$3,CORETABLE,2,FALSE()),FALSE())),VLOOKUP($A45,CORETABLE,HLOOKUP($F$3,CORETABLE,2,FALSE()),FALSE()),1)</f>
        <v>0.995</v>
      </c>
      <c r="AD45" s="155" t="n">
        <f aca="false">F$18</f>
        <v>-0.2</v>
      </c>
      <c r="AE45" s="131"/>
      <c r="AF45" s="40" t="n">
        <f aca="false">IF($H$3="NYMEX",0,VLOOKUP($A45,curvesettle,HLOOKUP($H$3,curvesettle,2,FALSE()),FALSE()))</f>
        <v>0.06</v>
      </c>
      <c r="AG45" s="40" t="n">
        <f aca="false">IF($H$4="NYMEX",0,VLOOKUP($A45,curvesettle,HLOOKUP($H$4,curvesettle,2,FALSE()),FALSE()))</f>
        <v>0</v>
      </c>
      <c r="AH45" s="131" t="n">
        <f aca="false">IF(ISNUMBER(VLOOKUP($A45,VOLCURVES,HLOOKUP($H$3,VOLCURVES,2,FALSE()),FALSE())),VLOOKUP($A45,VOLCURVES,HLOOKUP($H$3,VOLCURVES,2,FALSE()),FALSE()),1)</f>
        <v>1</v>
      </c>
      <c r="AI45" s="131" t="n">
        <f aca="false">IF(ISNUMBER(VLOOKUP($A45,VOLCURVES,HLOOKUP($H$4,VOLCURVES,2,FALSE()),FALSE())),VLOOKUP($A45,VOLCURVES,HLOOKUP($H$4,VOLCURVES,2,FALSE()),FALSE()),1)</f>
        <v>1</v>
      </c>
      <c r="AJ45" s="131" t="n">
        <f aca="false">IF(ISNUMBER(VLOOKUP($A45,CORETABLE,HLOOKUP($H$3,CORETABLE,2,FALSE()),FALSE())),VLOOKUP($A45,CORETABLE,HLOOKUP($H$3,CORETABLE,2,FALSE()),FALSE()),1)</f>
        <v>0.994071440191916</v>
      </c>
      <c r="AK45" s="155" t="n">
        <f aca="false">H$18</f>
        <v>0.2</v>
      </c>
      <c r="AM45" s="4" t="n">
        <f aca="false">VLOOKUP($A45,STRADDLE,12,FALSE())</f>
        <v>0.068096132754615</v>
      </c>
      <c r="AN45" s="43" t="n">
        <f aca="false">A46-A45</f>
        <v>31</v>
      </c>
      <c r="AP45" s="9" t="n">
        <f aca="false">IF($A45&gt;=AR$32,IF($A45&lt;=AR$33,$AN45,0),0)</f>
        <v>0</v>
      </c>
      <c r="AQ45" s="123" t="n">
        <f aca="false">$B45+$K45+$B$12</f>
        <v>4.08321428571429</v>
      </c>
      <c r="AR45" s="123" t="n">
        <f aca="false">$B45+$L45+$B$13</f>
        <v>4.46571428571429</v>
      </c>
      <c r="AS45" s="123" t="n">
        <f aca="false">AQ45*AP45</f>
        <v>0</v>
      </c>
      <c r="AT45" s="123" t="n">
        <f aca="false">AR45*AP45</f>
        <v>0</v>
      </c>
      <c r="AU45" s="156" t="n">
        <f aca="false">($C45*$M45)+$B$14</f>
        <v>0.40545</v>
      </c>
      <c r="AV45" s="156" t="n">
        <f aca="false">($C45*$N45)+$B$15</f>
        <v>0.3975</v>
      </c>
      <c r="AW45" s="131" t="n">
        <f aca="false">O45+B$16</f>
        <v>0.96</v>
      </c>
      <c r="AX45" s="157" t="n">
        <f aca="false">IF(AP45=0,0,SPRDOPT(AQ45,AR45,$P45,$AM45,AU45,AV45,AW45,$F45,$B$19,0))</f>
        <v>0</v>
      </c>
      <c r="AY45" s="157" t="e">
        <f aca="false">IF(AQ45=0,0,SPRDOPT(AQ45,AR45,$P45,$AM45,AU45,AV45,AW45,$F45,$B$19,1))</f>
        <v>#NAME?</v>
      </c>
      <c r="AZ45" s="157" t="e">
        <f aca="false">IF(AR45=0,0,SPRDOPT(AQ45,AR45,$P45,$AM45,AU45,AV45,AW45,$F45,$B$19,2))</f>
        <v>#NAME?</v>
      </c>
      <c r="BA45" s="157" t="n">
        <f aca="false">IF(AS45=0,0,SPRDOPT(AQ45,AR45,$P45,$AM45,AU45,AV45,AW45,$F45,$B$19,3)/100)</f>
        <v>0</v>
      </c>
      <c r="BB45" s="157" t="n">
        <f aca="false">IF(AT45=0,0,SPRDOPT(AQ45,AR45,$P45,$AM45,AU45,AV45,AW45,$F45,$B$19,4)/100)</f>
        <v>0</v>
      </c>
      <c r="BC45" s="157" t="e">
        <f aca="false">IF(AU45=0,0,SPRDOPT(AQ45,AR45,$P45,$AM45,AU45,AV45,AW45,$F45,$B$19,5)/100)</f>
        <v>#NAME?</v>
      </c>
      <c r="BD45" s="157" t="e">
        <f aca="false">IF(AV45=0,0,SPRDOPT(AQ45,AR45,$P45,$AM45,AU45,AV45,AW45,$F45,$B$19,6)/100)</f>
        <v>#NAME?</v>
      </c>
      <c r="BE45" s="157" t="e">
        <f aca="false">IF(AW45=0,0,SPRDOPT(AQ45,AR45,$P45,$AM45,AU45,AV45,AW45,$F45,$B$19,7)/100)</f>
        <v>#NAME?</v>
      </c>
      <c r="BF45" s="157" t="n">
        <f aca="false">IF(AX45=0,0,SPRDOPT(AQ45,AR45,$P45,$AM45,AU45,AV45,AW45,$F45,$B$19,9)/365)</f>
        <v>0</v>
      </c>
      <c r="BG45" s="157" t="e">
        <f aca="false">AY45+AZ45</f>
        <v>#NAME?</v>
      </c>
      <c r="BH45" s="157" t="n">
        <f aca="false">BB45-BA45</f>
        <v>0</v>
      </c>
      <c r="BI45" s="157" t="e">
        <f aca="false">((AU45/AV45)*BC45)+BD45</f>
        <v>#NAME?</v>
      </c>
      <c r="BJ45" s="44"/>
      <c r="BK45" s="45" t="n">
        <f aca="false">$AP45*AX45</f>
        <v>0</v>
      </c>
      <c r="BL45" s="45" t="e">
        <f aca="false">$AP45*AY45</f>
        <v>#NAME?</v>
      </c>
      <c r="BM45" s="45" t="e">
        <f aca="false">$AP45*AZ45</f>
        <v>#NAME?</v>
      </c>
      <c r="BN45" s="45" t="n">
        <f aca="false">$AP45*BA45</f>
        <v>0</v>
      </c>
      <c r="BO45" s="45" t="n">
        <f aca="false">$AP45*BB45</f>
        <v>0</v>
      </c>
      <c r="BP45" s="45" t="e">
        <f aca="false">$AP45*BC45</f>
        <v>#NAME?</v>
      </c>
      <c r="BQ45" s="45" t="e">
        <f aca="false">$AP45*BD45</f>
        <v>#NAME?</v>
      </c>
      <c r="BR45" s="45" t="e">
        <f aca="false">$AP45*BE45</f>
        <v>#NAME?</v>
      </c>
      <c r="BS45" s="45" t="n">
        <f aca="false">$AP45*BF45</f>
        <v>0</v>
      </c>
      <c r="BT45" s="45" t="e">
        <f aca="false">$AP45*BG45</f>
        <v>#NAME?</v>
      </c>
      <c r="BU45" s="45" t="n">
        <f aca="false">$AP45*BH45</f>
        <v>0</v>
      </c>
      <c r="BV45" s="45" t="e">
        <f aca="false">$AP45*BI45</f>
        <v>#NAME?</v>
      </c>
      <c r="BX45" s="9" t="n">
        <f aca="false">IF($A45&gt;=BZ$32,IF($A45&lt;=BZ$33,$AN45,0),0)</f>
        <v>0</v>
      </c>
      <c r="BY45" s="123" t="n">
        <f aca="false">$B45+$R45+$D$12</f>
        <v>3.89571428571429</v>
      </c>
      <c r="BZ45" s="123" t="n">
        <f aca="false">$B45+$S45+$D$13</f>
        <v>4.46571428571429</v>
      </c>
      <c r="CA45" s="123" t="n">
        <f aca="false">BY45*BX45</f>
        <v>0</v>
      </c>
      <c r="CB45" s="123" t="n">
        <f aca="false">BZ45*BX45</f>
        <v>0</v>
      </c>
      <c r="CC45" s="156" t="n">
        <f aca="false">($C45*$T45)+$D$14</f>
        <v>0.385575</v>
      </c>
      <c r="CD45" s="156" t="n">
        <f aca="false">($C45*$U45)+$D$15</f>
        <v>0.3975</v>
      </c>
      <c r="CE45" s="131" t="n">
        <f aca="false">$V45+D$16</f>
        <v>0.96</v>
      </c>
      <c r="CF45" s="157" t="n">
        <f aca="false">IF(BX45=0,0,SPRDOPT(BY45,BZ45,$W45,$AM45,CC45,CD45,CE45,$F45,$D$19,0))</f>
        <v>0</v>
      </c>
      <c r="CG45" s="157" t="e">
        <f aca="false">IF(BY45=0,0,SPRDOPT(BY45,BZ45,$W45,$AM45,CC45,CD45,CE45,$F45,$D$19,1))</f>
        <v>#NAME?</v>
      </c>
      <c r="CH45" s="157" t="e">
        <f aca="false">IF(BZ45=0,0,SPRDOPT(BY45,BZ45,$W45,$AM45,CC45,CD45,CE45,$F45,$D$19,2))</f>
        <v>#NAME?</v>
      </c>
      <c r="CI45" s="157" t="n">
        <f aca="false">IF(CA45=0,0,SPRDOPT(BY45,BZ45,$W45,$AM45,CC45,CD45,CE45,$F45,$D$19,3)/100)</f>
        <v>0</v>
      </c>
      <c r="CJ45" s="157" t="n">
        <f aca="false">IF(CB45=0,0,SPRDOPT(BY45,BZ45,$W45,$AM45,CC45,CD45,CE45,$F45,$D$19,4)/100)</f>
        <v>0</v>
      </c>
      <c r="CK45" s="157" t="e">
        <f aca="false">IF(CC45=0,0,SPRDOPT(BY45,BZ45,$W45,$AM45,CC45,CD45,CE45,$F45,$D$19,5)/100)</f>
        <v>#NAME?</v>
      </c>
      <c r="CL45" s="157" t="e">
        <f aca="false">IF(CD45=0,0,SPRDOPT(BY45,BZ45,$W45,$AM45,CC45,CD45,CE45,$F45,$D$19,6)/100)</f>
        <v>#NAME?</v>
      </c>
      <c r="CM45" s="157" t="e">
        <f aca="false">IF(CE45=0,0,SPRDOPT(BY45,BZ45,$W45,$AM45,CC45,CD45,CE45,$F45,$D$19,7)/100)</f>
        <v>#NAME?</v>
      </c>
      <c r="CN45" s="157" t="n">
        <f aca="false">IF(CF45=0,0,SPRDOPT(BY45,BZ45,$W45,$AM45,CC45,CD45,CE45,$F45,$D$19,9)/365)</f>
        <v>0</v>
      </c>
      <c r="CO45" s="157" t="e">
        <f aca="false">CG45+CH45</f>
        <v>#NAME?</v>
      </c>
      <c r="CP45" s="157" t="n">
        <f aca="false">CJ45-CI45</f>
        <v>0</v>
      </c>
      <c r="CQ45" s="157" t="e">
        <f aca="false">((CC45/CD45)*CK45)+CL45</f>
        <v>#NAME?</v>
      </c>
      <c r="CR45" s="44"/>
      <c r="CS45" s="45" t="n">
        <f aca="false">BX45*CF45</f>
        <v>0</v>
      </c>
      <c r="CT45" s="45" t="e">
        <f aca="false">BX45*CG45</f>
        <v>#NAME?</v>
      </c>
      <c r="CU45" s="45" t="e">
        <f aca="false">BX45*CH45</f>
        <v>#NAME?</v>
      </c>
      <c r="CV45" s="45" t="n">
        <f aca="false">BX45*CI45</f>
        <v>0</v>
      </c>
      <c r="CW45" s="45" t="n">
        <f aca="false">BX45*CJ45</f>
        <v>0</v>
      </c>
      <c r="CX45" s="45" t="e">
        <f aca="false">BX45*CK45</f>
        <v>#NAME?</v>
      </c>
      <c r="CY45" s="45" t="e">
        <f aca="false">BX45*CL45</f>
        <v>#NAME?</v>
      </c>
      <c r="CZ45" s="45" t="e">
        <f aca="false">BX45*CM45</f>
        <v>#NAME?</v>
      </c>
      <c r="DA45" s="45" t="n">
        <f aca="false">BX45*CN45</f>
        <v>0</v>
      </c>
      <c r="DB45" s="45" t="e">
        <f aca="false">BX45*CO45</f>
        <v>#NAME?</v>
      </c>
      <c r="DC45" s="45" t="n">
        <f aca="false">BX45*CP45</f>
        <v>0</v>
      </c>
      <c r="DD45" s="45" t="e">
        <f aca="false">BX45*CQ45</f>
        <v>#NAME?</v>
      </c>
      <c r="DF45" s="9" t="n">
        <f aca="false">IF($A45&gt;=DH$32,IF($A45&lt;=DH$33,$AN45,0),0)</f>
        <v>0</v>
      </c>
      <c r="DG45" s="123" t="n">
        <f aca="false">$B45+$Y45+$F$12</f>
        <v>4.33071428571429</v>
      </c>
      <c r="DH45" s="123" t="n">
        <f aca="false">$B45+$Z45+$F$13</f>
        <v>4.46571428571429</v>
      </c>
      <c r="DI45" s="123" t="n">
        <f aca="false">DG45*DF45</f>
        <v>0</v>
      </c>
      <c r="DJ45" s="123" t="n">
        <f aca="false">DH45*DF45</f>
        <v>0</v>
      </c>
      <c r="DK45" s="156" t="n">
        <f aca="false">($C45*$AA45)+$F$14</f>
        <v>0.3975</v>
      </c>
      <c r="DL45" s="156" t="n">
        <f aca="false">($C45*$AB45)+$F$15</f>
        <v>0.3975</v>
      </c>
      <c r="DM45" s="131" t="n">
        <f aca="false">$AC45+$F$16</f>
        <v>0.995</v>
      </c>
      <c r="DN45" s="157" t="n">
        <f aca="false">IF(DF45=0,0,SPRDOPT(DG45,DH45,$AD45,$AM45,DK45,DL45,DM45,$F45,$F$19,0))</f>
        <v>0</v>
      </c>
      <c r="DO45" s="157" t="e">
        <f aca="false">IF(DG45=0,0,SPRDOPT(DG45,DH45,$AD45,$AM45,DK45,DL45,DM45,$F45,$F$19,1))</f>
        <v>#NAME?</v>
      </c>
      <c r="DP45" s="157" t="e">
        <f aca="false">IF(DH45=0,0,SPRDOPT(DG45,DH45,$AD45,$AM45,DK45,DL45,DM45,$F45,$F$19,2))</f>
        <v>#NAME?</v>
      </c>
      <c r="DQ45" s="157" t="n">
        <f aca="false">IF(DI45=0,0,SPRDOPT(DG45,DH45,$AD45,$AM45,DK45,DL45,DM45,$F45,$F$19,3)/100)</f>
        <v>0</v>
      </c>
      <c r="DR45" s="157" t="n">
        <f aca="false">IF(DJ45=0,0,SPRDOPT(DG45,DH45,$AD45,$AM45,DK45,DL45,DM45,$F45,$F$19,4)/100)</f>
        <v>0</v>
      </c>
      <c r="DS45" s="157" t="e">
        <f aca="false">IF(DK45=0,0,SPRDOPT(DG45,DH45,$AD45,$AM45,DK45,DL45,DM45,$F45,$F$19,5)/100)</f>
        <v>#NAME?</v>
      </c>
      <c r="DT45" s="157" t="e">
        <f aca="false">IF(DL45=0,0,SPRDOPT(DG45,DH45,$AD45,$AM45,DK45,DL45,DM45,$F45,$F$19,6)/100)</f>
        <v>#NAME?</v>
      </c>
      <c r="DU45" s="157" t="e">
        <f aca="false">IF(DM45=0,0,SPRDOPT(DG45,DH45,$AD45,$AM45,DK45,DL45,DM45,$F45,$F$19,7)/100)</f>
        <v>#NAME?</v>
      </c>
      <c r="DV45" s="157" t="n">
        <f aca="false">IF(DN45=0,0,SPRDOPT(DG45,DH45,$AD45,$AM45,DK45,DL45,DM45,$F45,$F$19,9)/365)</f>
        <v>0</v>
      </c>
      <c r="DW45" s="157" t="e">
        <f aca="false">DO45+DP45</f>
        <v>#NAME?</v>
      </c>
      <c r="DX45" s="157" t="n">
        <f aca="false">DR45-DQ45</f>
        <v>0</v>
      </c>
      <c r="DY45" s="157" t="e">
        <f aca="false">((DK45/DL45)*DS45)+DT45</f>
        <v>#NAME?</v>
      </c>
      <c r="DZ45" s="44"/>
      <c r="EA45" s="45" t="n">
        <f aca="false">DF45*DN45</f>
        <v>0</v>
      </c>
      <c r="EB45" s="45" t="e">
        <f aca="false">DF45*DO45</f>
        <v>#NAME?</v>
      </c>
      <c r="EC45" s="45" t="e">
        <f aca="false">DF45*DP45</f>
        <v>#NAME?</v>
      </c>
      <c r="ED45" s="45" t="n">
        <f aca="false">DF45*DQ45</f>
        <v>0</v>
      </c>
      <c r="EE45" s="45" t="n">
        <f aca="false">DF45*DR45</f>
        <v>0</v>
      </c>
      <c r="EF45" s="45" t="e">
        <f aca="false">DF45*DS45</f>
        <v>#NAME?</v>
      </c>
      <c r="EG45" s="45" t="e">
        <f aca="false">DF45*DT45</f>
        <v>#NAME?</v>
      </c>
      <c r="EH45" s="45" t="e">
        <f aca="false">DF45*DU45</f>
        <v>#NAME?</v>
      </c>
      <c r="EI45" s="45" t="n">
        <f aca="false">DF45*DV45</f>
        <v>0</v>
      </c>
      <c r="EJ45" s="45" t="e">
        <f aca="false">DF45*DW45</f>
        <v>#NAME?</v>
      </c>
      <c r="EK45" s="45" t="n">
        <f aca="false">DF45*DX45</f>
        <v>0</v>
      </c>
      <c r="EL45" s="45" t="e">
        <f aca="false">DF45*DY45</f>
        <v>#NAME?</v>
      </c>
      <c r="EN45" s="9" t="n">
        <f aca="false">IF($A45&gt;=EP$32,IF($A45&lt;=EP$33,$AN45,0),0)</f>
        <v>0</v>
      </c>
      <c r="EO45" s="123" t="n">
        <f aca="false">$B45+$AF45+$H$12</f>
        <v>4.53071428571429</v>
      </c>
      <c r="EP45" s="123" t="n">
        <f aca="false">$B45+$AG45+$H$13</f>
        <v>4.46571428571429</v>
      </c>
      <c r="EQ45" s="123" t="n">
        <f aca="false">EO45*EN45</f>
        <v>0</v>
      </c>
      <c r="ER45" s="123" t="n">
        <f aca="false">EP45*EN45</f>
        <v>0</v>
      </c>
      <c r="ES45" s="156" t="n">
        <f aca="false">($C45*$AH45)+$H$14</f>
        <v>0.3975</v>
      </c>
      <c r="ET45" s="156" t="n">
        <f aca="false">($C45*$AI45)+$H$15</f>
        <v>0.3975</v>
      </c>
      <c r="EU45" s="131" t="n">
        <f aca="false">$AJ45+$H$16</f>
        <v>0.994071440191916</v>
      </c>
      <c r="EV45" s="157" t="n">
        <f aca="false">IF(EN45=0,0,SPRDOPT(EO45,EP45,$AK45,$AM45,ES45,ET45,EU45,$F45,$H$19,0))</f>
        <v>0</v>
      </c>
      <c r="EW45" s="157" t="e">
        <f aca="false">IF(EO45=0,0,SPRDOPT(EO45,EP45,$AK45,$AM45,ES45,ET45,EU45,$F45,$H$19,1))</f>
        <v>#NAME?</v>
      </c>
      <c r="EX45" s="157" t="e">
        <f aca="false">IF(EP45=0,0,SPRDOPT(EO45,EP45,$AK45,$AM45,ES45,ET45,EU45,$F45,$H$19,2))</f>
        <v>#NAME?</v>
      </c>
      <c r="EY45" s="157" t="n">
        <f aca="false">IF(EQ45=0,0,SPRDOPT(EO45,EP45,$AK45,$AM45,ES45,ET45,EU45,$F45,$H$19,3)/100)</f>
        <v>0</v>
      </c>
      <c r="EZ45" s="157" t="n">
        <f aca="false">IF(ER45=0,0,SPRDOPT(EO45,EP45,$AK45,$AM45,ES45,ET45,EU45,$F45,$H$19,4)/100)</f>
        <v>0</v>
      </c>
      <c r="FA45" s="157" t="e">
        <f aca="false">IF(ES45=0,0,SPRDOPT(EO45,EP45,$AK45,$AM45,ES45,ET45,EU45,$F45,$H$19,5)/100)</f>
        <v>#NAME?</v>
      </c>
      <c r="FB45" s="157" t="e">
        <f aca="false">IF(ET45=0,0,SPRDOPT(EO45,EP45,$AK45,$AM45,ES45,ET45,EU45,$F45,$H$19,6)/100)</f>
        <v>#NAME?</v>
      </c>
      <c r="FC45" s="157" t="e">
        <f aca="false">IF(EU45=0,0,SPRDOPT(EO45,EP45,$AK45,$AM45,ES45,ET45,EU45,$F45,$H$19,7)/100)</f>
        <v>#NAME?</v>
      </c>
      <c r="FD45" s="157" t="n">
        <f aca="false">IF(EV45=0,0,SPRDOPT(EO45,EP45,$AK45,$AM45,ES45,ET45,EU45,$F45,$H$19,9)/365)</f>
        <v>0</v>
      </c>
      <c r="FE45" s="157" t="e">
        <f aca="false">EW45+EX45</f>
        <v>#NAME?</v>
      </c>
      <c r="FF45" s="157" t="n">
        <f aca="false">EZ45-EY45</f>
        <v>0</v>
      </c>
      <c r="FG45" s="157" t="e">
        <f aca="false">((ES45/ET45)*FA45)+FB45</f>
        <v>#NAME?</v>
      </c>
      <c r="FH45" s="44"/>
      <c r="FI45" s="45" t="n">
        <f aca="false">$EN45*EV45</f>
        <v>0</v>
      </c>
      <c r="FJ45" s="45" t="e">
        <f aca="false">$EN45*EW45</f>
        <v>#NAME?</v>
      </c>
      <c r="FK45" s="45" t="e">
        <f aca="false">$EN45*EX45</f>
        <v>#NAME?</v>
      </c>
      <c r="FL45" s="45" t="n">
        <f aca="false">$EN45*EY45</f>
        <v>0</v>
      </c>
      <c r="FM45" s="45" t="n">
        <f aca="false">$EN45*EZ45</f>
        <v>0</v>
      </c>
      <c r="FN45" s="45" t="e">
        <f aca="false">$EN45*FA45</f>
        <v>#NAME?</v>
      </c>
      <c r="FO45" s="45" t="e">
        <f aca="false">$EN45*FB45</f>
        <v>#NAME?</v>
      </c>
      <c r="FP45" s="45" t="e">
        <f aca="false">$EN45*FC45</f>
        <v>#NAME?</v>
      </c>
      <c r="FQ45" s="45" t="n">
        <f aca="false">$EN45*FD45</f>
        <v>0</v>
      </c>
      <c r="FR45" s="45" t="e">
        <f aca="false">$EN45*FE45</f>
        <v>#NAME?</v>
      </c>
      <c r="FS45" s="45" t="n">
        <f aca="false">$EN45*FF45</f>
        <v>0</v>
      </c>
      <c r="FT45" s="45" t="e">
        <f aca="false">$EN45*FG45</f>
        <v>#NAME?</v>
      </c>
    </row>
    <row r="46" customFormat="false" ht="12.75" hidden="false" customHeight="false" outlineLevel="0" collapsed="false">
      <c r="A46" s="48" t="n">
        <f aca="false">DATE(YEAR(A45),MONTH(A45)+1,1)</f>
        <v>37043</v>
      </c>
      <c r="B46" s="40" t="n">
        <f aca="false">VLOOKUP(A46,STRADDLE,5,FALSE())</f>
        <v>4.44071428571429</v>
      </c>
      <c r="C46" s="4" t="n">
        <f aca="false">VLOOKUP(A46,STRADDLE,8,FALSE())</f>
        <v>0.3925</v>
      </c>
      <c r="D46" s="40"/>
      <c r="E46" s="131"/>
      <c r="F46" s="136" t="n">
        <f aca="false">VLOOKUP(A46,expiration,2,FALSE())-$B$2</f>
        <v>-8886</v>
      </c>
      <c r="G46" s="4"/>
      <c r="H46" s="4"/>
      <c r="I46" s="41"/>
      <c r="J46" s="154"/>
      <c r="K46" s="40" t="n">
        <f aca="false">IF($B$3="NYMEX",0,VLOOKUP($A46,curvesettle,HLOOKUP($B$3,curvesettle,2,FALSE()),FALSE()))</f>
        <v>-0.35</v>
      </c>
      <c r="L46" s="40" t="n">
        <f aca="false">IF($B$4="NYMEX",0,VLOOKUP($A46,curvesettle,HLOOKUP($B$4,curvesettle,2,FALSE()),FALSE()))</f>
        <v>0</v>
      </c>
      <c r="M46" s="131" t="n">
        <f aca="false">IF(ISNUMBER(VLOOKUP($A46,VOLCURVES,HLOOKUP($B$3,VOLCURVES,2,FALSE()),FALSE())),VLOOKUP($A46,VOLCURVES,HLOOKUP($B$3,VOLCURVES,2,FALSE()),FALSE()),1)</f>
        <v>1.02</v>
      </c>
      <c r="N46" s="131" t="n">
        <f aca="false">IF(ISNUMBER(VLOOKUP($A46,VOLCURVES,HLOOKUP($B$4,VOLCURVES,2,FALSE()),FALSE())),VLOOKUP($A46,VOLCURVES,HLOOKUP($B$4,VOLCURVES,2,FALSE()),FALSE()),1)</f>
        <v>1</v>
      </c>
      <c r="O46" s="131" t="n">
        <f aca="false">IF(ISNUMBER(VLOOKUP($A46,CORETABLE,HLOOKUP($B$3,CORETABLE,2,FALSE()),FALSE())),VLOOKUP($A46,CORETABLE,HLOOKUP($B$3,CORETABLE,2,FALSE()),FALSE()),0.99)</f>
        <v>0.96</v>
      </c>
      <c r="P46" s="155" t="n">
        <f aca="false">B$18</f>
        <v>0.3</v>
      </c>
      <c r="Q46" s="131"/>
      <c r="R46" s="40" t="n">
        <f aca="false">IF($D$3="NYMEX",0,VLOOKUP($A46,curvesettle,HLOOKUP($D$3,curvesettle,2,FALSE()),FALSE()))</f>
        <v>-0.5375</v>
      </c>
      <c r="S46" s="40" t="n">
        <f aca="false">IF($D$4="NYMEX",0,VLOOKUP($A46,curvesettle,HLOOKUP($D$4,curvesettle,2,FALSE()),FALSE()))</f>
        <v>0</v>
      </c>
      <c r="T46" s="131" t="n">
        <f aca="false">IF(ISNUMBER(VLOOKUP($A46,VOLCURVES,HLOOKUP($D$3,VOLCURVES,2,FALSE()),FALSE())),VLOOKUP($A46,VOLCURVES,HLOOKUP($D$3,VOLCURVES,2,FALSE()),FALSE()),1)</f>
        <v>0.97</v>
      </c>
      <c r="U46" s="131" t="n">
        <f aca="false">IF(ISNUMBER(VLOOKUP($A46,VOLCURVES,HLOOKUP($D$4,VOLCURVES,2,FALSE()),FALSE())),VLOOKUP($A46,VOLCURVES,HLOOKUP($D$4,VOLCURVES,2,FALSE()),FALSE()),1)</f>
        <v>1</v>
      </c>
      <c r="V46" s="131" t="n">
        <f aca="false">IF(ISNUMBER(VLOOKUP($A46,CORETABLE,HLOOKUP($D$3,CORETABLE,2,FALSE()),FALSE())),VLOOKUP($A46,CORETABLE,HLOOKUP($D$3,CORETABLE,2,FALSE()),FALSE()),0.99)</f>
        <v>0.96</v>
      </c>
      <c r="W46" s="155" t="n">
        <f aca="false">D$18</f>
        <v>-0.35</v>
      </c>
      <c r="X46" s="131"/>
      <c r="Y46" s="40" t="n">
        <f aca="false">IF($F$3="NYMEX",0,VLOOKUP($A46,curvesettle,HLOOKUP($F$3,curvesettle,2,FALSE()),FALSE()))</f>
        <v>-0.13</v>
      </c>
      <c r="Z46" s="40" t="n">
        <f aca="false">IF($F$4="NYMEX",0,VLOOKUP($A46,curvesettle,HLOOKUP($F$4,curvesettle,2,FALSE()),FALSE()))</f>
        <v>0</v>
      </c>
      <c r="AA46" s="131" t="n">
        <f aca="false">IF(ISNUMBER(VLOOKUP($A46,VOLCURVES,HLOOKUP($F$3,VOLCURVES,2,FALSE()),FALSE())),VLOOKUP($A46,VOLCURVES,HLOOKUP($F$3,VOLCURVES,2,FALSE()),FALSE()),1)</f>
        <v>1</v>
      </c>
      <c r="AB46" s="131" t="n">
        <f aca="false">IF(ISNUMBER(VLOOKUP($A46,VOLCURVES,HLOOKUP($F$4,VOLCURVES,2,FALSE()),FALSE())),VLOOKUP($A46,VOLCURVES,HLOOKUP($F$4,VOLCURVES,2,FALSE()),FALSE()),1)</f>
        <v>1</v>
      </c>
      <c r="AC46" s="131" t="n">
        <f aca="false">IF(ISNUMBER(VLOOKUP($A46,CORETABLE,HLOOKUP($F$3,CORETABLE,2,FALSE()),FALSE())),VLOOKUP($A46,CORETABLE,HLOOKUP($F$3,CORETABLE,2,FALSE()),FALSE()),1)</f>
        <v>0.995</v>
      </c>
      <c r="AD46" s="155" t="n">
        <f aca="false">F$18</f>
        <v>-0.2</v>
      </c>
      <c r="AE46" s="131"/>
      <c r="AF46" s="40" t="n">
        <f aca="false">IF($H$3="NYMEX",0,VLOOKUP($A46,curvesettle,HLOOKUP($H$3,curvesettle,2,FALSE()),FALSE()))</f>
        <v>0.0575</v>
      </c>
      <c r="AG46" s="40" t="n">
        <f aca="false">IF($H$4="NYMEX",0,VLOOKUP($A46,curvesettle,HLOOKUP($H$4,curvesettle,2,FALSE()),FALSE()))</f>
        <v>0</v>
      </c>
      <c r="AH46" s="131" t="n">
        <f aca="false">IF(ISNUMBER(VLOOKUP($A46,VOLCURVES,HLOOKUP($H$3,VOLCURVES,2,FALSE()),FALSE())),VLOOKUP($A46,VOLCURVES,HLOOKUP($H$3,VOLCURVES,2,FALSE()),FALSE()),1)</f>
        <v>1</v>
      </c>
      <c r="AI46" s="131" t="n">
        <f aca="false">IF(ISNUMBER(VLOOKUP($A46,VOLCURVES,HLOOKUP($H$4,VOLCURVES,2,FALSE()),FALSE())),VLOOKUP($A46,VOLCURVES,HLOOKUP($H$4,VOLCURVES,2,FALSE()),FALSE()),1)</f>
        <v>1</v>
      </c>
      <c r="AJ46" s="131" t="n">
        <f aca="false">IF(ISNUMBER(VLOOKUP($A46,CORETABLE,HLOOKUP($H$3,CORETABLE,2,FALSE()),FALSE())),VLOOKUP($A46,CORETABLE,HLOOKUP($H$3,CORETABLE,2,FALSE()),FALSE()),1)</f>
        <v>0.994071440191916</v>
      </c>
      <c r="AK46" s="155" t="n">
        <f aca="false">H$18</f>
        <v>0.2</v>
      </c>
      <c r="AM46" s="4" t="n">
        <f aca="false">VLOOKUP($A46,STRADDLE,12,FALSE())</f>
        <v>0.067932306764864</v>
      </c>
      <c r="AN46" s="43" t="n">
        <f aca="false">A47-A46</f>
        <v>30</v>
      </c>
      <c r="AP46" s="9" t="n">
        <f aca="false">IF($A46&gt;=AR$32,IF($A46&lt;=AR$33,$AN46,0),0)</f>
        <v>0</v>
      </c>
      <c r="AQ46" s="123" t="n">
        <f aca="false">$B46+$K46+$B$12</f>
        <v>4.05821428571429</v>
      </c>
      <c r="AR46" s="123" t="n">
        <f aca="false">$B46+$L46+$B$13</f>
        <v>4.44071428571429</v>
      </c>
      <c r="AS46" s="123" t="n">
        <f aca="false">AQ46*AP46</f>
        <v>0</v>
      </c>
      <c r="AT46" s="123" t="n">
        <f aca="false">AR46*AP46</f>
        <v>0</v>
      </c>
      <c r="AU46" s="156" t="n">
        <f aca="false">($C46*$M46)+$B$14</f>
        <v>0.40035</v>
      </c>
      <c r="AV46" s="156" t="n">
        <f aca="false">($C46*$N46)+$B$15</f>
        <v>0.3925</v>
      </c>
      <c r="AW46" s="131" t="n">
        <f aca="false">O46+B$16</f>
        <v>0.96</v>
      </c>
      <c r="AX46" s="157" t="n">
        <f aca="false">IF(AP46=0,0,SPRDOPT(AQ46,AR46,$P46,$AM46,AU46,AV46,AW46,$F46,$B$19,0))</f>
        <v>0</v>
      </c>
      <c r="AY46" s="157" t="e">
        <f aca="false">IF(AQ46=0,0,SPRDOPT(AQ46,AR46,$P46,$AM46,AU46,AV46,AW46,$F46,$B$19,1))</f>
        <v>#NAME?</v>
      </c>
      <c r="AZ46" s="157" t="e">
        <f aca="false">IF(AR46=0,0,SPRDOPT(AQ46,AR46,$P46,$AM46,AU46,AV46,AW46,$F46,$B$19,2))</f>
        <v>#NAME?</v>
      </c>
      <c r="BA46" s="157" t="n">
        <f aca="false">IF(AS46=0,0,SPRDOPT(AQ46,AR46,$P46,$AM46,AU46,AV46,AW46,$F46,$B$19,3)/100)</f>
        <v>0</v>
      </c>
      <c r="BB46" s="157" t="n">
        <f aca="false">IF(AT46=0,0,SPRDOPT(AQ46,AR46,$P46,$AM46,AU46,AV46,AW46,$F46,$B$19,4)/100)</f>
        <v>0</v>
      </c>
      <c r="BC46" s="157" t="e">
        <f aca="false">IF(AU46=0,0,SPRDOPT(AQ46,AR46,$P46,$AM46,AU46,AV46,AW46,$F46,$B$19,5)/100)</f>
        <v>#NAME?</v>
      </c>
      <c r="BD46" s="157" t="e">
        <f aca="false">IF(AV46=0,0,SPRDOPT(AQ46,AR46,$P46,$AM46,AU46,AV46,AW46,$F46,$B$19,6)/100)</f>
        <v>#NAME?</v>
      </c>
      <c r="BE46" s="157" t="e">
        <f aca="false">IF(AW46=0,0,SPRDOPT(AQ46,AR46,$P46,$AM46,AU46,AV46,AW46,$F46,$B$19,7)/100)</f>
        <v>#NAME?</v>
      </c>
      <c r="BF46" s="157" t="n">
        <f aca="false">IF(AX46=0,0,SPRDOPT(AQ46,AR46,$P46,$AM46,AU46,AV46,AW46,$F46,$B$19,9)/365)</f>
        <v>0</v>
      </c>
      <c r="BG46" s="157" t="e">
        <f aca="false">AY46+AZ46</f>
        <v>#NAME?</v>
      </c>
      <c r="BH46" s="157" t="n">
        <f aca="false">BB46-BA46</f>
        <v>0</v>
      </c>
      <c r="BI46" s="157" t="e">
        <f aca="false">((AU46/AV46)*BC46)+BD46</f>
        <v>#NAME?</v>
      </c>
      <c r="BJ46" s="44"/>
      <c r="BK46" s="45" t="n">
        <f aca="false">$AP46*AX46</f>
        <v>0</v>
      </c>
      <c r="BL46" s="45" t="e">
        <f aca="false">$AP46*AY46</f>
        <v>#NAME?</v>
      </c>
      <c r="BM46" s="45" t="e">
        <f aca="false">$AP46*AZ46</f>
        <v>#NAME?</v>
      </c>
      <c r="BN46" s="45" t="n">
        <f aca="false">$AP46*BA46</f>
        <v>0</v>
      </c>
      <c r="BO46" s="45" t="n">
        <f aca="false">$AP46*BB46</f>
        <v>0</v>
      </c>
      <c r="BP46" s="45" t="e">
        <f aca="false">$AP46*BC46</f>
        <v>#NAME?</v>
      </c>
      <c r="BQ46" s="45" t="e">
        <f aca="false">$AP46*BD46</f>
        <v>#NAME?</v>
      </c>
      <c r="BR46" s="45" t="e">
        <f aca="false">$AP46*BE46</f>
        <v>#NAME?</v>
      </c>
      <c r="BS46" s="45" t="n">
        <f aca="false">$AP46*BF46</f>
        <v>0</v>
      </c>
      <c r="BT46" s="45" t="e">
        <f aca="false">$AP46*BG46</f>
        <v>#NAME?</v>
      </c>
      <c r="BU46" s="45" t="n">
        <f aca="false">$AP46*BH46</f>
        <v>0</v>
      </c>
      <c r="BV46" s="45" t="e">
        <f aca="false">$AP46*BI46</f>
        <v>#NAME?</v>
      </c>
      <c r="BX46" s="9" t="n">
        <f aca="false">IF($A46&gt;=BZ$32,IF($A46&lt;=BZ$33,$AN46,0),0)</f>
        <v>0</v>
      </c>
      <c r="BY46" s="123" t="n">
        <f aca="false">$B46+$R46+$D$12</f>
        <v>3.87071428571429</v>
      </c>
      <c r="BZ46" s="123" t="n">
        <f aca="false">$B46+$S46+$D$13</f>
        <v>4.44071428571429</v>
      </c>
      <c r="CA46" s="123" t="n">
        <f aca="false">BY46*BX46</f>
        <v>0</v>
      </c>
      <c r="CB46" s="123" t="n">
        <f aca="false">BZ46*BX46</f>
        <v>0</v>
      </c>
      <c r="CC46" s="156" t="n">
        <f aca="false">($C46*$T46)+$D$14</f>
        <v>0.380725</v>
      </c>
      <c r="CD46" s="156" t="n">
        <f aca="false">($C46*$U46)+$D$15</f>
        <v>0.3925</v>
      </c>
      <c r="CE46" s="131" t="n">
        <f aca="false">$V46+D$16</f>
        <v>0.96</v>
      </c>
      <c r="CF46" s="157" t="n">
        <f aca="false">IF(BX46=0,0,SPRDOPT(BY46,BZ46,$W46,$AM46,CC46,CD46,CE46,$F46,$D$19,0))</f>
        <v>0</v>
      </c>
      <c r="CG46" s="157" t="e">
        <f aca="false">IF(BY46=0,0,SPRDOPT(BY46,BZ46,$W46,$AM46,CC46,CD46,CE46,$F46,$D$19,1))</f>
        <v>#NAME?</v>
      </c>
      <c r="CH46" s="157" t="e">
        <f aca="false">IF(BZ46=0,0,SPRDOPT(BY46,BZ46,$W46,$AM46,CC46,CD46,CE46,$F46,$D$19,2))</f>
        <v>#NAME?</v>
      </c>
      <c r="CI46" s="157" t="n">
        <f aca="false">IF(CA46=0,0,SPRDOPT(BY46,BZ46,$W46,$AM46,CC46,CD46,CE46,$F46,$D$19,3)/100)</f>
        <v>0</v>
      </c>
      <c r="CJ46" s="157" t="n">
        <f aca="false">IF(CB46=0,0,SPRDOPT(BY46,BZ46,$W46,$AM46,CC46,CD46,CE46,$F46,$D$19,4)/100)</f>
        <v>0</v>
      </c>
      <c r="CK46" s="157" t="e">
        <f aca="false">IF(CC46=0,0,SPRDOPT(BY46,BZ46,$W46,$AM46,CC46,CD46,CE46,$F46,$D$19,5)/100)</f>
        <v>#NAME?</v>
      </c>
      <c r="CL46" s="157" t="e">
        <f aca="false">IF(CD46=0,0,SPRDOPT(BY46,BZ46,$W46,$AM46,CC46,CD46,CE46,$F46,$D$19,6)/100)</f>
        <v>#NAME?</v>
      </c>
      <c r="CM46" s="157" t="e">
        <f aca="false">IF(CE46=0,0,SPRDOPT(BY46,BZ46,$W46,$AM46,CC46,CD46,CE46,$F46,$D$19,7)/100)</f>
        <v>#NAME?</v>
      </c>
      <c r="CN46" s="157" t="n">
        <f aca="false">IF(CF46=0,0,SPRDOPT(BY46,BZ46,$W46,$AM46,CC46,CD46,CE46,$F46,$D$19,9)/365)</f>
        <v>0</v>
      </c>
      <c r="CO46" s="157" t="e">
        <f aca="false">CG46+CH46</f>
        <v>#NAME?</v>
      </c>
      <c r="CP46" s="157" t="n">
        <f aca="false">CJ46-CI46</f>
        <v>0</v>
      </c>
      <c r="CQ46" s="157" t="e">
        <f aca="false">((CC46/CD46)*CK46)+CL46</f>
        <v>#NAME?</v>
      </c>
      <c r="CR46" s="44"/>
      <c r="CS46" s="45" t="n">
        <f aca="false">BX46*CF46</f>
        <v>0</v>
      </c>
      <c r="CT46" s="45" t="e">
        <f aca="false">BX46*CG46</f>
        <v>#NAME?</v>
      </c>
      <c r="CU46" s="45" t="e">
        <f aca="false">BX46*CH46</f>
        <v>#NAME?</v>
      </c>
      <c r="CV46" s="45" t="n">
        <f aca="false">BX46*CI46</f>
        <v>0</v>
      </c>
      <c r="CW46" s="45" t="n">
        <f aca="false">BX46*CJ46</f>
        <v>0</v>
      </c>
      <c r="CX46" s="45" t="e">
        <f aca="false">BX46*CK46</f>
        <v>#NAME?</v>
      </c>
      <c r="CY46" s="45" t="e">
        <f aca="false">BX46*CL46</f>
        <v>#NAME?</v>
      </c>
      <c r="CZ46" s="45" t="e">
        <f aca="false">BX46*CM46</f>
        <v>#NAME?</v>
      </c>
      <c r="DA46" s="45" t="n">
        <f aca="false">BX46*CN46</f>
        <v>0</v>
      </c>
      <c r="DB46" s="45" t="e">
        <f aca="false">BX46*CO46</f>
        <v>#NAME?</v>
      </c>
      <c r="DC46" s="45" t="n">
        <f aca="false">BX46*CP46</f>
        <v>0</v>
      </c>
      <c r="DD46" s="45" t="e">
        <f aca="false">BX46*CQ46</f>
        <v>#NAME?</v>
      </c>
      <c r="DF46" s="9" t="n">
        <f aca="false">IF($A46&gt;=DH$32,IF($A46&lt;=DH$33,$AN46,0),0)</f>
        <v>0</v>
      </c>
      <c r="DG46" s="123" t="n">
        <f aca="false">$B46+$Y46+$F$12</f>
        <v>4.31071428571429</v>
      </c>
      <c r="DH46" s="123" t="n">
        <f aca="false">$B46+$Z46+$F$13</f>
        <v>4.44071428571429</v>
      </c>
      <c r="DI46" s="123" t="n">
        <f aca="false">DG46*DF46</f>
        <v>0</v>
      </c>
      <c r="DJ46" s="123" t="n">
        <f aca="false">DH46*DF46</f>
        <v>0</v>
      </c>
      <c r="DK46" s="156" t="n">
        <f aca="false">($C46*$AA46)+$F$14</f>
        <v>0.3925</v>
      </c>
      <c r="DL46" s="156" t="n">
        <f aca="false">($C46*$AB46)+$F$15</f>
        <v>0.3925</v>
      </c>
      <c r="DM46" s="131" t="n">
        <f aca="false">$AC46+$F$16</f>
        <v>0.995</v>
      </c>
      <c r="DN46" s="157" t="n">
        <f aca="false">IF(DF46=0,0,SPRDOPT(DG46,DH46,$AD46,$AM46,DK46,DL46,DM46,$F46,$F$19,0))</f>
        <v>0</v>
      </c>
      <c r="DO46" s="157" t="e">
        <f aca="false">IF(DG46=0,0,SPRDOPT(DG46,DH46,$AD46,$AM46,DK46,DL46,DM46,$F46,$F$19,1))</f>
        <v>#NAME?</v>
      </c>
      <c r="DP46" s="157" t="e">
        <f aca="false">IF(DH46=0,0,SPRDOPT(DG46,DH46,$AD46,$AM46,DK46,DL46,DM46,$F46,$F$19,2))</f>
        <v>#NAME?</v>
      </c>
      <c r="DQ46" s="157" t="n">
        <f aca="false">IF(DI46=0,0,SPRDOPT(DG46,DH46,$AD46,$AM46,DK46,DL46,DM46,$F46,$F$19,3)/100)</f>
        <v>0</v>
      </c>
      <c r="DR46" s="157" t="n">
        <f aca="false">IF(DJ46=0,0,SPRDOPT(DG46,DH46,$AD46,$AM46,DK46,DL46,DM46,$F46,$F$19,4)/100)</f>
        <v>0</v>
      </c>
      <c r="DS46" s="157" t="e">
        <f aca="false">IF(DK46=0,0,SPRDOPT(DG46,DH46,$AD46,$AM46,DK46,DL46,DM46,$F46,$F$19,5)/100)</f>
        <v>#NAME?</v>
      </c>
      <c r="DT46" s="157" t="e">
        <f aca="false">IF(DL46=0,0,SPRDOPT(DG46,DH46,$AD46,$AM46,DK46,DL46,DM46,$F46,$F$19,6)/100)</f>
        <v>#NAME?</v>
      </c>
      <c r="DU46" s="157" t="e">
        <f aca="false">IF(DM46=0,0,SPRDOPT(DG46,DH46,$AD46,$AM46,DK46,DL46,DM46,$F46,$F$19,7)/100)</f>
        <v>#NAME?</v>
      </c>
      <c r="DV46" s="157" t="n">
        <f aca="false">IF(DN46=0,0,SPRDOPT(DG46,DH46,$AD46,$AM46,DK46,DL46,DM46,$F46,$F$19,9)/365)</f>
        <v>0</v>
      </c>
      <c r="DW46" s="157" t="e">
        <f aca="false">DO46+DP46</f>
        <v>#NAME?</v>
      </c>
      <c r="DX46" s="157" t="n">
        <f aca="false">DR46-DQ46</f>
        <v>0</v>
      </c>
      <c r="DY46" s="157" t="e">
        <f aca="false">((DK46/DL46)*DS46)+DT46</f>
        <v>#NAME?</v>
      </c>
      <c r="DZ46" s="44"/>
      <c r="EA46" s="45" t="n">
        <f aca="false">DF46*DN46</f>
        <v>0</v>
      </c>
      <c r="EB46" s="45" t="e">
        <f aca="false">DF46*DO46</f>
        <v>#NAME?</v>
      </c>
      <c r="EC46" s="45" t="e">
        <f aca="false">DF46*DP46</f>
        <v>#NAME?</v>
      </c>
      <c r="ED46" s="45" t="n">
        <f aca="false">DF46*DQ46</f>
        <v>0</v>
      </c>
      <c r="EE46" s="45" t="n">
        <f aca="false">DF46*DR46</f>
        <v>0</v>
      </c>
      <c r="EF46" s="45" t="e">
        <f aca="false">DF46*DS46</f>
        <v>#NAME?</v>
      </c>
      <c r="EG46" s="45" t="e">
        <f aca="false">DF46*DT46</f>
        <v>#NAME?</v>
      </c>
      <c r="EH46" s="45" t="e">
        <f aca="false">DF46*DU46</f>
        <v>#NAME?</v>
      </c>
      <c r="EI46" s="45" t="n">
        <f aca="false">DF46*DV46</f>
        <v>0</v>
      </c>
      <c r="EJ46" s="45" t="e">
        <f aca="false">DF46*DW46</f>
        <v>#NAME?</v>
      </c>
      <c r="EK46" s="45" t="n">
        <f aca="false">DF46*DX46</f>
        <v>0</v>
      </c>
      <c r="EL46" s="45" t="e">
        <f aca="false">DF46*DY46</f>
        <v>#NAME?</v>
      </c>
      <c r="EN46" s="9" t="n">
        <f aca="false">IF($A46&gt;=EP$32,IF($A46&lt;=EP$33,$AN46,0),0)</f>
        <v>0</v>
      </c>
      <c r="EO46" s="123" t="n">
        <f aca="false">$B46+$AF46+$H$12</f>
        <v>4.50321428571429</v>
      </c>
      <c r="EP46" s="123" t="n">
        <f aca="false">$B46+$AG46+$H$13</f>
        <v>4.44071428571429</v>
      </c>
      <c r="EQ46" s="123" t="n">
        <f aca="false">EO46*EN46</f>
        <v>0</v>
      </c>
      <c r="ER46" s="123" t="n">
        <f aca="false">EP46*EN46</f>
        <v>0</v>
      </c>
      <c r="ES46" s="156" t="n">
        <f aca="false">($C46*$AH46)+$H$14</f>
        <v>0.3925</v>
      </c>
      <c r="ET46" s="156" t="n">
        <f aca="false">($C46*$AI46)+$H$15</f>
        <v>0.3925</v>
      </c>
      <c r="EU46" s="131" t="n">
        <f aca="false">$AJ46+$H$16</f>
        <v>0.994071440191916</v>
      </c>
      <c r="EV46" s="157" t="n">
        <f aca="false">IF(EN46=0,0,SPRDOPT(EO46,EP46,$AK46,$AM46,ES46,ET46,EU46,$F46,$H$19,0))</f>
        <v>0</v>
      </c>
      <c r="EW46" s="157" t="e">
        <f aca="false">IF(EO46=0,0,SPRDOPT(EO46,EP46,$AK46,$AM46,ES46,ET46,EU46,$F46,$H$19,1))</f>
        <v>#NAME?</v>
      </c>
      <c r="EX46" s="157" t="e">
        <f aca="false">IF(EP46=0,0,SPRDOPT(EO46,EP46,$AK46,$AM46,ES46,ET46,EU46,$F46,$H$19,2))</f>
        <v>#NAME?</v>
      </c>
      <c r="EY46" s="157" t="n">
        <f aca="false">IF(EQ46=0,0,SPRDOPT(EO46,EP46,$AK46,$AM46,ES46,ET46,EU46,$F46,$H$19,3)/100)</f>
        <v>0</v>
      </c>
      <c r="EZ46" s="157" t="n">
        <f aca="false">IF(ER46=0,0,SPRDOPT(EO46,EP46,$AK46,$AM46,ES46,ET46,EU46,$F46,$H$19,4)/100)</f>
        <v>0</v>
      </c>
      <c r="FA46" s="157" t="e">
        <f aca="false">IF(ES46=0,0,SPRDOPT(EO46,EP46,$AK46,$AM46,ES46,ET46,EU46,$F46,$H$19,5)/100)</f>
        <v>#NAME?</v>
      </c>
      <c r="FB46" s="157" t="e">
        <f aca="false">IF(ET46=0,0,SPRDOPT(EO46,EP46,$AK46,$AM46,ES46,ET46,EU46,$F46,$H$19,6)/100)</f>
        <v>#NAME?</v>
      </c>
      <c r="FC46" s="157" t="e">
        <f aca="false">IF(EU46=0,0,SPRDOPT(EO46,EP46,$AK46,$AM46,ES46,ET46,EU46,$F46,$H$19,7)/100)</f>
        <v>#NAME?</v>
      </c>
      <c r="FD46" s="157" t="n">
        <f aca="false">IF(EV46=0,0,SPRDOPT(EO46,EP46,$AK46,$AM46,ES46,ET46,EU46,$F46,$H$19,9)/365)</f>
        <v>0</v>
      </c>
      <c r="FE46" s="157" t="e">
        <f aca="false">EW46+EX46</f>
        <v>#NAME?</v>
      </c>
      <c r="FF46" s="157" t="n">
        <f aca="false">EZ46-EY46</f>
        <v>0</v>
      </c>
      <c r="FG46" s="157" t="e">
        <f aca="false">((ES46/ET46)*FA46)+FB46</f>
        <v>#NAME?</v>
      </c>
      <c r="FH46" s="44"/>
      <c r="FI46" s="45" t="n">
        <f aca="false">$EN46*EV46</f>
        <v>0</v>
      </c>
      <c r="FJ46" s="45" t="e">
        <f aca="false">$EN46*EW46</f>
        <v>#NAME?</v>
      </c>
      <c r="FK46" s="45" t="e">
        <f aca="false">$EN46*EX46</f>
        <v>#NAME?</v>
      </c>
      <c r="FL46" s="45" t="n">
        <f aca="false">$EN46*EY46</f>
        <v>0</v>
      </c>
      <c r="FM46" s="45" t="n">
        <f aca="false">$EN46*EZ46</f>
        <v>0</v>
      </c>
      <c r="FN46" s="45" t="e">
        <f aca="false">$EN46*FA46</f>
        <v>#NAME?</v>
      </c>
      <c r="FO46" s="45" t="e">
        <f aca="false">$EN46*FB46</f>
        <v>#NAME?</v>
      </c>
      <c r="FP46" s="45" t="e">
        <f aca="false">$EN46*FC46</f>
        <v>#NAME?</v>
      </c>
      <c r="FQ46" s="45" t="n">
        <f aca="false">$EN46*FD46</f>
        <v>0</v>
      </c>
      <c r="FR46" s="45" t="e">
        <f aca="false">$EN46*FE46</f>
        <v>#NAME?</v>
      </c>
      <c r="FS46" s="45" t="n">
        <f aca="false">$EN46*FF46</f>
        <v>0</v>
      </c>
      <c r="FT46" s="45" t="e">
        <f aca="false">$EN46*FG46</f>
        <v>#NAME?</v>
      </c>
    </row>
    <row r="47" customFormat="false" ht="12.75" hidden="false" customHeight="false" outlineLevel="0" collapsed="false">
      <c r="A47" s="48" t="n">
        <f aca="false">DATE(YEAR(A46),MONTH(A46)+1,1)</f>
        <v>37073</v>
      </c>
      <c r="B47" s="40" t="n">
        <f aca="false">VLOOKUP(A47,STRADDLE,5,FALSE())</f>
        <v>4.42071428571429</v>
      </c>
      <c r="C47" s="4" t="n">
        <f aca="false">VLOOKUP(A47,STRADDLE,8,FALSE())</f>
        <v>0.3925</v>
      </c>
      <c r="D47" s="40"/>
      <c r="E47" s="131"/>
      <c r="F47" s="136" t="n">
        <f aca="false">VLOOKUP(A47,expiration,2,FALSE())-$B$2</f>
        <v>-8857</v>
      </c>
      <c r="G47" s="4"/>
      <c r="H47" s="4"/>
      <c r="I47" s="41"/>
      <c r="J47" s="154"/>
      <c r="K47" s="40" t="n">
        <f aca="false">IF($B$3="NYMEX",0,VLOOKUP($A47,curvesettle,HLOOKUP($B$3,curvesettle,2,FALSE()),FALSE()))</f>
        <v>-0.35</v>
      </c>
      <c r="L47" s="40" t="n">
        <f aca="false">IF($B$4="NYMEX",0,VLOOKUP($A47,curvesettle,HLOOKUP($B$4,curvesettle,2,FALSE()),FALSE()))</f>
        <v>0</v>
      </c>
      <c r="M47" s="131" t="n">
        <f aca="false">IF(ISNUMBER(VLOOKUP($A47,VOLCURVES,HLOOKUP($B$3,VOLCURVES,2,FALSE()),FALSE())),VLOOKUP($A47,VOLCURVES,HLOOKUP($B$3,VOLCURVES,2,FALSE()),FALSE()),1)</f>
        <v>1.02</v>
      </c>
      <c r="N47" s="131" t="n">
        <f aca="false">IF(ISNUMBER(VLOOKUP($A47,VOLCURVES,HLOOKUP($B$4,VOLCURVES,2,FALSE()),FALSE())),VLOOKUP($A47,VOLCURVES,HLOOKUP($B$4,VOLCURVES,2,FALSE()),FALSE()),1)</f>
        <v>1</v>
      </c>
      <c r="O47" s="131" t="n">
        <f aca="false">IF(ISNUMBER(VLOOKUP($A47,CORETABLE,HLOOKUP($B$3,CORETABLE,2,FALSE()),FALSE())),VLOOKUP($A47,CORETABLE,HLOOKUP($B$3,CORETABLE,2,FALSE()),FALSE()),0.99)</f>
        <v>0.96</v>
      </c>
      <c r="P47" s="155" t="n">
        <f aca="false">B$18</f>
        <v>0.3</v>
      </c>
      <c r="Q47" s="131"/>
      <c r="R47" s="40" t="n">
        <f aca="false">IF($D$3="NYMEX",0,VLOOKUP($A47,curvesettle,HLOOKUP($D$3,curvesettle,2,FALSE()),FALSE()))</f>
        <v>-0.5725</v>
      </c>
      <c r="S47" s="40" t="n">
        <f aca="false">IF($D$4="NYMEX",0,VLOOKUP($A47,curvesettle,HLOOKUP($D$4,curvesettle,2,FALSE()),FALSE()))</f>
        <v>0</v>
      </c>
      <c r="T47" s="131" t="n">
        <f aca="false">IF(ISNUMBER(VLOOKUP($A47,VOLCURVES,HLOOKUP($D$3,VOLCURVES,2,FALSE()),FALSE())),VLOOKUP($A47,VOLCURVES,HLOOKUP($D$3,VOLCURVES,2,FALSE()),FALSE()),1)</f>
        <v>0.97</v>
      </c>
      <c r="U47" s="131" t="n">
        <f aca="false">IF(ISNUMBER(VLOOKUP($A47,VOLCURVES,HLOOKUP($D$4,VOLCURVES,2,FALSE()),FALSE())),VLOOKUP($A47,VOLCURVES,HLOOKUP($D$4,VOLCURVES,2,FALSE()),FALSE()),1)</f>
        <v>1</v>
      </c>
      <c r="V47" s="131" t="n">
        <f aca="false">IF(ISNUMBER(VLOOKUP($A47,CORETABLE,HLOOKUP($D$3,CORETABLE,2,FALSE()),FALSE())),VLOOKUP($A47,CORETABLE,HLOOKUP($D$3,CORETABLE,2,FALSE()),FALSE()),0.99)</f>
        <v>0.96</v>
      </c>
      <c r="W47" s="155" t="n">
        <f aca="false">D$18</f>
        <v>-0.35</v>
      </c>
      <c r="X47" s="131"/>
      <c r="Y47" s="40" t="n">
        <f aca="false">IF($F$3="NYMEX",0,VLOOKUP($A47,curvesettle,HLOOKUP($F$3,curvesettle,2,FALSE()),FALSE()))</f>
        <v>-0.13</v>
      </c>
      <c r="Z47" s="40" t="n">
        <f aca="false">IF($F$4="NYMEX",0,VLOOKUP($A47,curvesettle,HLOOKUP($F$4,curvesettle,2,FALSE()),FALSE()))</f>
        <v>0</v>
      </c>
      <c r="AA47" s="131" t="n">
        <f aca="false">IF(ISNUMBER(VLOOKUP($A47,VOLCURVES,HLOOKUP($F$3,VOLCURVES,2,FALSE()),FALSE())),VLOOKUP($A47,VOLCURVES,HLOOKUP($F$3,VOLCURVES,2,FALSE()),FALSE()),1)</f>
        <v>1</v>
      </c>
      <c r="AB47" s="131" t="n">
        <f aca="false">IF(ISNUMBER(VLOOKUP($A47,VOLCURVES,HLOOKUP($F$4,VOLCURVES,2,FALSE()),FALSE())),VLOOKUP($A47,VOLCURVES,HLOOKUP($F$4,VOLCURVES,2,FALSE()),FALSE()),1)</f>
        <v>1</v>
      </c>
      <c r="AC47" s="131" t="n">
        <f aca="false">IF(ISNUMBER(VLOOKUP($A47,CORETABLE,HLOOKUP($F$3,CORETABLE,2,FALSE()),FALSE())),VLOOKUP($A47,CORETABLE,HLOOKUP($F$3,CORETABLE,2,FALSE()),FALSE()),1)</f>
        <v>0.995</v>
      </c>
      <c r="AD47" s="155" t="n">
        <f aca="false">F$18</f>
        <v>-0.2</v>
      </c>
      <c r="AE47" s="131"/>
      <c r="AF47" s="40" t="n">
        <f aca="false">IF($H$3="NYMEX",0,VLOOKUP($A47,curvesettle,HLOOKUP($H$3,curvesettle,2,FALSE()),FALSE()))</f>
        <v>0.0475</v>
      </c>
      <c r="AG47" s="40" t="n">
        <f aca="false">IF($H$4="NYMEX",0,VLOOKUP($A47,curvesettle,HLOOKUP($H$4,curvesettle,2,FALSE()),FALSE()))</f>
        <v>0</v>
      </c>
      <c r="AH47" s="131" t="n">
        <f aca="false">IF(ISNUMBER(VLOOKUP($A47,VOLCURVES,HLOOKUP($H$3,VOLCURVES,2,FALSE()),FALSE())),VLOOKUP($A47,VOLCURVES,HLOOKUP($H$3,VOLCURVES,2,FALSE()),FALSE()),1)</f>
        <v>1</v>
      </c>
      <c r="AI47" s="131" t="n">
        <f aca="false">IF(ISNUMBER(VLOOKUP($A47,VOLCURVES,HLOOKUP($H$4,VOLCURVES,2,FALSE()),FALSE())),VLOOKUP($A47,VOLCURVES,HLOOKUP($H$4,VOLCURVES,2,FALSE()),FALSE()),1)</f>
        <v>1</v>
      </c>
      <c r="AJ47" s="131" t="n">
        <f aca="false">IF(ISNUMBER(VLOOKUP($A47,CORETABLE,HLOOKUP($H$3,CORETABLE,2,FALSE()),FALSE())),VLOOKUP($A47,CORETABLE,HLOOKUP($H$3,CORETABLE,2,FALSE()),FALSE()),1)</f>
        <v>0.994071440191916</v>
      </c>
      <c r="AK47" s="155" t="n">
        <f aca="false">H$18</f>
        <v>0.2</v>
      </c>
      <c r="AM47" s="4" t="n">
        <f aca="false">VLOOKUP($A47,STRADDLE,12,FALSE())</f>
        <v>0.067795554865608</v>
      </c>
      <c r="AN47" s="43" t="n">
        <f aca="false">A48-A47</f>
        <v>31</v>
      </c>
      <c r="AP47" s="9" t="n">
        <f aca="false">IF($A47&gt;=AR$32,IF($A47&lt;=AR$33,$AN47,0),0)</f>
        <v>0</v>
      </c>
      <c r="AQ47" s="123" t="n">
        <f aca="false">$B47+$K47+$B$12</f>
        <v>4.03821428571429</v>
      </c>
      <c r="AR47" s="123" t="n">
        <f aca="false">$B47+$L47+$B$13</f>
        <v>4.42071428571429</v>
      </c>
      <c r="AS47" s="123" t="n">
        <f aca="false">AQ47*AP47</f>
        <v>0</v>
      </c>
      <c r="AT47" s="123" t="n">
        <f aca="false">AR47*AP47</f>
        <v>0</v>
      </c>
      <c r="AU47" s="156" t="n">
        <f aca="false">($C47*$M47)+$B$14</f>
        <v>0.40035</v>
      </c>
      <c r="AV47" s="156" t="n">
        <f aca="false">($C47*$N47)+$B$15</f>
        <v>0.3925</v>
      </c>
      <c r="AW47" s="131" t="n">
        <f aca="false">O47+B$16</f>
        <v>0.96</v>
      </c>
      <c r="AX47" s="157" t="n">
        <f aca="false">IF(AP47=0,0,SPRDOPT(AQ47,AR47,$P47,$AM47,AU47,AV47,AW47,$F47,$B$19,0))</f>
        <v>0</v>
      </c>
      <c r="AY47" s="157" t="e">
        <f aca="false">IF(AQ47=0,0,SPRDOPT(AQ47,AR47,$P47,$AM47,AU47,AV47,AW47,$F47,$B$19,1))</f>
        <v>#NAME?</v>
      </c>
      <c r="AZ47" s="157" t="e">
        <f aca="false">IF(AR47=0,0,SPRDOPT(AQ47,AR47,$P47,$AM47,AU47,AV47,AW47,$F47,$B$19,2))</f>
        <v>#NAME?</v>
      </c>
      <c r="BA47" s="157" t="n">
        <f aca="false">IF(AS47=0,0,SPRDOPT(AQ47,AR47,$P47,$AM47,AU47,AV47,AW47,$F47,$B$19,3)/100)</f>
        <v>0</v>
      </c>
      <c r="BB47" s="157" t="n">
        <f aca="false">IF(AT47=0,0,SPRDOPT(AQ47,AR47,$P47,$AM47,AU47,AV47,AW47,$F47,$B$19,4)/100)</f>
        <v>0</v>
      </c>
      <c r="BC47" s="157" t="e">
        <f aca="false">IF(AU47=0,0,SPRDOPT(AQ47,AR47,$P47,$AM47,AU47,AV47,AW47,$F47,$B$19,5)/100)</f>
        <v>#NAME?</v>
      </c>
      <c r="BD47" s="157" t="e">
        <f aca="false">IF(AV47=0,0,SPRDOPT(AQ47,AR47,$P47,$AM47,AU47,AV47,AW47,$F47,$B$19,6)/100)</f>
        <v>#NAME?</v>
      </c>
      <c r="BE47" s="157" t="e">
        <f aca="false">IF(AW47=0,0,SPRDOPT(AQ47,AR47,$P47,$AM47,AU47,AV47,AW47,$F47,$B$19,7)/100)</f>
        <v>#NAME?</v>
      </c>
      <c r="BF47" s="157" t="n">
        <f aca="false">IF(AX47=0,0,SPRDOPT(AQ47,AR47,$P47,$AM47,AU47,AV47,AW47,$F47,$B$19,9)/365)</f>
        <v>0</v>
      </c>
      <c r="BG47" s="157" t="e">
        <f aca="false">AY47+AZ47</f>
        <v>#NAME?</v>
      </c>
      <c r="BH47" s="157" t="n">
        <f aca="false">BB47-BA47</f>
        <v>0</v>
      </c>
      <c r="BI47" s="157" t="e">
        <f aca="false">((AU47/AV47)*BC47)+BD47</f>
        <v>#NAME?</v>
      </c>
      <c r="BJ47" s="44"/>
      <c r="BK47" s="45" t="n">
        <f aca="false">$AP47*AX47</f>
        <v>0</v>
      </c>
      <c r="BL47" s="45" t="e">
        <f aca="false">$AP47*AY47</f>
        <v>#NAME?</v>
      </c>
      <c r="BM47" s="45" t="e">
        <f aca="false">$AP47*AZ47</f>
        <v>#NAME?</v>
      </c>
      <c r="BN47" s="45" t="n">
        <f aca="false">$AP47*BA47</f>
        <v>0</v>
      </c>
      <c r="BO47" s="45" t="n">
        <f aca="false">$AP47*BB47</f>
        <v>0</v>
      </c>
      <c r="BP47" s="45" t="e">
        <f aca="false">$AP47*BC47</f>
        <v>#NAME?</v>
      </c>
      <c r="BQ47" s="45" t="e">
        <f aca="false">$AP47*BD47</f>
        <v>#NAME?</v>
      </c>
      <c r="BR47" s="45" t="e">
        <f aca="false">$AP47*BE47</f>
        <v>#NAME?</v>
      </c>
      <c r="BS47" s="45" t="n">
        <f aca="false">$AP47*BF47</f>
        <v>0</v>
      </c>
      <c r="BT47" s="45" t="e">
        <f aca="false">$AP47*BG47</f>
        <v>#NAME?</v>
      </c>
      <c r="BU47" s="45" t="n">
        <f aca="false">$AP47*BH47</f>
        <v>0</v>
      </c>
      <c r="BV47" s="45" t="e">
        <f aca="false">$AP47*BI47</f>
        <v>#NAME?</v>
      </c>
      <c r="BX47" s="9" t="n">
        <f aca="false">IF($A47&gt;=BZ$32,IF($A47&lt;=BZ$33,$AN47,0),0)</f>
        <v>0</v>
      </c>
      <c r="BY47" s="123" t="n">
        <f aca="false">$B47+$R47+$D$12</f>
        <v>3.81571428571429</v>
      </c>
      <c r="BZ47" s="123" t="n">
        <f aca="false">$B47+$S47+$D$13</f>
        <v>4.42071428571429</v>
      </c>
      <c r="CA47" s="123" t="n">
        <f aca="false">BY47*BX47</f>
        <v>0</v>
      </c>
      <c r="CB47" s="123" t="n">
        <f aca="false">BZ47*BX47</f>
        <v>0</v>
      </c>
      <c r="CC47" s="156" t="n">
        <f aca="false">($C47*$T47)+$D$14</f>
        <v>0.380725</v>
      </c>
      <c r="CD47" s="156" t="n">
        <f aca="false">($C47*$U47)+$D$15</f>
        <v>0.3925</v>
      </c>
      <c r="CE47" s="131" t="n">
        <f aca="false">$V47+D$16</f>
        <v>0.96</v>
      </c>
      <c r="CF47" s="157" t="n">
        <f aca="false">IF(BX47=0,0,SPRDOPT(BY47,BZ47,$W47,$AM47,CC47,CD47,CE47,$F47,$D$19,0))</f>
        <v>0</v>
      </c>
      <c r="CG47" s="157" t="e">
        <f aca="false">IF(BY47=0,0,SPRDOPT(BY47,BZ47,$W47,$AM47,CC47,CD47,CE47,$F47,$D$19,1))</f>
        <v>#NAME?</v>
      </c>
      <c r="CH47" s="157" t="e">
        <f aca="false">IF(BZ47=0,0,SPRDOPT(BY47,BZ47,$W47,$AM47,CC47,CD47,CE47,$F47,$D$19,2))</f>
        <v>#NAME?</v>
      </c>
      <c r="CI47" s="157" t="n">
        <f aca="false">IF(CA47=0,0,SPRDOPT(BY47,BZ47,$W47,$AM47,CC47,CD47,CE47,$F47,$D$19,3)/100)</f>
        <v>0</v>
      </c>
      <c r="CJ47" s="157" t="n">
        <f aca="false">IF(CB47=0,0,SPRDOPT(BY47,BZ47,$W47,$AM47,CC47,CD47,CE47,$F47,$D$19,4)/100)</f>
        <v>0</v>
      </c>
      <c r="CK47" s="157" t="e">
        <f aca="false">IF(CC47=0,0,SPRDOPT(BY47,BZ47,$W47,$AM47,CC47,CD47,CE47,$F47,$D$19,5)/100)</f>
        <v>#NAME?</v>
      </c>
      <c r="CL47" s="157" t="e">
        <f aca="false">IF(CD47=0,0,SPRDOPT(BY47,BZ47,$W47,$AM47,CC47,CD47,CE47,$F47,$D$19,6)/100)</f>
        <v>#NAME?</v>
      </c>
      <c r="CM47" s="157" t="e">
        <f aca="false">IF(CE47=0,0,SPRDOPT(BY47,BZ47,$W47,$AM47,CC47,CD47,CE47,$F47,$D$19,7)/100)</f>
        <v>#NAME?</v>
      </c>
      <c r="CN47" s="157" t="n">
        <f aca="false">IF(CF47=0,0,SPRDOPT(BY47,BZ47,$W47,$AM47,CC47,CD47,CE47,$F47,$D$19,9)/365)</f>
        <v>0</v>
      </c>
      <c r="CO47" s="157" t="e">
        <f aca="false">CG47+CH47</f>
        <v>#NAME?</v>
      </c>
      <c r="CP47" s="157" t="n">
        <f aca="false">CJ47-CI47</f>
        <v>0</v>
      </c>
      <c r="CQ47" s="157" t="e">
        <f aca="false">((CC47/CD47)*CK47)+CL47</f>
        <v>#NAME?</v>
      </c>
      <c r="CR47" s="44"/>
      <c r="CS47" s="45" t="n">
        <f aca="false">BX47*CF47</f>
        <v>0</v>
      </c>
      <c r="CT47" s="45" t="e">
        <f aca="false">BX47*CG47</f>
        <v>#NAME?</v>
      </c>
      <c r="CU47" s="45" t="e">
        <f aca="false">BX47*CH47</f>
        <v>#NAME?</v>
      </c>
      <c r="CV47" s="45" t="n">
        <f aca="false">BX47*CI47</f>
        <v>0</v>
      </c>
      <c r="CW47" s="45" t="n">
        <f aca="false">BX47*CJ47</f>
        <v>0</v>
      </c>
      <c r="CX47" s="45" t="e">
        <f aca="false">BX47*CK47</f>
        <v>#NAME?</v>
      </c>
      <c r="CY47" s="45" t="e">
        <f aca="false">BX47*CL47</f>
        <v>#NAME?</v>
      </c>
      <c r="CZ47" s="45" t="e">
        <f aca="false">BX47*CM47</f>
        <v>#NAME?</v>
      </c>
      <c r="DA47" s="45" t="n">
        <f aca="false">BX47*CN47</f>
        <v>0</v>
      </c>
      <c r="DB47" s="45" t="e">
        <f aca="false">BX47*CO47</f>
        <v>#NAME?</v>
      </c>
      <c r="DC47" s="45" t="n">
        <f aca="false">BX47*CP47</f>
        <v>0</v>
      </c>
      <c r="DD47" s="45" t="e">
        <f aca="false">BX47*CQ47</f>
        <v>#NAME?</v>
      </c>
      <c r="DF47" s="9" t="n">
        <f aca="false">IF($A47&gt;=DH$32,IF($A47&lt;=DH$33,$AN47,0),0)</f>
        <v>0</v>
      </c>
      <c r="DG47" s="123" t="n">
        <f aca="false">$B47+$Y47+$F$12</f>
        <v>4.29071428571429</v>
      </c>
      <c r="DH47" s="123" t="n">
        <f aca="false">$B47+$Z47+$F$13</f>
        <v>4.42071428571429</v>
      </c>
      <c r="DI47" s="123" t="n">
        <f aca="false">DG47*DF47</f>
        <v>0</v>
      </c>
      <c r="DJ47" s="123" t="n">
        <f aca="false">DH47*DF47</f>
        <v>0</v>
      </c>
      <c r="DK47" s="156" t="n">
        <f aca="false">($C47*$AA47)+$F$14</f>
        <v>0.3925</v>
      </c>
      <c r="DL47" s="156" t="n">
        <f aca="false">($C47*$AB47)+$F$15</f>
        <v>0.3925</v>
      </c>
      <c r="DM47" s="131" t="n">
        <f aca="false">$AC47+$F$16</f>
        <v>0.995</v>
      </c>
      <c r="DN47" s="157" t="n">
        <f aca="false">IF(DF47=0,0,SPRDOPT(DG47,DH47,$AD47,$AM47,DK47,DL47,DM47,$F47,$F$19,0))</f>
        <v>0</v>
      </c>
      <c r="DO47" s="157" t="e">
        <f aca="false">IF(DG47=0,0,SPRDOPT(DG47,DH47,$AD47,$AM47,DK47,DL47,DM47,$F47,$F$19,1))</f>
        <v>#NAME?</v>
      </c>
      <c r="DP47" s="157" t="e">
        <f aca="false">IF(DH47=0,0,SPRDOPT(DG47,DH47,$AD47,$AM47,DK47,DL47,DM47,$F47,$F$19,2))</f>
        <v>#NAME?</v>
      </c>
      <c r="DQ47" s="157" t="n">
        <f aca="false">IF(DI47=0,0,SPRDOPT(DG47,DH47,$AD47,$AM47,DK47,DL47,DM47,$F47,$F$19,3)/100)</f>
        <v>0</v>
      </c>
      <c r="DR47" s="157" t="n">
        <f aca="false">IF(DJ47=0,0,SPRDOPT(DG47,DH47,$AD47,$AM47,DK47,DL47,DM47,$F47,$F$19,4)/100)</f>
        <v>0</v>
      </c>
      <c r="DS47" s="157" t="e">
        <f aca="false">IF(DK47=0,0,SPRDOPT(DG47,DH47,$AD47,$AM47,DK47,DL47,DM47,$F47,$F$19,5)/100)</f>
        <v>#NAME?</v>
      </c>
      <c r="DT47" s="157" t="e">
        <f aca="false">IF(DL47=0,0,SPRDOPT(DG47,DH47,$AD47,$AM47,DK47,DL47,DM47,$F47,$F$19,6)/100)</f>
        <v>#NAME?</v>
      </c>
      <c r="DU47" s="157" t="e">
        <f aca="false">IF(DM47=0,0,SPRDOPT(DG47,DH47,$AD47,$AM47,DK47,DL47,DM47,$F47,$F$19,7)/100)</f>
        <v>#NAME?</v>
      </c>
      <c r="DV47" s="157" t="n">
        <f aca="false">IF(DN47=0,0,SPRDOPT(DG47,DH47,$AD47,$AM47,DK47,DL47,DM47,$F47,$F$19,9)/365)</f>
        <v>0</v>
      </c>
      <c r="DW47" s="157" t="e">
        <f aca="false">DO47+DP47</f>
        <v>#NAME?</v>
      </c>
      <c r="DX47" s="157" t="n">
        <f aca="false">DR47-DQ47</f>
        <v>0</v>
      </c>
      <c r="DY47" s="157" t="e">
        <f aca="false">((DK47/DL47)*DS47)+DT47</f>
        <v>#NAME?</v>
      </c>
      <c r="DZ47" s="44"/>
      <c r="EA47" s="45" t="n">
        <f aca="false">DF47*DN47</f>
        <v>0</v>
      </c>
      <c r="EB47" s="45" t="e">
        <f aca="false">DF47*DO47</f>
        <v>#NAME?</v>
      </c>
      <c r="EC47" s="45" t="e">
        <f aca="false">DF47*DP47</f>
        <v>#NAME?</v>
      </c>
      <c r="ED47" s="45" t="n">
        <f aca="false">DF47*DQ47</f>
        <v>0</v>
      </c>
      <c r="EE47" s="45" t="n">
        <f aca="false">DF47*DR47</f>
        <v>0</v>
      </c>
      <c r="EF47" s="45" t="e">
        <f aca="false">DF47*DS47</f>
        <v>#NAME?</v>
      </c>
      <c r="EG47" s="45" t="e">
        <f aca="false">DF47*DT47</f>
        <v>#NAME?</v>
      </c>
      <c r="EH47" s="45" t="e">
        <f aca="false">DF47*DU47</f>
        <v>#NAME?</v>
      </c>
      <c r="EI47" s="45" t="n">
        <f aca="false">DF47*DV47</f>
        <v>0</v>
      </c>
      <c r="EJ47" s="45" t="e">
        <f aca="false">DF47*DW47</f>
        <v>#NAME?</v>
      </c>
      <c r="EK47" s="45" t="n">
        <f aca="false">DF47*DX47</f>
        <v>0</v>
      </c>
      <c r="EL47" s="45" t="e">
        <f aca="false">DF47*DY47</f>
        <v>#NAME?</v>
      </c>
      <c r="EN47" s="9" t="n">
        <f aca="false">IF($A47&gt;=EP$32,IF($A47&lt;=EP$33,$AN47,0),0)</f>
        <v>0</v>
      </c>
      <c r="EO47" s="123" t="n">
        <f aca="false">$B47+$AF47+$H$12</f>
        <v>4.47321428571429</v>
      </c>
      <c r="EP47" s="123" t="n">
        <f aca="false">$B47+$AG47+$H$13</f>
        <v>4.42071428571429</v>
      </c>
      <c r="EQ47" s="123" t="n">
        <f aca="false">EO47*EN47</f>
        <v>0</v>
      </c>
      <c r="ER47" s="123" t="n">
        <f aca="false">EP47*EN47</f>
        <v>0</v>
      </c>
      <c r="ES47" s="156" t="n">
        <f aca="false">($C47*$AH47)+$H$14</f>
        <v>0.3925</v>
      </c>
      <c r="ET47" s="156" t="n">
        <f aca="false">($C47*$AI47)+$H$15</f>
        <v>0.3925</v>
      </c>
      <c r="EU47" s="131" t="n">
        <f aca="false">$AJ47+$H$16</f>
        <v>0.994071440191916</v>
      </c>
      <c r="EV47" s="157" t="n">
        <f aca="false">IF(EN47=0,0,SPRDOPT(EO47,EP47,$AK47,$AM47,ES47,ET47,EU47,$F47,$H$19,0))</f>
        <v>0</v>
      </c>
      <c r="EW47" s="157" t="e">
        <f aca="false">IF(EO47=0,0,SPRDOPT(EO47,EP47,$AK47,$AM47,ES47,ET47,EU47,$F47,$H$19,1))</f>
        <v>#NAME?</v>
      </c>
      <c r="EX47" s="157" t="e">
        <f aca="false">IF(EP47=0,0,SPRDOPT(EO47,EP47,$AK47,$AM47,ES47,ET47,EU47,$F47,$H$19,2))</f>
        <v>#NAME?</v>
      </c>
      <c r="EY47" s="157" t="n">
        <f aca="false">IF(EQ47=0,0,SPRDOPT(EO47,EP47,$AK47,$AM47,ES47,ET47,EU47,$F47,$H$19,3)/100)</f>
        <v>0</v>
      </c>
      <c r="EZ47" s="157" t="n">
        <f aca="false">IF(ER47=0,0,SPRDOPT(EO47,EP47,$AK47,$AM47,ES47,ET47,EU47,$F47,$H$19,4)/100)</f>
        <v>0</v>
      </c>
      <c r="FA47" s="157" t="e">
        <f aca="false">IF(ES47=0,0,SPRDOPT(EO47,EP47,$AK47,$AM47,ES47,ET47,EU47,$F47,$H$19,5)/100)</f>
        <v>#NAME?</v>
      </c>
      <c r="FB47" s="157" t="e">
        <f aca="false">IF(ET47=0,0,SPRDOPT(EO47,EP47,$AK47,$AM47,ES47,ET47,EU47,$F47,$H$19,6)/100)</f>
        <v>#NAME?</v>
      </c>
      <c r="FC47" s="157" t="e">
        <f aca="false">IF(EU47=0,0,SPRDOPT(EO47,EP47,$AK47,$AM47,ES47,ET47,EU47,$F47,$H$19,7)/100)</f>
        <v>#NAME?</v>
      </c>
      <c r="FD47" s="157" t="n">
        <f aca="false">IF(EV47=0,0,SPRDOPT(EO47,EP47,$AK47,$AM47,ES47,ET47,EU47,$F47,$H$19,9)/365)</f>
        <v>0</v>
      </c>
      <c r="FE47" s="157" t="e">
        <f aca="false">EW47+EX47</f>
        <v>#NAME?</v>
      </c>
      <c r="FF47" s="157" t="n">
        <f aca="false">EZ47-EY47</f>
        <v>0</v>
      </c>
      <c r="FG47" s="157" t="e">
        <f aca="false">((ES47/ET47)*FA47)+FB47</f>
        <v>#NAME?</v>
      </c>
      <c r="FH47" s="44"/>
      <c r="FI47" s="45" t="n">
        <f aca="false">$EN47*EV47</f>
        <v>0</v>
      </c>
      <c r="FJ47" s="45" t="e">
        <f aca="false">$EN47*EW47</f>
        <v>#NAME?</v>
      </c>
      <c r="FK47" s="45" t="e">
        <f aca="false">$EN47*EX47</f>
        <v>#NAME?</v>
      </c>
      <c r="FL47" s="45" t="n">
        <f aca="false">$EN47*EY47</f>
        <v>0</v>
      </c>
      <c r="FM47" s="45" t="n">
        <f aca="false">$EN47*EZ47</f>
        <v>0</v>
      </c>
      <c r="FN47" s="45" t="e">
        <f aca="false">$EN47*FA47</f>
        <v>#NAME?</v>
      </c>
      <c r="FO47" s="45" t="e">
        <f aca="false">$EN47*FB47</f>
        <v>#NAME?</v>
      </c>
      <c r="FP47" s="45" t="e">
        <f aca="false">$EN47*FC47</f>
        <v>#NAME?</v>
      </c>
      <c r="FQ47" s="45" t="n">
        <f aca="false">$EN47*FD47</f>
        <v>0</v>
      </c>
      <c r="FR47" s="45" t="e">
        <f aca="false">$EN47*FE47</f>
        <v>#NAME?</v>
      </c>
      <c r="FS47" s="45" t="n">
        <f aca="false">$EN47*FF47</f>
        <v>0</v>
      </c>
      <c r="FT47" s="45" t="e">
        <f aca="false">$EN47*FG47</f>
        <v>#NAME?</v>
      </c>
    </row>
    <row r="48" customFormat="false" ht="12.75" hidden="false" customHeight="false" outlineLevel="0" collapsed="false">
      <c r="A48" s="48" t="n">
        <f aca="false">DATE(YEAR(A47),MONTH(A47)+1,1)</f>
        <v>37104</v>
      </c>
      <c r="B48" s="40" t="n">
        <f aca="false">VLOOKUP(A48,STRADDLE,5,FALSE())</f>
        <v>4.41071428571429</v>
      </c>
      <c r="C48" s="4" t="n">
        <f aca="false">VLOOKUP(A48,STRADDLE,8,FALSE())</f>
        <v>0.3925</v>
      </c>
      <c r="D48" s="40"/>
      <c r="E48" s="131"/>
      <c r="F48" s="136" t="n">
        <f aca="false">VLOOKUP(A48,expiration,2,FALSE())-$B$2</f>
        <v>-8827</v>
      </c>
      <c r="G48" s="4"/>
      <c r="H48" s="4"/>
      <c r="I48" s="41"/>
      <c r="J48" s="154"/>
      <c r="K48" s="40" t="n">
        <f aca="false">IF($B$3="NYMEX",0,VLOOKUP($A48,curvesettle,HLOOKUP($B$3,curvesettle,2,FALSE()),FALSE()))</f>
        <v>-0.35</v>
      </c>
      <c r="L48" s="40" t="n">
        <f aca="false">IF($B$4="NYMEX",0,VLOOKUP($A48,curvesettle,HLOOKUP($B$4,curvesettle,2,FALSE()),FALSE()))</f>
        <v>0</v>
      </c>
      <c r="M48" s="131" t="n">
        <f aca="false">IF(ISNUMBER(VLOOKUP($A48,VOLCURVES,HLOOKUP($B$3,VOLCURVES,2,FALSE()),FALSE())),VLOOKUP($A48,VOLCURVES,HLOOKUP($B$3,VOLCURVES,2,FALSE()),FALSE()),1)</f>
        <v>1.02</v>
      </c>
      <c r="N48" s="131" t="n">
        <f aca="false">IF(ISNUMBER(VLOOKUP($A48,VOLCURVES,HLOOKUP($B$4,VOLCURVES,2,FALSE()),FALSE())),VLOOKUP($A48,VOLCURVES,HLOOKUP($B$4,VOLCURVES,2,FALSE()),FALSE()),1)</f>
        <v>1</v>
      </c>
      <c r="O48" s="131" t="n">
        <f aca="false">IF(ISNUMBER(VLOOKUP($A48,CORETABLE,HLOOKUP($B$3,CORETABLE,2,FALSE()),FALSE())),VLOOKUP($A48,CORETABLE,HLOOKUP($B$3,CORETABLE,2,FALSE()),FALSE()),0.99)</f>
        <v>0.96</v>
      </c>
      <c r="P48" s="155" t="n">
        <f aca="false">B$18</f>
        <v>0.3</v>
      </c>
      <c r="Q48" s="131"/>
      <c r="R48" s="40" t="n">
        <f aca="false">IF($D$3="NYMEX",0,VLOOKUP($A48,curvesettle,HLOOKUP($D$3,curvesettle,2,FALSE()),FALSE()))</f>
        <v>-0.5725</v>
      </c>
      <c r="S48" s="40" t="n">
        <f aca="false">IF($D$4="NYMEX",0,VLOOKUP($A48,curvesettle,HLOOKUP($D$4,curvesettle,2,FALSE()),FALSE()))</f>
        <v>0</v>
      </c>
      <c r="T48" s="131" t="n">
        <f aca="false">IF(ISNUMBER(VLOOKUP($A48,VOLCURVES,HLOOKUP($D$3,VOLCURVES,2,FALSE()),FALSE())),VLOOKUP($A48,VOLCURVES,HLOOKUP($D$3,VOLCURVES,2,FALSE()),FALSE()),1)</f>
        <v>0.97</v>
      </c>
      <c r="U48" s="131" t="n">
        <f aca="false">IF(ISNUMBER(VLOOKUP($A48,VOLCURVES,HLOOKUP($D$4,VOLCURVES,2,FALSE()),FALSE())),VLOOKUP($A48,VOLCURVES,HLOOKUP($D$4,VOLCURVES,2,FALSE()),FALSE()),1)</f>
        <v>1</v>
      </c>
      <c r="V48" s="131" t="n">
        <f aca="false">IF(ISNUMBER(VLOOKUP($A48,CORETABLE,HLOOKUP($D$3,CORETABLE,2,FALSE()),FALSE())),VLOOKUP($A48,CORETABLE,HLOOKUP($D$3,CORETABLE,2,FALSE()),FALSE()),0.99)</f>
        <v>0.96</v>
      </c>
      <c r="W48" s="155" t="n">
        <f aca="false">D$18</f>
        <v>-0.35</v>
      </c>
      <c r="X48" s="131"/>
      <c r="Y48" s="40" t="n">
        <f aca="false">IF($F$3="NYMEX",0,VLOOKUP($A48,curvesettle,HLOOKUP($F$3,curvesettle,2,FALSE()),FALSE()))</f>
        <v>-0.13</v>
      </c>
      <c r="Z48" s="40" t="n">
        <f aca="false">IF($F$4="NYMEX",0,VLOOKUP($A48,curvesettle,HLOOKUP($F$4,curvesettle,2,FALSE()),FALSE()))</f>
        <v>0</v>
      </c>
      <c r="AA48" s="131" t="n">
        <f aca="false">IF(ISNUMBER(VLOOKUP($A48,VOLCURVES,HLOOKUP($F$3,VOLCURVES,2,FALSE()),FALSE())),VLOOKUP($A48,VOLCURVES,HLOOKUP($F$3,VOLCURVES,2,FALSE()),FALSE()),1)</f>
        <v>1</v>
      </c>
      <c r="AB48" s="131" t="n">
        <f aca="false">IF(ISNUMBER(VLOOKUP($A48,VOLCURVES,HLOOKUP($F$4,VOLCURVES,2,FALSE()),FALSE())),VLOOKUP($A48,VOLCURVES,HLOOKUP($F$4,VOLCURVES,2,FALSE()),FALSE()),1)</f>
        <v>1</v>
      </c>
      <c r="AC48" s="131" t="n">
        <f aca="false">IF(ISNUMBER(VLOOKUP($A48,CORETABLE,HLOOKUP($F$3,CORETABLE,2,FALSE()),FALSE())),VLOOKUP($A48,CORETABLE,HLOOKUP($F$3,CORETABLE,2,FALSE()),FALSE()),1)</f>
        <v>0.995</v>
      </c>
      <c r="AD48" s="155" t="n">
        <f aca="false">F$18</f>
        <v>-0.2</v>
      </c>
      <c r="AE48" s="131"/>
      <c r="AF48" s="40" t="n">
        <f aca="false">IF($H$3="NYMEX",0,VLOOKUP($A48,curvesettle,HLOOKUP($H$3,curvesettle,2,FALSE()),FALSE()))</f>
        <v>0.06</v>
      </c>
      <c r="AG48" s="40" t="n">
        <f aca="false">IF($H$4="NYMEX",0,VLOOKUP($A48,curvesettle,HLOOKUP($H$4,curvesettle,2,FALSE()),FALSE()))</f>
        <v>0</v>
      </c>
      <c r="AH48" s="131" t="n">
        <f aca="false">IF(ISNUMBER(VLOOKUP($A48,VOLCURVES,HLOOKUP($H$3,VOLCURVES,2,FALSE()),FALSE())),VLOOKUP($A48,VOLCURVES,HLOOKUP($H$3,VOLCURVES,2,FALSE()),FALSE()),1)</f>
        <v>1</v>
      </c>
      <c r="AI48" s="131" t="n">
        <f aca="false">IF(ISNUMBER(VLOOKUP($A48,VOLCURVES,HLOOKUP($H$4,VOLCURVES,2,FALSE()),FALSE())),VLOOKUP($A48,VOLCURVES,HLOOKUP($H$4,VOLCURVES,2,FALSE()),FALSE()),1)</f>
        <v>1</v>
      </c>
      <c r="AJ48" s="131" t="n">
        <f aca="false">IF(ISNUMBER(VLOOKUP($A48,CORETABLE,HLOOKUP($H$3,CORETABLE,2,FALSE()),FALSE())),VLOOKUP($A48,CORETABLE,HLOOKUP($H$3,CORETABLE,2,FALSE()),FALSE()),1)</f>
        <v>0.994071440191916</v>
      </c>
      <c r="AK48" s="155" t="n">
        <f aca="false">H$18</f>
        <v>0.2</v>
      </c>
      <c r="AM48" s="4" t="n">
        <f aca="false">VLOOKUP($A48,STRADDLE,12,FALSE())</f>
        <v>0.067695044006758</v>
      </c>
      <c r="AN48" s="43" t="n">
        <f aca="false">A49-A48</f>
        <v>31</v>
      </c>
      <c r="AP48" s="9" t="n">
        <f aca="false">IF($A48&gt;=AR$32,IF($A48&lt;=AR$33,$AN48,0),0)</f>
        <v>0</v>
      </c>
      <c r="AQ48" s="123" t="n">
        <f aca="false">$B48+$K48+$B$12</f>
        <v>4.02821428571429</v>
      </c>
      <c r="AR48" s="123" t="n">
        <f aca="false">$B48+$L48+$B$13</f>
        <v>4.41071428571429</v>
      </c>
      <c r="AS48" s="123" t="n">
        <f aca="false">AQ48*AP48</f>
        <v>0</v>
      </c>
      <c r="AT48" s="123" t="n">
        <f aca="false">AR48*AP48</f>
        <v>0</v>
      </c>
      <c r="AU48" s="156" t="n">
        <f aca="false">($C48*$M48)+$B$14</f>
        <v>0.40035</v>
      </c>
      <c r="AV48" s="156" t="n">
        <f aca="false">($C48*$N48)+$B$15</f>
        <v>0.3925</v>
      </c>
      <c r="AW48" s="131" t="n">
        <f aca="false">O48+B$16</f>
        <v>0.96</v>
      </c>
      <c r="AX48" s="157" t="n">
        <f aca="false">IF(AP48=0,0,SPRDOPT(AQ48,AR48,$P48,$AM48,AU48,AV48,AW48,$F48,$B$19,0))</f>
        <v>0</v>
      </c>
      <c r="AY48" s="157" t="e">
        <f aca="false">IF(AQ48=0,0,SPRDOPT(AQ48,AR48,$P48,$AM48,AU48,AV48,AW48,$F48,$B$19,1))</f>
        <v>#NAME?</v>
      </c>
      <c r="AZ48" s="157" t="e">
        <f aca="false">IF(AR48=0,0,SPRDOPT(AQ48,AR48,$P48,$AM48,AU48,AV48,AW48,$F48,$B$19,2))</f>
        <v>#NAME?</v>
      </c>
      <c r="BA48" s="157" t="n">
        <f aca="false">IF(AS48=0,0,SPRDOPT(AQ48,AR48,$P48,$AM48,AU48,AV48,AW48,$F48,$B$19,3)/100)</f>
        <v>0</v>
      </c>
      <c r="BB48" s="157" t="n">
        <f aca="false">IF(AT48=0,0,SPRDOPT(AQ48,AR48,$P48,$AM48,AU48,AV48,AW48,$F48,$B$19,4)/100)</f>
        <v>0</v>
      </c>
      <c r="BC48" s="157" t="e">
        <f aca="false">IF(AU48=0,0,SPRDOPT(AQ48,AR48,$P48,$AM48,AU48,AV48,AW48,$F48,$B$19,5)/100)</f>
        <v>#NAME?</v>
      </c>
      <c r="BD48" s="157" t="e">
        <f aca="false">IF(AV48=0,0,SPRDOPT(AQ48,AR48,$P48,$AM48,AU48,AV48,AW48,$F48,$B$19,6)/100)</f>
        <v>#NAME?</v>
      </c>
      <c r="BE48" s="157" t="e">
        <f aca="false">IF(AW48=0,0,SPRDOPT(AQ48,AR48,$P48,$AM48,AU48,AV48,AW48,$F48,$B$19,7)/100)</f>
        <v>#NAME?</v>
      </c>
      <c r="BF48" s="157" t="n">
        <f aca="false">IF(AX48=0,0,SPRDOPT(AQ48,AR48,$P48,$AM48,AU48,AV48,AW48,$F48,$B$19,9)/365)</f>
        <v>0</v>
      </c>
      <c r="BG48" s="157" t="e">
        <f aca="false">AY48+AZ48</f>
        <v>#NAME?</v>
      </c>
      <c r="BH48" s="157" t="n">
        <f aca="false">BB48-BA48</f>
        <v>0</v>
      </c>
      <c r="BI48" s="157" t="e">
        <f aca="false">((AU48/AV48)*BC48)+BD48</f>
        <v>#NAME?</v>
      </c>
      <c r="BJ48" s="44"/>
      <c r="BK48" s="45" t="n">
        <f aca="false">$AP48*AX48</f>
        <v>0</v>
      </c>
      <c r="BL48" s="45" t="e">
        <f aca="false">$AP48*AY48</f>
        <v>#NAME?</v>
      </c>
      <c r="BM48" s="45" t="e">
        <f aca="false">$AP48*AZ48</f>
        <v>#NAME?</v>
      </c>
      <c r="BN48" s="45" t="n">
        <f aca="false">$AP48*BA48</f>
        <v>0</v>
      </c>
      <c r="BO48" s="45" t="n">
        <f aca="false">$AP48*BB48</f>
        <v>0</v>
      </c>
      <c r="BP48" s="45" t="e">
        <f aca="false">$AP48*BC48</f>
        <v>#NAME?</v>
      </c>
      <c r="BQ48" s="45" t="e">
        <f aca="false">$AP48*BD48</f>
        <v>#NAME?</v>
      </c>
      <c r="BR48" s="45" t="e">
        <f aca="false">$AP48*BE48</f>
        <v>#NAME?</v>
      </c>
      <c r="BS48" s="45" t="n">
        <f aca="false">$AP48*BF48</f>
        <v>0</v>
      </c>
      <c r="BT48" s="45" t="e">
        <f aca="false">$AP48*BG48</f>
        <v>#NAME?</v>
      </c>
      <c r="BU48" s="45" t="n">
        <f aca="false">$AP48*BH48</f>
        <v>0</v>
      </c>
      <c r="BV48" s="45" t="e">
        <f aca="false">$AP48*BI48</f>
        <v>#NAME?</v>
      </c>
      <c r="BX48" s="9" t="n">
        <f aca="false">IF($A48&gt;=BZ$32,IF($A48&lt;=BZ$33,$AN48,0),0)</f>
        <v>0</v>
      </c>
      <c r="BY48" s="123" t="n">
        <f aca="false">$B48+$R48+$D$12</f>
        <v>3.80571428571429</v>
      </c>
      <c r="BZ48" s="123" t="n">
        <f aca="false">$B48+$S48+$D$13</f>
        <v>4.41071428571429</v>
      </c>
      <c r="CA48" s="123" t="n">
        <f aca="false">BY48*BX48</f>
        <v>0</v>
      </c>
      <c r="CB48" s="123" t="n">
        <f aca="false">BZ48*BX48</f>
        <v>0</v>
      </c>
      <c r="CC48" s="156" t="n">
        <f aca="false">($C48*$T48)+$D$14</f>
        <v>0.380725</v>
      </c>
      <c r="CD48" s="156" t="n">
        <f aca="false">($C48*$U48)+$D$15</f>
        <v>0.3925</v>
      </c>
      <c r="CE48" s="131" t="n">
        <f aca="false">$V48+D$16</f>
        <v>0.96</v>
      </c>
      <c r="CF48" s="157" t="n">
        <f aca="false">IF(BX48=0,0,SPRDOPT(BY48,BZ48,$W48,$AM48,CC48,CD48,CE48,$F48,$D$19,0))</f>
        <v>0</v>
      </c>
      <c r="CG48" s="157" t="e">
        <f aca="false">IF(BY48=0,0,SPRDOPT(BY48,BZ48,$W48,$AM48,CC48,CD48,CE48,$F48,$D$19,1))</f>
        <v>#NAME?</v>
      </c>
      <c r="CH48" s="157" t="e">
        <f aca="false">IF(BZ48=0,0,SPRDOPT(BY48,BZ48,$W48,$AM48,CC48,CD48,CE48,$F48,$D$19,2))</f>
        <v>#NAME?</v>
      </c>
      <c r="CI48" s="157" t="n">
        <f aca="false">IF(CA48=0,0,SPRDOPT(BY48,BZ48,$W48,$AM48,CC48,CD48,CE48,$F48,$D$19,3)/100)</f>
        <v>0</v>
      </c>
      <c r="CJ48" s="157" t="n">
        <f aca="false">IF(CB48=0,0,SPRDOPT(BY48,BZ48,$W48,$AM48,CC48,CD48,CE48,$F48,$D$19,4)/100)</f>
        <v>0</v>
      </c>
      <c r="CK48" s="157" t="e">
        <f aca="false">IF(CC48=0,0,SPRDOPT(BY48,BZ48,$W48,$AM48,CC48,CD48,CE48,$F48,$D$19,5)/100)</f>
        <v>#NAME?</v>
      </c>
      <c r="CL48" s="157" t="e">
        <f aca="false">IF(CD48=0,0,SPRDOPT(BY48,BZ48,$W48,$AM48,CC48,CD48,CE48,$F48,$D$19,6)/100)</f>
        <v>#NAME?</v>
      </c>
      <c r="CM48" s="157" t="e">
        <f aca="false">IF(CE48=0,0,SPRDOPT(BY48,BZ48,$W48,$AM48,CC48,CD48,CE48,$F48,$D$19,7)/100)</f>
        <v>#NAME?</v>
      </c>
      <c r="CN48" s="157" t="n">
        <f aca="false">IF(CF48=0,0,SPRDOPT(BY48,BZ48,$W48,$AM48,CC48,CD48,CE48,$F48,$D$19,9)/365)</f>
        <v>0</v>
      </c>
      <c r="CO48" s="157" t="e">
        <f aca="false">CG48+CH48</f>
        <v>#NAME?</v>
      </c>
      <c r="CP48" s="157" t="n">
        <f aca="false">CJ48-CI48</f>
        <v>0</v>
      </c>
      <c r="CQ48" s="157" t="e">
        <f aca="false">((CC48/CD48)*CK48)+CL48</f>
        <v>#NAME?</v>
      </c>
      <c r="CR48" s="44"/>
      <c r="CS48" s="45" t="n">
        <f aca="false">BX48*CF48</f>
        <v>0</v>
      </c>
      <c r="CT48" s="45" t="e">
        <f aca="false">BX48*CG48</f>
        <v>#NAME?</v>
      </c>
      <c r="CU48" s="45" t="e">
        <f aca="false">BX48*CH48</f>
        <v>#NAME?</v>
      </c>
      <c r="CV48" s="45" t="n">
        <f aca="false">BX48*CI48</f>
        <v>0</v>
      </c>
      <c r="CW48" s="45" t="n">
        <f aca="false">BX48*CJ48</f>
        <v>0</v>
      </c>
      <c r="CX48" s="45" t="e">
        <f aca="false">BX48*CK48</f>
        <v>#NAME?</v>
      </c>
      <c r="CY48" s="45" t="e">
        <f aca="false">BX48*CL48</f>
        <v>#NAME?</v>
      </c>
      <c r="CZ48" s="45" t="e">
        <f aca="false">BX48*CM48</f>
        <v>#NAME?</v>
      </c>
      <c r="DA48" s="45" t="n">
        <f aca="false">BX48*CN48</f>
        <v>0</v>
      </c>
      <c r="DB48" s="45" t="e">
        <f aca="false">BX48*CO48</f>
        <v>#NAME?</v>
      </c>
      <c r="DC48" s="45" t="n">
        <f aca="false">BX48*CP48</f>
        <v>0</v>
      </c>
      <c r="DD48" s="45" t="e">
        <f aca="false">BX48*CQ48</f>
        <v>#NAME?</v>
      </c>
      <c r="DF48" s="9" t="n">
        <f aca="false">IF($A48&gt;=DH$32,IF($A48&lt;=DH$33,$AN48,0),0)</f>
        <v>0</v>
      </c>
      <c r="DG48" s="123" t="n">
        <f aca="false">$B48+$Y48+$F$12</f>
        <v>4.28071428571429</v>
      </c>
      <c r="DH48" s="123" t="n">
        <f aca="false">$B48+$Z48+$F$13</f>
        <v>4.41071428571429</v>
      </c>
      <c r="DI48" s="123" t="n">
        <f aca="false">DG48*DF48</f>
        <v>0</v>
      </c>
      <c r="DJ48" s="123" t="n">
        <f aca="false">DH48*DF48</f>
        <v>0</v>
      </c>
      <c r="DK48" s="156" t="n">
        <f aca="false">($C48*$AA48)+$F$14</f>
        <v>0.3925</v>
      </c>
      <c r="DL48" s="156" t="n">
        <f aca="false">($C48*$AB48)+$F$15</f>
        <v>0.3925</v>
      </c>
      <c r="DM48" s="131" t="n">
        <f aca="false">$AC48+$F$16</f>
        <v>0.995</v>
      </c>
      <c r="DN48" s="157" t="n">
        <f aca="false">IF(DF48=0,0,SPRDOPT(DG48,DH48,$AD48,$AM48,DK48,DL48,DM48,$F48,$F$19,0))</f>
        <v>0</v>
      </c>
      <c r="DO48" s="157" t="e">
        <f aca="false">IF(DG48=0,0,SPRDOPT(DG48,DH48,$AD48,$AM48,DK48,DL48,DM48,$F48,$F$19,1))</f>
        <v>#NAME?</v>
      </c>
      <c r="DP48" s="157" t="e">
        <f aca="false">IF(DH48=0,0,SPRDOPT(DG48,DH48,$AD48,$AM48,DK48,DL48,DM48,$F48,$F$19,2))</f>
        <v>#NAME?</v>
      </c>
      <c r="DQ48" s="157" t="n">
        <f aca="false">IF(DI48=0,0,SPRDOPT(DG48,DH48,$AD48,$AM48,DK48,DL48,DM48,$F48,$F$19,3)/100)</f>
        <v>0</v>
      </c>
      <c r="DR48" s="157" t="n">
        <f aca="false">IF(DJ48=0,0,SPRDOPT(DG48,DH48,$AD48,$AM48,DK48,DL48,DM48,$F48,$F$19,4)/100)</f>
        <v>0</v>
      </c>
      <c r="DS48" s="157" t="e">
        <f aca="false">IF(DK48=0,0,SPRDOPT(DG48,DH48,$AD48,$AM48,DK48,DL48,DM48,$F48,$F$19,5)/100)</f>
        <v>#NAME?</v>
      </c>
      <c r="DT48" s="157" t="e">
        <f aca="false">IF(DL48=0,0,SPRDOPT(DG48,DH48,$AD48,$AM48,DK48,DL48,DM48,$F48,$F$19,6)/100)</f>
        <v>#NAME?</v>
      </c>
      <c r="DU48" s="157" t="e">
        <f aca="false">IF(DM48=0,0,SPRDOPT(DG48,DH48,$AD48,$AM48,DK48,DL48,DM48,$F48,$F$19,7)/100)</f>
        <v>#NAME?</v>
      </c>
      <c r="DV48" s="157" t="n">
        <f aca="false">IF(DN48=0,0,SPRDOPT(DG48,DH48,$AD48,$AM48,DK48,DL48,DM48,$F48,$F$19,9)/365)</f>
        <v>0</v>
      </c>
      <c r="DW48" s="157" t="e">
        <f aca="false">DO48+DP48</f>
        <v>#NAME?</v>
      </c>
      <c r="DX48" s="157" t="n">
        <f aca="false">DR48-DQ48</f>
        <v>0</v>
      </c>
      <c r="DY48" s="157" t="e">
        <f aca="false">((DK48/DL48)*DS48)+DT48</f>
        <v>#NAME?</v>
      </c>
      <c r="DZ48" s="44"/>
      <c r="EA48" s="45" t="n">
        <f aca="false">DF48*DN48</f>
        <v>0</v>
      </c>
      <c r="EB48" s="45" t="e">
        <f aca="false">DF48*DO48</f>
        <v>#NAME?</v>
      </c>
      <c r="EC48" s="45" t="e">
        <f aca="false">DF48*DP48</f>
        <v>#NAME?</v>
      </c>
      <c r="ED48" s="45" t="n">
        <f aca="false">DF48*DQ48</f>
        <v>0</v>
      </c>
      <c r="EE48" s="45" t="n">
        <f aca="false">DF48*DR48</f>
        <v>0</v>
      </c>
      <c r="EF48" s="45" t="e">
        <f aca="false">DF48*DS48</f>
        <v>#NAME?</v>
      </c>
      <c r="EG48" s="45" t="e">
        <f aca="false">DF48*DT48</f>
        <v>#NAME?</v>
      </c>
      <c r="EH48" s="45" t="e">
        <f aca="false">DF48*DU48</f>
        <v>#NAME?</v>
      </c>
      <c r="EI48" s="45" t="n">
        <f aca="false">DF48*DV48</f>
        <v>0</v>
      </c>
      <c r="EJ48" s="45" t="e">
        <f aca="false">DF48*DW48</f>
        <v>#NAME?</v>
      </c>
      <c r="EK48" s="45" t="n">
        <f aca="false">DF48*DX48</f>
        <v>0</v>
      </c>
      <c r="EL48" s="45" t="e">
        <f aca="false">DF48*DY48</f>
        <v>#NAME?</v>
      </c>
      <c r="EN48" s="9" t="n">
        <f aca="false">IF($A48&gt;=EP$32,IF($A48&lt;=EP$33,$AN48,0),0)</f>
        <v>0</v>
      </c>
      <c r="EO48" s="123" t="n">
        <f aca="false">$B48+$AF48+$H$12</f>
        <v>4.47571428571429</v>
      </c>
      <c r="EP48" s="123" t="n">
        <f aca="false">$B48+$AG48+$H$13</f>
        <v>4.41071428571429</v>
      </c>
      <c r="EQ48" s="123" t="n">
        <f aca="false">EO48*EN48</f>
        <v>0</v>
      </c>
      <c r="ER48" s="123" t="n">
        <f aca="false">EP48*EN48</f>
        <v>0</v>
      </c>
      <c r="ES48" s="156" t="n">
        <f aca="false">($C48*$AH48)+$H$14</f>
        <v>0.3925</v>
      </c>
      <c r="ET48" s="156" t="n">
        <f aca="false">($C48*$AI48)+$H$15</f>
        <v>0.3925</v>
      </c>
      <c r="EU48" s="131" t="n">
        <f aca="false">$AJ48+$H$16</f>
        <v>0.994071440191916</v>
      </c>
      <c r="EV48" s="157" t="n">
        <f aca="false">IF(EN48=0,0,SPRDOPT(EO48,EP48,$AK48,$AM48,ES48,ET48,EU48,$F48,$H$19,0))</f>
        <v>0</v>
      </c>
      <c r="EW48" s="157" t="e">
        <f aca="false">IF(EO48=0,0,SPRDOPT(EO48,EP48,$AK48,$AM48,ES48,ET48,EU48,$F48,$H$19,1))</f>
        <v>#NAME?</v>
      </c>
      <c r="EX48" s="157" t="e">
        <f aca="false">IF(EP48=0,0,SPRDOPT(EO48,EP48,$AK48,$AM48,ES48,ET48,EU48,$F48,$H$19,2))</f>
        <v>#NAME?</v>
      </c>
      <c r="EY48" s="157" t="n">
        <f aca="false">IF(EQ48=0,0,SPRDOPT(EO48,EP48,$AK48,$AM48,ES48,ET48,EU48,$F48,$H$19,3)/100)</f>
        <v>0</v>
      </c>
      <c r="EZ48" s="157" t="n">
        <f aca="false">IF(ER48=0,0,SPRDOPT(EO48,EP48,$AK48,$AM48,ES48,ET48,EU48,$F48,$H$19,4)/100)</f>
        <v>0</v>
      </c>
      <c r="FA48" s="157" t="e">
        <f aca="false">IF(ES48=0,0,SPRDOPT(EO48,EP48,$AK48,$AM48,ES48,ET48,EU48,$F48,$H$19,5)/100)</f>
        <v>#NAME?</v>
      </c>
      <c r="FB48" s="157" t="e">
        <f aca="false">IF(ET48=0,0,SPRDOPT(EO48,EP48,$AK48,$AM48,ES48,ET48,EU48,$F48,$H$19,6)/100)</f>
        <v>#NAME?</v>
      </c>
      <c r="FC48" s="157" t="e">
        <f aca="false">IF(EU48=0,0,SPRDOPT(EO48,EP48,$AK48,$AM48,ES48,ET48,EU48,$F48,$H$19,7)/100)</f>
        <v>#NAME?</v>
      </c>
      <c r="FD48" s="157" t="n">
        <f aca="false">IF(EV48=0,0,SPRDOPT(EO48,EP48,$AK48,$AM48,ES48,ET48,EU48,$F48,$H$19,9)/365)</f>
        <v>0</v>
      </c>
      <c r="FE48" s="157" t="e">
        <f aca="false">EW48+EX48</f>
        <v>#NAME?</v>
      </c>
      <c r="FF48" s="157" t="n">
        <f aca="false">EZ48-EY48</f>
        <v>0</v>
      </c>
      <c r="FG48" s="157" t="e">
        <f aca="false">((ES48/ET48)*FA48)+FB48</f>
        <v>#NAME?</v>
      </c>
      <c r="FH48" s="44"/>
      <c r="FI48" s="45" t="n">
        <f aca="false">$EN48*EV48</f>
        <v>0</v>
      </c>
      <c r="FJ48" s="45" t="e">
        <f aca="false">$EN48*EW48</f>
        <v>#NAME?</v>
      </c>
      <c r="FK48" s="45" t="e">
        <f aca="false">$EN48*EX48</f>
        <v>#NAME?</v>
      </c>
      <c r="FL48" s="45" t="n">
        <f aca="false">$EN48*EY48</f>
        <v>0</v>
      </c>
      <c r="FM48" s="45" t="n">
        <f aca="false">$EN48*EZ48</f>
        <v>0</v>
      </c>
      <c r="FN48" s="45" t="e">
        <f aca="false">$EN48*FA48</f>
        <v>#NAME?</v>
      </c>
      <c r="FO48" s="45" t="e">
        <f aca="false">$EN48*FB48</f>
        <v>#NAME?</v>
      </c>
      <c r="FP48" s="45" t="e">
        <f aca="false">$EN48*FC48</f>
        <v>#NAME?</v>
      </c>
      <c r="FQ48" s="45" t="n">
        <f aca="false">$EN48*FD48</f>
        <v>0</v>
      </c>
      <c r="FR48" s="45" t="e">
        <f aca="false">$EN48*FE48</f>
        <v>#NAME?</v>
      </c>
      <c r="FS48" s="45" t="n">
        <f aca="false">$EN48*FF48</f>
        <v>0</v>
      </c>
      <c r="FT48" s="45" t="e">
        <f aca="false">$EN48*FG48</f>
        <v>#NAME?</v>
      </c>
    </row>
    <row r="49" customFormat="false" ht="12.75" hidden="false" customHeight="false" outlineLevel="0" collapsed="false">
      <c r="A49" s="48" t="n">
        <f aca="false">DATE(YEAR(A48),MONTH(A48)+1,1)</f>
        <v>37135</v>
      </c>
      <c r="B49" s="40" t="n">
        <f aca="false">VLOOKUP(A49,STRADDLE,5,FALSE())</f>
        <v>4.39071428571429</v>
      </c>
      <c r="C49" s="4" t="n">
        <f aca="false">VLOOKUP(A49,STRADDLE,8,FALSE())</f>
        <v>0.395</v>
      </c>
      <c r="D49" s="40"/>
      <c r="E49" s="131"/>
      <c r="F49" s="136" t="n">
        <f aca="false">VLOOKUP(A49,expiration,2,FALSE())-$B$2</f>
        <v>-8794</v>
      </c>
      <c r="G49" s="4"/>
      <c r="H49" s="4"/>
      <c r="I49" s="41"/>
      <c r="J49" s="154"/>
      <c r="K49" s="40" t="n">
        <f aca="false">IF($B$3="NYMEX",0,VLOOKUP($A49,curvesettle,HLOOKUP($B$3,curvesettle,2,FALSE()),FALSE()))</f>
        <v>-0.35</v>
      </c>
      <c r="L49" s="40" t="n">
        <f aca="false">IF($B$4="NYMEX",0,VLOOKUP($A49,curvesettle,HLOOKUP($B$4,curvesettle,2,FALSE()),FALSE()))</f>
        <v>0</v>
      </c>
      <c r="M49" s="131" t="n">
        <f aca="false">IF(ISNUMBER(VLOOKUP($A49,VOLCURVES,HLOOKUP($B$3,VOLCURVES,2,FALSE()),FALSE())),VLOOKUP($A49,VOLCURVES,HLOOKUP($B$3,VOLCURVES,2,FALSE()),FALSE()),1)</f>
        <v>1.02</v>
      </c>
      <c r="N49" s="131" t="n">
        <f aca="false">IF(ISNUMBER(VLOOKUP($A49,VOLCURVES,HLOOKUP($B$4,VOLCURVES,2,FALSE()),FALSE())),VLOOKUP($A49,VOLCURVES,HLOOKUP($B$4,VOLCURVES,2,FALSE()),FALSE()),1)</f>
        <v>1</v>
      </c>
      <c r="O49" s="131" t="n">
        <f aca="false">IF(ISNUMBER(VLOOKUP($A49,CORETABLE,HLOOKUP($B$3,CORETABLE,2,FALSE()),FALSE())),VLOOKUP($A49,CORETABLE,HLOOKUP($B$3,CORETABLE,2,FALSE()),FALSE()),0.99)</f>
        <v>0.96</v>
      </c>
      <c r="P49" s="155" t="n">
        <f aca="false">B$18</f>
        <v>0.3</v>
      </c>
      <c r="Q49" s="131"/>
      <c r="R49" s="40" t="n">
        <f aca="false">IF($D$3="NYMEX",0,VLOOKUP($A49,curvesettle,HLOOKUP($D$3,curvesettle,2,FALSE()),FALSE()))</f>
        <v>-0.5725</v>
      </c>
      <c r="S49" s="40" t="n">
        <f aca="false">IF($D$4="NYMEX",0,VLOOKUP($A49,curvesettle,HLOOKUP($D$4,curvesettle,2,FALSE()),FALSE()))</f>
        <v>0</v>
      </c>
      <c r="T49" s="131" t="n">
        <f aca="false">IF(ISNUMBER(VLOOKUP($A49,VOLCURVES,HLOOKUP($D$3,VOLCURVES,2,FALSE()),FALSE())),VLOOKUP($A49,VOLCURVES,HLOOKUP($D$3,VOLCURVES,2,FALSE()),FALSE()),1)</f>
        <v>0.97</v>
      </c>
      <c r="U49" s="131" t="n">
        <f aca="false">IF(ISNUMBER(VLOOKUP($A49,VOLCURVES,HLOOKUP($D$4,VOLCURVES,2,FALSE()),FALSE())),VLOOKUP($A49,VOLCURVES,HLOOKUP($D$4,VOLCURVES,2,FALSE()),FALSE()),1)</f>
        <v>1</v>
      </c>
      <c r="V49" s="131" t="n">
        <f aca="false">IF(ISNUMBER(VLOOKUP($A49,CORETABLE,HLOOKUP($D$3,CORETABLE,2,FALSE()),FALSE())),VLOOKUP($A49,CORETABLE,HLOOKUP($D$3,CORETABLE,2,FALSE()),FALSE()),0.99)</f>
        <v>0.96</v>
      </c>
      <c r="W49" s="155" t="n">
        <f aca="false">D$18</f>
        <v>-0.35</v>
      </c>
      <c r="X49" s="131"/>
      <c r="Y49" s="40" t="n">
        <f aca="false">IF($F$3="NYMEX",0,VLOOKUP($A49,curvesettle,HLOOKUP($F$3,curvesettle,2,FALSE()),FALSE()))</f>
        <v>-0.125</v>
      </c>
      <c r="Z49" s="40" t="n">
        <f aca="false">IF($F$4="NYMEX",0,VLOOKUP($A49,curvesettle,HLOOKUP($F$4,curvesettle,2,FALSE()),FALSE()))</f>
        <v>0</v>
      </c>
      <c r="AA49" s="131" t="n">
        <f aca="false">IF(ISNUMBER(VLOOKUP($A49,VOLCURVES,HLOOKUP($F$3,VOLCURVES,2,FALSE()),FALSE())),VLOOKUP($A49,VOLCURVES,HLOOKUP($F$3,VOLCURVES,2,FALSE()),FALSE()),1)</f>
        <v>1</v>
      </c>
      <c r="AB49" s="131" t="n">
        <f aca="false">IF(ISNUMBER(VLOOKUP($A49,VOLCURVES,HLOOKUP($F$4,VOLCURVES,2,FALSE()),FALSE())),VLOOKUP($A49,VOLCURVES,HLOOKUP($F$4,VOLCURVES,2,FALSE()),FALSE()),1)</f>
        <v>1</v>
      </c>
      <c r="AC49" s="131" t="n">
        <f aca="false">IF(ISNUMBER(VLOOKUP($A49,CORETABLE,HLOOKUP($F$3,CORETABLE,2,FALSE()),FALSE())),VLOOKUP($A49,CORETABLE,HLOOKUP($F$3,CORETABLE,2,FALSE()),FALSE()),1)</f>
        <v>0.995</v>
      </c>
      <c r="AD49" s="155" t="n">
        <f aca="false">F$18</f>
        <v>-0.2</v>
      </c>
      <c r="AE49" s="131"/>
      <c r="AF49" s="40" t="n">
        <f aca="false">IF($H$3="NYMEX",0,VLOOKUP($A49,curvesettle,HLOOKUP($H$3,curvesettle,2,FALSE()),FALSE()))</f>
        <v>0.06</v>
      </c>
      <c r="AG49" s="40" t="n">
        <f aca="false">IF($H$4="NYMEX",0,VLOOKUP($A49,curvesettle,HLOOKUP($H$4,curvesettle,2,FALSE()),FALSE()))</f>
        <v>0</v>
      </c>
      <c r="AH49" s="131" t="n">
        <f aca="false">IF(ISNUMBER(VLOOKUP($A49,VOLCURVES,HLOOKUP($H$3,VOLCURVES,2,FALSE()),FALSE())),VLOOKUP($A49,VOLCURVES,HLOOKUP($H$3,VOLCURVES,2,FALSE()),FALSE()),1)</f>
        <v>1</v>
      </c>
      <c r="AI49" s="131" t="n">
        <f aca="false">IF(ISNUMBER(VLOOKUP($A49,VOLCURVES,HLOOKUP($H$4,VOLCURVES,2,FALSE()),FALSE())),VLOOKUP($A49,VOLCURVES,HLOOKUP($H$4,VOLCURVES,2,FALSE()),FALSE()),1)</f>
        <v>1</v>
      </c>
      <c r="AJ49" s="131" t="n">
        <f aca="false">IF(ISNUMBER(VLOOKUP($A49,CORETABLE,HLOOKUP($H$3,CORETABLE,2,FALSE()),FALSE())),VLOOKUP($A49,CORETABLE,HLOOKUP($H$3,CORETABLE,2,FALSE()),FALSE()),1)</f>
        <v>0.994071440191916</v>
      </c>
      <c r="AK49" s="155" t="n">
        <f aca="false">H$18</f>
        <v>0.2</v>
      </c>
      <c r="AM49" s="4" t="n">
        <f aca="false">VLOOKUP($A49,STRADDLE,12,FALSE())</f>
        <v>0.067594533151252</v>
      </c>
      <c r="AN49" s="43" t="n">
        <f aca="false">A50-A49</f>
        <v>30</v>
      </c>
      <c r="AP49" s="9" t="n">
        <f aca="false">IF($A49&gt;=AR$32,IF($A49&lt;=AR$33,$AN49,0),0)</f>
        <v>0</v>
      </c>
      <c r="AQ49" s="123" t="n">
        <f aca="false">$B49+$K49+$B$12</f>
        <v>4.00821428571429</v>
      </c>
      <c r="AR49" s="123" t="n">
        <f aca="false">$B49+$L49+$B$13</f>
        <v>4.39071428571429</v>
      </c>
      <c r="AS49" s="123" t="n">
        <f aca="false">AQ49*AP49</f>
        <v>0</v>
      </c>
      <c r="AT49" s="123" t="n">
        <f aca="false">AR49*AP49</f>
        <v>0</v>
      </c>
      <c r="AU49" s="156" t="n">
        <f aca="false">($C49*$M49)+$B$14</f>
        <v>0.4029</v>
      </c>
      <c r="AV49" s="156" t="n">
        <f aca="false">($C49*$N49)+$B$15</f>
        <v>0.395</v>
      </c>
      <c r="AW49" s="131" t="n">
        <f aca="false">O49+B$16</f>
        <v>0.96</v>
      </c>
      <c r="AX49" s="157" t="n">
        <f aca="false">IF(AP49=0,0,SPRDOPT(AQ49,AR49,$P49,$AM49,AU49,AV49,AW49,$F49,$B$19,0))</f>
        <v>0</v>
      </c>
      <c r="AY49" s="157" t="e">
        <f aca="false">IF(AQ49=0,0,SPRDOPT(AQ49,AR49,$P49,$AM49,AU49,AV49,AW49,$F49,$B$19,1))</f>
        <v>#NAME?</v>
      </c>
      <c r="AZ49" s="157" t="e">
        <f aca="false">IF(AR49=0,0,SPRDOPT(AQ49,AR49,$P49,$AM49,AU49,AV49,AW49,$F49,$B$19,2))</f>
        <v>#NAME?</v>
      </c>
      <c r="BA49" s="157" t="n">
        <f aca="false">IF(AS49=0,0,SPRDOPT(AQ49,AR49,$P49,$AM49,AU49,AV49,AW49,$F49,$B$19,3)/100)</f>
        <v>0</v>
      </c>
      <c r="BB49" s="157" t="n">
        <f aca="false">IF(AT49=0,0,SPRDOPT(AQ49,AR49,$P49,$AM49,AU49,AV49,AW49,$F49,$B$19,4)/100)</f>
        <v>0</v>
      </c>
      <c r="BC49" s="157" t="e">
        <f aca="false">IF(AU49=0,0,SPRDOPT(AQ49,AR49,$P49,$AM49,AU49,AV49,AW49,$F49,$B$19,5)/100)</f>
        <v>#NAME?</v>
      </c>
      <c r="BD49" s="157" t="e">
        <f aca="false">IF(AV49=0,0,SPRDOPT(AQ49,AR49,$P49,$AM49,AU49,AV49,AW49,$F49,$B$19,6)/100)</f>
        <v>#NAME?</v>
      </c>
      <c r="BE49" s="157" t="e">
        <f aca="false">IF(AW49=0,0,SPRDOPT(AQ49,AR49,$P49,$AM49,AU49,AV49,AW49,$F49,$B$19,7)/100)</f>
        <v>#NAME?</v>
      </c>
      <c r="BF49" s="157" t="n">
        <f aca="false">IF(AX49=0,0,SPRDOPT(AQ49,AR49,$P49,$AM49,AU49,AV49,AW49,$F49,$B$19,9)/365)</f>
        <v>0</v>
      </c>
      <c r="BG49" s="157" t="e">
        <f aca="false">AY49+AZ49</f>
        <v>#NAME?</v>
      </c>
      <c r="BH49" s="157" t="n">
        <f aca="false">BB49-BA49</f>
        <v>0</v>
      </c>
      <c r="BI49" s="157" t="e">
        <f aca="false">((AU49/AV49)*BC49)+BD49</f>
        <v>#NAME?</v>
      </c>
      <c r="BJ49" s="44"/>
      <c r="BK49" s="45" t="n">
        <f aca="false">$AP49*AX49</f>
        <v>0</v>
      </c>
      <c r="BL49" s="45" t="e">
        <f aca="false">$AP49*AY49</f>
        <v>#NAME?</v>
      </c>
      <c r="BM49" s="45" t="e">
        <f aca="false">$AP49*AZ49</f>
        <v>#NAME?</v>
      </c>
      <c r="BN49" s="45" t="n">
        <f aca="false">$AP49*BA49</f>
        <v>0</v>
      </c>
      <c r="BO49" s="45" t="n">
        <f aca="false">$AP49*BB49</f>
        <v>0</v>
      </c>
      <c r="BP49" s="45" t="e">
        <f aca="false">$AP49*BC49</f>
        <v>#NAME?</v>
      </c>
      <c r="BQ49" s="45" t="e">
        <f aca="false">$AP49*BD49</f>
        <v>#NAME?</v>
      </c>
      <c r="BR49" s="45" t="e">
        <f aca="false">$AP49*BE49</f>
        <v>#NAME?</v>
      </c>
      <c r="BS49" s="45" t="n">
        <f aca="false">$AP49*BF49</f>
        <v>0</v>
      </c>
      <c r="BT49" s="45" t="e">
        <f aca="false">$AP49*BG49</f>
        <v>#NAME?</v>
      </c>
      <c r="BU49" s="45" t="n">
        <f aca="false">$AP49*BH49</f>
        <v>0</v>
      </c>
      <c r="BV49" s="45" t="e">
        <f aca="false">$AP49*BI49</f>
        <v>#NAME?</v>
      </c>
      <c r="BX49" s="9" t="n">
        <f aca="false">IF($A49&gt;=BZ$32,IF($A49&lt;=BZ$33,$AN49,0),0)</f>
        <v>0</v>
      </c>
      <c r="BY49" s="123" t="n">
        <f aca="false">$B49+$R49+$D$12</f>
        <v>3.78571428571429</v>
      </c>
      <c r="BZ49" s="123" t="n">
        <f aca="false">$B49+$S49+$D$13</f>
        <v>4.39071428571429</v>
      </c>
      <c r="CA49" s="123" t="n">
        <f aca="false">BY49*BX49</f>
        <v>0</v>
      </c>
      <c r="CB49" s="123" t="n">
        <f aca="false">BZ49*BX49</f>
        <v>0</v>
      </c>
      <c r="CC49" s="156" t="n">
        <f aca="false">($C49*$T49)+$D$14</f>
        <v>0.38315</v>
      </c>
      <c r="CD49" s="156" t="n">
        <f aca="false">($C49*$U49)+$D$15</f>
        <v>0.395</v>
      </c>
      <c r="CE49" s="131" t="n">
        <f aca="false">$V49+D$16</f>
        <v>0.96</v>
      </c>
      <c r="CF49" s="157" t="n">
        <f aca="false">IF(BX49=0,0,SPRDOPT(BY49,BZ49,$W49,$AM49,CC49,CD49,CE49,$F49,$D$19,0))</f>
        <v>0</v>
      </c>
      <c r="CG49" s="157" t="e">
        <f aca="false">IF(BY49=0,0,SPRDOPT(BY49,BZ49,$W49,$AM49,CC49,CD49,CE49,$F49,$D$19,1))</f>
        <v>#NAME?</v>
      </c>
      <c r="CH49" s="157" t="e">
        <f aca="false">IF(BZ49=0,0,SPRDOPT(BY49,BZ49,$W49,$AM49,CC49,CD49,CE49,$F49,$D$19,2))</f>
        <v>#NAME?</v>
      </c>
      <c r="CI49" s="157" t="n">
        <f aca="false">IF(CA49=0,0,SPRDOPT(BY49,BZ49,$W49,$AM49,CC49,CD49,CE49,$F49,$D$19,3)/100)</f>
        <v>0</v>
      </c>
      <c r="CJ49" s="157" t="n">
        <f aca="false">IF(CB49=0,0,SPRDOPT(BY49,BZ49,$W49,$AM49,CC49,CD49,CE49,$F49,$D$19,4)/100)</f>
        <v>0</v>
      </c>
      <c r="CK49" s="157" t="e">
        <f aca="false">IF(CC49=0,0,SPRDOPT(BY49,BZ49,$W49,$AM49,CC49,CD49,CE49,$F49,$D$19,5)/100)</f>
        <v>#NAME?</v>
      </c>
      <c r="CL49" s="157" t="e">
        <f aca="false">IF(CD49=0,0,SPRDOPT(BY49,BZ49,$W49,$AM49,CC49,CD49,CE49,$F49,$D$19,6)/100)</f>
        <v>#NAME?</v>
      </c>
      <c r="CM49" s="157" t="e">
        <f aca="false">IF(CE49=0,0,SPRDOPT(BY49,BZ49,$W49,$AM49,CC49,CD49,CE49,$F49,$D$19,7)/100)</f>
        <v>#NAME?</v>
      </c>
      <c r="CN49" s="157" t="n">
        <f aca="false">IF(CF49=0,0,SPRDOPT(BY49,BZ49,$W49,$AM49,CC49,CD49,CE49,$F49,$D$19,9)/365)</f>
        <v>0</v>
      </c>
      <c r="CO49" s="157" t="e">
        <f aca="false">CG49+CH49</f>
        <v>#NAME?</v>
      </c>
      <c r="CP49" s="157" t="n">
        <f aca="false">CJ49-CI49</f>
        <v>0</v>
      </c>
      <c r="CQ49" s="157" t="e">
        <f aca="false">((CC49/CD49)*CK49)+CL49</f>
        <v>#NAME?</v>
      </c>
      <c r="CR49" s="44"/>
      <c r="CS49" s="45" t="n">
        <f aca="false">BX49*CF49</f>
        <v>0</v>
      </c>
      <c r="CT49" s="45" t="e">
        <f aca="false">BX49*CG49</f>
        <v>#NAME?</v>
      </c>
      <c r="CU49" s="45" t="e">
        <f aca="false">BX49*CH49</f>
        <v>#NAME?</v>
      </c>
      <c r="CV49" s="45" t="n">
        <f aca="false">BX49*CI49</f>
        <v>0</v>
      </c>
      <c r="CW49" s="45" t="n">
        <f aca="false">BX49*CJ49</f>
        <v>0</v>
      </c>
      <c r="CX49" s="45" t="e">
        <f aca="false">BX49*CK49</f>
        <v>#NAME?</v>
      </c>
      <c r="CY49" s="45" t="e">
        <f aca="false">BX49*CL49</f>
        <v>#NAME?</v>
      </c>
      <c r="CZ49" s="45" t="e">
        <f aca="false">BX49*CM49</f>
        <v>#NAME?</v>
      </c>
      <c r="DA49" s="45" t="n">
        <f aca="false">BX49*CN49</f>
        <v>0</v>
      </c>
      <c r="DB49" s="45" t="e">
        <f aca="false">BX49*CO49</f>
        <v>#NAME?</v>
      </c>
      <c r="DC49" s="45" t="n">
        <f aca="false">BX49*CP49</f>
        <v>0</v>
      </c>
      <c r="DD49" s="45" t="e">
        <f aca="false">BX49*CQ49</f>
        <v>#NAME?</v>
      </c>
      <c r="DF49" s="9" t="n">
        <f aca="false">IF($A49&gt;=DH$32,IF($A49&lt;=DH$33,$AN49,0),0)</f>
        <v>0</v>
      </c>
      <c r="DG49" s="123" t="n">
        <f aca="false">$B49+$Y49+$F$12</f>
        <v>4.26571428571429</v>
      </c>
      <c r="DH49" s="123" t="n">
        <f aca="false">$B49+$Z49+$F$13</f>
        <v>4.39071428571429</v>
      </c>
      <c r="DI49" s="123" t="n">
        <f aca="false">DG49*DF49</f>
        <v>0</v>
      </c>
      <c r="DJ49" s="123" t="n">
        <f aca="false">DH49*DF49</f>
        <v>0</v>
      </c>
      <c r="DK49" s="156" t="n">
        <f aca="false">($C49*$AA49)+$F$14</f>
        <v>0.395</v>
      </c>
      <c r="DL49" s="156" t="n">
        <f aca="false">($C49*$AB49)+$F$15</f>
        <v>0.395</v>
      </c>
      <c r="DM49" s="131" t="n">
        <f aca="false">$AC49+$F$16</f>
        <v>0.995</v>
      </c>
      <c r="DN49" s="157" t="n">
        <f aca="false">IF(DF49=0,0,SPRDOPT(DG49,DH49,$AD49,$AM49,DK49,DL49,DM49,$F49,$F$19,0))</f>
        <v>0</v>
      </c>
      <c r="DO49" s="157" t="e">
        <f aca="false">IF(DG49=0,0,SPRDOPT(DG49,DH49,$AD49,$AM49,DK49,DL49,DM49,$F49,$F$19,1))</f>
        <v>#NAME?</v>
      </c>
      <c r="DP49" s="157" t="e">
        <f aca="false">IF(DH49=0,0,SPRDOPT(DG49,DH49,$AD49,$AM49,DK49,DL49,DM49,$F49,$F$19,2))</f>
        <v>#NAME?</v>
      </c>
      <c r="DQ49" s="157" t="n">
        <f aca="false">IF(DI49=0,0,SPRDOPT(DG49,DH49,$AD49,$AM49,DK49,DL49,DM49,$F49,$F$19,3)/100)</f>
        <v>0</v>
      </c>
      <c r="DR49" s="157" t="n">
        <f aca="false">IF(DJ49=0,0,SPRDOPT(DG49,DH49,$AD49,$AM49,DK49,DL49,DM49,$F49,$F$19,4)/100)</f>
        <v>0</v>
      </c>
      <c r="DS49" s="157" t="e">
        <f aca="false">IF(DK49=0,0,SPRDOPT(DG49,DH49,$AD49,$AM49,DK49,DL49,DM49,$F49,$F$19,5)/100)</f>
        <v>#NAME?</v>
      </c>
      <c r="DT49" s="157" t="e">
        <f aca="false">IF(DL49=0,0,SPRDOPT(DG49,DH49,$AD49,$AM49,DK49,DL49,DM49,$F49,$F$19,6)/100)</f>
        <v>#NAME?</v>
      </c>
      <c r="DU49" s="157" t="e">
        <f aca="false">IF(DM49=0,0,SPRDOPT(DG49,DH49,$AD49,$AM49,DK49,DL49,DM49,$F49,$F$19,7)/100)</f>
        <v>#NAME?</v>
      </c>
      <c r="DV49" s="157" t="n">
        <f aca="false">IF(DN49=0,0,SPRDOPT(DG49,DH49,$AD49,$AM49,DK49,DL49,DM49,$F49,$F$19,9)/365)</f>
        <v>0</v>
      </c>
      <c r="DW49" s="157" t="e">
        <f aca="false">DO49+DP49</f>
        <v>#NAME?</v>
      </c>
      <c r="DX49" s="157" t="n">
        <f aca="false">DR49-DQ49</f>
        <v>0</v>
      </c>
      <c r="DY49" s="157" t="e">
        <f aca="false">((DK49/DL49)*DS49)+DT49</f>
        <v>#NAME?</v>
      </c>
      <c r="DZ49" s="44"/>
      <c r="EA49" s="45" t="n">
        <f aca="false">DF49*DN49</f>
        <v>0</v>
      </c>
      <c r="EB49" s="45" t="e">
        <f aca="false">DF49*DO49</f>
        <v>#NAME?</v>
      </c>
      <c r="EC49" s="45" t="e">
        <f aca="false">DF49*DP49</f>
        <v>#NAME?</v>
      </c>
      <c r="ED49" s="45" t="n">
        <f aca="false">DF49*DQ49</f>
        <v>0</v>
      </c>
      <c r="EE49" s="45" t="n">
        <f aca="false">DF49*DR49</f>
        <v>0</v>
      </c>
      <c r="EF49" s="45" t="e">
        <f aca="false">DF49*DS49</f>
        <v>#NAME?</v>
      </c>
      <c r="EG49" s="45" t="e">
        <f aca="false">DF49*DT49</f>
        <v>#NAME?</v>
      </c>
      <c r="EH49" s="45" t="e">
        <f aca="false">DF49*DU49</f>
        <v>#NAME?</v>
      </c>
      <c r="EI49" s="45" t="n">
        <f aca="false">DF49*DV49</f>
        <v>0</v>
      </c>
      <c r="EJ49" s="45" t="e">
        <f aca="false">DF49*DW49</f>
        <v>#NAME?</v>
      </c>
      <c r="EK49" s="45" t="n">
        <f aca="false">DF49*DX49</f>
        <v>0</v>
      </c>
      <c r="EL49" s="45" t="e">
        <f aca="false">DF49*DY49</f>
        <v>#NAME?</v>
      </c>
      <c r="EN49" s="9" t="n">
        <f aca="false">IF($A49&gt;=EP$32,IF($A49&lt;=EP$33,$AN49,0),0)</f>
        <v>0</v>
      </c>
      <c r="EO49" s="123" t="n">
        <f aca="false">$B49+$AF49+$H$12</f>
        <v>4.45571428571429</v>
      </c>
      <c r="EP49" s="123" t="n">
        <f aca="false">$B49+$AG49+$H$13</f>
        <v>4.39071428571429</v>
      </c>
      <c r="EQ49" s="123" t="n">
        <f aca="false">EO49*EN49</f>
        <v>0</v>
      </c>
      <c r="ER49" s="123" t="n">
        <f aca="false">EP49*EN49</f>
        <v>0</v>
      </c>
      <c r="ES49" s="156" t="n">
        <f aca="false">($C49*$AH49)+$H$14</f>
        <v>0.395</v>
      </c>
      <c r="ET49" s="156" t="n">
        <f aca="false">($C49*$AI49)+$H$15</f>
        <v>0.395</v>
      </c>
      <c r="EU49" s="131" t="n">
        <f aca="false">$AJ49+$H$16</f>
        <v>0.994071440191916</v>
      </c>
      <c r="EV49" s="157" t="n">
        <f aca="false">IF(EN49=0,0,SPRDOPT(EO49,EP49,$AK49,$AM49,ES49,ET49,EU49,$F49,$H$19,0))</f>
        <v>0</v>
      </c>
      <c r="EW49" s="157" t="e">
        <f aca="false">IF(EO49=0,0,SPRDOPT(EO49,EP49,$AK49,$AM49,ES49,ET49,EU49,$F49,$H$19,1))</f>
        <v>#NAME?</v>
      </c>
      <c r="EX49" s="157" t="e">
        <f aca="false">IF(EP49=0,0,SPRDOPT(EO49,EP49,$AK49,$AM49,ES49,ET49,EU49,$F49,$H$19,2))</f>
        <v>#NAME?</v>
      </c>
      <c r="EY49" s="157" t="n">
        <f aca="false">IF(EQ49=0,0,SPRDOPT(EO49,EP49,$AK49,$AM49,ES49,ET49,EU49,$F49,$H$19,3)/100)</f>
        <v>0</v>
      </c>
      <c r="EZ49" s="157" t="n">
        <f aca="false">IF(ER49=0,0,SPRDOPT(EO49,EP49,$AK49,$AM49,ES49,ET49,EU49,$F49,$H$19,4)/100)</f>
        <v>0</v>
      </c>
      <c r="FA49" s="157" t="e">
        <f aca="false">IF(ES49=0,0,SPRDOPT(EO49,EP49,$AK49,$AM49,ES49,ET49,EU49,$F49,$H$19,5)/100)</f>
        <v>#NAME?</v>
      </c>
      <c r="FB49" s="157" t="e">
        <f aca="false">IF(ET49=0,0,SPRDOPT(EO49,EP49,$AK49,$AM49,ES49,ET49,EU49,$F49,$H$19,6)/100)</f>
        <v>#NAME?</v>
      </c>
      <c r="FC49" s="157" t="e">
        <f aca="false">IF(EU49=0,0,SPRDOPT(EO49,EP49,$AK49,$AM49,ES49,ET49,EU49,$F49,$H$19,7)/100)</f>
        <v>#NAME?</v>
      </c>
      <c r="FD49" s="157" t="n">
        <f aca="false">IF(EV49=0,0,SPRDOPT(EO49,EP49,$AK49,$AM49,ES49,ET49,EU49,$F49,$H$19,9)/365)</f>
        <v>0</v>
      </c>
      <c r="FE49" s="157" t="e">
        <f aca="false">EW49+EX49</f>
        <v>#NAME?</v>
      </c>
      <c r="FF49" s="157" t="n">
        <f aca="false">EZ49-EY49</f>
        <v>0</v>
      </c>
      <c r="FG49" s="157" t="e">
        <f aca="false">((ES49/ET49)*FA49)+FB49</f>
        <v>#NAME?</v>
      </c>
      <c r="FH49" s="44"/>
      <c r="FI49" s="45" t="n">
        <f aca="false">$EN49*EV49</f>
        <v>0</v>
      </c>
      <c r="FJ49" s="45" t="e">
        <f aca="false">$EN49*EW49</f>
        <v>#NAME?</v>
      </c>
      <c r="FK49" s="45" t="e">
        <f aca="false">$EN49*EX49</f>
        <v>#NAME?</v>
      </c>
      <c r="FL49" s="45" t="n">
        <f aca="false">$EN49*EY49</f>
        <v>0</v>
      </c>
      <c r="FM49" s="45" t="n">
        <f aca="false">$EN49*EZ49</f>
        <v>0</v>
      </c>
      <c r="FN49" s="45" t="e">
        <f aca="false">$EN49*FA49</f>
        <v>#NAME?</v>
      </c>
      <c r="FO49" s="45" t="e">
        <f aca="false">$EN49*FB49</f>
        <v>#NAME?</v>
      </c>
      <c r="FP49" s="45" t="e">
        <f aca="false">$EN49*FC49</f>
        <v>#NAME?</v>
      </c>
      <c r="FQ49" s="45" t="n">
        <f aca="false">$EN49*FD49</f>
        <v>0</v>
      </c>
      <c r="FR49" s="45" t="e">
        <f aca="false">$EN49*FE49</f>
        <v>#NAME?</v>
      </c>
      <c r="FS49" s="45" t="n">
        <f aca="false">$EN49*FF49</f>
        <v>0</v>
      </c>
      <c r="FT49" s="45" t="e">
        <f aca="false">$EN49*FG49</f>
        <v>#NAME?</v>
      </c>
    </row>
    <row r="50" customFormat="false" ht="12.75" hidden="false" customHeight="false" outlineLevel="0" collapsed="false">
      <c r="A50" s="48" t="n">
        <f aca="false">DATE(YEAR(A49),MONTH(A49)+1,1)</f>
        <v>37165</v>
      </c>
      <c r="B50" s="40" t="n">
        <f aca="false">VLOOKUP(A50,STRADDLE,5,FALSE())</f>
        <v>4.38071428571429</v>
      </c>
      <c r="C50" s="4" t="n">
        <f aca="false">VLOOKUP(A50,STRADDLE,8,FALSE())</f>
        <v>0.4025</v>
      </c>
      <c r="D50" s="40"/>
      <c r="E50" s="131"/>
      <c r="F50" s="136" t="n">
        <f aca="false">VLOOKUP(A50,expiration,2,FALSE())-$B$2</f>
        <v>-8766</v>
      </c>
      <c r="G50" s="4"/>
      <c r="H50" s="4"/>
      <c r="I50" s="41"/>
      <c r="J50" s="154"/>
      <c r="K50" s="40" t="n">
        <f aca="false">IF($B$3="NYMEX",0,VLOOKUP($A50,curvesettle,HLOOKUP($B$3,curvesettle,2,FALSE()),FALSE()))</f>
        <v>-0.35</v>
      </c>
      <c r="L50" s="40" t="n">
        <f aca="false">IF($B$4="NYMEX",0,VLOOKUP($A50,curvesettle,HLOOKUP($B$4,curvesettle,2,FALSE()),FALSE()))</f>
        <v>0</v>
      </c>
      <c r="M50" s="131" t="n">
        <f aca="false">IF(ISNUMBER(VLOOKUP($A50,VOLCURVES,HLOOKUP($B$3,VOLCURVES,2,FALSE()),FALSE())),VLOOKUP($A50,VOLCURVES,HLOOKUP($B$3,VOLCURVES,2,FALSE()),FALSE()),1)</f>
        <v>1.02</v>
      </c>
      <c r="N50" s="131" t="n">
        <f aca="false">IF(ISNUMBER(VLOOKUP($A50,VOLCURVES,HLOOKUP($B$4,VOLCURVES,2,FALSE()),FALSE())),VLOOKUP($A50,VOLCURVES,HLOOKUP($B$4,VOLCURVES,2,FALSE()),FALSE()),1)</f>
        <v>1</v>
      </c>
      <c r="O50" s="131" t="n">
        <f aca="false">IF(ISNUMBER(VLOOKUP($A50,CORETABLE,HLOOKUP($B$3,CORETABLE,2,FALSE()),FALSE())),VLOOKUP($A50,CORETABLE,HLOOKUP($B$3,CORETABLE,2,FALSE()),FALSE()),0.99)</f>
        <v>0.96</v>
      </c>
      <c r="P50" s="155" t="n">
        <f aca="false">B$18</f>
        <v>0.3</v>
      </c>
      <c r="Q50" s="131"/>
      <c r="R50" s="40" t="n">
        <f aca="false">IF($D$3="NYMEX",0,VLOOKUP($A50,curvesettle,HLOOKUP($D$3,curvesettle,2,FALSE()),FALSE()))</f>
        <v>-0.5725</v>
      </c>
      <c r="S50" s="40" t="n">
        <f aca="false">IF($D$4="NYMEX",0,VLOOKUP($A50,curvesettle,HLOOKUP($D$4,curvesettle,2,FALSE()),FALSE()))</f>
        <v>0</v>
      </c>
      <c r="T50" s="131" t="n">
        <f aca="false">IF(ISNUMBER(VLOOKUP($A50,VOLCURVES,HLOOKUP($D$3,VOLCURVES,2,FALSE()),FALSE())),VLOOKUP($A50,VOLCURVES,HLOOKUP($D$3,VOLCURVES,2,FALSE()),FALSE()),1)</f>
        <v>0.97</v>
      </c>
      <c r="U50" s="131" t="n">
        <f aca="false">IF(ISNUMBER(VLOOKUP($A50,VOLCURVES,HLOOKUP($D$4,VOLCURVES,2,FALSE()),FALSE())),VLOOKUP($A50,VOLCURVES,HLOOKUP($D$4,VOLCURVES,2,FALSE()),FALSE()),1)</f>
        <v>1</v>
      </c>
      <c r="V50" s="131" t="n">
        <f aca="false">IF(ISNUMBER(VLOOKUP($A50,CORETABLE,HLOOKUP($D$3,CORETABLE,2,FALSE()),FALSE())),VLOOKUP($A50,CORETABLE,HLOOKUP($D$3,CORETABLE,2,FALSE()),FALSE()),0.99)</f>
        <v>0.96</v>
      </c>
      <c r="W50" s="155" t="n">
        <f aca="false">D$18</f>
        <v>-0.35</v>
      </c>
      <c r="X50" s="131"/>
      <c r="Y50" s="40" t="n">
        <f aca="false">IF($F$3="NYMEX",0,VLOOKUP($A50,curvesettle,HLOOKUP($F$3,curvesettle,2,FALSE()),FALSE()))</f>
        <v>-0.12</v>
      </c>
      <c r="Z50" s="40" t="n">
        <f aca="false">IF($F$4="NYMEX",0,VLOOKUP($A50,curvesettle,HLOOKUP($F$4,curvesettle,2,FALSE()),FALSE()))</f>
        <v>0</v>
      </c>
      <c r="AA50" s="131" t="n">
        <f aca="false">IF(ISNUMBER(VLOOKUP($A50,VOLCURVES,HLOOKUP($F$3,VOLCURVES,2,FALSE()),FALSE())),VLOOKUP($A50,VOLCURVES,HLOOKUP($F$3,VOLCURVES,2,FALSE()),FALSE()),1)</f>
        <v>1</v>
      </c>
      <c r="AB50" s="131" t="n">
        <f aca="false">IF(ISNUMBER(VLOOKUP($A50,VOLCURVES,HLOOKUP($F$4,VOLCURVES,2,FALSE()),FALSE())),VLOOKUP($A50,VOLCURVES,HLOOKUP($F$4,VOLCURVES,2,FALSE()),FALSE()),1)</f>
        <v>1</v>
      </c>
      <c r="AC50" s="131" t="n">
        <f aca="false">IF(ISNUMBER(VLOOKUP($A50,CORETABLE,HLOOKUP($F$3,CORETABLE,2,FALSE()),FALSE())),VLOOKUP($A50,CORETABLE,HLOOKUP($F$3,CORETABLE,2,FALSE()),FALSE()),1)</f>
        <v>0.995</v>
      </c>
      <c r="AD50" s="155" t="n">
        <f aca="false">F$18</f>
        <v>-0.2</v>
      </c>
      <c r="AE50" s="131"/>
      <c r="AF50" s="40" t="n">
        <f aca="false">IF($H$3="NYMEX",0,VLOOKUP($A50,curvesettle,HLOOKUP($H$3,curvesettle,2,FALSE()),FALSE()))</f>
        <v>0.08</v>
      </c>
      <c r="AG50" s="40" t="n">
        <f aca="false">IF($H$4="NYMEX",0,VLOOKUP($A50,curvesettle,HLOOKUP($H$4,curvesettle,2,FALSE()),FALSE()))</f>
        <v>0</v>
      </c>
      <c r="AH50" s="131" t="n">
        <f aca="false">IF(ISNUMBER(VLOOKUP($A50,VOLCURVES,HLOOKUP($H$3,VOLCURVES,2,FALSE()),FALSE())),VLOOKUP($A50,VOLCURVES,HLOOKUP($H$3,VOLCURVES,2,FALSE()),FALSE()),1)</f>
        <v>1</v>
      </c>
      <c r="AI50" s="131" t="n">
        <f aca="false">IF(ISNUMBER(VLOOKUP($A50,VOLCURVES,HLOOKUP($H$4,VOLCURVES,2,FALSE()),FALSE())),VLOOKUP($A50,VOLCURVES,HLOOKUP($H$4,VOLCURVES,2,FALSE()),FALSE()),1)</f>
        <v>1</v>
      </c>
      <c r="AJ50" s="131" t="n">
        <f aca="false">IF(ISNUMBER(VLOOKUP($A50,CORETABLE,HLOOKUP($H$3,CORETABLE,2,FALSE()),FALSE())),VLOOKUP($A50,CORETABLE,HLOOKUP($H$3,CORETABLE,2,FALSE()),FALSE()),1)</f>
        <v>0.994071440191916</v>
      </c>
      <c r="AK50" s="155" t="n">
        <f aca="false">H$18</f>
        <v>0.2</v>
      </c>
      <c r="AM50" s="4" t="n">
        <f aca="false">VLOOKUP($A50,STRADDLE,12,FALSE())</f>
        <v>0.067509261584356</v>
      </c>
      <c r="AN50" s="43" t="n">
        <f aca="false">A51-A50</f>
        <v>31</v>
      </c>
      <c r="AP50" s="9" t="n">
        <f aca="false">IF($A50&gt;=AR$32,IF($A50&lt;=AR$33,$AN50,0),0)</f>
        <v>0</v>
      </c>
      <c r="AQ50" s="123" t="n">
        <f aca="false">$B50+$K50+$B$12</f>
        <v>3.99821428571429</v>
      </c>
      <c r="AR50" s="123" t="n">
        <f aca="false">$B50+$L50+$B$13</f>
        <v>4.38071428571429</v>
      </c>
      <c r="AS50" s="123" t="n">
        <f aca="false">AQ50*AP50</f>
        <v>0</v>
      </c>
      <c r="AT50" s="123" t="n">
        <f aca="false">AR50*AP50</f>
        <v>0</v>
      </c>
      <c r="AU50" s="156" t="n">
        <f aca="false">($C50*$M50)+$B$14</f>
        <v>0.41055</v>
      </c>
      <c r="AV50" s="156" t="n">
        <f aca="false">($C50*$N50)+$B$15</f>
        <v>0.4025</v>
      </c>
      <c r="AW50" s="131" t="n">
        <f aca="false">O50+B$16</f>
        <v>0.96</v>
      </c>
      <c r="AX50" s="157" t="n">
        <f aca="false">IF(AP50=0,0,SPRDOPT(AQ50,AR50,$P50,$AM50,AU50,AV50,AW50,$F50,$B$19,0))</f>
        <v>0</v>
      </c>
      <c r="AY50" s="157" t="e">
        <f aca="false">IF(AQ50=0,0,SPRDOPT(AQ50,AR50,$P50,$AM50,AU50,AV50,AW50,$F50,$B$19,1))</f>
        <v>#NAME?</v>
      </c>
      <c r="AZ50" s="157" t="e">
        <f aca="false">IF(AR50=0,0,SPRDOPT(AQ50,AR50,$P50,$AM50,AU50,AV50,AW50,$F50,$B$19,2))</f>
        <v>#NAME?</v>
      </c>
      <c r="BA50" s="157" t="n">
        <f aca="false">IF(AS50=0,0,SPRDOPT(AQ50,AR50,$P50,$AM50,AU50,AV50,AW50,$F50,$B$19,3)/100)</f>
        <v>0</v>
      </c>
      <c r="BB50" s="157" t="n">
        <f aca="false">IF(AT50=0,0,SPRDOPT(AQ50,AR50,$P50,$AM50,AU50,AV50,AW50,$F50,$B$19,4)/100)</f>
        <v>0</v>
      </c>
      <c r="BC50" s="157" t="e">
        <f aca="false">IF(AU50=0,0,SPRDOPT(AQ50,AR50,$P50,$AM50,AU50,AV50,AW50,$F50,$B$19,5)/100)</f>
        <v>#NAME?</v>
      </c>
      <c r="BD50" s="157" t="e">
        <f aca="false">IF(AV50=0,0,SPRDOPT(AQ50,AR50,$P50,$AM50,AU50,AV50,AW50,$F50,$B$19,6)/100)</f>
        <v>#NAME?</v>
      </c>
      <c r="BE50" s="157" t="e">
        <f aca="false">IF(AW50=0,0,SPRDOPT(AQ50,AR50,$P50,$AM50,AU50,AV50,AW50,$F50,$B$19,7)/100)</f>
        <v>#NAME?</v>
      </c>
      <c r="BF50" s="157" t="n">
        <f aca="false">IF(AX50=0,0,SPRDOPT(AQ50,AR50,$P50,$AM50,AU50,AV50,AW50,$F50,$B$19,9)/365)</f>
        <v>0</v>
      </c>
      <c r="BG50" s="157" t="e">
        <f aca="false">AY50+AZ50</f>
        <v>#NAME?</v>
      </c>
      <c r="BH50" s="157" t="n">
        <f aca="false">BB50-BA50</f>
        <v>0</v>
      </c>
      <c r="BI50" s="157" t="e">
        <f aca="false">((AU50/AV50)*BC50)+BD50</f>
        <v>#NAME?</v>
      </c>
      <c r="BJ50" s="44"/>
      <c r="BK50" s="45" t="n">
        <f aca="false">$AP50*AX50</f>
        <v>0</v>
      </c>
      <c r="BL50" s="45" t="e">
        <f aca="false">$AP50*AY50</f>
        <v>#NAME?</v>
      </c>
      <c r="BM50" s="45" t="e">
        <f aca="false">$AP50*AZ50</f>
        <v>#NAME?</v>
      </c>
      <c r="BN50" s="45" t="n">
        <f aca="false">$AP50*BA50</f>
        <v>0</v>
      </c>
      <c r="BO50" s="45" t="n">
        <f aca="false">$AP50*BB50</f>
        <v>0</v>
      </c>
      <c r="BP50" s="45" t="e">
        <f aca="false">$AP50*BC50</f>
        <v>#NAME?</v>
      </c>
      <c r="BQ50" s="45" t="e">
        <f aca="false">$AP50*BD50</f>
        <v>#NAME?</v>
      </c>
      <c r="BR50" s="45" t="e">
        <f aca="false">$AP50*BE50</f>
        <v>#NAME?</v>
      </c>
      <c r="BS50" s="45" t="n">
        <f aca="false">$AP50*BF50</f>
        <v>0</v>
      </c>
      <c r="BT50" s="45" t="e">
        <f aca="false">$AP50*BG50</f>
        <v>#NAME?</v>
      </c>
      <c r="BU50" s="45" t="n">
        <f aca="false">$AP50*BH50</f>
        <v>0</v>
      </c>
      <c r="BV50" s="45" t="e">
        <f aca="false">$AP50*BI50</f>
        <v>#NAME?</v>
      </c>
      <c r="BX50" s="9" t="n">
        <f aca="false">IF($A50&gt;=BZ$32,IF($A50&lt;=BZ$33,$AN50,0),0)</f>
        <v>0</v>
      </c>
      <c r="BY50" s="123" t="n">
        <f aca="false">$B50+$R50+$D$12</f>
        <v>3.77571428571429</v>
      </c>
      <c r="BZ50" s="123" t="n">
        <f aca="false">$B50+$S50+$D$13</f>
        <v>4.38071428571429</v>
      </c>
      <c r="CA50" s="123" t="n">
        <f aca="false">BY50*BX50</f>
        <v>0</v>
      </c>
      <c r="CB50" s="123" t="n">
        <f aca="false">BZ50*BX50</f>
        <v>0</v>
      </c>
      <c r="CC50" s="156" t="n">
        <f aca="false">($C50*$T50)+$D$14</f>
        <v>0.390425</v>
      </c>
      <c r="CD50" s="156" t="n">
        <f aca="false">($C50*$U50)+$D$15</f>
        <v>0.4025</v>
      </c>
      <c r="CE50" s="131" t="n">
        <f aca="false">$V50+D$16</f>
        <v>0.96</v>
      </c>
      <c r="CF50" s="157" t="n">
        <f aca="false">IF(BX50=0,0,SPRDOPT(BY50,BZ50,$W50,$AM50,CC50,CD50,CE50,$F50,$D$19,0))</f>
        <v>0</v>
      </c>
      <c r="CG50" s="157" t="e">
        <f aca="false">IF(BY50=0,0,SPRDOPT(BY50,BZ50,$W50,$AM50,CC50,CD50,CE50,$F50,$D$19,1))</f>
        <v>#NAME?</v>
      </c>
      <c r="CH50" s="157" t="e">
        <f aca="false">IF(BZ50=0,0,SPRDOPT(BY50,BZ50,$W50,$AM50,CC50,CD50,CE50,$F50,$D$19,2))</f>
        <v>#NAME?</v>
      </c>
      <c r="CI50" s="157" t="n">
        <f aca="false">IF(CA50=0,0,SPRDOPT(BY50,BZ50,$W50,$AM50,CC50,CD50,CE50,$F50,$D$19,3)/100)</f>
        <v>0</v>
      </c>
      <c r="CJ50" s="157" t="n">
        <f aca="false">IF(CB50=0,0,SPRDOPT(BY50,BZ50,$W50,$AM50,CC50,CD50,CE50,$F50,$D$19,4)/100)</f>
        <v>0</v>
      </c>
      <c r="CK50" s="157" t="e">
        <f aca="false">IF(CC50=0,0,SPRDOPT(BY50,BZ50,$W50,$AM50,CC50,CD50,CE50,$F50,$D$19,5)/100)</f>
        <v>#NAME?</v>
      </c>
      <c r="CL50" s="157" t="e">
        <f aca="false">IF(CD50=0,0,SPRDOPT(BY50,BZ50,$W50,$AM50,CC50,CD50,CE50,$F50,$D$19,6)/100)</f>
        <v>#NAME?</v>
      </c>
      <c r="CM50" s="157" t="e">
        <f aca="false">IF(CE50=0,0,SPRDOPT(BY50,BZ50,$W50,$AM50,CC50,CD50,CE50,$F50,$D$19,7)/100)</f>
        <v>#NAME?</v>
      </c>
      <c r="CN50" s="157" t="n">
        <f aca="false">IF(CF50=0,0,SPRDOPT(BY50,BZ50,$W50,$AM50,CC50,CD50,CE50,$F50,$D$19,9)/365)</f>
        <v>0</v>
      </c>
      <c r="CO50" s="157" t="e">
        <f aca="false">CG50+CH50</f>
        <v>#NAME?</v>
      </c>
      <c r="CP50" s="157" t="n">
        <f aca="false">CJ50-CI50</f>
        <v>0</v>
      </c>
      <c r="CQ50" s="157" t="e">
        <f aca="false">((CC50/CD50)*CK50)+CL50</f>
        <v>#NAME?</v>
      </c>
      <c r="CR50" s="44"/>
      <c r="CS50" s="45" t="n">
        <f aca="false">BX50*CF50</f>
        <v>0</v>
      </c>
      <c r="CT50" s="45" t="e">
        <f aca="false">BX50*CG50</f>
        <v>#NAME?</v>
      </c>
      <c r="CU50" s="45" t="e">
        <f aca="false">BX50*CH50</f>
        <v>#NAME?</v>
      </c>
      <c r="CV50" s="45" t="n">
        <f aca="false">BX50*CI50</f>
        <v>0</v>
      </c>
      <c r="CW50" s="45" t="n">
        <f aca="false">BX50*CJ50</f>
        <v>0</v>
      </c>
      <c r="CX50" s="45" t="e">
        <f aca="false">BX50*CK50</f>
        <v>#NAME?</v>
      </c>
      <c r="CY50" s="45" t="e">
        <f aca="false">BX50*CL50</f>
        <v>#NAME?</v>
      </c>
      <c r="CZ50" s="45" t="e">
        <f aca="false">BX50*CM50</f>
        <v>#NAME?</v>
      </c>
      <c r="DA50" s="45" t="n">
        <f aca="false">BX50*CN50</f>
        <v>0</v>
      </c>
      <c r="DB50" s="45" t="e">
        <f aca="false">BX50*CO50</f>
        <v>#NAME?</v>
      </c>
      <c r="DC50" s="45" t="n">
        <f aca="false">BX50*CP50</f>
        <v>0</v>
      </c>
      <c r="DD50" s="45" t="e">
        <f aca="false">BX50*CQ50</f>
        <v>#NAME?</v>
      </c>
      <c r="DF50" s="9" t="n">
        <f aca="false">IF($A50&gt;=DH$32,IF($A50&lt;=DH$33,$AN50,0),0)</f>
        <v>0</v>
      </c>
      <c r="DG50" s="123" t="n">
        <f aca="false">$B50+$Y50+$F$12</f>
        <v>4.26071428571429</v>
      </c>
      <c r="DH50" s="123" t="n">
        <f aca="false">$B50+$Z50+$F$13</f>
        <v>4.38071428571429</v>
      </c>
      <c r="DI50" s="123" t="n">
        <f aca="false">DG50*DF50</f>
        <v>0</v>
      </c>
      <c r="DJ50" s="123" t="n">
        <f aca="false">DH50*DF50</f>
        <v>0</v>
      </c>
      <c r="DK50" s="156" t="n">
        <f aca="false">($C50*$AA50)+$F$14</f>
        <v>0.4025</v>
      </c>
      <c r="DL50" s="156" t="n">
        <f aca="false">($C50*$AB50)+$F$15</f>
        <v>0.4025</v>
      </c>
      <c r="DM50" s="131" t="n">
        <f aca="false">$AC50+$F$16</f>
        <v>0.995</v>
      </c>
      <c r="DN50" s="157" t="n">
        <f aca="false">IF(DF50=0,0,SPRDOPT(DG50,DH50,$AD50,$AM50,DK50,DL50,DM50,$F50,$F$19,0))</f>
        <v>0</v>
      </c>
      <c r="DO50" s="157" t="e">
        <f aca="false">IF(DG50=0,0,SPRDOPT(DG50,DH50,$AD50,$AM50,DK50,DL50,DM50,$F50,$F$19,1))</f>
        <v>#NAME?</v>
      </c>
      <c r="DP50" s="157" t="e">
        <f aca="false">IF(DH50=0,0,SPRDOPT(DG50,DH50,$AD50,$AM50,DK50,DL50,DM50,$F50,$F$19,2))</f>
        <v>#NAME?</v>
      </c>
      <c r="DQ50" s="157" t="n">
        <f aca="false">IF(DI50=0,0,SPRDOPT(DG50,DH50,$AD50,$AM50,DK50,DL50,DM50,$F50,$F$19,3)/100)</f>
        <v>0</v>
      </c>
      <c r="DR50" s="157" t="n">
        <f aca="false">IF(DJ50=0,0,SPRDOPT(DG50,DH50,$AD50,$AM50,DK50,DL50,DM50,$F50,$F$19,4)/100)</f>
        <v>0</v>
      </c>
      <c r="DS50" s="157" t="e">
        <f aca="false">IF(DK50=0,0,SPRDOPT(DG50,DH50,$AD50,$AM50,DK50,DL50,DM50,$F50,$F$19,5)/100)</f>
        <v>#NAME?</v>
      </c>
      <c r="DT50" s="157" t="e">
        <f aca="false">IF(DL50=0,0,SPRDOPT(DG50,DH50,$AD50,$AM50,DK50,DL50,DM50,$F50,$F$19,6)/100)</f>
        <v>#NAME?</v>
      </c>
      <c r="DU50" s="157" t="e">
        <f aca="false">IF(DM50=0,0,SPRDOPT(DG50,DH50,$AD50,$AM50,DK50,DL50,DM50,$F50,$F$19,7)/100)</f>
        <v>#NAME?</v>
      </c>
      <c r="DV50" s="157" t="n">
        <f aca="false">IF(DN50=0,0,SPRDOPT(DG50,DH50,$AD50,$AM50,DK50,DL50,DM50,$F50,$F$19,9)/365)</f>
        <v>0</v>
      </c>
      <c r="DW50" s="157" t="e">
        <f aca="false">DO50+DP50</f>
        <v>#NAME?</v>
      </c>
      <c r="DX50" s="157" t="n">
        <f aca="false">DR50-DQ50</f>
        <v>0</v>
      </c>
      <c r="DY50" s="157" t="e">
        <f aca="false">((DK50/DL50)*DS50)+DT50</f>
        <v>#NAME?</v>
      </c>
      <c r="DZ50" s="44"/>
      <c r="EA50" s="45" t="n">
        <f aca="false">DF50*DN50</f>
        <v>0</v>
      </c>
      <c r="EB50" s="45" t="e">
        <f aca="false">DF50*DO50</f>
        <v>#NAME?</v>
      </c>
      <c r="EC50" s="45" t="e">
        <f aca="false">DF50*DP50</f>
        <v>#NAME?</v>
      </c>
      <c r="ED50" s="45" t="n">
        <f aca="false">DF50*DQ50</f>
        <v>0</v>
      </c>
      <c r="EE50" s="45" t="n">
        <f aca="false">DF50*DR50</f>
        <v>0</v>
      </c>
      <c r="EF50" s="45" t="e">
        <f aca="false">DF50*DS50</f>
        <v>#NAME?</v>
      </c>
      <c r="EG50" s="45" t="e">
        <f aca="false">DF50*DT50</f>
        <v>#NAME?</v>
      </c>
      <c r="EH50" s="45" t="e">
        <f aca="false">DF50*DU50</f>
        <v>#NAME?</v>
      </c>
      <c r="EI50" s="45" t="n">
        <f aca="false">DF50*DV50</f>
        <v>0</v>
      </c>
      <c r="EJ50" s="45" t="e">
        <f aca="false">DF50*DW50</f>
        <v>#NAME?</v>
      </c>
      <c r="EK50" s="45" t="n">
        <f aca="false">DF50*DX50</f>
        <v>0</v>
      </c>
      <c r="EL50" s="45" t="e">
        <f aca="false">DF50*DY50</f>
        <v>#NAME?</v>
      </c>
      <c r="EN50" s="9" t="n">
        <f aca="false">IF($A50&gt;=EP$32,IF($A50&lt;=EP$33,$AN50,0),0)</f>
        <v>0</v>
      </c>
      <c r="EO50" s="123" t="n">
        <f aca="false">$B50+$AF50+$H$12</f>
        <v>4.46571428571429</v>
      </c>
      <c r="EP50" s="123" t="n">
        <f aca="false">$B50+$AG50+$H$13</f>
        <v>4.38071428571429</v>
      </c>
      <c r="EQ50" s="123" t="n">
        <f aca="false">EO50*EN50</f>
        <v>0</v>
      </c>
      <c r="ER50" s="123" t="n">
        <f aca="false">EP50*EN50</f>
        <v>0</v>
      </c>
      <c r="ES50" s="156" t="n">
        <f aca="false">($C50*$AH50)+$H$14</f>
        <v>0.4025</v>
      </c>
      <c r="ET50" s="156" t="n">
        <f aca="false">($C50*$AI50)+$H$15</f>
        <v>0.4025</v>
      </c>
      <c r="EU50" s="131" t="n">
        <f aca="false">$AJ50+$H$16</f>
        <v>0.994071440191916</v>
      </c>
      <c r="EV50" s="157" t="n">
        <f aca="false">IF(EN50=0,0,SPRDOPT(EO50,EP50,$AK50,$AM50,ES50,ET50,EU50,$F50,$H$19,0))</f>
        <v>0</v>
      </c>
      <c r="EW50" s="157" t="e">
        <f aca="false">IF(EO50=0,0,SPRDOPT(EO50,EP50,$AK50,$AM50,ES50,ET50,EU50,$F50,$H$19,1))</f>
        <v>#NAME?</v>
      </c>
      <c r="EX50" s="157" t="e">
        <f aca="false">IF(EP50=0,0,SPRDOPT(EO50,EP50,$AK50,$AM50,ES50,ET50,EU50,$F50,$H$19,2))</f>
        <v>#NAME?</v>
      </c>
      <c r="EY50" s="157" t="n">
        <f aca="false">IF(EQ50=0,0,SPRDOPT(EO50,EP50,$AK50,$AM50,ES50,ET50,EU50,$F50,$H$19,3)/100)</f>
        <v>0</v>
      </c>
      <c r="EZ50" s="157" t="n">
        <f aca="false">IF(ER50=0,0,SPRDOPT(EO50,EP50,$AK50,$AM50,ES50,ET50,EU50,$F50,$H$19,4)/100)</f>
        <v>0</v>
      </c>
      <c r="FA50" s="157" t="e">
        <f aca="false">IF(ES50=0,0,SPRDOPT(EO50,EP50,$AK50,$AM50,ES50,ET50,EU50,$F50,$H$19,5)/100)</f>
        <v>#NAME?</v>
      </c>
      <c r="FB50" s="157" t="e">
        <f aca="false">IF(ET50=0,0,SPRDOPT(EO50,EP50,$AK50,$AM50,ES50,ET50,EU50,$F50,$H$19,6)/100)</f>
        <v>#NAME?</v>
      </c>
      <c r="FC50" s="157" t="e">
        <f aca="false">IF(EU50=0,0,SPRDOPT(EO50,EP50,$AK50,$AM50,ES50,ET50,EU50,$F50,$H$19,7)/100)</f>
        <v>#NAME?</v>
      </c>
      <c r="FD50" s="157" t="n">
        <f aca="false">IF(EV50=0,0,SPRDOPT(EO50,EP50,$AK50,$AM50,ES50,ET50,EU50,$F50,$H$19,9)/365)</f>
        <v>0</v>
      </c>
      <c r="FE50" s="157" t="e">
        <f aca="false">EW50+EX50</f>
        <v>#NAME?</v>
      </c>
      <c r="FF50" s="157" t="n">
        <f aca="false">EZ50-EY50</f>
        <v>0</v>
      </c>
      <c r="FG50" s="157" t="e">
        <f aca="false">((ES50/ET50)*FA50)+FB50</f>
        <v>#NAME?</v>
      </c>
      <c r="FH50" s="44"/>
      <c r="FI50" s="45" t="n">
        <f aca="false">$EN50*EV50</f>
        <v>0</v>
      </c>
      <c r="FJ50" s="45" t="e">
        <f aca="false">$EN50*EW50</f>
        <v>#NAME?</v>
      </c>
      <c r="FK50" s="45" t="e">
        <f aca="false">$EN50*EX50</f>
        <v>#NAME?</v>
      </c>
      <c r="FL50" s="45" t="n">
        <f aca="false">$EN50*EY50</f>
        <v>0</v>
      </c>
      <c r="FM50" s="45" t="n">
        <f aca="false">$EN50*EZ50</f>
        <v>0</v>
      </c>
      <c r="FN50" s="45" t="e">
        <f aca="false">$EN50*FA50</f>
        <v>#NAME?</v>
      </c>
      <c r="FO50" s="45" t="e">
        <f aca="false">$EN50*FB50</f>
        <v>#NAME?</v>
      </c>
      <c r="FP50" s="45" t="e">
        <f aca="false">$EN50*FC50</f>
        <v>#NAME?</v>
      </c>
      <c r="FQ50" s="45" t="n">
        <f aca="false">$EN50*FD50</f>
        <v>0</v>
      </c>
      <c r="FR50" s="45" t="e">
        <f aca="false">$EN50*FE50</f>
        <v>#NAME?</v>
      </c>
      <c r="FS50" s="45" t="n">
        <f aca="false">$EN50*FF50</f>
        <v>0</v>
      </c>
      <c r="FT50" s="45" t="e">
        <f aca="false">$EN50*FG50</f>
        <v>#NAME?</v>
      </c>
    </row>
    <row r="51" customFormat="false" ht="12.75" hidden="false" customHeight="false" outlineLevel="0" collapsed="false">
      <c r="A51" s="48" t="n">
        <f aca="false">DATE(YEAR(A50),MONTH(A50)+1,1)</f>
        <v>37196</v>
      </c>
      <c r="B51" s="40" t="n">
        <f aca="false">VLOOKUP(A51,STRADDLE,5,FALSE())</f>
        <v>4.486</v>
      </c>
      <c r="C51" s="4" t="n">
        <f aca="false">VLOOKUP(A51,STRADDLE,8,FALSE())</f>
        <v>0.4075</v>
      </c>
      <c r="D51" s="40"/>
      <c r="E51" s="131"/>
      <c r="F51" s="136" t="n">
        <f aca="false">VLOOKUP(A51,expiration,2,FALSE())-$B$2</f>
        <v>-8733</v>
      </c>
      <c r="G51" s="4"/>
      <c r="H51" s="4"/>
      <c r="I51" s="41"/>
      <c r="J51" s="154"/>
      <c r="K51" s="40" t="n">
        <f aca="false">IF($B$3="NYMEX",0,VLOOKUP($A51,curvesettle,HLOOKUP($B$3,curvesettle,2,FALSE()),FALSE()))</f>
        <v>0.12</v>
      </c>
      <c r="L51" s="40" t="n">
        <f aca="false">IF($B$4="NYMEX",0,VLOOKUP($A51,curvesettle,HLOOKUP($B$4,curvesettle,2,FALSE()),FALSE()))</f>
        <v>0</v>
      </c>
      <c r="M51" s="131" t="n">
        <f aca="false">IF(ISNUMBER(VLOOKUP($A51,VOLCURVES,HLOOKUP($B$3,VOLCURVES,2,FALSE()),FALSE())),VLOOKUP($A51,VOLCURVES,HLOOKUP($B$3,VOLCURVES,2,FALSE()),FALSE()),1)</f>
        <v>1.02</v>
      </c>
      <c r="N51" s="131" t="n">
        <f aca="false">IF(ISNUMBER(VLOOKUP($A51,VOLCURVES,HLOOKUP($B$4,VOLCURVES,2,FALSE()),FALSE())),VLOOKUP($A51,VOLCURVES,HLOOKUP($B$4,VOLCURVES,2,FALSE()),FALSE()),1)</f>
        <v>1</v>
      </c>
      <c r="O51" s="131" t="n">
        <f aca="false">IF(ISNUMBER(VLOOKUP($A51,CORETABLE,HLOOKUP($B$3,CORETABLE,2,FALSE()),FALSE())),VLOOKUP($A51,CORETABLE,HLOOKUP($B$3,CORETABLE,2,FALSE()),FALSE()),0.99)</f>
        <v>0.96</v>
      </c>
      <c r="P51" s="155" t="n">
        <f aca="false">B$18</f>
        <v>0.3</v>
      </c>
      <c r="Q51" s="131"/>
      <c r="R51" s="40" t="n">
        <f aca="false">IF($D$3="NYMEX",0,VLOOKUP($A51,curvesettle,HLOOKUP($D$3,curvesettle,2,FALSE()),FALSE()))</f>
        <v>-0.33</v>
      </c>
      <c r="S51" s="40" t="n">
        <f aca="false">IF($D$4="NYMEX",0,VLOOKUP($A51,curvesettle,HLOOKUP($D$4,curvesettle,2,FALSE()),FALSE()))</f>
        <v>0</v>
      </c>
      <c r="T51" s="131" t="n">
        <f aca="false">IF(ISNUMBER(VLOOKUP($A51,VOLCURVES,HLOOKUP($D$3,VOLCURVES,2,FALSE()),FALSE())),VLOOKUP($A51,VOLCURVES,HLOOKUP($D$3,VOLCURVES,2,FALSE()),FALSE()),1)</f>
        <v>0.97</v>
      </c>
      <c r="U51" s="131" t="n">
        <f aca="false">IF(ISNUMBER(VLOOKUP($A51,VOLCURVES,HLOOKUP($D$4,VOLCURVES,2,FALSE()),FALSE())),VLOOKUP($A51,VOLCURVES,HLOOKUP($D$4,VOLCURVES,2,FALSE()),FALSE()),1)</f>
        <v>1</v>
      </c>
      <c r="V51" s="131" t="n">
        <f aca="false">IF(ISNUMBER(VLOOKUP($A51,CORETABLE,HLOOKUP($D$3,CORETABLE,2,FALSE()),FALSE())),VLOOKUP($A51,CORETABLE,HLOOKUP($D$3,CORETABLE,2,FALSE()),FALSE()),0.99)</f>
        <v>0.96</v>
      </c>
      <c r="W51" s="155" t="n">
        <f aca="false">D$18</f>
        <v>-0.35</v>
      </c>
      <c r="X51" s="131"/>
      <c r="Y51" s="40" t="n">
        <f aca="false">IF($F$3="NYMEX",0,VLOOKUP($A51,curvesettle,HLOOKUP($F$3,curvesettle,2,FALSE()),FALSE()))</f>
        <v>-0.1275</v>
      </c>
      <c r="Z51" s="40" t="n">
        <f aca="false">IF($F$4="NYMEX",0,VLOOKUP($A51,curvesettle,HLOOKUP($F$4,curvesettle,2,FALSE()),FALSE()))</f>
        <v>0</v>
      </c>
      <c r="AA51" s="131" t="n">
        <f aca="false">IF(ISNUMBER(VLOOKUP($A51,VOLCURVES,HLOOKUP($F$3,VOLCURVES,2,FALSE()),FALSE())),VLOOKUP($A51,VOLCURVES,HLOOKUP($F$3,VOLCURVES,2,FALSE()),FALSE()),1)</f>
        <v>1</v>
      </c>
      <c r="AB51" s="131" t="n">
        <f aca="false">IF(ISNUMBER(VLOOKUP($A51,VOLCURVES,HLOOKUP($F$4,VOLCURVES,2,FALSE()),FALSE())),VLOOKUP($A51,VOLCURVES,HLOOKUP($F$4,VOLCURVES,2,FALSE()),FALSE()),1)</f>
        <v>1</v>
      </c>
      <c r="AC51" s="131" t="n">
        <f aca="false">IF(ISNUMBER(VLOOKUP($A51,CORETABLE,HLOOKUP($F$3,CORETABLE,2,FALSE()),FALSE())),VLOOKUP($A51,CORETABLE,HLOOKUP($F$3,CORETABLE,2,FALSE()),FALSE()),1)</f>
        <v>0.995</v>
      </c>
      <c r="AD51" s="155" t="n">
        <f aca="false">F$18</f>
        <v>-0.2</v>
      </c>
      <c r="AE51" s="131"/>
      <c r="AF51" s="40" t="n">
        <f aca="false">IF($H$3="NYMEX",0,VLOOKUP($A51,curvesettle,HLOOKUP($H$3,curvesettle,2,FALSE()),FALSE()))</f>
        <v>0.1275</v>
      </c>
      <c r="AG51" s="40" t="n">
        <f aca="false">IF($H$4="NYMEX",0,VLOOKUP($A51,curvesettle,HLOOKUP($H$4,curvesettle,2,FALSE()),FALSE()))</f>
        <v>0</v>
      </c>
      <c r="AH51" s="131" t="n">
        <f aca="false">IF(ISNUMBER(VLOOKUP($A51,VOLCURVES,HLOOKUP($H$3,VOLCURVES,2,FALSE()),FALSE())),VLOOKUP($A51,VOLCURVES,HLOOKUP($H$3,VOLCURVES,2,FALSE()),FALSE()),1)</f>
        <v>1</v>
      </c>
      <c r="AI51" s="131" t="n">
        <f aca="false">IF(ISNUMBER(VLOOKUP($A51,VOLCURVES,HLOOKUP($H$4,VOLCURVES,2,FALSE()),FALSE())),VLOOKUP($A51,VOLCURVES,HLOOKUP($H$4,VOLCURVES,2,FALSE()),FALSE()),1)</f>
        <v>1</v>
      </c>
      <c r="AJ51" s="131" t="n">
        <f aca="false">IF(ISNUMBER(VLOOKUP($A51,CORETABLE,HLOOKUP($H$3,CORETABLE,2,FALSE()),FALSE())),VLOOKUP($A51,CORETABLE,HLOOKUP($H$3,CORETABLE,2,FALSE()),FALSE()),1)</f>
        <v>0.984107647518451</v>
      </c>
      <c r="AK51" s="155" t="n">
        <f aca="false">H$18</f>
        <v>0.2</v>
      </c>
      <c r="AM51" s="4" t="n">
        <f aca="false">VLOOKUP($A51,STRADDLE,12,FALSE())</f>
        <v>0.067440746905213</v>
      </c>
      <c r="AN51" s="43" t="n">
        <f aca="false">A52-A51</f>
        <v>30</v>
      </c>
      <c r="AP51" s="9" t="n">
        <f aca="false">IF($A51&gt;=AR$32,IF($A51&lt;=AR$33,$AN51,0),0)</f>
        <v>0</v>
      </c>
      <c r="AQ51" s="123" t="n">
        <f aca="false">$B51+$K51+$B$12</f>
        <v>4.5735</v>
      </c>
      <c r="AR51" s="123" t="n">
        <f aca="false">$B51+$L51+$B$13</f>
        <v>4.486</v>
      </c>
      <c r="AS51" s="123" t="n">
        <f aca="false">AQ51*AP51</f>
        <v>0</v>
      </c>
      <c r="AT51" s="123" t="n">
        <f aca="false">AR51*AP51</f>
        <v>0</v>
      </c>
      <c r="AU51" s="156" t="n">
        <f aca="false">($C51*$M51)+$B$14</f>
        <v>0.41565</v>
      </c>
      <c r="AV51" s="156" t="n">
        <f aca="false">($C51*$N51)+$B$15</f>
        <v>0.4075</v>
      </c>
      <c r="AW51" s="131" t="n">
        <f aca="false">O51+B$16</f>
        <v>0.96</v>
      </c>
      <c r="AX51" s="157" t="n">
        <f aca="false">IF(AP51=0,0,SPRDOPT(AQ51,AR51,$P51,$AM51,AU51,AV51,AW51,$F51,$B$19,0))</f>
        <v>0</v>
      </c>
      <c r="AY51" s="157" t="e">
        <f aca="false">IF(AQ51=0,0,SPRDOPT(AQ51,AR51,$P51,$AM51,AU51,AV51,AW51,$F51,$B$19,1))</f>
        <v>#NAME?</v>
      </c>
      <c r="AZ51" s="157" t="e">
        <f aca="false">IF(AR51=0,0,SPRDOPT(AQ51,AR51,$P51,$AM51,AU51,AV51,AW51,$F51,$B$19,2))</f>
        <v>#NAME?</v>
      </c>
      <c r="BA51" s="157" t="n">
        <f aca="false">IF(AS51=0,0,SPRDOPT(AQ51,AR51,$P51,$AM51,AU51,AV51,AW51,$F51,$B$19,3)/100)</f>
        <v>0</v>
      </c>
      <c r="BB51" s="157" t="n">
        <f aca="false">IF(AT51=0,0,SPRDOPT(AQ51,AR51,$P51,$AM51,AU51,AV51,AW51,$F51,$B$19,4)/100)</f>
        <v>0</v>
      </c>
      <c r="BC51" s="157" t="e">
        <f aca="false">IF(AU51=0,0,SPRDOPT(AQ51,AR51,$P51,$AM51,AU51,AV51,AW51,$F51,$B$19,5)/100)</f>
        <v>#NAME?</v>
      </c>
      <c r="BD51" s="157" t="e">
        <f aca="false">IF(AV51=0,0,SPRDOPT(AQ51,AR51,$P51,$AM51,AU51,AV51,AW51,$F51,$B$19,6)/100)</f>
        <v>#NAME?</v>
      </c>
      <c r="BE51" s="157" t="e">
        <f aca="false">IF(AW51=0,0,SPRDOPT(AQ51,AR51,$P51,$AM51,AU51,AV51,AW51,$F51,$B$19,7)/100)</f>
        <v>#NAME?</v>
      </c>
      <c r="BF51" s="157" t="n">
        <f aca="false">IF(AX51=0,0,SPRDOPT(AQ51,AR51,$P51,$AM51,AU51,AV51,AW51,$F51,$B$19,9)/365)</f>
        <v>0</v>
      </c>
      <c r="BG51" s="157" t="e">
        <f aca="false">AY51+AZ51</f>
        <v>#NAME?</v>
      </c>
      <c r="BH51" s="157" t="n">
        <f aca="false">BB51-BA51</f>
        <v>0</v>
      </c>
      <c r="BI51" s="157" t="e">
        <f aca="false">((AU51/AV51)*BC51)+BD51</f>
        <v>#NAME?</v>
      </c>
      <c r="BJ51" s="44"/>
      <c r="BK51" s="45" t="n">
        <f aca="false">$AP51*AX51</f>
        <v>0</v>
      </c>
      <c r="BL51" s="45" t="e">
        <f aca="false">$AP51*AY51</f>
        <v>#NAME?</v>
      </c>
      <c r="BM51" s="45" t="e">
        <f aca="false">$AP51*AZ51</f>
        <v>#NAME?</v>
      </c>
      <c r="BN51" s="45" t="n">
        <f aca="false">$AP51*BA51</f>
        <v>0</v>
      </c>
      <c r="BO51" s="45" t="n">
        <f aca="false">$AP51*BB51</f>
        <v>0</v>
      </c>
      <c r="BP51" s="45" t="e">
        <f aca="false">$AP51*BC51</f>
        <v>#NAME?</v>
      </c>
      <c r="BQ51" s="45" t="e">
        <f aca="false">$AP51*BD51</f>
        <v>#NAME?</v>
      </c>
      <c r="BR51" s="45" t="e">
        <f aca="false">$AP51*BE51</f>
        <v>#NAME?</v>
      </c>
      <c r="BS51" s="45" t="n">
        <f aca="false">$AP51*BF51</f>
        <v>0</v>
      </c>
      <c r="BT51" s="45" t="e">
        <f aca="false">$AP51*BG51</f>
        <v>#NAME?</v>
      </c>
      <c r="BU51" s="45" t="n">
        <f aca="false">$AP51*BH51</f>
        <v>0</v>
      </c>
      <c r="BV51" s="45" t="e">
        <f aca="false">$AP51*BI51</f>
        <v>#NAME?</v>
      </c>
      <c r="BX51" s="9" t="n">
        <f aca="false">IF($A51&gt;=BZ$32,IF($A51&lt;=BZ$33,$AN51,0),0)</f>
        <v>0</v>
      </c>
      <c r="BY51" s="123" t="n">
        <f aca="false">$B51+$R51+$D$12</f>
        <v>4.1235</v>
      </c>
      <c r="BZ51" s="123" t="n">
        <f aca="false">$B51+$S51+$D$13</f>
        <v>4.486</v>
      </c>
      <c r="CA51" s="123" t="n">
        <f aca="false">BY51*BX51</f>
        <v>0</v>
      </c>
      <c r="CB51" s="123" t="n">
        <f aca="false">BZ51*BX51</f>
        <v>0</v>
      </c>
      <c r="CC51" s="156" t="n">
        <f aca="false">($C51*$T51)+$D$14</f>
        <v>0.395275</v>
      </c>
      <c r="CD51" s="156" t="n">
        <f aca="false">($C51*$U51)+$D$15</f>
        <v>0.4075</v>
      </c>
      <c r="CE51" s="131" t="n">
        <f aca="false">$V51+D$16</f>
        <v>0.96</v>
      </c>
      <c r="CF51" s="157" t="n">
        <f aca="false">IF(BX51=0,0,SPRDOPT(BY51,BZ51,$W51,$AM51,CC51,CD51,CE51,$F51,$D$19,0))</f>
        <v>0</v>
      </c>
      <c r="CG51" s="157" t="e">
        <f aca="false">IF(BY51=0,0,SPRDOPT(BY51,BZ51,$W51,$AM51,CC51,CD51,CE51,$F51,$D$19,1))</f>
        <v>#NAME?</v>
      </c>
      <c r="CH51" s="157" t="e">
        <f aca="false">IF(BZ51=0,0,SPRDOPT(BY51,BZ51,$W51,$AM51,CC51,CD51,CE51,$F51,$D$19,2))</f>
        <v>#NAME?</v>
      </c>
      <c r="CI51" s="157" t="n">
        <f aca="false">IF(CA51=0,0,SPRDOPT(BY51,BZ51,$W51,$AM51,CC51,CD51,CE51,$F51,$D$19,3)/100)</f>
        <v>0</v>
      </c>
      <c r="CJ51" s="157" t="n">
        <f aca="false">IF(CB51=0,0,SPRDOPT(BY51,BZ51,$W51,$AM51,CC51,CD51,CE51,$F51,$D$19,4)/100)</f>
        <v>0</v>
      </c>
      <c r="CK51" s="157" t="e">
        <f aca="false">IF(CC51=0,0,SPRDOPT(BY51,BZ51,$W51,$AM51,CC51,CD51,CE51,$F51,$D$19,5)/100)</f>
        <v>#NAME?</v>
      </c>
      <c r="CL51" s="157" t="e">
        <f aca="false">IF(CD51=0,0,SPRDOPT(BY51,BZ51,$W51,$AM51,CC51,CD51,CE51,$F51,$D$19,6)/100)</f>
        <v>#NAME?</v>
      </c>
      <c r="CM51" s="157" t="e">
        <f aca="false">IF(CE51=0,0,SPRDOPT(BY51,BZ51,$W51,$AM51,CC51,CD51,CE51,$F51,$D$19,7)/100)</f>
        <v>#NAME?</v>
      </c>
      <c r="CN51" s="157" t="n">
        <f aca="false">IF(CF51=0,0,SPRDOPT(BY51,BZ51,$W51,$AM51,CC51,CD51,CE51,$F51,$D$19,9)/365)</f>
        <v>0</v>
      </c>
      <c r="CO51" s="157" t="e">
        <f aca="false">CG51+CH51</f>
        <v>#NAME?</v>
      </c>
      <c r="CP51" s="157" t="n">
        <f aca="false">CJ51-CI51</f>
        <v>0</v>
      </c>
      <c r="CQ51" s="157" t="e">
        <f aca="false">((CC51/CD51)*CK51)+CL51</f>
        <v>#NAME?</v>
      </c>
      <c r="CR51" s="44"/>
      <c r="CS51" s="45" t="n">
        <f aca="false">BX51*CF51</f>
        <v>0</v>
      </c>
      <c r="CT51" s="45" t="e">
        <f aca="false">BX51*CG51</f>
        <v>#NAME?</v>
      </c>
      <c r="CU51" s="45" t="e">
        <f aca="false">BX51*CH51</f>
        <v>#NAME?</v>
      </c>
      <c r="CV51" s="45" t="n">
        <f aca="false">BX51*CI51</f>
        <v>0</v>
      </c>
      <c r="CW51" s="45" t="n">
        <f aca="false">BX51*CJ51</f>
        <v>0</v>
      </c>
      <c r="CX51" s="45" t="e">
        <f aca="false">BX51*CK51</f>
        <v>#NAME?</v>
      </c>
      <c r="CY51" s="45" t="e">
        <f aca="false">BX51*CL51</f>
        <v>#NAME?</v>
      </c>
      <c r="CZ51" s="45" t="e">
        <f aca="false">BX51*CM51</f>
        <v>#NAME?</v>
      </c>
      <c r="DA51" s="45" t="n">
        <f aca="false">BX51*CN51</f>
        <v>0</v>
      </c>
      <c r="DB51" s="45" t="e">
        <f aca="false">BX51*CO51</f>
        <v>#NAME?</v>
      </c>
      <c r="DC51" s="45" t="n">
        <f aca="false">BX51*CP51</f>
        <v>0</v>
      </c>
      <c r="DD51" s="45" t="e">
        <f aca="false">BX51*CQ51</f>
        <v>#NAME?</v>
      </c>
      <c r="DF51" s="9" t="n">
        <f aca="false">IF($A51&gt;=DH$32,IF($A51&lt;=DH$33,$AN51,0),0)</f>
        <v>0</v>
      </c>
      <c r="DG51" s="123" t="n">
        <f aca="false">$B51+$Y51+$F$12</f>
        <v>4.3585</v>
      </c>
      <c r="DH51" s="123" t="n">
        <f aca="false">$B51+$Z51+$F$13</f>
        <v>4.486</v>
      </c>
      <c r="DI51" s="123" t="n">
        <f aca="false">DG51*DF51</f>
        <v>0</v>
      </c>
      <c r="DJ51" s="123" t="n">
        <f aca="false">DH51*DF51</f>
        <v>0</v>
      </c>
      <c r="DK51" s="156" t="n">
        <f aca="false">($C51*$AA51)+$F$14</f>
        <v>0.4075</v>
      </c>
      <c r="DL51" s="156" t="n">
        <f aca="false">($C51*$AB51)+$F$15</f>
        <v>0.4075</v>
      </c>
      <c r="DM51" s="131" t="n">
        <f aca="false">$AC51+$F$16</f>
        <v>0.995</v>
      </c>
      <c r="DN51" s="157" t="n">
        <f aca="false">IF(DF51=0,0,SPRDOPT(DG51,DH51,$AD51,$AM51,DK51,DL51,DM51,$F51,$F$19,0))</f>
        <v>0</v>
      </c>
      <c r="DO51" s="157" t="e">
        <f aca="false">IF(DG51=0,0,SPRDOPT(DG51,DH51,$AD51,$AM51,DK51,DL51,DM51,$F51,$F$19,1))</f>
        <v>#NAME?</v>
      </c>
      <c r="DP51" s="157" t="e">
        <f aca="false">IF(DH51=0,0,SPRDOPT(DG51,DH51,$AD51,$AM51,DK51,DL51,DM51,$F51,$F$19,2))</f>
        <v>#NAME?</v>
      </c>
      <c r="DQ51" s="157" t="n">
        <f aca="false">IF(DI51=0,0,SPRDOPT(DG51,DH51,$AD51,$AM51,DK51,DL51,DM51,$F51,$F$19,3)/100)</f>
        <v>0</v>
      </c>
      <c r="DR51" s="157" t="n">
        <f aca="false">IF(DJ51=0,0,SPRDOPT(DG51,DH51,$AD51,$AM51,DK51,DL51,DM51,$F51,$F$19,4)/100)</f>
        <v>0</v>
      </c>
      <c r="DS51" s="157" t="e">
        <f aca="false">IF(DK51=0,0,SPRDOPT(DG51,DH51,$AD51,$AM51,DK51,DL51,DM51,$F51,$F$19,5)/100)</f>
        <v>#NAME?</v>
      </c>
      <c r="DT51" s="157" t="e">
        <f aca="false">IF(DL51=0,0,SPRDOPT(DG51,DH51,$AD51,$AM51,DK51,DL51,DM51,$F51,$F$19,6)/100)</f>
        <v>#NAME?</v>
      </c>
      <c r="DU51" s="157" t="e">
        <f aca="false">IF(DM51=0,0,SPRDOPT(DG51,DH51,$AD51,$AM51,DK51,DL51,DM51,$F51,$F$19,7)/100)</f>
        <v>#NAME?</v>
      </c>
      <c r="DV51" s="157" t="n">
        <f aca="false">IF(DN51=0,0,SPRDOPT(DG51,DH51,$AD51,$AM51,DK51,DL51,DM51,$F51,$F$19,9)/365)</f>
        <v>0</v>
      </c>
      <c r="DW51" s="157" t="e">
        <f aca="false">DO51+DP51</f>
        <v>#NAME?</v>
      </c>
      <c r="DX51" s="157" t="n">
        <f aca="false">DR51-DQ51</f>
        <v>0</v>
      </c>
      <c r="DY51" s="157" t="e">
        <f aca="false">((DK51/DL51)*DS51)+DT51</f>
        <v>#NAME?</v>
      </c>
      <c r="DZ51" s="44"/>
      <c r="EA51" s="45" t="n">
        <f aca="false">DF51*DN51</f>
        <v>0</v>
      </c>
      <c r="EB51" s="45" t="e">
        <f aca="false">DF51*DO51</f>
        <v>#NAME?</v>
      </c>
      <c r="EC51" s="45" t="e">
        <f aca="false">DF51*DP51</f>
        <v>#NAME?</v>
      </c>
      <c r="ED51" s="45" t="n">
        <f aca="false">DF51*DQ51</f>
        <v>0</v>
      </c>
      <c r="EE51" s="45" t="n">
        <f aca="false">DF51*DR51</f>
        <v>0</v>
      </c>
      <c r="EF51" s="45" t="e">
        <f aca="false">DF51*DS51</f>
        <v>#NAME?</v>
      </c>
      <c r="EG51" s="45" t="e">
        <f aca="false">DF51*DT51</f>
        <v>#NAME?</v>
      </c>
      <c r="EH51" s="45" t="e">
        <f aca="false">DF51*DU51</f>
        <v>#NAME?</v>
      </c>
      <c r="EI51" s="45" t="n">
        <f aca="false">DF51*DV51</f>
        <v>0</v>
      </c>
      <c r="EJ51" s="45" t="e">
        <f aca="false">DF51*DW51</f>
        <v>#NAME?</v>
      </c>
      <c r="EK51" s="45" t="n">
        <f aca="false">DF51*DX51</f>
        <v>0</v>
      </c>
      <c r="EL51" s="45" t="e">
        <f aca="false">DF51*DY51</f>
        <v>#NAME?</v>
      </c>
      <c r="EN51" s="9" t="n">
        <f aca="false">IF($A51&gt;=EP$32,IF($A51&lt;=EP$33,$AN51,0),0)</f>
        <v>0</v>
      </c>
      <c r="EO51" s="123" t="n">
        <f aca="false">$B51+$AF51+$H$12</f>
        <v>4.6185</v>
      </c>
      <c r="EP51" s="123" t="n">
        <f aca="false">$B51+$AG51+$H$13</f>
        <v>4.486</v>
      </c>
      <c r="EQ51" s="123" t="n">
        <f aca="false">EO51*EN51</f>
        <v>0</v>
      </c>
      <c r="ER51" s="123" t="n">
        <f aca="false">EP51*EN51</f>
        <v>0</v>
      </c>
      <c r="ES51" s="156" t="n">
        <f aca="false">($C51*$AH51)+$H$14</f>
        <v>0.4075</v>
      </c>
      <c r="ET51" s="156" t="n">
        <f aca="false">($C51*$AI51)+$H$15</f>
        <v>0.4075</v>
      </c>
      <c r="EU51" s="131" t="n">
        <f aca="false">$AJ51+$H$16</f>
        <v>0.984107647518451</v>
      </c>
      <c r="EV51" s="157" t="n">
        <f aca="false">IF(EN51=0,0,SPRDOPT(EO51,EP51,$AK51,$AM51,ES51,ET51,EU51,$F51,$H$19,0))</f>
        <v>0</v>
      </c>
      <c r="EW51" s="157" t="e">
        <f aca="false">IF(EO51=0,0,SPRDOPT(EO51,EP51,$AK51,$AM51,ES51,ET51,EU51,$F51,$H$19,1))</f>
        <v>#NAME?</v>
      </c>
      <c r="EX51" s="157" t="e">
        <f aca="false">IF(EP51=0,0,SPRDOPT(EO51,EP51,$AK51,$AM51,ES51,ET51,EU51,$F51,$H$19,2))</f>
        <v>#NAME?</v>
      </c>
      <c r="EY51" s="157" t="n">
        <f aca="false">IF(EQ51=0,0,SPRDOPT(EO51,EP51,$AK51,$AM51,ES51,ET51,EU51,$F51,$H$19,3)/100)</f>
        <v>0</v>
      </c>
      <c r="EZ51" s="157" t="n">
        <f aca="false">IF(ER51=0,0,SPRDOPT(EO51,EP51,$AK51,$AM51,ES51,ET51,EU51,$F51,$H$19,4)/100)</f>
        <v>0</v>
      </c>
      <c r="FA51" s="157" t="e">
        <f aca="false">IF(ES51=0,0,SPRDOPT(EO51,EP51,$AK51,$AM51,ES51,ET51,EU51,$F51,$H$19,5)/100)</f>
        <v>#NAME?</v>
      </c>
      <c r="FB51" s="157" t="e">
        <f aca="false">IF(ET51=0,0,SPRDOPT(EO51,EP51,$AK51,$AM51,ES51,ET51,EU51,$F51,$H$19,6)/100)</f>
        <v>#NAME?</v>
      </c>
      <c r="FC51" s="157" t="e">
        <f aca="false">IF(EU51=0,0,SPRDOPT(EO51,EP51,$AK51,$AM51,ES51,ET51,EU51,$F51,$H$19,7)/100)</f>
        <v>#NAME?</v>
      </c>
      <c r="FD51" s="157" t="n">
        <f aca="false">IF(EV51=0,0,SPRDOPT(EO51,EP51,$AK51,$AM51,ES51,ET51,EU51,$F51,$H$19,9)/365)</f>
        <v>0</v>
      </c>
      <c r="FE51" s="157" t="e">
        <f aca="false">EW51+EX51</f>
        <v>#NAME?</v>
      </c>
      <c r="FF51" s="157" t="n">
        <f aca="false">EZ51-EY51</f>
        <v>0</v>
      </c>
      <c r="FG51" s="157" t="e">
        <f aca="false">((ES51/ET51)*FA51)+FB51</f>
        <v>#NAME?</v>
      </c>
      <c r="FH51" s="44"/>
      <c r="FI51" s="45" t="n">
        <f aca="false">$EN51*EV51</f>
        <v>0</v>
      </c>
      <c r="FJ51" s="45" t="e">
        <f aca="false">$EN51*EW51</f>
        <v>#NAME?</v>
      </c>
      <c r="FK51" s="45" t="e">
        <f aca="false">$EN51*EX51</f>
        <v>#NAME?</v>
      </c>
      <c r="FL51" s="45" t="n">
        <f aca="false">$EN51*EY51</f>
        <v>0</v>
      </c>
      <c r="FM51" s="45" t="n">
        <f aca="false">$EN51*EZ51</f>
        <v>0</v>
      </c>
      <c r="FN51" s="45" t="e">
        <f aca="false">$EN51*FA51</f>
        <v>#NAME?</v>
      </c>
      <c r="FO51" s="45" t="e">
        <f aca="false">$EN51*FB51</f>
        <v>#NAME?</v>
      </c>
      <c r="FP51" s="45" t="e">
        <f aca="false">$EN51*FC51</f>
        <v>#NAME?</v>
      </c>
      <c r="FQ51" s="45" t="n">
        <f aca="false">$EN51*FD51</f>
        <v>0</v>
      </c>
      <c r="FR51" s="45" t="e">
        <f aca="false">$EN51*FE51</f>
        <v>#NAME?</v>
      </c>
      <c r="FS51" s="45" t="n">
        <f aca="false">$EN51*FF51</f>
        <v>0</v>
      </c>
      <c r="FT51" s="45" t="e">
        <f aca="false">$EN51*FG51</f>
        <v>#NAME?</v>
      </c>
    </row>
    <row r="52" customFormat="false" ht="12.75" hidden="false" customHeight="false" outlineLevel="0" collapsed="false">
      <c r="A52" s="48" t="n">
        <f aca="false">DATE(YEAR(A51),MONTH(A51)+1,1)</f>
        <v>37226</v>
      </c>
      <c r="B52" s="40" t="n">
        <f aca="false">VLOOKUP(A52,STRADDLE,5,FALSE())</f>
        <v>4.581</v>
      </c>
      <c r="C52" s="4" t="n">
        <f aca="false">VLOOKUP(A52,STRADDLE,8,FALSE())</f>
        <v>0.4125</v>
      </c>
      <c r="D52" s="40"/>
      <c r="E52" s="131"/>
      <c r="F52" s="136" t="n">
        <f aca="false">VLOOKUP(A52,expiration,2,FALSE())-$B$2</f>
        <v>-8703</v>
      </c>
      <c r="G52" s="4"/>
      <c r="H52" s="4"/>
      <c r="I52" s="41"/>
      <c r="J52" s="154"/>
      <c r="K52" s="40" t="n">
        <f aca="false">IF($B$3="NYMEX",0,VLOOKUP($A52,curvesettle,HLOOKUP($B$3,curvesettle,2,FALSE()),FALSE()))</f>
        <v>0.225</v>
      </c>
      <c r="L52" s="40" t="n">
        <f aca="false">IF($B$4="NYMEX",0,VLOOKUP($A52,curvesettle,HLOOKUP($B$4,curvesettle,2,FALSE()),FALSE()))</f>
        <v>0</v>
      </c>
      <c r="M52" s="131" t="n">
        <f aca="false">IF(ISNUMBER(VLOOKUP($A52,VOLCURVES,HLOOKUP($B$3,VOLCURVES,2,FALSE()),FALSE())),VLOOKUP($A52,VOLCURVES,HLOOKUP($B$3,VOLCURVES,2,FALSE()),FALSE()),1)</f>
        <v>1.02</v>
      </c>
      <c r="N52" s="131" t="n">
        <f aca="false">IF(ISNUMBER(VLOOKUP($A52,VOLCURVES,HLOOKUP($B$4,VOLCURVES,2,FALSE()),FALSE())),VLOOKUP($A52,VOLCURVES,HLOOKUP($B$4,VOLCURVES,2,FALSE()),FALSE()),1)</f>
        <v>1</v>
      </c>
      <c r="O52" s="131" t="n">
        <f aca="false">IF(ISNUMBER(VLOOKUP($A52,CORETABLE,HLOOKUP($B$3,CORETABLE,2,FALSE()),FALSE())),VLOOKUP($A52,CORETABLE,HLOOKUP($B$3,CORETABLE,2,FALSE()),FALSE()),0.99)</f>
        <v>0.96</v>
      </c>
      <c r="P52" s="155" t="n">
        <f aca="false">B$18</f>
        <v>0.3</v>
      </c>
      <c r="Q52" s="131"/>
      <c r="R52" s="40" t="n">
        <f aca="false">IF($D$3="NYMEX",0,VLOOKUP($A52,curvesettle,HLOOKUP($D$3,curvesettle,2,FALSE()),FALSE()))</f>
        <v>-0.33</v>
      </c>
      <c r="S52" s="40" t="n">
        <f aca="false">IF($D$4="NYMEX",0,VLOOKUP($A52,curvesettle,HLOOKUP($D$4,curvesettle,2,FALSE()),FALSE()))</f>
        <v>0</v>
      </c>
      <c r="T52" s="131" t="n">
        <f aca="false">IF(ISNUMBER(VLOOKUP($A52,VOLCURVES,HLOOKUP($D$3,VOLCURVES,2,FALSE()),FALSE())),VLOOKUP($A52,VOLCURVES,HLOOKUP($D$3,VOLCURVES,2,FALSE()),FALSE()),1)</f>
        <v>0.97</v>
      </c>
      <c r="U52" s="131" t="n">
        <f aca="false">IF(ISNUMBER(VLOOKUP($A52,VOLCURVES,HLOOKUP($D$4,VOLCURVES,2,FALSE()),FALSE())),VLOOKUP($A52,VOLCURVES,HLOOKUP($D$4,VOLCURVES,2,FALSE()),FALSE()),1)</f>
        <v>1</v>
      </c>
      <c r="V52" s="131" t="n">
        <f aca="false">IF(ISNUMBER(VLOOKUP($A52,CORETABLE,HLOOKUP($D$3,CORETABLE,2,FALSE()),FALSE())),VLOOKUP($A52,CORETABLE,HLOOKUP($D$3,CORETABLE,2,FALSE()),FALSE()),0.99)</f>
        <v>0.96</v>
      </c>
      <c r="W52" s="155" t="n">
        <f aca="false">D$18</f>
        <v>-0.35</v>
      </c>
      <c r="X52" s="131"/>
      <c r="Y52" s="40" t="n">
        <f aca="false">IF($F$3="NYMEX",0,VLOOKUP($A52,curvesettle,HLOOKUP($F$3,curvesettle,2,FALSE()),FALSE()))</f>
        <v>-0.13</v>
      </c>
      <c r="Z52" s="40" t="n">
        <f aca="false">IF($F$4="NYMEX",0,VLOOKUP($A52,curvesettle,HLOOKUP($F$4,curvesettle,2,FALSE()),FALSE()))</f>
        <v>0</v>
      </c>
      <c r="AA52" s="131" t="n">
        <f aca="false">IF(ISNUMBER(VLOOKUP($A52,VOLCURVES,HLOOKUP($F$3,VOLCURVES,2,FALSE()),FALSE())),VLOOKUP($A52,VOLCURVES,HLOOKUP($F$3,VOLCURVES,2,FALSE()),FALSE()),1)</f>
        <v>1</v>
      </c>
      <c r="AB52" s="131" t="n">
        <f aca="false">IF(ISNUMBER(VLOOKUP($A52,VOLCURVES,HLOOKUP($F$4,VOLCURVES,2,FALSE()),FALSE())),VLOOKUP($A52,VOLCURVES,HLOOKUP($F$4,VOLCURVES,2,FALSE()),FALSE()),1)</f>
        <v>1</v>
      </c>
      <c r="AC52" s="131" t="n">
        <f aca="false">IF(ISNUMBER(VLOOKUP($A52,CORETABLE,HLOOKUP($F$3,CORETABLE,2,FALSE()),FALSE())),VLOOKUP($A52,CORETABLE,HLOOKUP($F$3,CORETABLE,2,FALSE()),FALSE()),1)</f>
        <v>0.995</v>
      </c>
      <c r="AD52" s="155" t="n">
        <f aca="false">F$18</f>
        <v>-0.2</v>
      </c>
      <c r="AE52" s="131"/>
      <c r="AF52" s="40" t="n">
        <f aca="false">IF($H$3="NYMEX",0,VLOOKUP($A52,curvesettle,HLOOKUP($H$3,curvesettle,2,FALSE()),FALSE()))</f>
        <v>0.1675</v>
      </c>
      <c r="AG52" s="40" t="n">
        <f aca="false">IF($H$4="NYMEX",0,VLOOKUP($A52,curvesettle,HLOOKUP($H$4,curvesettle,2,FALSE()),FALSE()))</f>
        <v>0</v>
      </c>
      <c r="AH52" s="131" t="n">
        <f aca="false">IF(ISNUMBER(VLOOKUP($A52,VOLCURVES,HLOOKUP($H$3,VOLCURVES,2,FALSE()),FALSE())),VLOOKUP($A52,VOLCURVES,HLOOKUP($H$3,VOLCURVES,2,FALSE()),FALSE()),1)</f>
        <v>1</v>
      </c>
      <c r="AI52" s="131" t="n">
        <f aca="false">IF(ISNUMBER(VLOOKUP($A52,VOLCURVES,HLOOKUP($H$4,VOLCURVES,2,FALSE()),FALSE())),VLOOKUP($A52,VOLCURVES,HLOOKUP($H$4,VOLCURVES,2,FALSE()),FALSE()),1)</f>
        <v>1</v>
      </c>
      <c r="AJ52" s="131" t="n">
        <f aca="false">IF(ISNUMBER(VLOOKUP($A52,CORETABLE,HLOOKUP($H$3,CORETABLE,2,FALSE()),FALSE())),VLOOKUP($A52,CORETABLE,HLOOKUP($H$3,CORETABLE,2,FALSE()),FALSE()),1)</f>
        <v>0.984107647518451</v>
      </c>
      <c r="AK52" s="155" t="n">
        <f aca="false">H$18</f>
        <v>0.2</v>
      </c>
      <c r="AM52" s="4" t="n">
        <f aca="false">VLOOKUP($A52,STRADDLE,12,FALSE())</f>
        <v>0.06737444237849</v>
      </c>
      <c r="AN52" s="43" t="n">
        <f aca="false">A53-A52</f>
        <v>31</v>
      </c>
      <c r="AP52" s="9" t="n">
        <f aca="false">IF($A52&gt;=AR$32,IF($A52&lt;=AR$33,$AN52,0),0)</f>
        <v>0</v>
      </c>
      <c r="AQ52" s="123" t="n">
        <f aca="false">$B52+$K52+$B$12</f>
        <v>4.7735</v>
      </c>
      <c r="AR52" s="123" t="n">
        <f aca="false">$B52+$L52+$B$13</f>
        <v>4.581</v>
      </c>
      <c r="AS52" s="123" t="n">
        <f aca="false">AQ52*AP52</f>
        <v>0</v>
      </c>
      <c r="AT52" s="123" t="n">
        <f aca="false">AR52*AP52</f>
        <v>0</v>
      </c>
      <c r="AU52" s="156" t="n">
        <f aca="false">($C52*$M52)+$B$14</f>
        <v>0.42075</v>
      </c>
      <c r="AV52" s="156" t="n">
        <f aca="false">($C52*$N52)+$B$15</f>
        <v>0.4125</v>
      </c>
      <c r="AW52" s="131" t="n">
        <f aca="false">O52+B$16</f>
        <v>0.96</v>
      </c>
      <c r="AX52" s="157" t="n">
        <f aca="false">IF(AP52=0,0,SPRDOPT(AQ52,AR52,$P52,$AM52,AU52,AV52,AW52,$F52,$B$19,0))</f>
        <v>0</v>
      </c>
      <c r="AY52" s="157" t="e">
        <f aca="false">IF(AQ52=0,0,SPRDOPT(AQ52,AR52,$P52,$AM52,AU52,AV52,AW52,$F52,$B$19,1))</f>
        <v>#NAME?</v>
      </c>
      <c r="AZ52" s="157" t="e">
        <f aca="false">IF(AR52=0,0,SPRDOPT(AQ52,AR52,$P52,$AM52,AU52,AV52,AW52,$F52,$B$19,2))</f>
        <v>#NAME?</v>
      </c>
      <c r="BA52" s="157" t="n">
        <f aca="false">IF(AS52=0,0,SPRDOPT(AQ52,AR52,$P52,$AM52,AU52,AV52,AW52,$F52,$B$19,3)/100)</f>
        <v>0</v>
      </c>
      <c r="BB52" s="157" t="n">
        <f aca="false">IF(AT52=0,0,SPRDOPT(AQ52,AR52,$P52,$AM52,AU52,AV52,AW52,$F52,$B$19,4)/100)</f>
        <v>0</v>
      </c>
      <c r="BC52" s="157" t="e">
        <f aca="false">IF(AU52=0,0,SPRDOPT(AQ52,AR52,$P52,$AM52,AU52,AV52,AW52,$F52,$B$19,5)/100)</f>
        <v>#NAME?</v>
      </c>
      <c r="BD52" s="157" t="e">
        <f aca="false">IF(AV52=0,0,SPRDOPT(AQ52,AR52,$P52,$AM52,AU52,AV52,AW52,$F52,$B$19,6)/100)</f>
        <v>#NAME?</v>
      </c>
      <c r="BE52" s="157" t="e">
        <f aca="false">IF(AW52=0,0,SPRDOPT(AQ52,AR52,$P52,$AM52,AU52,AV52,AW52,$F52,$B$19,7)/100)</f>
        <v>#NAME?</v>
      </c>
      <c r="BF52" s="157" t="n">
        <f aca="false">IF(AX52=0,0,SPRDOPT(AQ52,AR52,$P52,$AM52,AU52,AV52,AW52,$F52,$B$19,9)/365)</f>
        <v>0</v>
      </c>
      <c r="BG52" s="157" t="e">
        <f aca="false">AY52+AZ52</f>
        <v>#NAME?</v>
      </c>
      <c r="BH52" s="157" t="n">
        <f aca="false">BB52-BA52</f>
        <v>0</v>
      </c>
      <c r="BI52" s="157" t="e">
        <f aca="false">((AU52/AV52)*BC52)+BD52</f>
        <v>#NAME?</v>
      </c>
      <c r="BJ52" s="44"/>
      <c r="BK52" s="45" t="n">
        <f aca="false">$AP52*AX52</f>
        <v>0</v>
      </c>
      <c r="BL52" s="45" t="e">
        <f aca="false">$AP52*AY52</f>
        <v>#NAME?</v>
      </c>
      <c r="BM52" s="45" t="e">
        <f aca="false">$AP52*AZ52</f>
        <v>#NAME?</v>
      </c>
      <c r="BN52" s="45" t="n">
        <f aca="false">$AP52*BA52</f>
        <v>0</v>
      </c>
      <c r="BO52" s="45" t="n">
        <f aca="false">$AP52*BB52</f>
        <v>0</v>
      </c>
      <c r="BP52" s="45" t="e">
        <f aca="false">$AP52*BC52</f>
        <v>#NAME?</v>
      </c>
      <c r="BQ52" s="45" t="e">
        <f aca="false">$AP52*BD52</f>
        <v>#NAME?</v>
      </c>
      <c r="BR52" s="45" t="e">
        <f aca="false">$AP52*BE52</f>
        <v>#NAME?</v>
      </c>
      <c r="BS52" s="45" t="n">
        <f aca="false">$AP52*BF52</f>
        <v>0</v>
      </c>
      <c r="BT52" s="45" t="e">
        <f aca="false">$AP52*BG52</f>
        <v>#NAME?</v>
      </c>
      <c r="BU52" s="45" t="n">
        <f aca="false">$AP52*BH52</f>
        <v>0</v>
      </c>
      <c r="BV52" s="45" t="e">
        <f aca="false">$AP52*BI52</f>
        <v>#NAME?</v>
      </c>
      <c r="BX52" s="9" t="n">
        <f aca="false">IF($A52&gt;=BZ$32,IF($A52&lt;=BZ$33,$AN52,0),0)</f>
        <v>0</v>
      </c>
      <c r="BY52" s="123" t="n">
        <f aca="false">$B52+$R52+$D$12</f>
        <v>4.2185</v>
      </c>
      <c r="BZ52" s="123" t="n">
        <f aca="false">$B52+$S52+$D$13</f>
        <v>4.581</v>
      </c>
      <c r="CA52" s="123" t="n">
        <f aca="false">BY52*BX52</f>
        <v>0</v>
      </c>
      <c r="CB52" s="123" t="n">
        <f aca="false">BZ52*BX52</f>
        <v>0</v>
      </c>
      <c r="CC52" s="156" t="n">
        <f aca="false">($C52*$T52)+$D$14</f>
        <v>0.400125</v>
      </c>
      <c r="CD52" s="156" t="n">
        <f aca="false">($C52*$U52)+$D$15</f>
        <v>0.4125</v>
      </c>
      <c r="CE52" s="131" t="n">
        <f aca="false">$V52+D$16</f>
        <v>0.96</v>
      </c>
      <c r="CF52" s="157" t="n">
        <f aca="false">IF(BX52=0,0,SPRDOPT(BY52,BZ52,$W52,$AM52,CC52,CD52,CE52,$F52,$D$19,0))</f>
        <v>0</v>
      </c>
      <c r="CG52" s="157" t="e">
        <f aca="false">IF(BY52=0,0,SPRDOPT(BY52,BZ52,$W52,$AM52,CC52,CD52,CE52,$F52,$D$19,1))</f>
        <v>#NAME?</v>
      </c>
      <c r="CH52" s="157" t="e">
        <f aca="false">IF(BZ52=0,0,SPRDOPT(BY52,BZ52,$W52,$AM52,CC52,CD52,CE52,$F52,$D$19,2))</f>
        <v>#NAME?</v>
      </c>
      <c r="CI52" s="157" t="n">
        <f aca="false">IF(CA52=0,0,SPRDOPT(BY52,BZ52,$W52,$AM52,CC52,CD52,CE52,$F52,$D$19,3)/100)</f>
        <v>0</v>
      </c>
      <c r="CJ52" s="157" t="n">
        <f aca="false">IF(CB52=0,0,SPRDOPT(BY52,BZ52,$W52,$AM52,CC52,CD52,CE52,$F52,$D$19,4)/100)</f>
        <v>0</v>
      </c>
      <c r="CK52" s="157" t="e">
        <f aca="false">IF(CC52=0,0,SPRDOPT(BY52,BZ52,$W52,$AM52,CC52,CD52,CE52,$F52,$D$19,5)/100)</f>
        <v>#NAME?</v>
      </c>
      <c r="CL52" s="157" t="e">
        <f aca="false">IF(CD52=0,0,SPRDOPT(BY52,BZ52,$W52,$AM52,CC52,CD52,CE52,$F52,$D$19,6)/100)</f>
        <v>#NAME?</v>
      </c>
      <c r="CM52" s="157" t="e">
        <f aca="false">IF(CE52=0,0,SPRDOPT(BY52,BZ52,$W52,$AM52,CC52,CD52,CE52,$F52,$D$19,7)/100)</f>
        <v>#NAME?</v>
      </c>
      <c r="CN52" s="157" t="n">
        <f aca="false">IF(CF52=0,0,SPRDOPT(BY52,BZ52,$W52,$AM52,CC52,CD52,CE52,$F52,$D$19,9)/365)</f>
        <v>0</v>
      </c>
      <c r="CO52" s="157" t="e">
        <f aca="false">CG52+CH52</f>
        <v>#NAME?</v>
      </c>
      <c r="CP52" s="157" t="n">
        <f aca="false">CJ52-CI52</f>
        <v>0</v>
      </c>
      <c r="CQ52" s="157" t="e">
        <f aca="false">((CC52/CD52)*CK52)+CL52</f>
        <v>#NAME?</v>
      </c>
      <c r="CR52" s="44"/>
      <c r="CS52" s="45" t="n">
        <f aca="false">BX52*CF52</f>
        <v>0</v>
      </c>
      <c r="CT52" s="45" t="e">
        <f aca="false">BX52*CG52</f>
        <v>#NAME?</v>
      </c>
      <c r="CU52" s="45" t="e">
        <f aca="false">BX52*CH52</f>
        <v>#NAME?</v>
      </c>
      <c r="CV52" s="45" t="n">
        <f aca="false">BX52*CI52</f>
        <v>0</v>
      </c>
      <c r="CW52" s="45" t="n">
        <f aca="false">BX52*CJ52</f>
        <v>0</v>
      </c>
      <c r="CX52" s="45" t="e">
        <f aca="false">BX52*CK52</f>
        <v>#NAME?</v>
      </c>
      <c r="CY52" s="45" t="e">
        <f aca="false">BX52*CL52</f>
        <v>#NAME?</v>
      </c>
      <c r="CZ52" s="45" t="e">
        <f aca="false">BX52*CM52</f>
        <v>#NAME?</v>
      </c>
      <c r="DA52" s="45" t="n">
        <f aca="false">BX52*CN52</f>
        <v>0</v>
      </c>
      <c r="DB52" s="45" t="e">
        <f aca="false">BX52*CO52</f>
        <v>#NAME?</v>
      </c>
      <c r="DC52" s="45" t="n">
        <f aca="false">BX52*CP52</f>
        <v>0</v>
      </c>
      <c r="DD52" s="45" t="e">
        <f aca="false">BX52*CQ52</f>
        <v>#NAME?</v>
      </c>
      <c r="DF52" s="9" t="n">
        <f aca="false">IF($A52&gt;=DH$32,IF($A52&lt;=DH$33,$AN52,0),0)</f>
        <v>0</v>
      </c>
      <c r="DG52" s="123" t="n">
        <f aca="false">$B52+$Y52+$F$12</f>
        <v>4.451</v>
      </c>
      <c r="DH52" s="123" t="n">
        <f aca="false">$B52+$Z52+$F$13</f>
        <v>4.581</v>
      </c>
      <c r="DI52" s="123" t="n">
        <f aca="false">DG52*DF52</f>
        <v>0</v>
      </c>
      <c r="DJ52" s="123" t="n">
        <f aca="false">DH52*DF52</f>
        <v>0</v>
      </c>
      <c r="DK52" s="156" t="n">
        <f aca="false">($C52*$AA52)+$F$14</f>
        <v>0.4125</v>
      </c>
      <c r="DL52" s="156" t="n">
        <f aca="false">($C52*$AB52)+$F$15</f>
        <v>0.4125</v>
      </c>
      <c r="DM52" s="131" t="n">
        <f aca="false">$AC52+$F$16</f>
        <v>0.995</v>
      </c>
      <c r="DN52" s="157" t="n">
        <f aca="false">IF(DF52=0,0,SPRDOPT(DG52,DH52,$AD52,$AM52,DK52,DL52,DM52,$F52,$F$19,0))</f>
        <v>0</v>
      </c>
      <c r="DO52" s="157" t="e">
        <f aca="false">IF(DG52=0,0,SPRDOPT(DG52,DH52,$AD52,$AM52,DK52,DL52,DM52,$F52,$F$19,1))</f>
        <v>#NAME?</v>
      </c>
      <c r="DP52" s="157" t="e">
        <f aca="false">IF(DH52=0,0,SPRDOPT(DG52,DH52,$AD52,$AM52,DK52,DL52,DM52,$F52,$F$19,2))</f>
        <v>#NAME?</v>
      </c>
      <c r="DQ52" s="157" t="n">
        <f aca="false">IF(DI52=0,0,SPRDOPT(DG52,DH52,$AD52,$AM52,DK52,DL52,DM52,$F52,$F$19,3)/100)</f>
        <v>0</v>
      </c>
      <c r="DR52" s="157" t="n">
        <f aca="false">IF(DJ52=0,0,SPRDOPT(DG52,DH52,$AD52,$AM52,DK52,DL52,DM52,$F52,$F$19,4)/100)</f>
        <v>0</v>
      </c>
      <c r="DS52" s="157" t="e">
        <f aca="false">IF(DK52=0,0,SPRDOPT(DG52,DH52,$AD52,$AM52,DK52,DL52,DM52,$F52,$F$19,5)/100)</f>
        <v>#NAME?</v>
      </c>
      <c r="DT52" s="157" t="e">
        <f aca="false">IF(DL52=0,0,SPRDOPT(DG52,DH52,$AD52,$AM52,DK52,DL52,DM52,$F52,$F$19,6)/100)</f>
        <v>#NAME?</v>
      </c>
      <c r="DU52" s="157" t="e">
        <f aca="false">IF(DM52=0,0,SPRDOPT(DG52,DH52,$AD52,$AM52,DK52,DL52,DM52,$F52,$F$19,7)/100)</f>
        <v>#NAME?</v>
      </c>
      <c r="DV52" s="157" t="n">
        <f aca="false">IF(DN52=0,0,SPRDOPT(DG52,DH52,$AD52,$AM52,DK52,DL52,DM52,$F52,$F$19,9)/365)</f>
        <v>0</v>
      </c>
      <c r="DW52" s="157" t="e">
        <f aca="false">DO52+DP52</f>
        <v>#NAME?</v>
      </c>
      <c r="DX52" s="157" t="n">
        <f aca="false">DR52-DQ52</f>
        <v>0</v>
      </c>
      <c r="DY52" s="157" t="e">
        <f aca="false">((DK52/DL52)*DS52)+DT52</f>
        <v>#NAME?</v>
      </c>
      <c r="DZ52" s="44"/>
      <c r="EA52" s="45" t="n">
        <f aca="false">DF52*DN52</f>
        <v>0</v>
      </c>
      <c r="EB52" s="45" t="e">
        <f aca="false">DF52*DO52</f>
        <v>#NAME?</v>
      </c>
      <c r="EC52" s="45" t="e">
        <f aca="false">DF52*DP52</f>
        <v>#NAME?</v>
      </c>
      <c r="ED52" s="45" t="n">
        <f aca="false">DF52*DQ52</f>
        <v>0</v>
      </c>
      <c r="EE52" s="45" t="n">
        <f aca="false">DF52*DR52</f>
        <v>0</v>
      </c>
      <c r="EF52" s="45" t="e">
        <f aca="false">DF52*DS52</f>
        <v>#NAME?</v>
      </c>
      <c r="EG52" s="45" t="e">
        <f aca="false">DF52*DT52</f>
        <v>#NAME?</v>
      </c>
      <c r="EH52" s="45" t="e">
        <f aca="false">DF52*DU52</f>
        <v>#NAME?</v>
      </c>
      <c r="EI52" s="45" t="n">
        <f aca="false">DF52*DV52</f>
        <v>0</v>
      </c>
      <c r="EJ52" s="45" t="e">
        <f aca="false">DF52*DW52</f>
        <v>#NAME?</v>
      </c>
      <c r="EK52" s="45" t="n">
        <f aca="false">DF52*DX52</f>
        <v>0</v>
      </c>
      <c r="EL52" s="45" t="e">
        <f aca="false">DF52*DY52</f>
        <v>#NAME?</v>
      </c>
      <c r="EN52" s="9" t="n">
        <f aca="false">IF($A52&gt;=EP$32,IF($A52&lt;=EP$33,$AN52,0),0)</f>
        <v>0</v>
      </c>
      <c r="EO52" s="123" t="n">
        <f aca="false">$B52+$AF52+$H$12</f>
        <v>4.7535</v>
      </c>
      <c r="EP52" s="123" t="n">
        <f aca="false">$B52+$AG52+$H$13</f>
        <v>4.581</v>
      </c>
      <c r="EQ52" s="123" t="n">
        <f aca="false">EO52*EN52</f>
        <v>0</v>
      </c>
      <c r="ER52" s="123" t="n">
        <f aca="false">EP52*EN52</f>
        <v>0</v>
      </c>
      <c r="ES52" s="156" t="n">
        <f aca="false">($C52*$AH52)+$H$14</f>
        <v>0.4125</v>
      </c>
      <c r="ET52" s="156" t="n">
        <f aca="false">($C52*$AI52)+$H$15</f>
        <v>0.4125</v>
      </c>
      <c r="EU52" s="131" t="n">
        <f aca="false">$AJ52+$H$16</f>
        <v>0.984107647518451</v>
      </c>
      <c r="EV52" s="157" t="n">
        <f aca="false">IF(EN52=0,0,SPRDOPT(EO52,EP52,$AK52,$AM52,ES52,ET52,EU52,$F52,$H$19,0))</f>
        <v>0</v>
      </c>
      <c r="EW52" s="157" t="e">
        <f aca="false">IF(EO52=0,0,SPRDOPT(EO52,EP52,$AK52,$AM52,ES52,ET52,EU52,$F52,$H$19,1))</f>
        <v>#NAME?</v>
      </c>
      <c r="EX52" s="157" t="e">
        <f aca="false">IF(EP52=0,0,SPRDOPT(EO52,EP52,$AK52,$AM52,ES52,ET52,EU52,$F52,$H$19,2))</f>
        <v>#NAME?</v>
      </c>
      <c r="EY52" s="157" t="n">
        <f aca="false">IF(EQ52=0,0,SPRDOPT(EO52,EP52,$AK52,$AM52,ES52,ET52,EU52,$F52,$H$19,3)/100)</f>
        <v>0</v>
      </c>
      <c r="EZ52" s="157" t="n">
        <f aca="false">IF(ER52=0,0,SPRDOPT(EO52,EP52,$AK52,$AM52,ES52,ET52,EU52,$F52,$H$19,4)/100)</f>
        <v>0</v>
      </c>
      <c r="FA52" s="157" t="e">
        <f aca="false">IF(ES52=0,0,SPRDOPT(EO52,EP52,$AK52,$AM52,ES52,ET52,EU52,$F52,$H$19,5)/100)</f>
        <v>#NAME?</v>
      </c>
      <c r="FB52" s="157" t="e">
        <f aca="false">IF(ET52=0,0,SPRDOPT(EO52,EP52,$AK52,$AM52,ES52,ET52,EU52,$F52,$H$19,6)/100)</f>
        <v>#NAME?</v>
      </c>
      <c r="FC52" s="157" t="e">
        <f aca="false">IF(EU52=0,0,SPRDOPT(EO52,EP52,$AK52,$AM52,ES52,ET52,EU52,$F52,$H$19,7)/100)</f>
        <v>#NAME?</v>
      </c>
      <c r="FD52" s="157" t="n">
        <f aca="false">IF(EV52=0,0,SPRDOPT(EO52,EP52,$AK52,$AM52,ES52,ET52,EU52,$F52,$H$19,9)/365)</f>
        <v>0</v>
      </c>
      <c r="FE52" s="157" t="e">
        <f aca="false">EW52+EX52</f>
        <v>#NAME?</v>
      </c>
      <c r="FF52" s="157" t="n">
        <f aca="false">EZ52-EY52</f>
        <v>0</v>
      </c>
      <c r="FG52" s="157" t="e">
        <f aca="false">((ES52/ET52)*FA52)+FB52</f>
        <v>#NAME?</v>
      </c>
      <c r="FH52" s="44"/>
      <c r="FI52" s="45" t="n">
        <f aca="false">$EN52*EV52</f>
        <v>0</v>
      </c>
      <c r="FJ52" s="45" t="e">
        <f aca="false">$EN52*EW52</f>
        <v>#NAME?</v>
      </c>
      <c r="FK52" s="45" t="e">
        <f aca="false">$EN52*EX52</f>
        <v>#NAME?</v>
      </c>
      <c r="FL52" s="45" t="n">
        <f aca="false">$EN52*EY52</f>
        <v>0</v>
      </c>
      <c r="FM52" s="45" t="n">
        <f aca="false">$EN52*EZ52</f>
        <v>0</v>
      </c>
      <c r="FN52" s="45" t="e">
        <f aca="false">$EN52*FA52</f>
        <v>#NAME?</v>
      </c>
      <c r="FO52" s="45" t="e">
        <f aca="false">$EN52*FB52</f>
        <v>#NAME?</v>
      </c>
      <c r="FP52" s="45" t="e">
        <f aca="false">$EN52*FC52</f>
        <v>#NAME?</v>
      </c>
      <c r="FQ52" s="45" t="n">
        <f aca="false">$EN52*FD52</f>
        <v>0</v>
      </c>
      <c r="FR52" s="45" t="e">
        <f aca="false">$EN52*FE52</f>
        <v>#NAME?</v>
      </c>
      <c r="FS52" s="45" t="n">
        <f aca="false">$EN52*FF52</f>
        <v>0</v>
      </c>
      <c r="FT52" s="45" t="e">
        <f aca="false">$EN52*FG52</f>
        <v>#NAME?</v>
      </c>
    </row>
    <row r="53" customFormat="false" ht="12.75" hidden="false" customHeight="false" outlineLevel="0" collapsed="false">
      <c r="A53" s="48" t="n">
        <f aca="false">DATE(YEAR(A52),MONTH(A52)+1,1)</f>
        <v>37257</v>
      </c>
      <c r="B53" s="40" t="n">
        <f aca="false">VLOOKUP(A53,STRADDLE,5,FALSE())</f>
        <v>4.546</v>
      </c>
      <c r="C53" s="4" t="n">
        <f aca="false">VLOOKUP(A53,STRADDLE,8,FALSE())</f>
        <v>0.4175</v>
      </c>
      <c r="D53" s="40"/>
      <c r="E53" s="131"/>
      <c r="F53" s="136" t="n">
        <f aca="false">VLOOKUP(A53,expiration,2,FALSE())-$B$2</f>
        <v>-8674</v>
      </c>
      <c r="G53" s="4"/>
      <c r="H53" s="4"/>
      <c r="I53" s="41"/>
      <c r="J53" s="154"/>
      <c r="K53" s="40" t="n">
        <f aca="false">IF($B$3="NYMEX",0,VLOOKUP($A53,curvesettle,HLOOKUP($B$3,curvesettle,2,FALSE()),FALSE()))</f>
        <v>0.235</v>
      </c>
      <c r="L53" s="40" t="n">
        <f aca="false">IF($B$4="NYMEX",0,VLOOKUP($A53,curvesettle,HLOOKUP($B$4,curvesettle,2,FALSE()),FALSE()))</f>
        <v>0</v>
      </c>
      <c r="M53" s="131" t="n">
        <f aca="false">IF(ISNUMBER(VLOOKUP($A53,VOLCURVES,HLOOKUP($B$3,VOLCURVES,2,FALSE()),FALSE())),VLOOKUP($A53,VOLCURVES,HLOOKUP($B$3,VOLCURVES,2,FALSE()),FALSE()),1)</f>
        <v>1.02</v>
      </c>
      <c r="N53" s="131" t="n">
        <f aca="false">IF(ISNUMBER(VLOOKUP($A53,VOLCURVES,HLOOKUP($B$4,VOLCURVES,2,FALSE()),FALSE())),VLOOKUP($A53,VOLCURVES,HLOOKUP($B$4,VOLCURVES,2,FALSE()),FALSE()),1)</f>
        <v>1</v>
      </c>
      <c r="O53" s="131" t="n">
        <f aca="false">IF(ISNUMBER(VLOOKUP($A53,CORETABLE,HLOOKUP($B$3,CORETABLE,2,FALSE()),FALSE())),VLOOKUP($A53,CORETABLE,HLOOKUP($B$3,CORETABLE,2,FALSE()),FALSE()),0.99)</f>
        <v>0.96</v>
      </c>
      <c r="P53" s="155" t="n">
        <f aca="false">B$18</f>
        <v>0.3</v>
      </c>
      <c r="Q53" s="131"/>
      <c r="R53" s="40" t="n">
        <f aca="false">IF($D$3="NYMEX",0,VLOOKUP($A53,curvesettle,HLOOKUP($D$3,curvesettle,2,FALSE()),FALSE()))</f>
        <v>-0.33</v>
      </c>
      <c r="S53" s="40" t="n">
        <f aca="false">IF($D$4="NYMEX",0,VLOOKUP($A53,curvesettle,HLOOKUP($D$4,curvesettle,2,FALSE()),FALSE()))</f>
        <v>0</v>
      </c>
      <c r="T53" s="131" t="n">
        <f aca="false">IF(ISNUMBER(VLOOKUP($A53,VOLCURVES,HLOOKUP($D$3,VOLCURVES,2,FALSE()),FALSE())),VLOOKUP($A53,VOLCURVES,HLOOKUP($D$3,VOLCURVES,2,FALSE()),FALSE()),1)</f>
        <v>0.97</v>
      </c>
      <c r="U53" s="131" t="n">
        <f aca="false">IF(ISNUMBER(VLOOKUP($A53,VOLCURVES,HLOOKUP($D$4,VOLCURVES,2,FALSE()),FALSE())),VLOOKUP($A53,VOLCURVES,HLOOKUP($D$4,VOLCURVES,2,FALSE()),FALSE()),1)</f>
        <v>1</v>
      </c>
      <c r="V53" s="131" t="n">
        <f aca="false">IF(ISNUMBER(VLOOKUP($A53,CORETABLE,HLOOKUP($D$3,CORETABLE,2,FALSE()),FALSE())),VLOOKUP($A53,CORETABLE,HLOOKUP($D$3,CORETABLE,2,FALSE()),FALSE()),0.99)</f>
        <v>0.96</v>
      </c>
      <c r="W53" s="155" t="n">
        <f aca="false">D$18</f>
        <v>-0.35</v>
      </c>
      <c r="X53" s="131"/>
      <c r="Y53" s="40" t="n">
        <f aca="false">IF($F$3="NYMEX",0,VLOOKUP($A53,curvesettle,HLOOKUP($F$3,curvesettle,2,FALSE()),FALSE()))</f>
        <v>-0.1325</v>
      </c>
      <c r="Z53" s="40" t="n">
        <f aca="false">IF($F$4="NYMEX",0,VLOOKUP($A53,curvesettle,HLOOKUP($F$4,curvesettle,2,FALSE()),FALSE()))</f>
        <v>0</v>
      </c>
      <c r="AA53" s="131" t="n">
        <f aca="false">IF(ISNUMBER(VLOOKUP($A53,VOLCURVES,HLOOKUP($F$3,VOLCURVES,2,FALSE()),FALSE())),VLOOKUP($A53,VOLCURVES,HLOOKUP($F$3,VOLCURVES,2,FALSE()),FALSE()),1)</f>
        <v>1</v>
      </c>
      <c r="AB53" s="131" t="n">
        <f aca="false">IF(ISNUMBER(VLOOKUP($A53,VOLCURVES,HLOOKUP($F$4,VOLCURVES,2,FALSE()),FALSE())),VLOOKUP($A53,VOLCURVES,HLOOKUP($F$4,VOLCURVES,2,FALSE()),FALSE()),1)</f>
        <v>1</v>
      </c>
      <c r="AC53" s="131" t="n">
        <f aca="false">IF(ISNUMBER(VLOOKUP($A53,CORETABLE,HLOOKUP($F$3,CORETABLE,2,FALSE()),FALSE())),VLOOKUP($A53,CORETABLE,HLOOKUP($F$3,CORETABLE,2,FALSE()),FALSE()),1)</f>
        <v>0.995</v>
      </c>
      <c r="AD53" s="155" t="n">
        <f aca="false">F$18</f>
        <v>-0.2</v>
      </c>
      <c r="AE53" s="131"/>
      <c r="AF53" s="40" t="n">
        <f aca="false">IF($H$3="NYMEX",0,VLOOKUP($A53,curvesettle,HLOOKUP($H$3,curvesettle,2,FALSE()),FALSE()))</f>
        <v>0.18</v>
      </c>
      <c r="AG53" s="40" t="n">
        <f aca="false">IF($H$4="NYMEX",0,VLOOKUP($A53,curvesettle,HLOOKUP($H$4,curvesettle,2,FALSE()),FALSE()))</f>
        <v>0</v>
      </c>
      <c r="AH53" s="131" t="n">
        <f aca="false">IF(ISNUMBER(VLOOKUP($A53,VOLCURVES,HLOOKUP($H$3,VOLCURVES,2,FALSE()),FALSE())),VLOOKUP($A53,VOLCURVES,HLOOKUP($H$3,VOLCURVES,2,FALSE()),FALSE()),1)</f>
        <v>1</v>
      </c>
      <c r="AI53" s="131" t="n">
        <f aca="false">IF(ISNUMBER(VLOOKUP($A53,VOLCURVES,HLOOKUP($H$4,VOLCURVES,2,FALSE()),FALSE())),VLOOKUP($A53,VOLCURVES,HLOOKUP($H$4,VOLCURVES,2,FALSE()),FALSE()),1)</f>
        <v>1</v>
      </c>
      <c r="AJ53" s="131" t="n">
        <f aca="false">IF(ISNUMBER(VLOOKUP($A53,CORETABLE,HLOOKUP($H$3,CORETABLE,2,FALSE()),FALSE())),VLOOKUP($A53,CORETABLE,HLOOKUP($H$3,CORETABLE,2,FALSE()),FALSE()),1)</f>
        <v>0.984107647518451</v>
      </c>
      <c r="AK53" s="155" t="n">
        <f aca="false">H$18</f>
        <v>0.2</v>
      </c>
      <c r="AM53" s="4" t="n">
        <f aca="false">VLOOKUP($A53,STRADDLE,12,FALSE())</f>
        <v>0.067333198956693</v>
      </c>
      <c r="AN53" s="43" t="n">
        <f aca="false">A54-A53</f>
        <v>31</v>
      </c>
      <c r="AP53" s="9" t="n">
        <f aca="false">IF($A53&gt;=AR$32,IF($A53&lt;=AR$33,$AN53,0),0)</f>
        <v>0</v>
      </c>
      <c r="AQ53" s="123" t="n">
        <f aca="false">$B53+$K53+$B$12</f>
        <v>4.7485</v>
      </c>
      <c r="AR53" s="123" t="n">
        <f aca="false">$B53+$L53+$B$13</f>
        <v>4.546</v>
      </c>
      <c r="AS53" s="123" t="n">
        <f aca="false">AQ53*AP53</f>
        <v>0</v>
      </c>
      <c r="AT53" s="123" t="n">
        <f aca="false">AR53*AP53</f>
        <v>0</v>
      </c>
      <c r="AU53" s="156" t="n">
        <f aca="false">($C53*$M53)+$B$14</f>
        <v>0.42585</v>
      </c>
      <c r="AV53" s="156" t="n">
        <f aca="false">($C53*$N53)+$B$15</f>
        <v>0.4175</v>
      </c>
      <c r="AW53" s="131" t="n">
        <f aca="false">O53+B$16</f>
        <v>0.96</v>
      </c>
      <c r="AX53" s="157" t="n">
        <f aca="false">IF(AP53=0,0,SPRDOPT(AQ53,AR53,$P53,$AM53,AU53,AV53,AW53,$F53,$B$19,0))</f>
        <v>0</v>
      </c>
      <c r="AY53" s="157" t="e">
        <f aca="false">IF(AQ53=0,0,SPRDOPT(AQ53,AR53,$P53,$AM53,AU53,AV53,AW53,$F53,$B$19,1))</f>
        <v>#NAME?</v>
      </c>
      <c r="AZ53" s="157" t="e">
        <f aca="false">IF(AR53=0,0,SPRDOPT(AQ53,AR53,$P53,$AM53,AU53,AV53,AW53,$F53,$B$19,2))</f>
        <v>#NAME?</v>
      </c>
      <c r="BA53" s="157" t="n">
        <f aca="false">IF(AS53=0,0,SPRDOPT(AQ53,AR53,$P53,$AM53,AU53,AV53,AW53,$F53,$B$19,3)/100)</f>
        <v>0</v>
      </c>
      <c r="BB53" s="157" t="n">
        <f aca="false">IF(AT53=0,0,SPRDOPT(AQ53,AR53,$P53,$AM53,AU53,AV53,AW53,$F53,$B$19,4)/100)</f>
        <v>0</v>
      </c>
      <c r="BC53" s="157" t="e">
        <f aca="false">IF(AU53=0,0,SPRDOPT(AQ53,AR53,$P53,$AM53,AU53,AV53,AW53,$F53,$B$19,5)/100)</f>
        <v>#NAME?</v>
      </c>
      <c r="BD53" s="157" t="e">
        <f aca="false">IF(AV53=0,0,SPRDOPT(AQ53,AR53,$P53,$AM53,AU53,AV53,AW53,$F53,$B$19,6)/100)</f>
        <v>#NAME?</v>
      </c>
      <c r="BE53" s="157" t="e">
        <f aca="false">IF(AW53=0,0,SPRDOPT(AQ53,AR53,$P53,$AM53,AU53,AV53,AW53,$F53,$B$19,7)/100)</f>
        <v>#NAME?</v>
      </c>
      <c r="BF53" s="157" t="n">
        <f aca="false">IF(AX53=0,0,SPRDOPT(AQ53,AR53,$P53,$AM53,AU53,AV53,AW53,$F53,$B$19,9)/365)</f>
        <v>0</v>
      </c>
      <c r="BG53" s="157" t="e">
        <f aca="false">AY53+AZ53</f>
        <v>#NAME?</v>
      </c>
      <c r="BH53" s="157" t="n">
        <f aca="false">BB53-BA53</f>
        <v>0</v>
      </c>
      <c r="BI53" s="157" t="e">
        <f aca="false">((AU53/AV53)*BC53)+BD53</f>
        <v>#NAME?</v>
      </c>
      <c r="BJ53" s="44"/>
      <c r="BK53" s="45" t="n">
        <f aca="false">$AP53*AX53</f>
        <v>0</v>
      </c>
      <c r="BL53" s="45" t="e">
        <f aca="false">$AP53*AY53</f>
        <v>#NAME?</v>
      </c>
      <c r="BM53" s="45" t="e">
        <f aca="false">$AP53*AZ53</f>
        <v>#NAME?</v>
      </c>
      <c r="BN53" s="45" t="n">
        <f aca="false">$AP53*BA53</f>
        <v>0</v>
      </c>
      <c r="BO53" s="45" t="n">
        <f aca="false">$AP53*BB53</f>
        <v>0</v>
      </c>
      <c r="BP53" s="45" t="e">
        <f aca="false">$AP53*BC53</f>
        <v>#NAME?</v>
      </c>
      <c r="BQ53" s="45" t="e">
        <f aca="false">$AP53*BD53</f>
        <v>#NAME?</v>
      </c>
      <c r="BR53" s="45" t="e">
        <f aca="false">$AP53*BE53</f>
        <v>#NAME?</v>
      </c>
      <c r="BS53" s="45" t="n">
        <f aca="false">$AP53*BF53</f>
        <v>0</v>
      </c>
      <c r="BT53" s="45" t="e">
        <f aca="false">$AP53*BG53</f>
        <v>#NAME?</v>
      </c>
      <c r="BU53" s="45" t="n">
        <f aca="false">$AP53*BH53</f>
        <v>0</v>
      </c>
      <c r="BV53" s="45" t="e">
        <f aca="false">$AP53*BI53</f>
        <v>#NAME?</v>
      </c>
      <c r="BX53" s="9" t="n">
        <f aca="false">IF($A53&gt;=BZ$32,IF($A53&lt;=BZ$33,$AN53,0),0)</f>
        <v>0</v>
      </c>
      <c r="BY53" s="123" t="n">
        <f aca="false">$B53+$R53+$D$12</f>
        <v>4.1835</v>
      </c>
      <c r="BZ53" s="123" t="n">
        <f aca="false">$B53+$S53+$D$13</f>
        <v>4.546</v>
      </c>
      <c r="CA53" s="123" t="n">
        <f aca="false">BY53*BX53</f>
        <v>0</v>
      </c>
      <c r="CB53" s="123" t="n">
        <f aca="false">BZ53*BX53</f>
        <v>0</v>
      </c>
      <c r="CC53" s="156" t="n">
        <f aca="false">($C53*$T53)+$D$14</f>
        <v>0.404975</v>
      </c>
      <c r="CD53" s="156" t="n">
        <f aca="false">($C53*$U53)+$D$15</f>
        <v>0.4175</v>
      </c>
      <c r="CE53" s="131" t="n">
        <f aca="false">$V53+D$16</f>
        <v>0.96</v>
      </c>
      <c r="CF53" s="157" t="n">
        <f aca="false">IF(BX53=0,0,SPRDOPT(BY53,BZ53,$W53,$AM53,CC53,CD53,CE53,$F53,$D$19,0))</f>
        <v>0</v>
      </c>
      <c r="CG53" s="157" t="e">
        <f aca="false">IF(BY53=0,0,SPRDOPT(BY53,BZ53,$W53,$AM53,CC53,CD53,CE53,$F53,$D$19,1))</f>
        <v>#NAME?</v>
      </c>
      <c r="CH53" s="157" t="e">
        <f aca="false">IF(BZ53=0,0,SPRDOPT(BY53,BZ53,$W53,$AM53,CC53,CD53,CE53,$F53,$D$19,2))</f>
        <v>#NAME?</v>
      </c>
      <c r="CI53" s="157" t="n">
        <f aca="false">IF(CA53=0,0,SPRDOPT(BY53,BZ53,$W53,$AM53,CC53,CD53,CE53,$F53,$D$19,3)/100)</f>
        <v>0</v>
      </c>
      <c r="CJ53" s="157" t="n">
        <f aca="false">IF(CB53=0,0,SPRDOPT(BY53,BZ53,$W53,$AM53,CC53,CD53,CE53,$F53,$D$19,4)/100)</f>
        <v>0</v>
      </c>
      <c r="CK53" s="157" t="e">
        <f aca="false">IF(CC53=0,0,SPRDOPT(BY53,BZ53,$W53,$AM53,CC53,CD53,CE53,$F53,$D$19,5)/100)</f>
        <v>#NAME?</v>
      </c>
      <c r="CL53" s="157" t="e">
        <f aca="false">IF(CD53=0,0,SPRDOPT(BY53,BZ53,$W53,$AM53,CC53,CD53,CE53,$F53,$D$19,6)/100)</f>
        <v>#NAME?</v>
      </c>
      <c r="CM53" s="157" t="e">
        <f aca="false">IF(CE53=0,0,SPRDOPT(BY53,BZ53,$W53,$AM53,CC53,CD53,CE53,$F53,$D$19,7)/100)</f>
        <v>#NAME?</v>
      </c>
      <c r="CN53" s="157" t="n">
        <f aca="false">IF(CF53=0,0,SPRDOPT(BY53,BZ53,$W53,$AM53,CC53,CD53,CE53,$F53,$D$19,9)/365)</f>
        <v>0</v>
      </c>
      <c r="CO53" s="157" t="e">
        <f aca="false">CG53+CH53</f>
        <v>#NAME?</v>
      </c>
      <c r="CP53" s="157" t="n">
        <f aca="false">CJ53-CI53</f>
        <v>0</v>
      </c>
      <c r="CQ53" s="157" t="e">
        <f aca="false">((CC53/CD53)*CK53)+CL53</f>
        <v>#NAME?</v>
      </c>
      <c r="CR53" s="44"/>
      <c r="CS53" s="45" t="n">
        <f aca="false">BX53*CF53</f>
        <v>0</v>
      </c>
      <c r="CT53" s="45" t="e">
        <f aca="false">BX53*CG53</f>
        <v>#NAME?</v>
      </c>
      <c r="CU53" s="45" t="e">
        <f aca="false">BX53*CH53</f>
        <v>#NAME?</v>
      </c>
      <c r="CV53" s="45" t="n">
        <f aca="false">BX53*CI53</f>
        <v>0</v>
      </c>
      <c r="CW53" s="45" t="n">
        <f aca="false">BX53*CJ53</f>
        <v>0</v>
      </c>
      <c r="CX53" s="45" t="e">
        <f aca="false">BX53*CK53</f>
        <v>#NAME?</v>
      </c>
      <c r="CY53" s="45" t="e">
        <f aca="false">BX53*CL53</f>
        <v>#NAME?</v>
      </c>
      <c r="CZ53" s="45" t="e">
        <f aca="false">BX53*CM53</f>
        <v>#NAME?</v>
      </c>
      <c r="DA53" s="45" t="n">
        <f aca="false">BX53*CN53</f>
        <v>0</v>
      </c>
      <c r="DB53" s="45" t="e">
        <f aca="false">BX53*CO53</f>
        <v>#NAME?</v>
      </c>
      <c r="DC53" s="45" t="n">
        <f aca="false">BX53*CP53</f>
        <v>0</v>
      </c>
      <c r="DD53" s="45" t="e">
        <f aca="false">BX53*CQ53</f>
        <v>#NAME?</v>
      </c>
      <c r="DF53" s="9" t="n">
        <f aca="false">IF($A53&gt;=DH$32,IF($A53&lt;=DH$33,$AN53,0),0)</f>
        <v>0</v>
      </c>
      <c r="DG53" s="123" t="n">
        <f aca="false">$B53+$Y53+$F$12</f>
        <v>4.4135</v>
      </c>
      <c r="DH53" s="123" t="n">
        <f aca="false">$B53+$Z53+$F$13</f>
        <v>4.546</v>
      </c>
      <c r="DI53" s="123" t="n">
        <f aca="false">DG53*DF53</f>
        <v>0</v>
      </c>
      <c r="DJ53" s="123" t="n">
        <f aca="false">DH53*DF53</f>
        <v>0</v>
      </c>
      <c r="DK53" s="156" t="n">
        <f aca="false">($C53*$AA53)+$F$14</f>
        <v>0.4175</v>
      </c>
      <c r="DL53" s="156" t="n">
        <f aca="false">($C53*$AB53)+$F$15</f>
        <v>0.4175</v>
      </c>
      <c r="DM53" s="131" t="n">
        <f aca="false">$AC53+$F$16</f>
        <v>0.995</v>
      </c>
      <c r="DN53" s="157" t="n">
        <f aca="false">IF(DF53=0,0,SPRDOPT(DG53,DH53,$AD53,$AM53,DK53,DL53,DM53,$F53,$F$19,0))</f>
        <v>0</v>
      </c>
      <c r="DO53" s="157" t="e">
        <f aca="false">IF(DG53=0,0,SPRDOPT(DG53,DH53,$AD53,$AM53,DK53,DL53,DM53,$F53,$F$19,1))</f>
        <v>#NAME?</v>
      </c>
      <c r="DP53" s="157" t="e">
        <f aca="false">IF(DH53=0,0,SPRDOPT(DG53,DH53,$AD53,$AM53,DK53,DL53,DM53,$F53,$F$19,2))</f>
        <v>#NAME?</v>
      </c>
      <c r="DQ53" s="157" t="n">
        <f aca="false">IF(DI53=0,0,SPRDOPT(DG53,DH53,$AD53,$AM53,DK53,DL53,DM53,$F53,$F$19,3)/100)</f>
        <v>0</v>
      </c>
      <c r="DR53" s="157" t="n">
        <f aca="false">IF(DJ53=0,0,SPRDOPT(DG53,DH53,$AD53,$AM53,DK53,DL53,DM53,$F53,$F$19,4)/100)</f>
        <v>0</v>
      </c>
      <c r="DS53" s="157" t="e">
        <f aca="false">IF(DK53=0,0,SPRDOPT(DG53,DH53,$AD53,$AM53,DK53,DL53,DM53,$F53,$F$19,5)/100)</f>
        <v>#NAME?</v>
      </c>
      <c r="DT53" s="157" t="e">
        <f aca="false">IF(DL53=0,0,SPRDOPT(DG53,DH53,$AD53,$AM53,DK53,DL53,DM53,$F53,$F$19,6)/100)</f>
        <v>#NAME?</v>
      </c>
      <c r="DU53" s="157" t="e">
        <f aca="false">IF(DM53=0,0,SPRDOPT(DG53,DH53,$AD53,$AM53,DK53,DL53,DM53,$F53,$F$19,7)/100)</f>
        <v>#NAME?</v>
      </c>
      <c r="DV53" s="157" t="n">
        <f aca="false">IF(DN53=0,0,SPRDOPT(DG53,DH53,$AD53,$AM53,DK53,DL53,DM53,$F53,$F$19,9)/365)</f>
        <v>0</v>
      </c>
      <c r="DW53" s="157" t="e">
        <f aca="false">DO53+DP53</f>
        <v>#NAME?</v>
      </c>
      <c r="DX53" s="157" t="n">
        <f aca="false">DR53-DQ53</f>
        <v>0</v>
      </c>
      <c r="DY53" s="157" t="e">
        <f aca="false">((DK53/DL53)*DS53)+DT53</f>
        <v>#NAME?</v>
      </c>
      <c r="DZ53" s="44"/>
      <c r="EA53" s="45" t="n">
        <f aca="false">DF53*DN53</f>
        <v>0</v>
      </c>
      <c r="EB53" s="45" t="e">
        <f aca="false">DF53*DO53</f>
        <v>#NAME?</v>
      </c>
      <c r="EC53" s="45" t="e">
        <f aca="false">DF53*DP53</f>
        <v>#NAME?</v>
      </c>
      <c r="ED53" s="45" t="n">
        <f aca="false">DF53*DQ53</f>
        <v>0</v>
      </c>
      <c r="EE53" s="45" t="n">
        <f aca="false">DF53*DR53</f>
        <v>0</v>
      </c>
      <c r="EF53" s="45" t="e">
        <f aca="false">DF53*DS53</f>
        <v>#NAME?</v>
      </c>
      <c r="EG53" s="45" t="e">
        <f aca="false">DF53*DT53</f>
        <v>#NAME?</v>
      </c>
      <c r="EH53" s="45" t="e">
        <f aca="false">DF53*DU53</f>
        <v>#NAME?</v>
      </c>
      <c r="EI53" s="45" t="n">
        <f aca="false">DF53*DV53</f>
        <v>0</v>
      </c>
      <c r="EJ53" s="45" t="e">
        <f aca="false">DF53*DW53</f>
        <v>#NAME?</v>
      </c>
      <c r="EK53" s="45" t="n">
        <f aca="false">DF53*DX53</f>
        <v>0</v>
      </c>
      <c r="EL53" s="45" t="e">
        <f aca="false">DF53*DY53</f>
        <v>#NAME?</v>
      </c>
      <c r="EN53" s="9" t="n">
        <f aca="false">IF($A53&gt;=EP$32,IF($A53&lt;=EP$33,$AN53,0),0)</f>
        <v>0</v>
      </c>
      <c r="EO53" s="123" t="n">
        <f aca="false">$B53+$AF53+$H$12</f>
        <v>4.731</v>
      </c>
      <c r="EP53" s="123" t="n">
        <f aca="false">$B53+$AG53+$H$13</f>
        <v>4.546</v>
      </c>
      <c r="EQ53" s="123" t="n">
        <f aca="false">EO53*EN53</f>
        <v>0</v>
      </c>
      <c r="ER53" s="123" t="n">
        <f aca="false">EP53*EN53</f>
        <v>0</v>
      </c>
      <c r="ES53" s="156" t="n">
        <f aca="false">($C53*$AH53)+$H$14</f>
        <v>0.4175</v>
      </c>
      <c r="ET53" s="156" t="n">
        <f aca="false">($C53*$AI53)+$H$15</f>
        <v>0.4175</v>
      </c>
      <c r="EU53" s="131" t="n">
        <f aca="false">$AJ53+$H$16</f>
        <v>0.984107647518451</v>
      </c>
      <c r="EV53" s="157" t="n">
        <f aca="false">IF(EN53=0,0,SPRDOPT(EO53,EP53,$AK53,$AM53,ES53,ET53,EU53,$F53,$H$19,0))</f>
        <v>0</v>
      </c>
      <c r="EW53" s="157" t="e">
        <f aca="false">IF(EO53=0,0,SPRDOPT(EO53,EP53,$AK53,$AM53,ES53,ET53,EU53,$F53,$H$19,1))</f>
        <v>#NAME?</v>
      </c>
      <c r="EX53" s="157" t="e">
        <f aca="false">IF(EP53=0,0,SPRDOPT(EO53,EP53,$AK53,$AM53,ES53,ET53,EU53,$F53,$H$19,2))</f>
        <v>#NAME?</v>
      </c>
      <c r="EY53" s="157" t="n">
        <f aca="false">IF(EQ53=0,0,SPRDOPT(EO53,EP53,$AK53,$AM53,ES53,ET53,EU53,$F53,$H$19,3)/100)</f>
        <v>0</v>
      </c>
      <c r="EZ53" s="157" t="n">
        <f aca="false">IF(ER53=0,0,SPRDOPT(EO53,EP53,$AK53,$AM53,ES53,ET53,EU53,$F53,$H$19,4)/100)</f>
        <v>0</v>
      </c>
      <c r="FA53" s="157" t="e">
        <f aca="false">IF(ES53=0,0,SPRDOPT(EO53,EP53,$AK53,$AM53,ES53,ET53,EU53,$F53,$H$19,5)/100)</f>
        <v>#NAME?</v>
      </c>
      <c r="FB53" s="157" t="e">
        <f aca="false">IF(ET53=0,0,SPRDOPT(EO53,EP53,$AK53,$AM53,ES53,ET53,EU53,$F53,$H$19,6)/100)</f>
        <v>#NAME?</v>
      </c>
      <c r="FC53" s="157" t="e">
        <f aca="false">IF(EU53=0,0,SPRDOPT(EO53,EP53,$AK53,$AM53,ES53,ET53,EU53,$F53,$H$19,7)/100)</f>
        <v>#NAME?</v>
      </c>
      <c r="FD53" s="157" t="n">
        <f aca="false">IF(EV53=0,0,SPRDOPT(EO53,EP53,$AK53,$AM53,ES53,ET53,EU53,$F53,$H$19,9)/365)</f>
        <v>0</v>
      </c>
      <c r="FE53" s="157" t="e">
        <f aca="false">EW53+EX53</f>
        <v>#NAME?</v>
      </c>
      <c r="FF53" s="157" t="n">
        <f aca="false">EZ53-EY53</f>
        <v>0</v>
      </c>
      <c r="FG53" s="157" t="e">
        <f aca="false">((ES53/ET53)*FA53)+FB53</f>
        <v>#NAME?</v>
      </c>
      <c r="FH53" s="44"/>
      <c r="FI53" s="45" t="n">
        <f aca="false">$EN53*EV53</f>
        <v>0</v>
      </c>
      <c r="FJ53" s="45" t="e">
        <f aca="false">$EN53*EW53</f>
        <v>#NAME?</v>
      </c>
      <c r="FK53" s="45" t="e">
        <f aca="false">$EN53*EX53</f>
        <v>#NAME?</v>
      </c>
      <c r="FL53" s="45" t="n">
        <f aca="false">$EN53*EY53</f>
        <v>0</v>
      </c>
      <c r="FM53" s="45" t="n">
        <f aca="false">$EN53*EZ53</f>
        <v>0</v>
      </c>
      <c r="FN53" s="45" t="e">
        <f aca="false">$EN53*FA53</f>
        <v>#NAME?</v>
      </c>
      <c r="FO53" s="45" t="e">
        <f aca="false">$EN53*FB53</f>
        <v>#NAME?</v>
      </c>
      <c r="FP53" s="45" t="e">
        <f aca="false">$EN53*FC53</f>
        <v>#NAME?</v>
      </c>
      <c r="FQ53" s="45" t="n">
        <f aca="false">$EN53*FD53</f>
        <v>0</v>
      </c>
      <c r="FR53" s="45" t="e">
        <f aca="false">$EN53*FE53</f>
        <v>#NAME?</v>
      </c>
      <c r="FS53" s="45" t="n">
        <f aca="false">$EN53*FF53</f>
        <v>0</v>
      </c>
      <c r="FT53" s="45" t="e">
        <f aca="false">$EN53*FG53</f>
        <v>#NAME?</v>
      </c>
    </row>
    <row r="54" customFormat="false" ht="12.75" hidden="false" customHeight="false" outlineLevel="0" collapsed="false">
      <c r="A54" s="48" t="n">
        <f aca="false">DATE(YEAR(A53),MONTH(A53)+1,1)</f>
        <v>37288</v>
      </c>
      <c r="B54" s="40" t="n">
        <f aca="false">VLOOKUP(A54,STRADDLE,5,FALSE())</f>
        <v>4.321</v>
      </c>
      <c r="C54" s="4" t="n">
        <f aca="false">VLOOKUP(A54,STRADDLE,8,FALSE())</f>
        <v>0.4075</v>
      </c>
      <c r="D54" s="40"/>
      <c r="E54" s="131"/>
      <c r="F54" s="136" t="n">
        <f aca="false">VLOOKUP(A54,expiration,2,FALSE())-$B$2</f>
        <v>-8641</v>
      </c>
      <c r="G54" s="4"/>
      <c r="H54" s="4"/>
      <c r="I54" s="41"/>
      <c r="J54" s="154"/>
      <c r="K54" s="40" t="n">
        <f aca="false">IF($B$3="NYMEX",0,VLOOKUP($A54,curvesettle,HLOOKUP($B$3,curvesettle,2,FALSE()),FALSE()))</f>
        <v>0.14</v>
      </c>
      <c r="L54" s="40" t="n">
        <f aca="false">IF($B$4="NYMEX",0,VLOOKUP($A54,curvesettle,HLOOKUP($B$4,curvesettle,2,FALSE()),FALSE()))</f>
        <v>0</v>
      </c>
      <c r="M54" s="131" t="n">
        <f aca="false">IF(ISNUMBER(VLOOKUP($A54,VOLCURVES,HLOOKUP($B$3,VOLCURVES,2,FALSE()),FALSE())),VLOOKUP($A54,VOLCURVES,HLOOKUP($B$3,VOLCURVES,2,FALSE()),FALSE()),1)</f>
        <v>1.02</v>
      </c>
      <c r="N54" s="131" t="n">
        <f aca="false">IF(ISNUMBER(VLOOKUP($A54,VOLCURVES,HLOOKUP($B$4,VOLCURVES,2,FALSE()),FALSE())),VLOOKUP($A54,VOLCURVES,HLOOKUP($B$4,VOLCURVES,2,FALSE()),FALSE()),1)</f>
        <v>1</v>
      </c>
      <c r="O54" s="131" t="n">
        <f aca="false">IF(ISNUMBER(VLOOKUP($A54,CORETABLE,HLOOKUP($B$3,CORETABLE,2,FALSE()),FALSE())),VLOOKUP($A54,CORETABLE,HLOOKUP($B$3,CORETABLE,2,FALSE()),FALSE()),0.99)</f>
        <v>0.96</v>
      </c>
      <c r="P54" s="155" t="n">
        <f aca="false">B$18</f>
        <v>0.3</v>
      </c>
      <c r="Q54" s="131"/>
      <c r="R54" s="40" t="n">
        <f aca="false">IF($D$3="NYMEX",0,VLOOKUP($A54,curvesettle,HLOOKUP($D$3,curvesettle,2,FALSE()),FALSE()))</f>
        <v>-0.33</v>
      </c>
      <c r="S54" s="40" t="n">
        <f aca="false">IF($D$4="NYMEX",0,VLOOKUP($A54,curvesettle,HLOOKUP($D$4,curvesettle,2,FALSE()),FALSE()))</f>
        <v>0</v>
      </c>
      <c r="T54" s="131" t="n">
        <f aca="false">IF(ISNUMBER(VLOOKUP($A54,VOLCURVES,HLOOKUP($D$3,VOLCURVES,2,FALSE()),FALSE())),VLOOKUP($A54,VOLCURVES,HLOOKUP($D$3,VOLCURVES,2,FALSE()),FALSE()),1)</f>
        <v>0.97</v>
      </c>
      <c r="U54" s="131" t="n">
        <f aca="false">IF(ISNUMBER(VLOOKUP($A54,VOLCURVES,HLOOKUP($D$4,VOLCURVES,2,FALSE()),FALSE())),VLOOKUP($A54,VOLCURVES,HLOOKUP($D$4,VOLCURVES,2,FALSE()),FALSE()),1)</f>
        <v>1</v>
      </c>
      <c r="V54" s="131" t="n">
        <f aca="false">IF(ISNUMBER(VLOOKUP($A54,CORETABLE,HLOOKUP($D$3,CORETABLE,2,FALSE()),FALSE())),VLOOKUP($A54,CORETABLE,HLOOKUP($D$3,CORETABLE,2,FALSE()),FALSE()),0.99)</f>
        <v>0.96</v>
      </c>
      <c r="W54" s="155" t="n">
        <f aca="false">D$18</f>
        <v>-0.35</v>
      </c>
      <c r="X54" s="131"/>
      <c r="Y54" s="40" t="n">
        <f aca="false">IF($F$3="NYMEX",0,VLOOKUP($A54,curvesettle,HLOOKUP($F$3,curvesettle,2,FALSE()),FALSE()))</f>
        <v>-0.135</v>
      </c>
      <c r="Z54" s="40" t="n">
        <f aca="false">IF($F$4="NYMEX",0,VLOOKUP($A54,curvesettle,HLOOKUP($F$4,curvesettle,2,FALSE()),FALSE()))</f>
        <v>0</v>
      </c>
      <c r="AA54" s="131" t="n">
        <f aca="false">IF(ISNUMBER(VLOOKUP($A54,VOLCURVES,HLOOKUP($F$3,VOLCURVES,2,FALSE()),FALSE())),VLOOKUP($A54,VOLCURVES,HLOOKUP($F$3,VOLCURVES,2,FALSE()),FALSE()),1)</f>
        <v>1</v>
      </c>
      <c r="AB54" s="131" t="n">
        <f aca="false">IF(ISNUMBER(VLOOKUP($A54,VOLCURVES,HLOOKUP($F$4,VOLCURVES,2,FALSE()),FALSE())),VLOOKUP($A54,VOLCURVES,HLOOKUP($F$4,VOLCURVES,2,FALSE()),FALSE()),1)</f>
        <v>1</v>
      </c>
      <c r="AC54" s="131" t="n">
        <f aca="false">IF(ISNUMBER(VLOOKUP($A54,CORETABLE,HLOOKUP($F$3,CORETABLE,2,FALSE()),FALSE())),VLOOKUP($A54,CORETABLE,HLOOKUP($F$3,CORETABLE,2,FALSE()),FALSE()),1)</f>
        <v>0.995</v>
      </c>
      <c r="AD54" s="155" t="n">
        <f aca="false">F$18</f>
        <v>-0.2</v>
      </c>
      <c r="AE54" s="131"/>
      <c r="AF54" s="40" t="n">
        <f aca="false">IF($H$3="NYMEX",0,VLOOKUP($A54,curvesettle,HLOOKUP($H$3,curvesettle,2,FALSE()),FALSE()))</f>
        <v>0.1575</v>
      </c>
      <c r="AG54" s="40" t="n">
        <f aca="false">IF($H$4="NYMEX",0,VLOOKUP($A54,curvesettle,HLOOKUP($H$4,curvesettle,2,FALSE()),FALSE()))</f>
        <v>0</v>
      </c>
      <c r="AH54" s="131" t="n">
        <f aca="false">IF(ISNUMBER(VLOOKUP($A54,VOLCURVES,HLOOKUP($H$3,VOLCURVES,2,FALSE()),FALSE())),VLOOKUP($A54,VOLCURVES,HLOOKUP($H$3,VOLCURVES,2,FALSE()),FALSE()),1)</f>
        <v>1</v>
      </c>
      <c r="AI54" s="131" t="n">
        <f aca="false">IF(ISNUMBER(VLOOKUP($A54,VOLCURVES,HLOOKUP($H$4,VOLCURVES,2,FALSE()),FALSE())),VLOOKUP($A54,VOLCURVES,HLOOKUP($H$4,VOLCURVES,2,FALSE()),FALSE()),1)</f>
        <v>1</v>
      </c>
      <c r="AJ54" s="131" t="n">
        <f aca="false">IF(ISNUMBER(VLOOKUP($A54,CORETABLE,HLOOKUP($H$3,CORETABLE,2,FALSE()),FALSE())),VLOOKUP($A54,CORETABLE,HLOOKUP($H$3,CORETABLE,2,FALSE()),FALSE()),1)</f>
        <v>0.984107647518451</v>
      </c>
      <c r="AK54" s="155" t="n">
        <f aca="false">H$18</f>
        <v>0.2</v>
      </c>
      <c r="AM54" s="4" t="n">
        <f aca="false">VLOOKUP($A54,STRADDLE,12,FALSE())</f>
        <v>0.067329715733591</v>
      </c>
      <c r="AN54" s="43" t="n">
        <f aca="false">A55-A54</f>
        <v>28</v>
      </c>
      <c r="AP54" s="9" t="n">
        <f aca="false">IF($A54&gt;=AR$32,IF($A54&lt;=AR$33,$AN54,0),0)</f>
        <v>0</v>
      </c>
      <c r="AQ54" s="123" t="n">
        <f aca="false">$B54+$K54+$B$12</f>
        <v>4.4285</v>
      </c>
      <c r="AR54" s="123" t="n">
        <f aca="false">$B54+$L54+$B$13</f>
        <v>4.321</v>
      </c>
      <c r="AS54" s="123" t="n">
        <f aca="false">AQ54*AP54</f>
        <v>0</v>
      </c>
      <c r="AT54" s="123" t="n">
        <f aca="false">AR54*AP54</f>
        <v>0</v>
      </c>
      <c r="AU54" s="156" t="n">
        <f aca="false">($C54*$M54)+$B$14</f>
        <v>0.41565</v>
      </c>
      <c r="AV54" s="156" t="n">
        <f aca="false">($C54*$N54)+$B$15</f>
        <v>0.4075</v>
      </c>
      <c r="AW54" s="131" t="n">
        <f aca="false">O54+B$16</f>
        <v>0.96</v>
      </c>
      <c r="AX54" s="157" t="n">
        <f aca="false">IF(AP54=0,0,SPRDOPT(AQ54,AR54,$P54,$AM54,AU54,AV54,AW54,$F54,$B$19,0))</f>
        <v>0</v>
      </c>
      <c r="AY54" s="157" t="e">
        <f aca="false">IF(AQ54=0,0,SPRDOPT(AQ54,AR54,$P54,$AM54,AU54,AV54,AW54,$F54,$B$19,1))</f>
        <v>#NAME?</v>
      </c>
      <c r="AZ54" s="157" t="e">
        <f aca="false">IF(AR54=0,0,SPRDOPT(AQ54,AR54,$P54,$AM54,AU54,AV54,AW54,$F54,$B$19,2))</f>
        <v>#NAME?</v>
      </c>
      <c r="BA54" s="157" t="n">
        <f aca="false">IF(AS54=0,0,SPRDOPT(AQ54,AR54,$P54,$AM54,AU54,AV54,AW54,$F54,$B$19,3)/100)</f>
        <v>0</v>
      </c>
      <c r="BB54" s="157" t="n">
        <f aca="false">IF(AT54=0,0,SPRDOPT(AQ54,AR54,$P54,$AM54,AU54,AV54,AW54,$F54,$B$19,4)/100)</f>
        <v>0</v>
      </c>
      <c r="BC54" s="157" t="e">
        <f aca="false">IF(AU54=0,0,SPRDOPT(AQ54,AR54,$P54,$AM54,AU54,AV54,AW54,$F54,$B$19,5)/100)</f>
        <v>#NAME?</v>
      </c>
      <c r="BD54" s="157" t="e">
        <f aca="false">IF(AV54=0,0,SPRDOPT(AQ54,AR54,$P54,$AM54,AU54,AV54,AW54,$F54,$B$19,6)/100)</f>
        <v>#NAME?</v>
      </c>
      <c r="BE54" s="157" t="e">
        <f aca="false">IF(AW54=0,0,SPRDOPT(AQ54,AR54,$P54,$AM54,AU54,AV54,AW54,$F54,$B$19,7)/100)</f>
        <v>#NAME?</v>
      </c>
      <c r="BF54" s="157" t="n">
        <f aca="false">IF(AX54=0,0,SPRDOPT(AQ54,AR54,$P54,$AM54,AU54,AV54,AW54,$F54,$B$19,9)/365)</f>
        <v>0</v>
      </c>
      <c r="BG54" s="157" t="e">
        <f aca="false">AY54+AZ54</f>
        <v>#NAME?</v>
      </c>
      <c r="BH54" s="157" t="n">
        <f aca="false">BB54-BA54</f>
        <v>0</v>
      </c>
      <c r="BI54" s="157" t="e">
        <f aca="false">((AU54/AV54)*BC54)+BD54</f>
        <v>#NAME?</v>
      </c>
      <c r="BJ54" s="44"/>
      <c r="BK54" s="45" t="n">
        <f aca="false">$AP54*AX54</f>
        <v>0</v>
      </c>
      <c r="BL54" s="45" t="e">
        <f aca="false">$AP54*AY54</f>
        <v>#NAME?</v>
      </c>
      <c r="BM54" s="45" t="e">
        <f aca="false">$AP54*AZ54</f>
        <v>#NAME?</v>
      </c>
      <c r="BN54" s="45" t="n">
        <f aca="false">$AP54*BA54</f>
        <v>0</v>
      </c>
      <c r="BO54" s="45" t="n">
        <f aca="false">$AP54*BB54</f>
        <v>0</v>
      </c>
      <c r="BP54" s="45" t="e">
        <f aca="false">$AP54*BC54</f>
        <v>#NAME?</v>
      </c>
      <c r="BQ54" s="45" t="e">
        <f aca="false">$AP54*BD54</f>
        <v>#NAME?</v>
      </c>
      <c r="BR54" s="45" t="e">
        <f aca="false">$AP54*BE54</f>
        <v>#NAME?</v>
      </c>
      <c r="BS54" s="45" t="n">
        <f aca="false">$AP54*BF54</f>
        <v>0</v>
      </c>
      <c r="BT54" s="45" t="e">
        <f aca="false">$AP54*BG54</f>
        <v>#NAME?</v>
      </c>
      <c r="BU54" s="45" t="n">
        <f aca="false">$AP54*BH54</f>
        <v>0</v>
      </c>
      <c r="BV54" s="45" t="e">
        <f aca="false">$AP54*BI54</f>
        <v>#NAME?</v>
      </c>
      <c r="BX54" s="9" t="n">
        <f aca="false">IF($A54&gt;=BZ$32,IF($A54&lt;=BZ$33,$AN54,0),0)</f>
        <v>0</v>
      </c>
      <c r="BY54" s="123" t="n">
        <f aca="false">$B54+$R54+$D$12</f>
        <v>3.9585</v>
      </c>
      <c r="BZ54" s="123" t="n">
        <f aca="false">$B54+$S54+$D$13</f>
        <v>4.321</v>
      </c>
      <c r="CA54" s="123" t="n">
        <f aca="false">BY54*BX54</f>
        <v>0</v>
      </c>
      <c r="CB54" s="123" t="n">
        <f aca="false">BZ54*BX54</f>
        <v>0</v>
      </c>
      <c r="CC54" s="156" t="n">
        <f aca="false">($C54*$T54)+$D$14</f>
        <v>0.395275</v>
      </c>
      <c r="CD54" s="156" t="n">
        <f aca="false">($C54*$U54)+$D$15</f>
        <v>0.4075</v>
      </c>
      <c r="CE54" s="131" t="n">
        <f aca="false">$V54+D$16</f>
        <v>0.96</v>
      </c>
      <c r="CF54" s="157" t="n">
        <f aca="false">IF(BX54=0,0,SPRDOPT(BY54,BZ54,$W54,$AM54,CC54,CD54,CE54,$F54,$D$19,0))</f>
        <v>0</v>
      </c>
      <c r="CG54" s="157" t="e">
        <f aca="false">IF(BY54=0,0,SPRDOPT(BY54,BZ54,$W54,$AM54,CC54,CD54,CE54,$F54,$D$19,1))</f>
        <v>#NAME?</v>
      </c>
      <c r="CH54" s="157" t="e">
        <f aca="false">IF(BZ54=0,0,SPRDOPT(BY54,BZ54,$W54,$AM54,CC54,CD54,CE54,$F54,$D$19,2))</f>
        <v>#NAME?</v>
      </c>
      <c r="CI54" s="157" t="n">
        <f aca="false">IF(CA54=0,0,SPRDOPT(BY54,BZ54,$W54,$AM54,CC54,CD54,CE54,$F54,$D$19,3)/100)</f>
        <v>0</v>
      </c>
      <c r="CJ54" s="157" t="n">
        <f aca="false">IF(CB54=0,0,SPRDOPT(BY54,BZ54,$W54,$AM54,CC54,CD54,CE54,$F54,$D$19,4)/100)</f>
        <v>0</v>
      </c>
      <c r="CK54" s="157" t="e">
        <f aca="false">IF(CC54=0,0,SPRDOPT(BY54,BZ54,$W54,$AM54,CC54,CD54,CE54,$F54,$D$19,5)/100)</f>
        <v>#NAME?</v>
      </c>
      <c r="CL54" s="157" t="e">
        <f aca="false">IF(CD54=0,0,SPRDOPT(BY54,BZ54,$W54,$AM54,CC54,CD54,CE54,$F54,$D$19,6)/100)</f>
        <v>#NAME?</v>
      </c>
      <c r="CM54" s="157" t="e">
        <f aca="false">IF(CE54=0,0,SPRDOPT(BY54,BZ54,$W54,$AM54,CC54,CD54,CE54,$F54,$D$19,7)/100)</f>
        <v>#NAME?</v>
      </c>
      <c r="CN54" s="157" t="n">
        <f aca="false">IF(CF54=0,0,SPRDOPT(BY54,BZ54,$W54,$AM54,CC54,CD54,CE54,$F54,$D$19,9)/365)</f>
        <v>0</v>
      </c>
      <c r="CO54" s="157" t="e">
        <f aca="false">CG54+CH54</f>
        <v>#NAME?</v>
      </c>
      <c r="CP54" s="157" t="n">
        <f aca="false">CJ54-CI54</f>
        <v>0</v>
      </c>
      <c r="CQ54" s="157" t="e">
        <f aca="false">((CC54/CD54)*CK54)+CL54</f>
        <v>#NAME?</v>
      </c>
      <c r="CR54" s="44"/>
      <c r="CS54" s="45" t="n">
        <f aca="false">BX54*CF54</f>
        <v>0</v>
      </c>
      <c r="CT54" s="45" t="e">
        <f aca="false">BX54*CG54</f>
        <v>#NAME?</v>
      </c>
      <c r="CU54" s="45" t="e">
        <f aca="false">BX54*CH54</f>
        <v>#NAME?</v>
      </c>
      <c r="CV54" s="45" t="n">
        <f aca="false">BX54*CI54</f>
        <v>0</v>
      </c>
      <c r="CW54" s="45" t="n">
        <f aca="false">BX54*CJ54</f>
        <v>0</v>
      </c>
      <c r="CX54" s="45" t="e">
        <f aca="false">BX54*CK54</f>
        <v>#NAME?</v>
      </c>
      <c r="CY54" s="45" t="e">
        <f aca="false">BX54*CL54</f>
        <v>#NAME?</v>
      </c>
      <c r="CZ54" s="45" t="e">
        <f aca="false">BX54*CM54</f>
        <v>#NAME?</v>
      </c>
      <c r="DA54" s="45" t="n">
        <f aca="false">BX54*CN54</f>
        <v>0</v>
      </c>
      <c r="DB54" s="45" t="e">
        <f aca="false">BX54*CO54</f>
        <v>#NAME?</v>
      </c>
      <c r="DC54" s="45" t="n">
        <f aca="false">BX54*CP54</f>
        <v>0</v>
      </c>
      <c r="DD54" s="45" t="e">
        <f aca="false">BX54*CQ54</f>
        <v>#NAME?</v>
      </c>
      <c r="DF54" s="9" t="n">
        <f aca="false">IF($A54&gt;=DH$32,IF($A54&lt;=DH$33,$AN54,0),0)</f>
        <v>0</v>
      </c>
      <c r="DG54" s="123" t="n">
        <f aca="false">$B54+$Y54+$F$12</f>
        <v>4.186</v>
      </c>
      <c r="DH54" s="123" t="n">
        <f aca="false">$B54+$Z54+$F$13</f>
        <v>4.321</v>
      </c>
      <c r="DI54" s="123" t="n">
        <f aca="false">DG54*DF54</f>
        <v>0</v>
      </c>
      <c r="DJ54" s="123" t="n">
        <f aca="false">DH54*DF54</f>
        <v>0</v>
      </c>
      <c r="DK54" s="156" t="n">
        <f aca="false">($C54*$AA54)+$F$14</f>
        <v>0.4075</v>
      </c>
      <c r="DL54" s="156" t="n">
        <f aca="false">($C54*$AB54)+$F$15</f>
        <v>0.4075</v>
      </c>
      <c r="DM54" s="131" t="n">
        <f aca="false">$AC54+$F$16</f>
        <v>0.995</v>
      </c>
      <c r="DN54" s="157" t="n">
        <f aca="false">IF(DF54=0,0,SPRDOPT(DG54,DH54,$AD54,$AM54,DK54,DL54,DM54,$F54,$F$19,0))</f>
        <v>0</v>
      </c>
      <c r="DO54" s="157" t="e">
        <f aca="false">IF(DG54=0,0,SPRDOPT(DG54,DH54,$AD54,$AM54,DK54,DL54,DM54,$F54,$F$19,1))</f>
        <v>#NAME?</v>
      </c>
      <c r="DP54" s="157" t="e">
        <f aca="false">IF(DH54=0,0,SPRDOPT(DG54,DH54,$AD54,$AM54,DK54,DL54,DM54,$F54,$F$19,2))</f>
        <v>#NAME?</v>
      </c>
      <c r="DQ54" s="157" t="n">
        <f aca="false">IF(DI54=0,0,SPRDOPT(DG54,DH54,$AD54,$AM54,DK54,DL54,DM54,$F54,$F$19,3)/100)</f>
        <v>0</v>
      </c>
      <c r="DR54" s="157" t="n">
        <f aca="false">IF(DJ54=0,0,SPRDOPT(DG54,DH54,$AD54,$AM54,DK54,DL54,DM54,$F54,$F$19,4)/100)</f>
        <v>0</v>
      </c>
      <c r="DS54" s="157" t="e">
        <f aca="false">IF(DK54=0,0,SPRDOPT(DG54,DH54,$AD54,$AM54,DK54,DL54,DM54,$F54,$F$19,5)/100)</f>
        <v>#NAME?</v>
      </c>
      <c r="DT54" s="157" t="e">
        <f aca="false">IF(DL54=0,0,SPRDOPT(DG54,DH54,$AD54,$AM54,DK54,DL54,DM54,$F54,$F$19,6)/100)</f>
        <v>#NAME?</v>
      </c>
      <c r="DU54" s="157" t="e">
        <f aca="false">IF(DM54=0,0,SPRDOPT(DG54,DH54,$AD54,$AM54,DK54,DL54,DM54,$F54,$F$19,7)/100)</f>
        <v>#NAME?</v>
      </c>
      <c r="DV54" s="157" t="n">
        <f aca="false">IF(DN54=0,0,SPRDOPT(DG54,DH54,$AD54,$AM54,DK54,DL54,DM54,$F54,$F$19,9)/365)</f>
        <v>0</v>
      </c>
      <c r="DW54" s="157" t="e">
        <f aca="false">DO54+DP54</f>
        <v>#NAME?</v>
      </c>
      <c r="DX54" s="157" t="n">
        <f aca="false">DR54-DQ54</f>
        <v>0</v>
      </c>
      <c r="DY54" s="157" t="e">
        <f aca="false">((DK54/DL54)*DS54)+DT54</f>
        <v>#NAME?</v>
      </c>
      <c r="DZ54" s="44"/>
      <c r="EA54" s="45" t="n">
        <f aca="false">DF54*DN54</f>
        <v>0</v>
      </c>
      <c r="EB54" s="45" t="e">
        <f aca="false">DF54*DO54</f>
        <v>#NAME?</v>
      </c>
      <c r="EC54" s="45" t="e">
        <f aca="false">DF54*DP54</f>
        <v>#NAME?</v>
      </c>
      <c r="ED54" s="45" t="n">
        <f aca="false">DF54*DQ54</f>
        <v>0</v>
      </c>
      <c r="EE54" s="45" t="n">
        <f aca="false">DF54*DR54</f>
        <v>0</v>
      </c>
      <c r="EF54" s="45" t="e">
        <f aca="false">DF54*DS54</f>
        <v>#NAME?</v>
      </c>
      <c r="EG54" s="45" t="e">
        <f aca="false">DF54*DT54</f>
        <v>#NAME?</v>
      </c>
      <c r="EH54" s="45" t="e">
        <f aca="false">DF54*DU54</f>
        <v>#NAME?</v>
      </c>
      <c r="EI54" s="45" t="n">
        <f aca="false">DF54*DV54</f>
        <v>0</v>
      </c>
      <c r="EJ54" s="45" t="e">
        <f aca="false">DF54*DW54</f>
        <v>#NAME?</v>
      </c>
      <c r="EK54" s="45" t="n">
        <f aca="false">DF54*DX54</f>
        <v>0</v>
      </c>
      <c r="EL54" s="45" t="e">
        <f aca="false">DF54*DY54</f>
        <v>#NAME?</v>
      </c>
      <c r="EN54" s="9" t="n">
        <f aca="false">IF($A54&gt;=EP$32,IF($A54&lt;=EP$33,$AN54,0),0)</f>
        <v>0</v>
      </c>
      <c r="EO54" s="123" t="n">
        <f aca="false">$B54+$AF54+$H$12</f>
        <v>4.4835</v>
      </c>
      <c r="EP54" s="123" t="n">
        <f aca="false">$B54+$AG54+$H$13</f>
        <v>4.321</v>
      </c>
      <c r="EQ54" s="123" t="n">
        <f aca="false">EO54*EN54</f>
        <v>0</v>
      </c>
      <c r="ER54" s="123" t="n">
        <f aca="false">EP54*EN54</f>
        <v>0</v>
      </c>
      <c r="ES54" s="156" t="n">
        <f aca="false">($C54*$AH54)+$H$14</f>
        <v>0.4075</v>
      </c>
      <c r="ET54" s="156" t="n">
        <f aca="false">($C54*$AI54)+$H$15</f>
        <v>0.4075</v>
      </c>
      <c r="EU54" s="131" t="n">
        <f aca="false">$AJ54+$H$16</f>
        <v>0.984107647518451</v>
      </c>
      <c r="EV54" s="157" t="n">
        <f aca="false">IF(EN54=0,0,SPRDOPT(EO54,EP54,$AK54,$AM54,ES54,ET54,EU54,$F54,$H$19,0))</f>
        <v>0</v>
      </c>
      <c r="EW54" s="157" t="e">
        <f aca="false">IF(EO54=0,0,SPRDOPT(EO54,EP54,$AK54,$AM54,ES54,ET54,EU54,$F54,$H$19,1))</f>
        <v>#NAME?</v>
      </c>
      <c r="EX54" s="157" t="e">
        <f aca="false">IF(EP54=0,0,SPRDOPT(EO54,EP54,$AK54,$AM54,ES54,ET54,EU54,$F54,$H$19,2))</f>
        <v>#NAME?</v>
      </c>
      <c r="EY54" s="157" t="n">
        <f aca="false">IF(EQ54=0,0,SPRDOPT(EO54,EP54,$AK54,$AM54,ES54,ET54,EU54,$F54,$H$19,3)/100)</f>
        <v>0</v>
      </c>
      <c r="EZ54" s="157" t="n">
        <f aca="false">IF(ER54=0,0,SPRDOPT(EO54,EP54,$AK54,$AM54,ES54,ET54,EU54,$F54,$H$19,4)/100)</f>
        <v>0</v>
      </c>
      <c r="FA54" s="157" t="e">
        <f aca="false">IF(ES54=0,0,SPRDOPT(EO54,EP54,$AK54,$AM54,ES54,ET54,EU54,$F54,$H$19,5)/100)</f>
        <v>#NAME?</v>
      </c>
      <c r="FB54" s="157" t="e">
        <f aca="false">IF(ET54=0,0,SPRDOPT(EO54,EP54,$AK54,$AM54,ES54,ET54,EU54,$F54,$H$19,6)/100)</f>
        <v>#NAME?</v>
      </c>
      <c r="FC54" s="157" t="e">
        <f aca="false">IF(EU54=0,0,SPRDOPT(EO54,EP54,$AK54,$AM54,ES54,ET54,EU54,$F54,$H$19,7)/100)</f>
        <v>#NAME?</v>
      </c>
      <c r="FD54" s="157" t="n">
        <f aca="false">IF(EV54=0,0,SPRDOPT(EO54,EP54,$AK54,$AM54,ES54,ET54,EU54,$F54,$H$19,9)/365)</f>
        <v>0</v>
      </c>
      <c r="FE54" s="157" t="e">
        <f aca="false">EW54+EX54</f>
        <v>#NAME?</v>
      </c>
      <c r="FF54" s="157" t="n">
        <f aca="false">EZ54-EY54</f>
        <v>0</v>
      </c>
      <c r="FG54" s="157" t="e">
        <f aca="false">((ES54/ET54)*FA54)+FB54</f>
        <v>#NAME?</v>
      </c>
      <c r="FH54" s="44"/>
      <c r="FI54" s="45" t="n">
        <f aca="false">$EN54*EV54</f>
        <v>0</v>
      </c>
      <c r="FJ54" s="45" t="e">
        <f aca="false">$EN54*EW54</f>
        <v>#NAME?</v>
      </c>
      <c r="FK54" s="45" t="e">
        <f aca="false">$EN54*EX54</f>
        <v>#NAME?</v>
      </c>
      <c r="FL54" s="45" t="n">
        <f aca="false">$EN54*EY54</f>
        <v>0</v>
      </c>
      <c r="FM54" s="45" t="n">
        <f aca="false">$EN54*EZ54</f>
        <v>0</v>
      </c>
      <c r="FN54" s="45" t="e">
        <f aca="false">$EN54*FA54</f>
        <v>#NAME?</v>
      </c>
      <c r="FO54" s="45" t="e">
        <f aca="false">$EN54*FB54</f>
        <v>#NAME?</v>
      </c>
      <c r="FP54" s="45" t="e">
        <f aca="false">$EN54*FC54</f>
        <v>#NAME?</v>
      </c>
      <c r="FQ54" s="45" t="n">
        <f aca="false">$EN54*FD54</f>
        <v>0</v>
      </c>
      <c r="FR54" s="45" t="e">
        <f aca="false">$EN54*FE54</f>
        <v>#NAME?</v>
      </c>
      <c r="FS54" s="45" t="n">
        <f aca="false">$EN54*FF54</f>
        <v>0</v>
      </c>
      <c r="FT54" s="45" t="e">
        <f aca="false">$EN54*FG54</f>
        <v>#NAME?</v>
      </c>
    </row>
    <row r="55" customFormat="false" ht="12.75" hidden="false" customHeight="false" outlineLevel="0" collapsed="false">
      <c r="A55" s="48" t="n">
        <f aca="false">DATE(YEAR(A54),MONTH(A54)+1,1)</f>
        <v>37316</v>
      </c>
      <c r="B55" s="40" t="n">
        <f aca="false">VLOOKUP(A55,STRADDLE,5,FALSE())</f>
        <v>4.091</v>
      </c>
      <c r="C55" s="4" t="n">
        <f aca="false">VLOOKUP(A55,STRADDLE,8,FALSE())</f>
        <v>0.3675</v>
      </c>
      <c r="D55" s="40"/>
      <c r="E55" s="131"/>
      <c r="F55" s="136" t="n">
        <f aca="false">VLOOKUP(A55,expiration,2,FALSE())-$B$2</f>
        <v>-8613</v>
      </c>
      <c r="G55" s="4"/>
      <c r="H55" s="4"/>
      <c r="I55" s="41"/>
      <c r="J55" s="154"/>
      <c r="K55" s="40" t="n">
        <f aca="false">IF($B$3="NYMEX",0,VLOOKUP($A55,curvesettle,HLOOKUP($B$3,curvesettle,2,FALSE()),FALSE()))</f>
        <v>-0.07</v>
      </c>
      <c r="L55" s="40" t="n">
        <f aca="false">IF($B$4="NYMEX",0,VLOOKUP($A55,curvesettle,HLOOKUP($B$4,curvesettle,2,FALSE()),FALSE()))</f>
        <v>0</v>
      </c>
      <c r="M55" s="131" t="n">
        <f aca="false">IF(ISNUMBER(VLOOKUP($A55,VOLCURVES,HLOOKUP($B$3,VOLCURVES,2,FALSE()),FALSE())),VLOOKUP($A55,VOLCURVES,HLOOKUP($B$3,VOLCURVES,2,FALSE()),FALSE()),1)</f>
        <v>1.02</v>
      </c>
      <c r="N55" s="131" t="n">
        <f aca="false">IF(ISNUMBER(VLOOKUP($A55,VOLCURVES,HLOOKUP($B$4,VOLCURVES,2,FALSE()),FALSE())),VLOOKUP($A55,VOLCURVES,HLOOKUP($B$4,VOLCURVES,2,FALSE()),FALSE()),1)</f>
        <v>1</v>
      </c>
      <c r="O55" s="131" t="n">
        <f aca="false">IF(ISNUMBER(VLOOKUP($A55,CORETABLE,HLOOKUP($B$3,CORETABLE,2,FALSE()),FALSE())),VLOOKUP($A55,CORETABLE,HLOOKUP($B$3,CORETABLE,2,FALSE()),FALSE()),0.99)</f>
        <v>0.96</v>
      </c>
      <c r="P55" s="155" t="n">
        <f aca="false">B$18</f>
        <v>0.3</v>
      </c>
      <c r="Q55" s="131"/>
      <c r="R55" s="40" t="n">
        <f aca="false">IF($D$3="NYMEX",0,VLOOKUP($A55,curvesettle,HLOOKUP($D$3,curvesettle,2,FALSE()),FALSE()))</f>
        <v>-0.33</v>
      </c>
      <c r="S55" s="40" t="n">
        <f aca="false">IF($D$4="NYMEX",0,VLOOKUP($A55,curvesettle,HLOOKUP($D$4,curvesettle,2,FALSE()),FALSE()))</f>
        <v>0</v>
      </c>
      <c r="T55" s="131" t="n">
        <f aca="false">IF(ISNUMBER(VLOOKUP($A55,VOLCURVES,HLOOKUP($D$3,VOLCURVES,2,FALSE()),FALSE())),VLOOKUP($A55,VOLCURVES,HLOOKUP($D$3,VOLCURVES,2,FALSE()),FALSE()),1)</f>
        <v>0.97</v>
      </c>
      <c r="U55" s="131" t="n">
        <f aca="false">IF(ISNUMBER(VLOOKUP($A55,VOLCURVES,HLOOKUP($D$4,VOLCURVES,2,FALSE()),FALSE())),VLOOKUP($A55,VOLCURVES,HLOOKUP($D$4,VOLCURVES,2,FALSE()),FALSE()),1)</f>
        <v>1</v>
      </c>
      <c r="V55" s="131" t="n">
        <f aca="false">IF(ISNUMBER(VLOOKUP($A55,CORETABLE,HLOOKUP($D$3,CORETABLE,2,FALSE()),FALSE())),VLOOKUP($A55,CORETABLE,HLOOKUP($D$3,CORETABLE,2,FALSE()),FALSE()),0.99)</f>
        <v>0.96</v>
      </c>
      <c r="W55" s="155" t="n">
        <f aca="false">D$18</f>
        <v>-0.35</v>
      </c>
      <c r="X55" s="131"/>
      <c r="Y55" s="40" t="n">
        <f aca="false">IF($F$3="NYMEX",0,VLOOKUP($A55,curvesettle,HLOOKUP($F$3,curvesettle,2,FALSE()),FALSE()))</f>
        <v>-0.1375</v>
      </c>
      <c r="Z55" s="40" t="n">
        <f aca="false">IF($F$4="NYMEX",0,VLOOKUP($A55,curvesettle,HLOOKUP($F$4,curvesettle,2,FALSE()),FALSE()))</f>
        <v>0</v>
      </c>
      <c r="AA55" s="131" t="n">
        <f aca="false">IF(ISNUMBER(VLOOKUP($A55,VOLCURVES,HLOOKUP($F$3,VOLCURVES,2,FALSE()),FALSE())),VLOOKUP($A55,VOLCURVES,HLOOKUP($F$3,VOLCURVES,2,FALSE()),FALSE()),1)</f>
        <v>1</v>
      </c>
      <c r="AB55" s="131" t="n">
        <f aca="false">IF(ISNUMBER(VLOOKUP($A55,VOLCURVES,HLOOKUP($F$4,VOLCURVES,2,FALSE()),FALSE())),VLOOKUP($A55,VOLCURVES,HLOOKUP($F$4,VOLCURVES,2,FALSE()),FALSE()),1)</f>
        <v>1</v>
      </c>
      <c r="AC55" s="131" t="n">
        <f aca="false">IF(ISNUMBER(VLOOKUP($A55,CORETABLE,HLOOKUP($F$3,CORETABLE,2,FALSE()),FALSE())),VLOOKUP($A55,CORETABLE,HLOOKUP($F$3,CORETABLE,2,FALSE()),FALSE()),1)</f>
        <v>0.995</v>
      </c>
      <c r="AD55" s="155" t="n">
        <f aca="false">F$18</f>
        <v>-0.2</v>
      </c>
      <c r="AE55" s="131"/>
      <c r="AF55" s="40" t="n">
        <f aca="false">IF($H$3="NYMEX",0,VLOOKUP($A55,curvesettle,HLOOKUP($H$3,curvesettle,2,FALSE()),FALSE()))</f>
        <v>0.155</v>
      </c>
      <c r="AG55" s="40" t="n">
        <f aca="false">IF($H$4="NYMEX",0,VLOOKUP($A55,curvesettle,HLOOKUP($H$4,curvesettle,2,FALSE()),FALSE()))</f>
        <v>0</v>
      </c>
      <c r="AH55" s="131" t="n">
        <f aca="false">IF(ISNUMBER(VLOOKUP($A55,VOLCURVES,HLOOKUP($H$3,VOLCURVES,2,FALSE()),FALSE())),VLOOKUP($A55,VOLCURVES,HLOOKUP($H$3,VOLCURVES,2,FALSE()),FALSE()),1)</f>
        <v>1</v>
      </c>
      <c r="AI55" s="131" t="n">
        <f aca="false">IF(ISNUMBER(VLOOKUP($A55,VOLCURVES,HLOOKUP($H$4,VOLCURVES,2,FALSE()),FALSE())),VLOOKUP($A55,VOLCURVES,HLOOKUP($H$4,VOLCURVES,2,FALSE()),FALSE()),1)</f>
        <v>1</v>
      </c>
      <c r="AJ55" s="131" t="n">
        <f aca="false">IF(ISNUMBER(VLOOKUP($A55,CORETABLE,HLOOKUP($H$3,CORETABLE,2,FALSE()),FALSE())),VLOOKUP($A55,CORETABLE,HLOOKUP($H$3,CORETABLE,2,FALSE()),FALSE()),1)</f>
        <v>0.984107647518451</v>
      </c>
      <c r="AK55" s="155" t="n">
        <f aca="false">H$18</f>
        <v>0.2</v>
      </c>
      <c r="AM55" s="4" t="n">
        <f aca="false">VLOOKUP($A55,STRADDLE,12,FALSE())</f>
        <v>0.067326569596599</v>
      </c>
      <c r="AN55" s="43" t="n">
        <f aca="false">A56-A55</f>
        <v>31</v>
      </c>
      <c r="AP55" s="9" t="n">
        <f aca="false">IF($A55&gt;=AR$32,IF($A55&lt;=AR$33,$AN55,0),0)</f>
        <v>0</v>
      </c>
      <c r="AQ55" s="123" t="n">
        <f aca="false">$B55+$K55+$B$12</f>
        <v>3.9885</v>
      </c>
      <c r="AR55" s="123" t="n">
        <f aca="false">$B55+$L55+$B$13</f>
        <v>4.091</v>
      </c>
      <c r="AS55" s="123" t="n">
        <f aca="false">AQ55*AP55</f>
        <v>0</v>
      </c>
      <c r="AT55" s="123" t="n">
        <f aca="false">AR55*AP55</f>
        <v>0</v>
      </c>
      <c r="AU55" s="156" t="n">
        <f aca="false">($C55*$M55)+$B$14</f>
        <v>0.37485</v>
      </c>
      <c r="AV55" s="156" t="n">
        <f aca="false">($C55*$N55)+$B$15</f>
        <v>0.3675</v>
      </c>
      <c r="AW55" s="131" t="n">
        <f aca="false">O55+B$16</f>
        <v>0.96</v>
      </c>
      <c r="AX55" s="157" t="n">
        <f aca="false">IF(AP55=0,0,SPRDOPT(AQ55,AR55,$P55,$AM55,AU55,AV55,AW55,$F55,$B$19,0))</f>
        <v>0</v>
      </c>
      <c r="AY55" s="157" t="e">
        <f aca="false">IF(AQ55=0,0,SPRDOPT(AQ55,AR55,$P55,$AM55,AU55,AV55,AW55,$F55,$B$19,1))</f>
        <v>#NAME?</v>
      </c>
      <c r="AZ55" s="157" t="e">
        <f aca="false">IF(AR55=0,0,SPRDOPT(AQ55,AR55,$P55,$AM55,AU55,AV55,AW55,$F55,$B$19,2))</f>
        <v>#NAME?</v>
      </c>
      <c r="BA55" s="157" t="n">
        <f aca="false">IF(AS55=0,0,SPRDOPT(AQ55,AR55,$P55,$AM55,AU55,AV55,AW55,$F55,$B$19,3)/100)</f>
        <v>0</v>
      </c>
      <c r="BB55" s="157" t="n">
        <f aca="false">IF(AT55=0,0,SPRDOPT(AQ55,AR55,$P55,$AM55,AU55,AV55,AW55,$F55,$B$19,4)/100)</f>
        <v>0</v>
      </c>
      <c r="BC55" s="157" t="e">
        <f aca="false">IF(AU55=0,0,SPRDOPT(AQ55,AR55,$P55,$AM55,AU55,AV55,AW55,$F55,$B$19,5)/100)</f>
        <v>#NAME?</v>
      </c>
      <c r="BD55" s="157" t="e">
        <f aca="false">IF(AV55=0,0,SPRDOPT(AQ55,AR55,$P55,$AM55,AU55,AV55,AW55,$F55,$B$19,6)/100)</f>
        <v>#NAME?</v>
      </c>
      <c r="BE55" s="157" t="e">
        <f aca="false">IF(AW55=0,0,SPRDOPT(AQ55,AR55,$P55,$AM55,AU55,AV55,AW55,$F55,$B$19,7)/100)</f>
        <v>#NAME?</v>
      </c>
      <c r="BF55" s="157" t="n">
        <f aca="false">IF(AX55=0,0,SPRDOPT(AQ55,AR55,$P55,$AM55,AU55,AV55,AW55,$F55,$B$19,9)/365)</f>
        <v>0</v>
      </c>
      <c r="BG55" s="157" t="e">
        <f aca="false">AY55+AZ55</f>
        <v>#NAME?</v>
      </c>
      <c r="BH55" s="157" t="n">
        <f aca="false">BB55-BA55</f>
        <v>0</v>
      </c>
      <c r="BI55" s="157" t="e">
        <f aca="false">((AU55/AV55)*BC55)+BD55</f>
        <v>#NAME?</v>
      </c>
      <c r="BJ55" s="44"/>
      <c r="BK55" s="45" t="n">
        <f aca="false">$AP55*AX55</f>
        <v>0</v>
      </c>
      <c r="BL55" s="45" t="e">
        <f aca="false">$AP55*AY55</f>
        <v>#NAME?</v>
      </c>
      <c r="BM55" s="45" t="e">
        <f aca="false">$AP55*AZ55</f>
        <v>#NAME?</v>
      </c>
      <c r="BN55" s="45" t="n">
        <f aca="false">$AP55*BA55</f>
        <v>0</v>
      </c>
      <c r="BO55" s="45" t="n">
        <f aca="false">$AP55*BB55</f>
        <v>0</v>
      </c>
      <c r="BP55" s="45" t="e">
        <f aca="false">$AP55*BC55</f>
        <v>#NAME?</v>
      </c>
      <c r="BQ55" s="45" t="e">
        <f aca="false">$AP55*BD55</f>
        <v>#NAME?</v>
      </c>
      <c r="BR55" s="45" t="e">
        <f aca="false">$AP55*BE55</f>
        <v>#NAME?</v>
      </c>
      <c r="BS55" s="45" t="n">
        <f aca="false">$AP55*BF55</f>
        <v>0</v>
      </c>
      <c r="BT55" s="45" t="e">
        <f aca="false">$AP55*BG55</f>
        <v>#NAME?</v>
      </c>
      <c r="BU55" s="45" t="n">
        <f aca="false">$AP55*BH55</f>
        <v>0</v>
      </c>
      <c r="BV55" s="45" t="e">
        <f aca="false">$AP55*BI55</f>
        <v>#NAME?</v>
      </c>
      <c r="BX55" s="9" t="n">
        <f aca="false">IF($A55&gt;=BZ$32,IF($A55&lt;=BZ$33,$AN55,0),0)</f>
        <v>0</v>
      </c>
      <c r="BY55" s="123" t="n">
        <f aca="false">$B55+$R55+$D$12</f>
        <v>3.7285</v>
      </c>
      <c r="BZ55" s="123" t="n">
        <f aca="false">$B55+$S55+$D$13</f>
        <v>4.091</v>
      </c>
      <c r="CA55" s="123" t="n">
        <f aca="false">BY55*BX55</f>
        <v>0</v>
      </c>
      <c r="CB55" s="123" t="n">
        <f aca="false">BZ55*BX55</f>
        <v>0</v>
      </c>
      <c r="CC55" s="156" t="n">
        <f aca="false">($C55*$T55)+$D$14</f>
        <v>0.356475</v>
      </c>
      <c r="CD55" s="156" t="n">
        <f aca="false">($C55*$U55)+$D$15</f>
        <v>0.3675</v>
      </c>
      <c r="CE55" s="131" t="n">
        <f aca="false">$V55+D$16</f>
        <v>0.96</v>
      </c>
      <c r="CF55" s="157" t="n">
        <f aca="false">IF(BX55=0,0,SPRDOPT(BY55,BZ55,$W55,$AM55,CC55,CD55,CE55,$F55,$D$19,0))</f>
        <v>0</v>
      </c>
      <c r="CG55" s="157" t="e">
        <f aca="false">IF(BY55=0,0,SPRDOPT(BY55,BZ55,$W55,$AM55,CC55,CD55,CE55,$F55,$D$19,1))</f>
        <v>#NAME?</v>
      </c>
      <c r="CH55" s="157" t="e">
        <f aca="false">IF(BZ55=0,0,SPRDOPT(BY55,BZ55,$W55,$AM55,CC55,CD55,CE55,$F55,$D$19,2))</f>
        <v>#NAME?</v>
      </c>
      <c r="CI55" s="157" t="n">
        <f aca="false">IF(CA55=0,0,SPRDOPT(BY55,BZ55,$W55,$AM55,CC55,CD55,CE55,$F55,$D$19,3)/100)</f>
        <v>0</v>
      </c>
      <c r="CJ55" s="157" t="n">
        <f aca="false">IF(CB55=0,0,SPRDOPT(BY55,BZ55,$W55,$AM55,CC55,CD55,CE55,$F55,$D$19,4)/100)</f>
        <v>0</v>
      </c>
      <c r="CK55" s="157" t="e">
        <f aca="false">IF(CC55=0,0,SPRDOPT(BY55,BZ55,$W55,$AM55,CC55,CD55,CE55,$F55,$D$19,5)/100)</f>
        <v>#NAME?</v>
      </c>
      <c r="CL55" s="157" t="e">
        <f aca="false">IF(CD55=0,0,SPRDOPT(BY55,BZ55,$W55,$AM55,CC55,CD55,CE55,$F55,$D$19,6)/100)</f>
        <v>#NAME?</v>
      </c>
      <c r="CM55" s="157" t="e">
        <f aca="false">IF(CE55=0,0,SPRDOPT(BY55,BZ55,$W55,$AM55,CC55,CD55,CE55,$F55,$D$19,7)/100)</f>
        <v>#NAME?</v>
      </c>
      <c r="CN55" s="157" t="n">
        <f aca="false">IF(CF55=0,0,SPRDOPT(BY55,BZ55,$W55,$AM55,CC55,CD55,CE55,$F55,$D$19,9)/365)</f>
        <v>0</v>
      </c>
      <c r="CO55" s="157" t="e">
        <f aca="false">CG55+CH55</f>
        <v>#NAME?</v>
      </c>
      <c r="CP55" s="157" t="n">
        <f aca="false">CJ55-CI55</f>
        <v>0</v>
      </c>
      <c r="CQ55" s="157" t="e">
        <f aca="false">((CC55/CD55)*CK55)+CL55</f>
        <v>#NAME?</v>
      </c>
      <c r="CR55" s="44"/>
      <c r="CS55" s="45" t="n">
        <f aca="false">BX55*CF55</f>
        <v>0</v>
      </c>
      <c r="CT55" s="45" t="e">
        <f aca="false">BX55*CG55</f>
        <v>#NAME?</v>
      </c>
      <c r="CU55" s="45" t="e">
        <f aca="false">BX55*CH55</f>
        <v>#NAME?</v>
      </c>
      <c r="CV55" s="45" t="n">
        <f aca="false">BX55*CI55</f>
        <v>0</v>
      </c>
      <c r="CW55" s="45" t="n">
        <f aca="false">BX55*CJ55</f>
        <v>0</v>
      </c>
      <c r="CX55" s="45" t="e">
        <f aca="false">BX55*CK55</f>
        <v>#NAME?</v>
      </c>
      <c r="CY55" s="45" t="e">
        <f aca="false">BX55*CL55</f>
        <v>#NAME?</v>
      </c>
      <c r="CZ55" s="45" t="e">
        <f aca="false">BX55*CM55</f>
        <v>#NAME?</v>
      </c>
      <c r="DA55" s="45" t="n">
        <f aca="false">BX55*CN55</f>
        <v>0</v>
      </c>
      <c r="DB55" s="45" t="e">
        <f aca="false">BX55*CO55</f>
        <v>#NAME?</v>
      </c>
      <c r="DC55" s="45" t="n">
        <f aca="false">BX55*CP55</f>
        <v>0</v>
      </c>
      <c r="DD55" s="45" t="e">
        <f aca="false">BX55*CQ55</f>
        <v>#NAME?</v>
      </c>
      <c r="DF55" s="9" t="n">
        <f aca="false">IF($A55&gt;=DH$32,IF($A55&lt;=DH$33,$AN55,0),0)</f>
        <v>0</v>
      </c>
      <c r="DG55" s="123" t="n">
        <f aca="false">$B55+$Y55+$F$12</f>
        <v>3.9535</v>
      </c>
      <c r="DH55" s="123" t="n">
        <f aca="false">$B55+$Z55+$F$13</f>
        <v>4.091</v>
      </c>
      <c r="DI55" s="123" t="n">
        <f aca="false">DG55*DF55</f>
        <v>0</v>
      </c>
      <c r="DJ55" s="123" t="n">
        <f aca="false">DH55*DF55</f>
        <v>0</v>
      </c>
      <c r="DK55" s="156" t="n">
        <f aca="false">($C55*$AA55)+$F$14</f>
        <v>0.3675</v>
      </c>
      <c r="DL55" s="156" t="n">
        <f aca="false">($C55*$AB55)+$F$15</f>
        <v>0.3675</v>
      </c>
      <c r="DM55" s="131" t="n">
        <f aca="false">$AC55+$F$16</f>
        <v>0.995</v>
      </c>
      <c r="DN55" s="157" t="n">
        <f aca="false">IF(DF55=0,0,SPRDOPT(DG55,DH55,$AD55,$AM55,DK55,DL55,DM55,$F55,$F$19,0))</f>
        <v>0</v>
      </c>
      <c r="DO55" s="157" t="e">
        <f aca="false">IF(DG55=0,0,SPRDOPT(DG55,DH55,$AD55,$AM55,DK55,DL55,DM55,$F55,$F$19,1))</f>
        <v>#NAME?</v>
      </c>
      <c r="DP55" s="157" t="e">
        <f aca="false">IF(DH55=0,0,SPRDOPT(DG55,DH55,$AD55,$AM55,DK55,DL55,DM55,$F55,$F$19,2))</f>
        <v>#NAME?</v>
      </c>
      <c r="DQ55" s="157" t="n">
        <f aca="false">IF(DI55=0,0,SPRDOPT(DG55,DH55,$AD55,$AM55,DK55,DL55,DM55,$F55,$F$19,3)/100)</f>
        <v>0</v>
      </c>
      <c r="DR55" s="157" t="n">
        <f aca="false">IF(DJ55=0,0,SPRDOPT(DG55,DH55,$AD55,$AM55,DK55,DL55,DM55,$F55,$F$19,4)/100)</f>
        <v>0</v>
      </c>
      <c r="DS55" s="157" t="e">
        <f aca="false">IF(DK55=0,0,SPRDOPT(DG55,DH55,$AD55,$AM55,DK55,DL55,DM55,$F55,$F$19,5)/100)</f>
        <v>#NAME?</v>
      </c>
      <c r="DT55" s="157" t="e">
        <f aca="false">IF(DL55=0,0,SPRDOPT(DG55,DH55,$AD55,$AM55,DK55,DL55,DM55,$F55,$F$19,6)/100)</f>
        <v>#NAME?</v>
      </c>
      <c r="DU55" s="157" t="e">
        <f aca="false">IF(DM55=0,0,SPRDOPT(DG55,DH55,$AD55,$AM55,DK55,DL55,DM55,$F55,$F$19,7)/100)</f>
        <v>#NAME?</v>
      </c>
      <c r="DV55" s="157" t="n">
        <f aca="false">IF(DN55=0,0,SPRDOPT(DG55,DH55,$AD55,$AM55,DK55,DL55,DM55,$F55,$F$19,9)/365)</f>
        <v>0</v>
      </c>
      <c r="DW55" s="157" t="e">
        <f aca="false">DO55+DP55</f>
        <v>#NAME?</v>
      </c>
      <c r="DX55" s="157" t="n">
        <f aca="false">DR55-DQ55</f>
        <v>0</v>
      </c>
      <c r="DY55" s="157" t="e">
        <f aca="false">((DK55/DL55)*DS55)+DT55</f>
        <v>#NAME?</v>
      </c>
      <c r="DZ55" s="44"/>
      <c r="EA55" s="45" t="n">
        <f aca="false">DF55*DN55</f>
        <v>0</v>
      </c>
      <c r="EB55" s="45" t="e">
        <f aca="false">DF55*DO55</f>
        <v>#NAME?</v>
      </c>
      <c r="EC55" s="45" t="e">
        <f aca="false">DF55*DP55</f>
        <v>#NAME?</v>
      </c>
      <c r="ED55" s="45" t="n">
        <f aca="false">DF55*DQ55</f>
        <v>0</v>
      </c>
      <c r="EE55" s="45" t="n">
        <f aca="false">DF55*DR55</f>
        <v>0</v>
      </c>
      <c r="EF55" s="45" t="e">
        <f aca="false">DF55*DS55</f>
        <v>#NAME?</v>
      </c>
      <c r="EG55" s="45" t="e">
        <f aca="false">DF55*DT55</f>
        <v>#NAME?</v>
      </c>
      <c r="EH55" s="45" t="e">
        <f aca="false">DF55*DU55</f>
        <v>#NAME?</v>
      </c>
      <c r="EI55" s="45" t="n">
        <f aca="false">DF55*DV55</f>
        <v>0</v>
      </c>
      <c r="EJ55" s="45" t="e">
        <f aca="false">DF55*DW55</f>
        <v>#NAME?</v>
      </c>
      <c r="EK55" s="45" t="n">
        <f aca="false">DF55*DX55</f>
        <v>0</v>
      </c>
      <c r="EL55" s="45" t="e">
        <f aca="false">DF55*DY55</f>
        <v>#NAME?</v>
      </c>
      <c r="EN55" s="9" t="n">
        <f aca="false">IF($A55&gt;=EP$32,IF($A55&lt;=EP$33,$AN55,0),0)</f>
        <v>0</v>
      </c>
      <c r="EO55" s="123" t="n">
        <f aca="false">$B55+$AF55+$H$12</f>
        <v>4.251</v>
      </c>
      <c r="EP55" s="123" t="n">
        <f aca="false">$B55+$AG55+$H$13</f>
        <v>4.091</v>
      </c>
      <c r="EQ55" s="123" t="n">
        <f aca="false">EO55*EN55</f>
        <v>0</v>
      </c>
      <c r="ER55" s="123" t="n">
        <f aca="false">EP55*EN55</f>
        <v>0</v>
      </c>
      <c r="ES55" s="156" t="n">
        <f aca="false">($C55*$AH55)+$H$14</f>
        <v>0.3675</v>
      </c>
      <c r="ET55" s="156" t="n">
        <f aca="false">($C55*$AI55)+$H$15</f>
        <v>0.3675</v>
      </c>
      <c r="EU55" s="131" t="n">
        <f aca="false">$AJ55+$H$16</f>
        <v>0.984107647518451</v>
      </c>
      <c r="EV55" s="157" t="n">
        <f aca="false">IF(EN55=0,0,SPRDOPT(EO55,EP55,$AK55,$AM55,ES55,ET55,EU55,$F55,$H$19,0))</f>
        <v>0</v>
      </c>
      <c r="EW55" s="157" t="e">
        <f aca="false">IF(EO55=0,0,SPRDOPT(EO55,EP55,$AK55,$AM55,ES55,ET55,EU55,$F55,$H$19,1))</f>
        <v>#NAME?</v>
      </c>
      <c r="EX55" s="157" t="e">
        <f aca="false">IF(EP55=0,0,SPRDOPT(EO55,EP55,$AK55,$AM55,ES55,ET55,EU55,$F55,$H$19,2))</f>
        <v>#NAME?</v>
      </c>
      <c r="EY55" s="157" t="n">
        <f aca="false">IF(EQ55=0,0,SPRDOPT(EO55,EP55,$AK55,$AM55,ES55,ET55,EU55,$F55,$H$19,3)/100)</f>
        <v>0</v>
      </c>
      <c r="EZ55" s="157" t="n">
        <f aca="false">IF(ER55=0,0,SPRDOPT(EO55,EP55,$AK55,$AM55,ES55,ET55,EU55,$F55,$H$19,4)/100)</f>
        <v>0</v>
      </c>
      <c r="FA55" s="157" t="e">
        <f aca="false">IF(ES55=0,0,SPRDOPT(EO55,EP55,$AK55,$AM55,ES55,ET55,EU55,$F55,$H$19,5)/100)</f>
        <v>#NAME?</v>
      </c>
      <c r="FB55" s="157" t="e">
        <f aca="false">IF(ET55=0,0,SPRDOPT(EO55,EP55,$AK55,$AM55,ES55,ET55,EU55,$F55,$H$19,6)/100)</f>
        <v>#NAME?</v>
      </c>
      <c r="FC55" s="157" t="e">
        <f aca="false">IF(EU55=0,0,SPRDOPT(EO55,EP55,$AK55,$AM55,ES55,ET55,EU55,$F55,$H$19,7)/100)</f>
        <v>#NAME?</v>
      </c>
      <c r="FD55" s="157" t="n">
        <f aca="false">IF(EV55=0,0,SPRDOPT(EO55,EP55,$AK55,$AM55,ES55,ET55,EU55,$F55,$H$19,9)/365)</f>
        <v>0</v>
      </c>
      <c r="FE55" s="157" t="e">
        <f aca="false">EW55+EX55</f>
        <v>#NAME?</v>
      </c>
      <c r="FF55" s="157" t="n">
        <f aca="false">EZ55-EY55</f>
        <v>0</v>
      </c>
      <c r="FG55" s="157" t="e">
        <f aca="false">((ES55/ET55)*FA55)+FB55</f>
        <v>#NAME?</v>
      </c>
      <c r="FH55" s="44"/>
      <c r="FI55" s="45" t="n">
        <f aca="false">$EN55*EV55</f>
        <v>0</v>
      </c>
      <c r="FJ55" s="45" t="e">
        <f aca="false">$EN55*EW55</f>
        <v>#NAME?</v>
      </c>
      <c r="FK55" s="45" t="e">
        <f aca="false">$EN55*EX55</f>
        <v>#NAME?</v>
      </c>
      <c r="FL55" s="45" t="n">
        <f aca="false">$EN55*EY55</f>
        <v>0</v>
      </c>
      <c r="FM55" s="45" t="n">
        <f aca="false">$EN55*EZ55</f>
        <v>0</v>
      </c>
      <c r="FN55" s="45" t="e">
        <f aca="false">$EN55*FA55</f>
        <v>#NAME?</v>
      </c>
      <c r="FO55" s="45" t="e">
        <f aca="false">$EN55*FB55</f>
        <v>#NAME?</v>
      </c>
      <c r="FP55" s="45" t="e">
        <f aca="false">$EN55*FC55</f>
        <v>#NAME?</v>
      </c>
      <c r="FQ55" s="45" t="n">
        <f aca="false">$EN55*FD55</f>
        <v>0</v>
      </c>
      <c r="FR55" s="45" t="e">
        <f aca="false">$EN55*FE55</f>
        <v>#NAME?</v>
      </c>
      <c r="FS55" s="45" t="n">
        <f aca="false">$EN55*FF55</f>
        <v>0</v>
      </c>
      <c r="FT55" s="45" t="e">
        <f aca="false">$EN55*FG55</f>
        <v>#NAME?</v>
      </c>
    </row>
    <row r="56" customFormat="false" ht="12.75" hidden="false" customHeight="false" outlineLevel="0" collapsed="false">
      <c r="A56" s="48" t="n">
        <f aca="false">DATE(YEAR(A55),MONTH(A55)+1,1)</f>
        <v>37347</v>
      </c>
      <c r="B56" s="40" t="n">
        <f aca="false">VLOOKUP(A56,STRADDLE,5,FALSE())</f>
        <v>3.81</v>
      </c>
      <c r="C56" s="4" t="n">
        <f aca="false">VLOOKUP(A56,STRADDLE,8,FALSE())</f>
        <v>0.3075</v>
      </c>
      <c r="D56" s="40"/>
      <c r="E56" s="131"/>
      <c r="F56" s="136" t="n">
        <f aca="false">VLOOKUP(A56,expiration,2,FALSE())-$B$2</f>
        <v>-8585</v>
      </c>
      <c r="G56" s="4"/>
      <c r="H56" s="4"/>
      <c r="I56" s="41"/>
      <c r="J56" s="154"/>
      <c r="K56" s="40" t="n">
        <f aca="false">IF($B$3="NYMEX",0,VLOOKUP($A56,curvesettle,HLOOKUP($B$3,curvesettle,2,FALSE()),FALSE()))</f>
        <v>-0.35</v>
      </c>
      <c r="L56" s="40" t="n">
        <f aca="false">IF($B$4="NYMEX",0,VLOOKUP($A56,curvesettle,HLOOKUP($B$4,curvesettle,2,FALSE()),FALSE()))</f>
        <v>0</v>
      </c>
      <c r="M56" s="131" t="n">
        <f aca="false">IF(ISNUMBER(VLOOKUP($A56,VOLCURVES,HLOOKUP($B$3,VOLCURVES,2,FALSE()),FALSE())),VLOOKUP($A56,VOLCURVES,HLOOKUP($B$3,VOLCURVES,2,FALSE()),FALSE()),1)</f>
        <v>1.02</v>
      </c>
      <c r="N56" s="131" t="n">
        <f aca="false">IF(ISNUMBER(VLOOKUP($A56,VOLCURVES,HLOOKUP($B$4,VOLCURVES,2,FALSE()),FALSE())),VLOOKUP($A56,VOLCURVES,HLOOKUP($B$4,VOLCURVES,2,FALSE()),FALSE()),1)</f>
        <v>1</v>
      </c>
      <c r="O56" s="131" t="n">
        <f aca="false">IF(ISNUMBER(VLOOKUP($A56,CORETABLE,HLOOKUP($B$3,CORETABLE,2,FALSE()),FALSE())),VLOOKUP($A56,CORETABLE,HLOOKUP($B$3,CORETABLE,2,FALSE()),FALSE()),0.99)</f>
        <v>0.96</v>
      </c>
      <c r="P56" s="155" t="n">
        <f aca="false">B$18</f>
        <v>0.3</v>
      </c>
      <c r="Q56" s="131"/>
      <c r="R56" s="40" t="n">
        <f aca="false">IF($D$3="NYMEX",0,VLOOKUP($A56,curvesettle,HLOOKUP($D$3,curvesettle,2,FALSE()),FALSE()))</f>
        <v>-0.535</v>
      </c>
      <c r="S56" s="40" t="n">
        <f aca="false">IF($D$4="NYMEX",0,VLOOKUP($A56,curvesettle,HLOOKUP($D$4,curvesettle,2,FALSE()),FALSE()))</f>
        <v>0</v>
      </c>
      <c r="T56" s="131" t="n">
        <f aca="false">IF(ISNUMBER(VLOOKUP($A56,VOLCURVES,HLOOKUP($D$3,VOLCURVES,2,FALSE()),FALSE())),VLOOKUP($A56,VOLCURVES,HLOOKUP($D$3,VOLCURVES,2,FALSE()),FALSE()),1)</f>
        <v>1</v>
      </c>
      <c r="U56" s="131" t="n">
        <f aca="false">IF(ISNUMBER(VLOOKUP($A56,VOLCURVES,HLOOKUP($D$4,VOLCURVES,2,FALSE()),FALSE())),VLOOKUP($A56,VOLCURVES,HLOOKUP($D$4,VOLCURVES,2,FALSE()),FALSE()),1)</f>
        <v>1</v>
      </c>
      <c r="V56" s="131" t="n">
        <f aca="false">IF(ISNUMBER(VLOOKUP($A56,CORETABLE,HLOOKUP($D$3,CORETABLE,2,FALSE()),FALSE())),VLOOKUP($A56,CORETABLE,HLOOKUP($D$3,CORETABLE,2,FALSE()),FALSE()),0.99)</f>
        <v>0.96</v>
      </c>
      <c r="W56" s="155" t="n">
        <f aca="false">D$18</f>
        <v>-0.35</v>
      </c>
      <c r="X56" s="131"/>
      <c r="Y56" s="40" t="n">
        <f aca="false">IF($F$3="NYMEX",0,VLOOKUP($A56,curvesettle,HLOOKUP($F$3,curvesettle,2,FALSE()),FALSE()))</f>
        <v>-0.1325</v>
      </c>
      <c r="Z56" s="40" t="n">
        <f aca="false">IF($F$4="NYMEX",0,VLOOKUP($A56,curvesettle,HLOOKUP($F$4,curvesettle,2,FALSE()),FALSE()))</f>
        <v>0</v>
      </c>
      <c r="AA56" s="131" t="n">
        <f aca="false">IF(ISNUMBER(VLOOKUP($A56,VOLCURVES,HLOOKUP($F$3,VOLCURVES,2,FALSE()),FALSE())),VLOOKUP($A56,VOLCURVES,HLOOKUP($F$3,VOLCURVES,2,FALSE()),FALSE()),1)</f>
        <v>1</v>
      </c>
      <c r="AB56" s="131" t="n">
        <f aca="false">IF(ISNUMBER(VLOOKUP($A56,VOLCURVES,HLOOKUP($F$4,VOLCURVES,2,FALSE()),FALSE())),VLOOKUP($A56,VOLCURVES,HLOOKUP($F$4,VOLCURVES,2,FALSE()),FALSE()),1)</f>
        <v>1</v>
      </c>
      <c r="AC56" s="131" t="n">
        <f aca="false">IF(ISNUMBER(VLOOKUP($A56,CORETABLE,HLOOKUP($F$3,CORETABLE,2,FALSE()),FALSE())),VLOOKUP($A56,CORETABLE,HLOOKUP($F$3,CORETABLE,2,FALSE()),FALSE()),1)</f>
        <v>0.995</v>
      </c>
      <c r="AD56" s="155" t="n">
        <f aca="false">F$18</f>
        <v>-0.2</v>
      </c>
      <c r="AE56" s="131"/>
      <c r="AF56" s="40" t="n">
        <f aca="false">IF($H$3="NYMEX",0,VLOOKUP($A56,curvesettle,HLOOKUP($H$3,curvesettle,2,FALSE()),FALSE()))</f>
        <v>0.075</v>
      </c>
      <c r="AG56" s="40" t="n">
        <f aca="false">IF($H$4="NYMEX",0,VLOOKUP($A56,curvesettle,HLOOKUP($H$4,curvesettle,2,FALSE()),FALSE()))</f>
        <v>0</v>
      </c>
      <c r="AH56" s="131" t="n">
        <f aca="false">IF(ISNUMBER(VLOOKUP($A56,VOLCURVES,HLOOKUP($H$3,VOLCURVES,2,FALSE()),FALSE())),VLOOKUP($A56,VOLCURVES,HLOOKUP($H$3,VOLCURVES,2,FALSE()),FALSE()),1)</f>
        <v>1</v>
      </c>
      <c r="AI56" s="131" t="n">
        <f aca="false">IF(ISNUMBER(VLOOKUP($A56,VOLCURVES,HLOOKUP($H$4,VOLCURVES,2,FALSE()),FALSE())),VLOOKUP($A56,VOLCURVES,HLOOKUP($H$4,VOLCURVES,2,FALSE()),FALSE()),1)</f>
        <v>1</v>
      </c>
      <c r="AJ56" s="131" t="n">
        <f aca="false">IF(ISNUMBER(VLOOKUP($A56,CORETABLE,HLOOKUP($H$3,CORETABLE,2,FALSE()),FALSE())),VLOOKUP($A56,CORETABLE,HLOOKUP($H$3,CORETABLE,2,FALSE()),FALSE()),1)</f>
        <v>0.994071440191916</v>
      </c>
      <c r="AK56" s="155" t="n">
        <f aca="false">H$18</f>
        <v>0.2</v>
      </c>
      <c r="AM56" s="4" t="n">
        <f aca="false">VLOOKUP($A56,STRADDLE,12,FALSE())</f>
        <v>0.067312742785332</v>
      </c>
      <c r="AN56" s="43" t="n">
        <f aca="false">A57-A56</f>
        <v>30</v>
      </c>
      <c r="AP56" s="9" t="n">
        <f aca="false">IF($A56&gt;=AR$32,IF($A56&lt;=AR$33,$AN56,0),0)</f>
        <v>0</v>
      </c>
      <c r="AQ56" s="123" t="n">
        <f aca="false">$B56+$K56+$B$12</f>
        <v>3.4275</v>
      </c>
      <c r="AR56" s="123" t="n">
        <f aca="false">$B56+$L56+$B$13</f>
        <v>3.81</v>
      </c>
      <c r="AS56" s="123" t="n">
        <f aca="false">AQ56*AP56</f>
        <v>0</v>
      </c>
      <c r="AT56" s="123" t="n">
        <f aca="false">AR56*AP56</f>
        <v>0</v>
      </c>
      <c r="AU56" s="156" t="n">
        <f aca="false">($C56*$M56)+$B$14</f>
        <v>0.31365</v>
      </c>
      <c r="AV56" s="156" t="n">
        <f aca="false">($C56*$N56)+$B$15</f>
        <v>0.3075</v>
      </c>
      <c r="AW56" s="131" t="n">
        <f aca="false">O56+B$16</f>
        <v>0.96</v>
      </c>
      <c r="AX56" s="157" t="n">
        <f aca="false">IF(AP56=0,0,SPRDOPT(AQ56,AR56,$P56,$AM56,AU56,AV56,AW56,$F56,$B$19,0))</f>
        <v>0</v>
      </c>
      <c r="AY56" s="157" t="e">
        <f aca="false">IF(AQ56=0,0,SPRDOPT(AQ56,AR56,$P56,$AM56,AU56,AV56,AW56,$F56,$B$19,1))</f>
        <v>#NAME?</v>
      </c>
      <c r="AZ56" s="157" t="e">
        <f aca="false">IF(AR56=0,0,SPRDOPT(AQ56,AR56,$P56,$AM56,AU56,AV56,AW56,$F56,$B$19,2))</f>
        <v>#NAME?</v>
      </c>
      <c r="BA56" s="157" t="n">
        <f aca="false">IF(AS56=0,0,SPRDOPT(AQ56,AR56,$P56,$AM56,AU56,AV56,AW56,$F56,$B$19,3)/100)</f>
        <v>0</v>
      </c>
      <c r="BB56" s="157" t="n">
        <f aca="false">IF(AT56=0,0,SPRDOPT(AQ56,AR56,$P56,$AM56,AU56,AV56,AW56,$F56,$B$19,4)/100)</f>
        <v>0</v>
      </c>
      <c r="BC56" s="157" t="e">
        <f aca="false">IF(AU56=0,0,SPRDOPT(AQ56,AR56,$P56,$AM56,AU56,AV56,AW56,$F56,$B$19,5)/100)</f>
        <v>#NAME?</v>
      </c>
      <c r="BD56" s="157" t="e">
        <f aca="false">IF(AV56=0,0,SPRDOPT(AQ56,AR56,$P56,$AM56,AU56,AV56,AW56,$F56,$B$19,6)/100)</f>
        <v>#NAME?</v>
      </c>
      <c r="BE56" s="157" t="e">
        <f aca="false">IF(AW56=0,0,SPRDOPT(AQ56,AR56,$P56,$AM56,AU56,AV56,AW56,$F56,$B$19,7)/100)</f>
        <v>#NAME?</v>
      </c>
      <c r="BF56" s="157" t="n">
        <f aca="false">IF(AX56=0,0,SPRDOPT(AQ56,AR56,$P56,$AM56,AU56,AV56,AW56,$F56,$B$19,9)/365)</f>
        <v>0</v>
      </c>
      <c r="BG56" s="157" t="e">
        <f aca="false">AY56+AZ56</f>
        <v>#NAME?</v>
      </c>
      <c r="BH56" s="157" t="n">
        <f aca="false">BB56-BA56</f>
        <v>0</v>
      </c>
      <c r="BI56" s="157" t="e">
        <f aca="false">((AU56/AV56)*BC56)+BD56</f>
        <v>#NAME?</v>
      </c>
      <c r="BJ56" s="44"/>
      <c r="BK56" s="45" t="n">
        <f aca="false">$AP56*AX56</f>
        <v>0</v>
      </c>
      <c r="BL56" s="45" t="e">
        <f aca="false">$AP56*AY56</f>
        <v>#NAME?</v>
      </c>
      <c r="BM56" s="45" t="e">
        <f aca="false">$AP56*AZ56</f>
        <v>#NAME?</v>
      </c>
      <c r="BN56" s="45" t="n">
        <f aca="false">$AP56*BA56</f>
        <v>0</v>
      </c>
      <c r="BO56" s="45" t="n">
        <f aca="false">$AP56*BB56</f>
        <v>0</v>
      </c>
      <c r="BP56" s="45" t="e">
        <f aca="false">$AP56*BC56</f>
        <v>#NAME?</v>
      </c>
      <c r="BQ56" s="45" t="e">
        <f aca="false">$AP56*BD56</f>
        <v>#NAME?</v>
      </c>
      <c r="BR56" s="45" t="e">
        <f aca="false">$AP56*BE56</f>
        <v>#NAME?</v>
      </c>
      <c r="BS56" s="45" t="n">
        <f aca="false">$AP56*BF56</f>
        <v>0</v>
      </c>
      <c r="BT56" s="45" t="e">
        <f aca="false">$AP56*BG56</f>
        <v>#NAME?</v>
      </c>
      <c r="BU56" s="45" t="n">
        <f aca="false">$AP56*BH56</f>
        <v>0</v>
      </c>
      <c r="BV56" s="45" t="e">
        <f aca="false">$AP56*BI56</f>
        <v>#NAME?</v>
      </c>
      <c r="BX56" s="9" t="n">
        <f aca="false">IF($A56&gt;=BZ$32,IF($A56&lt;=BZ$33,$AN56,0),0)</f>
        <v>0</v>
      </c>
      <c r="BY56" s="123" t="n">
        <f aca="false">$B56+$R56+$D$12</f>
        <v>3.2425</v>
      </c>
      <c r="BZ56" s="123" t="n">
        <f aca="false">$B56+$S56+$D$13</f>
        <v>3.81</v>
      </c>
      <c r="CA56" s="123" t="n">
        <f aca="false">BY56*BX56</f>
        <v>0</v>
      </c>
      <c r="CB56" s="123" t="n">
        <f aca="false">BZ56*BX56</f>
        <v>0</v>
      </c>
      <c r="CC56" s="156" t="n">
        <f aca="false">($C56*$T56)+$D$14</f>
        <v>0.3075</v>
      </c>
      <c r="CD56" s="156" t="n">
        <f aca="false">($C56*$U56)+$D$15</f>
        <v>0.3075</v>
      </c>
      <c r="CE56" s="131" t="n">
        <f aca="false">$V56+D$16</f>
        <v>0.96</v>
      </c>
      <c r="CF56" s="157" t="n">
        <f aca="false">IF(BX56=0,0,SPRDOPT(BY56,BZ56,$W56,$AM56,CC56,CD56,CE56,$F56,$D$19,0))</f>
        <v>0</v>
      </c>
      <c r="CG56" s="157" t="e">
        <f aca="false">IF(BY56=0,0,SPRDOPT(BY56,BZ56,$W56,$AM56,CC56,CD56,CE56,$F56,$D$19,1))</f>
        <v>#NAME?</v>
      </c>
      <c r="CH56" s="157" t="e">
        <f aca="false">IF(BZ56=0,0,SPRDOPT(BY56,BZ56,$W56,$AM56,CC56,CD56,CE56,$F56,$D$19,2))</f>
        <v>#NAME?</v>
      </c>
      <c r="CI56" s="157" t="n">
        <f aca="false">IF(CA56=0,0,SPRDOPT(BY56,BZ56,$W56,$AM56,CC56,CD56,CE56,$F56,$D$19,3)/100)</f>
        <v>0</v>
      </c>
      <c r="CJ56" s="157" t="n">
        <f aca="false">IF(CB56=0,0,SPRDOPT(BY56,BZ56,$W56,$AM56,CC56,CD56,CE56,$F56,$D$19,4)/100)</f>
        <v>0</v>
      </c>
      <c r="CK56" s="157" t="e">
        <f aca="false">IF(CC56=0,0,SPRDOPT(BY56,BZ56,$W56,$AM56,CC56,CD56,CE56,$F56,$D$19,5)/100)</f>
        <v>#NAME?</v>
      </c>
      <c r="CL56" s="157" t="e">
        <f aca="false">IF(CD56=0,0,SPRDOPT(BY56,BZ56,$W56,$AM56,CC56,CD56,CE56,$F56,$D$19,6)/100)</f>
        <v>#NAME?</v>
      </c>
      <c r="CM56" s="157" t="e">
        <f aca="false">IF(CE56=0,0,SPRDOPT(BY56,BZ56,$W56,$AM56,CC56,CD56,CE56,$F56,$D$19,7)/100)</f>
        <v>#NAME?</v>
      </c>
      <c r="CN56" s="157" t="n">
        <f aca="false">IF(CF56=0,0,SPRDOPT(BY56,BZ56,$W56,$AM56,CC56,CD56,CE56,$F56,$D$19,9)/365)</f>
        <v>0</v>
      </c>
      <c r="CO56" s="157" t="e">
        <f aca="false">CG56+CH56</f>
        <v>#NAME?</v>
      </c>
      <c r="CP56" s="157" t="n">
        <f aca="false">CJ56-CI56</f>
        <v>0</v>
      </c>
      <c r="CQ56" s="157" t="e">
        <f aca="false">((CC56/CD56)*CK56)+CL56</f>
        <v>#NAME?</v>
      </c>
      <c r="CR56" s="44"/>
      <c r="CS56" s="45" t="n">
        <f aca="false">BX56*CF56</f>
        <v>0</v>
      </c>
      <c r="CT56" s="45" t="e">
        <f aca="false">BX56*CG56</f>
        <v>#NAME?</v>
      </c>
      <c r="CU56" s="45" t="e">
        <f aca="false">BX56*CH56</f>
        <v>#NAME?</v>
      </c>
      <c r="CV56" s="45" t="n">
        <f aca="false">BX56*CI56</f>
        <v>0</v>
      </c>
      <c r="CW56" s="45" t="n">
        <f aca="false">BX56*CJ56</f>
        <v>0</v>
      </c>
      <c r="CX56" s="45" t="e">
        <f aca="false">BX56*CK56</f>
        <v>#NAME?</v>
      </c>
      <c r="CY56" s="45" t="e">
        <f aca="false">BX56*CL56</f>
        <v>#NAME?</v>
      </c>
      <c r="CZ56" s="45" t="e">
        <f aca="false">BX56*CM56</f>
        <v>#NAME?</v>
      </c>
      <c r="DA56" s="45" t="n">
        <f aca="false">BX56*CN56</f>
        <v>0</v>
      </c>
      <c r="DB56" s="45" t="e">
        <f aca="false">BX56*CO56</f>
        <v>#NAME?</v>
      </c>
      <c r="DC56" s="45" t="n">
        <f aca="false">BX56*CP56</f>
        <v>0</v>
      </c>
      <c r="DD56" s="45" t="e">
        <f aca="false">BX56*CQ56</f>
        <v>#NAME?</v>
      </c>
      <c r="DF56" s="9" t="n">
        <f aca="false">IF($A56&gt;=DH$32,IF($A56&lt;=DH$33,$AN56,0),0)</f>
        <v>0</v>
      </c>
      <c r="DG56" s="123" t="n">
        <f aca="false">$B56+$Y56+$F$12</f>
        <v>3.6775</v>
      </c>
      <c r="DH56" s="123" t="n">
        <f aca="false">$B56+$Z56+$F$13</f>
        <v>3.81</v>
      </c>
      <c r="DI56" s="123" t="n">
        <f aca="false">DG56*DF56</f>
        <v>0</v>
      </c>
      <c r="DJ56" s="123" t="n">
        <f aca="false">DH56*DF56</f>
        <v>0</v>
      </c>
      <c r="DK56" s="156" t="n">
        <f aca="false">($C56*$AA56)+$F$14</f>
        <v>0.3075</v>
      </c>
      <c r="DL56" s="156" t="n">
        <f aca="false">($C56*$AB56)+$F$15</f>
        <v>0.3075</v>
      </c>
      <c r="DM56" s="131" t="n">
        <f aca="false">$AC56+$F$16</f>
        <v>0.995</v>
      </c>
      <c r="DN56" s="157" t="n">
        <f aca="false">IF(DF56=0,0,SPRDOPT(DG56,DH56,$AD56,$AM56,DK56,DL56,DM56,$F56,$F$19,0))</f>
        <v>0</v>
      </c>
      <c r="DO56" s="157" t="e">
        <f aca="false">IF(DG56=0,0,SPRDOPT(DG56,DH56,$AD56,$AM56,DK56,DL56,DM56,$F56,$F$19,1))</f>
        <v>#NAME?</v>
      </c>
      <c r="DP56" s="157" t="e">
        <f aca="false">IF(DH56=0,0,SPRDOPT(DG56,DH56,$AD56,$AM56,DK56,DL56,DM56,$F56,$F$19,2))</f>
        <v>#NAME?</v>
      </c>
      <c r="DQ56" s="157" t="n">
        <f aca="false">IF(DI56=0,0,SPRDOPT(DG56,DH56,$AD56,$AM56,DK56,DL56,DM56,$F56,$F$19,3)/100)</f>
        <v>0</v>
      </c>
      <c r="DR56" s="157" t="n">
        <f aca="false">IF(DJ56=0,0,SPRDOPT(DG56,DH56,$AD56,$AM56,DK56,DL56,DM56,$F56,$F$19,4)/100)</f>
        <v>0</v>
      </c>
      <c r="DS56" s="157" t="e">
        <f aca="false">IF(DK56=0,0,SPRDOPT(DG56,DH56,$AD56,$AM56,DK56,DL56,DM56,$F56,$F$19,5)/100)</f>
        <v>#NAME?</v>
      </c>
      <c r="DT56" s="157" t="e">
        <f aca="false">IF(DL56=0,0,SPRDOPT(DG56,DH56,$AD56,$AM56,DK56,DL56,DM56,$F56,$F$19,6)/100)</f>
        <v>#NAME?</v>
      </c>
      <c r="DU56" s="157" t="e">
        <f aca="false">IF(DM56=0,0,SPRDOPT(DG56,DH56,$AD56,$AM56,DK56,DL56,DM56,$F56,$F$19,7)/100)</f>
        <v>#NAME?</v>
      </c>
      <c r="DV56" s="157" t="n">
        <f aca="false">IF(DN56=0,0,SPRDOPT(DG56,DH56,$AD56,$AM56,DK56,DL56,DM56,$F56,$F$19,9)/365)</f>
        <v>0</v>
      </c>
      <c r="DW56" s="157" t="e">
        <f aca="false">DO56+DP56</f>
        <v>#NAME?</v>
      </c>
      <c r="DX56" s="157" t="n">
        <f aca="false">DR56-DQ56</f>
        <v>0</v>
      </c>
      <c r="DY56" s="157" t="e">
        <f aca="false">((DK56/DL56)*DS56)+DT56</f>
        <v>#NAME?</v>
      </c>
      <c r="DZ56" s="44"/>
      <c r="EA56" s="45" t="n">
        <f aca="false">DF56*DN56</f>
        <v>0</v>
      </c>
      <c r="EB56" s="45" t="e">
        <f aca="false">DF56*DO56</f>
        <v>#NAME?</v>
      </c>
      <c r="EC56" s="45" t="e">
        <f aca="false">DF56*DP56</f>
        <v>#NAME?</v>
      </c>
      <c r="ED56" s="45" t="n">
        <f aca="false">DF56*DQ56</f>
        <v>0</v>
      </c>
      <c r="EE56" s="45" t="n">
        <f aca="false">DF56*DR56</f>
        <v>0</v>
      </c>
      <c r="EF56" s="45" t="e">
        <f aca="false">DF56*DS56</f>
        <v>#NAME?</v>
      </c>
      <c r="EG56" s="45" t="e">
        <f aca="false">DF56*DT56</f>
        <v>#NAME?</v>
      </c>
      <c r="EH56" s="45" t="e">
        <f aca="false">DF56*DU56</f>
        <v>#NAME?</v>
      </c>
      <c r="EI56" s="45" t="n">
        <f aca="false">DF56*DV56</f>
        <v>0</v>
      </c>
      <c r="EJ56" s="45" t="e">
        <f aca="false">DF56*DW56</f>
        <v>#NAME?</v>
      </c>
      <c r="EK56" s="45" t="n">
        <f aca="false">DF56*DX56</f>
        <v>0</v>
      </c>
      <c r="EL56" s="45" t="e">
        <f aca="false">DF56*DY56</f>
        <v>#NAME?</v>
      </c>
      <c r="EN56" s="9" t="n">
        <f aca="false">IF($A56&gt;=EP$32,IF($A56&lt;=EP$33,$AN56,0),0)</f>
        <v>0</v>
      </c>
      <c r="EO56" s="123" t="n">
        <f aca="false">$B56+$AF56+$H$12</f>
        <v>3.89</v>
      </c>
      <c r="EP56" s="123" t="n">
        <f aca="false">$B56+$AG56+$H$13</f>
        <v>3.81</v>
      </c>
      <c r="EQ56" s="123" t="n">
        <f aca="false">EO56*EN56</f>
        <v>0</v>
      </c>
      <c r="ER56" s="123" t="n">
        <f aca="false">EP56*EN56</f>
        <v>0</v>
      </c>
      <c r="ES56" s="156" t="n">
        <f aca="false">($C56*$AH56)+$H$14</f>
        <v>0.3075</v>
      </c>
      <c r="ET56" s="156" t="n">
        <f aca="false">($C56*$AI56)+$H$15</f>
        <v>0.3075</v>
      </c>
      <c r="EU56" s="131" t="n">
        <f aca="false">$AJ56+$H$16</f>
        <v>0.994071440191916</v>
      </c>
      <c r="EV56" s="157" t="n">
        <f aca="false">IF(EN56=0,0,SPRDOPT(EO56,EP56,$AK56,$AM56,ES56,ET56,EU56,$F56,$H$19,0))</f>
        <v>0</v>
      </c>
      <c r="EW56" s="157" t="e">
        <f aca="false">IF(EO56=0,0,SPRDOPT(EO56,EP56,$AK56,$AM56,ES56,ET56,EU56,$F56,$H$19,1))</f>
        <v>#NAME?</v>
      </c>
      <c r="EX56" s="157" t="e">
        <f aca="false">IF(EP56=0,0,SPRDOPT(EO56,EP56,$AK56,$AM56,ES56,ET56,EU56,$F56,$H$19,2))</f>
        <v>#NAME?</v>
      </c>
      <c r="EY56" s="157" t="n">
        <f aca="false">IF(EQ56=0,0,SPRDOPT(EO56,EP56,$AK56,$AM56,ES56,ET56,EU56,$F56,$H$19,3)/100)</f>
        <v>0</v>
      </c>
      <c r="EZ56" s="157" t="n">
        <f aca="false">IF(ER56=0,0,SPRDOPT(EO56,EP56,$AK56,$AM56,ES56,ET56,EU56,$F56,$H$19,4)/100)</f>
        <v>0</v>
      </c>
      <c r="FA56" s="157" t="e">
        <f aca="false">IF(ES56=0,0,SPRDOPT(EO56,EP56,$AK56,$AM56,ES56,ET56,EU56,$F56,$H$19,5)/100)</f>
        <v>#NAME?</v>
      </c>
      <c r="FB56" s="157" t="e">
        <f aca="false">IF(ET56=0,0,SPRDOPT(EO56,EP56,$AK56,$AM56,ES56,ET56,EU56,$F56,$H$19,6)/100)</f>
        <v>#NAME?</v>
      </c>
      <c r="FC56" s="157" t="e">
        <f aca="false">IF(EU56=0,0,SPRDOPT(EO56,EP56,$AK56,$AM56,ES56,ET56,EU56,$F56,$H$19,7)/100)</f>
        <v>#NAME?</v>
      </c>
      <c r="FD56" s="157" t="n">
        <f aca="false">IF(EV56=0,0,SPRDOPT(EO56,EP56,$AK56,$AM56,ES56,ET56,EU56,$F56,$H$19,9)/365)</f>
        <v>0</v>
      </c>
      <c r="FE56" s="157" t="e">
        <f aca="false">EW56+EX56</f>
        <v>#NAME?</v>
      </c>
      <c r="FF56" s="157" t="n">
        <f aca="false">EZ56-EY56</f>
        <v>0</v>
      </c>
      <c r="FG56" s="157" t="e">
        <f aca="false">((ES56/ET56)*FA56)+FB56</f>
        <v>#NAME?</v>
      </c>
      <c r="FH56" s="44"/>
      <c r="FI56" s="45" t="n">
        <f aca="false">$EN56*EV56</f>
        <v>0</v>
      </c>
      <c r="FJ56" s="45" t="e">
        <f aca="false">$EN56*EW56</f>
        <v>#NAME?</v>
      </c>
      <c r="FK56" s="45" t="e">
        <f aca="false">$EN56*EX56</f>
        <v>#NAME?</v>
      </c>
      <c r="FL56" s="45" t="n">
        <f aca="false">$EN56*EY56</f>
        <v>0</v>
      </c>
      <c r="FM56" s="45" t="n">
        <f aca="false">$EN56*EZ56</f>
        <v>0</v>
      </c>
      <c r="FN56" s="45" t="e">
        <f aca="false">$EN56*FA56</f>
        <v>#NAME?</v>
      </c>
      <c r="FO56" s="45" t="e">
        <f aca="false">$EN56*FB56</f>
        <v>#NAME?</v>
      </c>
      <c r="FP56" s="45" t="e">
        <f aca="false">$EN56*FC56</f>
        <v>#NAME?</v>
      </c>
      <c r="FQ56" s="45" t="n">
        <f aca="false">$EN56*FD56</f>
        <v>0</v>
      </c>
      <c r="FR56" s="45" t="e">
        <f aca="false">$EN56*FE56</f>
        <v>#NAME?</v>
      </c>
      <c r="FS56" s="45" t="n">
        <f aca="false">$EN56*FF56</f>
        <v>0</v>
      </c>
      <c r="FT56" s="45" t="e">
        <f aca="false">$EN56*FG56</f>
        <v>#NAME?</v>
      </c>
    </row>
    <row r="57" customFormat="false" ht="12.75" hidden="false" customHeight="false" outlineLevel="0" collapsed="false">
      <c r="A57" s="48" t="n">
        <f aca="false">DATE(YEAR(A56),MONTH(A56)+1,1)</f>
        <v>37377</v>
      </c>
      <c r="B57" s="40" t="n">
        <f aca="false">VLOOKUP(A57,STRADDLE,5,FALSE())</f>
        <v>3.71</v>
      </c>
      <c r="C57" s="4" t="n">
        <f aca="false">VLOOKUP(A57,STRADDLE,8,FALSE())</f>
        <v>0.2925</v>
      </c>
      <c r="D57" s="40"/>
      <c r="E57" s="131"/>
      <c r="F57" s="136" t="n">
        <f aca="false">VLOOKUP(A57,expiration,2,FALSE())-$B$2</f>
        <v>-8554</v>
      </c>
      <c r="G57" s="4"/>
      <c r="H57" s="4"/>
      <c r="I57" s="41"/>
      <c r="J57" s="154"/>
      <c r="K57" s="40" t="n">
        <f aca="false">IF($B$3="NYMEX",0,VLOOKUP($A57,curvesettle,HLOOKUP($B$3,curvesettle,2,FALSE()),FALSE()))</f>
        <v>-0.35</v>
      </c>
      <c r="L57" s="40" t="n">
        <f aca="false">IF($B$4="NYMEX",0,VLOOKUP($A57,curvesettle,HLOOKUP($B$4,curvesettle,2,FALSE()),FALSE()))</f>
        <v>0</v>
      </c>
      <c r="M57" s="131" t="n">
        <f aca="false">IF(ISNUMBER(VLOOKUP($A57,VOLCURVES,HLOOKUP($B$3,VOLCURVES,2,FALSE()),FALSE())),VLOOKUP($A57,VOLCURVES,HLOOKUP($B$3,VOLCURVES,2,FALSE()),FALSE()),1)</f>
        <v>1.02</v>
      </c>
      <c r="N57" s="131" t="n">
        <f aca="false">IF(ISNUMBER(VLOOKUP($A57,VOLCURVES,HLOOKUP($B$4,VOLCURVES,2,FALSE()),FALSE())),VLOOKUP($A57,VOLCURVES,HLOOKUP($B$4,VOLCURVES,2,FALSE()),FALSE()),1)</f>
        <v>1</v>
      </c>
      <c r="O57" s="131" t="n">
        <f aca="false">IF(ISNUMBER(VLOOKUP($A57,CORETABLE,HLOOKUP($B$3,CORETABLE,2,FALSE()),FALSE())),VLOOKUP($A57,CORETABLE,HLOOKUP($B$3,CORETABLE,2,FALSE()),FALSE()),0.99)</f>
        <v>0.96</v>
      </c>
      <c r="P57" s="155" t="n">
        <f aca="false">B$18</f>
        <v>0.3</v>
      </c>
      <c r="Q57" s="131"/>
      <c r="R57" s="40" t="n">
        <f aca="false">IF($D$3="NYMEX",0,VLOOKUP($A57,curvesettle,HLOOKUP($D$3,curvesettle,2,FALSE()),FALSE()))</f>
        <v>-0.535</v>
      </c>
      <c r="S57" s="40" t="n">
        <f aca="false">IF($D$4="NYMEX",0,VLOOKUP($A57,curvesettle,HLOOKUP($D$4,curvesettle,2,FALSE()),FALSE()))</f>
        <v>0</v>
      </c>
      <c r="T57" s="131" t="n">
        <f aca="false">IF(ISNUMBER(VLOOKUP($A57,VOLCURVES,HLOOKUP($D$3,VOLCURVES,2,FALSE()),FALSE())),VLOOKUP($A57,VOLCURVES,HLOOKUP($D$3,VOLCURVES,2,FALSE()),FALSE()),1)</f>
        <v>1</v>
      </c>
      <c r="U57" s="131" t="n">
        <f aca="false">IF(ISNUMBER(VLOOKUP($A57,VOLCURVES,HLOOKUP($D$4,VOLCURVES,2,FALSE()),FALSE())),VLOOKUP($A57,VOLCURVES,HLOOKUP($D$4,VOLCURVES,2,FALSE()),FALSE()),1)</f>
        <v>1</v>
      </c>
      <c r="V57" s="131" t="n">
        <f aca="false">IF(ISNUMBER(VLOOKUP($A57,CORETABLE,HLOOKUP($D$3,CORETABLE,2,FALSE()),FALSE())),VLOOKUP($A57,CORETABLE,HLOOKUP($D$3,CORETABLE,2,FALSE()),FALSE()),0.99)</f>
        <v>0.96</v>
      </c>
      <c r="W57" s="155" t="n">
        <f aca="false">D$18</f>
        <v>-0.35</v>
      </c>
      <c r="X57" s="131"/>
      <c r="Y57" s="40" t="n">
        <f aca="false">IF($F$3="NYMEX",0,VLOOKUP($A57,curvesettle,HLOOKUP($F$3,curvesettle,2,FALSE()),FALSE()))</f>
        <v>-0.1325</v>
      </c>
      <c r="Z57" s="40" t="n">
        <f aca="false">IF($F$4="NYMEX",0,VLOOKUP($A57,curvesettle,HLOOKUP($F$4,curvesettle,2,FALSE()),FALSE()))</f>
        <v>0</v>
      </c>
      <c r="AA57" s="131" t="n">
        <f aca="false">IF(ISNUMBER(VLOOKUP($A57,VOLCURVES,HLOOKUP($F$3,VOLCURVES,2,FALSE()),FALSE())),VLOOKUP($A57,VOLCURVES,HLOOKUP($F$3,VOLCURVES,2,FALSE()),FALSE()),1)</f>
        <v>1</v>
      </c>
      <c r="AB57" s="131" t="n">
        <f aca="false">IF(ISNUMBER(VLOOKUP($A57,VOLCURVES,HLOOKUP($F$4,VOLCURVES,2,FALSE()),FALSE())),VLOOKUP($A57,VOLCURVES,HLOOKUP($F$4,VOLCURVES,2,FALSE()),FALSE()),1)</f>
        <v>1</v>
      </c>
      <c r="AC57" s="131" t="n">
        <f aca="false">IF(ISNUMBER(VLOOKUP($A57,CORETABLE,HLOOKUP($F$3,CORETABLE,2,FALSE()),FALSE())),VLOOKUP($A57,CORETABLE,HLOOKUP($F$3,CORETABLE,2,FALSE()),FALSE()),1)</f>
        <v>0.995</v>
      </c>
      <c r="AD57" s="155" t="n">
        <f aca="false">F$18</f>
        <v>-0.2</v>
      </c>
      <c r="AE57" s="131"/>
      <c r="AF57" s="40" t="n">
        <f aca="false">IF($H$3="NYMEX",0,VLOOKUP($A57,curvesettle,HLOOKUP($H$3,curvesettle,2,FALSE()),FALSE()))</f>
        <v>0.065</v>
      </c>
      <c r="AG57" s="40" t="n">
        <f aca="false">IF($H$4="NYMEX",0,VLOOKUP($A57,curvesettle,HLOOKUP($H$4,curvesettle,2,FALSE()),FALSE()))</f>
        <v>0</v>
      </c>
      <c r="AH57" s="131" t="n">
        <f aca="false">IF(ISNUMBER(VLOOKUP($A57,VOLCURVES,HLOOKUP($H$3,VOLCURVES,2,FALSE()),FALSE())),VLOOKUP($A57,VOLCURVES,HLOOKUP($H$3,VOLCURVES,2,FALSE()),FALSE()),1)</f>
        <v>1</v>
      </c>
      <c r="AI57" s="131" t="n">
        <f aca="false">IF(ISNUMBER(VLOOKUP($A57,VOLCURVES,HLOOKUP($H$4,VOLCURVES,2,FALSE()),FALSE())),VLOOKUP($A57,VOLCURVES,HLOOKUP($H$4,VOLCURVES,2,FALSE()),FALSE()),1)</f>
        <v>1</v>
      </c>
      <c r="AJ57" s="131" t="n">
        <f aca="false">IF(ISNUMBER(VLOOKUP($A57,CORETABLE,HLOOKUP($H$3,CORETABLE,2,FALSE()),FALSE())),VLOOKUP($A57,CORETABLE,HLOOKUP($H$3,CORETABLE,2,FALSE()),FALSE()),1)</f>
        <v>0.994071440191916</v>
      </c>
      <c r="AK57" s="155" t="n">
        <f aca="false">H$18</f>
        <v>0.2</v>
      </c>
      <c r="AM57" s="4" t="n">
        <f aca="false">VLOOKUP($A57,STRADDLE,12,FALSE())</f>
        <v>0.067283554328081</v>
      </c>
      <c r="AN57" s="43" t="n">
        <f aca="false">A58-A57</f>
        <v>31</v>
      </c>
      <c r="AP57" s="9" t="n">
        <f aca="false">IF($A57&gt;=AR$32,IF($A57&lt;=AR$33,$AN57,0),0)</f>
        <v>0</v>
      </c>
      <c r="AQ57" s="123" t="n">
        <f aca="false">$B57+$K57+$B$12</f>
        <v>3.3275</v>
      </c>
      <c r="AR57" s="123" t="n">
        <f aca="false">$B57+$L57+$B$13</f>
        <v>3.71</v>
      </c>
      <c r="AS57" s="123" t="n">
        <f aca="false">AQ57*AP57</f>
        <v>0</v>
      </c>
      <c r="AT57" s="123" t="n">
        <f aca="false">AR57*AP57</f>
        <v>0</v>
      </c>
      <c r="AU57" s="156" t="n">
        <f aca="false">($C57*$M57)+$B$14</f>
        <v>0.29835</v>
      </c>
      <c r="AV57" s="156" t="n">
        <f aca="false">($C57*$N57)+$B$15</f>
        <v>0.2925</v>
      </c>
      <c r="AW57" s="131" t="n">
        <f aca="false">O57+B$16</f>
        <v>0.96</v>
      </c>
      <c r="AX57" s="157" t="n">
        <f aca="false">IF(AP57=0,0,SPRDOPT(AQ57,AR57,$P57,$AM57,AU57,AV57,AW57,$F57,$B$19,0))</f>
        <v>0</v>
      </c>
      <c r="AY57" s="157" t="e">
        <f aca="false">IF(AQ57=0,0,SPRDOPT(AQ57,AR57,$P57,$AM57,AU57,AV57,AW57,$F57,$B$19,1))</f>
        <v>#NAME?</v>
      </c>
      <c r="AZ57" s="157" t="e">
        <f aca="false">IF(AR57=0,0,SPRDOPT(AQ57,AR57,$P57,$AM57,AU57,AV57,AW57,$F57,$B$19,2))</f>
        <v>#NAME?</v>
      </c>
      <c r="BA57" s="157" t="n">
        <f aca="false">IF(AS57=0,0,SPRDOPT(AQ57,AR57,$P57,$AM57,AU57,AV57,AW57,$F57,$B$19,3)/100)</f>
        <v>0</v>
      </c>
      <c r="BB57" s="157" t="n">
        <f aca="false">IF(AT57=0,0,SPRDOPT(AQ57,AR57,$P57,$AM57,AU57,AV57,AW57,$F57,$B$19,4)/100)</f>
        <v>0</v>
      </c>
      <c r="BC57" s="157" t="e">
        <f aca="false">IF(AU57=0,0,SPRDOPT(AQ57,AR57,$P57,$AM57,AU57,AV57,AW57,$F57,$B$19,5)/100)</f>
        <v>#NAME?</v>
      </c>
      <c r="BD57" s="157" t="e">
        <f aca="false">IF(AV57=0,0,SPRDOPT(AQ57,AR57,$P57,$AM57,AU57,AV57,AW57,$F57,$B$19,6)/100)</f>
        <v>#NAME?</v>
      </c>
      <c r="BE57" s="157" t="e">
        <f aca="false">IF(AW57=0,0,SPRDOPT(AQ57,AR57,$P57,$AM57,AU57,AV57,AW57,$F57,$B$19,7)/100)</f>
        <v>#NAME?</v>
      </c>
      <c r="BF57" s="157" t="n">
        <f aca="false">IF(AX57=0,0,SPRDOPT(AQ57,AR57,$P57,$AM57,AU57,AV57,AW57,$F57,$B$19,9)/365)</f>
        <v>0</v>
      </c>
      <c r="BG57" s="157" t="e">
        <f aca="false">AY57+AZ57</f>
        <v>#NAME?</v>
      </c>
      <c r="BH57" s="157" t="n">
        <f aca="false">BB57-BA57</f>
        <v>0</v>
      </c>
      <c r="BI57" s="157" t="e">
        <f aca="false">((AU57/AV57)*BC57)+BD57</f>
        <v>#NAME?</v>
      </c>
      <c r="BJ57" s="44"/>
      <c r="BK57" s="45" t="n">
        <f aca="false">$AP57*AX57</f>
        <v>0</v>
      </c>
      <c r="BL57" s="45" t="e">
        <f aca="false">$AP57*AY57</f>
        <v>#NAME?</v>
      </c>
      <c r="BM57" s="45" t="e">
        <f aca="false">$AP57*AZ57</f>
        <v>#NAME?</v>
      </c>
      <c r="BN57" s="45" t="n">
        <f aca="false">$AP57*BA57</f>
        <v>0</v>
      </c>
      <c r="BO57" s="45" t="n">
        <f aca="false">$AP57*BB57</f>
        <v>0</v>
      </c>
      <c r="BP57" s="45" t="e">
        <f aca="false">$AP57*BC57</f>
        <v>#NAME?</v>
      </c>
      <c r="BQ57" s="45" t="e">
        <f aca="false">$AP57*BD57</f>
        <v>#NAME?</v>
      </c>
      <c r="BR57" s="45" t="e">
        <f aca="false">$AP57*BE57</f>
        <v>#NAME?</v>
      </c>
      <c r="BS57" s="45" t="n">
        <f aca="false">$AP57*BF57</f>
        <v>0</v>
      </c>
      <c r="BT57" s="45" t="e">
        <f aca="false">$AP57*BG57</f>
        <v>#NAME?</v>
      </c>
      <c r="BU57" s="45" t="n">
        <f aca="false">$AP57*BH57</f>
        <v>0</v>
      </c>
      <c r="BV57" s="45" t="e">
        <f aca="false">$AP57*BI57</f>
        <v>#NAME?</v>
      </c>
      <c r="BX57" s="9" t="n">
        <f aca="false">IF($A57&gt;=BZ$32,IF($A57&lt;=BZ$33,$AN57,0),0)</f>
        <v>0</v>
      </c>
      <c r="BY57" s="123" t="n">
        <f aca="false">$B57+$R57+$D$12</f>
        <v>3.1425</v>
      </c>
      <c r="BZ57" s="123" t="n">
        <f aca="false">$B57+$S57+$D$13</f>
        <v>3.71</v>
      </c>
      <c r="CA57" s="123" t="n">
        <f aca="false">BY57*BX57</f>
        <v>0</v>
      </c>
      <c r="CB57" s="123" t="n">
        <f aca="false">BZ57*BX57</f>
        <v>0</v>
      </c>
      <c r="CC57" s="156" t="n">
        <f aca="false">($C57*$T57)+$D$14</f>
        <v>0.2925</v>
      </c>
      <c r="CD57" s="156" t="n">
        <f aca="false">($C57*$U57)+$D$15</f>
        <v>0.2925</v>
      </c>
      <c r="CE57" s="131" t="n">
        <f aca="false">$V57+D$16</f>
        <v>0.96</v>
      </c>
      <c r="CF57" s="157" t="n">
        <f aca="false">IF(BX57=0,0,SPRDOPT(BY57,BZ57,$W57,$AM57,CC57,CD57,CE57,$F57,$D$19,0))</f>
        <v>0</v>
      </c>
      <c r="CG57" s="157" t="e">
        <f aca="false">IF(BY57=0,0,SPRDOPT(BY57,BZ57,$W57,$AM57,CC57,CD57,CE57,$F57,$D$19,1))</f>
        <v>#NAME?</v>
      </c>
      <c r="CH57" s="157" t="e">
        <f aca="false">IF(BZ57=0,0,SPRDOPT(BY57,BZ57,$W57,$AM57,CC57,CD57,CE57,$F57,$D$19,2))</f>
        <v>#NAME?</v>
      </c>
      <c r="CI57" s="157" t="n">
        <f aca="false">IF(CA57=0,0,SPRDOPT(BY57,BZ57,$W57,$AM57,CC57,CD57,CE57,$F57,$D$19,3)/100)</f>
        <v>0</v>
      </c>
      <c r="CJ57" s="157" t="n">
        <f aca="false">IF(CB57=0,0,SPRDOPT(BY57,BZ57,$W57,$AM57,CC57,CD57,CE57,$F57,$D$19,4)/100)</f>
        <v>0</v>
      </c>
      <c r="CK57" s="157" t="e">
        <f aca="false">IF(CC57=0,0,SPRDOPT(BY57,BZ57,$W57,$AM57,CC57,CD57,CE57,$F57,$D$19,5)/100)</f>
        <v>#NAME?</v>
      </c>
      <c r="CL57" s="157" t="e">
        <f aca="false">IF(CD57=0,0,SPRDOPT(BY57,BZ57,$W57,$AM57,CC57,CD57,CE57,$F57,$D$19,6)/100)</f>
        <v>#NAME?</v>
      </c>
      <c r="CM57" s="157" t="e">
        <f aca="false">IF(CE57=0,0,SPRDOPT(BY57,BZ57,$W57,$AM57,CC57,CD57,CE57,$F57,$D$19,7)/100)</f>
        <v>#NAME?</v>
      </c>
      <c r="CN57" s="157" t="n">
        <f aca="false">IF(CF57=0,0,SPRDOPT(BY57,BZ57,$W57,$AM57,CC57,CD57,CE57,$F57,$D$19,9)/365)</f>
        <v>0</v>
      </c>
      <c r="CO57" s="157" t="e">
        <f aca="false">CG57+CH57</f>
        <v>#NAME?</v>
      </c>
      <c r="CP57" s="157" t="n">
        <f aca="false">CJ57-CI57</f>
        <v>0</v>
      </c>
      <c r="CQ57" s="157" t="e">
        <f aca="false">((CC57/CD57)*CK57)+CL57</f>
        <v>#NAME?</v>
      </c>
      <c r="CR57" s="44"/>
      <c r="CS57" s="45" t="n">
        <f aca="false">BX57*CF57</f>
        <v>0</v>
      </c>
      <c r="CT57" s="45" t="e">
        <f aca="false">BX57*CG57</f>
        <v>#NAME?</v>
      </c>
      <c r="CU57" s="45" t="e">
        <f aca="false">BX57*CH57</f>
        <v>#NAME?</v>
      </c>
      <c r="CV57" s="45" t="n">
        <f aca="false">BX57*CI57</f>
        <v>0</v>
      </c>
      <c r="CW57" s="45" t="n">
        <f aca="false">BX57*CJ57</f>
        <v>0</v>
      </c>
      <c r="CX57" s="45" t="e">
        <f aca="false">BX57*CK57</f>
        <v>#NAME?</v>
      </c>
      <c r="CY57" s="45" t="e">
        <f aca="false">BX57*CL57</f>
        <v>#NAME?</v>
      </c>
      <c r="CZ57" s="45" t="e">
        <f aca="false">BX57*CM57</f>
        <v>#NAME?</v>
      </c>
      <c r="DA57" s="45" t="n">
        <f aca="false">BX57*CN57</f>
        <v>0</v>
      </c>
      <c r="DB57" s="45" t="e">
        <f aca="false">BX57*CO57</f>
        <v>#NAME?</v>
      </c>
      <c r="DC57" s="45" t="n">
        <f aca="false">BX57*CP57</f>
        <v>0</v>
      </c>
      <c r="DD57" s="45" t="e">
        <f aca="false">BX57*CQ57</f>
        <v>#NAME?</v>
      </c>
      <c r="DF57" s="9" t="n">
        <f aca="false">IF($A57&gt;=DH$32,IF($A57&lt;=DH$33,$AN57,0),0)</f>
        <v>0</v>
      </c>
      <c r="DG57" s="123" t="n">
        <f aca="false">$B57+$Y57+$F$12</f>
        <v>3.5775</v>
      </c>
      <c r="DH57" s="123" t="n">
        <f aca="false">$B57+$Z57+$F$13</f>
        <v>3.71</v>
      </c>
      <c r="DI57" s="123" t="n">
        <f aca="false">DG57*DF57</f>
        <v>0</v>
      </c>
      <c r="DJ57" s="123" t="n">
        <f aca="false">DH57*DF57</f>
        <v>0</v>
      </c>
      <c r="DK57" s="156" t="n">
        <f aca="false">($C57*$AA57)+$F$14</f>
        <v>0.2925</v>
      </c>
      <c r="DL57" s="156" t="n">
        <f aca="false">($C57*$AB57)+$F$15</f>
        <v>0.2925</v>
      </c>
      <c r="DM57" s="131" t="n">
        <f aca="false">$AC57+$F$16</f>
        <v>0.995</v>
      </c>
      <c r="DN57" s="157" t="n">
        <f aca="false">IF(DF57=0,0,SPRDOPT(DG57,DH57,$AD57,$AM57,DK57,DL57,DM57,$F57,$F$19,0))</f>
        <v>0</v>
      </c>
      <c r="DO57" s="157" t="e">
        <f aca="false">IF(DG57=0,0,SPRDOPT(DG57,DH57,$AD57,$AM57,DK57,DL57,DM57,$F57,$F$19,1))</f>
        <v>#NAME?</v>
      </c>
      <c r="DP57" s="157" t="e">
        <f aca="false">IF(DH57=0,0,SPRDOPT(DG57,DH57,$AD57,$AM57,DK57,DL57,DM57,$F57,$F$19,2))</f>
        <v>#NAME?</v>
      </c>
      <c r="DQ57" s="157" t="n">
        <f aca="false">IF(DI57=0,0,SPRDOPT(DG57,DH57,$AD57,$AM57,DK57,DL57,DM57,$F57,$F$19,3)/100)</f>
        <v>0</v>
      </c>
      <c r="DR57" s="157" t="n">
        <f aca="false">IF(DJ57=0,0,SPRDOPT(DG57,DH57,$AD57,$AM57,DK57,DL57,DM57,$F57,$F$19,4)/100)</f>
        <v>0</v>
      </c>
      <c r="DS57" s="157" t="e">
        <f aca="false">IF(DK57=0,0,SPRDOPT(DG57,DH57,$AD57,$AM57,DK57,DL57,DM57,$F57,$F$19,5)/100)</f>
        <v>#NAME?</v>
      </c>
      <c r="DT57" s="157" t="e">
        <f aca="false">IF(DL57=0,0,SPRDOPT(DG57,DH57,$AD57,$AM57,DK57,DL57,DM57,$F57,$F$19,6)/100)</f>
        <v>#NAME?</v>
      </c>
      <c r="DU57" s="157" t="e">
        <f aca="false">IF(DM57=0,0,SPRDOPT(DG57,DH57,$AD57,$AM57,DK57,DL57,DM57,$F57,$F$19,7)/100)</f>
        <v>#NAME?</v>
      </c>
      <c r="DV57" s="157" t="n">
        <f aca="false">IF(DN57=0,0,SPRDOPT(DG57,DH57,$AD57,$AM57,DK57,DL57,DM57,$F57,$F$19,9)/365)</f>
        <v>0</v>
      </c>
      <c r="DW57" s="157" t="e">
        <f aca="false">DO57+DP57</f>
        <v>#NAME?</v>
      </c>
      <c r="DX57" s="157" t="n">
        <f aca="false">DR57-DQ57</f>
        <v>0</v>
      </c>
      <c r="DY57" s="157" t="e">
        <f aca="false">((DK57/DL57)*DS57)+DT57</f>
        <v>#NAME?</v>
      </c>
      <c r="DZ57" s="44"/>
      <c r="EA57" s="45" t="n">
        <f aca="false">DF57*DN57</f>
        <v>0</v>
      </c>
      <c r="EB57" s="45" t="e">
        <f aca="false">DF57*DO57</f>
        <v>#NAME?</v>
      </c>
      <c r="EC57" s="45" t="e">
        <f aca="false">DF57*DP57</f>
        <v>#NAME?</v>
      </c>
      <c r="ED57" s="45" t="n">
        <f aca="false">DF57*DQ57</f>
        <v>0</v>
      </c>
      <c r="EE57" s="45" t="n">
        <f aca="false">DF57*DR57</f>
        <v>0</v>
      </c>
      <c r="EF57" s="45" t="e">
        <f aca="false">DF57*DS57</f>
        <v>#NAME?</v>
      </c>
      <c r="EG57" s="45" t="e">
        <f aca="false">DF57*DT57</f>
        <v>#NAME?</v>
      </c>
      <c r="EH57" s="45" t="e">
        <f aca="false">DF57*DU57</f>
        <v>#NAME?</v>
      </c>
      <c r="EI57" s="45" t="n">
        <f aca="false">DF57*DV57</f>
        <v>0</v>
      </c>
      <c r="EJ57" s="45" t="e">
        <f aca="false">DF57*DW57</f>
        <v>#NAME?</v>
      </c>
      <c r="EK57" s="45" t="n">
        <f aca="false">DF57*DX57</f>
        <v>0</v>
      </c>
      <c r="EL57" s="45" t="e">
        <f aca="false">DF57*DY57</f>
        <v>#NAME?</v>
      </c>
      <c r="EN57" s="9" t="n">
        <f aca="false">IF($A57&gt;=EP$32,IF($A57&lt;=EP$33,$AN57,0),0)</f>
        <v>0</v>
      </c>
      <c r="EO57" s="123" t="n">
        <f aca="false">$B57+$AF57+$H$12</f>
        <v>3.78</v>
      </c>
      <c r="EP57" s="123" t="n">
        <f aca="false">$B57+$AG57+$H$13</f>
        <v>3.71</v>
      </c>
      <c r="EQ57" s="123" t="n">
        <f aca="false">EO57*EN57</f>
        <v>0</v>
      </c>
      <c r="ER57" s="123" t="n">
        <f aca="false">EP57*EN57</f>
        <v>0</v>
      </c>
      <c r="ES57" s="156" t="n">
        <f aca="false">($C57*$AH57)+$H$14</f>
        <v>0.2925</v>
      </c>
      <c r="ET57" s="156" t="n">
        <f aca="false">($C57*$AI57)+$H$15</f>
        <v>0.2925</v>
      </c>
      <c r="EU57" s="131" t="n">
        <f aca="false">$AJ57+$H$16</f>
        <v>0.994071440191916</v>
      </c>
      <c r="EV57" s="157" t="n">
        <f aca="false">IF(EN57=0,0,SPRDOPT(EO57,EP57,$AK57,$AM57,ES57,ET57,EU57,$F57,$H$19,0))</f>
        <v>0</v>
      </c>
      <c r="EW57" s="157" t="e">
        <f aca="false">IF(EO57=0,0,SPRDOPT(EO57,EP57,$AK57,$AM57,ES57,ET57,EU57,$F57,$H$19,1))</f>
        <v>#NAME?</v>
      </c>
      <c r="EX57" s="157" t="e">
        <f aca="false">IF(EP57=0,0,SPRDOPT(EO57,EP57,$AK57,$AM57,ES57,ET57,EU57,$F57,$H$19,2))</f>
        <v>#NAME?</v>
      </c>
      <c r="EY57" s="157" t="n">
        <f aca="false">IF(EQ57=0,0,SPRDOPT(EO57,EP57,$AK57,$AM57,ES57,ET57,EU57,$F57,$H$19,3)/100)</f>
        <v>0</v>
      </c>
      <c r="EZ57" s="157" t="n">
        <f aca="false">IF(ER57=0,0,SPRDOPT(EO57,EP57,$AK57,$AM57,ES57,ET57,EU57,$F57,$H$19,4)/100)</f>
        <v>0</v>
      </c>
      <c r="FA57" s="157" t="e">
        <f aca="false">IF(ES57=0,0,SPRDOPT(EO57,EP57,$AK57,$AM57,ES57,ET57,EU57,$F57,$H$19,5)/100)</f>
        <v>#NAME?</v>
      </c>
      <c r="FB57" s="157" t="e">
        <f aca="false">IF(ET57=0,0,SPRDOPT(EO57,EP57,$AK57,$AM57,ES57,ET57,EU57,$F57,$H$19,6)/100)</f>
        <v>#NAME?</v>
      </c>
      <c r="FC57" s="157" t="e">
        <f aca="false">IF(EU57=0,0,SPRDOPT(EO57,EP57,$AK57,$AM57,ES57,ET57,EU57,$F57,$H$19,7)/100)</f>
        <v>#NAME?</v>
      </c>
      <c r="FD57" s="157" t="n">
        <f aca="false">IF(EV57=0,0,SPRDOPT(EO57,EP57,$AK57,$AM57,ES57,ET57,EU57,$F57,$H$19,9)/365)</f>
        <v>0</v>
      </c>
      <c r="FE57" s="157" t="e">
        <f aca="false">EW57+EX57</f>
        <v>#NAME?</v>
      </c>
      <c r="FF57" s="157" t="n">
        <f aca="false">EZ57-EY57</f>
        <v>0</v>
      </c>
      <c r="FG57" s="157" t="e">
        <f aca="false">((ES57/ET57)*FA57)+FB57</f>
        <v>#NAME?</v>
      </c>
      <c r="FH57" s="44"/>
      <c r="FI57" s="45" t="n">
        <f aca="false">$EN57*EV57</f>
        <v>0</v>
      </c>
      <c r="FJ57" s="45" t="e">
        <f aca="false">$EN57*EW57</f>
        <v>#NAME?</v>
      </c>
      <c r="FK57" s="45" t="e">
        <f aca="false">$EN57*EX57</f>
        <v>#NAME?</v>
      </c>
      <c r="FL57" s="45" t="n">
        <f aca="false">$EN57*EY57</f>
        <v>0</v>
      </c>
      <c r="FM57" s="45" t="n">
        <f aca="false">$EN57*EZ57</f>
        <v>0</v>
      </c>
      <c r="FN57" s="45" t="e">
        <f aca="false">$EN57*FA57</f>
        <v>#NAME?</v>
      </c>
      <c r="FO57" s="45" t="e">
        <f aca="false">$EN57*FB57</f>
        <v>#NAME?</v>
      </c>
      <c r="FP57" s="45" t="e">
        <f aca="false">$EN57*FC57</f>
        <v>#NAME?</v>
      </c>
      <c r="FQ57" s="45" t="n">
        <f aca="false">$EN57*FD57</f>
        <v>0</v>
      </c>
      <c r="FR57" s="45" t="e">
        <f aca="false">$EN57*FE57</f>
        <v>#NAME?</v>
      </c>
      <c r="FS57" s="45" t="n">
        <f aca="false">$EN57*FF57</f>
        <v>0</v>
      </c>
      <c r="FT57" s="45" t="e">
        <f aca="false">$EN57*FG57</f>
        <v>#NAME?</v>
      </c>
    </row>
    <row r="58" customFormat="false" ht="12.75" hidden="false" customHeight="false" outlineLevel="0" collapsed="false">
      <c r="A58" s="48" t="n">
        <f aca="false">DATE(YEAR(A57),MONTH(A57)+1,1)</f>
        <v>37408</v>
      </c>
      <c r="B58" s="40" t="n">
        <f aca="false">VLOOKUP(A58,STRADDLE,5,FALSE())</f>
        <v>3.69</v>
      </c>
      <c r="C58" s="4" t="n">
        <f aca="false">VLOOKUP(A58,STRADDLE,8,FALSE())</f>
        <v>0.29</v>
      </c>
      <c r="D58" s="40"/>
      <c r="E58" s="131"/>
      <c r="F58" s="136" t="n">
        <f aca="false">VLOOKUP(A58,expiration,2,FALSE())-$B$2</f>
        <v>-8521</v>
      </c>
      <c r="G58" s="4"/>
      <c r="H58" s="4"/>
      <c r="I58" s="41"/>
      <c r="J58" s="154"/>
      <c r="K58" s="40" t="n">
        <f aca="false">IF($B$3="NYMEX",0,VLOOKUP($A58,curvesettle,HLOOKUP($B$3,curvesettle,2,FALSE()),FALSE()))</f>
        <v>-0.35</v>
      </c>
      <c r="L58" s="40" t="n">
        <f aca="false">IF($B$4="NYMEX",0,VLOOKUP($A58,curvesettle,HLOOKUP($B$4,curvesettle,2,FALSE()),FALSE()))</f>
        <v>0</v>
      </c>
      <c r="M58" s="131" t="n">
        <f aca="false">IF(ISNUMBER(VLOOKUP($A58,VOLCURVES,HLOOKUP($B$3,VOLCURVES,2,FALSE()),FALSE())),VLOOKUP($A58,VOLCURVES,HLOOKUP($B$3,VOLCURVES,2,FALSE()),FALSE()),1)</f>
        <v>1.02</v>
      </c>
      <c r="N58" s="131" t="n">
        <f aca="false">IF(ISNUMBER(VLOOKUP($A58,VOLCURVES,HLOOKUP($B$4,VOLCURVES,2,FALSE()),FALSE())),VLOOKUP($A58,VOLCURVES,HLOOKUP($B$4,VOLCURVES,2,FALSE()),FALSE()),1)</f>
        <v>1</v>
      </c>
      <c r="O58" s="131" t="n">
        <f aca="false">IF(ISNUMBER(VLOOKUP($A58,CORETABLE,HLOOKUP($B$3,CORETABLE,2,FALSE()),FALSE())),VLOOKUP($A58,CORETABLE,HLOOKUP($B$3,CORETABLE,2,FALSE()),FALSE()),0.99)</f>
        <v>0.96</v>
      </c>
      <c r="P58" s="155" t="n">
        <f aca="false">B$18</f>
        <v>0.3</v>
      </c>
      <c r="Q58" s="131"/>
      <c r="R58" s="40" t="n">
        <f aca="false">IF($D$3="NYMEX",0,VLOOKUP($A58,curvesettle,HLOOKUP($D$3,curvesettle,2,FALSE()),FALSE()))</f>
        <v>-0.535</v>
      </c>
      <c r="S58" s="40" t="n">
        <f aca="false">IF($D$4="NYMEX",0,VLOOKUP($A58,curvesettle,HLOOKUP($D$4,curvesettle,2,FALSE()),FALSE()))</f>
        <v>0</v>
      </c>
      <c r="T58" s="131" t="n">
        <f aca="false">IF(ISNUMBER(VLOOKUP($A58,VOLCURVES,HLOOKUP($D$3,VOLCURVES,2,FALSE()),FALSE())),VLOOKUP($A58,VOLCURVES,HLOOKUP($D$3,VOLCURVES,2,FALSE()),FALSE()),1)</f>
        <v>1</v>
      </c>
      <c r="U58" s="131" t="n">
        <f aca="false">IF(ISNUMBER(VLOOKUP($A58,VOLCURVES,HLOOKUP($D$4,VOLCURVES,2,FALSE()),FALSE())),VLOOKUP($A58,VOLCURVES,HLOOKUP($D$4,VOLCURVES,2,FALSE()),FALSE()),1)</f>
        <v>1</v>
      </c>
      <c r="V58" s="131" t="n">
        <f aca="false">IF(ISNUMBER(VLOOKUP($A58,CORETABLE,HLOOKUP($D$3,CORETABLE,2,FALSE()),FALSE())),VLOOKUP($A58,CORETABLE,HLOOKUP($D$3,CORETABLE,2,FALSE()),FALSE()),0.99)</f>
        <v>0.96</v>
      </c>
      <c r="W58" s="155" t="n">
        <f aca="false">D$18</f>
        <v>-0.35</v>
      </c>
      <c r="X58" s="131"/>
      <c r="Y58" s="40" t="n">
        <f aca="false">IF($F$3="NYMEX",0,VLOOKUP($A58,curvesettle,HLOOKUP($F$3,curvesettle,2,FALSE()),FALSE()))</f>
        <v>-0.1325</v>
      </c>
      <c r="Z58" s="40" t="n">
        <f aca="false">IF($F$4="NYMEX",0,VLOOKUP($A58,curvesettle,HLOOKUP($F$4,curvesettle,2,FALSE()),FALSE()))</f>
        <v>0</v>
      </c>
      <c r="AA58" s="131" t="n">
        <f aca="false">IF(ISNUMBER(VLOOKUP($A58,VOLCURVES,HLOOKUP($F$3,VOLCURVES,2,FALSE()),FALSE())),VLOOKUP($A58,VOLCURVES,HLOOKUP($F$3,VOLCURVES,2,FALSE()),FALSE()),1)</f>
        <v>1</v>
      </c>
      <c r="AB58" s="131" t="n">
        <f aca="false">IF(ISNUMBER(VLOOKUP($A58,VOLCURVES,HLOOKUP($F$4,VOLCURVES,2,FALSE()),FALSE())),VLOOKUP($A58,VOLCURVES,HLOOKUP($F$4,VOLCURVES,2,FALSE()),FALSE()),1)</f>
        <v>1</v>
      </c>
      <c r="AC58" s="131" t="n">
        <f aca="false">IF(ISNUMBER(VLOOKUP($A58,CORETABLE,HLOOKUP($F$3,CORETABLE,2,FALSE()),FALSE())),VLOOKUP($A58,CORETABLE,HLOOKUP($F$3,CORETABLE,2,FALSE()),FALSE()),1)</f>
        <v>0.995</v>
      </c>
      <c r="AD58" s="155" t="n">
        <f aca="false">F$18</f>
        <v>-0.2</v>
      </c>
      <c r="AE58" s="131"/>
      <c r="AF58" s="40" t="n">
        <f aca="false">IF($H$3="NYMEX",0,VLOOKUP($A58,curvesettle,HLOOKUP($H$3,curvesettle,2,FALSE()),FALSE()))</f>
        <v>0.06</v>
      </c>
      <c r="AG58" s="40" t="n">
        <f aca="false">IF($H$4="NYMEX",0,VLOOKUP($A58,curvesettle,HLOOKUP($H$4,curvesettle,2,FALSE()),FALSE()))</f>
        <v>0</v>
      </c>
      <c r="AH58" s="131" t="n">
        <f aca="false">IF(ISNUMBER(VLOOKUP($A58,VOLCURVES,HLOOKUP($H$3,VOLCURVES,2,FALSE()),FALSE())),VLOOKUP($A58,VOLCURVES,HLOOKUP($H$3,VOLCURVES,2,FALSE()),FALSE()),1)</f>
        <v>1</v>
      </c>
      <c r="AI58" s="131" t="n">
        <f aca="false">IF(ISNUMBER(VLOOKUP($A58,VOLCURVES,HLOOKUP($H$4,VOLCURVES,2,FALSE()),FALSE())),VLOOKUP($A58,VOLCURVES,HLOOKUP($H$4,VOLCURVES,2,FALSE()),FALSE()),1)</f>
        <v>1</v>
      </c>
      <c r="AJ58" s="131" t="n">
        <f aca="false">IF(ISNUMBER(VLOOKUP($A58,CORETABLE,HLOOKUP($H$3,CORETABLE,2,FALSE()),FALSE())),VLOOKUP($A58,CORETABLE,HLOOKUP($H$3,CORETABLE,2,FALSE()),FALSE()),1)</f>
        <v>0.994071440191916</v>
      </c>
      <c r="AK58" s="155" t="n">
        <f aca="false">H$18</f>
        <v>0.2</v>
      </c>
      <c r="AM58" s="4" t="n">
        <f aca="false">VLOOKUP($A58,STRADDLE,12,FALSE())</f>
        <v>0.067253392922551</v>
      </c>
      <c r="AN58" s="43" t="n">
        <f aca="false">A59-A58</f>
        <v>30</v>
      </c>
      <c r="AP58" s="9" t="n">
        <f aca="false">IF($A58&gt;=AR$32,IF($A58&lt;=AR$33,$AN58,0),0)</f>
        <v>0</v>
      </c>
      <c r="AQ58" s="123" t="n">
        <f aca="false">$B58+$K58+$B$12</f>
        <v>3.3075</v>
      </c>
      <c r="AR58" s="123" t="n">
        <f aca="false">$B58+$L58+$B$13</f>
        <v>3.69</v>
      </c>
      <c r="AS58" s="123" t="n">
        <f aca="false">AQ58*AP58</f>
        <v>0</v>
      </c>
      <c r="AT58" s="123" t="n">
        <f aca="false">AR58*AP58</f>
        <v>0</v>
      </c>
      <c r="AU58" s="156" t="n">
        <f aca="false">($C58*$M58)+$B$14</f>
        <v>0.2958</v>
      </c>
      <c r="AV58" s="156" t="n">
        <f aca="false">($C58*$N58)+$B$15</f>
        <v>0.29</v>
      </c>
      <c r="AW58" s="131" t="n">
        <f aca="false">O58+B$16</f>
        <v>0.96</v>
      </c>
      <c r="AX58" s="157" t="n">
        <f aca="false">IF(AP58=0,0,SPRDOPT(AQ58,AR58,$P58,$AM58,AU58,AV58,AW58,$F58,$B$19,0))</f>
        <v>0</v>
      </c>
      <c r="AY58" s="157" t="e">
        <f aca="false">IF(AQ58=0,0,SPRDOPT(AQ58,AR58,$P58,$AM58,AU58,AV58,AW58,$F58,$B$19,1))</f>
        <v>#NAME?</v>
      </c>
      <c r="AZ58" s="157" t="e">
        <f aca="false">IF(AR58=0,0,SPRDOPT(AQ58,AR58,$P58,$AM58,AU58,AV58,AW58,$F58,$B$19,2))</f>
        <v>#NAME?</v>
      </c>
      <c r="BA58" s="157" t="n">
        <f aca="false">IF(AS58=0,0,SPRDOPT(AQ58,AR58,$P58,$AM58,AU58,AV58,AW58,$F58,$B$19,3)/100)</f>
        <v>0</v>
      </c>
      <c r="BB58" s="157" t="n">
        <f aca="false">IF(AT58=0,0,SPRDOPT(AQ58,AR58,$P58,$AM58,AU58,AV58,AW58,$F58,$B$19,4)/100)</f>
        <v>0</v>
      </c>
      <c r="BC58" s="157" t="e">
        <f aca="false">IF(AU58=0,0,SPRDOPT(AQ58,AR58,$P58,$AM58,AU58,AV58,AW58,$F58,$B$19,5)/100)</f>
        <v>#NAME?</v>
      </c>
      <c r="BD58" s="157" t="e">
        <f aca="false">IF(AV58=0,0,SPRDOPT(AQ58,AR58,$P58,$AM58,AU58,AV58,AW58,$F58,$B$19,6)/100)</f>
        <v>#NAME?</v>
      </c>
      <c r="BE58" s="157" t="e">
        <f aca="false">IF(AW58=0,0,SPRDOPT(AQ58,AR58,$P58,$AM58,AU58,AV58,AW58,$F58,$B$19,7)/100)</f>
        <v>#NAME?</v>
      </c>
      <c r="BF58" s="157" t="n">
        <f aca="false">IF(AX58=0,0,SPRDOPT(AQ58,AR58,$P58,$AM58,AU58,AV58,AW58,$F58,$B$19,9)/365)</f>
        <v>0</v>
      </c>
      <c r="BG58" s="157" t="e">
        <f aca="false">AY58+AZ58</f>
        <v>#NAME?</v>
      </c>
      <c r="BH58" s="157" t="n">
        <f aca="false">BB58-BA58</f>
        <v>0</v>
      </c>
      <c r="BI58" s="157" t="e">
        <f aca="false">((AU58/AV58)*BC58)+BD58</f>
        <v>#NAME?</v>
      </c>
      <c r="BJ58" s="44"/>
      <c r="BK58" s="45" t="n">
        <f aca="false">$AP58*AX58</f>
        <v>0</v>
      </c>
      <c r="BL58" s="45" t="e">
        <f aca="false">$AP58*AY58</f>
        <v>#NAME?</v>
      </c>
      <c r="BM58" s="45" t="e">
        <f aca="false">$AP58*AZ58</f>
        <v>#NAME?</v>
      </c>
      <c r="BN58" s="45" t="n">
        <f aca="false">$AP58*BA58</f>
        <v>0</v>
      </c>
      <c r="BO58" s="45" t="n">
        <f aca="false">$AP58*BB58</f>
        <v>0</v>
      </c>
      <c r="BP58" s="45" t="e">
        <f aca="false">$AP58*BC58</f>
        <v>#NAME?</v>
      </c>
      <c r="BQ58" s="45" t="e">
        <f aca="false">$AP58*BD58</f>
        <v>#NAME?</v>
      </c>
      <c r="BR58" s="45" t="e">
        <f aca="false">$AP58*BE58</f>
        <v>#NAME?</v>
      </c>
      <c r="BS58" s="45" t="n">
        <f aca="false">$AP58*BF58</f>
        <v>0</v>
      </c>
      <c r="BT58" s="45" t="e">
        <f aca="false">$AP58*BG58</f>
        <v>#NAME?</v>
      </c>
      <c r="BU58" s="45" t="n">
        <f aca="false">$AP58*BH58</f>
        <v>0</v>
      </c>
      <c r="BV58" s="45" t="e">
        <f aca="false">$AP58*BI58</f>
        <v>#NAME?</v>
      </c>
      <c r="BX58" s="9" t="n">
        <f aca="false">IF($A58&gt;=BZ$32,IF($A58&lt;=BZ$33,$AN58,0),0)</f>
        <v>0</v>
      </c>
      <c r="BY58" s="123" t="n">
        <f aca="false">$B58+$R58+$D$12</f>
        <v>3.1225</v>
      </c>
      <c r="BZ58" s="123" t="n">
        <f aca="false">$B58+$S58+$D$13</f>
        <v>3.69</v>
      </c>
      <c r="CA58" s="123" t="n">
        <f aca="false">BY58*BX58</f>
        <v>0</v>
      </c>
      <c r="CB58" s="123" t="n">
        <f aca="false">BZ58*BX58</f>
        <v>0</v>
      </c>
      <c r="CC58" s="156" t="n">
        <f aca="false">($C58*$T58)+$D$14</f>
        <v>0.29</v>
      </c>
      <c r="CD58" s="156" t="n">
        <f aca="false">($C58*$U58)+$D$15</f>
        <v>0.29</v>
      </c>
      <c r="CE58" s="131" t="n">
        <f aca="false">$V58+D$16</f>
        <v>0.96</v>
      </c>
      <c r="CF58" s="157" t="n">
        <f aca="false">IF(BX58=0,0,SPRDOPT(BY58,BZ58,$W58,$AM58,CC58,CD58,CE58,$F58,$D$19,0))</f>
        <v>0</v>
      </c>
      <c r="CG58" s="157" t="e">
        <f aca="false">IF(BY58=0,0,SPRDOPT(BY58,BZ58,$W58,$AM58,CC58,CD58,CE58,$F58,$D$19,1))</f>
        <v>#NAME?</v>
      </c>
      <c r="CH58" s="157" t="e">
        <f aca="false">IF(BZ58=0,0,SPRDOPT(BY58,BZ58,$W58,$AM58,CC58,CD58,CE58,$F58,$D$19,2))</f>
        <v>#NAME?</v>
      </c>
      <c r="CI58" s="157" t="n">
        <f aca="false">IF(CA58=0,0,SPRDOPT(BY58,BZ58,$W58,$AM58,CC58,CD58,CE58,$F58,$D$19,3)/100)</f>
        <v>0</v>
      </c>
      <c r="CJ58" s="157" t="n">
        <f aca="false">IF(CB58=0,0,SPRDOPT(BY58,BZ58,$W58,$AM58,CC58,CD58,CE58,$F58,$D$19,4)/100)</f>
        <v>0</v>
      </c>
      <c r="CK58" s="157" t="e">
        <f aca="false">IF(CC58=0,0,SPRDOPT(BY58,BZ58,$W58,$AM58,CC58,CD58,CE58,$F58,$D$19,5)/100)</f>
        <v>#NAME?</v>
      </c>
      <c r="CL58" s="157" t="e">
        <f aca="false">IF(CD58=0,0,SPRDOPT(BY58,BZ58,$W58,$AM58,CC58,CD58,CE58,$F58,$D$19,6)/100)</f>
        <v>#NAME?</v>
      </c>
      <c r="CM58" s="157" t="e">
        <f aca="false">IF(CE58=0,0,SPRDOPT(BY58,BZ58,$W58,$AM58,CC58,CD58,CE58,$F58,$D$19,7)/100)</f>
        <v>#NAME?</v>
      </c>
      <c r="CN58" s="157" t="n">
        <f aca="false">IF(CF58=0,0,SPRDOPT(BY58,BZ58,$W58,$AM58,CC58,CD58,CE58,$F58,$D$19,9)/365)</f>
        <v>0</v>
      </c>
      <c r="CO58" s="157" t="e">
        <f aca="false">CG58+CH58</f>
        <v>#NAME?</v>
      </c>
      <c r="CP58" s="157" t="n">
        <f aca="false">CJ58-CI58</f>
        <v>0</v>
      </c>
      <c r="CQ58" s="157" t="e">
        <f aca="false">((CC58/CD58)*CK58)+CL58</f>
        <v>#NAME?</v>
      </c>
      <c r="CR58" s="44"/>
      <c r="CS58" s="45" t="n">
        <f aca="false">BX58*CF58</f>
        <v>0</v>
      </c>
      <c r="CT58" s="45" t="e">
        <f aca="false">BX58*CG58</f>
        <v>#NAME?</v>
      </c>
      <c r="CU58" s="45" t="e">
        <f aca="false">BX58*CH58</f>
        <v>#NAME?</v>
      </c>
      <c r="CV58" s="45" t="n">
        <f aca="false">BX58*CI58</f>
        <v>0</v>
      </c>
      <c r="CW58" s="45" t="n">
        <f aca="false">BX58*CJ58</f>
        <v>0</v>
      </c>
      <c r="CX58" s="45" t="e">
        <f aca="false">BX58*CK58</f>
        <v>#NAME?</v>
      </c>
      <c r="CY58" s="45" t="e">
        <f aca="false">BX58*CL58</f>
        <v>#NAME?</v>
      </c>
      <c r="CZ58" s="45" t="e">
        <f aca="false">BX58*CM58</f>
        <v>#NAME?</v>
      </c>
      <c r="DA58" s="45" t="n">
        <f aca="false">BX58*CN58</f>
        <v>0</v>
      </c>
      <c r="DB58" s="45" t="e">
        <f aca="false">BX58*CO58</f>
        <v>#NAME?</v>
      </c>
      <c r="DC58" s="45" t="n">
        <f aca="false">BX58*CP58</f>
        <v>0</v>
      </c>
      <c r="DD58" s="45" t="e">
        <f aca="false">BX58*CQ58</f>
        <v>#NAME?</v>
      </c>
      <c r="DF58" s="9" t="n">
        <f aca="false">IF($A58&gt;=DH$32,IF($A58&lt;=DH$33,$AN58,0),0)</f>
        <v>0</v>
      </c>
      <c r="DG58" s="123" t="n">
        <f aca="false">$B58+$Y58+$F$12</f>
        <v>3.5575</v>
      </c>
      <c r="DH58" s="123" t="n">
        <f aca="false">$B58+$Z58+$F$13</f>
        <v>3.69</v>
      </c>
      <c r="DI58" s="123" t="n">
        <f aca="false">DG58*DF58</f>
        <v>0</v>
      </c>
      <c r="DJ58" s="123" t="n">
        <f aca="false">DH58*DF58</f>
        <v>0</v>
      </c>
      <c r="DK58" s="156" t="n">
        <f aca="false">($C58*$AA58)+$F$14</f>
        <v>0.29</v>
      </c>
      <c r="DL58" s="156" t="n">
        <f aca="false">($C58*$AB58)+$F$15</f>
        <v>0.29</v>
      </c>
      <c r="DM58" s="131" t="n">
        <f aca="false">$AC58+$F$16</f>
        <v>0.995</v>
      </c>
      <c r="DN58" s="157" t="n">
        <f aca="false">IF(DF58=0,0,SPRDOPT(DG58,DH58,$AD58,$AM58,DK58,DL58,DM58,$F58,$F$19,0))</f>
        <v>0</v>
      </c>
      <c r="DO58" s="157" t="e">
        <f aca="false">IF(DG58=0,0,SPRDOPT(DG58,DH58,$AD58,$AM58,DK58,DL58,DM58,$F58,$F$19,1))</f>
        <v>#NAME?</v>
      </c>
      <c r="DP58" s="157" t="e">
        <f aca="false">IF(DH58=0,0,SPRDOPT(DG58,DH58,$AD58,$AM58,DK58,DL58,DM58,$F58,$F$19,2))</f>
        <v>#NAME?</v>
      </c>
      <c r="DQ58" s="157" t="n">
        <f aca="false">IF(DI58=0,0,SPRDOPT(DG58,DH58,$AD58,$AM58,DK58,DL58,DM58,$F58,$F$19,3)/100)</f>
        <v>0</v>
      </c>
      <c r="DR58" s="157" t="n">
        <f aca="false">IF(DJ58=0,0,SPRDOPT(DG58,DH58,$AD58,$AM58,DK58,DL58,DM58,$F58,$F$19,4)/100)</f>
        <v>0</v>
      </c>
      <c r="DS58" s="157" t="e">
        <f aca="false">IF(DK58=0,0,SPRDOPT(DG58,DH58,$AD58,$AM58,DK58,DL58,DM58,$F58,$F$19,5)/100)</f>
        <v>#NAME?</v>
      </c>
      <c r="DT58" s="157" t="e">
        <f aca="false">IF(DL58=0,0,SPRDOPT(DG58,DH58,$AD58,$AM58,DK58,DL58,DM58,$F58,$F$19,6)/100)</f>
        <v>#NAME?</v>
      </c>
      <c r="DU58" s="157" t="e">
        <f aca="false">IF(DM58=0,0,SPRDOPT(DG58,DH58,$AD58,$AM58,DK58,DL58,DM58,$F58,$F$19,7)/100)</f>
        <v>#NAME?</v>
      </c>
      <c r="DV58" s="157" t="n">
        <f aca="false">IF(DN58=0,0,SPRDOPT(DG58,DH58,$AD58,$AM58,DK58,DL58,DM58,$F58,$F$19,9)/365)</f>
        <v>0</v>
      </c>
      <c r="DW58" s="157" t="e">
        <f aca="false">DO58+DP58</f>
        <v>#NAME?</v>
      </c>
      <c r="DX58" s="157" t="n">
        <f aca="false">DR58-DQ58</f>
        <v>0</v>
      </c>
      <c r="DY58" s="157" t="e">
        <f aca="false">((DK58/DL58)*DS58)+DT58</f>
        <v>#NAME?</v>
      </c>
      <c r="DZ58" s="44"/>
      <c r="EA58" s="45" t="n">
        <f aca="false">DF58*DN58</f>
        <v>0</v>
      </c>
      <c r="EB58" s="45" t="e">
        <f aca="false">DF58*DO58</f>
        <v>#NAME?</v>
      </c>
      <c r="EC58" s="45" t="e">
        <f aca="false">DF58*DP58</f>
        <v>#NAME?</v>
      </c>
      <c r="ED58" s="45" t="n">
        <f aca="false">DF58*DQ58</f>
        <v>0</v>
      </c>
      <c r="EE58" s="45" t="n">
        <f aca="false">DF58*DR58</f>
        <v>0</v>
      </c>
      <c r="EF58" s="45" t="e">
        <f aca="false">DF58*DS58</f>
        <v>#NAME?</v>
      </c>
      <c r="EG58" s="45" t="e">
        <f aca="false">DF58*DT58</f>
        <v>#NAME?</v>
      </c>
      <c r="EH58" s="45" t="e">
        <f aca="false">DF58*DU58</f>
        <v>#NAME?</v>
      </c>
      <c r="EI58" s="45" t="n">
        <f aca="false">DF58*DV58</f>
        <v>0</v>
      </c>
      <c r="EJ58" s="45" t="e">
        <f aca="false">DF58*DW58</f>
        <v>#NAME?</v>
      </c>
      <c r="EK58" s="45" t="n">
        <f aca="false">DF58*DX58</f>
        <v>0</v>
      </c>
      <c r="EL58" s="45" t="e">
        <f aca="false">DF58*DY58</f>
        <v>#NAME?</v>
      </c>
      <c r="EN58" s="9" t="n">
        <f aca="false">IF($A58&gt;=EP$32,IF($A58&lt;=EP$33,$AN58,0),0)</f>
        <v>0</v>
      </c>
      <c r="EO58" s="123" t="n">
        <f aca="false">$B58+$AF58+$H$12</f>
        <v>3.755</v>
      </c>
      <c r="EP58" s="123" t="n">
        <f aca="false">$B58+$AG58+$H$13</f>
        <v>3.69</v>
      </c>
      <c r="EQ58" s="123" t="n">
        <f aca="false">EO58*EN58</f>
        <v>0</v>
      </c>
      <c r="ER58" s="123" t="n">
        <f aca="false">EP58*EN58</f>
        <v>0</v>
      </c>
      <c r="ES58" s="156" t="n">
        <f aca="false">($C58*$AH58)+$H$14</f>
        <v>0.29</v>
      </c>
      <c r="ET58" s="156" t="n">
        <f aca="false">($C58*$AI58)+$H$15</f>
        <v>0.29</v>
      </c>
      <c r="EU58" s="131" t="n">
        <f aca="false">$AJ58+$H$16</f>
        <v>0.994071440191916</v>
      </c>
      <c r="EV58" s="157" t="n">
        <f aca="false">IF(EN58=0,0,SPRDOPT(EO58,EP58,$AK58,$AM58,ES58,ET58,EU58,$F58,$H$19,0))</f>
        <v>0</v>
      </c>
      <c r="EW58" s="157" t="e">
        <f aca="false">IF(EO58=0,0,SPRDOPT(EO58,EP58,$AK58,$AM58,ES58,ET58,EU58,$F58,$H$19,1))</f>
        <v>#NAME?</v>
      </c>
      <c r="EX58" s="157" t="e">
        <f aca="false">IF(EP58=0,0,SPRDOPT(EO58,EP58,$AK58,$AM58,ES58,ET58,EU58,$F58,$H$19,2))</f>
        <v>#NAME?</v>
      </c>
      <c r="EY58" s="157" t="n">
        <f aca="false">IF(EQ58=0,0,SPRDOPT(EO58,EP58,$AK58,$AM58,ES58,ET58,EU58,$F58,$H$19,3)/100)</f>
        <v>0</v>
      </c>
      <c r="EZ58" s="157" t="n">
        <f aca="false">IF(ER58=0,0,SPRDOPT(EO58,EP58,$AK58,$AM58,ES58,ET58,EU58,$F58,$H$19,4)/100)</f>
        <v>0</v>
      </c>
      <c r="FA58" s="157" t="e">
        <f aca="false">IF(ES58=0,0,SPRDOPT(EO58,EP58,$AK58,$AM58,ES58,ET58,EU58,$F58,$H$19,5)/100)</f>
        <v>#NAME?</v>
      </c>
      <c r="FB58" s="157" t="e">
        <f aca="false">IF(ET58=0,0,SPRDOPT(EO58,EP58,$AK58,$AM58,ES58,ET58,EU58,$F58,$H$19,6)/100)</f>
        <v>#NAME?</v>
      </c>
      <c r="FC58" s="157" t="e">
        <f aca="false">IF(EU58=0,0,SPRDOPT(EO58,EP58,$AK58,$AM58,ES58,ET58,EU58,$F58,$H$19,7)/100)</f>
        <v>#NAME?</v>
      </c>
      <c r="FD58" s="157" t="n">
        <f aca="false">IF(EV58=0,0,SPRDOPT(EO58,EP58,$AK58,$AM58,ES58,ET58,EU58,$F58,$H$19,9)/365)</f>
        <v>0</v>
      </c>
      <c r="FE58" s="157" t="e">
        <f aca="false">EW58+EX58</f>
        <v>#NAME?</v>
      </c>
      <c r="FF58" s="157" t="n">
        <f aca="false">EZ58-EY58</f>
        <v>0</v>
      </c>
      <c r="FG58" s="157" t="e">
        <f aca="false">((ES58/ET58)*FA58)+FB58</f>
        <v>#NAME?</v>
      </c>
      <c r="FH58" s="44"/>
      <c r="FI58" s="45" t="n">
        <f aca="false">$EN58*EV58</f>
        <v>0</v>
      </c>
      <c r="FJ58" s="45" t="e">
        <f aca="false">$EN58*EW58</f>
        <v>#NAME?</v>
      </c>
      <c r="FK58" s="45" t="e">
        <f aca="false">$EN58*EX58</f>
        <v>#NAME?</v>
      </c>
      <c r="FL58" s="45" t="n">
        <f aca="false">$EN58*EY58</f>
        <v>0</v>
      </c>
      <c r="FM58" s="45" t="n">
        <f aca="false">$EN58*EZ58</f>
        <v>0</v>
      </c>
      <c r="FN58" s="45" t="e">
        <f aca="false">$EN58*FA58</f>
        <v>#NAME?</v>
      </c>
      <c r="FO58" s="45" t="e">
        <f aca="false">$EN58*FB58</f>
        <v>#NAME?</v>
      </c>
      <c r="FP58" s="45" t="e">
        <f aca="false">$EN58*FC58</f>
        <v>#NAME?</v>
      </c>
      <c r="FQ58" s="45" t="n">
        <f aca="false">$EN58*FD58</f>
        <v>0</v>
      </c>
      <c r="FR58" s="45" t="e">
        <f aca="false">$EN58*FE58</f>
        <v>#NAME?</v>
      </c>
      <c r="FS58" s="45" t="n">
        <f aca="false">$EN58*FF58</f>
        <v>0</v>
      </c>
      <c r="FT58" s="45" t="e">
        <f aca="false">$EN58*FG58</f>
        <v>#NAME?</v>
      </c>
    </row>
    <row r="59" customFormat="false" ht="12.75" hidden="false" customHeight="false" outlineLevel="0" collapsed="false">
      <c r="A59" s="48" t="n">
        <f aca="false">DATE(YEAR(A58),MONTH(A58)+1,1)</f>
        <v>37438</v>
      </c>
      <c r="B59" s="40" t="n">
        <f aca="false">VLOOKUP(A59,STRADDLE,5,FALSE())</f>
        <v>3.7</v>
      </c>
      <c r="C59" s="4" t="n">
        <f aca="false">VLOOKUP(A59,STRADDLE,8,FALSE())</f>
        <v>0.29</v>
      </c>
      <c r="D59" s="40"/>
      <c r="E59" s="131"/>
      <c r="F59" s="136" t="n">
        <f aca="false">VLOOKUP(A59,expiration,2,FALSE())-$B$2</f>
        <v>-8493</v>
      </c>
      <c r="G59" s="4"/>
      <c r="H59" s="4"/>
      <c r="I59" s="41"/>
      <c r="J59" s="154"/>
      <c r="K59" s="40" t="n">
        <f aca="false">IF($B$3="NYMEX",0,VLOOKUP($A59,curvesettle,HLOOKUP($B$3,curvesettle,2,FALSE()),FALSE()))</f>
        <v>-0.35</v>
      </c>
      <c r="L59" s="40" t="n">
        <f aca="false">IF($B$4="NYMEX",0,VLOOKUP($A59,curvesettle,HLOOKUP($B$4,curvesettle,2,FALSE()),FALSE()))</f>
        <v>0</v>
      </c>
      <c r="M59" s="131" t="n">
        <f aca="false">IF(ISNUMBER(VLOOKUP($A59,VOLCURVES,HLOOKUP($B$3,VOLCURVES,2,FALSE()),FALSE())),VLOOKUP($A59,VOLCURVES,HLOOKUP($B$3,VOLCURVES,2,FALSE()),FALSE()),1)</f>
        <v>1.02</v>
      </c>
      <c r="N59" s="131" t="n">
        <f aca="false">IF(ISNUMBER(VLOOKUP($A59,VOLCURVES,HLOOKUP($B$4,VOLCURVES,2,FALSE()),FALSE())),VLOOKUP($A59,VOLCURVES,HLOOKUP($B$4,VOLCURVES,2,FALSE()),FALSE()),1)</f>
        <v>1</v>
      </c>
      <c r="O59" s="131" t="n">
        <f aca="false">IF(ISNUMBER(VLOOKUP($A59,CORETABLE,HLOOKUP($B$3,CORETABLE,2,FALSE()),FALSE())),VLOOKUP($A59,CORETABLE,HLOOKUP($B$3,CORETABLE,2,FALSE()),FALSE()),0.99)</f>
        <v>0.96</v>
      </c>
      <c r="P59" s="155" t="n">
        <f aca="false">B$18</f>
        <v>0.3</v>
      </c>
      <c r="Q59" s="131"/>
      <c r="R59" s="40" t="n">
        <f aca="false">IF($D$3="NYMEX",0,VLOOKUP($A59,curvesettle,HLOOKUP($D$3,curvesettle,2,FALSE()),FALSE()))</f>
        <v>-0.535</v>
      </c>
      <c r="S59" s="40" t="n">
        <f aca="false">IF($D$4="NYMEX",0,VLOOKUP($A59,curvesettle,HLOOKUP($D$4,curvesettle,2,FALSE()),FALSE()))</f>
        <v>0</v>
      </c>
      <c r="T59" s="131" t="n">
        <f aca="false">IF(ISNUMBER(VLOOKUP($A59,VOLCURVES,HLOOKUP($D$3,VOLCURVES,2,FALSE()),FALSE())),VLOOKUP($A59,VOLCURVES,HLOOKUP($D$3,VOLCURVES,2,FALSE()),FALSE()),1)</f>
        <v>1</v>
      </c>
      <c r="U59" s="131" t="n">
        <f aca="false">IF(ISNUMBER(VLOOKUP($A59,VOLCURVES,HLOOKUP($D$4,VOLCURVES,2,FALSE()),FALSE())),VLOOKUP($A59,VOLCURVES,HLOOKUP($D$4,VOLCURVES,2,FALSE()),FALSE()),1)</f>
        <v>1</v>
      </c>
      <c r="V59" s="131" t="n">
        <f aca="false">IF(ISNUMBER(VLOOKUP($A59,CORETABLE,HLOOKUP($D$3,CORETABLE,2,FALSE()),FALSE())),VLOOKUP($A59,CORETABLE,HLOOKUP($D$3,CORETABLE,2,FALSE()),FALSE()),0.99)</f>
        <v>0.96</v>
      </c>
      <c r="W59" s="155" t="n">
        <f aca="false">D$18</f>
        <v>-0.35</v>
      </c>
      <c r="X59" s="131"/>
      <c r="Y59" s="40" t="n">
        <f aca="false">IF($F$3="NYMEX",0,VLOOKUP($A59,curvesettle,HLOOKUP($F$3,curvesettle,2,FALSE()),FALSE()))</f>
        <v>-0.1325</v>
      </c>
      <c r="Z59" s="40" t="n">
        <f aca="false">IF($F$4="NYMEX",0,VLOOKUP($A59,curvesettle,HLOOKUP($F$4,curvesettle,2,FALSE()),FALSE()))</f>
        <v>0</v>
      </c>
      <c r="AA59" s="131" t="n">
        <f aca="false">IF(ISNUMBER(VLOOKUP($A59,VOLCURVES,HLOOKUP($F$3,VOLCURVES,2,FALSE()),FALSE())),VLOOKUP($A59,VOLCURVES,HLOOKUP($F$3,VOLCURVES,2,FALSE()),FALSE()),1)</f>
        <v>1</v>
      </c>
      <c r="AB59" s="131" t="n">
        <f aca="false">IF(ISNUMBER(VLOOKUP($A59,VOLCURVES,HLOOKUP($F$4,VOLCURVES,2,FALSE()),FALSE())),VLOOKUP($A59,VOLCURVES,HLOOKUP($F$4,VOLCURVES,2,FALSE()),FALSE()),1)</f>
        <v>1</v>
      </c>
      <c r="AC59" s="131" t="n">
        <f aca="false">IF(ISNUMBER(VLOOKUP($A59,CORETABLE,HLOOKUP($F$3,CORETABLE,2,FALSE()),FALSE())),VLOOKUP($A59,CORETABLE,HLOOKUP($F$3,CORETABLE,2,FALSE()),FALSE()),1)</f>
        <v>0.995</v>
      </c>
      <c r="AD59" s="155" t="n">
        <f aca="false">F$18</f>
        <v>-0.2</v>
      </c>
      <c r="AE59" s="131"/>
      <c r="AF59" s="40" t="n">
        <f aca="false">IF($H$3="NYMEX",0,VLOOKUP($A59,curvesettle,HLOOKUP($H$3,curvesettle,2,FALSE()),FALSE()))</f>
        <v>0.05</v>
      </c>
      <c r="AG59" s="40" t="n">
        <f aca="false">IF($H$4="NYMEX",0,VLOOKUP($A59,curvesettle,HLOOKUP($H$4,curvesettle,2,FALSE()),FALSE()))</f>
        <v>0</v>
      </c>
      <c r="AH59" s="131" t="n">
        <f aca="false">IF(ISNUMBER(VLOOKUP($A59,VOLCURVES,HLOOKUP($H$3,VOLCURVES,2,FALSE()),FALSE())),VLOOKUP($A59,VOLCURVES,HLOOKUP($H$3,VOLCURVES,2,FALSE()),FALSE()),1)</f>
        <v>1</v>
      </c>
      <c r="AI59" s="131" t="n">
        <f aca="false">IF(ISNUMBER(VLOOKUP($A59,VOLCURVES,HLOOKUP($H$4,VOLCURVES,2,FALSE()),FALSE())),VLOOKUP($A59,VOLCURVES,HLOOKUP($H$4,VOLCURVES,2,FALSE()),FALSE()),1)</f>
        <v>1</v>
      </c>
      <c r="AJ59" s="131" t="n">
        <f aca="false">IF(ISNUMBER(VLOOKUP($A59,CORETABLE,HLOOKUP($H$3,CORETABLE,2,FALSE()),FALSE())),VLOOKUP($A59,CORETABLE,HLOOKUP($H$3,CORETABLE,2,FALSE()),FALSE()),1)</f>
        <v>0.994071440191916</v>
      </c>
      <c r="AK59" s="155" t="n">
        <f aca="false">H$18</f>
        <v>0.2</v>
      </c>
      <c r="AM59" s="4" t="n">
        <f aca="false">VLOOKUP($A59,STRADDLE,12,FALSE())</f>
        <v>0.067230480386273</v>
      </c>
      <c r="AN59" s="43" t="n">
        <f aca="false">A60-A59</f>
        <v>31</v>
      </c>
      <c r="AP59" s="9" t="n">
        <f aca="false">IF($A59&gt;=AR$32,IF($A59&lt;=AR$33,$AN59,0),0)</f>
        <v>0</v>
      </c>
      <c r="AQ59" s="123" t="n">
        <f aca="false">$B59+$K59+$B$12</f>
        <v>3.3175</v>
      </c>
      <c r="AR59" s="123" t="n">
        <f aca="false">$B59+$L59+$B$13</f>
        <v>3.7</v>
      </c>
      <c r="AS59" s="123" t="n">
        <f aca="false">AQ59*AP59</f>
        <v>0</v>
      </c>
      <c r="AT59" s="123" t="n">
        <f aca="false">AR59*AP59</f>
        <v>0</v>
      </c>
      <c r="AU59" s="156" t="n">
        <f aca="false">($C59*$M59)+$B$14</f>
        <v>0.2958</v>
      </c>
      <c r="AV59" s="156" t="n">
        <f aca="false">($C59*$N59)+$B$15</f>
        <v>0.29</v>
      </c>
      <c r="AW59" s="131" t="n">
        <f aca="false">O59+B$16</f>
        <v>0.96</v>
      </c>
      <c r="AX59" s="157" t="n">
        <f aca="false">IF(AP59=0,0,SPRDOPT(AQ59,AR59,$P59,$AM59,AU59,AV59,AW59,$F59,$B$19,0))</f>
        <v>0</v>
      </c>
      <c r="AY59" s="157" t="e">
        <f aca="false">IF(AQ59=0,0,SPRDOPT(AQ59,AR59,$P59,$AM59,AU59,AV59,AW59,$F59,$B$19,1))</f>
        <v>#NAME?</v>
      </c>
      <c r="AZ59" s="157" t="e">
        <f aca="false">IF(AR59=0,0,SPRDOPT(AQ59,AR59,$P59,$AM59,AU59,AV59,AW59,$F59,$B$19,2))</f>
        <v>#NAME?</v>
      </c>
      <c r="BA59" s="157" t="n">
        <f aca="false">IF(AS59=0,0,SPRDOPT(AQ59,AR59,$P59,$AM59,AU59,AV59,AW59,$F59,$B$19,3)/100)</f>
        <v>0</v>
      </c>
      <c r="BB59" s="157" t="n">
        <f aca="false">IF(AT59=0,0,SPRDOPT(AQ59,AR59,$P59,$AM59,AU59,AV59,AW59,$F59,$B$19,4)/100)</f>
        <v>0</v>
      </c>
      <c r="BC59" s="157" t="e">
        <f aca="false">IF(AU59=0,0,SPRDOPT(AQ59,AR59,$P59,$AM59,AU59,AV59,AW59,$F59,$B$19,5)/100)</f>
        <v>#NAME?</v>
      </c>
      <c r="BD59" s="157" t="e">
        <f aca="false">IF(AV59=0,0,SPRDOPT(AQ59,AR59,$P59,$AM59,AU59,AV59,AW59,$F59,$B$19,6)/100)</f>
        <v>#NAME?</v>
      </c>
      <c r="BE59" s="157" t="e">
        <f aca="false">IF(AW59=0,0,SPRDOPT(AQ59,AR59,$P59,$AM59,AU59,AV59,AW59,$F59,$B$19,7)/100)</f>
        <v>#NAME?</v>
      </c>
      <c r="BF59" s="157" t="n">
        <f aca="false">IF(AX59=0,0,SPRDOPT(AQ59,AR59,$P59,$AM59,AU59,AV59,AW59,$F59,$B$19,9)/365)</f>
        <v>0</v>
      </c>
      <c r="BG59" s="157" t="e">
        <f aca="false">AY59+AZ59</f>
        <v>#NAME?</v>
      </c>
      <c r="BH59" s="157" t="n">
        <f aca="false">BB59-BA59</f>
        <v>0</v>
      </c>
      <c r="BI59" s="157" t="e">
        <f aca="false">((AU59/AV59)*BC59)+BD59</f>
        <v>#NAME?</v>
      </c>
      <c r="BJ59" s="44"/>
      <c r="BK59" s="45" t="n">
        <f aca="false">$AP59*AX59</f>
        <v>0</v>
      </c>
      <c r="BL59" s="45" t="e">
        <f aca="false">$AP59*AY59</f>
        <v>#NAME?</v>
      </c>
      <c r="BM59" s="45" t="e">
        <f aca="false">$AP59*AZ59</f>
        <v>#NAME?</v>
      </c>
      <c r="BN59" s="45" t="n">
        <f aca="false">$AP59*BA59</f>
        <v>0</v>
      </c>
      <c r="BO59" s="45" t="n">
        <f aca="false">$AP59*BB59</f>
        <v>0</v>
      </c>
      <c r="BP59" s="45" t="e">
        <f aca="false">$AP59*BC59</f>
        <v>#NAME?</v>
      </c>
      <c r="BQ59" s="45" t="e">
        <f aca="false">$AP59*BD59</f>
        <v>#NAME?</v>
      </c>
      <c r="BR59" s="45" t="e">
        <f aca="false">$AP59*BE59</f>
        <v>#NAME?</v>
      </c>
      <c r="BS59" s="45" t="n">
        <f aca="false">$AP59*BF59</f>
        <v>0</v>
      </c>
      <c r="BT59" s="45" t="e">
        <f aca="false">$AP59*BG59</f>
        <v>#NAME?</v>
      </c>
      <c r="BU59" s="45" t="n">
        <f aca="false">$AP59*BH59</f>
        <v>0</v>
      </c>
      <c r="BV59" s="45" t="e">
        <f aca="false">$AP59*BI59</f>
        <v>#NAME?</v>
      </c>
      <c r="BX59" s="9" t="n">
        <f aca="false">IF($A59&gt;=BZ$32,IF($A59&lt;=BZ$33,$AN59,0),0)</f>
        <v>0</v>
      </c>
      <c r="BY59" s="123" t="n">
        <f aca="false">$B59+$R59+$D$12</f>
        <v>3.1325</v>
      </c>
      <c r="BZ59" s="123" t="n">
        <f aca="false">$B59+$S59+$D$13</f>
        <v>3.7</v>
      </c>
      <c r="CA59" s="123" t="n">
        <f aca="false">BY59*BX59</f>
        <v>0</v>
      </c>
      <c r="CB59" s="123" t="n">
        <f aca="false">BZ59*BX59</f>
        <v>0</v>
      </c>
      <c r="CC59" s="156" t="n">
        <f aca="false">($C59*$T59)+$D$14</f>
        <v>0.29</v>
      </c>
      <c r="CD59" s="156" t="n">
        <f aca="false">($C59*$U59)+$D$15</f>
        <v>0.29</v>
      </c>
      <c r="CE59" s="131" t="n">
        <f aca="false">$V59+D$16</f>
        <v>0.96</v>
      </c>
      <c r="CF59" s="157" t="n">
        <f aca="false">IF(BX59=0,0,SPRDOPT(BY59,BZ59,$W59,$AM59,CC59,CD59,CE59,$F59,$D$19,0))</f>
        <v>0</v>
      </c>
      <c r="CG59" s="157" t="e">
        <f aca="false">IF(BY59=0,0,SPRDOPT(BY59,BZ59,$W59,$AM59,CC59,CD59,CE59,$F59,$D$19,1))</f>
        <v>#NAME?</v>
      </c>
      <c r="CH59" s="157" t="e">
        <f aca="false">IF(BZ59=0,0,SPRDOPT(BY59,BZ59,$W59,$AM59,CC59,CD59,CE59,$F59,$D$19,2))</f>
        <v>#NAME?</v>
      </c>
      <c r="CI59" s="157" t="n">
        <f aca="false">IF(CA59=0,0,SPRDOPT(BY59,BZ59,$W59,$AM59,CC59,CD59,CE59,$F59,$D$19,3)/100)</f>
        <v>0</v>
      </c>
      <c r="CJ59" s="157" t="n">
        <f aca="false">IF(CB59=0,0,SPRDOPT(BY59,BZ59,$W59,$AM59,CC59,CD59,CE59,$F59,$D$19,4)/100)</f>
        <v>0</v>
      </c>
      <c r="CK59" s="157" t="e">
        <f aca="false">IF(CC59=0,0,SPRDOPT(BY59,BZ59,$W59,$AM59,CC59,CD59,CE59,$F59,$D$19,5)/100)</f>
        <v>#NAME?</v>
      </c>
      <c r="CL59" s="157" t="e">
        <f aca="false">IF(CD59=0,0,SPRDOPT(BY59,BZ59,$W59,$AM59,CC59,CD59,CE59,$F59,$D$19,6)/100)</f>
        <v>#NAME?</v>
      </c>
      <c r="CM59" s="157" t="e">
        <f aca="false">IF(CE59=0,0,SPRDOPT(BY59,BZ59,$W59,$AM59,CC59,CD59,CE59,$F59,$D$19,7)/100)</f>
        <v>#NAME?</v>
      </c>
      <c r="CN59" s="157" t="n">
        <f aca="false">IF(CF59=0,0,SPRDOPT(BY59,BZ59,$W59,$AM59,CC59,CD59,CE59,$F59,$D$19,9)/365)</f>
        <v>0</v>
      </c>
      <c r="CO59" s="157" t="e">
        <f aca="false">CG59+CH59</f>
        <v>#NAME?</v>
      </c>
      <c r="CP59" s="157" t="n">
        <f aca="false">CJ59-CI59</f>
        <v>0</v>
      </c>
      <c r="CQ59" s="157" t="e">
        <f aca="false">((CC59/CD59)*CK59)+CL59</f>
        <v>#NAME?</v>
      </c>
      <c r="CR59" s="44"/>
      <c r="CS59" s="45" t="n">
        <f aca="false">BX59*CF59</f>
        <v>0</v>
      </c>
      <c r="CT59" s="45" t="e">
        <f aca="false">BX59*CG59</f>
        <v>#NAME?</v>
      </c>
      <c r="CU59" s="45" t="e">
        <f aca="false">BX59*CH59</f>
        <v>#NAME?</v>
      </c>
      <c r="CV59" s="45" t="n">
        <f aca="false">BX59*CI59</f>
        <v>0</v>
      </c>
      <c r="CW59" s="45" t="n">
        <f aca="false">BX59*CJ59</f>
        <v>0</v>
      </c>
      <c r="CX59" s="45" t="e">
        <f aca="false">BX59*CK59</f>
        <v>#NAME?</v>
      </c>
      <c r="CY59" s="45" t="e">
        <f aca="false">BX59*CL59</f>
        <v>#NAME?</v>
      </c>
      <c r="CZ59" s="45" t="e">
        <f aca="false">BX59*CM59</f>
        <v>#NAME?</v>
      </c>
      <c r="DA59" s="45" t="n">
        <f aca="false">BX59*CN59</f>
        <v>0</v>
      </c>
      <c r="DB59" s="45" t="e">
        <f aca="false">BX59*CO59</f>
        <v>#NAME?</v>
      </c>
      <c r="DC59" s="45" t="n">
        <f aca="false">BX59*CP59</f>
        <v>0</v>
      </c>
      <c r="DD59" s="45" t="e">
        <f aca="false">BX59*CQ59</f>
        <v>#NAME?</v>
      </c>
      <c r="DF59" s="9" t="n">
        <f aca="false">IF($A59&gt;=DH$32,IF($A59&lt;=DH$33,$AN59,0),0)</f>
        <v>0</v>
      </c>
      <c r="DG59" s="123" t="n">
        <f aca="false">$B59+$Y59+$F$12</f>
        <v>3.5675</v>
      </c>
      <c r="DH59" s="123" t="n">
        <f aca="false">$B59+$Z59+$F$13</f>
        <v>3.7</v>
      </c>
      <c r="DI59" s="123" t="n">
        <f aca="false">DG59*DF59</f>
        <v>0</v>
      </c>
      <c r="DJ59" s="123" t="n">
        <f aca="false">DH59*DF59</f>
        <v>0</v>
      </c>
      <c r="DK59" s="156" t="n">
        <f aca="false">($C59*$AA59)+$F$14</f>
        <v>0.29</v>
      </c>
      <c r="DL59" s="156" t="n">
        <f aca="false">($C59*$AB59)+$F$15</f>
        <v>0.29</v>
      </c>
      <c r="DM59" s="131" t="n">
        <f aca="false">$AC59+$F$16</f>
        <v>0.995</v>
      </c>
      <c r="DN59" s="157" t="n">
        <f aca="false">IF(DF59=0,0,SPRDOPT(DG59,DH59,$AD59,$AM59,DK59,DL59,DM59,$F59,$F$19,0))</f>
        <v>0</v>
      </c>
      <c r="DO59" s="157" t="e">
        <f aca="false">IF(DG59=0,0,SPRDOPT(DG59,DH59,$AD59,$AM59,DK59,DL59,DM59,$F59,$F$19,1))</f>
        <v>#NAME?</v>
      </c>
      <c r="DP59" s="157" t="e">
        <f aca="false">IF(DH59=0,0,SPRDOPT(DG59,DH59,$AD59,$AM59,DK59,DL59,DM59,$F59,$F$19,2))</f>
        <v>#NAME?</v>
      </c>
      <c r="DQ59" s="157" t="n">
        <f aca="false">IF(DI59=0,0,SPRDOPT(DG59,DH59,$AD59,$AM59,DK59,DL59,DM59,$F59,$F$19,3)/100)</f>
        <v>0</v>
      </c>
      <c r="DR59" s="157" t="n">
        <f aca="false">IF(DJ59=0,0,SPRDOPT(DG59,DH59,$AD59,$AM59,DK59,DL59,DM59,$F59,$F$19,4)/100)</f>
        <v>0</v>
      </c>
      <c r="DS59" s="157" t="e">
        <f aca="false">IF(DK59=0,0,SPRDOPT(DG59,DH59,$AD59,$AM59,DK59,DL59,DM59,$F59,$F$19,5)/100)</f>
        <v>#NAME?</v>
      </c>
      <c r="DT59" s="157" t="e">
        <f aca="false">IF(DL59=0,0,SPRDOPT(DG59,DH59,$AD59,$AM59,DK59,DL59,DM59,$F59,$F$19,6)/100)</f>
        <v>#NAME?</v>
      </c>
      <c r="DU59" s="157" t="e">
        <f aca="false">IF(DM59=0,0,SPRDOPT(DG59,DH59,$AD59,$AM59,DK59,DL59,DM59,$F59,$F$19,7)/100)</f>
        <v>#NAME?</v>
      </c>
      <c r="DV59" s="157" t="n">
        <f aca="false">IF(DN59=0,0,SPRDOPT(DG59,DH59,$AD59,$AM59,DK59,DL59,DM59,$F59,$F$19,9)/365)</f>
        <v>0</v>
      </c>
      <c r="DW59" s="157" t="e">
        <f aca="false">DO59+DP59</f>
        <v>#NAME?</v>
      </c>
      <c r="DX59" s="157" t="n">
        <f aca="false">DR59-DQ59</f>
        <v>0</v>
      </c>
      <c r="DY59" s="157" t="e">
        <f aca="false">((DK59/DL59)*DS59)+DT59</f>
        <v>#NAME?</v>
      </c>
      <c r="DZ59" s="44"/>
      <c r="EA59" s="45" t="n">
        <f aca="false">DF59*DN59</f>
        <v>0</v>
      </c>
      <c r="EB59" s="45" t="e">
        <f aca="false">DF59*DO59</f>
        <v>#NAME?</v>
      </c>
      <c r="EC59" s="45" t="e">
        <f aca="false">DF59*DP59</f>
        <v>#NAME?</v>
      </c>
      <c r="ED59" s="45" t="n">
        <f aca="false">DF59*DQ59</f>
        <v>0</v>
      </c>
      <c r="EE59" s="45" t="n">
        <f aca="false">DF59*DR59</f>
        <v>0</v>
      </c>
      <c r="EF59" s="45" t="e">
        <f aca="false">DF59*DS59</f>
        <v>#NAME?</v>
      </c>
      <c r="EG59" s="45" t="e">
        <f aca="false">DF59*DT59</f>
        <v>#NAME?</v>
      </c>
      <c r="EH59" s="45" t="e">
        <f aca="false">DF59*DU59</f>
        <v>#NAME?</v>
      </c>
      <c r="EI59" s="45" t="n">
        <f aca="false">DF59*DV59</f>
        <v>0</v>
      </c>
      <c r="EJ59" s="45" t="e">
        <f aca="false">DF59*DW59</f>
        <v>#NAME?</v>
      </c>
      <c r="EK59" s="45" t="n">
        <f aca="false">DF59*DX59</f>
        <v>0</v>
      </c>
      <c r="EL59" s="45" t="e">
        <f aca="false">DF59*DY59</f>
        <v>#NAME?</v>
      </c>
      <c r="EN59" s="9" t="n">
        <f aca="false">IF($A59&gt;=EP$32,IF($A59&lt;=EP$33,$AN59,0),0)</f>
        <v>0</v>
      </c>
      <c r="EO59" s="123" t="n">
        <f aca="false">$B59+$AF59+$H$12</f>
        <v>3.755</v>
      </c>
      <c r="EP59" s="123" t="n">
        <f aca="false">$B59+$AG59+$H$13</f>
        <v>3.7</v>
      </c>
      <c r="EQ59" s="123" t="n">
        <f aca="false">EO59*EN59</f>
        <v>0</v>
      </c>
      <c r="ER59" s="123" t="n">
        <f aca="false">EP59*EN59</f>
        <v>0</v>
      </c>
      <c r="ES59" s="156" t="n">
        <f aca="false">($C59*$AH59)+$H$14</f>
        <v>0.29</v>
      </c>
      <c r="ET59" s="156" t="n">
        <f aca="false">($C59*$AI59)+$H$15</f>
        <v>0.29</v>
      </c>
      <c r="EU59" s="131" t="n">
        <f aca="false">$AJ59+$H$16</f>
        <v>0.994071440191916</v>
      </c>
      <c r="EV59" s="157" t="n">
        <f aca="false">IF(EN59=0,0,SPRDOPT(EO59,EP59,$AK59,$AM59,ES59,ET59,EU59,$F59,$H$19,0))</f>
        <v>0</v>
      </c>
      <c r="EW59" s="157" t="e">
        <f aca="false">IF(EO59=0,0,SPRDOPT(EO59,EP59,$AK59,$AM59,ES59,ET59,EU59,$F59,$H$19,1))</f>
        <v>#NAME?</v>
      </c>
      <c r="EX59" s="157" t="e">
        <f aca="false">IF(EP59=0,0,SPRDOPT(EO59,EP59,$AK59,$AM59,ES59,ET59,EU59,$F59,$H$19,2))</f>
        <v>#NAME?</v>
      </c>
      <c r="EY59" s="157" t="n">
        <f aca="false">IF(EQ59=0,0,SPRDOPT(EO59,EP59,$AK59,$AM59,ES59,ET59,EU59,$F59,$H$19,3)/100)</f>
        <v>0</v>
      </c>
      <c r="EZ59" s="157" t="n">
        <f aca="false">IF(ER59=0,0,SPRDOPT(EO59,EP59,$AK59,$AM59,ES59,ET59,EU59,$F59,$H$19,4)/100)</f>
        <v>0</v>
      </c>
      <c r="FA59" s="157" t="e">
        <f aca="false">IF(ES59=0,0,SPRDOPT(EO59,EP59,$AK59,$AM59,ES59,ET59,EU59,$F59,$H$19,5)/100)</f>
        <v>#NAME?</v>
      </c>
      <c r="FB59" s="157" t="e">
        <f aca="false">IF(ET59=0,0,SPRDOPT(EO59,EP59,$AK59,$AM59,ES59,ET59,EU59,$F59,$H$19,6)/100)</f>
        <v>#NAME?</v>
      </c>
      <c r="FC59" s="157" t="e">
        <f aca="false">IF(EU59=0,0,SPRDOPT(EO59,EP59,$AK59,$AM59,ES59,ET59,EU59,$F59,$H$19,7)/100)</f>
        <v>#NAME?</v>
      </c>
      <c r="FD59" s="157" t="n">
        <f aca="false">IF(EV59=0,0,SPRDOPT(EO59,EP59,$AK59,$AM59,ES59,ET59,EU59,$F59,$H$19,9)/365)</f>
        <v>0</v>
      </c>
      <c r="FE59" s="157" t="e">
        <f aca="false">EW59+EX59</f>
        <v>#NAME?</v>
      </c>
      <c r="FF59" s="157" t="n">
        <f aca="false">EZ59-EY59</f>
        <v>0</v>
      </c>
      <c r="FG59" s="157" t="e">
        <f aca="false">((ES59/ET59)*FA59)+FB59</f>
        <v>#NAME?</v>
      </c>
      <c r="FH59" s="44"/>
      <c r="FI59" s="45" t="n">
        <f aca="false">$EN59*EV59</f>
        <v>0</v>
      </c>
      <c r="FJ59" s="45" t="e">
        <f aca="false">$EN59*EW59</f>
        <v>#NAME?</v>
      </c>
      <c r="FK59" s="45" t="e">
        <f aca="false">$EN59*EX59</f>
        <v>#NAME?</v>
      </c>
      <c r="FL59" s="45" t="n">
        <f aca="false">$EN59*EY59</f>
        <v>0</v>
      </c>
      <c r="FM59" s="45" t="n">
        <f aca="false">$EN59*EZ59</f>
        <v>0</v>
      </c>
      <c r="FN59" s="45" t="e">
        <f aca="false">$EN59*FA59</f>
        <v>#NAME?</v>
      </c>
      <c r="FO59" s="45" t="e">
        <f aca="false">$EN59*FB59</f>
        <v>#NAME?</v>
      </c>
      <c r="FP59" s="45" t="e">
        <f aca="false">$EN59*FC59</f>
        <v>#NAME?</v>
      </c>
      <c r="FQ59" s="45" t="n">
        <f aca="false">$EN59*FD59</f>
        <v>0</v>
      </c>
      <c r="FR59" s="45" t="e">
        <f aca="false">$EN59*FE59</f>
        <v>#NAME?</v>
      </c>
      <c r="FS59" s="45" t="n">
        <f aca="false">$EN59*FF59</f>
        <v>0</v>
      </c>
      <c r="FT59" s="45" t="e">
        <f aca="false">$EN59*FG59</f>
        <v>#NAME?</v>
      </c>
    </row>
    <row r="60" customFormat="false" ht="12.75" hidden="false" customHeight="false" outlineLevel="0" collapsed="false">
      <c r="A60" s="48" t="n">
        <f aca="false">DATE(YEAR(A59),MONTH(A59)+1,1)</f>
        <v>37469</v>
      </c>
      <c r="B60" s="40" t="n">
        <f aca="false">VLOOKUP(A60,STRADDLE,5,FALSE())</f>
        <v>3.71</v>
      </c>
      <c r="C60" s="4" t="n">
        <f aca="false">VLOOKUP(A60,STRADDLE,8,FALSE())</f>
        <v>0.29</v>
      </c>
      <c r="D60" s="40"/>
      <c r="E60" s="131"/>
      <c r="F60" s="136" t="n">
        <f aca="false">VLOOKUP(A60,expiration,2,FALSE())-$B$2</f>
        <v>-8460</v>
      </c>
      <c r="G60" s="4"/>
      <c r="H60" s="4"/>
      <c r="I60" s="41"/>
      <c r="J60" s="154"/>
      <c r="K60" s="40" t="n">
        <f aca="false">IF($B$3="NYMEX",0,VLOOKUP($A60,curvesettle,HLOOKUP($B$3,curvesettle,2,FALSE()),FALSE()))</f>
        <v>-0.35</v>
      </c>
      <c r="L60" s="40" t="n">
        <f aca="false">IF($B$4="NYMEX",0,VLOOKUP($A60,curvesettle,HLOOKUP($B$4,curvesettle,2,FALSE()),FALSE()))</f>
        <v>0</v>
      </c>
      <c r="M60" s="131" t="n">
        <f aca="false">IF(ISNUMBER(VLOOKUP($A60,VOLCURVES,HLOOKUP($B$3,VOLCURVES,2,FALSE()),FALSE())),VLOOKUP($A60,VOLCURVES,HLOOKUP($B$3,VOLCURVES,2,FALSE()),FALSE()),1)</f>
        <v>1.02</v>
      </c>
      <c r="N60" s="131" t="n">
        <f aca="false">IF(ISNUMBER(VLOOKUP($A60,VOLCURVES,HLOOKUP($B$4,VOLCURVES,2,FALSE()),FALSE())),VLOOKUP($A60,VOLCURVES,HLOOKUP($B$4,VOLCURVES,2,FALSE()),FALSE()),1)</f>
        <v>1</v>
      </c>
      <c r="O60" s="131" t="n">
        <f aca="false">IF(ISNUMBER(VLOOKUP($A60,CORETABLE,HLOOKUP($B$3,CORETABLE,2,FALSE()),FALSE())),VLOOKUP($A60,CORETABLE,HLOOKUP($B$3,CORETABLE,2,FALSE()),FALSE()),0.99)</f>
        <v>0.96</v>
      </c>
      <c r="P60" s="155" t="n">
        <f aca="false">B$18</f>
        <v>0.3</v>
      </c>
      <c r="Q60" s="131"/>
      <c r="R60" s="40" t="n">
        <f aca="false">IF($D$3="NYMEX",0,VLOOKUP($A60,curvesettle,HLOOKUP($D$3,curvesettle,2,FALSE()),FALSE()))</f>
        <v>-0.535</v>
      </c>
      <c r="S60" s="40" t="n">
        <f aca="false">IF($D$4="NYMEX",0,VLOOKUP($A60,curvesettle,HLOOKUP($D$4,curvesettle,2,FALSE()),FALSE()))</f>
        <v>0</v>
      </c>
      <c r="T60" s="131" t="n">
        <f aca="false">IF(ISNUMBER(VLOOKUP($A60,VOLCURVES,HLOOKUP($D$3,VOLCURVES,2,FALSE()),FALSE())),VLOOKUP($A60,VOLCURVES,HLOOKUP($D$3,VOLCURVES,2,FALSE()),FALSE()),1)</f>
        <v>1</v>
      </c>
      <c r="U60" s="131" t="n">
        <f aca="false">IF(ISNUMBER(VLOOKUP($A60,VOLCURVES,HLOOKUP($D$4,VOLCURVES,2,FALSE()),FALSE())),VLOOKUP($A60,VOLCURVES,HLOOKUP($D$4,VOLCURVES,2,FALSE()),FALSE()),1)</f>
        <v>1</v>
      </c>
      <c r="V60" s="131" t="n">
        <f aca="false">IF(ISNUMBER(VLOOKUP($A60,CORETABLE,HLOOKUP($D$3,CORETABLE,2,FALSE()),FALSE())),VLOOKUP($A60,CORETABLE,HLOOKUP($D$3,CORETABLE,2,FALSE()),FALSE()),0.99)</f>
        <v>0.96</v>
      </c>
      <c r="W60" s="155" t="n">
        <f aca="false">D$18</f>
        <v>-0.35</v>
      </c>
      <c r="X60" s="131"/>
      <c r="Y60" s="40" t="n">
        <f aca="false">IF($F$3="NYMEX",0,VLOOKUP($A60,curvesettle,HLOOKUP($F$3,curvesettle,2,FALSE()),FALSE()))</f>
        <v>-0.1325</v>
      </c>
      <c r="Z60" s="40" t="n">
        <f aca="false">IF($F$4="NYMEX",0,VLOOKUP($A60,curvesettle,HLOOKUP($F$4,curvesettle,2,FALSE()),FALSE()))</f>
        <v>0</v>
      </c>
      <c r="AA60" s="131" t="n">
        <f aca="false">IF(ISNUMBER(VLOOKUP($A60,VOLCURVES,HLOOKUP($F$3,VOLCURVES,2,FALSE()),FALSE())),VLOOKUP($A60,VOLCURVES,HLOOKUP($F$3,VOLCURVES,2,FALSE()),FALSE()),1)</f>
        <v>1</v>
      </c>
      <c r="AB60" s="131" t="n">
        <f aca="false">IF(ISNUMBER(VLOOKUP($A60,VOLCURVES,HLOOKUP($F$4,VOLCURVES,2,FALSE()),FALSE())),VLOOKUP($A60,VOLCURVES,HLOOKUP($F$4,VOLCURVES,2,FALSE()),FALSE()),1)</f>
        <v>1</v>
      </c>
      <c r="AC60" s="131" t="n">
        <f aca="false">IF(ISNUMBER(VLOOKUP($A60,CORETABLE,HLOOKUP($F$3,CORETABLE,2,FALSE()),FALSE())),VLOOKUP($A60,CORETABLE,HLOOKUP($F$3,CORETABLE,2,FALSE()),FALSE()),1)</f>
        <v>0.995</v>
      </c>
      <c r="AD60" s="155" t="n">
        <f aca="false">F$18</f>
        <v>-0.2</v>
      </c>
      <c r="AE60" s="131"/>
      <c r="AF60" s="40" t="n">
        <f aca="false">IF($H$3="NYMEX",0,VLOOKUP($A60,curvesettle,HLOOKUP($H$3,curvesettle,2,FALSE()),FALSE()))</f>
        <v>0.0475</v>
      </c>
      <c r="AG60" s="40" t="n">
        <f aca="false">IF($H$4="NYMEX",0,VLOOKUP($A60,curvesettle,HLOOKUP($H$4,curvesettle,2,FALSE()),FALSE()))</f>
        <v>0</v>
      </c>
      <c r="AH60" s="131" t="n">
        <f aca="false">IF(ISNUMBER(VLOOKUP($A60,VOLCURVES,HLOOKUP($H$3,VOLCURVES,2,FALSE()),FALSE())),VLOOKUP($A60,VOLCURVES,HLOOKUP($H$3,VOLCURVES,2,FALSE()),FALSE()),1)</f>
        <v>1</v>
      </c>
      <c r="AI60" s="131" t="n">
        <f aca="false">IF(ISNUMBER(VLOOKUP($A60,VOLCURVES,HLOOKUP($H$4,VOLCURVES,2,FALSE()),FALSE())),VLOOKUP($A60,VOLCURVES,HLOOKUP($H$4,VOLCURVES,2,FALSE()),FALSE()),1)</f>
        <v>1</v>
      </c>
      <c r="AJ60" s="131" t="n">
        <f aca="false">IF(ISNUMBER(VLOOKUP($A60,CORETABLE,HLOOKUP($H$3,CORETABLE,2,FALSE()),FALSE())),VLOOKUP($A60,CORETABLE,HLOOKUP($H$3,CORETABLE,2,FALSE()),FALSE()),1)</f>
        <v>0.994071440191916</v>
      </c>
      <c r="AK60" s="155" t="n">
        <f aca="false">H$18</f>
        <v>0.2</v>
      </c>
      <c r="AM60" s="4" t="n">
        <f aca="false">VLOOKUP($A60,STRADDLE,12,FALSE())</f>
        <v>0.067217129309422</v>
      </c>
      <c r="AN60" s="43" t="n">
        <f aca="false">A61-A60</f>
        <v>31</v>
      </c>
      <c r="AP60" s="9" t="n">
        <f aca="false">IF($A60&gt;=AR$32,IF($A60&lt;=AR$33,$AN60,0),0)</f>
        <v>0</v>
      </c>
      <c r="AQ60" s="123" t="n">
        <f aca="false">$B60+$K60+$B$12</f>
        <v>3.3275</v>
      </c>
      <c r="AR60" s="123" t="n">
        <f aca="false">$B60+$L60+$B$13</f>
        <v>3.71</v>
      </c>
      <c r="AS60" s="123" t="n">
        <f aca="false">AQ60*AP60</f>
        <v>0</v>
      </c>
      <c r="AT60" s="123" t="n">
        <f aca="false">AR60*AP60</f>
        <v>0</v>
      </c>
      <c r="AU60" s="156" t="n">
        <f aca="false">($C60*$M60)+$B$14</f>
        <v>0.2958</v>
      </c>
      <c r="AV60" s="156" t="n">
        <f aca="false">($C60*$N60)+$B$15</f>
        <v>0.29</v>
      </c>
      <c r="AW60" s="131" t="n">
        <f aca="false">O60+B$16</f>
        <v>0.96</v>
      </c>
      <c r="AX60" s="157" t="n">
        <f aca="false">IF(AP60=0,0,SPRDOPT(AQ60,AR60,$P60,$AM60,AU60,AV60,AW60,$F60,$B$19,0))</f>
        <v>0</v>
      </c>
      <c r="AY60" s="157" t="e">
        <f aca="false">IF(AQ60=0,0,SPRDOPT(AQ60,AR60,$P60,$AM60,AU60,AV60,AW60,$F60,$B$19,1))</f>
        <v>#NAME?</v>
      </c>
      <c r="AZ60" s="157" t="e">
        <f aca="false">IF(AR60=0,0,SPRDOPT(AQ60,AR60,$P60,$AM60,AU60,AV60,AW60,$F60,$B$19,2))</f>
        <v>#NAME?</v>
      </c>
      <c r="BA60" s="157" t="n">
        <f aca="false">IF(AS60=0,0,SPRDOPT(AQ60,AR60,$P60,$AM60,AU60,AV60,AW60,$F60,$B$19,3)/100)</f>
        <v>0</v>
      </c>
      <c r="BB60" s="157" t="n">
        <f aca="false">IF(AT60=0,0,SPRDOPT(AQ60,AR60,$P60,$AM60,AU60,AV60,AW60,$F60,$B$19,4)/100)</f>
        <v>0</v>
      </c>
      <c r="BC60" s="157" t="e">
        <f aca="false">IF(AU60=0,0,SPRDOPT(AQ60,AR60,$P60,$AM60,AU60,AV60,AW60,$F60,$B$19,5)/100)</f>
        <v>#NAME?</v>
      </c>
      <c r="BD60" s="157" t="e">
        <f aca="false">IF(AV60=0,0,SPRDOPT(AQ60,AR60,$P60,$AM60,AU60,AV60,AW60,$F60,$B$19,6)/100)</f>
        <v>#NAME?</v>
      </c>
      <c r="BE60" s="157" t="e">
        <f aca="false">IF(AW60=0,0,SPRDOPT(AQ60,AR60,$P60,$AM60,AU60,AV60,AW60,$F60,$B$19,7)/100)</f>
        <v>#NAME?</v>
      </c>
      <c r="BF60" s="157" t="n">
        <f aca="false">IF(AX60=0,0,SPRDOPT(AQ60,AR60,$P60,$AM60,AU60,AV60,AW60,$F60,$B$19,9)/365)</f>
        <v>0</v>
      </c>
      <c r="BG60" s="157" t="e">
        <f aca="false">AY60+AZ60</f>
        <v>#NAME?</v>
      </c>
      <c r="BH60" s="157" t="n">
        <f aca="false">BB60-BA60</f>
        <v>0</v>
      </c>
      <c r="BI60" s="157" t="e">
        <f aca="false">((AU60/AV60)*BC60)+BD60</f>
        <v>#NAME?</v>
      </c>
      <c r="BJ60" s="44"/>
      <c r="BK60" s="45" t="n">
        <f aca="false">$AP60*AX60</f>
        <v>0</v>
      </c>
      <c r="BL60" s="45" t="e">
        <f aca="false">$AP60*AY60</f>
        <v>#NAME?</v>
      </c>
      <c r="BM60" s="45" t="e">
        <f aca="false">$AP60*AZ60</f>
        <v>#NAME?</v>
      </c>
      <c r="BN60" s="45" t="n">
        <f aca="false">$AP60*BA60</f>
        <v>0</v>
      </c>
      <c r="BO60" s="45" t="n">
        <f aca="false">$AP60*BB60</f>
        <v>0</v>
      </c>
      <c r="BP60" s="45" t="e">
        <f aca="false">$AP60*BC60</f>
        <v>#NAME?</v>
      </c>
      <c r="BQ60" s="45" t="e">
        <f aca="false">$AP60*BD60</f>
        <v>#NAME?</v>
      </c>
      <c r="BR60" s="45" t="e">
        <f aca="false">$AP60*BE60</f>
        <v>#NAME?</v>
      </c>
      <c r="BS60" s="45" t="n">
        <f aca="false">$AP60*BF60</f>
        <v>0</v>
      </c>
      <c r="BT60" s="45" t="e">
        <f aca="false">$AP60*BG60</f>
        <v>#NAME?</v>
      </c>
      <c r="BU60" s="45" t="n">
        <f aca="false">$AP60*BH60</f>
        <v>0</v>
      </c>
      <c r="BV60" s="45" t="e">
        <f aca="false">$AP60*BI60</f>
        <v>#NAME?</v>
      </c>
      <c r="BX60" s="9" t="n">
        <f aca="false">IF($A60&gt;=BZ$32,IF($A60&lt;=BZ$33,$AN60,0),0)</f>
        <v>0</v>
      </c>
      <c r="BY60" s="123" t="n">
        <f aca="false">$B60+$R60+$D$12</f>
        <v>3.1425</v>
      </c>
      <c r="BZ60" s="123" t="n">
        <f aca="false">$B60+$S60+$D$13</f>
        <v>3.71</v>
      </c>
      <c r="CA60" s="123" t="n">
        <f aca="false">BY60*BX60</f>
        <v>0</v>
      </c>
      <c r="CB60" s="123" t="n">
        <f aca="false">BZ60*BX60</f>
        <v>0</v>
      </c>
      <c r="CC60" s="156" t="n">
        <f aca="false">($C60*$T60)+$D$14</f>
        <v>0.29</v>
      </c>
      <c r="CD60" s="156" t="n">
        <f aca="false">($C60*$U60)+$D$15</f>
        <v>0.29</v>
      </c>
      <c r="CE60" s="131" t="n">
        <f aca="false">$V60+D$16</f>
        <v>0.96</v>
      </c>
      <c r="CF60" s="157" t="n">
        <f aca="false">IF(BX60=0,0,SPRDOPT(BY60,BZ60,$W60,$AM60,CC60,CD60,CE60,$F60,$D$19,0))</f>
        <v>0</v>
      </c>
      <c r="CG60" s="157" t="e">
        <f aca="false">IF(BY60=0,0,SPRDOPT(BY60,BZ60,$W60,$AM60,CC60,CD60,CE60,$F60,$D$19,1))</f>
        <v>#NAME?</v>
      </c>
      <c r="CH60" s="157" t="e">
        <f aca="false">IF(BZ60=0,0,SPRDOPT(BY60,BZ60,$W60,$AM60,CC60,CD60,CE60,$F60,$D$19,2))</f>
        <v>#NAME?</v>
      </c>
      <c r="CI60" s="157" t="n">
        <f aca="false">IF(CA60=0,0,SPRDOPT(BY60,BZ60,$W60,$AM60,CC60,CD60,CE60,$F60,$D$19,3)/100)</f>
        <v>0</v>
      </c>
      <c r="CJ60" s="157" t="n">
        <f aca="false">IF(CB60=0,0,SPRDOPT(BY60,BZ60,$W60,$AM60,CC60,CD60,CE60,$F60,$D$19,4)/100)</f>
        <v>0</v>
      </c>
      <c r="CK60" s="157" t="e">
        <f aca="false">IF(CC60=0,0,SPRDOPT(BY60,BZ60,$W60,$AM60,CC60,CD60,CE60,$F60,$D$19,5)/100)</f>
        <v>#NAME?</v>
      </c>
      <c r="CL60" s="157" t="e">
        <f aca="false">IF(CD60=0,0,SPRDOPT(BY60,BZ60,$W60,$AM60,CC60,CD60,CE60,$F60,$D$19,6)/100)</f>
        <v>#NAME?</v>
      </c>
      <c r="CM60" s="157" t="e">
        <f aca="false">IF(CE60=0,0,SPRDOPT(BY60,BZ60,$W60,$AM60,CC60,CD60,CE60,$F60,$D$19,7)/100)</f>
        <v>#NAME?</v>
      </c>
      <c r="CN60" s="157" t="n">
        <f aca="false">IF(CF60=0,0,SPRDOPT(BY60,BZ60,$W60,$AM60,CC60,CD60,CE60,$F60,$D$19,9)/365)</f>
        <v>0</v>
      </c>
      <c r="CO60" s="157" t="e">
        <f aca="false">CG60+CH60</f>
        <v>#NAME?</v>
      </c>
      <c r="CP60" s="157" t="n">
        <f aca="false">CJ60-CI60</f>
        <v>0</v>
      </c>
      <c r="CQ60" s="157" t="e">
        <f aca="false">((CC60/CD60)*CK60)+CL60</f>
        <v>#NAME?</v>
      </c>
      <c r="CR60" s="44"/>
      <c r="CS60" s="45" t="n">
        <f aca="false">BX60*CF60</f>
        <v>0</v>
      </c>
      <c r="CT60" s="45" t="e">
        <f aca="false">BX60*CG60</f>
        <v>#NAME?</v>
      </c>
      <c r="CU60" s="45" t="e">
        <f aca="false">BX60*CH60</f>
        <v>#NAME?</v>
      </c>
      <c r="CV60" s="45" t="n">
        <f aca="false">BX60*CI60</f>
        <v>0</v>
      </c>
      <c r="CW60" s="45" t="n">
        <f aca="false">BX60*CJ60</f>
        <v>0</v>
      </c>
      <c r="CX60" s="45" t="e">
        <f aca="false">BX60*CK60</f>
        <v>#NAME?</v>
      </c>
      <c r="CY60" s="45" t="e">
        <f aca="false">BX60*CL60</f>
        <v>#NAME?</v>
      </c>
      <c r="CZ60" s="45" t="e">
        <f aca="false">BX60*CM60</f>
        <v>#NAME?</v>
      </c>
      <c r="DA60" s="45" t="n">
        <f aca="false">BX60*CN60</f>
        <v>0</v>
      </c>
      <c r="DB60" s="45" t="e">
        <f aca="false">BX60*CO60</f>
        <v>#NAME?</v>
      </c>
      <c r="DC60" s="45" t="n">
        <f aca="false">BX60*CP60</f>
        <v>0</v>
      </c>
      <c r="DD60" s="45" t="e">
        <f aca="false">BX60*CQ60</f>
        <v>#NAME?</v>
      </c>
      <c r="DF60" s="9" t="n">
        <f aca="false">IF($A60&gt;=DH$32,IF($A60&lt;=DH$33,$AN60,0),0)</f>
        <v>0</v>
      </c>
      <c r="DG60" s="123" t="n">
        <f aca="false">$B60+$Y60+$F$12</f>
        <v>3.5775</v>
      </c>
      <c r="DH60" s="123" t="n">
        <f aca="false">$B60+$Z60+$F$13</f>
        <v>3.71</v>
      </c>
      <c r="DI60" s="123" t="n">
        <f aca="false">DG60*DF60</f>
        <v>0</v>
      </c>
      <c r="DJ60" s="123" t="n">
        <f aca="false">DH60*DF60</f>
        <v>0</v>
      </c>
      <c r="DK60" s="156" t="n">
        <f aca="false">($C60*$AA60)+$F$14</f>
        <v>0.29</v>
      </c>
      <c r="DL60" s="156" t="n">
        <f aca="false">($C60*$AB60)+$F$15</f>
        <v>0.29</v>
      </c>
      <c r="DM60" s="131" t="n">
        <f aca="false">$AC60+$F$16</f>
        <v>0.995</v>
      </c>
      <c r="DN60" s="157" t="n">
        <f aca="false">IF(DF60=0,0,SPRDOPT(DG60,DH60,$AD60,$AM60,DK60,DL60,DM60,$F60,$F$19,0))</f>
        <v>0</v>
      </c>
      <c r="DO60" s="157" t="e">
        <f aca="false">IF(DG60=0,0,SPRDOPT(DG60,DH60,$AD60,$AM60,DK60,DL60,DM60,$F60,$F$19,1))</f>
        <v>#NAME?</v>
      </c>
      <c r="DP60" s="157" t="e">
        <f aca="false">IF(DH60=0,0,SPRDOPT(DG60,DH60,$AD60,$AM60,DK60,DL60,DM60,$F60,$F$19,2))</f>
        <v>#NAME?</v>
      </c>
      <c r="DQ60" s="157" t="n">
        <f aca="false">IF(DI60=0,0,SPRDOPT(DG60,DH60,$AD60,$AM60,DK60,DL60,DM60,$F60,$F$19,3)/100)</f>
        <v>0</v>
      </c>
      <c r="DR60" s="157" t="n">
        <f aca="false">IF(DJ60=0,0,SPRDOPT(DG60,DH60,$AD60,$AM60,DK60,DL60,DM60,$F60,$F$19,4)/100)</f>
        <v>0</v>
      </c>
      <c r="DS60" s="157" t="e">
        <f aca="false">IF(DK60=0,0,SPRDOPT(DG60,DH60,$AD60,$AM60,DK60,DL60,DM60,$F60,$F$19,5)/100)</f>
        <v>#NAME?</v>
      </c>
      <c r="DT60" s="157" t="e">
        <f aca="false">IF(DL60=0,0,SPRDOPT(DG60,DH60,$AD60,$AM60,DK60,DL60,DM60,$F60,$F$19,6)/100)</f>
        <v>#NAME?</v>
      </c>
      <c r="DU60" s="157" t="e">
        <f aca="false">IF(DM60=0,0,SPRDOPT(DG60,DH60,$AD60,$AM60,DK60,DL60,DM60,$F60,$F$19,7)/100)</f>
        <v>#NAME?</v>
      </c>
      <c r="DV60" s="157" t="n">
        <f aca="false">IF(DN60=0,0,SPRDOPT(DG60,DH60,$AD60,$AM60,DK60,DL60,DM60,$F60,$F$19,9)/365)</f>
        <v>0</v>
      </c>
      <c r="DW60" s="157" t="e">
        <f aca="false">DO60+DP60</f>
        <v>#NAME?</v>
      </c>
      <c r="DX60" s="157" t="n">
        <f aca="false">DR60-DQ60</f>
        <v>0</v>
      </c>
      <c r="DY60" s="157" t="e">
        <f aca="false">((DK60/DL60)*DS60)+DT60</f>
        <v>#NAME?</v>
      </c>
      <c r="DZ60" s="44"/>
      <c r="EA60" s="45" t="n">
        <f aca="false">DF60*DN60</f>
        <v>0</v>
      </c>
      <c r="EB60" s="45" t="e">
        <f aca="false">DF60*DO60</f>
        <v>#NAME?</v>
      </c>
      <c r="EC60" s="45" t="e">
        <f aca="false">DF60*DP60</f>
        <v>#NAME?</v>
      </c>
      <c r="ED60" s="45" t="n">
        <f aca="false">DF60*DQ60</f>
        <v>0</v>
      </c>
      <c r="EE60" s="45" t="n">
        <f aca="false">DF60*DR60</f>
        <v>0</v>
      </c>
      <c r="EF60" s="45" t="e">
        <f aca="false">DF60*DS60</f>
        <v>#NAME?</v>
      </c>
      <c r="EG60" s="45" t="e">
        <f aca="false">DF60*DT60</f>
        <v>#NAME?</v>
      </c>
      <c r="EH60" s="45" t="e">
        <f aca="false">DF60*DU60</f>
        <v>#NAME?</v>
      </c>
      <c r="EI60" s="45" t="n">
        <f aca="false">DF60*DV60</f>
        <v>0</v>
      </c>
      <c r="EJ60" s="45" t="e">
        <f aca="false">DF60*DW60</f>
        <v>#NAME?</v>
      </c>
      <c r="EK60" s="45" t="n">
        <f aca="false">DF60*DX60</f>
        <v>0</v>
      </c>
      <c r="EL60" s="45" t="e">
        <f aca="false">DF60*DY60</f>
        <v>#NAME?</v>
      </c>
      <c r="EN60" s="9" t="n">
        <f aca="false">IF($A60&gt;=EP$32,IF($A60&lt;=EP$33,$AN60,0),0)</f>
        <v>0</v>
      </c>
      <c r="EO60" s="123" t="n">
        <f aca="false">$B60+$AF60+$H$12</f>
        <v>3.7625</v>
      </c>
      <c r="EP60" s="123" t="n">
        <f aca="false">$B60+$AG60+$H$13</f>
        <v>3.71</v>
      </c>
      <c r="EQ60" s="123" t="n">
        <f aca="false">EO60*EN60</f>
        <v>0</v>
      </c>
      <c r="ER60" s="123" t="n">
        <f aca="false">EP60*EN60</f>
        <v>0</v>
      </c>
      <c r="ES60" s="156" t="n">
        <f aca="false">($C60*$AH60)+$H$14</f>
        <v>0.29</v>
      </c>
      <c r="ET60" s="156" t="n">
        <f aca="false">($C60*$AI60)+$H$15</f>
        <v>0.29</v>
      </c>
      <c r="EU60" s="131" t="n">
        <f aca="false">$AJ60+$H$16</f>
        <v>0.994071440191916</v>
      </c>
      <c r="EV60" s="157" t="n">
        <f aca="false">IF(EN60=0,0,SPRDOPT(EO60,EP60,$AK60,$AM60,ES60,ET60,EU60,$F60,$H$19,0))</f>
        <v>0</v>
      </c>
      <c r="EW60" s="157" t="e">
        <f aca="false">IF(EO60=0,0,SPRDOPT(EO60,EP60,$AK60,$AM60,ES60,ET60,EU60,$F60,$H$19,1))</f>
        <v>#NAME?</v>
      </c>
      <c r="EX60" s="157" t="e">
        <f aca="false">IF(EP60=0,0,SPRDOPT(EO60,EP60,$AK60,$AM60,ES60,ET60,EU60,$F60,$H$19,2))</f>
        <v>#NAME?</v>
      </c>
      <c r="EY60" s="157" t="n">
        <f aca="false">IF(EQ60=0,0,SPRDOPT(EO60,EP60,$AK60,$AM60,ES60,ET60,EU60,$F60,$H$19,3)/100)</f>
        <v>0</v>
      </c>
      <c r="EZ60" s="157" t="n">
        <f aca="false">IF(ER60=0,0,SPRDOPT(EO60,EP60,$AK60,$AM60,ES60,ET60,EU60,$F60,$H$19,4)/100)</f>
        <v>0</v>
      </c>
      <c r="FA60" s="157" t="e">
        <f aca="false">IF(ES60=0,0,SPRDOPT(EO60,EP60,$AK60,$AM60,ES60,ET60,EU60,$F60,$H$19,5)/100)</f>
        <v>#NAME?</v>
      </c>
      <c r="FB60" s="157" t="e">
        <f aca="false">IF(ET60=0,0,SPRDOPT(EO60,EP60,$AK60,$AM60,ES60,ET60,EU60,$F60,$H$19,6)/100)</f>
        <v>#NAME?</v>
      </c>
      <c r="FC60" s="157" t="e">
        <f aca="false">IF(EU60=0,0,SPRDOPT(EO60,EP60,$AK60,$AM60,ES60,ET60,EU60,$F60,$H$19,7)/100)</f>
        <v>#NAME?</v>
      </c>
      <c r="FD60" s="157" t="n">
        <f aca="false">IF(EV60=0,0,SPRDOPT(EO60,EP60,$AK60,$AM60,ES60,ET60,EU60,$F60,$H$19,9)/365)</f>
        <v>0</v>
      </c>
      <c r="FE60" s="157" t="e">
        <f aca="false">EW60+EX60</f>
        <v>#NAME?</v>
      </c>
      <c r="FF60" s="157" t="n">
        <f aca="false">EZ60-EY60</f>
        <v>0</v>
      </c>
      <c r="FG60" s="157" t="e">
        <f aca="false">((ES60/ET60)*FA60)+FB60</f>
        <v>#NAME?</v>
      </c>
      <c r="FH60" s="44"/>
      <c r="FI60" s="45" t="n">
        <f aca="false">$EN60*EV60</f>
        <v>0</v>
      </c>
      <c r="FJ60" s="45" t="e">
        <f aca="false">$EN60*EW60</f>
        <v>#NAME?</v>
      </c>
      <c r="FK60" s="45" t="e">
        <f aca="false">$EN60*EX60</f>
        <v>#NAME?</v>
      </c>
      <c r="FL60" s="45" t="n">
        <f aca="false">$EN60*EY60</f>
        <v>0</v>
      </c>
      <c r="FM60" s="45" t="n">
        <f aca="false">$EN60*EZ60</f>
        <v>0</v>
      </c>
      <c r="FN60" s="45" t="e">
        <f aca="false">$EN60*FA60</f>
        <v>#NAME?</v>
      </c>
      <c r="FO60" s="45" t="e">
        <f aca="false">$EN60*FB60</f>
        <v>#NAME?</v>
      </c>
      <c r="FP60" s="45" t="e">
        <f aca="false">$EN60*FC60</f>
        <v>#NAME?</v>
      </c>
      <c r="FQ60" s="45" t="n">
        <f aca="false">$EN60*FD60</f>
        <v>0</v>
      </c>
      <c r="FR60" s="45" t="e">
        <f aca="false">$EN60*FE60</f>
        <v>#NAME?</v>
      </c>
      <c r="FS60" s="45" t="n">
        <f aca="false">$EN60*FF60</f>
        <v>0</v>
      </c>
      <c r="FT60" s="45" t="e">
        <f aca="false">$EN60*FG60</f>
        <v>#NAME?</v>
      </c>
    </row>
    <row r="61" customFormat="false" ht="12.75" hidden="false" customHeight="false" outlineLevel="0" collapsed="false">
      <c r="A61" s="48" t="n">
        <f aca="false">DATE(YEAR(A60),MONTH(A60)+1,1)</f>
        <v>37500</v>
      </c>
      <c r="B61" s="40" t="n">
        <f aca="false">VLOOKUP(A61,STRADDLE,5,FALSE())</f>
        <v>3.705</v>
      </c>
      <c r="C61" s="4" t="n">
        <f aca="false">VLOOKUP(A61,STRADDLE,8,FALSE())</f>
        <v>0.29</v>
      </c>
      <c r="D61" s="40"/>
      <c r="E61" s="131"/>
      <c r="F61" s="136" t="n">
        <f aca="false">VLOOKUP(A61,expiration,2,FALSE())-$B$2</f>
        <v>-8430</v>
      </c>
      <c r="G61" s="4"/>
      <c r="H61" s="4"/>
      <c r="I61" s="41"/>
      <c r="J61" s="154"/>
      <c r="K61" s="40" t="n">
        <f aca="false">IF($B$3="NYMEX",0,VLOOKUP($A61,curvesettle,HLOOKUP($B$3,curvesettle,2,FALSE()),FALSE()))</f>
        <v>-0.35</v>
      </c>
      <c r="L61" s="40" t="n">
        <f aca="false">IF($B$4="NYMEX",0,VLOOKUP($A61,curvesettle,HLOOKUP($B$4,curvesettle,2,FALSE()),FALSE()))</f>
        <v>0</v>
      </c>
      <c r="M61" s="131" t="n">
        <f aca="false">IF(ISNUMBER(VLOOKUP($A61,VOLCURVES,HLOOKUP($B$3,VOLCURVES,2,FALSE()),FALSE())),VLOOKUP($A61,VOLCURVES,HLOOKUP($B$3,VOLCURVES,2,FALSE()),FALSE()),1)</f>
        <v>1.02</v>
      </c>
      <c r="N61" s="131" t="n">
        <f aca="false">IF(ISNUMBER(VLOOKUP($A61,VOLCURVES,HLOOKUP($B$4,VOLCURVES,2,FALSE()),FALSE())),VLOOKUP($A61,VOLCURVES,HLOOKUP($B$4,VOLCURVES,2,FALSE()),FALSE()),1)</f>
        <v>1</v>
      </c>
      <c r="O61" s="131" t="n">
        <f aca="false">IF(ISNUMBER(VLOOKUP($A61,CORETABLE,HLOOKUP($B$3,CORETABLE,2,FALSE()),FALSE())),VLOOKUP($A61,CORETABLE,HLOOKUP($B$3,CORETABLE,2,FALSE()),FALSE()),0.99)</f>
        <v>0.96</v>
      </c>
      <c r="P61" s="155" t="n">
        <f aca="false">B$18</f>
        <v>0.3</v>
      </c>
      <c r="Q61" s="131"/>
      <c r="R61" s="40" t="n">
        <f aca="false">IF($D$3="NYMEX",0,VLOOKUP($A61,curvesettle,HLOOKUP($D$3,curvesettle,2,FALSE()),FALSE()))</f>
        <v>-0.535</v>
      </c>
      <c r="S61" s="40" t="n">
        <f aca="false">IF($D$4="NYMEX",0,VLOOKUP($A61,curvesettle,HLOOKUP($D$4,curvesettle,2,FALSE()),FALSE()))</f>
        <v>0</v>
      </c>
      <c r="T61" s="131" t="n">
        <f aca="false">IF(ISNUMBER(VLOOKUP($A61,VOLCURVES,HLOOKUP($D$3,VOLCURVES,2,FALSE()),FALSE())),VLOOKUP($A61,VOLCURVES,HLOOKUP($D$3,VOLCURVES,2,FALSE()),FALSE()),1)</f>
        <v>1</v>
      </c>
      <c r="U61" s="131" t="n">
        <f aca="false">IF(ISNUMBER(VLOOKUP($A61,VOLCURVES,HLOOKUP($D$4,VOLCURVES,2,FALSE()),FALSE())),VLOOKUP($A61,VOLCURVES,HLOOKUP($D$4,VOLCURVES,2,FALSE()),FALSE()),1)</f>
        <v>1</v>
      </c>
      <c r="V61" s="131" t="n">
        <f aca="false">IF(ISNUMBER(VLOOKUP($A61,CORETABLE,HLOOKUP($D$3,CORETABLE,2,FALSE()),FALSE())),VLOOKUP($A61,CORETABLE,HLOOKUP($D$3,CORETABLE,2,FALSE()),FALSE()),0.99)</f>
        <v>0.96</v>
      </c>
      <c r="W61" s="155" t="n">
        <f aca="false">D$18</f>
        <v>-0.35</v>
      </c>
      <c r="X61" s="131"/>
      <c r="Y61" s="40" t="n">
        <f aca="false">IF($F$3="NYMEX",0,VLOOKUP($A61,curvesettle,HLOOKUP($F$3,curvesettle,2,FALSE()),FALSE()))</f>
        <v>-0.1325</v>
      </c>
      <c r="Z61" s="40" t="n">
        <f aca="false">IF($F$4="NYMEX",0,VLOOKUP($A61,curvesettle,HLOOKUP($F$4,curvesettle,2,FALSE()),FALSE()))</f>
        <v>0</v>
      </c>
      <c r="AA61" s="131" t="n">
        <f aca="false">IF(ISNUMBER(VLOOKUP($A61,VOLCURVES,HLOOKUP($F$3,VOLCURVES,2,FALSE()),FALSE())),VLOOKUP($A61,VOLCURVES,HLOOKUP($F$3,VOLCURVES,2,FALSE()),FALSE()),1)</f>
        <v>1</v>
      </c>
      <c r="AB61" s="131" t="n">
        <f aca="false">IF(ISNUMBER(VLOOKUP($A61,VOLCURVES,HLOOKUP($F$4,VOLCURVES,2,FALSE()),FALSE())),VLOOKUP($A61,VOLCURVES,HLOOKUP($F$4,VOLCURVES,2,FALSE()),FALSE()),1)</f>
        <v>1</v>
      </c>
      <c r="AC61" s="131" t="n">
        <f aca="false">IF(ISNUMBER(VLOOKUP($A61,CORETABLE,HLOOKUP($F$3,CORETABLE,2,FALSE()),FALSE())),VLOOKUP($A61,CORETABLE,HLOOKUP($F$3,CORETABLE,2,FALSE()),FALSE()),1)</f>
        <v>0.995</v>
      </c>
      <c r="AD61" s="155" t="n">
        <f aca="false">F$18</f>
        <v>-0.2</v>
      </c>
      <c r="AE61" s="131"/>
      <c r="AF61" s="40" t="n">
        <f aca="false">IF($H$3="NYMEX",0,VLOOKUP($A61,curvesettle,HLOOKUP($H$3,curvesettle,2,FALSE()),FALSE()))</f>
        <v>0.045</v>
      </c>
      <c r="AG61" s="40" t="n">
        <f aca="false">IF($H$4="NYMEX",0,VLOOKUP($A61,curvesettle,HLOOKUP($H$4,curvesettle,2,FALSE()),FALSE()))</f>
        <v>0</v>
      </c>
      <c r="AH61" s="131" t="n">
        <f aca="false">IF(ISNUMBER(VLOOKUP($A61,VOLCURVES,HLOOKUP($H$3,VOLCURVES,2,FALSE()),FALSE())),VLOOKUP($A61,VOLCURVES,HLOOKUP($H$3,VOLCURVES,2,FALSE()),FALSE()),1)</f>
        <v>1</v>
      </c>
      <c r="AI61" s="131" t="n">
        <f aca="false">IF(ISNUMBER(VLOOKUP($A61,VOLCURVES,HLOOKUP($H$4,VOLCURVES,2,FALSE()),FALSE())),VLOOKUP($A61,VOLCURVES,HLOOKUP($H$4,VOLCURVES,2,FALSE()),FALSE()),1)</f>
        <v>1</v>
      </c>
      <c r="AJ61" s="131" t="n">
        <f aca="false">IF(ISNUMBER(VLOOKUP($A61,CORETABLE,HLOOKUP($H$3,CORETABLE,2,FALSE()),FALSE())),VLOOKUP($A61,CORETABLE,HLOOKUP($H$3,CORETABLE,2,FALSE()),FALSE()),1)</f>
        <v>0.994071440191916</v>
      </c>
      <c r="AK61" s="155" t="n">
        <f aca="false">H$18</f>
        <v>0.2</v>
      </c>
      <c r="AM61" s="4" t="n">
        <f aca="false">VLOOKUP($A61,STRADDLE,12,FALSE())</f>
        <v>0.06720377823263</v>
      </c>
      <c r="AN61" s="43" t="n">
        <f aca="false">A62-A61</f>
        <v>30</v>
      </c>
      <c r="AP61" s="9" t="n">
        <f aca="false">IF($A61&gt;=AR$32,IF($A61&lt;=AR$33,$AN61,0),0)</f>
        <v>0</v>
      </c>
      <c r="AQ61" s="123" t="n">
        <f aca="false">$B61+$K61+$B$12</f>
        <v>3.3225</v>
      </c>
      <c r="AR61" s="123" t="n">
        <f aca="false">$B61+$L61+$B$13</f>
        <v>3.705</v>
      </c>
      <c r="AS61" s="123" t="n">
        <f aca="false">AQ61*AP61</f>
        <v>0</v>
      </c>
      <c r="AT61" s="123" t="n">
        <f aca="false">AR61*AP61</f>
        <v>0</v>
      </c>
      <c r="AU61" s="156" t="n">
        <f aca="false">($C61*$M61)+$B$14</f>
        <v>0.2958</v>
      </c>
      <c r="AV61" s="156" t="n">
        <f aca="false">($C61*$N61)+$B$15</f>
        <v>0.29</v>
      </c>
      <c r="AW61" s="131" t="n">
        <f aca="false">O61+B$16</f>
        <v>0.96</v>
      </c>
      <c r="AX61" s="157" t="n">
        <f aca="false">IF(AP61=0,0,SPRDOPT(AQ61,AR61,$P61,$AM61,AU61,AV61,AW61,$F61,$B$19,0))</f>
        <v>0</v>
      </c>
      <c r="AY61" s="157" t="e">
        <f aca="false">IF(AQ61=0,0,SPRDOPT(AQ61,AR61,$P61,$AM61,AU61,AV61,AW61,$F61,$B$19,1))</f>
        <v>#NAME?</v>
      </c>
      <c r="AZ61" s="157" t="e">
        <f aca="false">IF(AR61=0,0,SPRDOPT(AQ61,AR61,$P61,$AM61,AU61,AV61,AW61,$F61,$B$19,2))</f>
        <v>#NAME?</v>
      </c>
      <c r="BA61" s="157" t="n">
        <f aca="false">IF(AS61=0,0,SPRDOPT(AQ61,AR61,$P61,$AM61,AU61,AV61,AW61,$F61,$B$19,3)/100)</f>
        <v>0</v>
      </c>
      <c r="BB61" s="157" t="n">
        <f aca="false">IF(AT61=0,0,SPRDOPT(AQ61,AR61,$P61,$AM61,AU61,AV61,AW61,$F61,$B$19,4)/100)</f>
        <v>0</v>
      </c>
      <c r="BC61" s="157" t="e">
        <f aca="false">IF(AU61=0,0,SPRDOPT(AQ61,AR61,$P61,$AM61,AU61,AV61,AW61,$F61,$B$19,5)/100)</f>
        <v>#NAME?</v>
      </c>
      <c r="BD61" s="157" t="e">
        <f aca="false">IF(AV61=0,0,SPRDOPT(AQ61,AR61,$P61,$AM61,AU61,AV61,AW61,$F61,$B$19,6)/100)</f>
        <v>#NAME?</v>
      </c>
      <c r="BE61" s="157" t="e">
        <f aca="false">IF(AW61=0,0,SPRDOPT(AQ61,AR61,$P61,$AM61,AU61,AV61,AW61,$F61,$B$19,7)/100)</f>
        <v>#NAME?</v>
      </c>
      <c r="BF61" s="157" t="n">
        <f aca="false">IF(AX61=0,0,SPRDOPT(AQ61,AR61,$P61,$AM61,AU61,AV61,AW61,$F61,$B$19,9)/365)</f>
        <v>0</v>
      </c>
      <c r="BG61" s="157" t="e">
        <f aca="false">AY61+AZ61</f>
        <v>#NAME?</v>
      </c>
      <c r="BH61" s="157" t="n">
        <f aca="false">BB61-BA61</f>
        <v>0</v>
      </c>
      <c r="BI61" s="157" t="e">
        <f aca="false">((AU61/AV61)*BC61)+BD61</f>
        <v>#NAME?</v>
      </c>
      <c r="BJ61" s="44"/>
      <c r="BK61" s="45" t="n">
        <f aca="false">$AP61*AX61</f>
        <v>0</v>
      </c>
      <c r="BL61" s="45" t="e">
        <f aca="false">$AP61*AY61</f>
        <v>#NAME?</v>
      </c>
      <c r="BM61" s="45" t="e">
        <f aca="false">$AP61*AZ61</f>
        <v>#NAME?</v>
      </c>
      <c r="BN61" s="45" t="n">
        <f aca="false">$AP61*BA61</f>
        <v>0</v>
      </c>
      <c r="BO61" s="45" t="n">
        <f aca="false">$AP61*BB61</f>
        <v>0</v>
      </c>
      <c r="BP61" s="45" t="e">
        <f aca="false">$AP61*BC61</f>
        <v>#NAME?</v>
      </c>
      <c r="BQ61" s="45" t="e">
        <f aca="false">$AP61*BD61</f>
        <v>#NAME?</v>
      </c>
      <c r="BR61" s="45" t="e">
        <f aca="false">$AP61*BE61</f>
        <v>#NAME?</v>
      </c>
      <c r="BS61" s="45" t="n">
        <f aca="false">$AP61*BF61</f>
        <v>0</v>
      </c>
      <c r="BT61" s="45" t="e">
        <f aca="false">$AP61*BG61</f>
        <v>#NAME?</v>
      </c>
      <c r="BU61" s="45" t="n">
        <f aca="false">$AP61*BH61</f>
        <v>0</v>
      </c>
      <c r="BV61" s="45" t="e">
        <f aca="false">$AP61*BI61</f>
        <v>#NAME?</v>
      </c>
      <c r="BX61" s="9" t="n">
        <f aca="false">IF($A61&gt;=BZ$32,IF($A61&lt;=BZ$33,$AN61,0),0)</f>
        <v>0</v>
      </c>
      <c r="BY61" s="123" t="n">
        <f aca="false">$B61+$R61+$D$12</f>
        <v>3.1375</v>
      </c>
      <c r="BZ61" s="123" t="n">
        <f aca="false">$B61+$S61+$D$13</f>
        <v>3.705</v>
      </c>
      <c r="CA61" s="123" t="n">
        <f aca="false">BY61*BX61</f>
        <v>0</v>
      </c>
      <c r="CB61" s="123" t="n">
        <f aca="false">BZ61*BX61</f>
        <v>0</v>
      </c>
      <c r="CC61" s="156" t="n">
        <f aca="false">($C61*$T61)+$D$14</f>
        <v>0.29</v>
      </c>
      <c r="CD61" s="156" t="n">
        <f aca="false">($C61*$U61)+$D$15</f>
        <v>0.29</v>
      </c>
      <c r="CE61" s="131" t="n">
        <f aca="false">$V61+D$16</f>
        <v>0.96</v>
      </c>
      <c r="CF61" s="157" t="n">
        <f aca="false">IF(BX61=0,0,SPRDOPT(BY61,BZ61,$W61,$AM61,CC61,CD61,CE61,$F61,$D$19,0))</f>
        <v>0</v>
      </c>
      <c r="CG61" s="157" t="e">
        <f aca="false">IF(BY61=0,0,SPRDOPT(BY61,BZ61,$W61,$AM61,CC61,CD61,CE61,$F61,$D$19,1))</f>
        <v>#NAME?</v>
      </c>
      <c r="CH61" s="157" t="e">
        <f aca="false">IF(BZ61=0,0,SPRDOPT(BY61,BZ61,$W61,$AM61,CC61,CD61,CE61,$F61,$D$19,2))</f>
        <v>#NAME?</v>
      </c>
      <c r="CI61" s="157" t="n">
        <f aca="false">IF(CA61=0,0,SPRDOPT(BY61,BZ61,$W61,$AM61,CC61,CD61,CE61,$F61,$D$19,3)/100)</f>
        <v>0</v>
      </c>
      <c r="CJ61" s="157" t="n">
        <f aca="false">IF(CB61=0,0,SPRDOPT(BY61,BZ61,$W61,$AM61,CC61,CD61,CE61,$F61,$D$19,4)/100)</f>
        <v>0</v>
      </c>
      <c r="CK61" s="157" t="e">
        <f aca="false">IF(CC61=0,0,SPRDOPT(BY61,BZ61,$W61,$AM61,CC61,CD61,CE61,$F61,$D$19,5)/100)</f>
        <v>#NAME?</v>
      </c>
      <c r="CL61" s="157" t="e">
        <f aca="false">IF(CD61=0,0,SPRDOPT(BY61,BZ61,$W61,$AM61,CC61,CD61,CE61,$F61,$D$19,6)/100)</f>
        <v>#NAME?</v>
      </c>
      <c r="CM61" s="157" t="e">
        <f aca="false">IF(CE61=0,0,SPRDOPT(BY61,BZ61,$W61,$AM61,CC61,CD61,CE61,$F61,$D$19,7)/100)</f>
        <v>#NAME?</v>
      </c>
      <c r="CN61" s="157" t="n">
        <f aca="false">IF(CF61=0,0,SPRDOPT(BY61,BZ61,$W61,$AM61,CC61,CD61,CE61,$F61,$D$19,9)/365)</f>
        <v>0</v>
      </c>
      <c r="CO61" s="157" t="e">
        <f aca="false">CG61+CH61</f>
        <v>#NAME?</v>
      </c>
      <c r="CP61" s="157" t="n">
        <f aca="false">CJ61-CI61</f>
        <v>0</v>
      </c>
      <c r="CQ61" s="157" t="e">
        <f aca="false">((CC61/CD61)*CK61)+CL61</f>
        <v>#NAME?</v>
      </c>
      <c r="CR61" s="44"/>
      <c r="CS61" s="45" t="n">
        <f aca="false">BX61*CF61</f>
        <v>0</v>
      </c>
      <c r="CT61" s="45" t="e">
        <f aca="false">BX61*CG61</f>
        <v>#NAME?</v>
      </c>
      <c r="CU61" s="45" t="e">
        <f aca="false">BX61*CH61</f>
        <v>#NAME?</v>
      </c>
      <c r="CV61" s="45" t="n">
        <f aca="false">BX61*CI61</f>
        <v>0</v>
      </c>
      <c r="CW61" s="45" t="n">
        <f aca="false">BX61*CJ61</f>
        <v>0</v>
      </c>
      <c r="CX61" s="45" t="e">
        <f aca="false">BX61*CK61</f>
        <v>#NAME?</v>
      </c>
      <c r="CY61" s="45" t="e">
        <f aca="false">BX61*CL61</f>
        <v>#NAME?</v>
      </c>
      <c r="CZ61" s="45" t="e">
        <f aca="false">BX61*CM61</f>
        <v>#NAME?</v>
      </c>
      <c r="DA61" s="45" t="n">
        <f aca="false">BX61*CN61</f>
        <v>0</v>
      </c>
      <c r="DB61" s="45" t="e">
        <f aca="false">BX61*CO61</f>
        <v>#NAME?</v>
      </c>
      <c r="DC61" s="45" t="n">
        <f aca="false">BX61*CP61</f>
        <v>0</v>
      </c>
      <c r="DD61" s="45" t="e">
        <f aca="false">BX61*CQ61</f>
        <v>#NAME?</v>
      </c>
      <c r="DF61" s="9" t="n">
        <f aca="false">IF($A61&gt;=DH$32,IF($A61&lt;=DH$33,$AN61,0),0)</f>
        <v>0</v>
      </c>
      <c r="DG61" s="123" t="n">
        <f aca="false">$B61+$Y61+$F$12</f>
        <v>3.5725</v>
      </c>
      <c r="DH61" s="123" t="n">
        <f aca="false">$B61+$Z61+$F$13</f>
        <v>3.705</v>
      </c>
      <c r="DI61" s="123" t="n">
        <f aca="false">DG61*DF61</f>
        <v>0</v>
      </c>
      <c r="DJ61" s="123" t="n">
        <f aca="false">DH61*DF61</f>
        <v>0</v>
      </c>
      <c r="DK61" s="156" t="n">
        <f aca="false">($C61*$AA61)+$F$14</f>
        <v>0.29</v>
      </c>
      <c r="DL61" s="156" t="n">
        <f aca="false">($C61*$AB61)+$F$15</f>
        <v>0.29</v>
      </c>
      <c r="DM61" s="131" t="n">
        <f aca="false">$AC61+$F$16</f>
        <v>0.995</v>
      </c>
      <c r="DN61" s="157" t="n">
        <f aca="false">IF(DF61=0,0,SPRDOPT(DG61,DH61,$AD61,$AM61,DK61,DL61,DM61,$F61,$F$19,0))</f>
        <v>0</v>
      </c>
      <c r="DO61" s="157" t="e">
        <f aca="false">IF(DG61=0,0,SPRDOPT(DG61,DH61,$AD61,$AM61,DK61,DL61,DM61,$F61,$F$19,1))</f>
        <v>#NAME?</v>
      </c>
      <c r="DP61" s="157" t="e">
        <f aca="false">IF(DH61=0,0,SPRDOPT(DG61,DH61,$AD61,$AM61,DK61,DL61,DM61,$F61,$F$19,2))</f>
        <v>#NAME?</v>
      </c>
      <c r="DQ61" s="157" t="n">
        <f aca="false">IF(DI61=0,0,SPRDOPT(DG61,DH61,$AD61,$AM61,DK61,DL61,DM61,$F61,$F$19,3)/100)</f>
        <v>0</v>
      </c>
      <c r="DR61" s="157" t="n">
        <f aca="false">IF(DJ61=0,0,SPRDOPT(DG61,DH61,$AD61,$AM61,DK61,DL61,DM61,$F61,$F$19,4)/100)</f>
        <v>0</v>
      </c>
      <c r="DS61" s="157" t="e">
        <f aca="false">IF(DK61=0,0,SPRDOPT(DG61,DH61,$AD61,$AM61,DK61,DL61,DM61,$F61,$F$19,5)/100)</f>
        <v>#NAME?</v>
      </c>
      <c r="DT61" s="157" t="e">
        <f aca="false">IF(DL61=0,0,SPRDOPT(DG61,DH61,$AD61,$AM61,DK61,DL61,DM61,$F61,$F$19,6)/100)</f>
        <v>#NAME?</v>
      </c>
      <c r="DU61" s="157" t="e">
        <f aca="false">IF(DM61=0,0,SPRDOPT(DG61,DH61,$AD61,$AM61,DK61,DL61,DM61,$F61,$F$19,7)/100)</f>
        <v>#NAME?</v>
      </c>
      <c r="DV61" s="157" t="n">
        <f aca="false">IF(DN61=0,0,SPRDOPT(DG61,DH61,$AD61,$AM61,DK61,DL61,DM61,$F61,$F$19,9)/365)</f>
        <v>0</v>
      </c>
      <c r="DW61" s="157" t="e">
        <f aca="false">DO61+DP61</f>
        <v>#NAME?</v>
      </c>
      <c r="DX61" s="157" t="n">
        <f aca="false">DR61-DQ61</f>
        <v>0</v>
      </c>
      <c r="DY61" s="157" t="e">
        <f aca="false">((DK61/DL61)*DS61)+DT61</f>
        <v>#NAME?</v>
      </c>
      <c r="DZ61" s="44"/>
      <c r="EA61" s="45" t="n">
        <f aca="false">DF61*DN61</f>
        <v>0</v>
      </c>
      <c r="EB61" s="45" t="e">
        <f aca="false">DF61*DO61</f>
        <v>#NAME?</v>
      </c>
      <c r="EC61" s="45" t="e">
        <f aca="false">DF61*DP61</f>
        <v>#NAME?</v>
      </c>
      <c r="ED61" s="45" t="n">
        <f aca="false">DF61*DQ61</f>
        <v>0</v>
      </c>
      <c r="EE61" s="45" t="n">
        <f aca="false">DF61*DR61</f>
        <v>0</v>
      </c>
      <c r="EF61" s="45" t="e">
        <f aca="false">DF61*DS61</f>
        <v>#NAME?</v>
      </c>
      <c r="EG61" s="45" t="e">
        <f aca="false">DF61*DT61</f>
        <v>#NAME?</v>
      </c>
      <c r="EH61" s="45" t="e">
        <f aca="false">DF61*DU61</f>
        <v>#NAME?</v>
      </c>
      <c r="EI61" s="45" t="n">
        <f aca="false">DF61*DV61</f>
        <v>0</v>
      </c>
      <c r="EJ61" s="45" t="e">
        <f aca="false">DF61*DW61</f>
        <v>#NAME?</v>
      </c>
      <c r="EK61" s="45" t="n">
        <f aca="false">DF61*DX61</f>
        <v>0</v>
      </c>
      <c r="EL61" s="45" t="e">
        <f aca="false">DF61*DY61</f>
        <v>#NAME?</v>
      </c>
      <c r="EN61" s="9" t="n">
        <f aca="false">IF($A61&gt;=EP$32,IF($A61&lt;=EP$33,$AN61,0),0)</f>
        <v>0</v>
      </c>
      <c r="EO61" s="123" t="n">
        <f aca="false">$B61+$AF61+$H$12</f>
        <v>3.755</v>
      </c>
      <c r="EP61" s="123" t="n">
        <f aca="false">$B61+$AG61+$H$13</f>
        <v>3.705</v>
      </c>
      <c r="EQ61" s="123" t="n">
        <f aca="false">EO61*EN61</f>
        <v>0</v>
      </c>
      <c r="ER61" s="123" t="n">
        <f aca="false">EP61*EN61</f>
        <v>0</v>
      </c>
      <c r="ES61" s="156" t="n">
        <f aca="false">($C61*$AH61)+$H$14</f>
        <v>0.29</v>
      </c>
      <c r="ET61" s="156" t="n">
        <f aca="false">($C61*$AI61)+$H$15</f>
        <v>0.29</v>
      </c>
      <c r="EU61" s="131" t="n">
        <f aca="false">$AJ61+$H$16</f>
        <v>0.994071440191916</v>
      </c>
      <c r="EV61" s="157" t="n">
        <f aca="false">IF(EN61=0,0,SPRDOPT(EO61,EP61,$AK61,$AM61,ES61,ET61,EU61,$F61,$H$19,0))</f>
        <v>0</v>
      </c>
      <c r="EW61" s="157" t="e">
        <f aca="false">IF(EO61=0,0,SPRDOPT(EO61,EP61,$AK61,$AM61,ES61,ET61,EU61,$F61,$H$19,1))</f>
        <v>#NAME?</v>
      </c>
      <c r="EX61" s="157" t="e">
        <f aca="false">IF(EP61=0,0,SPRDOPT(EO61,EP61,$AK61,$AM61,ES61,ET61,EU61,$F61,$H$19,2))</f>
        <v>#NAME?</v>
      </c>
      <c r="EY61" s="157" t="n">
        <f aca="false">IF(EQ61=0,0,SPRDOPT(EO61,EP61,$AK61,$AM61,ES61,ET61,EU61,$F61,$H$19,3)/100)</f>
        <v>0</v>
      </c>
      <c r="EZ61" s="157" t="n">
        <f aca="false">IF(ER61=0,0,SPRDOPT(EO61,EP61,$AK61,$AM61,ES61,ET61,EU61,$F61,$H$19,4)/100)</f>
        <v>0</v>
      </c>
      <c r="FA61" s="157" t="e">
        <f aca="false">IF(ES61=0,0,SPRDOPT(EO61,EP61,$AK61,$AM61,ES61,ET61,EU61,$F61,$H$19,5)/100)</f>
        <v>#NAME?</v>
      </c>
      <c r="FB61" s="157" t="e">
        <f aca="false">IF(ET61=0,0,SPRDOPT(EO61,EP61,$AK61,$AM61,ES61,ET61,EU61,$F61,$H$19,6)/100)</f>
        <v>#NAME?</v>
      </c>
      <c r="FC61" s="157" t="e">
        <f aca="false">IF(EU61=0,0,SPRDOPT(EO61,EP61,$AK61,$AM61,ES61,ET61,EU61,$F61,$H$19,7)/100)</f>
        <v>#NAME?</v>
      </c>
      <c r="FD61" s="157" t="n">
        <f aca="false">IF(EV61=0,0,SPRDOPT(EO61,EP61,$AK61,$AM61,ES61,ET61,EU61,$F61,$H$19,9)/365)</f>
        <v>0</v>
      </c>
      <c r="FE61" s="157" t="e">
        <f aca="false">EW61+EX61</f>
        <v>#NAME?</v>
      </c>
      <c r="FF61" s="157" t="n">
        <f aca="false">EZ61-EY61</f>
        <v>0</v>
      </c>
      <c r="FG61" s="157" t="e">
        <f aca="false">((ES61/ET61)*FA61)+FB61</f>
        <v>#NAME?</v>
      </c>
      <c r="FH61" s="44"/>
      <c r="FI61" s="45" t="n">
        <f aca="false">$EN61*EV61</f>
        <v>0</v>
      </c>
      <c r="FJ61" s="45" t="e">
        <f aca="false">$EN61*EW61</f>
        <v>#NAME?</v>
      </c>
      <c r="FK61" s="45" t="e">
        <f aca="false">$EN61*EX61</f>
        <v>#NAME?</v>
      </c>
      <c r="FL61" s="45" t="n">
        <f aca="false">$EN61*EY61</f>
        <v>0</v>
      </c>
      <c r="FM61" s="45" t="n">
        <f aca="false">$EN61*EZ61</f>
        <v>0</v>
      </c>
      <c r="FN61" s="45" t="e">
        <f aca="false">$EN61*FA61</f>
        <v>#NAME?</v>
      </c>
      <c r="FO61" s="45" t="e">
        <f aca="false">$EN61*FB61</f>
        <v>#NAME?</v>
      </c>
      <c r="FP61" s="45" t="e">
        <f aca="false">$EN61*FC61</f>
        <v>#NAME?</v>
      </c>
      <c r="FQ61" s="45" t="n">
        <f aca="false">$EN61*FD61</f>
        <v>0</v>
      </c>
      <c r="FR61" s="45" t="e">
        <f aca="false">$EN61*FE61</f>
        <v>#NAME?</v>
      </c>
      <c r="FS61" s="45" t="n">
        <f aca="false">$EN61*FF61</f>
        <v>0</v>
      </c>
      <c r="FT61" s="45" t="e">
        <f aca="false">$EN61*FG61</f>
        <v>#NAME?</v>
      </c>
    </row>
    <row r="62" customFormat="false" ht="12.75" hidden="false" customHeight="false" outlineLevel="0" collapsed="false">
      <c r="A62" s="48" t="n">
        <f aca="false">DATE(YEAR(A61),MONTH(A61)+1,1)</f>
        <v>37530</v>
      </c>
      <c r="B62" s="40"/>
      <c r="C62" s="4"/>
      <c r="D62" s="40"/>
      <c r="E62" s="131"/>
      <c r="F62" s="136"/>
      <c r="G62" s="4"/>
      <c r="H62" s="4"/>
      <c r="I62" s="41"/>
      <c r="J62" s="154"/>
      <c r="K62" s="40"/>
      <c r="L62" s="40"/>
      <c r="M62" s="131"/>
      <c r="N62" s="131"/>
      <c r="O62" s="131"/>
      <c r="P62" s="131"/>
      <c r="Q62" s="131"/>
      <c r="R62" s="40"/>
      <c r="S62" s="40"/>
      <c r="T62" s="131"/>
      <c r="U62" s="131"/>
      <c r="V62" s="131"/>
      <c r="W62" s="131"/>
      <c r="X62" s="131"/>
      <c r="Y62" s="40"/>
      <c r="Z62" s="40"/>
      <c r="AA62" s="131"/>
      <c r="AB62" s="131"/>
      <c r="AC62" s="131"/>
      <c r="AD62" s="131"/>
      <c r="AE62" s="131"/>
      <c r="AF62" s="40"/>
      <c r="AG62" s="40"/>
      <c r="AH62" s="131"/>
      <c r="AI62" s="131"/>
      <c r="AJ62" s="131"/>
      <c r="AK62" s="131"/>
      <c r="AM62" s="4"/>
      <c r="AN62" s="43"/>
    </row>
    <row r="63" customFormat="false" ht="12.75" hidden="false" customHeight="false" outlineLevel="0" collapsed="false">
      <c r="A63" s="48"/>
      <c r="B63" s="40"/>
      <c r="C63" s="4"/>
      <c r="D63" s="40"/>
      <c r="E63" s="131"/>
      <c r="F63" s="136"/>
      <c r="G63" s="4"/>
      <c r="H63" s="4"/>
      <c r="I63" s="41"/>
      <c r="J63" s="154"/>
      <c r="K63" s="40"/>
      <c r="L63" s="40"/>
      <c r="M63" s="131"/>
      <c r="N63" s="131"/>
      <c r="O63" s="131"/>
      <c r="P63" s="131"/>
      <c r="Q63" s="131"/>
      <c r="R63" s="40"/>
      <c r="S63" s="40"/>
      <c r="T63" s="131"/>
      <c r="U63" s="131"/>
      <c r="V63" s="131"/>
      <c r="W63" s="131"/>
      <c r="X63" s="131"/>
      <c r="Y63" s="40"/>
      <c r="Z63" s="40"/>
      <c r="AA63" s="131"/>
      <c r="AB63" s="131"/>
      <c r="AC63" s="131"/>
      <c r="AD63" s="131"/>
      <c r="AE63" s="131"/>
      <c r="AF63" s="40"/>
      <c r="AG63" s="40"/>
      <c r="AH63" s="131"/>
      <c r="AI63" s="131"/>
      <c r="AJ63" s="131"/>
      <c r="AK63" s="131"/>
      <c r="AM63" s="4"/>
      <c r="AN63" s="43"/>
    </row>
    <row r="64" customFormat="false" ht="12.75" hidden="false" customHeight="false" outlineLevel="0" collapsed="false">
      <c r="A64" s="48"/>
      <c r="B64" s="40"/>
      <c r="C64" s="4"/>
      <c r="D64" s="40"/>
      <c r="E64" s="131"/>
      <c r="F64" s="136"/>
      <c r="G64" s="4"/>
      <c r="H64" s="4"/>
      <c r="I64" s="41"/>
      <c r="J64" s="154"/>
      <c r="K64" s="40"/>
      <c r="L64" s="40"/>
      <c r="M64" s="131"/>
      <c r="N64" s="131"/>
      <c r="O64" s="131"/>
      <c r="P64" s="131"/>
      <c r="Q64" s="131"/>
      <c r="R64" s="40"/>
      <c r="S64" s="40"/>
      <c r="T64" s="131"/>
      <c r="U64" s="131"/>
      <c r="V64" s="131"/>
      <c r="W64" s="131"/>
      <c r="X64" s="131"/>
      <c r="Y64" s="40"/>
      <c r="Z64" s="40"/>
      <c r="AA64" s="131"/>
      <c r="AB64" s="131"/>
      <c r="AC64" s="131"/>
      <c r="AD64" s="131"/>
      <c r="AE64" s="131"/>
      <c r="AF64" s="40"/>
      <c r="AG64" s="40"/>
      <c r="AH64" s="131"/>
      <c r="AI64" s="131"/>
      <c r="AJ64" s="131"/>
      <c r="AK64" s="131"/>
      <c r="AM64" s="4"/>
      <c r="AN64" s="43"/>
    </row>
    <row r="65" customFormat="false" ht="12.75" hidden="false" customHeight="false" outlineLevel="0" collapsed="false">
      <c r="A65" s="48"/>
      <c r="B65" s="40"/>
      <c r="C65" s="4"/>
      <c r="D65" s="40"/>
      <c r="E65" s="131"/>
      <c r="F65" s="136"/>
      <c r="G65" s="4"/>
      <c r="H65" s="4"/>
      <c r="I65" s="41"/>
      <c r="J65" s="154"/>
      <c r="K65" s="40"/>
      <c r="L65" s="40"/>
      <c r="M65" s="131"/>
      <c r="N65" s="131"/>
      <c r="O65" s="131"/>
      <c r="P65" s="131"/>
      <c r="Q65" s="131"/>
      <c r="R65" s="40"/>
      <c r="S65" s="40"/>
      <c r="T65" s="131"/>
      <c r="U65" s="131"/>
      <c r="V65" s="131"/>
      <c r="W65" s="131"/>
      <c r="X65" s="131"/>
      <c r="Y65" s="40"/>
      <c r="Z65" s="40"/>
      <c r="AA65" s="131"/>
      <c r="AB65" s="131"/>
      <c r="AC65" s="131"/>
      <c r="AD65" s="131"/>
      <c r="AE65" s="131"/>
      <c r="AF65" s="40"/>
      <c r="AG65" s="40"/>
      <c r="AH65" s="131"/>
      <c r="AI65" s="131"/>
      <c r="AJ65" s="131"/>
      <c r="AK65" s="131"/>
      <c r="AM65" s="4"/>
      <c r="AN65" s="43"/>
    </row>
    <row r="66" customFormat="false" ht="12.75" hidden="false" customHeight="false" outlineLevel="0" collapsed="false">
      <c r="A66" s="48"/>
      <c r="B66" s="40"/>
      <c r="C66" s="4"/>
      <c r="D66" s="40"/>
      <c r="E66" s="131"/>
      <c r="F66" s="136"/>
      <c r="G66" s="4"/>
      <c r="H66" s="4"/>
      <c r="I66" s="41"/>
      <c r="J66" s="154"/>
      <c r="K66" s="40"/>
      <c r="L66" s="40"/>
      <c r="M66" s="131"/>
      <c r="N66" s="131"/>
      <c r="O66" s="131"/>
      <c r="P66" s="131"/>
      <c r="Q66" s="131"/>
      <c r="R66" s="40"/>
      <c r="S66" s="40"/>
      <c r="T66" s="131"/>
      <c r="U66" s="131"/>
      <c r="V66" s="131"/>
      <c r="W66" s="131"/>
      <c r="X66" s="131"/>
      <c r="Y66" s="40"/>
      <c r="Z66" s="40"/>
      <c r="AA66" s="131"/>
      <c r="AB66" s="131"/>
      <c r="AC66" s="131"/>
      <c r="AD66" s="131"/>
      <c r="AE66" s="131"/>
      <c r="AF66" s="40"/>
      <c r="AG66" s="40"/>
      <c r="AH66" s="131"/>
      <c r="AI66" s="131"/>
      <c r="AJ66" s="131"/>
      <c r="AK66" s="131"/>
      <c r="AM66" s="4"/>
      <c r="AN66" s="43"/>
    </row>
    <row r="67" customFormat="false" ht="12.75" hidden="false" customHeight="false" outlineLevel="0" collapsed="false">
      <c r="A67" s="48"/>
      <c r="B67" s="40"/>
      <c r="C67" s="4"/>
      <c r="D67" s="40"/>
      <c r="E67" s="131"/>
      <c r="F67" s="136"/>
      <c r="G67" s="4"/>
      <c r="H67" s="4"/>
      <c r="I67" s="41"/>
      <c r="J67" s="154"/>
      <c r="K67" s="40"/>
      <c r="L67" s="40"/>
      <c r="M67" s="131"/>
      <c r="N67" s="131"/>
      <c r="O67" s="131"/>
      <c r="P67" s="131"/>
      <c r="Q67" s="131"/>
      <c r="R67" s="40"/>
      <c r="S67" s="40"/>
      <c r="T67" s="131"/>
      <c r="U67" s="131"/>
      <c r="V67" s="131"/>
      <c r="W67" s="131"/>
      <c r="X67" s="131"/>
      <c r="Y67" s="40"/>
      <c r="Z67" s="40"/>
      <c r="AA67" s="131"/>
      <c r="AB67" s="131"/>
      <c r="AC67" s="131"/>
      <c r="AD67" s="131"/>
      <c r="AE67" s="131"/>
      <c r="AF67" s="40"/>
      <c r="AG67" s="40"/>
      <c r="AH67" s="131"/>
      <c r="AI67" s="131"/>
      <c r="AJ67" s="131"/>
      <c r="AK67" s="131"/>
      <c r="AM67" s="4"/>
      <c r="AN67" s="43"/>
    </row>
    <row r="68" customFormat="false" ht="12.75" hidden="false" customHeight="false" outlineLevel="0" collapsed="false">
      <c r="A68" s="48"/>
      <c r="B68" s="40"/>
      <c r="C68" s="4"/>
      <c r="D68" s="40"/>
      <c r="E68" s="131"/>
      <c r="F68" s="136"/>
      <c r="G68" s="4"/>
      <c r="H68" s="4"/>
      <c r="I68" s="41"/>
      <c r="J68" s="154"/>
      <c r="K68" s="40"/>
      <c r="L68" s="40"/>
      <c r="M68" s="131"/>
      <c r="N68" s="131"/>
      <c r="O68" s="131"/>
      <c r="P68" s="131"/>
      <c r="Q68" s="131"/>
      <c r="R68" s="40"/>
      <c r="S68" s="40"/>
      <c r="T68" s="131"/>
      <c r="U68" s="131"/>
      <c r="V68" s="131"/>
      <c r="W68" s="131"/>
      <c r="X68" s="131"/>
      <c r="Y68" s="40"/>
      <c r="Z68" s="40"/>
      <c r="AA68" s="131"/>
      <c r="AB68" s="131"/>
      <c r="AC68" s="131"/>
      <c r="AD68" s="131"/>
      <c r="AE68" s="131"/>
      <c r="AF68" s="40"/>
      <c r="AG68" s="40"/>
      <c r="AH68" s="131"/>
      <c r="AI68" s="131"/>
      <c r="AJ68" s="131"/>
      <c r="AK68" s="131"/>
      <c r="AM68" s="4"/>
      <c r="AN68" s="43"/>
    </row>
    <row r="69" customFormat="false" ht="12.75" hidden="false" customHeight="false" outlineLevel="0" collapsed="false">
      <c r="A69" s="48"/>
      <c r="B69" s="40"/>
      <c r="C69" s="4"/>
      <c r="D69" s="40"/>
      <c r="E69" s="131"/>
      <c r="F69" s="136"/>
      <c r="G69" s="4"/>
      <c r="H69" s="4"/>
      <c r="I69" s="41"/>
      <c r="J69" s="154"/>
      <c r="K69" s="40"/>
      <c r="L69" s="40"/>
      <c r="M69" s="131"/>
      <c r="N69" s="131"/>
      <c r="O69" s="131"/>
      <c r="P69" s="131"/>
      <c r="Q69" s="131"/>
      <c r="R69" s="40"/>
      <c r="S69" s="40"/>
      <c r="T69" s="131"/>
      <c r="U69" s="131"/>
      <c r="V69" s="131"/>
      <c r="W69" s="131"/>
      <c r="X69" s="131"/>
      <c r="Y69" s="40"/>
      <c r="Z69" s="40"/>
      <c r="AA69" s="131"/>
      <c r="AB69" s="131"/>
      <c r="AC69" s="131"/>
      <c r="AD69" s="131"/>
      <c r="AE69" s="131"/>
      <c r="AF69" s="40"/>
      <c r="AG69" s="40"/>
      <c r="AH69" s="131"/>
      <c r="AI69" s="131"/>
      <c r="AJ69" s="131"/>
      <c r="AK69" s="131"/>
      <c r="AM69" s="4"/>
      <c r="AN69" s="43"/>
    </row>
    <row r="70" customFormat="false" ht="12.75" hidden="false" customHeight="false" outlineLevel="0" collapsed="false">
      <c r="A70" s="48"/>
      <c r="B70" s="40"/>
      <c r="C70" s="4"/>
      <c r="D70" s="40"/>
      <c r="E70" s="131"/>
      <c r="F70" s="136"/>
      <c r="G70" s="4"/>
      <c r="H70" s="4"/>
      <c r="I70" s="41"/>
      <c r="J70" s="154"/>
      <c r="K70" s="40"/>
      <c r="L70" s="40"/>
      <c r="M70" s="131"/>
      <c r="N70" s="131"/>
      <c r="O70" s="131"/>
      <c r="P70" s="131"/>
      <c r="Q70" s="131"/>
      <c r="R70" s="40"/>
      <c r="S70" s="40"/>
      <c r="T70" s="131"/>
      <c r="U70" s="131"/>
      <c r="V70" s="131"/>
      <c r="W70" s="131"/>
      <c r="X70" s="131"/>
      <c r="Y70" s="40"/>
      <c r="Z70" s="40"/>
      <c r="AA70" s="131"/>
      <c r="AB70" s="131"/>
      <c r="AC70" s="131"/>
      <c r="AD70" s="131"/>
      <c r="AE70" s="131"/>
      <c r="AF70" s="40"/>
      <c r="AG70" s="40"/>
      <c r="AH70" s="131"/>
      <c r="AI70" s="131"/>
      <c r="AJ70" s="131"/>
      <c r="AK70" s="131"/>
      <c r="AM70" s="4"/>
      <c r="AN70" s="43"/>
    </row>
    <row r="71" customFormat="false" ht="12.75" hidden="false" customHeight="false" outlineLevel="0" collapsed="false">
      <c r="A71" s="48"/>
      <c r="B71" s="40"/>
      <c r="C71" s="4"/>
      <c r="D71" s="40"/>
      <c r="E71" s="131"/>
      <c r="F71" s="136"/>
      <c r="G71" s="4"/>
      <c r="H71" s="4"/>
      <c r="I71" s="41"/>
      <c r="J71" s="154"/>
      <c r="K71" s="40"/>
      <c r="L71" s="40"/>
      <c r="M71" s="131"/>
      <c r="N71" s="131"/>
      <c r="O71" s="131"/>
      <c r="P71" s="131"/>
      <c r="Q71" s="131"/>
      <c r="R71" s="40"/>
      <c r="S71" s="40"/>
      <c r="T71" s="131"/>
      <c r="U71" s="131"/>
      <c r="V71" s="131"/>
      <c r="W71" s="131"/>
      <c r="X71" s="131"/>
      <c r="Y71" s="40"/>
      <c r="Z71" s="40"/>
      <c r="AA71" s="131"/>
      <c r="AB71" s="131"/>
      <c r="AC71" s="131"/>
      <c r="AD71" s="131"/>
      <c r="AE71" s="131"/>
      <c r="AF71" s="40"/>
      <c r="AG71" s="40"/>
      <c r="AH71" s="131"/>
      <c r="AI71" s="131"/>
      <c r="AJ71" s="131"/>
      <c r="AK71" s="131"/>
      <c r="AM71" s="4"/>
      <c r="AN71" s="43"/>
    </row>
    <row r="72" customFormat="false" ht="12.75" hidden="false" customHeight="false" outlineLevel="0" collapsed="false">
      <c r="A72" s="48"/>
      <c r="B72" s="40"/>
      <c r="C72" s="4"/>
      <c r="D72" s="40"/>
      <c r="E72" s="131"/>
      <c r="F72" s="136"/>
      <c r="G72" s="4"/>
      <c r="H72" s="4"/>
      <c r="I72" s="41"/>
      <c r="J72" s="154"/>
      <c r="K72" s="40"/>
      <c r="L72" s="40"/>
      <c r="M72" s="131"/>
      <c r="N72" s="131"/>
      <c r="O72" s="131"/>
      <c r="P72" s="131"/>
      <c r="Q72" s="131"/>
      <c r="R72" s="40"/>
      <c r="S72" s="40"/>
      <c r="T72" s="131"/>
      <c r="U72" s="131"/>
      <c r="V72" s="131"/>
      <c r="W72" s="131"/>
      <c r="X72" s="131"/>
      <c r="Y72" s="40"/>
      <c r="Z72" s="40"/>
      <c r="AA72" s="131"/>
      <c r="AB72" s="131"/>
      <c r="AC72" s="131"/>
      <c r="AD72" s="131"/>
      <c r="AE72" s="131"/>
      <c r="AF72" s="40"/>
      <c r="AG72" s="40"/>
      <c r="AH72" s="131"/>
      <c r="AI72" s="131"/>
      <c r="AJ72" s="131"/>
      <c r="AK72" s="131"/>
      <c r="AM72" s="4"/>
      <c r="AN72" s="43"/>
    </row>
    <row r="73" customFormat="false" ht="12.75" hidden="false" customHeight="false" outlineLevel="0" collapsed="false">
      <c r="A73" s="48"/>
      <c r="B73" s="40"/>
      <c r="C73" s="4"/>
      <c r="D73" s="40"/>
      <c r="E73" s="131"/>
      <c r="F73" s="136"/>
      <c r="G73" s="4"/>
      <c r="H73" s="4"/>
      <c r="I73" s="41"/>
      <c r="J73" s="154"/>
      <c r="K73" s="40"/>
      <c r="L73" s="40"/>
      <c r="M73" s="131"/>
      <c r="N73" s="131"/>
      <c r="O73" s="131"/>
      <c r="P73" s="131"/>
      <c r="Q73" s="131"/>
      <c r="R73" s="40"/>
      <c r="S73" s="40"/>
      <c r="T73" s="131"/>
      <c r="U73" s="131"/>
      <c r="V73" s="131"/>
      <c r="W73" s="131"/>
      <c r="X73" s="131"/>
      <c r="Y73" s="40"/>
      <c r="Z73" s="40"/>
      <c r="AA73" s="131"/>
      <c r="AB73" s="131"/>
      <c r="AC73" s="131"/>
      <c r="AD73" s="131"/>
      <c r="AE73" s="131"/>
      <c r="AF73" s="40"/>
      <c r="AG73" s="40"/>
      <c r="AH73" s="131"/>
      <c r="AI73" s="131"/>
      <c r="AJ73" s="131"/>
      <c r="AK73" s="131"/>
      <c r="AM73" s="4"/>
      <c r="AN73" s="43"/>
    </row>
    <row r="74" customFormat="false" ht="12.75" hidden="false" customHeight="false" outlineLevel="0" collapsed="false">
      <c r="A74" s="48"/>
      <c r="B74" s="40"/>
      <c r="C74" s="4"/>
      <c r="D74" s="40"/>
      <c r="E74" s="131"/>
      <c r="F74" s="136"/>
      <c r="G74" s="4"/>
      <c r="H74" s="4"/>
      <c r="I74" s="41"/>
      <c r="J74" s="154"/>
      <c r="K74" s="40"/>
      <c r="L74" s="40"/>
      <c r="M74" s="131"/>
      <c r="N74" s="131"/>
      <c r="O74" s="131"/>
      <c r="P74" s="131"/>
      <c r="Q74" s="131"/>
      <c r="R74" s="40"/>
      <c r="S74" s="40"/>
      <c r="T74" s="131"/>
      <c r="U74" s="131"/>
      <c r="V74" s="131"/>
      <c r="W74" s="131"/>
      <c r="X74" s="131"/>
      <c r="Y74" s="40"/>
      <c r="Z74" s="40"/>
      <c r="AA74" s="131"/>
      <c r="AB74" s="131"/>
      <c r="AC74" s="131"/>
      <c r="AD74" s="131"/>
      <c r="AE74" s="131"/>
      <c r="AF74" s="40"/>
      <c r="AG74" s="40"/>
      <c r="AH74" s="131"/>
      <c r="AI74" s="131"/>
      <c r="AJ74" s="131"/>
      <c r="AK74" s="131"/>
      <c r="AM74" s="4"/>
      <c r="AN74" s="43"/>
    </row>
    <row r="75" customFormat="false" ht="12.75" hidden="false" customHeight="false" outlineLevel="0" collapsed="false">
      <c r="A75" s="48"/>
      <c r="B75" s="40"/>
      <c r="C75" s="4"/>
      <c r="D75" s="40"/>
      <c r="E75" s="131"/>
      <c r="F75" s="136"/>
      <c r="G75" s="4"/>
      <c r="H75" s="4"/>
      <c r="I75" s="41"/>
      <c r="J75" s="154"/>
      <c r="K75" s="40"/>
      <c r="L75" s="40"/>
      <c r="M75" s="131"/>
      <c r="N75" s="131"/>
      <c r="O75" s="131"/>
      <c r="P75" s="131"/>
      <c r="Q75" s="131"/>
      <c r="R75" s="40"/>
      <c r="S75" s="40"/>
      <c r="T75" s="131"/>
      <c r="U75" s="131"/>
      <c r="V75" s="131"/>
      <c r="W75" s="131"/>
      <c r="X75" s="131"/>
      <c r="Y75" s="40"/>
      <c r="Z75" s="40"/>
      <c r="AA75" s="131"/>
      <c r="AB75" s="131"/>
      <c r="AC75" s="131"/>
      <c r="AD75" s="131"/>
      <c r="AE75" s="131"/>
      <c r="AF75" s="40"/>
      <c r="AG75" s="40"/>
      <c r="AH75" s="131"/>
      <c r="AI75" s="131"/>
      <c r="AJ75" s="131"/>
      <c r="AK75" s="131"/>
      <c r="AM75" s="4"/>
      <c r="AN75" s="43"/>
    </row>
    <row r="76" customFormat="false" ht="12.75" hidden="false" customHeight="false" outlineLevel="0" collapsed="false">
      <c r="A76" s="48"/>
      <c r="B76" s="40"/>
      <c r="C76" s="4"/>
      <c r="D76" s="40"/>
      <c r="E76" s="131"/>
      <c r="F76" s="136"/>
      <c r="G76" s="4"/>
      <c r="H76" s="4"/>
      <c r="I76" s="41"/>
      <c r="J76" s="154"/>
      <c r="K76" s="40"/>
      <c r="L76" s="40"/>
      <c r="M76" s="131"/>
      <c r="N76" s="131"/>
      <c r="O76" s="131"/>
      <c r="P76" s="131"/>
      <c r="Q76" s="131"/>
      <c r="R76" s="40"/>
      <c r="S76" s="40"/>
      <c r="T76" s="131"/>
      <c r="U76" s="131"/>
      <c r="V76" s="131"/>
      <c r="W76" s="131"/>
      <c r="X76" s="131"/>
      <c r="Y76" s="40"/>
      <c r="Z76" s="40"/>
      <c r="AA76" s="131"/>
      <c r="AB76" s="131"/>
      <c r="AC76" s="131"/>
      <c r="AD76" s="131"/>
      <c r="AE76" s="131"/>
      <c r="AF76" s="40"/>
      <c r="AG76" s="40"/>
      <c r="AH76" s="131"/>
      <c r="AI76" s="131"/>
      <c r="AJ76" s="131"/>
      <c r="AK76" s="131"/>
      <c r="AM76" s="4"/>
      <c r="AN76" s="43"/>
    </row>
    <row r="77" customFormat="false" ht="12.75" hidden="false" customHeight="false" outlineLevel="0" collapsed="false">
      <c r="A77" s="48"/>
      <c r="B77" s="40"/>
      <c r="C77" s="4"/>
      <c r="D77" s="40"/>
      <c r="E77" s="131"/>
      <c r="F77" s="136"/>
      <c r="G77" s="4"/>
      <c r="H77" s="4"/>
      <c r="I77" s="41"/>
      <c r="J77" s="154"/>
      <c r="K77" s="40"/>
      <c r="L77" s="40"/>
      <c r="M77" s="131"/>
      <c r="N77" s="131"/>
      <c r="O77" s="131"/>
      <c r="P77" s="131"/>
      <c r="Q77" s="131"/>
      <c r="R77" s="40"/>
      <c r="S77" s="40"/>
      <c r="T77" s="131"/>
      <c r="U77" s="131"/>
      <c r="V77" s="131"/>
      <c r="W77" s="131"/>
      <c r="X77" s="131"/>
      <c r="Y77" s="40"/>
      <c r="Z77" s="40"/>
      <c r="AA77" s="131"/>
      <c r="AB77" s="131"/>
      <c r="AC77" s="131"/>
      <c r="AD77" s="131"/>
      <c r="AE77" s="131"/>
      <c r="AF77" s="40"/>
      <c r="AG77" s="40"/>
      <c r="AH77" s="131"/>
      <c r="AI77" s="131"/>
      <c r="AJ77" s="131"/>
      <c r="AK77" s="131"/>
      <c r="AM77" s="4"/>
      <c r="AN77" s="43"/>
    </row>
    <row r="78" customFormat="false" ht="12.75" hidden="false" customHeight="false" outlineLevel="0" collapsed="false">
      <c r="A78" s="48"/>
      <c r="B78" s="40"/>
      <c r="C78" s="4"/>
      <c r="D78" s="40"/>
      <c r="E78" s="131"/>
      <c r="F78" s="136"/>
      <c r="G78" s="4"/>
      <c r="H78" s="4"/>
      <c r="I78" s="41"/>
      <c r="J78" s="154"/>
      <c r="K78" s="40"/>
      <c r="L78" s="40"/>
      <c r="M78" s="131"/>
      <c r="N78" s="131"/>
      <c r="O78" s="131"/>
      <c r="P78" s="131"/>
      <c r="Q78" s="131"/>
      <c r="R78" s="40"/>
      <c r="S78" s="40"/>
      <c r="T78" s="131"/>
      <c r="U78" s="131"/>
      <c r="V78" s="131"/>
      <c r="W78" s="131"/>
      <c r="X78" s="131"/>
      <c r="Y78" s="40"/>
      <c r="Z78" s="40"/>
      <c r="AA78" s="131"/>
      <c r="AB78" s="131"/>
      <c r="AC78" s="131"/>
      <c r="AD78" s="131"/>
      <c r="AE78" s="131"/>
      <c r="AF78" s="40"/>
      <c r="AG78" s="40"/>
      <c r="AH78" s="131"/>
      <c r="AI78" s="131"/>
      <c r="AJ78" s="131"/>
      <c r="AK78" s="131"/>
      <c r="AM78" s="4"/>
      <c r="AN78" s="43"/>
    </row>
    <row r="79" customFormat="false" ht="12.75" hidden="false" customHeight="false" outlineLevel="0" collapsed="false">
      <c r="A79" s="48"/>
      <c r="B79" s="40"/>
      <c r="C79" s="4"/>
      <c r="D79" s="40"/>
      <c r="E79" s="131"/>
      <c r="F79" s="136"/>
      <c r="G79" s="4"/>
      <c r="H79" s="4"/>
      <c r="I79" s="41"/>
      <c r="J79" s="154"/>
      <c r="K79" s="40"/>
      <c r="L79" s="40"/>
      <c r="M79" s="131"/>
      <c r="N79" s="131"/>
      <c r="O79" s="131"/>
      <c r="P79" s="131"/>
      <c r="Q79" s="131"/>
      <c r="R79" s="40"/>
      <c r="S79" s="40"/>
      <c r="T79" s="131"/>
      <c r="U79" s="131"/>
      <c r="V79" s="131"/>
      <c r="W79" s="131"/>
      <c r="X79" s="131"/>
      <c r="Y79" s="40"/>
      <c r="Z79" s="40"/>
      <c r="AA79" s="131"/>
      <c r="AB79" s="131"/>
      <c r="AC79" s="131"/>
      <c r="AD79" s="131"/>
      <c r="AE79" s="131"/>
      <c r="AF79" s="40"/>
      <c r="AG79" s="40"/>
      <c r="AH79" s="131"/>
      <c r="AI79" s="131"/>
      <c r="AJ79" s="131"/>
      <c r="AK79" s="131"/>
      <c r="AM79" s="4"/>
      <c r="AN79" s="43"/>
    </row>
    <row r="80" customFormat="false" ht="12.75" hidden="false" customHeight="false" outlineLevel="0" collapsed="false">
      <c r="A80" s="48"/>
      <c r="B80" s="40"/>
      <c r="C80" s="4"/>
      <c r="D80" s="40"/>
      <c r="E80" s="131"/>
      <c r="F80" s="136"/>
      <c r="G80" s="4"/>
      <c r="H80" s="4"/>
      <c r="I80" s="41"/>
      <c r="J80" s="154"/>
      <c r="K80" s="40"/>
      <c r="L80" s="40"/>
      <c r="M80" s="131"/>
      <c r="N80" s="131"/>
      <c r="O80" s="131"/>
      <c r="P80" s="131"/>
      <c r="Q80" s="131"/>
      <c r="R80" s="40"/>
      <c r="S80" s="40"/>
      <c r="T80" s="131"/>
      <c r="U80" s="131"/>
      <c r="V80" s="131"/>
      <c r="W80" s="131"/>
      <c r="X80" s="131"/>
      <c r="Y80" s="40"/>
      <c r="Z80" s="40"/>
      <c r="AA80" s="131"/>
      <c r="AB80" s="131"/>
      <c r="AC80" s="131"/>
      <c r="AD80" s="131"/>
      <c r="AE80" s="131"/>
      <c r="AF80" s="40"/>
      <c r="AG80" s="40"/>
      <c r="AH80" s="131"/>
      <c r="AI80" s="131"/>
      <c r="AJ80" s="131"/>
      <c r="AK80" s="131"/>
      <c r="AM80" s="4"/>
      <c r="AN80" s="43"/>
    </row>
    <row r="81" customFormat="false" ht="12.75" hidden="false" customHeight="false" outlineLevel="0" collapsed="false">
      <c r="A81" s="48"/>
      <c r="B81" s="40"/>
      <c r="C81" s="4"/>
      <c r="D81" s="40"/>
      <c r="E81" s="131"/>
      <c r="F81" s="136"/>
      <c r="G81" s="4"/>
      <c r="H81" s="4"/>
      <c r="I81" s="41"/>
      <c r="J81" s="154"/>
      <c r="K81" s="40"/>
      <c r="L81" s="40"/>
      <c r="M81" s="131"/>
      <c r="N81" s="131"/>
      <c r="O81" s="131"/>
      <c r="P81" s="131"/>
      <c r="Q81" s="131"/>
      <c r="R81" s="40"/>
      <c r="S81" s="40"/>
      <c r="T81" s="131"/>
      <c r="U81" s="131"/>
      <c r="V81" s="131"/>
      <c r="W81" s="131"/>
      <c r="X81" s="131"/>
      <c r="Y81" s="40"/>
      <c r="Z81" s="40"/>
      <c r="AA81" s="131"/>
      <c r="AB81" s="131"/>
      <c r="AC81" s="131"/>
      <c r="AD81" s="131"/>
      <c r="AE81" s="131"/>
      <c r="AF81" s="40"/>
      <c r="AG81" s="40"/>
      <c r="AH81" s="131"/>
      <c r="AI81" s="131"/>
      <c r="AJ81" s="131"/>
      <c r="AK81" s="131"/>
      <c r="AM81" s="4"/>
      <c r="AN81" s="43"/>
    </row>
    <row r="82" customFormat="false" ht="12.75" hidden="false" customHeight="false" outlineLevel="0" collapsed="false">
      <c r="A82" s="48"/>
      <c r="B82" s="40"/>
      <c r="C82" s="4"/>
      <c r="D82" s="40"/>
      <c r="E82" s="131"/>
      <c r="F82" s="136"/>
      <c r="G82" s="4"/>
      <c r="H82" s="4"/>
      <c r="I82" s="41"/>
      <c r="J82" s="154"/>
      <c r="K82" s="40"/>
      <c r="L82" s="40"/>
      <c r="M82" s="131"/>
      <c r="N82" s="131"/>
      <c r="O82" s="131"/>
      <c r="P82" s="131"/>
      <c r="Q82" s="131"/>
      <c r="R82" s="40"/>
      <c r="S82" s="40"/>
      <c r="T82" s="131"/>
      <c r="U82" s="131"/>
      <c r="V82" s="131"/>
      <c r="W82" s="131"/>
      <c r="X82" s="131"/>
      <c r="Y82" s="40"/>
      <c r="Z82" s="40"/>
      <c r="AA82" s="131"/>
      <c r="AB82" s="131"/>
      <c r="AC82" s="131"/>
      <c r="AD82" s="131"/>
      <c r="AE82" s="131"/>
      <c r="AF82" s="40"/>
      <c r="AG82" s="40"/>
      <c r="AH82" s="131"/>
      <c r="AI82" s="131"/>
      <c r="AJ82" s="131"/>
      <c r="AK82" s="131"/>
      <c r="AM82" s="4"/>
      <c r="AN82" s="43"/>
    </row>
    <row r="83" customFormat="false" ht="12.75" hidden="false" customHeight="false" outlineLevel="0" collapsed="false">
      <c r="A83" s="48"/>
      <c r="B83" s="40"/>
      <c r="C83" s="4"/>
      <c r="D83" s="40"/>
      <c r="E83" s="131"/>
      <c r="F83" s="136"/>
      <c r="G83" s="4"/>
      <c r="H83" s="4"/>
      <c r="I83" s="41"/>
      <c r="J83" s="154"/>
      <c r="K83" s="40"/>
      <c r="L83" s="40"/>
      <c r="M83" s="131"/>
      <c r="N83" s="131"/>
      <c r="O83" s="131"/>
      <c r="P83" s="131"/>
      <c r="Q83" s="131"/>
      <c r="R83" s="40"/>
      <c r="S83" s="40"/>
      <c r="T83" s="131"/>
      <c r="U83" s="131"/>
      <c r="V83" s="131"/>
      <c r="W83" s="131"/>
      <c r="X83" s="131"/>
      <c r="Y83" s="40"/>
      <c r="Z83" s="40"/>
      <c r="AA83" s="131"/>
      <c r="AB83" s="131"/>
      <c r="AC83" s="131"/>
      <c r="AD83" s="131"/>
      <c r="AE83" s="131"/>
      <c r="AF83" s="40"/>
      <c r="AG83" s="40"/>
      <c r="AH83" s="131"/>
      <c r="AI83" s="131"/>
      <c r="AJ83" s="131"/>
      <c r="AK83" s="131"/>
      <c r="AM83" s="4"/>
      <c r="AN83" s="43"/>
    </row>
    <row r="84" customFormat="false" ht="12.75" hidden="false" customHeight="false" outlineLevel="0" collapsed="false">
      <c r="A84" s="48"/>
      <c r="B84" s="40"/>
      <c r="C84" s="4"/>
      <c r="D84" s="40"/>
      <c r="E84" s="131"/>
      <c r="F84" s="136"/>
      <c r="G84" s="4"/>
      <c r="H84" s="4"/>
      <c r="I84" s="41"/>
      <c r="J84" s="154"/>
      <c r="K84" s="40"/>
      <c r="L84" s="40"/>
      <c r="M84" s="131"/>
      <c r="N84" s="131"/>
      <c r="O84" s="131"/>
      <c r="P84" s="131"/>
      <c r="Q84" s="131"/>
      <c r="R84" s="40"/>
      <c r="S84" s="40"/>
      <c r="T84" s="131"/>
      <c r="U84" s="131"/>
      <c r="V84" s="131"/>
      <c r="W84" s="131"/>
      <c r="X84" s="131"/>
      <c r="Y84" s="40"/>
      <c r="Z84" s="40"/>
      <c r="AA84" s="131"/>
      <c r="AB84" s="131"/>
      <c r="AC84" s="131"/>
      <c r="AD84" s="131"/>
      <c r="AE84" s="131"/>
      <c r="AF84" s="40"/>
      <c r="AG84" s="40"/>
      <c r="AH84" s="131"/>
      <c r="AI84" s="131"/>
      <c r="AJ84" s="131"/>
      <c r="AK84" s="131"/>
      <c r="AM84" s="4"/>
      <c r="AN84" s="43"/>
    </row>
    <row r="85" customFormat="false" ht="12.75" hidden="false" customHeight="false" outlineLevel="0" collapsed="false">
      <c r="A85" s="48"/>
      <c r="B85" s="40"/>
      <c r="C85" s="4"/>
      <c r="D85" s="40"/>
      <c r="E85" s="131"/>
      <c r="F85" s="136"/>
      <c r="G85" s="4"/>
      <c r="H85" s="4"/>
      <c r="I85" s="41"/>
      <c r="J85" s="154"/>
      <c r="K85" s="40"/>
      <c r="L85" s="40"/>
      <c r="M85" s="131"/>
      <c r="N85" s="131"/>
      <c r="O85" s="131"/>
      <c r="P85" s="131"/>
      <c r="Q85" s="131"/>
      <c r="R85" s="40"/>
      <c r="S85" s="40"/>
      <c r="T85" s="131"/>
      <c r="U85" s="131"/>
      <c r="V85" s="131"/>
      <c r="W85" s="131"/>
      <c r="X85" s="131"/>
      <c r="Y85" s="40"/>
      <c r="Z85" s="40"/>
      <c r="AA85" s="131"/>
      <c r="AB85" s="131"/>
      <c r="AC85" s="131"/>
      <c r="AD85" s="131"/>
      <c r="AE85" s="131"/>
      <c r="AF85" s="40"/>
      <c r="AG85" s="40"/>
      <c r="AH85" s="131"/>
      <c r="AI85" s="131"/>
      <c r="AJ85" s="131"/>
      <c r="AK85" s="131"/>
      <c r="AM85" s="4"/>
      <c r="AN85" s="43"/>
    </row>
    <row r="86" customFormat="false" ht="12.75" hidden="false" customHeight="false" outlineLevel="0" collapsed="false">
      <c r="A86" s="48"/>
      <c r="B86" s="40"/>
      <c r="C86" s="4"/>
      <c r="D86" s="40"/>
      <c r="E86" s="131"/>
      <c r="F86" s="136"/>
      <c r="G86" s="4"/>
      <c r="H86" s="4"/>
      <c r="I86" s="41"/>
      <c r="J86" s="154"/>
      <c r="K86" s="40"/>
      <c r="L86" s="40"/>
      <c r="M86" s="131"/>
      <c r="N86" s="131"/>
      <c r="O86" s="131"/>
      <c r="P86" s="131"/>
      <c r="Q86" s="131"/>
      <c r="R86" s="40"/>
      <c r="S86" s="40"/>
      <c r="T86" s="131"/>
      <c r="U86" s="131"/>
      <c r="V86" s="131"/>
      <c r="W86" s="131"/>
      <c r="X86" s="131"/>
      <c r="Y86" s="40"/>
      <c r="Z86" s="40"/>
      <c r="AA86" s="131"/>
      <c r="AB86" s="131"/>
      <c r="AC86" s="131"/>
      <c r="AD86" s="131"/>
      <c r="AE86" s="131"/>
      <c r="AF86" s="40"/>
      <c r="AG86" s="40"/>
      <c r="AH86" s="131"/>
      <c r="AI86" s="131"/>
      <c r="AJ86" s="131"/>
      <c r="AK86" s="131"/>
      <c r="AM86" s="4"/>
      <c r="AN86" s="43"/>
    </row>
    <row r="87" customFormat="false" ht="12.75" hidden="false" customHeight="false" outlineLevel="0" collapsed="false">
      <c r="A87" s="48"/>
      <c r="B87" s="40"/>
      <c r="C87" s="4"/>
      <c r="D87" s="40"/>
      <c r="E87" s="131"/>
      <c r="F87" s="136"/>
      <c r="G87" s="4"/>
      <c r="H87" s="4"/>
      <c r="I87" s="41"/>
      <c r="J87" s="154"/>
      <c r="K87" s="40"/>
      <c r="L87" s="40"/>
      <c r="M87" s="131"/>
      <c r="N87" s="131"/>
      <c r="O87" s="131"/>
      <c r="P87" s="131"/>
      <c r="Q87" s="131"/>
      <c r="R87" s="40"/>
      <c r="S87" s="40"/>
      <c r="T87" s="131"/>
      <c r="U87" s="131"/>
      <c r="V87" s="131"/>
      <c r="W87" s="131"/>
      <c r="X87" s="131"/>
      <c r="Y87" s="40"/>
      <c r="Z87" s="40"/>
      <c r="AA87" s="131"/>
      <c r="AB87" s="131"/>
      <c r="AC87" s="131"/>
      <c r="AD87" s="131"/>
      <c r="AE87" s="131"/>
      <c r="AF87" s="40"/>
      <c r="AG87" s="40"/>
      <c r="AH87" s="131"/>
      <c r="AI87" s="131"/>
      <c r="AJ87" s="131"/>
      <c r="AK87" s="131"/>
      <c r="AM87" s="4"/>
      <c r="AN87" s="43"/>
    </row>
    <row r="88" customFormat="false" ht="12.75" hidden="false" customHeight="false" outlineLevel="0" collapsed="false">
      <c r="A88" s="48"/>
      <c r="B88" s="40"/>
      <c r="C88" s="4"/>
      <c r="D88" s="40"/>
      <c r="E88" s="131"/>
      <c r="F88" s="136"/>
      <c r="G88" s="4"/>
      <c r="H88" s="4"/>
      <c r="I88" s="41"/>
      <c r="J88" s="154"/>
      <c r="K88" s="40"/>
      <c r="L88" s="40"/>
      <c r="M88" s="131"/>
      <c r="N88" s="131"/>
      <c r="O88" s="131"/>
      <c r="P88" s="131"/>
      <c r="Q88" s="131"/>
      <c r="R88" s="40"/>
      <c r="S88" s="40"/>
      <c r="T88" s="131"/>
      <c r="U88" s="131"/>
      <c r="V88" s="131"/>
      <c r="W88" s="131"/>
      <c r="X88" s="131"/>
      <c r="Y88" s="40"/>
      <c r="Z88" s="40"/>
      <c r="AA88" s="131"/>
      <c r="AB88" s="131"/>
      <c r="AC88" s="131"/>
      <c r="AD88" s="131"/>
      <c r="AE88" s="131"/>
      <c r="AF88" s="40"/>
      <c r="AG88" s="40"/>
      <c r="AH88" s="131"/>
      <c r="AI88" s="131"/>
      <c r="AJ88" s="131"/>
      <c r="AK88" s="131"/>
      <c r="AM88" s="4"/>
      <c r="AN88" s="43"/>
    </row>
    <row r="89" customFormat="false" ht="12.75" hidden="false" customHeight="false" outlineLevel="0" collapsed="false">
      <c r="A89" s="48"/>
      <c r="B89" s="40"/>
      <c r="C89" s="4"/>
      <c r="D89" s="40"/>
      <c r="E89" s="131"/>
      <c r="F89" s="136"/>
      <c r="G89" s="4"/>
      <c r="H89" s="4"/>
      <c r="I89" s="41"/>
      <c r="J89" s="154"/>
      <c r="K89" s="40"/>
      <c r="L89" s="40"/>
      <c r="M89" s="131"/>
      <c r="N89" s="131"/>
      <c r="O89" s="131"/>
      <c r="P89" s="131"/>
      <c r="Q89" s="131"/>
      <c r="R89" s="40"/>
      <c r="S89" s="40"/>
      <c r="T89" s="131"/>
      <c r="U89" s="131"/>
      <c r="V89" s="131"/>
      <c r="W89" s="131"/>
      <c r="X89" s="131"/>
      <c r="Y89" s="40"/>
      <c r="Z89" s="40"/>
      <c r="AA89" s="131"/>
      <c r="AB89" s="131"/>
      <c r="AC89" s="131"/>
      <c r="AD89" s="131"/>
      <c r="AE89" s="131"/>
      <c r="AF89" s="40"/>
      <c r="AG89" s="40"/>
      <c r="AH89" s="131"/>
      <c r="AI89" s="131"/>
      <c r="AJ89" s="131"/>
      <c r="AK89" s="131"/>
      <c r="AM89" s="4"/>
      <c r="AN89" s="43"/>
    </row>
    <row r="90" customFormat="false" ht="12.75" hidden="false" customHeight="false" outlineLevel="0" collapsed="false">
      <c r="A90" s="48"/>
      <c r="B90" s="40"/>
      <c r="C90" s="4"/>
      <c r="D90" s="40"/>
      <c r="E90" s="131"/>
      <c r="F90" s="136"/>
      <c r="G90" s="4"/>
      <c r="H90" s="4"/>
      <c r="I90" s="41"/>
      <c r="J90" s="154"/>
      <c r="K90" s="40"/>
      <c r="L90" s="40"/>
      <c r="M90" s="131"/>
      <c r="N90" s="131"/>
      <c r="O90" s="131"/>
      <c r="P90" s="131"/>
      <c r="Q90" s="131"/>
      <c r="R90" s="40"/>
      <c r="S90" s="40"/>
      <c r="T90" s="131"/>
      <c r="U90" s="131"/>
      <c r="V90" s="131"/>
      <c r="W90" s="131"/>
      <c r="X90" s="131"/>
      <c r="Y90" s="40"/>
      <c r="Z90" s="40"/>
      <c r="AA90" s="131"/>
      <c r="AB90" s="131"/>
      <c r="AC90" s="131"/>
      <c r="AD90" s="131"/>
      <c r="AE90" s="131"/>
      <c r="AF90" s="40"/>
      <c r="AG90" s="40"/>
      <c r="AH90" s="131"/>
      <c r="AI90" s="131"/>
      <c r="AJ90" s="131"/>
      <c r="AK90" s="131"/>
      <c r="AM90" s="4"/>
      <c r="AN90" s="43"/>
    </row>
    <row r="91" customFormat="false" ht="12.75" hidden="false" customHeight="false" outlineLevel="0" collapsed="false">
      <c r="A91" s="48"/>
      <c r="B91" s="40"/>
      <c r="C91" s="4"/>
      <c r="D91" s="40"/>
      <c r="E91" s="131"/>
      <c r="F91" s="136"/>
      <c r="G91" s="4"/>
      <c r="H91" s="4"/>
      <c r="I91" s="41"/>
      <c r="J91" s="154"/>
      <c r="K91" s="40"/>
      <c r="L91" s="40"/>
      <c r="M91" s="131"/>
      <c r="N91" s="131"/>
      <c r="O91" s="131"/>
      <c r="P91" s="131"/>
      <c r="Q91" s="131"/>
      <c r="R91" s="40"/>
      <c r="S91" s="40"/>
      <c r="T91" s="131"/>
      <c r="U91" s="131"/>
      <c r="V91" s="131"/>
      <c r="W91" s="131"/>
      <c r="X91" s="131"/>
      <c r="Y91" s="40"/>
      <c r="Z91" s="40"/>
      <c r="AA91" s="131"/>
      <c r="AB91" s="131"/>
      <c r="AC91" s="131"/>
      <c r="AD91" s="131"/>
      <c r="AE91" s="131"/>
      <c r="AF91" s="40"/>
      <c r="AG91" s="40"/>
      <c r="AH91" s="131"/>
      <c r="AI91" s="131"/>
      <c r="AJ91" s="131"/>
      <c r="AK91" s="131"/>
      <c r="AM91" s="4"/>
      <c r="AN91" s="43"/>
    </row>
    <row r="92" customFormat="false" ht="12.75" hidden="false" customHeight="false" outlineLevel="0" collapsed="false">
      <c r="A92" s="48"/>
      <c r="B92" s="40"/>
      <c r="C92" s="4"/>
      <c r="D92" s="40"/>
      <c r="E92" s="131"/>
      <c r="F92" s="136"/>
      <c r="G92" s="4"/>
      <c r="H92" s="4"/>
      <c r="I92" s="41"/>
      <c r="J92" s="154"/>
      <c r="K92" s="40"/>
      <c r="L92" s="40"/>
      <c r="M92" s="131"/>
      <c r="N92" s="131"/>
      <c r="O92" s="131"/>
      <c r="P92" s="131"/>
      <c r="Q92" s="131"/>
      <c r="R92" s="40"/>
      <c r="S92" s="40"/>
      <c r="T92" s="131"/>
      <c r="U92" s="131"/>
      <c r="V92" s="131"/>
      <c r="W92" s="131"/>
      <c r="X92" s="131"/>
      <c r="Y92" s="40"/>
      <c r="Z92" s="40"/>
      <c r="AA92" s="131"/>
      <c r="AB92" s="131"/>
      <c r="AC92" s="131"/>
      <c r="AD92" s="131"/>
      <c r="AE92" s="131"/>
      <c r="AF92" s="40"/>
      <c r="AG92" s="40"/>
      <c r="AH92" s="131"/>
      <c r="AI92" s="131"/>
      <c r="AJ92" s="131"/>
      <c r="AK92" s="131"/>
      <c r="AM92" s="4"/>
      <c r="AN92" s="43"/>
    </row>
    <row r="93" customFormat="false" ht="12.75" hidden="false" customHeight="false" outlineLevel="0" collapsed="false">
      <c r="A93" s="48"/>
      <c r="B93" s="40"/>
      <c r="C93" s="4"/>
      <c r="D93" s="40"/>
      <c r="E93" s="131"/>
      <c r="F93" s="136"/>
      <c r="G93" s="4"/>
      <c r="H93" s="4"/>
      <c r="I93" s="41"/>
      <c r="J93" s="154"/>
      <c r="K93" s="40"/>
      <c r="L93" s="40"/>
      <c r="M93" s="131"/>
      <c r="N93" s="131"/>
      <c r="O93" s="131"/>
      <c r="P93" s="131"/>
      <c r="Q93" s="131"/>
      <c r="R93" s="40"/>
      <c r="S93" s="40"/>
      <c r="T93" s="131"/>
      <c r="U93" s="131"/>
      <c r="V93" s="131"/>
      <c r="W93" s="131"/>
      <c r="X93" s="131"/>
      <c r="Y93" s="40"/>
      <c r="Z93" s="40"/>
      <c r="AA93" s="131"/>
      <c r="AB93" s="131"/>
      <c r="AC93" s="131"/>
      <c r="AD93" s="131"/>
      <c r="AE93" s="131"/>
      <c r="AF93" s="40"/>
      <c r="AG93" s="40"/>
      <c r="AH93" s="131"/>
      <c r="AI93" s="131"/>
      <c r="AJ93" s="131"/>
      <c r="AK93" s="131"/>
      <c r="AM93" s="4"/>
      <c r="AN93" s="43"/>
    </row>
    <row r="94" customFormat="false" ht="12.75" hidden="false" customHeight="false" outlineLevel="0" collapsed="false">
      <c r="A94" s="48"/>
      <c r="B94" s="40"/>
      <c r="C94" s="4"/>
      <c r="D94" s="40"/>
      <c r="E94" s="131"/>
      <c r="F94" s="136"/>
      <c r="G94" s="4"/>
      <c r="H94" s="4"/>
      <c r="I94" s="41"/>
      <c r="J94" s="154"/>
      <c r="K94" s="40"/>
      <c r="L94" s="40"/>
      <c r="M94" s="131"/>
      <c r="N94" s="131"/>
      <c r="O94" s="131"/>
      <c r="P94" s="131"/>
      <c r="Q94" s="131"/>
      <c r="R94" s="40"/>
      <c r="S94" s="40"/>
      <c r="T94" s="131"/>
      <c r="U94" s="131"/>
      <c r="V94" s="131"/>
      <c r="W94" s="131"/>
      <c r="X94" s="131"/>
      <c r="Y94" s="40"/>
      <c r="Z94" s="40"/>
      <c r="AA94" s="131"/>
      <c r="AB94" s="131"/>
      <c r="AC94" s="131"/>
      <c r="AD94" s="131"/>
      <c r="AE94" s="131"/>
      <c r="AF94" s="40"/>
      <c r="AG94" s="40"/>
      <c r="AH94" s="131"/>
      <c r="AI94" s="131"/>
      <c r="AJ94" s="131"/>
      <c r="AK94" s="131"/>
      <c r="AM94" s="4"/>
      <c r="AN94" s="43"/>
    </row>
    <row r="95" customFormat="false" ht="12.75" hidden="false" customHeight="false" outlineLevel="0" collapsed="false">
      <c r="A95" s="48"/>
      <c r="B95" s="40"/>
      <c r="C95" s="4"/>
      <c r="D95" s="40"/>
      <c r="E95" s="131"/>
      <c r="F95" s="136"/>
      <c r="G95" s="4"/>
      <c r="H95" s="4"/>
      <c r="I95" s="41"/>
      <c r="J95" s="154"/>
      <c r="K95" s="40"/>
      <c r="L95" s="40"/>
      <c r="M95" s="131"/>
      <c r="N95" s="131"/>
      <c r="O95" s="131"/>
      <c r="P95" s="131"/>
      <c r="Q95" s="131"/>
      <c r="R95" s="40"/>
      <c r="S95" s="40"/>
      <c r="T95" s="131"/>
      <c r="U95" s="131"/>
      <c r="V95" s="131"/>
      <c r="W95" s="131"/>
      <c r="X95" s="131"/>
      <c r="Y95" s="40"/>
      <c r="Z95" s="40"/>
      <c r="AA95" s="131"/>
      <c r="AB95" s="131"/>
      <c r="AC95" s="131"/>
      <c r="AD95" s="131"/>
      <c r="AE95" s="131"/>
      <c r="AF95" s="40"/>
      <c r="AG95" s="40"/>
      <c r="AH95" s="131"/>
      <c r="AI95" s="131"/>
      <c r="AJ95" s="131"/>
      <c r="AK95" s="131"/>
      <c r="AM95" s="4"/>
      <c r="AN95" s="43"/>
    </row>
    <row r="96" customFormat="false" ht="12.75" hidden="false" customHeight="false" outlineLevel="0" collapsed="false">
      <c r="A96" s="48"/>
      <c r="B96" s="40"/>
      <c r="C96" s="4"/>
      <c r="D96" s="40"/>
      <c r="E96" s="131"/>
      <c r="F96" s="136"/>
      <c r="G96" s="4"/>
      <c r="H96" s="4"/>
      <c r="I96" s="41"/>
      <c r="J96" s="154"/>
      <c r="K96" s="40"/>
      <c r="L96" s="40"/>
      <c r="M96" s="131"/>
      <c r="N96" s="131"/>
      <c r="O96" s="131"/>
      <c r="P96" s="131"/>
      <c r="Q96" s="131"/>
      <c r="R96" s="40"/>
      <c r="S96" s="40"/>
      <c r="T96" s="131"/>
      <c r="U96" s="131"/>
      <c r="V96" s="131"/>
      <c r="W96" s="131"/>
      <c r="X96" s="131"/>
      <c r="Y96" s="40"/>
      <c r="Z96" s="40"/>
      <c r="AA96" s="131"/>
      <c r="AB96" s="131"/>
      <c r="AC96" s="131"/>
      <c r="AD96" s="131"/>
      <c r="AE96" s="131"/>
      <c r="AF96" s="40"/>
      <c r="AG96" s="40"/>
      <c r="AH96" s="131"/>
      <c r="AI96" s="131"/>
      <c r="AJ96" s="131"/>
      <c r="AK96" s="131"/>
      <c r="AM96" s="4"/>
      <c r="AN96" s="43"/>
    </row>
    <row r="97" customFormat="false" ht="12.75" hidden="false" customHeight="false" outlineLevel="0" collapsed="false">
      <c r="A97" s="48"/>
      <c r="B97" s="40"/>
      <c r="C97" s="4"/>
      <c r="D97" s="40"/>
      <c r="E97" s="131"/>
      <c r="F97" s="136"/>
      <c r="G97" s="4"/>
      <c r="H97" s="4"/>
      <c r="I97" s="41"/>
      <c r="J97" s="154"/>
      <c r="K97" s="40"/>
      <c r="L97" s="40"/>
      <c r="M97" s="131"/>
      <c r="N97" s="131"/>
      <c r="O97" s="131"/>
      <c r="P97" s="131"/>
      <c r="Q97" s="131"/>
      <c r="R97" s="40"/>
      <c r="S97" s="40"/>
      <c r="T97" s="131"/>
      <c r="U97" s="131"/>
      <c r="V97" s="131"/>
      <c r="W97" s="131"/>
      <c r="X97" s="131"/>
      <c r="Y97" s="40"/>
      <c r="Z97" s="40"/>
      <c r="AA97" s="131"/>
      <c r="AB97" s="131"/>
      <c r="AC97" s="131"/>
      <c r="AD97" s="131"/>
      <c r="AE97" s="131"/>
      <c r="AF97" s="40"/>
      <c r="AG97" s="40"/>
      <c r="AH97" s="131"/>
      <c r="AI97" s="131"/>
      <c r="AJ97" s="131"/>
      <c r="AK97" s="131"/>
      <c r="AM97" s="4"/>
      <c r="AN97" s="43"/>
    </row>
    <row r="98" customFormat="false" ht="12.75" hidden="false" customHeight="false" outlineLevel="0" collapsed="false">
      <c r="A98" s="48"/>
      <c r="B98" s="40"/>
      <c r="C98" s="4"/>
      <c r="D98" s="40"/>
      <c r="E98" s="131"/>
      <c r="F98" s="136"/>
      <c r="G98" s="4"/>
      <c r="H98" s="4"/>
      <c r="I98" s="41"/>
      <c r="J98" s="154"/>
      <c r="K98" s="40"/>
      <c r="L98" s="40"/>
      <c r="M98" s="131"/>
      <c r="N98" s="131"/>
      <c r="O98" s="131"/>
      <c r="P98" s="131"/>
      <c r="Q98" s="131"/>
      <c r="R98" s="40"/>
      <c r="S98" s="40"/>
      <c r="T98" s="131"/>
      <c r="U98" s="131"/>
      <c r="V98" s="131"/>
      <c r="W98" s="131"/>
      <c r="X98" s="131"/>
      <c r="Y98" s="40"/>
      <c r="Z98" s="40"/>
      <c r="AA98" s="131"/>
      <c r="AB98" s="131"/>
      <c r="AC98" s="131"/>
      <c r="AD98" s="131"/>
      <c r="AE98" s="131"/>
      <c r="AF98" s="40"/>
      <c r="AG98" s="40"/>
      <c r="AH98" s="131"/>
      <c r="AI98" s="131"/>
      <c r="AJ98" s="131"/>
      <c r="AK98" s="131"/>
      <c r="AM98" s="4"/>
      <c r="AN98" s="43"/>
    </row>
    <row r="99" customFormat="false" ht="12.75" hidden="false" customHeight="false" outlineLevel="0" collapsed="false">
      <c r="A99" s="48"/>
      <c r="B99" s="40"/>
      <c r="C99" s="4"/>
      <c r="D99" s="40"/>
      <c r="E99" s="131"/>
      <c r="F99" s="136"/>
      <c r="G99" s="4"/>
      <c r="H99" s="4"/>
      <c r="I99" s="41"/>
      <c r="J99" s="154"/>
      <c r="K99" s="40"/>
      <c r="L99" s="40"/>
      <c r="M99" s="131"/>
      <c r="N99" s="131"/>
      <c r="O99" s="131"/>
      <c r="P99" s="131"/>
      <c r="Q99" s="131"/>
      <c r="R99" s="40"/>
      <c r="S99" s="40"/>
      <c r="T99" s="131"/>
      <c r="U99" s="131"/>
      <c r="V99" s="131"/>
      <c r="W99" s="131"/>
      <c r="X99" s="131"/>
      <c r="Y99" s="40"/>
      <c r="Z99" s="40"/>
      <c r="AA99" s="131"/>
      <c r="AB99" s="131"/>
      <c r="AC99" s="131"/>
      <c r="AD99" s="131"/>
      <c r="AE99" s="131"/>
      <c r="AF99" s="40"/>
      <c r="AG99" s="40"/>
      <c r="AH99" s="131"/>
      <c r="AI99" s="131"/>
      <c r="AJ99" s="131"/>
      <c r="AK99" s="131"/>
      <c r="AM99" s="4"/>
      <c r="AN99" s="43"/>
    </row>
    <row r="100" customFormat="false" ht="12.75" hidden="false" customHeight="false" outlineLevel="0" collapsed="false">
      <c r="A100" s="48"/>
      <c r="B100" s="40"/>
      <c r="C100" s="4"/>
      <c r="D100" s="40"/>
      <c r="E100" s="131"/>
      <c r="F100" s="136"/>
      <c r="G100" s="4"/>
      <c r="H100" s="4"/>
      <c r="I100" s="41"/>
      <c r="J100" s="154"/>
      <c r="K100" s="40"/>
      <c r="L100" s="40"/>
      <c r="M100" s="131"/>
      <c r="N100" s="131"/>
      <c r="O100" s="131"/>
      <c r="P100" s="131"/>
      <c r="Q100" s="131"/>
      <c r="R100" s="40"/>
      <c r="S100" s="40"/>
      <c r="T100" s="131"/>
      <c r="U100" s="131"/>
      <c r="V100" s="131"/>
      <c r="W100" s="131"/>
      <c r="X100" s="131"/>
      <c r="Y100" s="40"/>
      <c r="Z100" s="40"/>
      <c r="AA100" s="131"/>
      <c r="AB100" s="131"/>
      <c r="AC100" s="131"/>
      <c r="AD100" s="131"/>
      <c r="AE100" s="131"/>
      <c r="AF100" s="40"/>
      <c r="AG100" s="40"/>
      <c r="AH100" s="131"/>
      <c r="AI100" s="131"/>
      <c r="AJ100" s="131"/>
      <c r="AK100" s="131"/>
      <c r="AM100" s="4"/>
      <c r="AN100" s="43"/>
    </row>
    <row r="101" customFormat="false" ht="12.75" hidden="false" customHeight="false" outlineLevel="0" collapsed="false">
      <c r="A101" s="48"/>
      <c r="B101" s="40"/>
      <c r="C101" s="4"/>
      <c r="D101" s="40"/>
      <c r="E101" s="131"/>
      <c r="F101" s="136"/>
      <c r="G101" s="4"/>
      <c r="H101" s="4"/>
      <c r="I101" s="41"/>
      <c r="J101" s="154"/>
      <c r="K101" s="40"/>
      <c r="L101" s="40"/>
      <c r="M101" s="131"/>
      <c r="N101" s="131"/>
      <c r="O101" s="131"/>
      <c r="P101" s="131"/>
      <c r="Q101" s="131"/>
      <c r="R101" s="40"/>
      <c r="S101" s="40"/>
      <c r="T101" s="131"/>
      <c r="U101" s="131"/>
      <c r="V101" s="131"/>
      <c r="W101" s="131"/>
      <c r="X101" s="131"/>
      <c r="Y101" s="40"/>
      <c r="Z101" s="40"/>
      <c r="AA101" s="131"/>
      <c r="AB101" s="131"/>
      <c r="AC101" s="131"/>
      <c r="AD101" s="131"/>
      <c r="AE101" s="131"/>
      <c r="AF101" s="40"/>
      <c r="AG101" s="40"/>
      <c r="AH101" s="131"/>
      <c r="AI101" s="131"/>
      <c r="AJ101" s="131"/>
      <c r="AK101" s="131"/>
      <c r="AM101" s="4"/>
      <c r="AN101" s="43"/>
    </row>
    <row r="102" customFormat="false" ht="12.75" hidden="false" customHeight="false" outlineLevel="0" collapsed="false">
      <c r="A102" s="48"/>
      <c r="B102" s="40"/>
      <c r="C102" s="4"/>
      <c r="D102" s="40"/>
      <c r="E102" s="131"/>
      <c r="F102" s="136"/>
      <c r="G102" s="4"/>
      <c r="H102" s="4"/>
      <c r="I102" s="41"/>
      <c r="J102" s="154"/>
      <c r="K102" s="40"/>
      <c r="L102" s="40"/>
      <c r="M102" s="131"/>
      <c r="N102" s="131"/>
      <c r="O102" s="131"/>
      <c r="P102" s="131"/>
      <c r="Q102" s="131"/>
      <c r="R102" s="40"/>
      <c r="S102" s="40"/>
      <c r="T102" s="131"/>
      <c r="U102" s="131"/>
      <c r="V102" s="131"/>
      <c r="W102" s="131"/>
      <c r="X102" s="131"/>
      <c r="Y102" s="40"/>
      <c r="Z102" s="40"/>
      <c r="AA102" s="131"/>
      <c r="AB102" s="131"/>
      <c r="AC102" s="131"/>
      <c r="AD102" s="131"/>
      <c r="AE102" s="131"/>
      <c r="AF102" s="40"/>
      <c r="AG102" s="40"/>
      <c r="AH102" s="131"/>
      <c r="AI102" s="131"/>
      <c r="AJ102" s="131"/>
      <c r="AK102" s="131"/>
      <c r="AM102" s="4"/>
      <c r="AN102" s="43"/>
    </row>
    <row r="103" customFormat="false" ht="12.75" hidden="false" customHeight="false" outlineLevel="0" collapsed="false">
      <c r="A103" s="48"/>
      <c r="B103" s="40"/>
      <c r="C103" s="4"/>
      <c r="D103" s="40"/>
      <c r="E103" s="131"/>
      <c r="F103" s="136"/>
      <c r="G103" s="4"/>
      <c r="H103" s="4"/>
      <c r="I103" s="41"/>
      <c r="J103" s="154"/>
      <c r="K103" s="40"/>
      <c r="L103" s="40"/>
      <c r="M103" s="131"/>
      <c r="N103" s="131"/>
      <c r="O103" s="131"/>
      <c r="P103" s="131"/>
      <c r="Q103" s="131"/>
      <c r="R103" s="40"/>
      <c r="S103" s="40"/>
      <c r="T103" s="131"/>
      <c r="U103" s="131"/>
      <c r="V103" s="131"/>
      <c r="W103" s="131"/>
      <c r="X103" s="131"/>
      <c r="Y103" s="40"/>
      <c r="Z103" s="40"/>
      <c r="AA103" s="131"/>
      <c r="AB103" s="131"/>
      <c r="AC103" s="131"/>
      <c r="AD103" s="131"/>
      <c r="AE103" s="131"/>
      <c r="AF103" s="40"/>
      <c r="AG103" s="40"/>
      <c r="AH103" s="131"/>
      <c r="AI103" s="131"/>
      <c r="AJ103" s="131"/>
      <c r="AK103" s="131"/>
      <c r="AM103" s="4"/>
      <c r="AN103" s="43"/>
    </row>
    <row r="104" customFormat="false" ht="12.75" hidden="false" customHeight="false" outlineLevel="0" collapsed="false">
      <c r="A104" s="48"/>
      <c r="B104" s="40"/>
      <c r="C104" s="4"/>
      <c r="D104" s="40"/>
      <c r="E104" s="131"/>
      <c r="F104" s="136"/>
      <c r="G104" s="4"/>
      <c r="H104" s="4"/>
      <c r="I104" s="41"/>
      <c r="J104" s="154"/>
      <c r="K104" s="40"/>
      <c r="L104" s="40"/>
      <c r="M104" s="131"/>
      <c r="N104" s="131"/>
      <c r="O104" s="131"/>
      <c r="P104" s="131"/>
      <c r="Q104" s="131"/>
      <c r="R104" s="40"/>
      <c r="S104" s="40"/>
      <c r="T104" s="131"/>
      <c r="U104" s="131"/>
      <c r="V104" s="131"/>
      <c r="W104" s="131"/>
      <c r="X104" s="131"/>
      <c r="Y104" s="40"/>
      <c r="Z104" s="40"/>
      <c r="AA104" s="131"/>
      <c r="AB104" s="131"/>
      <c r="AC104" s="131"/>
      <c r="AD104" s="131"/>
      <c r="AE104" s="131"/>
      <c r="AF104" s="40"/>
      <c r="AG104" s="40"/>
      <c r="AH104" s="131"/>
      <c r="AI104" s="131"/>
      <c r="AJ104" s="131"/>
      <c r="AK104" s="131"/>
      <c r="AM104" s="4"/>
      <c r="AN104" s="43"/>
    </row>
    <row r="105" customFormat="false" ht="12.75" hidden="false" customHeight="false" outlineLevel="0" collapsed="false">
      <c r="A105" s="48"/>
      <c r="B105" s="40"/>
      <c r="C105" s="4"/>
      <c r="D105" s="40"/>
      <c r="E105" s="131"/>
      <c r="F105" s="136"/>
      <c r="G105" s="4"/>
      <c r="H105" s="4"/>
      <c r="I105" s="41"/>
      <c r="J105" s="154"/>
      <c r="K105" s="40"/>
      <c r="L105" s="40"/>
      <c r="M105" s="131"/>
      <c r="N105" s="131"/>
      <c r="O105" s="131"/>
      <c r="P105" s="131"/>
      <c r="Q105" s="131"/>
      <c r="R105" s="40"/>
      <c r="S105" s="40"/>
      <c r="T105" s="131"/>
      <c r="U105" s="131"/>
      <c r="V105" s="131"/>
      <c r="W105" s="131"/>
      <c r="X105" s="131"/>
      <c r="Y105" s="40"/>
      <c r="Z105" s="40"/>
      <c r="AA105" s="131"/>
      <c r="AB105" s="131"/>
      <c r="AC105" s="131"/>
      <c r="AD105" s="131"/>
      <c r="AE105" s="131"/>
      <c r="AF105" s="40"/>
      <c r="AG105" s="40"/>
      <c r="AH105" s="131"/>
      <c r="AI105" s="131"/>
      <c r="AJ105" s="131"/>
      <c r="AK105" s="131"/>
      <c r="AM105" s="4"/>
      <c r="AN105" s="43"/>
    </row>
    <row r="106" customFormat="false" ht="12.75" hidden="false" customHeight="false" outlineLevel="0" collapsed="false">
      <c r="A106" s="48"/>
      <c r="B106" s="40"/>
      <c r="C106" s="4"/>
      <c r="D106" s="40"/>
      <c r="E106" s="131"/>
      <c r="F106" s="136"/>
      <c r="G106" s="4"/>
      <c r="H106" s="4"/>
      <c r="I106" s="41"/>
      <c r="J106" s="154"/>
      <c r="K106" s="40"/>
      <c r="L106" s="40"/>
      <c r="M106" s="131"/>
      <c r="N106" s="131"/>
      <c r="O106" s="131"/>
      <c r="P106" s="131"/>
      <c r="Q106" s="131"/>
      <c r="R106" s="40"/>
      <c r="S106" s="40"/>
      <c r="T106" s="131"/>
      <c r="U106" s="131"/>
      <c r="V106" s="131"/>
      <c r="W106" s="131"/>
      <c r="X106" s="131"/>
      <c r="Y106" s="40"/>
      <c r="Z106" s="40"/>
      <c r="AA106" s="131"/>
      <c r="AB106" s="131"/>
      <c r="AC106" s="131"/>
      <c r="AD106" s="131"/>
      <c r="AE106" s="131"/>
      <c r="AF106" s="40"/>
      <c r="AG106" s="40"/>
      <c r="AH106" s="131"/>
      <c r="AI106" s="131"/>
      <c r="AJ106" s="131"/>
      <c r="AK106" s="131"/>
      <c r="AM106" s="4"/>
      <c r="AN106" s="43"/>
    </row>
    <row r="107" customFormat="false" ht="12.75" hidden="false" customHeight="false" outlineLevel="0" collapsed="false">
      <c r="A107" s="48"/>
      <c r="B107" s="40"/>
      <c r="C107" s="4"/>
      <c r="D107" s="40"/>
      <c r="E107" s="131"/>
      <c r="F107" s="136"/>
      <c r="G107" s="4"/>
      <c r="H107" s="4"/>
      <c r="I107" s="41"/>
      <c r="J107" s="154"/>
      <c r="K107" s="40"/>
      <c r="L107" s="40"/>
      <c r="M107" s="131"/>
      <c r="N107" s="131"/>
      <c r="O107" s="131"/>
      <c r="P107" s="131"/>
      <c r="Q107" s="131"/>
      <c r="R107" s="40"/>
      <c r="S107" s="40"/>
      <c r="T107" s="131"/>
      <c r="U107" s="131"/>
      <c r="V107" s="131"/>
      <c r="W107" s="131"/>
      <c r="X107" s="131"/>
      <c r="Y107" s="40"/>
      <c r="Z107" s="40"/>
      <c r="AA107" s="131"/>
      <c r="AB107" s="131"/>
      <c r="AC107" s="131"/>
      <c r="AD107" s="131"/>
      <c r="AE107" s="131"/>
      <c r="AF107" s="40"/>
      <c r="AG107" s="40"/>
      <c r="AH107" s="131"/>
      <c r="AI107" s="131"/>
      <c r="AJ107" s="131"/>
      <c r="AK107" s="131"/>
      <c r="AM107" s="4"/>
      <c r="AN107" s="43"/>
    </row>
    <row r="108" customFormat="false" ht="12.75" hidden="false" customHeight="false" outlineLevel="0" collapsed="false">
      <c r="A108" s="48"/>
      <c r="B108" s="40"/>
      <c r="C108" s="4"/>
      <c r="D108" s="40"/>
      <c r="E108" s="131"/>
      <c r="F108" s="136"/>
      <c r="G108" s="4"/>
      <c r="H108" s="4"/>
      <c r="I108" s="41"/>
      <c r="J108" s="154"/>
      <c r="K108" s="40"/>
      <c r="L108" s="40"/>
      <c r="M108" s="131"/>
      <c r="N108" s="131"/>
      <c r="O108" s="131"/>
      <c r="P108" s="131"/>
      <c r="Q108" s="131"/>
      <c r="R108" s="40"/>
      <c r="S108" s="40"/>
      <c r="T108" s="131"/>
      <c r="U108" s="131"/>
      <c r="V108" s="131"/>
      <c r="W108" s="131"/>
      <c r="X108" s="131"/>
      <c r="Y108" s="40"/>
      <c r="Z108" s="40"/>
      <c r="AA108" s="131"/>
      <c r="AB108" s="131"/>
      <c r="AC108" s="131"/>
      <c r="AD108" s="131"/>
      <c r="AE108" s="131"/>
      <c r="AF108" s="40"/>
      <c r="AG108" s="40"/>
      <c r="AH108" s="131"/>
      <c r="AI108" s="131"/>
      <c r="AJ108" s="131"/>
      <c r="AK108" s="131"/>
      <c r="AM108" s="4"/>
      <c r="AN108" s="43"/>
    </row>
    <row r="109" customFormat="false" ht="12.75" hidden="false" customHeight="false" outlineLevel="0" collapsed="false">
      <c r="A109" s="48"/>
      <c r="B109" s="40"/>
      <c r="C109" s="4"/>
      <c r="D109" s="40"/>
      <c r="E109" s="131"/>
      <c r="F109" s="136"/>
      <c r="G109" s="4"/>
      <c r="H109" s="4"/>
      <c r="I109" s="41"/>
      <c r="J109" s="154"/>
      <c r="K109" s="40"/>
      <c r="L109" s="40"/>
      <c r="M109" s="131"/>
      <c r="N109" s="131"/>
      <c r="O109" s="131"/>
      <c r="P109" s="131"/>
      <c r="Q109" s="131"/>
      <c r="R109" s="40"/>
      <c r="S109" s="40"/>
      <c r="T109" s="131"/>
      <c r="U109" s="131"/>
      <c r="V109" s="131"/>
      <c r="W109" s="131"/>
      <c r="X109" s="131"/>
      <c r="Y109" s="40"/>
      <c r="Z109" s="40"/>
      <c r="AA109" s="131"/>
      <c r="AB109" s="131"/>
      <c r="AC109" s="131"/>
      <c r="AD109" s="131"/>
      <c r="AE109" s="131"/>
      <c r="AF109" s="40"/>
      <c r="AG109" s="40"/>
      <c r="AH109" s="131"/>
      <c r="AI109" s="131"/>
      <c r="AJ109" s="131"/>
      <c r="AK109" s="131"/>
      <c r="AM109" s="4"/>
      <c r="AN109" s="43"/>
    </row>
    <row r="110" customFormat="false" ht="12.75" hidden="false" customHeight="false" outlineLevel="0" collapsed="false">
      <c r="A110" s="48"/>
      <c r="B110" s="40"/>
      <c r="C110" s="4"/>
      <c r="D110" s="40"/>
      <c r="E110" s="131"/>
      <c r="F110" s="136"/>
      <c r="G110" s="4"/>
      <c r="H110" s="4"/>
      <c r="I110" s="41"/>
      <c r="J110" s="154"/>
      <c r="K110" s="40"/>
      <c r="L110" s="40"/>
      <c r="M110" s="131"/>
      <c r="N110" s="131"/>
      <c r="O110" s="131"/>
      <c r="P110" s="131"/>
      <c r="Q110" s="131"/>
      <c r="R110" s="40"/>
      <c r="S110" s="40"/>
      <c r="T110" s="131"/>
      <c r="U110" s="131"/>
      <c r="V110" s="131"/>
      <c r="W110" s="131"/>
      <c r="X110" s="131"/>
      <c r="Y110" s="40"/>
      <c r="Z110" s="40"/>
      <c r="AA110" s="131"/>
      <c r="AB110" s="131"/>
      <c r="AC110" s="131"/>
      <c r="AD110" s="131"/>
      <c r="AE110" s="131"/>
      <c r="AF110" s="40"/>
      <c r="AG110" s="40"/>
      <c r="AH110" s="131"/>
      <c r="AI110" s="131"/>
      <c r="AJ110" s="131"/>
      <c r="AK110" s="131"/>
      <c r="AM110" s="4"/>
      <c r="AN110" s="43"/>
    </row>
    <row r="111" customFormat="false" ht="12.75" hidden="false" customHeight="false" outlineLevel="0" collapsed="false">
      <c r="A111" s="48"/>
      <c r="B111" s="40"/>
      <c r="C111" s="4"/>
      <c r="D111" s="40"/>
      <c r="E111" s="131"/>
      <c r="F111" s="136"/>
      <c r="G111" s="4"/>
      <c r="H111" s="4"/>
      <c r="I111" s="41"/>
      <c r="J111" s="154"/>
      <c r="K111" s="40"/>
      <c r="L111" s="40"/>
      <c r="M111" s="131"/>
      <c r="N111" s="131"/>
      <c r="O111" s="131"/>
      <c r="P111" s="131"/>
      <c r="Q111" s="131"/>
      <c r="R111" s="40"/>
      <c r="S111" s="40"/>
      <c r="T111" s="131"/>
      <c r="U111" s="131"/>
      <c r="V111" s="131"/>
      <c r="W111" s="131"/>
      <c r="X111" s="131"/>
      <c r="Y111" s="40"/>
      <c r="Z111" s="40"/>
      <c r="AA111" s="131"/>
      <c r="AB111" s="131"/>
      <c r="AC111" s="131"/>
      <c r="AD111" s="131"/>
      <c r="AE111" s="131"/>
      <c r="AF111" s="40"/>
      <c r="AG111" s="40"/>
      <c r="AH111" s="131"/>
      <c r="AI111" s="131"/>
      <c r="AJ111" s="131"/>
      <c r="AK111" s="131"/>
      <c r="AM111" s="4"/>
      <c r="AN111" s="43"/>
    </row>
    <row r="112" customFormat="false" ht="12.75" hidden="false" customHeight="false" outlineLevel="0" collapsed="false">
      <c r="A112" s="48"/>
      <c r="B112" s="40"/>
      <c r="C112" s="4"/>
      <c r="D112" s="40"/>
      <c r="E112" s="131"/>
      <c r="F112" s="136"/>
      <c r="G112" s="4"/>
      <c r="H112" s="4"/>
      <c r="I112" s="41"/>
      <c r="J112" s="154"/>
      <c r="K112" s="40"/>
      <c r="L112" s="40"/>
      <c r="M112" s="131"/>
      <c r="N112" s="131"/>
      <c r="O112" s="131"/>
      <c r="P112" s="131"/>
      <c r="Q112" s="131"/>
      <c r="R112" s="40"/>
      <c r="S112" s="40"/>
      <c r="T112" s="131"/>
      <c r="U112" s="131"/>
      <c r="V112" s="131"/>
      <c r="W112" s="131"/>
      <c r="X112" s="131"/>
      <c r="Y112" s="40"/>
      <c r="Z112" s="40"/>
      <c r="AA112" s="131"/>
      <c r="AB112" s="131"/>
      <c r="AC112" s="131"/>
      <c r="AD112" s="131"/>
      <c r="AE112" s="131"/>
      <c r="AF112" s="40"/>
      <c r="AG112" s="40"/>
      <c r="AH112" s="131"/>
      <c r="AI112" s="131"/>
      <c r="AJ112" s="131"/>
      <c r="AK112" s="131"/>
      <c r="AM112" s="4"/>
      <c r="AN112" s="43"/>
    </row>
    <row r="113" customFormat="false" ht="12.75" hidden="false" customHeight="false" outlineLevel="0" collapsed="false">
      <c r="A113" s="48"/>
      <c r="B113" s="40"/>
      <c r="C113" s="4"/>
      <c r="D113" s="40"/>
      <c r="E113" s="131"/>
      <c r="F113" s="136"/>
      <c r="G113" s="4"/>
      <c r="H113" s="4"/>
      <c r="I113" s="41"/>
      <c r="J113" s="154"/>
      <c r="K113" s="40"/>
      <c r="L113" s="40"/>
      <c r="M113" s="131"/>
      <c r="N113" s="131"/>
      <c r="O113" s="131"/>
      <c r="P113" s="131"/>
      <c r="Q113" s="131"/>
      <c r="R113" s="40"/>
      <c r="S113" s="40"/>
      <c r="T113" s="131"/>
      <c r="U113" s="131"/>
      <c r="V113" s="131"/>
      <c r="W113" s="131"/>
      <c r="X113" s="131"/>
      <c r="Y113" s="40"/>
      <c r="Z113" s="40"/>
      <c r="AA113" s="131"/>
      <c r="AB113" s="131"/>
      <c r="AC113" s="131"/>
      <c r="AD113" s="131"/>
      <c r="AE113" s="131"/>
      <c r="AF113" s="40"/>
      <c r="AG113" s="40"/>
      <c r="AH113" s="131"/>
      <c r="AI113" s="131"/>
      <c r="AJ113" s="131"/>
      <c r="AK113" s="131"/>
      <c r="AM113" s="4"/>
      <c r="AN113" s="43"/>
    </row>
    <row r="114" customFormat="false" ht="12.75" hidden="false" customHeight="false" outlineLevel="0" collapsed="false">
      <c r="A114" s="48"/>
      <c r="B114" s="40"/>
      <c r="C114" s="4"/>
      <c r="D114" s="40"/>
      <c r="E114" s="131"/>
      <c r="F114" s="136"/>
      <c r="G114" s="4"/>
      <c r="H114" s="4"/>
      <c r="I114" s="41"/>
      <c r="J114" s="154"/>
      <c r="K114" s="40"/>
      <c r="L114" s="40"/>
      <c r="M114" s="131"/>
      <c r="N114" s="131"/>
      <c r="O114" s="131"/>
      <c r="P114" s="131"/>
      <c r="Q114" s="131"/>
      <c r="R114" s="40"/>
      <c r="S114" s="40"/>
      <c r="T114" s="131"/>
      <c r="U114" s="131"/>
      <c r="V114" s="131"/>
      <c r="W114" s="131"/>
      <c r="X114" s="131"/>
      <c r="Y114" s="40"/>
      <c r="Z114" s="40"/>
      <c r="AA114" s="131"/>
      <c r="AB114" s="131"/>
      <c r="AC114" s="131"/>
      <c r="AD114" s="131"/>
      <c r="AE114" s="131"/>
      <c r="AF114" s="40"/>
      <c r="AG114" s="40"/>
      <c r="AH114" s="131"/>
      <c r="AI114" s="131"/>
      <c r="AJ114" s="131"/>
      <c r="AK114" s="131"/>
      <c r="AM114" s="4"/>
      <c r="AN114" s="43"/>
    </row>
    <row r="115" customFormat="false" ht="12.75" hidden="false" customHeight="false" outlineLevel="0" collapsed="false">
      <c r="A115" s="48"/>
      <c r="B115" s="40"/>
      <c r="C115" s="4"/>
      <c r="D115" s="40"/>
      <c r="E115" s="131"/>
      <c r="F115" s="136"/>
      <c r="G115" s="4"/>
      <c r="H115" s="4"/>
      <c r="I115" s="41"/>
      <c r="J115" s="154"/>
      <c r="K115" s="40"/>
      <c r="L115" s="40"/>
      <c r="M115" s="131"/>
      <c r="N115" s="131"/>
      <c r="O115" s="131"/>
      <c r="P115" s="131"/>
      <c r="Q115" s="131"/>
      <c r="R115" s="40"/>
      <c r="S115" s="40"/>
      <c r="T115" s="131"/>
      <c r="U115" s="131"/>
      <c r="V115" s="131"/>
      <c r="W115" s="131"/>
      <c r="X115" s="131"/>
      <c r="Y115" s="40"/>
      <c r="Z115" s="40"/>
      <c r="AA115" s="131"/>
      <c r="AB115" s="131"/>
      <c r="AC115" s="131"/>
      <c r="AD115" s="131"/>
      <c r="AE115" s="131"/>
      <c r="AF115" s="40"/>
      <c r="AG115" s="40"/>
      <c r="AH115" s="131"/>
      <c r="AI115" s="131"/>
      <c r="AJ115" s="131"/>
      <c r="AK115" s="131"/>
      <c r="AM115" s="4"/>
      <c r="AN115" s="43"/>
    </row>
    <row r="116" customFormat="false" ht="12.75" hidden="false" customHeight="false" outlineLevel="0" collapsed="false">
      <c r="A116" s="48"/>
      <c r="B116" s="49"/>
      <c r="C116" s="50"/>
      <c r="E116" s="46"/>
      <c r="F116" s="46"/>
      <c r="G116" s="46"/>
      <c r="H116" s="133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BX116" s="10"/>
      <c r="DF116" s="10"/>
      <c r="EN116" s="10"/>
    </row>
    <row r="117" customFormat="false" ht="12.75" hidden="false" customHeight="false" outlineLevel="0" collapsed="false">
      <c r="A117" s="51"/>
      <c r="B117" s="49"/>
      <c r="C117" s="50"/>
      <c r="E117" s="46"/>
      <c r="F117" s="46"/>
      <c r="G117" s="46"/>
      <c r="H117" s="133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BX117" s="10"/>
      <c r="DF117" s="10"/>
      <c r="EN117" s="10"/>
    </row>
    <row r="118" customFormat="false" ht="12.75" hidden="false" customHeight="false" outlineLevel="0" collapsed="false">
      <c r="A118" s="51"/>
      <c r="B118" s="49"/>
      <c r="C118" s="50"/>
      <c r="E118" s="46"/>
      <c r="F118" s="46"/>
      <c r="G118" s="46"/>
      <c r="H118" s="133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BX118" s="10"/>
      <c r="DF118" s="10"/>
      <c r="EN118" s="10"/>
    </row>
    <row r="119" customFormat="false" ht="12.75" hidden="false" customHeight="false" outlineLevel="0" collapsed="false">
      <c r="A119" s="51"/>
      <c r="B119" s="49"/>
      <c r="C119" s="50"/>
      <c r="E119" s="46"/>
      <c r="F119" s="46"/>
      <c r="G119" s="46"/>
      <c r="H119" s="133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BX119" s="10"/>
      <c r="DF119" s="10"/>
      <c r="EN119" s="10"/>
    </row>
    <row r="120" customFormat="false" ht="12.75" hidden="false" customHeight="false" outlineLevel="0" collapsed="false">
      <c r="A120" s="51"/>
      <c r="B120" s="49"/>
      <c r="C120" s="50"/>
      <c r="E120" s="46"/>
      <c r="F120" s="46"/>
      <c r="G120" s="46"/>
      <c r="H120" s="133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BX120" s="10"/>
      <c r="DF120" s="10"/>
      <c r="EN120" s="10"/>
    </row>
    <row r="121" customFormat="false" ht="12.75" hidden="false" customHeight="false" outlineLevel="0" collapsed="false">
      <c r="A121" s="51"/>
      <c r="B121" s="49"/>
      <c r="C121" s="50"/>
      <c r="E121" s="46"/>
      <c r="F121" s="46"/>
      <c r="G121" s="46"/>
      <c r="H121" s="133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BX121" s="10"/>
      <c r="DF121" s="10"/>
      <c r="EN121" s="10"/>
    </row>
    <row r="122" customFormat="false" ht="12.75" hidden="false" customHeight="false" outlineLevel="0" collapsed="false">
      <c r="A122" s="51"/>
      <c r="B122" s="49"/>
      <c r="C122" s="50"/>
      <c r="E122" s="46"/>
      <c r="F122" s="46"/>
      <c r="G122" s="46"/>
      <c r="H122" s="133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BX122" s="10"/>
      <c r="DF122" s="10"/>
      <c r="EN122" s="10"/>
    </row>
    <row r="123" customFormat="false" ht="12.75" hidden="false" customHeight="false" outlineLevel="0" collapsed="false">
      <c r="A123" s="51"/>
      <c r="B123" s="49"/>
      <c r="C123" s="50"/>
      <c r="E123" s="46"/>
      <c r="F123" s="46"/>
      <c r="G123" s="46"/>
      <c r="H123" s="133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BX123" s="10"/>
      <c r="DF123" s="10"/>
      <c r="EN123" s="10"/>
    </row>
    <row r="124" customFormat="false" ht="12.75" hidden="false" customHeight="false" outlineLevel="0" collapsed="false">
      <c r="A124" s="51"/>
      <c r="B124" s="49"/>
      <c r="C124" s="50"/>
      <c r="E124" s="46"/>
      <c r="F124" s="46"/>
      <c r="G124" s="46"/>
      <c r="H124" s="133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BX124" s="10"/>
      <c r="DF124" s="10"/>
      <c r="EN124" s="10"/>
    </row>
    <row r="125" customFormat="false" ht="12.75" hidden="false" customHeight="false" outlineLevel="0" collapsed="false">
      <c r="A125" s="51"/>
      <c r="B125" s="49"/>
      <c r="C125" s="50"/>
      <c r="E125" s="46"/>
      <c r="F125" s="46"/>
      <c r="G125" s="46"/>
      <c r="H125" s="133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BX125" s="10"/>
      <c r="DF125" s="10"/>
      <c r="EN125" s="10"/>
    </row>
    <row r="126" customFormat="false" ht="12.75" hidden="false" customHeight="false" outlineLevel="0" collapsed="false">
      <c r="A126" s="51"/>
      <c r="B126" s="49"/>
      <c r="C126" s="50"/>
      <c r="E126" s="46"/>
      <c r="F126" s="46"/>
      <c r="G126" s="46"/>
      <c r="H126" s="133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BX126" s="10"/>
      <c r="DF126" s="10"/>
      <c r="EN126" s="10"/>
    </row>
    <row r="127" customFormat="false" ht="12.75" hidden="false" customHeight="false" outlineLevel="0" collapsed="false">
      <c r="A127" s="52"/>
      <c r="E127" s="22"/>
      <c r="F127" s="22"/>
      <c r="G127" s="22"/>
      <c r="H127" s="133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BX127" s="10"/>
      <c r="DF127" s="10"/>
      <c r="EN127" s="10"/>
    </row>
    <row r="128" customFormat="false" ht="12.75" hidden="false" customHeight="false" outlineLevel="0" collapsed="false">
      <c r="A128" s="51"/>
      <c r="B128" s="49"/>
      <c r="C128" s="50"/>
      <c r="E128" s="46"/>
      <c r="F128" s="46"/>
      <c r="G128" s="46"/>
      <c r="H128" s="133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BX128" s="10"/>
      <c r="DF128" s="10"/>
      <c r="EN128" s="10"/>
    </row>
    <row r="129" customFormat="false" ht="12.75" hidden="false" customHeight="false" outlineLevel="0" collapsed="false">
      <c r="B129" s="51"/>
      <c r="C129" s="53"/>
      <c r="D129" s="54"/>
      <c r="E129" s="55"/>
      <c r="F129" s="55"/>
      <c r="G129" s="55"/>
      <c r="H129" s="46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0"/>
      <c r="AN129" s="55"/>
      <c r="AO129" s="55"/>
      <c r="AP129" s="10"/>
      <c r="BX129" s="10"/>
      <c r="DF129" s="10"/>
      <c r="EN129" s="10"/>
    </row>
    <row r="130" customFormat="false" ht="12.75" hidden="false" customHeight="false" outlineLevel="0" collapsed="false">
      <c r="B130" s="51"/>
      <c r="C130" s="53"/>
      <c r="D130" s="54"/>
      <c r="E130" s="55"/>
      <c r="F130" s="55"/>
      <c r="G130" s="55"/>
      <c r="H130" s="46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0"/>
      <c r="AN130" s="55"/>
      <c r="AO130" s="55"/>
      <c r="AP130" s="10"/>
      <c r="BX130" s="10"/>
      <c r="DF130" s="10"/>
      <c r="EN130" s="10"/>
    </row>
    <row r="131" customFormat="false" ht="12.75" hidden="false" customHeight="false" outlineLevel="0" collapsed="false">
      <c r="B131" s="51"/>
      <c r="C131" s="53"/>
      <c r="D131" s="54"/>
      <c r="E131" s="55"/>
      <c r="F131" s="55"/>
      <c r="G131" s="55"/>
      <c r="H131" s="46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0"/>
      <c r="AN131" s="55"/>
      <c r="AO131" s="55"/>
      <c r="AP131" s="10"/>
      <c r="BX131" s="10"/>
      <c r="DF131" s="10"/>
      <c r="EN131" s="10"/>
    </row>
    <row r="132" customFormat="false" ht="12.75" hidden="false" customHeight="false" outlineLevel="0" collapsed="false">
      <c r="B132" s="51"/>
      <c r="C132" s="53"/>
      <c r="D132" s="54"/>
      <c r="E132" s="55"/>
      <c r="F132" s="55"/>
      <c r="G132" s="55"/>
      <c r="H132" s="46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0"/>
      <c r="AN132" s="55"/>
      <c r="AO132" s="55"/>
      <c r="AP132" s="10"/>
      <c r="BX132" s="10"/>
      <c r="DF132" s="10"/>
      <c r="EN132" s="10"/>
    </row>
    <row r="133" customFormat="false" ht="12.75" hidden="false" customHeight="false" outlineLevel="0" collapsed="false">
      <c r="B133" s="51"/>
      <c r="C133" s="53"/>
      <c r="D133" s="54"/>
      <c r="E133" s="55"/>
      <c r="F133" s="55"/>
      <c r="G133" s="55"/>
      <c r="H133" s="46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0"/>
      <c r="AN133" s="55"/>
      <c r="AO133" s="55"/>
      <c r="AP133" s="10"/>
      <c r="BX133" s="10"/>
      <c r="DF133" s="10"/>
      <c r="EN133" s="10"/>
    </row>
    <row r="134" customFormat="false" ht="12.75" hidden="false" customHeight="false" outlineLevel="0" collapsed="false">
      <c r="B134" s="51"/>
      <c r="C134" s="53"/>
      <c r="D134" s="54"/>
      <c r="E134" s="55"/>
      <c r="F134" s="55"/>
      <c r="G134" s="55"/>
      <c r="H134" s="46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0"/>
      <c r="AN134" s="55"/>
      <c r="AO134" s="55"/>
      <c r="AP134" s="10"/>
      <c r="BX134" s="10"/>
      <c r="DF134" s="10"/>
      <c r="EN134" s="10"/>
    </row>
    <row r="135" customFormat="false" ht="12.75" hidden="false" customHeight="false" outlineLevel="0" collapsed="false">
      <c r="B135" s="51"/>
      <c r="C135" s="53"/>
      <c r="D135" s="54"/>
      <c r="E135" s="55"/>
      <c r="F135" s="55"/>
      <c r="G135" s="55"/>
      <c r="H135" s="46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0"/>
      <c r="AN135" s="55"/>
      <c r="AO135" s="55"/>
      <c r="AP135" s="10"/>
      <c r="BX135" s="10"/>
      <c r="DF135" s="10"/>
      <c r="EN135" s="10"/>
    </row>
    <row r="136" customFormat="false" ht="12.75" hidden="false" customHeight="false" outlineLevel="0" collapsed="false">
      <c r="B136" s="51"/>
      <c r="C136" s="53"/>
      <c r="D136" s="54"/>
      <c r="E136" s="55"/>
      <c r="F136" s="55"/>
      <c r="G136" s="55"/>
      <c r="H136" s="46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0"/>
      <c r="AN136" s="55"/>
      <c r="AO136" s="55"/>
      <c r="AP136" s="10"/>
      <c r="BX136" s="10"/>
      <c r="DF136" s="10"/>
      <c r="EN136" s="10"/>
    </row>
    <row r="137" customFormat="false" ht="12.75" hidden="false" customHeight="false" outlineLevel="0" collapsed="false">
      <c r="B137" s="51"/>
      <c r="C137" s="53"/>
      <c r="D137" s="54"/>
      <c r="E137" s="55"/>
      <c r="F137" s="55"/>
      <c r="G137" s="55"/>
      <c r="H137" s="46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0"/>
      <c r="AN137" s="55"/>
      <c r="AO137" s="55"/>
      <c r="AP137" s="10"/>
      <c r="BX137" s="10"/>
      <c r="DF137" s="10"/>
      <c r="EN137" s="10"/>
    </row>
    <row r="138" customFormat="false" ht="12.75" hidden="false" customHeight="false" outlineLevel="0" collapsed="false">
      <c r="B138" s="51"/>
      <c r="C138" s="53"/>
      <c r="D138" s="54"/>
      <c r="E138" s="55"/>
      <c r="F138" s="55"/>
      <c r="G138" s="55"/>
      <c r="H138" s="46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0"/>
      <c r="AN138" s="55"/>
      <c r="AO138" s="55"/>
      <c r="AP138" s="10"/>
      <c r="BX138" s="10"/>
      <c r="DF138" s="10"/>
      <c r="EN138" s="10"/>
    </row>
    <row r="139" customFormat="false" ht="12.75" hidden="false" customHeight="false" outlineLevel="0" collapsed="false">
      <c r="B139" s="51"/>
      <c r="C139" s="53"/>
      <c r="D139" s="54"/>
      <c r="E139" s="55"/>
      <c r="F139" s="55"/>
      <c r="G139" s="55"/>
      <c r="H139" s="46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0"/>
      <c r="AN139" s="55"/>
      <c r="AO139" s="55"/>
      <c r="AP139" s="10"/>
      <c r="BX139" s="10"/>
      <c r="DF139" s="10"/>
      <c r="EN139" s="10"/>
    </row>
    <row r="140" customFormat="false" ht="12.75" hidden="false" customHeight="false" outlineLevel="0" collapsed="false">
      <c r="B140" s="51"/>
      <c r="C140" s="53"/>
      <c r="D140" s="54"/>
      <c r="E140" s="55"/>
      <c r="F140" s="55"/>
      <c r="G140" s="55"/>
      <c r="H140" s="46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0"/>
      <c r="AN140" s="55"/>
      <c r="AO140" s="55"/>
      <c r="AP140" s="10"/>
      <c r="BX140" s="10"/>
      <c r="DF140" s="10"/>
      <c r="EN140" s="10"/>
    </row>
    <row r="141" customFormat="false" ht="13.5" hidden="false" customHeight="false" outlineLevel="0" collapsed="false">
      <c r="B141" s="51"/>
      <c r="C141" s="53"/>
      <c r="D141" s="56"/>
      <c r="E141" s="55"/>
      <c r="F141" s="55"/>
      <c r="G141" s="55"/>
      <c r="H141" s="46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0"/>
      <c r="AN141" s="10"/>
      <c r="AO141" s="10"/>
      <c r="AP141" s="10"/>
      <c r="BX141" s="10"/>
      <c r="DF141" s="10"/>
      <c r="EN141" s="10"/>
    </row>
    <row r="142" customFormat="false" ht="12.75" hidden="false" customHeight="false" outlineLevel="0" collapsed="false">
      <c r="B142" s="51"/>
      <c r="C142" s="53"/>
      <c r="D142" s="57"/>
      <c r="E142" s="55"/>
      <c r="F142" s="55"/>
      <c r="G142" s="55"/>
      <c r="H142" s="46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0"/>
      <c r="AN142" s="10"/>
      <c r="AO142" s="10"/>
      <c r="AP142" s="10"/>
      <c r="BX142" s="10"/>
      <c r="DF142" s="10"/>
      <c r="EN142" s="10"/>
    </row>
    <row r="143" customFormat="false" ht="13.5" hidden="false" customHeight="false" outlineLevel="0" collapsed="false">
      <c r="B143" s="51"/>
      <c r="C143" s="53"/>
      <c r="D143" s="58"/>
      <c r="E143" s="55"/>
      <c r="F143" s="55"/>
      <c r="G143" s="55"/>
      <c r="H143" s="46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0"/>
      <c r="AN143" s="10"/>
      <c r="AO143" s="10"/>
      <c r="AP143" s="10"/>
      <c r="BX143" s="10"/>
      <c r="DF143" s="10"/>
      <c r="EN143" s="10"/>
    </row>
    <row r="144" customFormat="false" ht="13.5" hidden="false" customHeight="false" outlineLevel="0" collapsed="false">
      <c r="B144" s="51"/>
      <c r="C144" s="53"/>
      <c r="D144" s="58"/>
      <c r="E144" s="55"/>
      <c r="F144" s="55"/>
      <c r="G144" s="55"/>
      <c r="H144" s="46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0"/>
      <c r="AN144" s="10"/>
      <c r="AO144" s="10"/>
      <c r="AP144" s="10"/>
      <c r="BX144" s="10"/>
      <c r="DF144" s="10"/>
      <c r="EN144" s="10"/>
    </row>
    <row r="145" customFormat="false" ht="12.75" hidden="false" customHeight="false" outlineLevel="0" collapsed="false">
      <c r="B145" s="51"/>
      <c r="C145" s="53"/>
      <c r="D145" s="59"/>
      <c r="E145" s="55"/>
      <c r="F145" s="55"/>
      <c r="G145" s="55"/>
      <c r="H145" s="46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0"/>
      <c r="AN145" s="10"/>
      <c r="AO145" s="10"/>
      <c r="AP145" s="10"/>
      <c r="BX145" s="10"/>
      <c r="DF145" s="10"/>
      <c r="EN145" s="10"/>
    </row>
    <row r="146" customFormat="false" ht="12.75" hidden="false" customHeight="false" outlineLevel="0" collapsed="false">
      <c r="B146" s="51"/>
      <c r="C146" s="53"/>
      <c r="D146" s="59"/>
      <c r="E146" s="55"/>
      <c r="F146" s="55"/>
      <c r="G146" s="55"/>
      <c r="H146" s="46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0"/>
      <c r="AN146" s="10"/>
      <c r="AO146" s="10"/>
      <c r="AP146" s="10"/>
      <c r="BX146" s="10"/>
      <c r="DF146" s="10"/>
      <c r="EN146" s="10"/>
    </row>
    <row r="147" customFormat="false" ht="12.75" hidden="false" customHeight="false" outlineLevel="0" collapsed="false">
      <c r="B147" s="51"/>
      <c r="C147" s="53"/>
      <c r="D147" s="59"/>
      <c r="E147" s="55"/>
      <c r="F147" s="55"/>
      <c r="G147" s="55"/>
      <c r="H147" s="46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0"/>
      <c r="AN147" s="10"/>
      <c r="AO147" s="10"/>
      <c r="AP147" s="10"/>
      <c r="BX147" s="10"/>
      <c r="DF147" s="10"/>
      <c r="EN147" s="10"/>
    </row>
    <row r="148" customFormat="false" ht="12.75" hidden="false" customHeight="false" outlineLevel="0" collapsed="false">
      <c r="B148" s="51"/>
      <c r="C148" s="53"/>
      <c r="D148" s="59"/>
      <c r="E148" s="55"/>
      <c r="F148" s="55"/>
      <c r="G148" s="55"/>
      <c r="H148" s="46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0"/>
      <c r="AN148" s="10"/>
      <c r="AO148" s="10"/>
      <c r="AP148" s="10"/>
      <c r="BX148" s="10"/>
      <c r="DF148" s="10"/>
      <c r="EN148" s="10"/>
    </row>
    <row r="149" customFormat="false" ht="12.75" hidden="false" customHeight="false" outlineLevel="0" collapsed="false">
      <c r="B149" s="51"/>
      <c r="C149" s="53"/>
      <c r="D149" s="59"/>
      <c r="E149" s="55"/>
      <c r="F149" s="55"/>
      <c r="G149" s="55"/>
      <c r="H149" s="46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0"/>
      <c r="AN149" s="10"/>
      <c r="AO149" s="10"/>
      <c r="AP149" s="10"/>
      <c r="BX149" s="10"/>
      <c r="DF149" s="10"/>
      <c r="EN149" s="10"/>
    </row>
    <row r="150" customFormat="false" ht="12.75" hidden="false" customHeight="false" outlineLevel="0" collapsed="false">
      <c r="B150" s="51"/>
      <c r="C150" s="53"/>
      <c r="D150" s="59"/>
      <c r="E150" s="55"/>
      <c r="F150" s="55"/>
      <c r="G150" s="55"/>
      <c r="H150" s="46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0"/>
      <c r="AP150" s="10"/>
      <c r="BX150" s="10"/>
      <c r="DF150" s="10"/>
      <c r="EN150" s="10"/>
    </row>
    <row r="151" customFormat="false" ht="12.75" hidden="false" customHeight="false" outlineLevel="0" collapsed="false">
      <c r="B151" s="51"/>
      <c r="C151" s="53"/>
      <c r="D151" s="59"/>
      <c r="E151" s="55"/>
      <c r="F151" s="55"/>
      <c r="G151" s="55"/>
      <c r="H151" s="46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0"/>
      <c r="AN151" s="10"/>
      <c r="AO151" s="10"/>
      <c r="AP151" s="10"/>
      <c r="BX151" s="10"/>
      <c r="DF151" s="10"/>
      <c r="EN151" s="10"/>
    </row>
    <row r="152" customFormat="false" ht="12.75" hidden="false" customHeight="false" outlineLevel="0" collapsed="false">
      <c r="B152" s="51"/>
      <c r="C152" s="53"/>
      <c r="D152" s="59"/>
      <c r="E152" s="55"/>
      <c r="F152" s="55"/>
      <c r="G152" s="55"/>
      <c r="H152" s="46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0"/>
      <c r="AN152" s="10"/>
      <c r="AO152" s="10"/>
      <c r="AP152" s="10"/>
      <c r="BX152" s="10"/>
      <c r="DF152" s="10"/>
      <c r="EN152" s="10"/>
    </row>
    <row r="153" customFormat="false" ht="12.75" hidden="false" customHeight="false" outlineLevel="0" collapsed="false">
      <c r="B153" s="51"/>
      <c r="C153" s="53"/>
      <c r="D153" s="59"/>
      <c r="E153" s="55"/>
      <c r="F153" s="55"/>
      <c r="G153" s="55"/>
      <c r="H153" s="46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0"/>
      <c r="AN153" s="10"/>
      <c r="AO153" s="10"/>
      <c r="AP153" s="10"/>
      <c r="BX153" s="10"/>
      <c r="DF153" s="10"/>
      <c r="EN153" s="10"/>
    </row>
    <row r="154" customFormat="false" ht="12.75" hidden="false" customHeight="false" outlineLevel="0" collapsed="false">
      <c r="B154" s="51"/>
      <c r="C154" s="53"/>
      <c r="D154" s="59"/>
      <c r="E154" s="55"/>
      <c r="F154" s="55"/>
      <c r="G154" s="55"/>
      <c r="H154" s="46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0"/>
      <c r="AN154" s="10"/>
      <c r="AO154" s="10"/>
      <c r="AP154" s="10"/>
      <c r="BX154" s="10"/>
      <c r="DF154" s="10"/>
      <c r="EN154" s="10"/>
    </row>
    <row r="155" customFormat="false" ht="12.75" hidden="false" customHeight="false" outlineLevel="0" collapsed="false">
      <c r="B155" s="51"/>
      <c r="C155" s="53"/>
      <c r="D155" s="59"/>
      <c r="E155" s="55"/>
      <c r="F155" s="55"/>
      <c r="G155" s="55"/>
      <c r="H155" s="46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0"/>
      <c r="AN155" s="10"/>
      <c r="AO155" s="10"/>
      <c r="AP155" s="10"/>
      <c r="BX155" s="10"/>
      <c r="DF155" s="10"/>
      <c r="EN155" s="10"/>
    </row>
    <row r="156" customFormat="false" ht="12.75" hidden="false" customHeight="false" outlineLevel="0" collapsed="false">
      <c r="B156" s="51"/>
      <c r="C156" s="53"/>
      <c r="D156" s="59"/>
      <c r="E156" s="55"/>
      <c r="F156" s="55"/>
      <c r="G156" s="55"/>
      <c r="H156" s="46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0"/>
      <c r="AN156" s="10"/>
      <c r="AO156" s="10"/>
      <c r="AP156" s="10"/>
      <c r="BX156" s="10"/>
      <c r="DF156" s="10"/>
      <c r="EN156" s="10"/>
    </row>
    <row r="157" customFormat="false" ht="12.75" hidden="false" customHeight="false" outlineLevel="0" collapsed="false">
      <c r="B157" s="51"/>
      <c r="C157" s="53"/>
      <c r="D157" s="59"/>
      <c r="E157" s="55"/>
      <c r="F157" s="55"/>
      <c r="G157" s="55"/>
      <c r="H157" s="46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0"/>
      <c r="AN157" s="10"/>
      <c r="AO157" s="10"/>
      <c r="AP157" s="10"/>
      <c r="BX157" s="10"/>
      <c r="DF157" s="10"/>
      <c r="EN157" s="10"/>
    </row>
    <row r="158" customFormat="false" ht="12.75" hidden="false" customHeight="false" outlineLevel="0" collapsed="false">
      <c r="B158" s="51"/>
      <c r="C158" s="53"/>
      <c r="D158" s="59"/>
      <c r="E158" s="55"/>
      <c r="F158" s="55"/>
      <c r="G158" s="55"/>
      <c r="H158" s="46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0"/>
      <c r="AN158" s="10"/>
      <c r="AO158" s="10"/>
      <c r="AP158" s="10"/>
      <c r="BX158" s="10"/>
      <c r="DF158" s="10"/>
      <c r="EN158" s="10"/>
    </row>
    <row r="159" customFormat="false" ht="12.75" hidden="false" customHeight="false" outlineLevel="0" collapsed="false">
      <c r="B159" s="51"/>
      <c r="C159" s="53"/>
      <c r="D159" s="59"/>
      <c r="E159" s="55"/>
      <c r="F159" s="55"/>
      <c r="G159" s="55"/>
      <c r="H159" s="46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0"/>
      <c r="AN159" s="10"/>
      <c r="AO159" s="10"/>
      <c r="AP159" s="10"/>
      <c r="BX159" s="10"/>
      <c r="DF159" s="10"/>
      <c r="EN159" s="10"/>
    </row>
    <row r="160" customFormat="false" ht="12.75" hidden="false" customHeight="false" outlineLevel="0" collapsed="false">
      <c r="B160" s="51"/>
      <c r="C160" s="53"/>
      <c r="D160" s="59"/>
      <c r="E160" s="55"/>
      <c r="F160" s="55"/>
      <c r="G160" s="55"/>
      <c r="H160" s="46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0"/>
      <c r="AN160" s="10"/>
      <c r="AO160" s="10"/>
      <c r="AP160" s="10"/>
      <c r="BX160" s="10"/>
      <c r="DF160" s="10"/>
      <c r="EN160" s="10"/>
    </row>
    <row r="161" customFormat="false" ht="12.75" hidden="false" customHeight="false" outlineLevel="0" collapsed="false">
      <c r="B161" s="51"/>
      <c r="C161" s="53"/>
      <c r="D161" s="59"/>
      <c r="E161" s="55"/>
      <c r="F161" s="55"/>
      <c r="G161" s="55"/>
      <c r="H161" s="46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0"/>
      <c r="AN161" s="10"/>
      <c r="AO161" s="10"/>
      <c r="AP161" s="10"/>
      <c r="BX161" s="10"/>
      <c r="DF161" s="10"/>
      <c r="EN161" s="10"/>
    </row>
    <row r="162" customFormat="false" ht="12.75" hidden="false" customHeight="false" outlineLevel="0" collapsed="false">
      <c r="B162" s="51"/>
      <c r="C162" s="53"/>
      <c r="D162" s="59"/>
      <c r="E162" s="55"/>
      <c r="F162" s="55"/>
      <c r="G162" s="55"/>
      <c r="H162" s="46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0"/>
      <c r="AN162" s="10"/>
      <c r="AO162" s="10"/>
      <c r="AP162" s="10"/>
      <c r="BX162" s="10"/>
      <c r="DF162" s="10"/>
      <c r="EN162" s="10"/>
    </row>
    <row r="163" customFormat="false" ht="12.75" hidden="false" customHeight="false" outlineLevel="0" collapsed="false">
      <c r="B163" s="51"/>
      <c r="C163" s="53"/>
      <c r="D163" s="59"/>
      <c r="E163" s="55"/>
      <c r="F163" s="55"/>
      <c r="G163" s="55"/>
      <c r="H163" s="46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0"/>
      <c r="AN163" s="10"/>
      <c r="AO163" s="10"/>
      <c r="AP163" s="10"/>
      <c r="BX163" s="10"/>
      <c r="DF163" s="10"/>
      <c r="EN163" s="10"/>
    </row>
    <row r="164" customFormat="false" ht="12.75" hidden="false" customHeight="false" outlineLevel="0" collapsed="false">
      <c r="B164" s="51"/>
      <c r="C164" s="53"/>
      <c r="D164" s="59"/>
      <c r="E164" s="55"/>
      <c r="F164" s="55"/>
      <c r="G164" s="55"/>
      <c r="H164" s="46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0"/>
      <c r="AN164" s="10"/>
      <c r="AO164" s="10"/>
      <c r="AP164" s="10"/>
      <c r="BX164" s="10"/>
      <c r="DF164" s="10"/>
      <c r="EN164" s="10"/>
    </row>
    <row r="165" customFormat="false" ht="12.75" hidden="false" customHeight="false" outlineLevel="0" collapsed="false">
      <c r="B165" s="51"/>
      <c r="C165" s="53"/>
      <c r="D165" s="59"/>
      <c r="E165" s="55"/>
      <c r="F165" s="55"/>
      <c r="G165" s="55"/>
      <c r="H165" s="46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0"/>
      <c r="AN165" s="10"/>
      <c r="AO165" s="10"/>
      <c r="AP165" s="10"/>
      <c r="BX165" s="10"/>
      <c r="DF165" s="10"/>
      <c r="EN165" s="10"/>
    </row>
    <row r="166" customFormat="false" ht="12.75" hidden="false" customHeight="false" outlineLevel="0" collapsed="false">
      <c r="B166" s="51"/>
      <c r="C166" s="53"/>
      <c r="D166" s="59"/>
      <c r="E166" s="55"/>
      <c r="F166" s="55"/>
      <c r="G166" s="55"/>
      <c r="H166" s="46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0"/>
      <c r="AN166" s="10"/>
      <c r="AO166" s="10"/>
      <c r="AP166" s="10"/>
      <c r="BX166" s="10"/>
      <c r="DF166" s="10"/>
      <c r="EN166" s="10"/>
    </row>
    <row r="167" customFormat="false" ht="12.75" hidden="false" customHeight="false" outlineLevel="0" collapsed="false">
      <c r="B167" s="51"/>
      <c r="C167" s="53"/>
      <c r="D167" s="59"/>
      <c r="E167" s="55"/>
      <c r="F167" s="55"/>
      <c r="G167" s="55"/>
      <c r="H167" s="46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0"/>
      <c r="AN167" s="10"/>
      <c r="AO167" s="10"/>
      <c r="AP167" s="10"/>
      <c r="BX167" s="10"/>
      <c r="DF167" s="10"/>
      <c r="EN167" s="10"/>
    </row>
    <row r="168" customFormat="false" ht="12.75" hidden="false" customHeight="false" outlineLevel="0" collapsed="false">
      <c r="B168" s="51"/>
      <c r="C168" s="53"/>
      <c r="D168" s="59"/>
      <c r="E168" s="55"/>
      <c r="F168" s="55"/>
      <c r="G168" s="55"/>
      <c r="H168" s="46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0"/>
      <c r="AN168" s="10"/>
      <c r="AO168" s="10"/>
      <c r="AP168" s="10"/>
      <c r="BX168" s="10"/>
      <c r="DF168" s="10"/>
      <c r="EN168" s="10"/>
    </row>
    <row r="169" customFormat="false" ht="12.75" hidden="false" customHeight="false" outlineLevel="0" collapsed="false">
      <c r="B169" s="51"/>
      <c r="C169" s="53"/>
      <c r="D169" s="59"/>
      <c r="E169" s="55"/>
      <c r="F169" s="55"/>
      <c r="G169" s="55"/>
      <c r="H169" s="46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0"/>
      <c r="AN169" s="10"/>
      <c r="AO169" s="10"/>
      <c r="AP169" s="10"/>
      <c r="BX169" s="10"/>
      <c r="DF169" s="10"/>
      <c r="EN169" s="10"/>
    </row>
    <row r="170" customFormat="false" ht="12.75" hidden="false" customHeight="false" outlineLevel="0" collapsed="false">
      <c r="B170" s="51"/>
      <c r="C170" s="53"/>
      <c r="D170" s="59"/>
      <c r="E170" s="55"/>
      <c r="F170" s="55"/>
      <c r="G170" s="55"/>
      <c r="H170" s="46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0"/>
      <c r="AN170" s="10"/>
      <c r="AO170" s="10"/>
      <c r="AP170" s="10"/>
      <c r="BX170" s="10"/>
      <c r="DF170" s="10"/>
      <c r="EN170" s="10"/>
    </row>
    <row r="171" customFormat="false" ht="12.75" hidden="false" customHeight="false" outlineLevel="0" collapsed="false">
      <c r="B171" s="51"/>
      <c r="C171" s="53"/>
      <c r="D171" s="59"/>
      <c r="E171" s="55"/>
      <c r="F171" s="55"/>
      <c r="G171" s="55"/>
      <c r="H171" s="46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0"/>
      <c r="AN171" s="10"/>
      <c r="AO171" s="10"/>
      <c r="AP171" s="10"/>
      <c r="BX171" s="10"/>
      <c r="DF171" s="10"/>
      <c r="EN171" s="10"/>
    </row>
    <row r="172" customFormat="false" ht="12.75" hidden="false" customHeight="false" outlineLevel="0" collapsed="false">
      <c r="B172" s="51"/>
      <c r="C172" s="53"/>
      <c r="D172" s="59"/>
      <c r="E172" s="55"/>
      <c r="F172" s="55"/>
      <c r="G172" s="55"/>
      <c r="H172" s="46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0"/>
      <c r="AN172" s="10"/>
      <c r="AO172" s="10"/>
      <c r="AP172" s="10"/>
      <c r="BX172" s="10"/>
      <c r="DF172" s="10"/>
      <c r="EN172" s="10"/>
    </row>
    <row r="173" customFormat="false" ht="12.75" hidden="false" customHeight="false" outlineLevel="0" collapsed="false">
      <c r="B173" s="51"/>
      <c r="C173" s="53"/>
      <c r="D173" s="59"/>
      <c r="E173" s="55"/>
      <c r="F173" s="55"/>
      <c r="G173" s="55"/>
      <c r="H173" s="46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0"/>
      <c r="AN173" s="10"/>
      <c r="AO173" s="10"/>
      <c r="AP173" s="10"/>
      <c r="BX173" s="10"/>
      <c r="DF173" s="10"/>
      <c r="EN173" s="10"/>
    </row>
    <row r="174" customFormat="false" ht="12.75" hidden="false" customHeight="false" outlineLevel="0" collapsed="false">
      <c r="B174" s="51"/>
      <c r="C174" s="53"/>
      <c r="D174" s="59"/>
      <c r="E174" s="55"/>
      <c r="F174" s="55"/>
      <c r="G174" s="55"/>
      <c r="H174" s="46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0"/>
      <c r="AN174" s="10"/>
      <c r="AO174" s="10"/>
      <c r="AP174" s="10"/>
      <c r="BX174" s="10"/>
      <c r="DF174" s="10"/>
      <c r="EN174" s="10"/>
    </row>
    <row r="175" customFormat="false" ht="12.75" hidden="false" customHeight="false" outlineLevel="0" collapsed="false">
      <c r="B175" s="60"/>
      <c r="C175" s="59"/>
      <c r="D175" s="59"/>
      <c r="E175" s="55"/>
      <c r="F175" s="55"/>
      <c r="G175" s="55"/>
      <c r="H175" s="46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0"/>
      <c r="AN175" s="10"/>
      <c r="AO175" s="10"/>
      <c r="AP175" s="10"/>
      <c r="BX175" s="10"/>
      <c r="DF175" s="10"/>
      <c r="EN175" s="10"/>
    </row>
    <row r="176" customFormat="false" ht="12.75" hidden="false" customHeight="false" outlineLevel="0" collapsed="false">
      <c r="B176" s="60"/>
      <c r="C176" s="59"/>
      <c r="D176" s="59"/>
      <c r="E176" s="55"/>
      <c r="F176" s="55"/>
      <c r="G176" s="55"/>
      <c r="H176" s="46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0"/>
      <c r="AN176" s="10"/>
      <c r="AO176" s="10"/>
      <c r="AP176" s="10"/>
      <c r="BX176" s="10"/>
      <c r="DF176" s="10"/>
      <c r="EN176" s="10"/>
    </row>
    <row r="177" customFormat="false" ht="12.75" hidden="false" customHeight="false" outlineLevel="0" collapsed="false">
      <c r="B177" s="60"/>
      <c r="C177" s="59"/>
      <c r="D177" s="59"/>
      <c r="E177" s="55"/>
      <c r="F177" s="55"/>
      <c r="G177" s="55"/>
      <c r="H177" s="46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0"/>
      <c r="AN177" s="10"/>
      <c r="AO177" s="10"/>
      <c r="AP177" s="10"/>
      <c r="BX177" s="10"/>
      <c r="DF177" s="10"/>
      <c r="EN177" s="10"/>
    </row>
    <row r="178" customFormat="false" ht="12.75" hidden="false" customHeight="false" outlineLevel="0" collapsed="false">
      <c r="B178" s="60"/>
      <c r="C178" s="59"/>
      <c r="D178" s="59"/>
      <c r="E178" s="55"/>
      <c r="F178" s="55"/>
      <c r="G178" s="55"/>
      <c r="H178" s="46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0"/>
      <c r="AN178" s="10"/>
      <c r="AO178" s="10"/>
      <c r="AP178" s="10"/>
      <c r="BX178" s="10"/>
      <c r="DF178" s="10"/>
      <c r="EN178" s="10"/>
    </row>
    <row r="179" customFormat="false" ht="12.75" hidden="false" customHeight="false" outlineLevel="0" collapsed="false">
      <c r="B179" s="60"/>
      <c r="C179" s="59"/>
      <c r="D179" s="59"/>
      <c r="E179" s="55"/>
      <c r="F179" s="55"/>
      <c r="G179" s="55"/>
      <c r="H179" s="46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0"/>
      <c r="AN179" s="10"/>
      <c r="AO179" s="10"/>
      <c r="AP179" s="10"/>
      <c r="BX179" s="10"/>
      <c r="DF179" s="10"/>
      <c r="EN179" s="10"/>
    </row>
    <row r="180" customFormat="false" ht="12.75" hidden="false" customHeight="false" outlineLevel="0" collapsed="false">
      <c r="B180" s="60"/>
      <c r="C180" s="59"/>
      <c r="D180" s="59"/>
      <c r="E180" s="55"/>
      <c r="F180" s="55"/>
      <c r="G180" s="55"/>
      <c r="H180" s="46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0"/>
      <c r="AN180" s="10"/>
      <c r="AO180" s="10"/>
      <c r="AP180" s="10"/>
      <c r="BX180" s="10"/>
      <c r="DF180" s="10"/>
      <c r="EN180" s="10"/>
    </row>
    <row r="181" customFormat="false" ht="12.75" hidden="false" customHeight="false" outlineLevel="0" collapsed="false">
      <c r="B181" s="60"/>
      <c r="C181" s="59"/>
      <c r="D181" s="59"/>
      <c r="E181" s="55"/>
      <c r="F181" s="55"/>
      <c r="G181" s="55"/>
      <c r="H181" s="46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0"/>
      <c r="AN181" s="10"/>
      <c r="AO181" s="10"/>
      <c r="AP181" s="10"/>
      <c r="BX181" s="10"/>
      <c r="DF181" s="10"/>
      <c r="EN181" s="10"/>
    </row>
    <row r="182" customFormat="false" ht="12.75" hidden="false" customHeight="false" outlineLevel="0" collapsed="false">
      <c r="B182" s="60"/>
      <c r="C182" s="59"/>
      <c r="D182" s="59"/>
      <c r="E182" s="55"/>
      <c r="F182" s="55"/>
      <c r="G182" s="55"/>
      <c r="H182" s="46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0"/>
      <c r="AN182" s="10"/>
      <c r="AO182" s="10"/>
      <c r="AP182" s="10"/>
      <c r="BX182" s="10"/>
      <c r="DF182" s="10"/>
      <c r="EN182" s="10"/>
    </row>
    <row r="183" customFormat="false" ht="12.75" hidden="false" customHeight="false" outlineLevel="0" collapsed="false">
      <c r="B183" s="60"/>
      <c r="C183" s="59"/>
      <c r="D183" s="59"/>
      <c r="E183" s="55"/>
      <c r="F183" s="55"/>
      <c r="G183" s="55"/>
      <c r="H183" s="46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0"/>
      <c r="AN183" s="10"/>
      <c r="AO183" s="10"/>
      <c r="AP183" s="10"/>
      <c r="BX183" s="10"/>
      <c r="DF183" s="10"/>
      <c r="EN183" s="10"/>
    </row>
    <row r="184" customFormat="false" ht="12.75" hidden="false" customHeight="false" outlineLevel="0" collapsed="false">
      <c r="B184" s="60"/>
      <c r="C184" s="59"/>
      <c r="D184" s="59"/>
      <c r="E184" s="55"/>
      <c r="F184" s="55"/>
      <c r="G184" s="55"/>
      <c r="H184" s="46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0"/>
      <c r="AN184" s="10"/>
      <c r="AO184" s="10"/>
      <c r="AP184" s="10"/>
      <c r="BX184" s="10"/>
      <c r="DF184" s="10"/>
      <c r="EN184" s="10"/>
    </row>
    <row r="185" customFormat="false" ht="12.75" hidden="false" customHeight="false" outlineLevel="0" collapsed="false">
      <c r="B185" s="60"/>
      <c r="C185" s="59"/>
      <c r="D185" s="59"/>
      <c r="E185" s="55"/>
      <c r="F185" s="55"/>
      <c r="G185" s="55"/>
      <c r="H185" s="46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0"/>
      <c r="AN185" s="10"/>
      <c r="AO185" s="10"/>
      <c r="AP185" s="10"/>
      <c r="BX185" s="10"/>
      <c r="DF185" s="10"/>
      <c r="EN185" s="10"/>
    </row>
    <row r="186" customFormat="false" ht="12.75" hidden="false" customHeight="false" outlineLevel="0" collapsed="false">
      <c r="B186" s="60"/>
      <c r="C186" s="59"/>
      <c r="D186" s="59"/>
      <c r="E186" s="55"/>
      <c r="F186" s="55"/>
      <c r="G186" s="55"/>
      <c r="H186" s="46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0"/>
      <c r="AN186" s="10"/>
      <c r="AO186" s="10"/>
      <c r="AP186" s="10"/>
      <c r="BX186" s="10"/>
      <c r="DF186" s="10"/>
      <c r="EN186" s="10"/>
    </row>
    <row r="187" customFormat="false" ht="12.75" hidden="false" customHeight="false" outlineLevel="0" collapsed="false">
      <c r="B187" s="60"/>
      <c r="C187" s="59"/>
      <c r="D187" s="59"/>
      <c r="E187" s="55"/>
      <c r="F187" s="55"/>
      <c r="G187" s="55"/>
      <c r="H187" s="46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0"/>
      <c r="AN187" s="10"/>
      <c r="AO187" s="10"/>
      <c r="AP187" s="10"/>
      <c r="BX187" s="10"/>
      <c r="DF187" s="10"/>
      <c r="EN187" s="10"/>
    </row>
  </sheetData>
  <printOptions headings="true" gridLines="tru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T1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4" activeCellId="0" sqref="B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8.7"/>
    <col collapsed="false" customWidth="true" hidden="false" outlineLevel="0" max="2" min="2" style="1" width="9.56"/>
    <col collapsed="false" customWidth="true" hidden="false" outlineLevel="0" max="4" min="3" style="1" width="9.14"/>
    <col collapsed="false" customWidth="true" hidden="false" outlineLevel="0" max="5" min="5" style="1" width="10.13"/>
    <col collapsed="false" customWidth="true" hidden="false" outlineLevel="0" max="42" min="6" style="1" width="9.14"/>
    <col collapsed="false" customWidth="true" hidden="false" outlineLevel="0" max="76" min="76" style="1" width="9.14"/>
    <col collapsed="false" customWidth="true" hidden="false" outlineLevel="0" max="110" min="110" style="1" width="9.14"/>
    <col collapsed="false" customWidth="true" hidden="false" outlineLevel="0" max="144" min="144" style="1" width="9.14"/>
  </cols>
  <sheetData>
    <row r="1" customFormat="false" ht="12.75" hidden="false" customHeight="false" outlineLevel="0" collapsed="false">
      <c r="A1" s="5"/>
      <c r="B1" s="102"/>
      <c r="C1" s="4"/>
      <c r="D1" s="2" t="s">
        <v>134</v>
      </c>
      <c r="E1" s="2" t="n">
        <f aca="false">summerstrip</f>
        <v>5.3329</v>
      </c>
      <c r="F1" s="2"/>
      <c r="G1" s="103" t="s">
        <v>4</v>
      </c>
      <c r="I1" s="0"/>
      <c r="J1" s="0" t="s">
        <v>168</v>
      </c>
      <c r="K1" s="0"/>
      <c r="L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</row>
    <row r="2" customFormat="false" ht="12.75" hidden="false" customHeight="false" outlineLevel="0" collapsed="false">
      <c r="A2" s="5" t="s">
        <v>136</v>
      </c>
      <c r="B2" s="104" t="n">
        <f aca="true">TODAY()</f>
        <v>45926</v>
      </c>
      <c r="C2" s="4"/>
      <c r="D2" s="2" t="s">
        <v>137</v>
      </c>
      <c r="E2" s="2" t="n">
        <f aca="false">winterstrip</f>
        <v>5.12898285714286</v>
      </c>
      <c r="F2" s="2"/>
      <c r="G2" s="2"/>
      <c r="I2" s="0"/>
      <c r="K2" s="0" t="s">
        <v>169</v>
      </c>
      <c r="L2" s="0" t="s">
        <v>170</v>
      </c>
      <c r="O2" s="0"/>
      <c r="P2" s="0"/>
      <c r="Q2" s="0"/>
      <c r="S2" s="0"/>
      <c r="T2" s="0"/>
      <c r="U2" s="0"/>
      <c r="V2" s="0"/>
      <c r="W2" s="0"/>
      <c r="X2" s="0"/>
      <c r="Z2" s="0"/>
      <c r="AA2" s="0"/>
      <c r="AB2" s="0"/>
      <c r="AC2" s="0"/>
      <c r="AD2" s="0"/>
      <c r="AE2" s="0"/>
      <c r="AG2" s="0"/>
      <c r="AH2" s="0"/>
      <c r="AI2" s="0"/>
      <c r="AJ2" s="0"/>
      <c r="AK2" s="0"/>
      <c r="AL2" s="0"/>
      <c r="AP2" s="10"/>
      <c r="BX2" s="10"/>
      <c r="DF2" s="10"/>
      <c r="EN2" s="10"/>
    </row>
    <row r="3" customFormat="false" ht="12.75" hidden="false" customHeight="false" outlineLevel="0" collapsed="false">
      <c r="A3" s="2" t="s">
        <v>141</v>
      </c>
      <c r="B3" s="64" t="s">
        <v>35</v>
      </c>
      <c r="D3" s="64" t="s">
        <v>35</v>
      </c>
      <c r="E3" s="64" t="s">
        <v>35</v>
      </c>
      <c r="F3" s="64" t="s">
        <v>37</v>
      </c>
      <c r="H3" s="64" t="s">
        <v>31</v>
      </c>
      <c r="I3" s="14"/>
      <c r="J3" s="1" t="n">
        <v>-1</v>
      </c>
      <c r="K3" s="142" t="e">
        <f aca="false">#REF!</f>
        <v>#REF!</v>
      </c>
      <c r="L3" s="142" t="e">
        <f aca="false">#REF!</f>
        <v>#REF!</v>
      </c>
      <c r="O3" s="14"/>
      <c r="P3" s="14"/>
      <c r="Q3" s="14"/>
      <c r="S3" s="14"/>
      <c r="T3" s="14"/>
      <c r="U3" s="14"/>
      <c r="V3" s="14"/>
      <c r="W3" s="14"/>
      <c r="X3" s="14"/>
      <c r="Z3" s="14"/>
      <c r="AA3" s="14"/>
      <c r="AB3" s="14"/>
      <c r="AC3" s="14"/>
      <c r="AD3" s="14"/>
      <c r="AE3" s="14"/>
      <c r="AG3" s="14"/>
      <c r="AH3" s="14"/>
      <c r="AI3" s="14"/>
      <c r="AJ3" s="14"/>
      <c r="AK3" s="14"/>
      <c r="AL3" s="14"/>
      <c r="AP3" s="10"/>
      <c r="BX3" s="10"/>
      <c r="DF3" s="10"/>
      <c r="EN3" s="10"/>
    </row>
    <row r="4" customFormat="false" ht="12.75" hidden="false" customHeight="false" outlineLevel="0" collapsed="false">
      <c r="A4" s="2"/>
      <c r="B4" s="64" t="s">
        <v>174</v>
      </c>
      <c r="D4" s="64" t="s">
        <v>174</v>
      </c>
      <c r="E4" s="2"/>
      <c r="F4" s="64" t="s">
        <v>174</v>
      </c>
      <c r="G4" s="2"/>
      <c r="H4" s="64" t="s">
        <v>49</v>
      </c>
      <c r="I4" s="14"/>
      <c r="K4" s="142"/>
      <c r="L4" s="142"/>
      <c r="O4" s="14"/>
      <c r="P4" s="14"/>
      <c r="Q4" s="14"/>
      <c r="S4" s="14"/>
      <c r="T4" s="14"/>
      <c r="U4" s="14"/>
      <c r="V4" s="14"/>
      <c r="W4" s="14"/>
      <c r="X4" s="14"/>
      <c r="Z4" s="14"/>
      <c r="AA4" s="14"/>
      <c r="AB4" s="14"/>
      <c r="AC4" s="14"/>
      <c r="AD4" s="14"/>
      <c r="AE4" s="14"/>
      <c r="AG4" s="14"/>
      <c r="AH4" s="14"/>
      <c r="AI4" s="14"/>
      <c r="AJ4" s="14"/>
      <c r="AK4" s="14"/>
      <c r="AL4" s="14"/>
      <c r="AP4" s="10"/>
      <c r="BX4" s="10"/>
      <c r="DF4" s="10"/>
      <c r="EN4" s="10"/>
    </row>
    <row r="5" customFormat="false" ht="12.75" hidden="false" customHeight="false" outlineLevel="0" collapsed="false">
      <c r="A5" s="2"/>
      <c r="B5" s="2" t="s">
        <v>7</v>
      </c>
      <c r="D5" s="2" t="s">
        <v>8</v>
      </c>
      <c r="F5" s="2" t="s">
        <v>143</v>
      </c>
      <c r="H5" s="2" t="s">
        <v>144</v>
      </c>
      <c r="K5" s="142" t="e">
        <f aca="false">#REF!</f>
        <v>#REF!</v>
      </c>
      <c r="L5" s="142" t="e">
        <f aca="false">#REF!</f>
        <v>#REF!</v>
      </c>
      <c r="AP5" s="10"/>
      <c r="BX5" s="10"/>
      <c r="DF5" s="10"/>
      <c r="EN5" s="10"/>
    </row>
    <row r="6" customFormat="false" ht="12.75" hidden="false" customHeight="false" outlineLevel="0" collapsed="false">
      <c r="A6" s="2" t="s">
        <v>145</v>
      </c>
      <c r="B6" s="70" t="n">
        <v>36831</v>
      </c>
      <c r="C6" s="143"/>
      <c r="D6" s="70" t="n">
        <v>36831</v>
      </c>
      <c r="E6" s="143"/>
      <c r="F6" s="70" t="n">
        <v>36982</v>
      </c>
      <c r="G6" s="143"/>
      <c r="H6" s="70" t="n">
        <v>36831</v>
      </c>
      <c r="K6" s="142" t="e">
        <f aca="false">#REF!</f>
        <v>#REF!</v>
      </c>
      <c r="L6" s="142" t="e">
        <f aca="false">#REF!</f>
        <v>#REF!</v>
      </c>
      <c r="M6" s="2"/>
      <c r="N6" s="105"/>
      <c r="AP6" s="10"/>
      <c r="BX6" s="10"/>
      <c r="DF6" s="10"/>
      <c r="EN6" s="10"/>
    </row>
    <row r="7" customFormat="false" ht="12.75" hidden="false" customHeight="false" outlineLevel="0" collapsed="false">
      <c r="A7" s="5" t="s">
        <v>146</v>
      </c>
      <c r="B7" s="70" t="n">
        <v>36951</v>
      </c>
      <c r="C7" s="143"/>
      <c r="D7" s="70" t="n">
        <v>36951</v>
      </c>
      <c r="E7" s="143"/>
      <c r="F7" s="70" t="n">
        <v>37165</v>
      </c>
      <c r="G7" s="143"/>
      <c r="H7" s="70" t="n">
        <v>36951</v>
      </c>
      <c r="K7" s="107"/>
      <c r="L7" s="108"/>
      <c r="M7" s="5"/>
      <c r="N7" s="105"/>
      <c r="AP7" s="10"/>
      <c r="BX7" s="10"/>
      <c r="DF7" s="10"/>
      <c r="EN7" s="10"/>
    </row>
    <row r="8" customFormat="false" ht="12.75" hidden="false" customHeight="false" outlineLevel="0" collapsed="false">
      <c r="A8" s="109"/>
      <c r="B8" s="110"/>
      <c r="C8" s="111"/>
      <c r="D8" s="110"/>
      <c r="E8" s="111"/>
      <c r="F8" s="110"/>
      <c r="G8" s="111"/>
      <c r="H8" s="110"/>
      <c r="I8" s="111"/>
      <c r="M8" s="109"/>
      <c r="N8" s="112"/>
      <c r="O8" s="111"/>
      <c r="P8" s="111"/>
      <c r="Q8" s="111"/>
      <c r="S8" s="111"/>
      <c r="T8" s="111"/>
      <c r="U8" s="111"/>
      <c r="V8" s="111"/>
      <c r="W8" s="111"/>
      <c r="X8" s="111"/>
      <c r="Z8" s="111"/>
      <c r="AA8" s="111"/>
      <c r="AB8" s="111"/>
      <c r="AC8" s="111"/>
      <c r="AD8" s="111"/>
      <c r="AE8" s="111"/>
      <c r="AG8" s="111"/>
      <c r="AH8" s="111"/>
      <c r="AI8" s="111"/>
      <c r="AJ8" s="111"/>
      <c r="AK8" s="111"/>
      <c r="AP8" s="10"/>
      <c r="BX8" s="10"/>
      <c r="DF8" s="10"/>
      <c r="EN8" s="10"/>
    </row>
    <row r="9" customFormat="false" ht="12.75" hidden="false" customHeight="false" outlineLevel="0" collapsed="false">
      <c r="A9" s="109" t="s">
        <v>51</v>
      </c>
      <c r="B9" s="110" t="n">
        <f aca="false">AS31-AT31</f>
        <v>1.88172185430464</v>
      </c>
      <c r="C9" s="111"/>
      <c r="D9" s="110" t="n">
        <f aca="false">CA31-CB31</f>
        <v>1.88172185430464</v>
      </c>
      <c r="E9" s="111"/>
      <c r="F9" s="110" t="n">
        <f aca="false">DI31-DJ31</f>
        <v>-0.552616822429907</v>
      </c>
      <c r="G9" s="111"/>
      <c r="H9" s="110" t="n">
        <f aca="false">EQ31-ER31</f>
        <v>-0.0460927152317883</v>
      </c>
      <c r="I9" s="111"/>
      <c r="J9" s="64"/>
      <c r="L9" s="64"/>
      <c r="M9" s="109"/>
      <c r="N9" s="112"/>
      <c r="O9" s="111"/>
      <c r="P9" s="111"/>
      <c r="Q9" s="111"/>
      <c r="S9" s="111"/>
      <c r="T9" s="111"/>
      <c r="U9" s="111"/>
      <c r="V9" s="111"/>
      <c r="W9" s="111"/>
      <c r="X9" s="111"/>
      <c r="Z9" s="111"/>
      <c r="AA9" s="111"/>
      <c r="AB9" s="111"/>
      <c r="AC9" s="111"/>
      <c r="AD9" s="111"/>
      <c r="AE9" s="111"/>
      <c r="AG9" s="111"/>
      <c r="AH9" s="111"/>
      <c r="AI9" s="111"/>
      <c r="AJ9" s="111"/>
      <c r="AK9" s="111"/>
      <c r="AP9" s="10"/>
      <c r="BX9" s="10"/>
      <c r="DF9" s="10"/>
      <c r="EN9" s="10"/>
    </row>
    <row r="10" customFormat="false" ht="12.75" hidden="false" customHeight="false" outlineLevel="0" collapsed="false">
      <c r="A10" s="109" t="s">
        <v>175</v>
      </c>
      <c r="B10" s="110" t="n">
        <f aca="false">AT31</f>
        <v>5.30147549668874</v>
      </c>
      <c r="C10" s="111"/>
      <c r="D10" s="110" t="n">
        <f aca="false">CB31</f>
        <v>5.30147549668874</v>
      </c>
      <c r="E10" s="111"/>
      <c r="F10" s="110" t="n">
        <f aca="false">DJ31</f>
        <v>4.43961615487317</v>
      </c>
      <c r="G10" s="111"/>
      <c r="H10" s="110" t="n">
        <f aca="false">ER31</f>
        <v>5.30147549668874</v>
      </c>
      <c r="I10" s="0"/>
      <c r="M10" s="62"/>
      <c r="N10" s="115"/>
      <c r="O10" s="111"/>
      <c r="P10" s="111"/>
      <c r="Q10" s="111"/>
      <c r="S10" s="111"/>
      <c r="T10" s="111"/>
      <c r="U10" s="111"/>
      <c r="V10" s="111"/>
      <c r="W10" s="111"/>
      <c r="X10" s="111"/>
      <c r="Z10" s="111"/>
      <c r="AA10" s="111"/>
      <c r="AB10" s="111"/>
      <c r="AC10" s="111"/>
      <c r="AD10" s="111"/>
      <c r="AE10" s="111"/>
      <c r="AG10" s="111"/>
      <c r="AH10" s="111"/>
      <c r="AI10" s="111"/>
      <c r="AJ10" s="111"/>
      <c r="AK10" s="111"/>
      <c r="AP10" s="10"/>
      <c r="BX10" s="10"/>
      <c r="DF10" s="10"/>
      <c r="EN10" s="10"/>
    </row>
    <row r="11" customFormat="false" ht="12.75" hidden="false" customHeight="false" outlineLevel="0" collapsed="false">
      <c r="I11" s="0"/>
      <c r="J11" s="64"/>
      <c r="K11" s="64" t="s">
        <v>31</v>
      </c>
      <c r="L11" s="64"/>
      <c r="M11" s="62"/>
      <c r="N11" s="115"/>
      <c r="O11" s="111"/>
      <c r="P11" s="111"/>
      <c r="Q11" s="111"/>
      <c r="S11" s="111"/>
      <c r="T11" s="111"/>
      <c r="U11" s="111"/>
      <c r="V11" s="111"/>
      <c r="W11" s="111"/>
      <c r="X11" s="111"/>
      <c r="Z11" s="111"/>
      <c r="AA11" s="111"/>
      <c r="AB11" s="111"/>
      <c r="AC11" s="111"/>
      <c r="AD11" s="111"/>
      <c r="AE11" s="111"/>
      <c r="AG11" s="111"/>
      <c r="AH11" s="111"/>
      <c r="AI11" s="111"/>
      <c r="AJ11" s="111"/>
      <c r="AK11" s="111"/>
      <c r="AP11" s="10"/>
      <c r="BX11" s="10"/>
      <c r="DF11" s="10"/>
      <c r="EN11" s="10"/>
    </row>
    <row r="12" customFormat="false" ht="12.75" hidden="false" customHeight="false" outlineLevel="0" collapsed="false">
      <c r="A12" s="109" t="s">
        <v>149</v>
      </c>
      <c r="B12" s="145" t="n">
        <v>0.03</v>
      </c>
      <c r="C12" s="146"/>
      <c r="D12" s="145" t="n">
        <v>0.03</v>
      </c>
      <c r="E12" s="146"/>
      <c r="F12" s="145" t="n">
        <v>0.005</v>
      </c>
      <c r="G12" s="146"/>
      <c r="H12" s="145" t="n">
        <v>0</v>
      </c>
      <c r="I12" s="0"/>
      <c r="J12" s="64"/>
      <c r="K12" s="64" t="s">
        <v>91</v>
      </c>
      <c r="L12" s="64"/>
      <c r="M12" s="62"/>
      <c r="N12" s="116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P12" s="10"/>
      <c r="BX12" s="10"/>
      <c r="DF12" s="10"/>
      <c r="EN12" s="10"/>
    </row>
    <row r="13" customFormat="false" ht="12.75" hidden="false" customHeight="false" outlineLevel="0" collapsed="false">
      <c r="A13" s="109" t="s">
        <v>176</v>
      </c>
      <c r="B13" s="145" t="n">
        <v>0</v>
      </c>
      <c r="C13" s="146"/>
      <c r="D13" s="145" t="n">
        <v>0</v>
      </c>
      <c r="E13" s="146"/>
      <c r="F13" s="145" t="n">
        <v>0</v>
      </c>
      <c r="G13" s="146"/>
      <c r="H13" s="145" t="n">
        <v>0</v>
      </c>
      <c r="I13" s="0"/>
      <c r="J13" s="64"/>
      <c r="K13" s="64" t="s">
        <v>31</v>
      </c>
      <c r="L13" s="64"/>
      <c r="M13" s="62"/>
      <c r="N13" s="116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O13" s="14"/>
      <c r="AP13" s="10"/>
      <c r="BX13" s="10"/>
      <c r="DF13" s="10"/>
      <c r="EN13" s="10"/>
    </row>
    <row r="14" customFormat="false" ht="12.75" hidden="false" customHeight="false" outlineLevel="0" collapsed="false">
      <c r="A14" s="62" t="s">
        <v>177</v>
      </c>
      <c r="B14" s="147" t="n">
        <v>0</v>
      </c>
      <c r="C14" s="147"/>
      <c r="D14" s="147" t="n">
        <v>0</v>
      </c>
      <c r="E14" s="147"/>
      <c r="F14" s="147" t="n">
        <v>0</v>
      </c>
      <c r="G14" s="147"/>
      <c r="H14" s="147" t="n">
        <v>0</v>
      </c>
      <c r="I14" s="0"/>
      <c r="J14" s="10"/>
      <c r="K14" s="64" t="s">
        <v>38</v>
      </c>
      <c r="L14" s="64"/>
      <c r="M14" s="62"/>
      <c r="N14" s="116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O14" s="14"/>
      <c r="AP14" s="10"/>
      <c r="BX14" s="10"/>
      <c r="DF14" s="10"/>
      <c r="EN14" s="10"/>
    </row>
    <row r="15" customFormat="false" ht="12.75" hidden="false" customHeight="false" outlineLevel="0" collapsed="false">
      <c r="A15" s="62" t="s">
        <v>178</v>
      </c>
      <c r="B15" s="147" t="n">
        <v>0</v>
      </c>
      <c r="C15" s="147"/>
      <c r="D15" s="147" t="n">
        <v>0</v>
      </c>
      <c r="E15" s="147"/>
      <c r="F15" s="147" t="n">
        <v>0</v>
      </c>
      <c r="G15" s="147"/>
      <c r="H15" s="147" t="n">
        <v>0</v>
      </c>
      <c r="I15" s="0"/>
      <c r="J15" s="10"/>
      <c r="K15" s="64"/>
      <c r="L15" s="64"/>
      <c r="M15" s="62"/>
      <c r="N15" s="116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O15" s="14"/>
      <c r="AP15" s="10"/>
      <c r="BX15" s="10"/>
      <c r="DF15" s="10"/>
      <c r="EN15" s="10"/>
    </row>
    <row r="16" customFormat="false" ht="12.75" hidden="false" customHeight="false" outlineLevel="0" collapsed="false">
      <c r="A16" s="62" t="s">
        <v>179</v>
      </c>
      <c r="B16" s="147" t="n">
        <v>0</v>
      </c>
      <c r="C16" s="148"/>
      <c r="D16" s="147" t="n">
        <v>0</v>
      </c>
      <c r="E16" s="149"/>
      <c r="F16" s="147" t="n">
        <v>0.014</v>
      </c>
      <c r="G16" s="149"/>
      <c r="H16" s="147" t="n">
        <v>-0.001</v>
      </c>
      <c r="I16" s="0"/>
      <c r="K16" s="64" t="s">
        <v>42</v>
      </c>
      <c r="M16" s="61"/>
      <c r="N16" s="117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P16" s="10"/>
      <c r="BX16" s="10"/>
      <c r="DF16" s="10"/>
      <c r="EN16" s="10"/>
    </row>
    <row r="17" customFormat="false" ht="12.75" hidden="false" customHeight="false" outlineLevel="0" collapsed="false">
      <c r="A17" s="109"/>
      <c r="B17" s="145"/>
      <c r="C17" s="146"/>
      <c r="D17" s="145"/>
      <c r="E17" s="146"/>
      <c r="F17" s="145"/>
      <c r="G17" s="146"/>
      <c r="H17" s="145"/>
      <c r="I17" s="0"/>
      <c r="K17" s="64" t="s">
        <v>47</v>
      </c>
      <c r="L17" s="64"/>
      <c r="M17" s="62"/>
      <c r="N17" s="120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P17" s="10"/>
      <c r="BX17" s="10"/>
      <c r="DF17" s="10"/>
      <c r="EN17" s="10"/>
    </row>
    <row r="18" customFormat="false" ht="12.75" hidden="false" customHeight="false" outlineLevel="0" collapsed="false">
      <c r="A18" s="62" t="s">
        <v>9</v>
      </c>
      <c r="B18" s="150" t="n">
        <v>2</v>
      </c>
      <c r="C18" s="149"/>
      <c r="D18" s="150" t="n">
        <v>2.5</v>
      </c>
      <c r="E18" s="149"/>
      <c r="F18" s="150" t="n">
        <v>-0.05</v>
      </c>
      <c r="G18" s="149"/>
      <c r="H18" s="150" t="n">
        <v>-0.05</v>
      </c>
      <c r="I18" s="0"/>
      <c r="J18" s="64"/>
      <c r="K18" s="64" t="s">
        <v>37</v>
      </c>
      <c r="L18" s="64"/>
      <c r="M18" s="62"/>
      <c r="N18" s="120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P18" s="10"/>
      <c r="BX18" s="10"/>
      <c r="DF18" s="10"/>
      <c r="EN18" s="10"/>
    </row>
    <row r="19" customFormat="false" ht="12.75" hidden="false" customHeight="false" outlineLevel="0" collapsed="false">
      <c r="A19" s="62" t="s">
        <v>10</v>
      </c>
      <c r="B19" s="151" t="n">
        <v>1</v>
      </c>
      <c r="C19" s="149"/>
      <c r="D19" s="151" t="n">
        <v>1</v>
      </c>
      <c r="E19" s="149"/>
      <c r="F19" s="151" t="n">
        <v>0</v>
      </c>
      <c r="G19" s="149"/>
      <c r="H19" s="151" t="n">
        <v>0</v>
      </c>
      <c r="I19" s="0"/>
      <c r="K19" s="64" t="s">
        <v>52</v>
      </c>
      <c r="N19" s="120"/>
    </row>
    <row r="20" customFormat="false" ht="12.75" hidden="false" customHeight="false" outlineLevel="0" collapsed="false">
      <c r="I20" s="0"/>
      <c r="K20" s="64" t="s">
        <v>75</v>
      </c>
      <c r="N20" s="120"/>
    </row>
    <row r="21" customFormat="false" ht="12.75" hidden="false" customHeight="false" outlineLevel="0" collapsed="false">
      <c r="A21" s="62" t="s">
        <v>1</v>
      </c>
      <c r="B21" s="120" t="e">
        <f aca="false">BK$31</f>
        <v>#NAME?</v>
      </c>
      <c r="C21" s="114"/>
      <c r="D21" s="120" t="e">
        <f aca="false">CS$31</f>
        <v>#NAME?</v>
      </c>
      <c r="E21" s="114"/>
      <c r="F21" s="120" t="e">
        <f aca="false">EA$31</f>
        <v>#NAME?</v>
      </c>
      <c r="G21" s="114"/>
      <c r="H21" s="120" t="e">
        <f aca="false">FI$31</f>
        <v>#NAME?</v>
      </c>
      <c r="I21" s="0"/>
      <c r="K21" s="64" t="s">
        <v>58</v>
      </c>
      <c r="N21" s="120"/>
      <c r="AM21" s="120" t="n">
        <f aca="false">FH$31</f>
        <v>0</v>
      </c>
    </row>
    <row r="22" customFormat="false" ht="12.75" hidden="false" customHeight="false" outlineLevel="0" collapsed="false">
      <c r="A22" s="62" t="s">
        <v>180</v>
      </c>
      <c r="B22" s="120" t="e">
        <f aca="false">BL$31</f>
        <v>#NAME?</v>
      </c>
      <c r="C22" s="114"/>
      <c r="D22" s="120" t="e">
        <f aca="false">CT$31</f>
        <v>#NAME?</v>
      </c>
      <c r="E22" s="114"/>
      <c r="F22" s="120" t="e">
        <f aca="false">EB$31</f>
        <v>#NAME?</v>
      </c>
      <c r="G22" s="114"/>
      <c r="H22" s="120" t="e">
        <f aca="false">FJ$31</f>
        <v>#NAME?</v>
      </c>
      <c r="K22" s="64" t="s">
        <v>35</v>
      </c>
      <c r="AM22" s="120" t="e">
        <f aca="false">FI$31</f>
        <v>#NAME?</v>
      </c>
    </row>
    <row r="23" customFormat="false" ht="12.75" hidden="false" customHeight="false" outlineLevel="0" collapsed="false">
      <c r="A23" s="62" t="s">
        <v>181</v>
      </c>
      <c r="B23" s="120" t="e">
        <f aca="false">BM$31</f>
        <v>#NAME?</v>
      </c>
      <c r="C23" s="114"/>
      <c r="D23" s="120" t="e">
        <f aca="false">CU$31</f>
        <v>#NAME?</v>
      </c>
      <c r="E23" s="114"/>
      <c r="F23" s="120" t="e">
        <f aca="false">EC$31</f>
        <v>#NAME?</v>
      </c>
      <c r="G23" s="114"/>
      <c r="H23" s="120" t="e">
        <f aca="false">FK$31</f>
        <v>#NAME?</v>
      </c>
      <c r="K23" s="64" t="s">
        <v>87</v>
      </c>
      <c r="AM23" s="120" t="e">
        <f aca="false">FJ$31</f>
        <v>#NAME?</v>
      </c>
    </row>
    <row r="24" customFormat="false" ht="12.75" hidden="false" customHeight="false" outlineLevel="0" collapsed="false">
      <c r="A24" s="62" t="s">
        <v>182</v>
      </c>
      <c r="B24" s="120" t="e">
        <f aca="false">BN$31</f>
        <v>#NAME?</v>
      </c>
      <c r="C24" s="114"/>
      <c r="D24" s="120" t="e">
        <f aca="false">CV$31</f>
        <v>#NAME?</v>
      </c>
      <c r="E24" s="114"/>
      <c r="F24" s="120" t="e">
        <f aca="false">ED$31</f>
        <v>#NAME?</v>
      </c>
      <c r="G24" s="114"/>
      <c r="H24" s="120" t="e">
        <f aca="false">FL$31</f>
        <v>#NAME?</v>
      </c>
      <c r="K24" s="64" t="s">
        <v>100</v>
      </c>
      <c r="AM24" s="120" t="e">
        <f aca="false">FK$31</f>
        <v>#NAME?</v>
      </c>
    </row>
    <row r="25" customFormat="false" ht="12.75" hidden="false" customHeight="false" outlineLevel="0" collapsed="false">
      <c r="A25" s="62" t="s">
        <v>183</v>
      </c>
      <c r="B25" s="120" t="e">
        <f aca="false">BO$31</f>
        <v>#NAME?</v>
      </c>
      <c r="C25" s="114"/>
      <c r="D25" s="120" t="e">
        <f aca="false">CW$31</f>
        <v>#NAME?</v>
      </c>
      <c r="E25" s="114"/>
      <c r="F25" s="120" t="e">
        <f aca="false">EE$31</f>
        <v>#NAME?</v>
      </c>
      <c r="G25" s="114"/>
      <c r="H25" s="120" t="e">
        <f aca="false">FM$31</f>
        <v>#NAME?</v>
      </c>
      <c r="K25" s="64" t="s">
        <v>117</v>
      </c>
      <c r="AM25" s="120" t="e">
        <f aca="false">FL$31</f>
        <v>#NAME?</v>
      </c>
    </row>
    <row r="26" customFormat="false" ht="12.75" hidden="false" customHeight="false" outlineLevel="0" collapsed="false">
      <c r="A26" s="62" t="s">
        <v>184</v>
      </c>
      <c r="B26" s="120" t="e">
        <f aca="false">BP$31</f>
        <v>#NAME?</v>
      </c>
      <c r="C26" s="114"/>
      <c r="D26" s="120" t="e">
        <f aca="false">CX$31</f>
        <v>#NAME?</v>
      </c>
      <c r="E26" s="114"/>
      <c r="F26" s="120" t="e">
        <f aca="false">EF$31</f>
        <v>#NAME?</v>
      </c>
      <c r="G26" s="114"/>
      <c r="H26" s="120" t="e">
        <f aca="false">FN$31</f>
        <v>#NAME?</v>
      </c>
      <c r="K26" s="64"/>
      <c r="AM26" s="120" t="e">
        <f aca="false">FM$31</f>
        <v>#NAME?</v>
      </c>
    </row>
    <row r="27" customFormat="false" ht="12.75" hidden="false" customHeight="false" outlineLevel="0" collapsed="false">
      <c r="A27" s="62" t="s">
        <v>185</v>
      </c>
      <c r="B27" s="120" t="e">
        <f aca="false">BQ$31</f>
        <v>#NAME?</v>
      </c>
      <c r="C27" s="114"/>
      <c r="D27" s="120" t="e">
        <f aca="false">CY$31</f>
        <v>#NAME?</v>
      </c>
      <c r="E27" s="114"/>
      <c r="F27" s="120" t="e">
        <f aca="false">EG$31</f>
        <v>#NAME?</v>
      </c>
      <c r="G27" s="114"/>
      <c r="H27" s="120" t="e">
        <f aca="false">FO$31</f>
        <v>#NAME?</v>
      </c>
      <c r="K27" s="64"/>
      <c r="AM27" s="120" t="e">
        <f aca="false">FN$31</f>
        <v>#NAME?</v>
      </c>
    </row>
    <row r="28" customFormat="false" ht="12.75" hidden="false" customHeight="false" outlineLevel="0" collapsed="false">
      <c r="A28" s="62" t="s">
        <v>186</v>
      </c>
      <c r="B28" s="120" t="e">
        <f aca="false">BR$31</f>
        <v>#NAME?</v>
      </c>
      <c r="C28" s="114"/>
      <c r="D28" s="120" t="e">
        <f aca="false">CZ$31</f>
        <v>#NAME?</v>
      </c>
      <c r="E28" s="114"/>
      <c r="F28" s="120" t="e">
        <f aca="false">EH$31</f>
        <v>#NAME?</v>
      </c>
      <c r="G28" s="114"/>
      <c r="H28" s="120" t="e">
        <f aca="false">FP$31</f>
        <v>#NAME?</v>
      </c>
      <c r="K28" s="64"/>
      <c r="AM28" s="120" t="e">
        <f aca="false">FO$31</f>
        <v>#NAME?</v>
      </c>
    </row>
    <row r="29" customFormat="false" ht="12.75" hidden="false" customHeight="false" outlineLevel="0" collapsed="false">
      <c r="A29" s="62" t="s">
        <v>5</v>
      </c>
      <c r="B29" s="120" t="e">
        <f aca="false">BS$31</f>
        <v>#NAME?</v>
      </c>
      <c r="C29" s="114"/>
      <c r="D29" s="120" t="e">
        <f aca="false">DA$31</f>
        <v>#NAME?</v>
      </c>
      <c r="E29" s="114"/>
      <c r="F29" s="120" t="e">
        <f aca="false">EI$31</f>
        <v>#NAME?</v>
      </c>
      <c r="G29" s="114"/>
      <c r="H29" s="120" t="e">
        <f aca="false">FQ$31</f>
        <v>#NAME?</v>
      </c>
      <c r="K29" s="64"/>
      <c r="AM29" s="120" t="e">
        <f aca="false">FP$31</f>
        <v>#NAME?</v>
      </c>
    </row>
    <row r="30" customFormat="false" ht="12.75" hidden="false" customHeight="false" outlineLevel="0" collapsed="false">
      <c r="A30" s="62" t="s">
        <v>187</v>
      </c>
      <c r="B30" s="120" t="e">
        <f aca="false">BT$31</f>
        <v>#NAME?</v>
      </c>
      <c r="C30" s="114"/>
      <c r="D30" s="120" t="e">
        <f aca="false">DB$31</f>
        <v>#NAME?</v>
      </c>
      <c r="E30" s="114"/>
      <c r="F30" s="120" t="e">
        <f aca="false">EJ$31</f>
        <v>#NAME?</v>
      </c>
      <c r="G30" s="114"/>
      <c r="H30" s="120" t="e">
        <f aca="false">FR$31</f>
        <v>#NAME?</v>
      </c>
      <c r="AM30" s="120" t="e">
        <f aca="false">FQ$31</f>
        <v>#NAME?</v>
      </c>
    </row>
    <row r="31" customFormat="false" ht="12.75" hidden="false" customHeight="false" outlineLevel="0" collapsed="false">
      <c r="A31" s="62" t="s">
        <v>188</v>
      </c>
      <c r="B31" s="120" t="e">
        <f aca="false">BU$31</f>
        <v>#NAME?</v>
      </c>
      <c r="C31" s="10"/>
      <c r="D31" s="120" t="e">
        <f aca="false">DC$31</f>
        <v>#NAME?</v>
      </c>
      <c r="E31" s="10"/>
      <c r="F31" s="120" t="e">
        <f aca="false">EK$31</f>
        <v>#NAME?</v>
      </c>
      <c r="G31" s="10"/>
      <c r="H31" s="120" t="e">
        <f aca="false">FS$31</f>
        <v>#NAME?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K31" s="10"/>
      <c r="AM31" s="120" t="e">
        <f aca="false">FR$31</f>
        <v>#NAME?</v>
      </c>
      <c r="AP31" s="10"/>
      <c r="AQ31" s="45"/>
      <c r="AR31" s="1"/>
      <c r="AS31" s="1" t="n">
        <f aca="false">AS33/AP35</f>
        <v>7.18319735099338</v>
      </c>
      <c r="AT31" s="1" t="n">
        <f aca="false">AT33/AP35</f>
        <v>5.30147549668874</v>
      </c>
      <c r="AU31" s="10"/>
      <c r="AV31" s="11"/>
      <c r="AW31" s="29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23" t="e">
        <f aca="false">BK33/AP35</f>
        <v>#NAME?</v>
      </c>
      <c r="BL31" s="123" t="e">
        <f aca="false">BL33/AP35</f>
        <v>#NAME?</v>
      </c>
      <c r="BM31" s="123" t="e">
        <f aca="false">BM33/AP35</f>
        <v>#NAME?</v>
      </c>
      <c r="BN31" s="123" t="e">
        <f aca="false">BN33/AP35</f>
        <v>#NAME?</v>
      </c>
      <c r="BO31" s="123" t="e">
        <f aca="false">BO33/AP35</f>
        <v>#NAME?</v>
      </c>
      <c r="BP31" s="123" t="e">
        <f aca="false">BP33/AP35</f>
        <v>#NAME?</v>
      </c>
      <c r="BQ31" s="123" t="e">
        <f aca="false">BQ33/AP35</f>
        <v>#NAME?</v>
      </c>
      <c r="BR31" s="123" t="e">
        <f aca="false">BR33/AP35</f>
        <v>#NAME?</v>
      </c>
      <c r="BS31" s="123" t="e">
        <f aca="false">BS33/AP35</f>
        <v>#NAME?</v>
      </c>
      <c r="BT31" s="123" t="e">
        <f aca="false">BT33/AP35</f>
        <v>#NAME?</v>
      </c>
      <c r="BU31" s="123" t="e">
        <f aca="false">BU33/AP35</f>
        <v>#NAME?</v>
      </c>
      <c r="BV31" s="123" t="e">
        <f aca="false">BV33/AP35</f>
        <v>#NAME?</v>
      </c>
      <c r="BX31" s="10"/>
      <c r="BY31" s="45"/>
      <c r="BZ31" s="1"/>
      <c r="CA31" s="1" t="n">
        <f aca="false">CA33/BX35</f>
        <v>7.18319735099338</v>
      </c>
      <c r="CB31" s="1" t="n">
        <f aca="false">CB33/BX35</f>
        <v>5.30147549668874</v>
      </c>
      <c r="CC31" s="10"/>
      <c r="CD31" s="11"/>
      <c r="CE31" s="29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23" t="e">
        <f aca="false">CS33/BX35</f>
        <v>#NAME?</v>
      </c>
      <c r="CT31" s="123" t="e">
        <f aca="false">CT33/BX35</f>
        <v>#NAME?</v>
      </c>
      <c r="CU31" s="123" t="e">
        <f aca="false">CU33/BX35</f>
        <v>#NAME?</v>
      </c>
      <c r="CV31" s="123" t="e">
        <f aca="false">CV33/BX35</f>
        <v>#NAME?</v>
      </c>
      <c r="CW31" s="123" t="e">
        <f aca="false">CW33/BX35</f>
        <v>#NAME?</v>
      </c>
      <c r="CX31" s="123" t="e">
        <f aca="false">CX33/BX35</f>
        <v>#NAME?</v>
      </c>
      <c r="CY31" s="123" t="e">
        <f aca="false">CY33/BX35</f>
        <v>#NAME?</v>
      </c>
      <c r="CZ31" s="123" t="e">
        <f aca="false">CZ33/BX35</f>
        <v>#NAME?</v>
      </c>
      <c r="DA31" s="123" t="e">
        <f aca="false">DA33/BX35</f>
        <v>#NAME?</v>
      </c>
      <c r="DB31" s="123" t="e">
        <f aca="false">DB33/BX35</f>
        <v>#NAME?</v>
      </c>
      <c r="DC31" s="123" t="e">
        <f aca="false">DC33/BX35</f>
        <v>#NAME?</v>
      </c>
      <c r="DD31" s="123" t="e">
        <f aca="false">DD33/BX35</f>
        <v>#NAME?</v>
      </c>
      <c r="DF31" s="10"/>
      <c r="DG31" s="45"/>
      <c r="DH31" s="1"/>
      <c r="DI31" s="1" t="n">
        <f aca="false">DI33/DF35</f>
        <v>3.88699933244326</v>
      </c>
      <c r="DJ31" s="1" t="n">
        <f aca="false">DJ33/DF35</f>
        <v>4.43961615487317</v>
      </c>
      <c r="DK31" s="10"/>
      <c r="DL31" s="11"/>
      <c r="DM31" s="2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23" t="e">
        <f aca="false">EA33/DF35</f>
        <v>#NAME?</v>
      </c>
      <c r="EB31" s="123" t="e">
        <f aca="false">EB33/DF35</f>
        <v>#NAME?</v>
      </c>
      <c r="EC31" s="123" t="e">
        <f aca="false">EC33/DF35</f>
        <v>#NAME?</v>
      </c>
      <c r="ED31" s="123" t="e">
        <f aca="false">ED33/DF35</f>
        <v>#NAME?</v>
      </c>
      <c r="EE31" s="123" t="e">
        <f aca="false">EE33/DF35</f>
        <v>#NAME?</v>
      </c>
      <c r="EF31" s="123" t="e">
        <f aca="false">EF33/DF35</f>
        <v>#NAME?</v>
      </c>
      <c r="EG31" s="123" t="e">
        <f aca="false">EG33/DF35</f>
        <v>#NAME?</v>
      </c>
      <c r="EH31" s="123" t="e">
        <f aca="false">EH33/DF35</f>
        <v>#NAME?</v>
      </c>
      <c r="EI31" s="123" t="e">
        <f aca="false">EI33/DF35</f>
        <v>#NAME?</v>
      </c>
      <c r="EJ31" s="123" t="e">
        <f aca="false">EJ33/DF35</f>
        <v>#NAME?</v>
      </c>
      <c r="EK31" s="123" t="e">
        <f aca="false">EK33/DF35</f>
        <v>#NAME?</v>
      </c>
      <c r="EL31" s="123" t="e">
        <f aca="false">EL33/DF35</f>
        <v>#NAME?</v>
      </c>
      <c r="EN31" s="10"/>
      <c r="EO31" s="45"/>
      <c r="EP31" s="1"/>
      <c r="EQ31" s="1" t="n">
        <f aca="false">EQ33/EN35</f>
        <v>5.25538278145695</v>
      </c>
      <c r="ER31" s="1" t="n">
        <f aca="false">ER33/EN35</f>
        <v>5.30147549668874</v>
      </c>
      <c r="ES31" s="10"/>
      <c r="ET31" s="11"/>
      <c r="EU31" s="29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23" t="e">
        <f aca="false">FI33/EN35</f>
        <v>#NAME?</v>
      </c>
      <c r="FJ31" s="123" t="e">
        <f aca="false">FJ33/EN35</f>
        <v>#NAME?</v>
      </c>
      <c r="FK31" s="123" t="e">
        <f aca="false">FK33/EN35</f>
        <v>#NAME?</v>
      </c>
      <c r="FL31" s="123" t="e">
        <f aca="false">FL33/EN35</f>
        <v>#NAME?</v>
      </c>
      <c r="FM31" s="123" t="e">
        <f aca="false">FM33/EN35</f>
        <v>#NAME?</v>
      </c>
      <c r="FN31" s="123" t="e">
        <f aca="false">FN33/EN35</f>
        <v>#NAME?</v>
      </c>
      <c r="FO31" s="123" t="e">
        <f aca="false">FO33/EN35</f>
        <v>#NAME?</v>
      </c>
      <c r="FP31" s="123" t="e">
        <f aca="false">FP33/EN35</f>
        <v>#NAME?</v>
      </c>
      <c r="FQ31" s="123" t="e">
        <f aca="false">FQ33/EN35</f>
        <v>#NAME?</v>
      </c>
      <c r="FR31" s="123" t="e">
        <f aca="false">FR33/EN35</f>
        <v>#NAME?</v>
      </c>
      <c r="FS31" s="123" t="e">
        <f aca="false">FS33/EN35</f>
        <v>#NAME?</v>
      </c>
      <c r="FT31" s="123" t="e">
        <f aca="false">FT33/EN35</f>
        <v>#NAME?</v>
      </c>
    </row>
    <row r="32" customFormat="false" ht="12.75" hidden="false" customHeight="false" outlineLevel="0" collapsed="false">
      <c r="A32" s="62" t="s">
        <v>189</v>
      </c>
      <c r="B32" s="120" t="e">
        <f aca="false">BV$31</f>
        <v>#NAME?</v>
      </c>
      <c r="C32" s="10"/>
      <c r="D32" s="120" t="e">
        <f aca="false">DD$31</f>
        <v>#NAME?</v>
      </c>
      <c r="E32" s="10"/>
      <c r="F32" s="120" t="e">
        <f aca="false">EL$31</f>
        <v>#NAME?</v>
      </c>
      <c r="G32" s="10"/>
      <c r="H32" s="120" t="e">
        <f aca="false">FT$31</f>
        <v>#NAME?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K32" s="10"/>
      <c r="AM32" s="120" t="e">
        <f aca="false">FS$31</f>
        <v>#NAME?</v>
      </c>
      <c r="AP32" s="10"/>
      <c r="AQ32" s="10"/>
      <c r="AR32" s="125" t="n">
        <f aca="false">B6</f>
        <v>36831</v>
      </c>
      <c r="AS32" s="1"/>
      <c r="AT32" s="1"/>
      <c r="AU32" s="10"/>
      <c r="AV32" s="11"/>
      <c r="AW32" s="29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X32" s="10"/>
      <c r="BY32" s="10"/>
      <c r="BZ32" s="125" t="n">
        <f aca="false">D6</f>
        <v>36831</v>
      </c>
      <c r="CA32" s="1"/>
      <c r="CB32" s="1"/>
      <c r="CC32" s="10"/>
      <c r="CD32" s="11"/>
      <c r="CE32" s="29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F32" s="10"/>
      <c r="DG32" s="10"/>
      <c r="DH32" s="125" t="n">
        <f aca="false">F6</f>
        <v>36982</v>
      </c>
      <c r="DI32" s="1"/>
      <c r="DJ32" s="1"/>
      <c r="DK32" s="10"/>
      <c r="DL32" s="11"/>
      <c r="DM32" s="2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N32" s="10"/>
      <c r="EO32" s="10"/>
      <c r="EP32" s="125" t="n">
        <f aca="false">H6</f>
        <v>36831</v>
      </c>
      <c r="EQ32" s="1"/>
      <c r="ER32" s="1"/>
      <c r="ES32" s="10"/>
      <c r="ET32" s="11"/>
      <c r="EU32" s="29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</row>
    <row r="33" customFormat="false" ht="12.75" hidden="false" customHeight="false" outlineLevel="0" collapsed="false">
      <c r="A33" s="10"/>
      <c r="B33" s="152"/>
      <c r="C33" s="10"/>
      <c r="D33" s="152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29"/>
      <c r="AM33" s="36"/>
      <c r="AN33" s="130"/>
      <c r="AO33" s="30"/>
      <c r="AP33" s="10" t="s">
        <v>27</v>
      </c>
      <c r="AQ33" s="10"/>
      <c r="AR33" s="125" t="n">
        <f aca="false">B7</f>
        <v>36951</v>
      </c>
      <c r="AS33" s="33" t="n">
        <f aca="false">SUM(AS38:AS61)</f>
        <v>1084.6628</v>
      </c>
      <c r="AT33" s="33" t="n">
        <f aca="false">SUM(AT38:AT61)</f>
        <v>800.5228</v>
      </c>
      <c r="AU33" s="10"/>
      <c r="AV33" s="11"/>
      <c r="AW33" s="32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 t="e">
        <f aca="false">SUM(BK38:BK61)</f>
        <v>#NAME?</v>
      </c>
      <c r="BL33" s="33" t="e">
        <f aca="false">SUM(BL38:BL61)</f>
        <v>#NAME?</v>
      </c>
      <c r="BM33" s="33" t="e">
        <f aca="false">SUM(BM38:BM61)</f>
        <v>#NAME?</v>
      </c>
      <c r="BN33" s="33" t="e">
        <f aca="false">SUM(BN38:BN61)</f>
        <v>#NAME?</v>
      </c>
      <c r="BO33" s="33" t="e">
        <f aca="false">SUM(BO38:BO61)</f>
        <v>#NAME?</v>
      </c>
      <c r="BP33" s="33" t="e">
        <f aca="false">SUM(BP38:BP61)</f>
        <v>#NAME?</v>
      </c>
      <c r="BQ33" s="33" t="e">
        <f aca="false">SUM(BQ38:BQ61)</f>
        <v>#NAME?</v>
      </c>
      <c r="BR33" s="33" t="e">
        <f aca="false">SUM(BR38:BR61)</f>
        <v>#NAME?</v>
      </c>
      <c r="BS33" s="33" t="e">
        <f aca="false">SUM(BS38:BS61)</f>
        <v>#NAME?</v>
      </c>
      <c r="BT33" s="33" t="e">
        <f aca="false">SUM(BT38:BT61)</f>
        <v>#NAME?</v>
      </c>
      <c r="BU33" s="33" t="e">
        <f aca="false">SUM(BU38:BU61)</f>
        <v>#NAME?</v>
      </c>
      <c r="BV33" s="33" t="e">
        <f aca="false">SUM(BV38:BV61)</f>
        <v>#NAME?</v>
      </c>
      <c r="BX33" s="10" t="s">
        <v>28</v>
      </c>
      <c r="BY33" s="10"/>
      <c r="BZ33" s="125" t="n">
        <f aca="false">D7</f>
        <v>36951</v>
      </c>
      <c r="CA33" s="33" t="n">
        <f aca="false">SUM(CA38:CA61)</f>
        <v>1084.6628</v>
      </c>
      <c r="CB33" s="33" t="n">
        <f aca="false">SUM(CB38:CB61)</f>
        <v>800.5228</v>
      </c>
      <c r="CC33" s="10"/>
      <c r="CD33" s="11"/>
      <c r="CE33" s="32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 t="e">
        <f aca="false">SUM(CS38:CS61)</f>
        <v>#NAME?</v>
      </c>
      <c r="CT33" s="33" t="e">
        <f aca="false">SUM(CT38:CT61)</f>
        <v>#NAME?</v>
      </c>
      <c r="CU33" s="33" t="e">
        <f aca="false">SUM(CU38:CU61)</f>
        <v>#NAME?</v>
      </c>
      <c r="CV33" s="33" t="e">
        <f aca="false">SUM(CV38:CV61)</f>
        <v>#NAME?</v>
      </c>
      <c r="CW33" s="33" t="e">
        <f aca="false">SUM(CW38:CW61)</f>
        <v>#NAME?</v>
      </c>
      <c r="CX33" s="33" t="e">
        <f aca="false">SUM(CX38:CX61)</f>
        <v>#NAME?</v>
      </c>
      <c r="CY33" s="33" t="e">
        <f aca="false">SUM(CY38:CY61)</f>
        <v>#NAME?</v>
      </c>
      <c r="CZ33" s="33" t="e">
        <f aca="false">SUM(CZ38:CZ61)</f>
        <v>#NAME?</v>
      </c>
      <c r="DA33" s="33" t="e">
        <f aca="false">SUM(DA38:DA61)</f>
        <v>#NAME?</v>
      </c>
      <c r="DB33" s="33" t="e">
        <f aca="false">SUM(DB38:DB61)</f>
        <v>#NAME?</v>
      </c>
      <c r="DC33" s="33" t="e">
        <f aca="false">SUM(DC38:DC61)</f>
        <v>#NAME?</v>
      </c>
      <c r="DD33" s="33" t="e">
        <f aca="false">SUM(DD38:DD61)</f>
        <v>#NAME?</v>
      </c>
      <c r="DF33" s="10" t="s">
        <v>29</v>
      </c>
      <c r="DG33" s="10"/>
      <c r="DH33" s="125" t="n">
        <f aca="false">F7</f>
        <v>37165</v>
      </c>
      <c r="DI33" s="33" t="n">
        <f aca="false">SUM(DI38:DI61)</f>
        <v>831.817857142857</v>
      </c>
      <c r="DJ33" s="33" t="n">
        <f aca="false">SUM(DJ38:DJ61)</f>
        <v>950.077857142857</v>
      </c>
      <c r="DK33" s="10"/>
      <c r="DL33" s="11"/>
      <c r="DM33" s="32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 t="e">
        <f aca="false">SUM(EA38:EA61)</f>
        <v>#NAME?</v>
      </c>
      <c r="EB33" s="33" t="e">
        <f aca="false">SUM(EB38:EB61)</f>
        <v>#NAME?</v>
      </c>
      <c r="EC33" s="33" t="e">
        <f aca="false">SUM(EC38:EC61)</f>
        <v>#NAME?</v>
      </c>
      <c r="ED33" s="33" t="e">
        <f aca="false">SUM(ED38:ED61)</f>
        <v>#NAME?</v>
      </c>
      <c r="EE33" s="33" t="e">
        <f aca="false">SUM(EE38:EE61)</f>
        <v>#NAME?</v>
      </c>
      <c r="EF33" s="33" t="e">
        <f aca="false">SUM(EF38:EF61)</f>
        <v>#NAME?</v>
      </c>
      <c r="EG33" s="33" t="e">
        <f aca="false">SUM(EG38:EG61)</f>
        <v>#NAME?</v>
      </c>
      <c r="EH33" s="33" t="e">
        <f aca="false">SUM(EH38:EH61)</f>
        <v>#NAME?</v>
      </c>
      <c r="EI33" s="33" t="e">
        <f aca="false">SUM(EI38:EI61)</f>
        <v>#NAME?</v>
      </c>
      <c r="EJ33" s="33" t="e">
        <f aca="false">SUM(EJ38:EJ61)</f>
        <v>#NAME?</v>
      </c>
      <c r="EK33" s="33" t="e">
        <f aca="false">SUM(EK38:EK61)</f>
        <v>#NAME?</v>
      </c>
      <c r="EL33" s="33" t="e">
        <f aca="false">SUM(EL38:EL61)</f>
        <v>#NAME?</v>
      </c>
      <c r="EN33" s="10" t="s">
        <v>30</v>
      </c>
      <c r="EO33" s="10"/>
      <c r="EP33" s="125" t="n">
        <f aca="false">H7</f>
        <v>36951</v>
      </c>
      <c r="EQ33" s="33" t="n">
        <f aca="false">SUM(EQ38:EQ61)</f>
        <v>793.5628</v>
      </c>
      <c r="ER33" s="33" t="n">
        <f aca="false">SUM(ER38:ER61)</f>
        <v>800.5228</v>
      </c>
      <c r="ES33" s="10"/>
      <c r="ET33" s="11"/>
      <c r="EU33" s="32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 t="e">
        <f aca="false">SUM(FI38:FI61)</f>
        <v>#NAME?</v>
      </c>
      <c r="FJ33" s="33" t="e">
        <f aca="false">SUM(FJ38:FJ61)</f>
        <v>#NAME?</v>
      </c>
      <c r="FK33" s="33" t="e">
        <f aca="false">SUM(FK38:FK61)</f>
        <v>#NAME?</v>
      </c>
      <c r="FL33" s="33" t="e">
        <f aca="false">SUM(FL38:FL61)</f>
        <v>#NAME?</v>
      </c>
      <c r="FM33" s="33" t="e">
        <f aca="false">SUM(FM38:FM61)</f>
        <v>#NAME?</v>
      </c>
      <c r="FN33" s="33" t="e">
        <f aca="false">SUM(FN38:FN61)</f>
        <v>#NAME?</v>
      </c>
      <c r="FO33" s="33" t="e">
        <f aca="false">SUM(FO38:FO61)</f>
        <v>#NAME?</v>
      </c>
      <c r="FP33" s="33" t="e">
        <f aca="false">SUM(FP38:FP61)</f>
        <v>#NAME?</v>
      </c>
      <c r="FQ33" s="33" t="e">
        <f aca="false">SUM(FQ38:FQ61)</f>
        <v>#NAME?</v>
      </c>
      <c r="FR33" s="33" t="e">
        <f aca="false">SUM(FR38:FR61)</f>
        <v>#NAME?</v>
      </c>
      <c r="FS33" s="33" t="e">
        <f aca="false">SUM(FS38:FS61)</f>
        <v>#NAME?</v>
      </c>
      <c r="FT33" s="33" t="e">
        <f aca="false">SUM(FT38:FT61)</f>
        <v>#NAME?</v>
      </c>
    </row>
    <row r="34" customFormat="false" ht="12.75" hidden="false" customHeight="false" outlineLevel="0" collapsed="false">
      <c r="A34" s="10"/>
      <c r="B34" s="144" t="e">
        <f aca="false">B21-D21</f>
        <v>#NAME?</v>
      </c>
      <c r="C34" s="10"/>
      <c r="D34" s="2"/>
      <c r="E34" s="10"/>
      <c r="F34" s="144" t="e">
        <f aca="false">F21-H21</f>
        <v>#NAME?</v>
      </c>
      <c r="G34" s="10"/>
      <c r="H34" s="144"/>
      <c r="I34" s="10"/>
      <c r="J34" s="10"/>
      <c r="K34" s="2" t="s">
        <v>7</v>
      </c>
      <c r="L34" s="10" t="str">
        <f aca="false">B3</f>
        <v>IF-TRANSCO/Z6</v>
      </c>
      <c r="M34" s="10"/>
      <c r="N34" s="10"/>
      <c r="O34" s="10"/>
      <c r="P34" s="10"/>
      <c r="Q34" s="10"/>
      <c r="R34" s="2" t="s">
        <v>8</v>
      </c>
      <c r="S34" s="10" t="str">
        <f aca="false">D3</f>
        <v>IF-TRANSCO/Z6</v>
      </c>
      <c r="T34" s="10"/>
      <c r="U34" s="10"/>
      <c r="V34" s="10"/>
      <c r="W34" s="10"/>
      <c r="X34" s="10"/>
      <c r="Y34" s="2" t="s">
        <v>143</v>
      </c>
      <c r="Z34" s="10" t="str">
        <f aca="false">F3</f>
        <v>IF-NWPL_ROCKY_M</v>
      </c>
      <c r="AA34" s="10"/>
      <c r="AB34" s="10"/>
      <c r="AC34" s="10"/>
      <c r="AD34" s="10"/>
      <c r="AE34" s="10"/>
      <c r="AF34" s="2" t="s">
        <v>144</v>
      </c>
      <c r="AG34" s="10" t="str">
        <f aca="false">H3</f>
        <v>IF-HPL/SHPCHAN</v>
      </c>
      <c r="AH34" s="10"/>
      <c r="AI34" s="10"/>
      <c r="AJ34" s="10"/>
      <c r="AK34" s="10"/>
      <c r="AM34" s="131"/>
      <c r="AP34" s="10"/>
      <c r="AQ34" s="10"/>
      <c r="AR34" s="1"/>
      <c r="AS34" s="1"/>
      <c r="AT34" s="1"/>
      <c r="AU34" s="10"/>
      <c r="AV34" s="1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X34" s="10"/>
      <c r="BY34" s="10"/>
      <c r="BZ34" s="1"/>
      <c r="CA34" s="1"/>
      <c r="CB34" s="1"/>
      <c r="CC34" s="10"/>
      <c r="CD34" s="1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DF34" s="10"/>
      <c r="DG34" s="10"/>
      <c r="DH34" s="1"/>
      <c r="DI34" s="1"/>
      <c r="DJ34" s="1"/>
      <c r="DK34" s="10"/>
      <c r="DL34" s="1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N34" s="10"/>
      <c r="EO34" s="10"/>
      <c r="EP34" s="1"/>
      <c r="EQ34" s="1"/>
      <c r="ER34" s="1"/>
      <c r="ES34" s="10"/>
      <c r="ET34" s="1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</row>
    <row r="35" customFormat="false" ht="12.75" hidden="false" customHeight="false" outlineLevel="0" collapsed="false">
      <c r="A35" s="10"/>
      <c r="B35" s="132"/>
      <c r="C35" s="132"/>
      <c r="D35" s="64"/>
      <c r="AM35" s="127"/>
      <c r="AP35" s="35" t="n">
        <f aca="false">SUM(AP38:AP61)</f>
        <v>151</v>
      </c>
      <c r="AQ35" s="35"/>
      <c r="AR35" s="1"/>
      <c r="AS35" s="1"/>
      <c r="AT35" s="1"/>
      <c r="AU35" s="1"/>
      <c r="AV35" s="11"/>
      <c r="AW35" s="32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X35" s="35" t="n">
        <f aca="false">SUM(BX38:BX61)</f>
        <v>151</v>
      </c>
      <c r="BY35" s="35"/>
      <c r="BZ35" s="1"/>
      <c r="CA35" s="1"/>
      <c r="CB35" s="1"/>
      <c r="CC35" s="1"/>
      <c r="CD35" s="11"/>
      <c r="CE35" s="32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DF35" s="35" t="n">
        <f aca="false">SUM(DF38:DF61)</f>
        <v>214</v>
      </c>
      <c r="DG35" s="35"/>
      <c r="DH35" s="1"/>
      <c r="DI35" s="1"/>
      <c r="DJ35" s="1"/>
      <c r="DK35" s="1"/>
      <c r="DL35" s="11"/>
      <c r="DM35" s="32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N35" s="35" t="n">
        <f aca="false">SUM(EN38:EN61)</f>
        <v>151</v>
      </c>
      <c r="EO35" s="35"/>
      <c r="EP35" s="1"/>
      <c r="EQ35" s="1"/>
      <c r="ER35" s="1"/>
      <c r="ES35" s="1"/>
      <c r="ET35" s="11"/>
      <c r="EU35" s="32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</row>
    <row r="36" customFormat="false" ht="13.5" hidden="false" customHeight="false" outlineLevel="0" collapsed="false">
      <c r="B36" s="134"/>
      <c r="C36" s="13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29"/>
      <c r="AN36" s="10"/>
      <c r="AO36" s="10"/>
      <c r="AQ36" s="1"/>
      <c r="AR36" s="1"/>
      <c r="AS36" s="23" t="s">
        <v>6</v>
      </c>
      <c r="AT36" s="23" t="s">
        <v>154</v>
      </c>
      <c r="AU36" s="1" t="s">
        <v>190</v>
      </c>
      <c r="AV36" s="1" t="s">
        <v>191</v>
      </c>
      <c r="AW36" s="10" t="s">
        <v>192</v>
      </c>
      <c r="AX36" s="23" t="s">
        <v>1</v>
      </c>
      <c r="AY36" s="23" t="s">
        <v>180</v>
      </c>
      <c r="AZ36" s="23" t="s">
        <v>181</v>
      </c>
      <c r="BA36" s="23" t="s">
        <v>182</v>
      </c>
      <c r="BB36" s="23" t="s">
        <v>183</v>
      </c>
      <c r="BC36" s="23" t="s">
        <v>184</v>
      </c>
      <c r="BD36" s="23" t="s">
        <v>185</v>
      </c>
      <c r="BE36" s="23" t="s">
        <v>186</v>
      </c>
      <c r="BF36" s="23" t="s">
        <v>5</v>
      </c>
      <c r="BG36" s="23" t="s">
        <v>187</v>
      </c>
      <c r="BH36" s="23" t="s">
        <v>188</v>
      </c>
      <c r="BI36" s="23" t="s">
        <v>189</v>
      </c>
      <c r="BJ36" s="23"/>
      <c r="BK36" s="23" t="s">
        <v>1</v>
      </c>
      <c r="BL36" s="23" t="s">
        <v>180</v>
      </c>
      <c r="BM36" s="23" t="s">
        <v>181</v>
      </c>
      <c r="BN36" s="23" t="s">
        <v>182</v>
      </c>
      <c r="BO36" s="23" t="s">
        <v>183</v>
      </c>
      <c r="BP36" s="23" t="s">
        <v>184</v>
      </c>
      <c r="BQ36" s="23" t="s">
        <v>185</v>
      </c>
      <c r="BR36" s="23" t="s">
        <v>186</v>
      </c>
      <c r="BS36" s="23" t="s">
        <v>5</v>
      </c>
      <c r="BT36" s="23" t="s">
        <v>187</v>
      </c>
      <c r="BU36" s="23" t="s">
        <v>188</v>
      </c>
      <c r="BV36" s="23" t="s">
        <v>189</v>
      </c>
      <c r="BY36" s="1"/>
      <c r="BZ36" s="1"/>
      <c r="CA36" s="23" t="s">
        <v>6</v>
      </c>
      <c r="CB36" s="23" t="s">
        <v>154</v>
      </c>
      <c r="CC36" s="1" t="s">
        <v>190</v>
      </c>
      <c r="CD36" s="1" t="s">
        <v>191</v>
      </c>
      <c r="CE36" s="10" t="s">
        <v>192</v>
      </c>
      <c r="CF36" s="23" t="s">
        <v>1</v>
      </c>
      <c r="CG36" s="23" t="s">
        <v>180</v>
      </c>
      <c r="CH36" s="23" t="s">
        <v>181</v>
      </c>
      <c r="CI36" s="23" t="s">
        <v>182</v>
      </c>
      <c r="CJ36" s="23" t="s">
        <v>183</v>
      </c>
      <c r="CK36" s="23" t="s">
        <v>184</v>
      </c>
      <c r="CL36" s="23" t="s">
        <v>185</v>
      </c>
      <c r="CM36" s="23" t="s">
        <v>186</v>
      </c>
      <c r="CN36" s="23" t="s">
        <v>5</v>
      </c>
      <c r="CO36" s="23" t="s">
        <v>187</v>
      </c>
      <c r="CP36" s="23" t="s">
        <v>188</v>
      </c>
      <c r="CQ36" s="23" t="s">
        <v>189</v>
      </c>
      <c r="CR36" s="23"/>
      <c r="CS36" s="23" t="s">
        <v>1</v>
      </c>
      <c r="CT36" s="23" t="s">
        <v>180</v>
      </c>
      <c r="CU36" s="23" t="s">
        <v>181</v>
      </c>
      <c r="CV36" s="23" t="s">
        <v>182</v>
      </c>
      <c r="CW36" s="23" t="s">
        <v>183</v>
      </c>
      <c r="CX36" s="23" t="s">
        <v>184</v>
      </c>
      <c r="CY36" s="23" t="s">
        <v>185</v>
      </c>
      <c r="CZ36" s="23" t="s">
        <v>186</v>
      </c>
      <c r="DA36" s="23" t="s">
        <v>5</v>
      </c>
      <c r="DB36" s="23" t="s">
        <v>187</v>
      </c>
      <c r="DC36" s="23" t="s">
        <v>188</v>
      </c>
      <c r="DD36" s="23" t="s">
        <v>189</v>
      </c>
      <c r="DG36" s="1"/>
      <c r="DH36" s="1"/>
      <c r="DI36" s="23" t="s">
        <v>6</v>
      </c>
      <c r="DJ36" s="23" t="s">
        <v>154</v>
      </c>
      <c r="DK36" s="1" t="s">
        <v>190</v>
      </c>
      <c r="DL36" s="1" t="s">
        <v>191</v>
      </c>
      <c r="DM36" s="10" t="s">
        <v>192</v>
      </c>
      <c r="DN36" s="23" t="s">
        <v>1</v>
      </c>
      <c r="DO36" s="23" t="s">
        <v>180</v>
      </c>
      <c r="DP36" s="23" t="s">
        <v>181</v>
      </c>
      <c r="DQ36" s="23" t="s">
        <v>182</v>
      </c>
      <c r="DR36" s="23" t="s">
        <v>183</v>
      </c>
      <c r="DS36" s="23" t="s">
        <v>184</v>
      </c>
      <c r="DT36" s="23" t="s">
        <v>185</v>
      </c>
      <c r="DU36" s="23" t="s">
        <v>186</v>
      </c>
      <c r="DV36" s="23" t="s">
        <v>5</v>
      </c>
      <c r="DW36" s="23" t="s">
        <v>187</v>
      </c>
      <c r="DX36" s="23" t="s">
        <v>188</v>
      </c>
      <c r="DY36" s="23" t="s">
        <v>189</v>
      </c>
      <c r="DZ36" s="23"/>
      <c r="EA36" s="23" t="s">
        <v>1</v>
      </c>
      <c r="EB36" s="23" t="s">
        <v>180</v>
      </c>
      <c r="EC36" s="23" t="s">
        <v>181</v>
      </c>
      <c r="ED36" s="23" t="s">
        <v>182</v>
      </c>
      <c r="EE36" s="23" t="s">
        <v>183</v>
      </c>
      <c r="EF36" s="23" t="s">
        <v>184</v>
      </c>
      <c r="EG36" s="23" t="s">
        <v>185</v>
      </c>
      <c r="EH36" s="23" t="s">
        <v>186</v>
      </c>
      <c r="EI36" s="23" t="s">
        <v>5</v>
      </c>
      <c r="EJ36" s="23" t="s">
        <v>187</v>
      </c>
      <c r="EK36" s="23" t="s">
        <v>188</v>
      </c>
      <c r="EL36" s="23" t="s">
        <v>189</v>
      </c>
      <c r="EO36" s="1"/>
      <c r="EP36" s="1"/>
      <c r="EQ36" s="23" t="s">
        <v>6</v>
      </c>
      <c r="ER36" s="23" t="s">
        <v>154</v>
      </c>
      <c r="ES36" s="1" t="s">
        <v>190</v>
      </c>
      <c r="ET36" s="1" t="s">
        <v>191</v>
      </c>
      <c r="EU36" s="10" t="s">
        <v>192</v>
      </c>
      <c r="EV36" s="23" t="s">
        <v>1</v>
      </c>
      <c r="EW36" s="23" t="s">
        <v>180</v>
      </c>
      <c r="EX36" s="23" t="s">
        <v>181</v>
      </c>
      <c r="EY36" s="23" t="s">
        <v>182</v>
      </c>
      <c r="EZ36" s="23" t="s">
        <v>183</v>
      </c>
      <c r="FA36" s="23" t="s">
        <v>184</v>
      </c>
      <c r="FB36" s="23" t="s">
        <v>185</v>
      </c>
      <c r="FC36" s="23" t="s">
        <v>186</v>
      </c>
      <c r="FD36" s="23" t="s">
        <v>5</v>
      </c>
      <c r="FE36" s="23" t="s">
        <v>187</v>
      </c>
      <c r="FF36" s="23" t="s">
        <v>188</v>
      </c>
      <c r="FG36" s="23" t="s">
        <v>189</v>
      </c>
      <c r="FH36" s="23"/>
      <c r="FI36" s="23" t="s">
        <v>1</v>
      </c>
      <c r="FJ36" s="23" t="s">
        <v>180</v>
      </c>
      <c r="FK36" s="23" t="s">
        <v>181</v>
      </c>
      <c r="FL36" s="23" t="s">
        <v>182</v>
      </c>
      <c r="FM36" s="23" t="s">
        <v>183</v>
      </c>
      <c r="FN36" s="23" t="s">
        <v>184</v>
      </c>
      <c r="FO36" s="23" t="s">
        <v>185</v>
      </c>
      <c r="FP36" s="23" t="s">
        <v>186</v>
      </c>
      <c r="FQ36" s="23" t="s">
        <v>5</v>
      </c>
      <c r="FR36" s="23" t="s">
        <v>187</v>
      </c>
      <c r="FS36" s="23" t="s">
        <v>188</v>
      </c>
      <c r="FT36" s="23" t="s">
        <v>189</v>
      </c>
    </row>
    <row r="37" customFormat="false" ht="14.25" hidden="false" customHeight="false" outlineLevel="0" collapsed="false">
      <c r="A37" s="37" t="s">
        <v>0</v>
      </c>
      <c r="B37" s="37" t="s">
        <v>49</v>
      </c>
      <c r="C37" s="37" t="s">
        <v>155</v>
      </c>
      <c r="D37" s="37" t="s">
        <v>51</v>
      </c>
      <c r="E37" s="37" t="s">
        <v>11</v>
      </c>
      <c r="F37" s="37" t="s">
        <v>22</v>
      </c>
      <c r="G37" s="37"/>
      <c r="H37" s="37"/>
      <c r="I37" s="37"/>
      <c r="J37" s="38"/>
      <c r="K37" s="37" t="s">
        <v>51</v>
      </c>
      <c r="L37" s="37" t="s">
        <v>51</v>
      </c>
      <c r="M37" s="37" t="s">
        <v>11</v>
      </c>
      <c r="N37" s="37" t="s">
        <v>11</v>
      </c>
      <c r="O37" s="37" t="s">
        <v>193</v>
      </c>
      <c r="P37" s="37" t="s">
        <v>9</v>
      </c>
      <c r="Q37" s="0"/>
      <c r="R37" s="37" t="s">
        <v>51</v>
      </c>
      <c r="S37" s="37" t="s">
        <v>51</v>
      </c>
      <c r="T37" s="37" t="s">
        <v>11</v>
      </c>
      <c r="U37" s="37" t="s">
        <v>11</v>
      </c>
      <c r="V37" s="37" t="s">
        <v>193</v>
      </c>
      <c r="W37" s="37" t="s">
        <v>9</v>
      </c>
      <c r="X37" s="38"/>
      <c r="Y37" s="37" t="s">
        <v>51</v>
      </c>
      <c r="Z37" s="37" t="s">
        <v>51</v>
      </c>
      <c r="AA37" s="37" t="s">
        <v>11</v>
      </c>
      <c r="AB37" s="37" t="s">
        <v>11</v>
      </c>
      <c r="AC37" s="37" t="s">
        <v>193</v>
      </c>
      <c r="AD37" s="37" t="s">
        <v>9</v>
      </c>
      <c r="AE37" s="38"/>
      <c r="AF37" s="37" t="s">
        <v>51</v>
      </c>
      <c r="AG37" s="37" t="s">
        <v>51</v>
      </c>
      <c r="AH37" s="37" t="s">
        <v>11</v>
      </c>
      <c r="AI37" s="37" t="s">
        <v>11</v>
      </c>
      <c r="AJ37" s="37" t="s">
        <v>193</v>
      </c>
      <c r="AK37" s="37" t="s">
        <v>9</v>
      </c>
      <c r="AM37" s="37" t="s">
        <v>21</v>
      </c>
      <c r="AN37" s="10"/>
      <c r="AP37" s="1" t="s">
        <v>166</v>
      </c>
      <c r="AQ37" s="1" t="s">
        <v>194</v>
      </c>
      <c r="AR37" s="1" t="s">
        <v>195</v>
      </c>
      <c r="AS37" s="1"/>
      <c r="AT37" s="11"/>
      <c r="AU37" s="1"/>
      <c r="AV37" s="1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"/>
      <c r="BL37" s="1"/>
      <c r="BM37" s="1"/>
      <c r="BN37" s="1"/>
      <c r="BO37" s="1"/>
      <c r="BX37" s="1" t="s">
        <v>166</v>
      </c>
      <c r="BY37" s="1" t="s">
        <v>194</v>
      </c>
      <c r="BZ37" s="1" t="s">
        <v>195</v>
      </c>
      <c r="CA37" s="1"/>
      <c r="CB37" s="11"/>
      <c r="CC37" s="1"/>
      <c r="CD37" s="1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"/>
      <c r="CT37" s="1"/>
      <c r="CU37" s="1"/>
      <c r="CV37" s="1"/>
      <c r="CW37" s="1"/>
      <c r="DF37" s="1" t="s">
        <v>166</v>
      </c>
      <c r="DG37" s="1" t="s">
        <v>194</v>
      </c>
      <c r="DH37" s="1" t="s">
        <v>195</v>
      </c>
      <c r="DI37" s="1"/>
      <c r="DJ37" s="11"/>
      <c r="DK37" s="1"/>
      <c r="DL37" s="1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"/>
      <c r="EB37" s="1"/>
      <c r="EC37" s="1"/>
      <c r="ED37" s="1"/>
      <c r="EE37" s="1"/>
      <c r="EN37" s="1" t="s">
        <v>166</v>
      </c>
      <c r="EO37" s="1" t="s">
        <v>194</v>
      </c>
      <c r="EP37" s="1" t="s">
        <v>195</v>
      </c>
      <c r="EQ37" s="1"/>
      <c r="ER37" s="11"/>
      <c r="ES37" s="1"/>
      <c r="ET37" s="1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"/>
      <c r="FJ37" s="1"/>
      <c r="FK37" s="1"/>
      <c r="FL37" s="1"/>
      <c r="FM37" s="1"/>
    </row>
    <row r="38" customFormat="false" ht="13.5" hidden="false" customHeight="false" outlineLevel="0" collapsed="false">
      <c r="A38" s="48" t="n">
        <v>36800</v>
      </c>
      <c r="B38" s="40" t="n">
        <f aca="false">VLOOKUP(A38,STRADDLE,5,FALSE())</f>
        <v>5.24</v>
      </c>
      <c r="C38" s="4" t="n">
        <f aca="false">VLOOKUP(A38,STRADDLE,8,FALSE())</f>
        <v>0.48</v>
      </c>
      <c r="D38" s="40"/>
      <c r="E38" s="131"/>
      <c r="F38" s="136" t="n">
        <f aca="false">VLOOKUP(A38,expiration,2,FALSE())-$B$2</f>
        <v>-9130</v>
      </c>
      <c r="G38" s="4"/>
      <c r="H38" s="4"/>
      <c r="I38" s="41"/>
      <c r="J38" s="154"/>
      <c r="K38" s="40" t="n">
        <f aca="false">IF($B$3="NYMEX",0,VLOOKUP($A38,curvesettle,HLOOKUP($B$3,curvesettle,2,FALSE()),FALSE()))</f>
        <v>0.48</v>
      </c>
      <c r="L38" s="40" t="n">
        <f aca="false">IF($B$4="NYMEX",0,VLOOKUP($A38,curvesettle,HLOOKUP($B$4,curvesettle,2,FALSE()),FALSE()))</f>
        <v>0</v>
      </c>
      <c r="M38" s="131" t="n">
        <f aca="false">IF(ISNUMBER(VLOOKUP($A38,VOLCURVES,HLOOKUP($B$3,VOLCURVES,2,FALSE()),FALSE())),VLOOKUP($A38,VOLCURVES,HLOOKUP($B$3,VOLCURVES,2,FALSE()),FALSE()),1)</f>
        <v>0.98</v>
      </c>
      <c r="N38" s="131" t="n">
        <f aca="false">IF(ISNUMBER(VLOOKUP($A38,VOLCURVES,HLOOKUP($B$4,VOLCURVES,2,FALSE()),FALSE())),VLOOKUP($A38,VOLCURVES,HLOOKUP($B$4,VOLCURVES,2,FALSE()),FALSE()),1)</f>
        <v>1</v>
      </c>
      <c r="O38" s="131" t="n">
        <f aca="false">IF(ISNUMBER(VLOOKUP($A38,CORETABLE,HLOOKUP($B$3,CORETABLE,2,FALSE()),FALSE())),VLOOKUP($A38,CORETABLE,HLOOKUP($B$3,CORETABLE,2,FALSE()),FALSE()),0.99)</f>
        <v>0.9925</v>
      </c>
      <c r="P38" s="155" t="n">
        <f aca="false">B$18</f>
        <v>2</v>
      </c>
      <c r="Q38" s="155"/>
      <c r="R38" s="40" t="n">
        <f aca="false">IF($D$3="NYMEX",0,VLOOKUP($A38,curvesettle,HLOOKUP($D$3,curvesettle,2,FALSE()),FALSE()))</f>
        <v>0.48</v>
      </c>
      <c r="S38" s="40" t="n">
        <f aca="false">IF($D$4="NYMEX",0,VLOOKUP($A38,curvesettle,HLOOKUP($D$4,curvesettle,2,FALSE()),FALSE()))</f>
        <v>0</v>
      </c>
      <c r="T38" s="131" t="n">
        <f aca="false">IF(ISNUMBER(VLOOKUP($A38,VOLCURVES,HLOOKUP($D$3,VOLCURVES,2,FALSE()),FALSE())),VLOOKUP($A38,VOLCURVES,HLOOKUP($D$3,VOLCURVES,2,FALSE()),FALSE()),1)</f>
        <v>0.98</v>
      </c>
      <c r="U38" s="131" t="n">
        <f aca="false">IF(ISNUMBER(VLOOKUP($A38,VOLCURVES,HLOOKUP($D$4,VOLCURVES,2,FALSE()),FALSE())),VLOOKUP($A38,VOLCURVES,HLOOKUP($D$4,VOLCURVES,2,FALSE()),FALSE()),1)</f>
        <v>1</v>
      </c>
      <c r="V38" s="131" t="n">
        <f aca="false">IF(ISNUMBER(VLOOKUP($A38,CORETABLE,HLOOKUP($D$3,CORETABLE,2,FALSE()),FALSE())),VLOOKUP($A38,CORETABLE,HLOOKUP($D$3,CORETABLE,2,FALSE()),FALSE()),0.99)</f>
        <v>0.9925</v>
      </c>
      <c r="W38" s="155" t="n">
        <f aca="false">D$18</f>
        <v>2.5</v>
      </c>
      <c r="X38" s="131"/>
      <c r="Y38" s="40" t="n">
        <f aca="false">IF($F$3="NYMEX",0,VLOOKUP($A38,curvesettle,HLOOKUP($F$3,curvesettle,2,FALSE()),FALSE()))</f>
        <v>-0.7775</v>
      </c>
      <c r="Z38" s="40" t="n">
        <f aca="false">IF($F$4="NYMEX",0,VLOOKUP($A38,curvesettle,HLOOKUP($F$4,curvesettle,2,FALSE()),FALSE()))</f>
        <v>0</v>
      </c>
      <c r="AA38" s="131" t="n">
        <f aca="false">IF(ISNUMBER(VLOOKUP($A38,VOLCURVES,HLOOKUP($F$3,VOLCURVES,2,FALSE()),FALSE())),VLOOKUP($A38,VOLCURVES,HLOOKUP($F$3,VOLCURVES,2,FALSE()),FALSE()),1)</f>
        <v>0.96</v>
      </c>
      <c r="AB38" s="131" t="n">
        <f aca="false">IF(ISNUMBER(VLOOKUP($A38,VOLCURVES,HLOOKUP($F$4,VOLCURVES,2,FALSE()),FALSE())),VLOOKUP($A38,VOLCURVES,HLOOKUP($F$4,VOLCURVES,2,FALSE()),FALSE()),1)</f>
        <v>1</v>
      </c>
      <c r="AC38" s="131" t="n">
        <f aca="false">IF(ISNUMBER(VLOOKUP($A38,CORETABLE,HLOOKUP($F$3,CORETABLE,2,FALSE()),FALSE())),VLOOKUP($A38,CORETABLE,HLOOKUP($F$3,CORETABLE,2,FALSE()),FALSE()),1)</f>
        <v>0.84</v>
      </c>
      <c r="AD38" s="155" t="n">
        <f aca="false">F$18</f>
        <v>-0.05</v>
      </c>
      <c r="AE38" s="131"/>
      <c r="AF38" s="40" t="n">
        <f aca="false">IF($H$3="NYMEX",0,VLOOKUP($A38,curvesettle,HLOOKUP($H$3,curvesettle,2,FALSE()),FALSE()))</f>
        <v>-0.0025</v>
      </c>
      <c r="AG38" s="40" t="n">
        <f aca="false">IF($H$4="NYMEX",0,VLOOKUP($A38,curvesettle,HLOOKUP($H$4,curvesettle,2,FALSE()),FALSE()))</f>
        <v>0</v>
      </c>
      <c r="AH38" s="131" t="n">
        <f aca="false">IF(ISNUMBER(VLOOKUP($A38,VOLCURVES,HLOOKUP($H$3,VOLCURVES,2,FALSE()),FALSE())),VLOOKUP($A38,VOLCURVES,HLOOKUP($H$3,VOLCURVES,2,FALSE()),FALSE()),1)</f>
        <v>1</v>
      </c>
      <c r="AI38" s="131" t="n">
        <f aca="false">IF(ISNUMBER(VLOOKUP($A38,VOLCURVES,HLOOKUP($H$4,VOLCURVES,2,FALSE()),FALSE())),VLOOKUP($A38,VOLCURVES,HLOOKUP($H$4,VOLCURVES,2,FALSE()),FALSE()),1)</f>
        <v>1</v>
      </c>
      <c r="AJ38" s="131" t="n">
        <f aca="false">IF(ISNUMBER(VLOOKUP($A38,CORETABLE,HLOOKUP($H$3,CORETABLE,2,FALSE()),FALSE())),VLOOKUP($A38,CORETABLE,HLOOKUP($H$3,CORETABLE,2,FALSE()),FALSE()),1)</f>
        <v>0.999</v>
      </c>
      <c r="AK38" s="155" t="n">
        <f aca="false">H$18</f>
        <v>-0.05</v>
      </c>
      <c r="AM38" s="4" t="n">
        <f aca="false">VLOOKUP($A38,STRADDLE,12,FALSE())</f>
        <v>0.067720515824946</v>
      </c>
      <c r="AN38" s="43" t="n">
        <f aca="false">A39-A38</f>
        <v>31</v>
      </c>
      <c r="AP38" s="9" t="n">
        <f aca="false">IF($A38&gt;=AR$32,IF($A38&lt;=AR$33,$AN38,0),0)</f>
        <v>0</v>
      </c>
      <c r="AQ38" s="123" t="n">
        <f aca="false">$B38+$K38+$B$12</f>
        <v>5.75</v>
      </c>
      <c r="AR38" s="123" t="n">
        <f aca="false">$B38+$L38+$B$13</f>
        <v>5.24</v>
      </c>
      <c r="AS38" s="123" t="n">
        <f aca="false">AQ38*AP38</f>
        <v>0</v>
      </c>
      <c r="AT38" s="123" t="n">
        <f aca="false">AR38*AP38</f>
        <v>0</v>
      </c>
      <c r="AU38" s="156" t="n">
        <f aca="false">($C38*$M38)+$B$14</f>
        <v>0.4704</v>
      </c>
      <c r="AV38" s="156" t="n">
        <f aca="false">($C38*$N38)+$B$15</f>
        <v>0.48</v>
      </c>
      <c r="AW38" s="131" t="n">
        <f aca="false">O38+B$16</f>
        <v>0.9925</v>
      </c>
      <c r="AX38" s="157" t="n">
        <f aca="false">IF(AP38=0,0,SPRDOPT(AQ38,AR38,$P38,$AM38,AU38,AV38,AW38,$F38,$B$19,0))</f>
        <v>0</v>
      </c>
      <c r="AY38" s="157" t="e">
        <f aca="false">IF(AQ38=0,0,SPRDOPT(AQ38,AR38,$P38,$AM38,AU38,AV38,AW38,$F38,$B$19,1))</f>
        <v>#NAME?</v>
      </c>
      <c r="AZ38" s="157" t="e">
        <f aca="false">IF(AR38=0,0,SPRDOPT(AQ38,AR38,$P38,$AM38,AU38,AV38,AW38,$F38,$B$19,2))</f>
        <v>#NAME?</v>
      </c>
      <c r="BA38" s="157" t="n">
        <f aca="false">IF(AS38=0,0,SPRDOPT(AQ38,AR38,$P38,$AM38,AU38,AV38,AW38,$F38,$B$19,3)/100)</f>
        <v>0</v>
      </c>
      <c r="BB38" s="157" t="n">
        <f aca="false">IF(AT38=0,0,SPRDOPT(AQ38,AR38,$P38,$AM38,AU38,AV38,AW38,$F38,$B$19,4)/100)</f>
        <v>0</v>
      </c>
      <c r="BC38" s="157" t="e">
        <f aca="false">IF(AU38=0,0,SPRDOPT(AQ38,AR38,$P38,$AM38,AU38,AV38,AW38,$F38,$B$19,5)/100)</f>
        <v>#NAME?</v>
      </c>
      <c r="BD38" s="157" t="e">
        <f aca="false">IF(AV38=0,0,SPRDOPT(AQ38,AR38,$P38,$AM38,AU38,AV38,AW38,$F38,$B$19,6)/100)</f>
        <v>#NAME?</v>
      </c>
      <c r="BE38" s="157" t="e">
        <f aca="false">IF(AW38=0,0,SPRDOPT(AQ38,AR38,$P38,$AM38,AU38,AV38,AW38,$F38,$B$19,7)/100)</f>
        <v>#NAME?</v>
      </c>
      <c r="BF38" s="157" t="n">
        <f aca="false">IF(AX38=0,0,SPRDOPT(AQ38,AR38,$P38,$AM38,AU38,AV38,AW38,$F38,$B$19,9)/365)</f>
        <v>0</v>
      </c>
      <c r="BG38" s="157" t="e">
        <f aca="false">AY38+AZ38</f>
        <v>#NAME?</v>
      </c>
      <c r="BH38" s="157" t="n">
        <f aca="false">BB38-BA38</f>
        <v>0</v>
      </c>
      <c r="BI38" s="157" t="e">
        <f aca="false">((AU38/AV38)*BC38)+BD38</f>
        <v>#NAME?</v>
      </c>
      <c r="BJ38" s="44"/>
      <c r="BK38" s="45" t="n">
        <f aca="false">$AP38*AX38</f>
        <v>0</v>
      </c>
      <c r="BL38" s="45" t="e">
        <f aca="false">$AP38*AY38</f>
        <v>#NAME?</v>
      </c>
      <c r="BM38" s="45" t="e">
        <f aca="false">$AP38*AZ38</f>
        <v>#NAME?</v>
      </c>
      <c r="BN38" s="45" t="n">
        <f aca="false">$AP38*BA38</f>
        <v>0</v>
      </c>
      <c r="BO38" s="45" t="n">
        <f aca="false">$AP38*BB38</f>
        <v>0</v>
      </c>
      <c r="BP38" s="45" t="e">
        <f aca="false">$AP38*BC38</f>
        <v>#NAME?</v>
      </c>
      <c r="BQ38" s="45" t="e">
        <f aca="false">$AP38*BD38</f>
        <v>#NAME?</v>
      </c>
      <c r="BR38" s="45" t="e">
        <f aca="false">$AP38*BE38</f>
        <v>#NAME?</v>
      </c>
      <c r="BS38" s="45" t="n">
        <f aca="false">$AP38*BF38</f>
        <v>0</v>
      </c>
      <c r="BT38" s="45" t="e">
        <f aca="false">$AP38*BG38</f>
        <v>#NAME?</v>
      </c>
      <c r="BU38" s="45" t="n">
        <f aca="false">$AP38*BH38</f>
        <v>0</v>
      </c>
      <c r="BV38" s="45" t="e">
        <f aca="false">$AP38*BI38</f>
        <v>#NAME?</v>
      </c>
      <c r="BX38" s="9" t="n">
        <f aca="false">IF($A38&gt;=BZ$32,IF($A38&lt;=BZ$33,$AN38,0),0)</f>
        <v>0</v>
      </c>
      <c r="BY38" s="123" t="n">
        <f aca="false">$B38+$R38+$D$12</f>
        <v>5.75</v>
      </c>
      <c r="BZ38" s="123" t="n">
        <f aca="false">$B38+$S38+$D$13</f>
        <v>5.24</v>
      </c>
      <c r="CA38" s="123" t="n">
        <f aca="false">BY38*BX38</f>
        <v>0</v>
      </c>
      <c r="CB38" s="123" t="n">
        <f aca="false">BZ38*BX38</f>
        <v>0</v>
      </c>
      <c r="CC38" s="156" t="n">
        <f aca="false">($C38*$T38)+$D$14</f>
        <v>0.4704</v>
      </c>
      <c r="CD38" s="156" t="n">
        <f aca="false">($C38*$U38)+$D$15</f>
        <v>0.48</v>
      </c>
      <c r="CE38" s="131" t="n">
        <f aca="false">$V38+D$16</f>
        <v>0.9925</v>
      </c>
      <c r="CF38" s="157" t="n">
        <f aca="false">IF(BX38=0,0,SPRDOPT(BY38,BZ38,$W38,$AM38,CC38,CD38,CE38,$F38,$D$19,0))</f>
        <v>0</v>
      </c>
      <c r="CG38" s="157" t="e">
        <f aca="false">IF(BY38=0,0,SPRDOPT(BY38,BZ38,$W38,$AM38,CC38,CD38,CE38,$F38,$D$19,1))</f>
        <v>#NAME?</v>
      </c>
      <c r="CH38" s="157" t="e">
        <f aca="false">IF(BZ38=0,0,SPRDOPT(BY38,BZ38,$W38,$AM38,CC38,CD38,CE38,$F38,$D$19,2))</f>
        <v>#NAME?</v>
      </c>
      <c r="CI38" s="157" t="n">
        <f aca="false">IF(CA38=0,0,SPRDOPT(BY38,BZ38,$W38,$AM38,CC38,CD38,CE38,$F38,$D$19,3)/100)</f>
        <v>0</v>
      </c>
      <c r="CJ38" s="157" t="n">
        <f aca="false">IF(CB38=0,0,SPRDOPT(BY38,BZ38,$W38,$AM38,CC38,CD38,CE38,$F38,$D$19,4)/100)</f>
        <v>0</v>
      </c>
      <c r="CK38" s="157" t="e">
        <f aca="false">IF(CC38=0,0,SPRDOPT(BY38,BZ38,$W38,$AM38,CC38,CD38,CE38,$F38,$D$19,5)/100)</f>
        <v>#NAME?</v>
      </c>
      <c r="CL38" s="157" t="e">
        <f aca="false">IF(CD38=0,0,SPRDOPT(BY38,BZ38,$W38,$AM38,CC38,CD38,CE38,$F38,$D$19,6)/100)</f>
        <v>#NAME?</v>
      </c>
      <c r="CM38" s="157" t="e">
        <f aca="false">IF(CE38=0,0,SPRDOPT(BY38,BZ38,$W38,$AM38,CC38,CD38,CE38,$F38,$D$19,7)/100)</f>
        <v>#NAME?</v>
      </c>
      <c r="CN38" s="157" t="n">
        <f aca="false">IF(CF38=0,0,SPRDOPT(BY38,BZ38,$W38,$AM38,CC38,CD38,CE38,$F38,$D$19,9)/365)</f>
        <v>0</v>
      </c>
      <c r="CO38" s="157" t="e">
        <f aca="false">CG38+CH38</f>
        <v>#NAME?</v>
      </c>
      <c r="CP38" s="157" t="n">
        <f aca="false">CJ38-CI38</f>
        <v>0</v>
      </c>
      <c r="CQ38" s="157" t="e">
        <f aca="false">((CC38/CD38)*CK38)+CL38</f>
        <v>#NAME?</v>
      </c>
      <c r="CR38" s="44"/>
      <c r="CS38" s="45" t="n">
        <f aca="false">BX38*CF38</f>
        <v>0</v>
      </c>
      <c r="CT38" s="45" t="e">
        <f aca="false">BX38*CG38</f>
        <v>#NAME?</v>
      </c>
      <c r="CU38" s="45" t="e">
        <f aca="false">BX38*CH38</f>
        <v>#NAME?</v>
      </c>
      <c r="CV38" s="45" t="n">
        <f aca="false">BX38*CI38</f>
        <v>0</v>
      </c>
      <c r="CW38" s="45" t="n">
        <f aca="false">BX38*CJ38</f>
        <v>0</v>
      </c>
      <c r="CX38" s="45" t="e">
        <f aca="false">BX38*CK38</f>
        <v>#NAME?</v>
      </c>
      <c r="CY38" s="45" t="e">
        <f aca="false">BX38*CL38</f>
        <v>#NAME?</v>
      </c>
      <c r="CZ38" s="45" t="e">
        <f aca="false">BX38*CM38</f>
        <v>#NAME?</v>
      </c>
      <c r="DA38" s="45" t="n">
        <f aca="false">BX38*CN38</f>
        <v>0</v>
      </c>
      <c r="DB38" s="45" t="e">
        <f aca="false">BX38*CO38</f>
        <v>#NAME?</v>
      </c>
      <c r="DC38" s="45" t="n">
        <f aca="false">BX38*CP38</f>
        <v>0</v>
      </c>
      <c r="DD38" s="45" t="e">
        <f aca="false">BX38*CQ38</f>
        <v>#NAME?</v>
      </c>
      <c r="DF38" s="9" t="n">
        <f aca="false">IF($A38&gt;=DH$32,IF($A38&lt;=DH$33,$AN38,0),0)</f>
        <v>0</v>
      </c>
      <c r="DG38" s="123" t="n">
        <f aca="false">$B38+$Y38+$F$12</f>
        <v>4.4675</v>
      </c>
      <c r="DH38" s="123" t="n">
        <f aca="false">$B38+$Z38+$F$13</f>
        <v>5.24</v>
      </c>
      <c r="DI38" s="123" t="n">
        <f aca="false">DG38*DF38</f>
        <v>0</v>
      </c>
      <c r="DJ38" s="123" t="n">
        <f aca="false">DH38*DF38</f>
        <v>0</v>
      </c>
      <c r="DK38" s="156" t="n">
        <f aca="false">($C38*$AA38)+$F$14</f>
        <v>0.4608</v>
      </c>
      <c r="DL38" s="156" t="n">
        <f aca="false">($C38*$AB38)+$F$15</f>
        <v>0.48</v>
      </c>
      <c r="DM38" s="131" t="n">
        <f aca="false">$AC38+$F$16</f>
        <v>0.854</v>
      </c>
      <c r="DN38" s="157" t="n">
        <f aca="false">IF(DF38=0,0,SPRDOPT(DG38,DH38,$AD38,$AM38,DK38,DL38,DM38,$F38,$F$19,0))</f>
        <v>0</v>
      </c>
      <c r="DO38" s="157" t="e">
        <f aca="false">IF(DG38=0,0,SPRDOPT(DG38,DH38,$AD38,$AM38,DK38,DL38,DM38,$F38,$F$19,1))</f>
        <v>#NAME?</v>
      </c>
      <c r="DP38" s="157" t="e">
        <f aca="false">IF(DH38=0,0,SPRDOPT(DG38,DH38,$AD38,$AM38,DK38,DL38,DM38,$F38,$F$19,2))</f>
        <v>#NAME?</v>
      </c>
      <c r="DQ38" s="157" t="n">
        <f aca="false">IF(DI38=0,0,SPRDOPT(DG38,DH38,$AD38,$AM38,DK38,DL38,DM38,$F38,$F$19,3)/100)</f>
        <v>0</v>
      </c>
      <c r="DR38" s="157" t="n">
        <f aca="false">IF(DJ38=0,0,SPRDOPT(DG38,DH38,$AD38,$AM38,DK38,DL38,DM38,$F38,$F$19,4)/100)</f>
        <v>0</v>
      </c>
      <c r="DS38" s="157" t="e">
        <f aca="false">IF(DK38=0,0,SPRDOPT(DG38,DH38,$AD38,$AM38,DK38,DL38,DM38,$F38,$F$19,5)/100)</f>
        <v>#NAME?</v>
      </c>
      <c r="DT38" s="157" t="e">
        <f aca="false">IF(DL38=0,0,SPRDOPT(DG38,DH38,$AD38,$AM38,DK38,DL38,DM38,$F38,$F$19,6)/100)</f>
        <v>#NAME?</v>
      </c>
      <c r="DU38" s="157" t="e">
        <f aca="false">IF(DM38=0,0,SPRDOPT(DG38,DH38,$AD38,$AM38,DK38,DL38,DM38,$F38,$F$19,7)/100)</f>
        <v>#NAME?</v>
      </c>
      <c r="DV38" s="157" t="n">
        <f aca="false">IF(DN38=0,0,SPRDOPT(DG38,DH38,$AD38,$AM38,DK38,DL38,DM38,$F38,$F$19,9)/365)</f>
        <v>0</v>
      </c>
      <c r="DW38" s="157" t="e">
        <f aca="false">DO38+DP38</f>
        <v>#NAME?</v>
      </c>
      <c r="DX38" s="157" t="n">
        <f aca="false">DR38-DQ38</f>
        <v>0</v>
      </c>
      <c r="DY38" s="157" t="e">
        <f aca="false">((DK38/DL38)*DS38)+DT38</f>
        <v>#NAME?</v>
      </c>
      <c r="DZ38" s="44"/>
      <c r="EA38" s="45" t="n">
        <f aca="false">DF38*DN38</f>
        <v>0</v>
      </c>
      <c r="EB38" s="45" t="e">
        <f aca="false">DF38*DO38</f>
        <v>#NAME?</v>
      </c>
      <c r="EC38" s="45" t="e">
        <f aca="false">DF38*DP38</f>
        <v>#NAME?</v>
      </c>
      <c r="ED38" s="45" t="n">
        <f aca="false">DF38*DQ38</f>
        <v>0</v>
      </c>
      <c r="EE38" s="45" t="n">
        <f aca="false">DF38*DR38</f>
        <v>0</v>
      </c>
      <c r="EF38" s="45" t="e">
        <f aca="false">DF38*DS38</f>
        <v>#NAME?</v>
      </c>
      <c r="EG38" s="45" t="e">
        <f aca="false">DF38*DT38</f>
        <v>#NAME?</v>
      </c>
      <c r="EH38" s="45" t="e">
        <f aca="false">DF38*DU38</f>
        <v>#NAME?</v>
      </c>
      <c r="EI38" s="45" t="n">
        <f aca="false">DF38*DV38</f>
        <v>0</v>
      </c>
      <c r="EJ38" s="45" t="e">
        <f aca="false">DF38*DW38</f>
        <v>#NAME?</v>
      </c>
      <c r="EK38" s="45" t="n">
        <f aca="false">DF38*DX38</f>
        <v>0</v>
      </c>
      <c r="EL38" s="45" t="e">
        <f aca="false">DF38*DY38</f>
        <v>#NAME?</v>
      </c>
      <c r="EN38" s="9" t="n">
        <f aca="false">IF($A38&gt;=EP$32,IF($A38&lt;=EP$33,$AN38,0),0)</f>
        <v>0</v>
      </c>
      <c r="EO38" s="123" t="n">
        <f aca="false">$B38+$AF38+$H$12</f>
        <v>5.2375</v>
      </c>
      <c r="EP38" s="123" t="n">
        <f aca="false">$B38+$AG38+$H$13</f>
        <v>5.24</v>
      </c>
      <c r="EQ38" s="123" t="n">
        <f aca="false">EO38*EN38</f>
        <v>0</v>
      </c>
      <c r="ER38" s="123" t="n">
        <f aca="false">EP38*EN38</f>
        <v>0</v>
      </c>
      <c r="ES38" s="156" t="n">
        <f aca="false">($C38*$AH38)+$H$14</f>
        <v>0.48</v>
      </c>
      <c r="ET38" s="156" t="n">
        <f aca="false">($C38*$AI38)+$H$15</f>
        <v>0.48</v>
      </c>
      <c r="EU38" s="131" t="n">
        <f aca="false">$AJ38+$H$16</f>
        <v>0.998</v>
      </c>
      <c r="EV38" s="157" t="n">
        <f aca="false">IF(EN38=0,0,SPRDOPT(EO38,EP38,$AK38,$AM38,ES38,ET38,EU38,$F38,$H$19,0))</f>
        <v>0</v>
      </c>
      <c r="EW38" s="157" t="e">
        <f aca="false">IF(EO38=0,0,SPRDOPT(EO38,EP38,$AK38,$AM38,ES38,ET38,EU38,$F38,$H$19,1))</f>
        <v>#NAME?</v>
      </c>
      <c r="EX38" s="157" t="e">
        <f aca="false">IF(EP38=0,0,SPRDOPT(EO38,EP38,$AK38,$AM38,ES38,ET38,EU38,$F38,$H$19,2))</f>
        <v>#NAME?</v>
      </c>
      <c r="EY38" s="157" t="n">
        <f aca="false">IF(EQ38=0,0,SPRDOPT(EO38,EP38,$AK38,$AM38,ES38,ET38,EU38,$F38,$H$19,3)/100)</f>
        <v>0</v>
      </c>
      <c r="EZ38" s="157" t="n">
        <f aca="false">IF(ER38=0,0,SPRDOPT(EO38,EP38,$AK38,$AM38,ES38,ET38,EU38,$F38,$H$19,4)/100)</f>
        <v>0</v>
      </c>
      <c r="FA38" s="157" t="e">
        <f aca="false">IF(ES38=0,0,SPRDOPT(EO38,EP38,$AK38,$AM38,ES38,ET38,EU38,$F38,$H$19,5)/100)</f>
        <v>#NAME?</v>
      </c>
      <c r="FB38" s="157" t="e">
        <f aca="false">IF(ET38=0,0,SPRDOPT(EO38,EP38,$AK38,$AM38,ES38,ET38,EU38,$F38,$H$19,6)/100)</f>
        <v>#NAME?</v>
      </c>
      <c r="FC38" s="157" t="e">
        <f aca="false">IF(EU38=0,0,SPRDOPT(EO38,EP38,$AK38,$AM38,ES38,ET38,EU38,$F38,$H$19,7)/100)</f>
        <v>#NAME?</v>
      </c>
      <c r="FD38" s="157" t="n">
        <f aca="false">IF(EV38=0,0,SPRDOPT(EO38,EP38,$AK38,$AM38,ES38,ET38,EU38,$F38,$H$19,9)/365)</f>
        <v>0</v>
      </c>
      <c r="FE38" s="157" t="e">
        <f aca="false">EW38+EX38</f>
        <v>#NAME?</v>
      </c>
      <c r="FF38" s="157" t="n">
        <f aca="false">EZ38-EY38</f>
        <v>0</v>
      </c>
      <c r="FG38" s="157" t="e">
        <f aca="false">((ES38/ET38)*FA38)+FB38</f>
        <v>#NAME?</v>
      </c>
      <c r="FH38" s="44"/>
      <c r="FI38" s="45" t="n">
        <f aca="false">$EN38*EV38</f>
        <v>0</v>
      </c>
      <c r="FJ38" s="45" t="e">
        <f aca="false">$EN38*EW38</f>
        <v>#NAME?</v>
      </c>
      <c r="FK38" s="45" t="e">
        <f aca="false">$EN38*EX38</f>
        <v>#NAME?</v>
      </c>
      <c r="FL38" s="45" t="n">
        <f aca="false">$EN38*EY38</f>
        <v>0</v>
      </c>
      <c r="FM38" s="45" t="n">
        <f aca="false">$EN38*EZ38</f>
        <v>0</v>
      </c>
      <c r="FN38" s="45" t="e">
        <f aca="false">$EN38*FA38</f>
        <v>#NAME?</v>
      </c>
      <c r="FO38" s="45" t="e">
        <f aca="false">$EN38*FB38</f>
        <v>#NAME?</v>
      </c>
      <c r="FP38" s="45" t="e">
        <f aca="false">$EN38*FC38</f>
        <v>#NAME?</v>
      </c>
      <c r="FQ38" s="45" t="n">
        <f aca="false">$EN38*FD38</f>
        <v>0</v>
      </c>
      <c r="FR38" s="45" t="e">
        <f aca="false">$EN38*FE38</f>
        <v>#NAME?</v>
      </c>
      <c r="FS38" s="45" t="n">
        <f aca="false">$EN38*FF38</f>
        <v>0</v>
      </c>
      <c r="FT38" s="45" t="e">
        <f aca="false">$EN38*FG38</f>
        <v>#NAME?</v>
      </c>
    </row>
    <row r="39" customFormat="false" ht="12.75" hidden="false" customHeight="false" outlineLevel="0" collapsed="false">
      <c r="A39" s="48" t="n">
        <f aca="false">DATE(YEAR(A38),MONTH(A38)+1,1)</f>
        <v>36831</v>
      </c>
      <c r="B39" s="40" t="n">
        <f aca="false">VLOOKUP(A39,STRADDLE,5,FALSE())</f>
        <v>5.4258</v>
      </c>
      <c r="C39" s="4" t="n">
        <f aca="false">VLOOKUP(A39,STRADDLE,8,FALSE())</f>
        <v>0.52</v>
      </c>
      <c r="D39" s="40"/>
      <c r="E39" s="131"/>
      <c r="F39" s="136" t="n">
        <f aca="false">VLOOKUP(A39,expiration,2,FALSE())-$B$2</f>
        <v>-9100</v>
      </c>
      <c r="G39" s="4"/>
      <c r="H39" s="4"/>
      <c r="I39" s="41"/>
      <c r="J39" s="154"/>
      <c r="K39" s="40" t="n">
        <f aca="false">IF($B$3="NYMEX",0,VLOOKUP($A39,curvesettle,HLOOKUP($B$3,curvesettle,2,FALSE()),FALSE()))</f>
        <v>0.89</v>
      </c>
      <c r="L39" s="40" t="n">
        <f aca="false">IF($B$4="NYMEX",0,VLOOKUP($A39,curvesettle,HLOOKUP($B$4,curvesettle,2,FALSE()),FALSE()))</f>
        <v>0</v>
      </c>
      <c r="M39" s="131" t="n">
        <f aca="false">IF(ISNUMBER(VLOOKUP($A39,VOLCURVES,HLOOKUP($B$3,VOLCURVES,2,FALSE()),FALSE())),VLOOKUP($A39,VOLCURVES,HLOOKUP($B$3,VOLCURVES,2,FALSE()),FALSE()),1)</f>
        <v>1.05</v>
      </c>
      <c r="N39" s="131" t="n">
        <f aca="false">IF(ISNUMBER(VLOOKUP($A39,VOLCURVES,HLOOKUP($B$4,VOLCURVES,2,FALSE()),FALSE())),VLOOKUP($A39,VOLCURVES,HLOOKUP($B$4,VOLCURVES,2,FALSE()),FALSE()),1)</f>
        <v>1</v>
      </c>
      <c r="O39" s="131" t="n">
        <f aca="false">IF(ISNUMBER(VLOOKUP($A39,CORETABLE,HLOOKUP($B$3,CORETABLE,2,FALSE()),FALSE())),VLOOKUP($A39,CORETABLE,HLOOKUP($B$3,CORETABLE,2,FALSE()),FALSE()),0.99)</f>
        <v>0.86</v>
      </c>
      <c r="P39" s="155" t="n">
        <f aca="false">B$18</f>
        <v>2</v>
      </c>
      <c r="Q39" s="131"/>
      <c r="R39" s="40" t="n">
        <f aca="false">IF($D$3="NYMEX",0,VLOOKUP($A39,curvesettle,HLOOKUP($D$3,curvesettle,2,FALSE()),FALSE()))</f>
        <v>0.89</v>
      </c>
      <c r="S39" s="40" t="n">
        <f aca="false">IF($D$4="NYMEX",0,VLOOKUP($A39,curvesettle,HLOOKUP($D$4,curvesettle,2,FALSE()),FALSE()))</f>
        <v>0</v>
      </c>
      <c r="T39" s="131" t="n">
        <f aca="false">IF(ISNUMBER(VLOOKUP($A39,VOLCURVES,HLOOKUP($D$3,VOLCURVES,2,FALSE()),FALSE())),VLOOKUP($A39,VOLCURVES,HLOOKUP($D$3,VOLCURVES,2,FALSE()),FALSE()),1)</f>
        <v>1.05</v>
      </c>
      <c r="U39" s="131" t="n">
        <f aca="false">IF(ISNUMBER(VLOOKUP($A39,VOLCURVES,HLOOKUP($D$4,VOLCURVES,2,FALSE()),FALSE())),VLOOKUP($A39,VOLCURVES,HLOOKUP($D$4,VOLCURVES,2,FALSE()),FALSE()),1)</f>
        <v>1</v>
      </c>
      <c r="V39" s="131" t="n">
        <f aca="false">IF(ISNUMBER(VLOOKUP($A39,CORETABLE,HLOOKUP($D$3,CORETABLE,2,FALSE()),FALSE())),VLOOKUP($A39,CORETABLE,HLOOKUP($D$3,CORETABLE,2,FALSE()),FALSE()),0.99)</f>
        <v>0.86</v>
      </c>
      <c r="W39" s="155" t="n">
        <f aca="false">D$18</f>
        <v>2.5</v>
      </c>
      <c r="X39" s="131"/>
      <c r="Y39" s="40" t="n">
        <f aca="false">IF($F$3="NYMEX",0,VLOOKUP($A39,curvesettle,HLOOKUP($F$3,curvesettle,2,FALSE()),FALSE()))</f>
        <v>-0.44</v>
      </c>
      <c r="Z39" s="40" t="n">
        <f aca="false">IF($F$4="NYMEX",0,VLOOKUP($A39,curvesettle,HLOOKUP($F$4,curvesettle,2,FALSE()),FALSE()))</f>
        <v>0</v>
      </c>
      <c r="AA39" s="131" t="n">
        <f aca="false">IF(ISNUMBER(VLOOKUP($A39,VOLCURVES,HLOOKUP($F$3,VOLCURVES,2,FALSE()),FALSE())),VLOOKUP($A39,VOLCURVES,HLOOKUP($F$3,VOLCURVES,2,FALSE()),FALSE()),1)</f>
        <v>0.96</v>
      </c>
      <c r="AB39" s="131" t="n">
        <f aca="false">IF(ISNUMBER(VLOOKUP($A39,VOLCURVES,HLOOKUP($F$4,VOLCURVES,2,FALSE()),FALSE())),VLOOKUP($A39,VOLCURVES,HLOOKUP($F$4,VOLCURVES,2,FALSE()),FALSE()),1)</f>
        <v>1</v>
      </c>
      <c r="AC39" s="131" t="n">
        <f aca="false">IF(ISNUMBER(VLOOKUP($A39,CORETABLE,HLOOKUP($F$3,CORETABLE,2,FALSE()),FALSE())),VLOOKUP($A39,CORETABLE,HLOOKUP($F$3,CORETABLE,2,FALSE()),FALSE()),1)</f>
        <v>0.96</v>
      </c>
      <c r="AD39" s="155" t="n">
        <f aca="false">F$18</f>
        <v>-0.05</v>
      </c>
      <c r="AE39" s="131"/>
      <c r="AF39" s="40" t="n">
        <f aca="false">IF($H$3="NYMEX",0,VLOOKUP($A39,curvesettle,HLOOKUP($H$3,curvesettle,2,FALSE()),FALSE()))</f>
        <v>-0.0275</v>
      </c>
      <c r="AG39" s="40" t="n">
        <f aca="false">IF($H$4="NYMEX",0,VLOOKUP($A39,curvesettle,HLOOKUP($H$4,curvesettle,2,FALSE()),FALSE()))</f>
        <v>0</v>
      </c>
      <c r="AH39" s="131" t="n">
        <f aca="false">IF(ISNUMBER(VLOOKUP($A39,VOLCURVES,HLOOKUP($H$3,VOLCURVES,2,FALSE()),FALSE())),VLOOKUP($A39,VOLCURVES,HLOOKUP($H$3,VOLCURVES,2,FALSE()),FALSE()),1)</f>
        <v>1</v>
      </c>
      <c r="AI39" s="131" t="n">
        <f aca="false">IF(ISNUMBER(VLOOKUP($A39,VOLCURVES,HLOOKUP($H$4,VOLCURVES,2,FALSE()),FALSE())),VLOOKUP($A39,VOLCURVES,HLOOKUP($H$4,VOLCURVES,2,FALSE()),FALSE()),1)</f>
        <v>1</v>
      </c>
      <c r="AJ39" s="131" t="n">
        <f aca="false">IF(ISNUMBER(VLOOKUP($A39,CORETABLE,HLOOKUP($H$3,CORETABLE,2,FALSE()),FALSE())),VLOOKUP($A39,CORETABLE,HLOOKUP($H$3,CORETABLE,2,FALSE()),FALSE()),1)</f>
        <v>0.999</v>
      </c>
      <c r="AK39" s="155" t="n">
        <f aca="false">H$18</f>
        <v>-0.05</v>
      </c>
      <c r="AM39" s="4" t="n">
        <f aca="false">VLOOKUP($A39,STRADDLE,12,FALSE())</f>
        <v>0.068087889350767</v>
      </c>
      <c r="AN39" s="43" t="n">
        <f aca="false">A40-A39</f>
        <v>30</v>
      </c>
      <c r="AP39" s="9" t="n">
        <f aca="false">IF($A39&gt;=AR$32,IF($A39&lt;=AR$33,$AN39,0),0)</f>
        <v>30</v>
      </c>
      <c r="AQ39" s="123" t="n">
        <f aca="false">$B39+$K39+$B$12</f>
        <v>6.3458</v>
      </c>
      <c r="AR39" s="123" t="n">
        <f aca="false">$B39+$L39+$B$13</f>
        <v>5.4258</v>
      </c>
      <c r="AS39" s="123" t="n">
        <f aca="false">AQ39*AP39</f>
        <v>190.374</v>
      </c>
      <c r="AT39" s="123" t="n">
        <f aca="false">AR39*AP39</f>
        <v>162.774</v>
      </c>
      <c r="AU39" s="156" t="n">
        <f aca="false">($C39*$M39)+$B$14</f>
        <v>0.546</v>
      </c>
      <c r="AV39" s="156" t="n">
        <f aca="false">($C39*$N39)+$B$15</f>
        <v>0.52</v>
      </c>
      <c r="AW39" s="131" t="n">
        <f aca="false">O39+B$16</f>
        <v>0.86</v>
      </c>
      <c r="AX39" s="157" t="e">
        <f aca="false">IF(AP39=0,0,SPRDOPT(AQ39,AR39,$P39,$AM39,AU39,AV39,AW39,$F39,$B$19,0))</f>
        <v>#NAME?</v>
      </c>
      <c r="AY39" s="157" t="e">
        <f aca="false">IF(AQ39=0,0,SPRDOPT(AQ39,AR39,$P39,$AM39,AU39,AV39,AW39,$F39,$B$19,1))</f>
        <v>#NAME?</v>
      </c>
      <c r="AZ39" s="157" t="e">
        <f aca="false">IF(AR39=0,0,SPRDOPT(AQ39,AR39,$P39,$AM39,AU39,AV39,AW39,$F39,$B$19,2))</f>
        <v>#NAME?</v>
      </c>
      <c r="BA39" s="157" t="e">
        <f aca="false">IF(AS39=0,0,SPRDOPT(AQ39,AR39,$P39,$AM39,AU39,AV39,AW39,$F39,$B$19,3)/100)</f>
        <v>#NAME?</v>
      </c>
      <c r="BB39" s="157" t="e">
        <f aca="false">IF(AT39=0,0,SPRDOPT(AQ39,AR39,$P39,$AM39,AU39,AV39,AW39,$F39,$B$19,4)/100)</f>
        <v>#NAME?</v>
      </c>
      <c r="BC39" s="157" t="e">
        <f aca="false">IF(AU39=0,0,SPRDOPT(AQ39,AR39,$P39,$AM39,AU39,AV39,AW39,$F39,$B$19,5)/100)</f>
        <v>#NAME?</v>
      </c>
      <c r="BD39" s="157" t="e">
        <f aca="false">IF(AV39=0,0,SPRDOPT(AQ39,AR39,$P39,$AM39,AU39,AV39,AW39,$F39,$B$19,6)/100)</f>
        <v>#NAME?</v>
      </c>
      <c r="BE39" s="157" t="e">
        <f aca="false">IF(AW39=0,0,SPRDOPT(AQ39,AR39,$P39,$AM39,AU39,AV39,AW39,$F39,$B$19,7)/100)</f>
        <v>#NAME?</v>
      </c>
      <c r="BF39" s="157" t="e">
        <f aca="false">IF(AX39=0,0,SPRDOPT(AQ39,AR39,$P39,$AM39,AU39,AV39,AW39,$F39,$B$19,9)/365)</f>
        <v>#NAME?</v>
      </c>
      <c r="BG39" s="157" t="e">
        <f aca="false">AY39+AZ39</f>
        <v>#NAME?</v>
      </c>
      <c r="BH39" s="157" t="e">
        <f aca="false">BB39-BA39</f>
        <v>#NAME?</v>
      </c>
      <c r="BI39" s="157" t="e">
        <f aca="false">((AU39/AV39)*BC39)+BD39</f>
        <v>#NAME?</v>
      </c>
      <c r="BJ39" s="44"/>
      <c r="BK39" s="45" t="e">
        <f aca="false">$AP39*AX39</f>
        <v>#NAME?</v>
      </c>
      <c r="BL39" s="45" t="e">
        <f aca="false">$AP39*AY39</f>
        <v>#NAME?</v>
      </c>
      <c r="BM39" s="45" t="e">
        <f aca="false">$AP39*AZ39</f>
        <v>#NAME?</v>
      </c>
      <c r="BN39" s="45" t="e">
        <f aca="false">$AP39*BA39</f>
        <v>#NAME?</v>
      </c>
      <c r="BO39" s="45" t="e">
        <f aca="false">$AP39*BB39</f>
        <v>#NAME?</v>
      </c>
      <c r="BP39" s="45" t="e">
        <f aca="false">$AP39*BC39</f>
        <v>#NAME?</v>
      </c>
      <c r="BQ39" s="45" t="e">
        <f aca="false">$AP39*BD39</f>
        <v>#NAME?</v>
      </c>
      <c r="BR39" s="45" t="e">
        <f aca="false">$AP39*BE39</f>
        <v>#NAME?</v>
      </c>
      <c r="BS39" s="45" t="e">
        <f aca="false">$AP39*BF39</f>
        <v>#NAME?</v>
      </c>
      <c r="BT39" s="45" t="e">
        <f aca="false">$AP39*BG39</f>
        <v>#NAME?</v>
      </c>
      <c r="BU39" s="45" t="e">
        <f aca="false">$AP39*BH39</f>
        <v>#NAME?</v>
      </c>
      <c r="BV39" s="45" t="e">
        <f aca="false">$AP39*BI39</f>
        <v>#NAME?</v>
      </c>
      <c r="BX39" s="9" t="n">
        <f aca="false">IF($A39&gt;=BZ$32,IF($A39&lt;=BZ$33,$AN39,0),0)</f>
        <v>30</v>
      </c>
      <c r="BY39" s="123" t="n">
        <f aca="false">$B39+$R39+$D$12</f>
        <v>6.3458</v>
      </c>
      <c r="BZ39" s="123" t="n">
        <f aca="false">$B39+$S39+$D$13</f>
        <v>5.4258</v>
      </c>
      <c r="CA39" s="123" t="n">
        <f aca="false">BY39*BX39</f>
        <v>190.374</v>
      </c>
      <c r="CB39" s="123" t="n">
        <f aca="false">BZ39*BX39</f>
        <v>162.774</v>
      </c>
      <c r="CC39" s="156" t="n">
        <f aca="false">($C39*$T39)+$D$14</f>
        <v>0.546</v>
      </c>
      <c r="CD39" s="156" t="n">
        <f aca="false">($C39*$U39)+$D$15</f>
        <v>0.52</v>
      </c>
      <c r="CE39" s="131" t="n">
        <f aca="false">$V39+D$16</f>
        <v>0.86</v>
      </c>
      <c r="CF39" s="157" t="e">
        <f aca="false">IF(BX39=0,0,SPRDOPT(BY39,BZ39,$W39,$AM39,CC39,CD39,CE39,$F39,$D$19,0))</f>
        <v>#NAME?</v>
      </c>
      <c r="CG39" s="157" t="e">
        <f aca="false">IF(BY39=0,0,SPRDOPT(BY39,BZ39,$W39,$AM39,CC39,CD39,CE39,$F39,$D$19,1))</f>
        <v>#NAME?</v>
      </c>
      <c r="CH39" s="157" t="e">
        <f aca="false">IF(BZ39=0,0,SPRDOPT(BY39,BZ39,$W39,$AM39,CC39,CD39,CE39,$F39,$D$19,2))</f>
        <v>#NAME?</v>
      </c>
      <c r="CI39" s="157" t="e">
        <f aca="false">IF(CA39=0,0,SPRDOPT(BY39,BZ39,$W39,$AM39,CC39,CD39,CE39,$F39,$D$19,3)/100)</f>
        <v>#NAME?</v>
      </c>
      <c r="CJ39" s="157" t="e">
        <f aca="false">IF(CB39=0,0,SPRDOPT(BY39,BZ39,$W39,$AM39,CC39,CD39,CE39,$F39,$D$19,4)/100)</f>
        <v>#NAME?</v>
      </c>
      <c r="CK39" s="157" t="e">
        <f aca="false">IF(CC39=0,0,SPRDOPT(BY39,BZ39,$W39,$AM39,CC39,CD39,CE39,$F39,$D$19,5)/100)</f>
        <v>#NAME?</v>
      </c>
      <c r="CL39" s="157" t="e">
        <f aca="false">IF(CD39=0,0,SPRDOPT(BY39,BZ39,$W39,$AM39,CC39,CD39,CE39,$F39,$D$19,6)/100)</f>
        <v>#NAME?</v>
      </c>
      <c r="CM39" s="157" t="e">
        <f aca="false">IF(CE39=0,0,SPRDOPT(BY39,BZ39,$W39,$AM39,CC39,CD39,CE39,$F39,$D$19,7)/100)</f>
        <v>#NAME?</v>
      </c>
      <c r="CN39" s="157" t="e">
        <f aca="false">IF(CF39=0,0,SPRDOPT(BY39,BZ39,$W39,$AM39,CC39,CD39,CE39,$F39,$D$19,9)/365)</f>
        <v>#NAME?</v>
      </c>
      <c r="CO39" s="157" t="e">
        <f aca="false">CG39+CH39</f>
        <v>#NAME?</v>
      </c>
      <c r="CP39" s="157" t="e">
        <f aca="false">CJ39-CI39</f>
        <v>#NAME?</v>
      </c>
      <c r="CQ39" s="157" t="e">
        <f aca="false">((CC39/CD39)*CK39)+CL39</f>
        <v>#NAME?</v>
      </c>
      <c r="CR39" s="44"/>
      <c r="CS39" s="45" t="e">
        <f aca="false">BX39*CF39</f>
        <v>#NAME?</v>
      </c>
      <c r="CT39" s="45" t="e">
        <f aca="false">BX39*CG39</f>
        <v>#NAME?</v>
      </c>
      <c r="CU39" s="45" t="e">
        <f aca="false">BX39*CH39</f>
        <v>#NAME?</v>
      </c>
      <c r="CV39" s="45" t="e">
        <f aca="false">BX39*CI39</f>
        <v>#NAME?</v>
      </c>
      <c r="CW39" s="45" t="e">
        <f aca="false">BX39*CJ39</f>
        <v>#NAME?</v>
      </c>
      <c r="CX39" s="45" t="e">
        <f aca="false">BX39*CK39</f>
        <v>#NAME?</v>
      </c>
      <c r="CY39" s="45" t="e">
        <f aca="false">BX39*CL39</f>
        <v>#NAME?</v>
      </c>
      <c r="CZ39" s="45" t="e">
        <f aca="false">BX39*CM39</f>
        <v>#NAME?</v>
      </c>
      <c r="DA39" s="45" t="e">
        <f aca="false">BX39*CN39</f>
        <v>#NAME?</v>
      </c>
      <c r="DB39" s="45" t="e">
        <f aca="false">BX39*CO39</f>
        <v>#NAME?</v>
      </c>
      <c r="DC39" s="45" t="e">
        <f aca="false">BX39*CP39</f>
        <v>#NAME?</v>
      </c>
      <c r="DD39" s="45" t="e">
        <f aca="false">BX39*CQ39</f>
        <v>#NAME?</v>
      </c>
      <c r="DF39" s="9" t="n">
        <f aca="false">IF($A39&gt;=DH$32,IF($A39&lt;=DH$33,$AN39,0),0)</f>
        <v>0</v>
      </c>
      <c r="DG39" s="123" t="n">
        <f aca="false">$B39+$Y39+$F$12</f>
        <v>4.9908</v>
      </c>
      <c r="DH39" s="123" t="n">
        <f aca="false">$B39+$Z39+$F$13</f>
        <v>5.4258</v>
      </c>
      <c r="DI39" s="123" t="n">
        <f aca="false">DG39*DF39</f>
        <v>0</v>
      </c>
      <c r="DJ39" s="123" t="n">
        <f aca="false">DH39*DF39</f>
        <v>0</v>
      </c>
      <c r="DK39" s="156" t="n">
        <f aca="false">($C39*$AA39)+$F$14</f>
        <v>0.4992</v>
      </c>
      <c r="DL39" s="156" t="n">
        <f aca="false">($C39*$AB39)+$F$15</f>
        <v>0.52</v>
      </c>
      <c r="DM39" s="131" t="n">
        <f aca="false">$AC39+$F$16</f>
        <v>0.974</v>
      </c>
      <c r="DN39" s="157" t="n">
        <f aca="false">IF(DF39=0,0,SPRDOPT(DG39,DH39,$AD39,$AM39,DK39,DL39,DM39,$F39,$F$19,0))</f>
        <v>0</v>
      </c>
      <c r="DO39" s="157" t="e">
        <f aca="false">IF(DG39=0,0,SPRDOPT(DG39,DH39,$AD39,$AM39,DK39,DL39,DM39,$F39,$F$19,1))</f>
        <v>#NAME?</v>
      </c>
      <c r="DP39" s="157" t="e">
        <f aca="false">IF(DH39=0,0,SPRDOPT(DG39,DH39,$AD39,$AM39,DK39,DL39,DM39,$F39,$F$19,2))</f>
        <v>#NAME?</v>
      </c>
      <c r="DQ39" s="157" t="n">
        <f aca="false">IF(DI39=0,0,SPRDOPT(DG39,DH39,$AD39,$AM39,DK39,DL39,DM39,$F39,$F$19,3)/100)</f>
        <v>0</v>
      </c>
      <c r="DR39" s="157" t="n">
        <f aca="false">IF(DJ39=0,0,SPRDOPT(DG39,DH39,$AD39,$AM39,DK39,DL39,DM39,$F39,$F$19,4)/100)</f>
        <v>0</v>
      </c>
      <c r="DS39" s="157" t="e">
        <f aca="false">IF(DK39=0,0,SPRDOPT(DG39,DH39,$AD39,$AM39,DK39,DL39,DM39,$F39,$F$19,5)/100)</f>
        <v>#NAME?</v>
      </c>
      <c r="DT39" s="157" t="e">
        <f aca="false">IF(DL39=0,0,SPRDOPT(DG39,DH39,$AD39,$AM39,DK39,DL39,DM39,$F39,$F$19,6)/100)</f>
        <v>#NAME?</v>
      </c>
      <c r="DU39" s="157" t="e">
        <f aca="false">IF(DM39=0,0,SPRDOPT(DG39,DH39,$AD39,$AM39,DK39,DL39,DM39,$F39,$F$19,7)/100)</f>
        <v>#NAME?</v>
      </c>
      <c r="DV39" s="157" t="n">
        <f aca="false">IF(DN39=0,0,SPRDOPT(DG39,DH39,$AD39,$AM39,DK39,DL39,DM39,$F39,$F$19,9)/365)</f>
        <v>0</v>
      </c>
      <c r="DW39" s="157" t="e">
        <f aca="false">DO39+DP39</f>
        <v>#NAME?</v>
      </c>
      <c r="DX39" s="157" t="n">
        <f aca="false">DR39-DQ39</f>
        <v>0</v>
      </c>
      <c r="DY39" s="157" t="e">
        <f aca="false">((DK39/DL39)*DS39)+DT39</f>
        <v>#NAME?</v>
      </c>
      <c r="DZ39" s="44"/>
      <c r="EA39" s="45" t="n">
        <f aca="false">DF39*DN39</f>
        <v>0</v>
      </c>
      <c r="EB39" s="45" t="e">
        <f aca="false">DF39*DO39</f>
        <v>#NAME?</v>
      </c>
      <c r="EC39" s="45" t="e">
        <f aca="false">DF39*DP39</f>
        <v>#NAME?</v>
      </c>
      <c r="ED39" s="45" t="n">
        <f aca="false">DF39*DQ39</f>
        <v>0</v>
      </c>
      <c r="EE39" s="45" t="n">
        <f aca="false">DF39*DR39</f>
        <v>0</v>
      </c>
      <c r="EF39" s="45" t="e">
        <f aca="false">DF39*DS39</f>
        <v>#NAME?</v>
      </c>
      <c r="EG39" s="45" t="e">
        <f aca="false">DF39*DT39</f>
        <v>#NAME?</v>
      </c>
      <c r="EH39" s="45" t="e">
        <f aca="false">DF39*DU39</f>
        <v>#NAME?</v>
      </c>
      <c r="EI39" s="45" t="n">
        <f aca="false">DF39*DV39</f>
        <v>0</v>
      </c>
      <c r="EJ39" s="45" t="e">
        <f aca="false">DF39*DW39</f>
        <v>#NAME?</v>
      </c>
      <c r="EK39" s="45" t="n">
        <f aca="false">DF39*DX39</f>
        <v>0</v>
      </c>
      <c r="EL39" s="45" t="e">
        <f aca="false">DF39*DY39</f>
        <v>#NAME?</v>
      </c>
      <c r="EN39" s="9" t="n">
        <f aca="false">IF($A39&gt;=EP$32,IF($A39&lt;=EP$33,$AN39,0),0)</f>
        <v>30</v>
      </c>
      <c r="EO39" s="123" t="n">
        <f aca="false">$B39+$AF39+$H$12</f>
        <v>5.3983</v>
      </c>
      <c r="EP39" s="123" t="n">
        <f aca="false">$B39+$AG39+$H$13</f>
        <v>5.4258</v>
      </c>
      <c r="EQ39" s="123" t="n">
        <f aca="false">EO39*EN39</f>
        <v>161.949</v>
      </c>
      <c r="ER39" s="123" t="n">
        <f aca="false">EP39*EN39</f>
        <v>162.774</v>
      </c>
      <c r="ES39" s="156" t="n">
        <f aca="false">($C39*$AH39)+$H$14</f>
        <v>0.52</v>
      </c>
      <c r="ET39" s="156" t="n">
        <f aca="false">($C39*$AI39)+$H$15</f>
        <v>0.52</v>
      </c>
      <c r="EU39" s="131" t="n">
        <f aca="false">$AJ39+$H$16</f>
        <v>0.998</v>
      </c>
      <c r="EV39" s="157" t="e">
        <f aca="false">IF(EN39=0,0,SPRDOPT(EO39,EP39,$AK39,$AM39,ES39,ET39,EU39,$F39,$H$19,0))</f>
        <v>#NAME?</v>
      </c>
      <c r="EW39" s="157" t="e">
        <f aca="false">IF(EO39=0,0,SPRDOPT(EO39,EP39,$AK39,$AM39,ES39,ET39,EU39,$F39,$H$19,1))</f>
        <v>#NAME?</v>
      </c>
      <c r="EX39" s="157" t="e">
        <f aca="false">IF(EP39=0,0,SPRDOPT(EO39,EP39,$AK39,$AM39,ES39,ET39,EU39,$F39,$H$19,2))</f>
        <v>#NAME?</v>
      </c>
      <c r="EY39" s="157" t="e">
        <f aca="false">IF(EQ39=0,0,SPRDOPT(EO39,EP39,$AK39,$AM39,ES39,ET39,EU39,$F39,$H$19,3)/100)</f>
        <v>#NAME?</v>
      </c>
      <c r="EZ39" s="157" t="e">
        <f aca="false">IF(ER39=0,0,SPRDOPT(EO39,EP39,$AK39,$AM39,ES39,ET39,EU39,$F39,$H$19,4)/100)</f>
        <v>#NAME?</v>
      </c>
      <c r="FA39" s="157" t="e">
        <f aca="false">IF(ES39=0,0,SPRDOPT(EO39,EP39,$AK39,$AM39,ES39,ET39,EU39,$F39,$H$19,5)/100)</f>
        <v>#NAME?</v>
      </c>
      <c r="FB39" s="157" t="e">
        <f aca="false">IF(ET39=0,0,SPRDOPT(EO39,EP39,$AK39,$AM39,ES39,ET39,EU39,$F39,$H$19,6)/100)</f>
        <v>#NAME?</v>
      </c>
      <c r="FC39" s="157" t="e">
        <f aca="false">IF(EU39=0,0,SPRDOPT(EO39,EP39,$AK39,$AM39,ES39,ET39,EU39,$F39,$H$19,7)/100)</f>
        <v>#NAME?</v>
      </c>
      <c r="FD39" s="157" t="e">
        <f aca="false">IF(EV39=0,0,SPRDOPT(EO39,EP39,$AK39,$AM39,ES39,ET39,EU39,$F39,$H$19,9)/365)</f>
        <v>#NAME?</v>
      </c>
      <c r="FE39" s="157" t="e">
        <f aca="false">EW39+EX39</f>
        <v>#NAME?</v>
      </c>
      <c r="FF39" s="157" t="e">
        <f aca="false">EZ39-EY39</f>
        <v>#NAME?</v>
      </c>
      <c r="FG39" s="157" t="e">
        <f aca="false">((ES39/ET39)*FA39)+FB39</f>
        <v>#NAME?</v>
      </c>
      <c r="FH39" s="44"/>
      <c r="FI39" s="45" t="e">
        <f aca="false">$EN39*EV39</f>
        <v>#NAME?</v>
      </c>
      <c r="FJ39" s="45" t="e">
        <f aca="false">$EN39*EW39</f>
        <v>#NAME?</v>
      </c>
      <c r="FK39" s="45" t="e">
        <f aca="false">$EN39*EX39</f>
        <v>#NAME?</v>
      </c>
      <c r="FL39" s="45" t="e">
        <f aca="false">$EN39*EY39</f>
        <v>#NAME?</v>
      </c>
      <c r="FM39" s="45" t="e">
        <f aca="false">$EN39*EZ39</f>
        <v>#NAME?</v>
      </c>
      <c r="FN39" s="45" t="e">
        <f aca="false">$EN39*FA39</f>
        <v>#NAME?</v>
      </c>
      <c r="FO39" s="45" t="e">
        <f aca="false">$EN39*FB39</f>
        <v>#NAME?</v>
      </c>
      <c r="FP39" s="45" t="e">
        <f aca="false">$EN39*FC39</f>
        <v>#NAME?</v>
      </c>
      <c r="FQ39" s="45" t="e">
        <f aca="false">$EN39*FD39</f>
        <v>#NAME?</v>
      </c>
      <c r="FR39" s="45" t="e">
        <f aca="false">$EN39*FE39</f>
        <v>#NAME?</v>
      </c>
      <c r="FS39" s="45" t="e">
        <f aca="false">$EN39*FF39</f>
        <v>#NAME?</v>
      </c>
      <c r="FT39" s="45" t="e">
        <f aca="false">$EN39*FG39</f>
        <v>#NAME?</v>
      </c>
    </row>
    <row r="40" customFormat="false" ht="12.75" hidden="false" customHeight="false" outlineLevel="0" collapsed="false">
      <c r="A40" s="48" t="n">
        <f aca="false">DATE(YEAR(A39),MONTH(A39)+1,1)</f>
        <v>36861</v>
      </c>
      <c r="B40" s="40" t="n">
        <f aca="false">VLOOKUP(A40,STRADDLE,5,FALSE())</f>
        <v>5.5268</v>
      </c>
      <c r="C40" s="4" t="n">
        <f aca="false">VLOOKUP(A40,STRADDLE,8,FALSE())</f>
        <v>0.5725</v>
      </c>
      <c r="D40" s="40"/>
      <c r="E40" s="131"/>
      <c r="F40" s="136" t="n">
        <f aca="false">VLOOKUP(A40,expiration,2,FALSE())-$B$2</f>
        <v>-9068</v>
      </c>
      <c r="G40" s="4"/>
      <c r="H40" s="4"/>
      <c r="I40" s="41"/>
      <c r="J40" s="154"/>
      <c r="K40" s="40" t="n">
        <f aca="false">IF($B$3="NYMEX",0,VLOOKUP($A40,curvesettle,HLOOKUP($B$3,curvesettle,2,FALSE()),FALSE()))</f>
        <v>1.86</v>
      </c>
      <c r="L40" s="40" t="n">
        <f aca="false">IF($B$4="NYMEX",0,VLOOKUP($A40,curvesettle,HLOOKUP($B$4,curvesettle,2,FALSE()),FALSE()))</f>
        <v>0</v>
      </c>
      <c r="M40" s="131" t="n">
        <f aca="false">IF(ISNUMBER(VLOOKUP($A40,VOLCURVES,HLOOKUP($B$3,VOLCURVES,2,FALSE()),FALSE())),VLOOKUP($A40,VOLCURVES,HLOOKUP($B$3,VOLCURVES,2,FALSE()),FALSE()),1)</f>
        <v>1.3</v>
      </c>
      <c r="N40" s="131" t="n">
        <f aca="false">IF(ISNUMBER(VLOOKUP($A40,VOLCURVES,HLOOKUP($B$4,VOLCURVES,2,FALSE()),FALSE())),VLOOKUP($A40,VOLCURVES,HLOOKUP($B$4,VOLCURVES,2,FALSE()),FALSE()),1)</f>
        <v>1</v>
      </c>
      <c r="O40" s="131" t="n">
        <f aca="false">IF(ISNUMBER(VLOOKUP($A40,CORETABLE,HLOOKUP($B$3,CORETABLE,2,FALSE()),FALSE())),VLOOKUP($A40,CORETABLE,HLOOKUP($B$3,CORETABLE,2,FALSE()),FALSE()),0.99)</f>
        <v>0.74</v>
      </c>
      <c r="P40" s="155" t="n">
        <f aca="false">B$18</f>
        <v>2</v>
      </c>
      <c r="Q40" s="131"/>
      <c r="R40" s="40" t="n">
        <f aca="false">IF($D$3="NYMEX",0,VLOOKUP($A40,curvesettle,HLOOKUP($D$3,curvesettle,2,FALSE()),FALSE()))</f>
        <v>1.86</v>
      </c>
      <c r="S40" s="40" t="n">
        <f aca="false">IF($D$4="NYMEX",0,VLOOKUP($A40,curvesettle,HLOOKUP($D$4,curvesettle,2,FALSE()),FALSE()))</f>
        <v>0</v>
      </c>
      <c r="T40" s="131" t="n">
        <f aca="false">IF(ISNUMBER(VLOOKUP($A40,VOLCURVES,HLOOKUP($D$3,VOLCURVES,2,FALSE()),FALSE())),VLOOKUP($A40,VOLCURVES,HLOOKUP($D$3,VOLCURVES,2,FALSE()),FALSE()),1)</f>
        <v>1.3</v>
      </c>
      <c r="U40" s="131" t="n">
        <f aca="false">IF(ISNUMBER(VLOOKUP($A40,VOLCURVES,HLOOKUP($D$4,VOLCURVES,2,FALSE()),FALSE())),VLOOKUP($A40,VOLCURVES,HLOOKUP($D$4,VOLCURVES,2,FALSE()),FALSE()),1)</f>
        <v>1</v>
      </c>
      <c r="V40" s="131" t="n">
        <f aca="false">IF(ISNUMBER(VLOOKUP($A40,CORETABLE,HLOOKUP($D$3,CORETABLE,2,FALSE()),FALSE())),VLOOKUP($A40,CORETABLE,HLOOKUP($D$3,CORETABLE,2,FALSE()),FALSE()),0.99)</f>
        <v>0.74</v>
      </c>
      <c r="W40" s="155" t="n">
        <f aca="false">D$18</f>
        <v>2.5</v>
      </c>
      <c r="X40" s="131"/>
      <c r="Y40" s="40" t="n">
        <f aca="false">IF($F$3="NYMEX",0,VLOOKUP($A40,curvesettle,HLOOKUP($F$3,curvesettle,2,FALSE()),FALSE()))</f>
        <v>-0.3</v>
      </c>
      <c r="Z40" s="40" t="n">
        <f aca="false">IF($F$4="NYMEX",0,VLOOKUP($A40,curvesettle,HLOOKUP($F$4,curvesettle,2,FALSE()),FALSE()))</f>
        <v>0</v>
      </c>
      <c r="AA40" s="131" t="n">
        <f aca="false">IF(ISNUMBER(VLOOKUP($A40,VOLCURVES,HLOOKUP($F$3,VOLCURVES,2,FALSE()),FALSE())),VLOOKUP($A40,VOLCURVES,HLOOKUP($F$3,VOLCURVES,2,FALSE()),FALSE()),1)</f>
        <v>0.96</v>
      </c>
      <c r="AB40" s="131" t="n">
        <f aca="false">IF(ISNUMBER(VLOOKUP($A40,VOLCURVES,HLOOKUP($F$4,VOLCURVES,2,FALSE()),FALSE())),VLOOKUP($A40,VOLCURVES,HLOOKUP($F$4,VOLCURVES,2,FALSE()),FALSE()),1)</f>
        <v>1</v>
      </c>
      <c r="AC40" s="131" t="n">
        <f aca="false">IF(ISNUMBER(VLOOKUP($A40,CORETABLE,HLOOKUP($F$3,CORETABLE,2,FALSE()),FALSE())),VLOOKUP($A40,CORETABLE,HLOOKUP($F$3,CORETABLE,2,FALSE()),FALSE()),1)</f>
        <v>0.96</v>
      </c>
      <c r="AD40" s="155" t="n">
        <f aca="false">F$18</f>
        <v>-0.05</v>
      </c>
      <c r="AE40" s="131"/>
      <c r="AF40" s="40" t="n">
        <f aca="false">IF($H$3="NYMEX",0,VLOOKUP($A40,curvesettle,HLOOKUP($H$3,curvesettle,2,FALSE()),FALSE()))</f>
        <v>-0.06</v>
      </c>
      <c r="AG40" s="40" t="n">
        <f aca="false">IF($H$4="NYMEX",0,VLOOKUP($A40,curvesettle,HLOOKUP($H$4,curvesettle,2,FALSE()),FALSE()))</f>
        <v>0</v>
      </c>
      <c r="AH40" s="131" t="n">
        <f aca="false">IF(ISNUMBER(VLOOKUP($A40,VOLCURVES,HLOOKUP($H$3,VOLCURVES,2,FALSE()),FALSE())),VLOOKUP($A40,VOLCURVES,HLOOKUP($H$3,VOLCURVES,2,FALSE()),FALSE()),1)</f>
        <v>1</v>
      </c>
      <c r="AI40" s="131" t="n">
        <f aca="false">IF(ISNUMBER(VLOOKUP($A40,VOLCURVES,HLOOKUP($H$4,VOLCURVES,2,FALSE()),FALSE())),VLOOKUP($A40,VOLCURVES,HLOOKUP($H$4,VOLCURVES,2,FALSE()),FALSE()),1)</f>
        <v>1</v>
      </c>
      <c r="AJ40" s="131" t="n">
        <f aca="false">IF(ISNUMBER(VLOOKUP($A40,CORETABLE,HLOOKUP($H$3,CORETABLE,2,FALSE()),FALSE())),VLOOKUP($A40,CORETABLE,HLOOKUP($H$3,CORETABLE,2,FALSE()),FALSE()),1)</f>
        <v>0.999</v>
      </c>
      <c r="AK40" s="155" t="n">
        <f aca="false">H$18</f>
        <v>-0.05</v>
      </c>
      <c r="AM40" s="4" t="n">
        <f aca="false">VLOOKUP($A40,STRADDLE,12,FALSE())</f>
        <v>0.068102551581873</v>
      </c>
      <c r="AN40" s="43" t="n">
        <f aca="false">A41-A40</f>
        <v>31</v>
      </c>
      <c r="AP40" s="9" t="n">
        <f aca="false">IF($A40&gt;=AR$32,IF($A40&lt;=AR$33,$AN40,0),0)</f>
        <v>31</v>
      </c>
      <c r="AQ40" s="123" t="n">
        <f aca="false">$B40+$K40+$B$12</f>
        <v>7.4168</v>
      </c>
      <c r="AR40" s="123" t="n">
        <f aca="false">$B40+$L40+$B$13</f>
        <v>5.5268</v>
      </c>
      <c r="AS40" s="123" t="n">
        <f aca="false">AQ40*AP40</f>
        <v>229.9208</v>
      </c>
      <c r="AT40" s="123" t="n">
        <f aca="false">AR40*AP40</f>
        <v>171.3308</v>
      </c>
      <c r="AU40" s="156" t="n">
        <f aca="false">($C40*$M40)+$B$14</f>
        <v>0.74425</v>
      </c>
      <c r="AV40" s="156" t="n">
        <f aca="false">($C40*$N40)+$B$15</f>
        <v>0.5725</v>
      </c>
      <c r="AW40" s="131" t="n">
        <f aca="false">O40+B$16</f>
        <v>0.74</v>
      </c>
      <c r="AX40" s="157" t="e">
        <f aca="false">IF(AP40=0,0,SPRDOPT(AQ40,AR40,$P40,$AM40,AU40,AV40,AW40,$F40,$B$19,0))</f>
        <v>#NAME?</v>
      </c>
      <c r="AY40" s="157" t="e">
        <f aca="false">IF(AQ40=0,0,SPRDOPT(AQ40,AR40,$P40,$AM40,AU40,AV40,AW40,$F40,$B$19,1))</f>
        <v>#NAME?</v>
      </c>
      <c r="AZ40" s="157" t="e">
        <f aca="false">IF(AR40=0,0,SPRDOPT(AQ40,AR40,$P40,$AM40,AU40,AV40,AW40,$F40,$B$19,2))</f>
        <v>#NAME?</v>
      </c>
      <c r="BA40" s="157" t="e">
        <f aca="false">IF(AS40=0,0,SPRDOPT(AQ40,AR40,$P40,$AM40,AU40,AV40,AW40,$F40,$B$19,3)/100)</f>
        <v>#NAME?</v>
      </c>
      <c r="BB40" s="157" t="e">
        <f aca="false">IF(AT40=0,0,SPRDOPT(AQ40,AR40,$P40,$AM40,AU40,AV40,AW40,$F40,$B$19,4)/100)</f>
        <v>#NAME?</v>
      </c>
      <c r="BC40" s="157" t="e">
        <f aca="false">IF(AU40=0,0,SPRDOPT(AQ40,AR40,$P40,$AM40,AU40,AV40,AW40,$F40,$B$19,5)/100)</f>
        <v>#NAME?</v>
      </c>
      <c r="BD40" s="157" t="e">
        <f aca="false">IF(AV40=0,0,SPRDOPT(AQ40,AR40,$P40,$AM40,AU40,AV40,AW40,$F40,$B$19,6)/100)</f>
        <v>#NAME?</v>
      </c>
      <c r="BE40" s="157" t="e">
        <f aca="false">IF(AW40=0,0,SPRDOPT(AQ40,AR40,$P40,$AM40,AU40,AV40,AW40,$F40,$B$19,7)/100)</f>
        <v>#NAME?</v>
      </c>
      <c r="BF40" s="157" t="e">
        <f aca="false">IF(AX40=0,0,SPRDOPT(AQ40,AR40,$P40,$AM40,AU40,AV40,AW40,$F40,$B$19,9)/365)</f>
        <v>#NAME?</v>
      </c>
      <c r="BG40" s="157" t="e">
        <f aca="false">AY40+AZ40</f>
        <v>#NAME?</v>
      </c>
      <c r="BH40" s="157" t="e">
        <f aca="false">BB40-BA40</f>
        <v>#NAME?</v>
      </c>
      <c r="BI40" s="157" t="e">
        <f aca="false">((AU40/AV40)*BC40)+BD40</f>
        <v>#NAME?</v>
      </c>
      <c r="BJ40" s="44"/>
      <c r="BK40" s="45" t="e">
        <f aca="false">$AP40*AX40</f>
        <v>#NAME?</v>
      </c>
      <c r="BL40" s="45" t="e">
        <f aca="false">$AP40*AY40</f>
        <v>#NAME?</v>
      </c>
      <c r="BM40" s="45" t="e">
        <f aca="false">$AP40*AZ40</f>
        <v>#NAME?</v>
      </c>
      <c r="BN40" s="45" t="e">
        <f aca="false">$AP40*BA40</f>
        <v>#NAME?</v>
      </c>
      <c r="BO40" s="45" t="e">
        <f aca="false">$AP40*BB40</f>
        <v>#NAME?</v>
      </c>
      <c r="BP40" s="45" t="e">
        <f aca="false">$AP40*BC40</f>
        <v>#NAME?</v>
      </c>
      <c r="BQ40" s="45" t="e">
        <f aca="false">$AP40*BD40</f>
        <v>#NAME?</v>
      </c>
      <c r="BR40" s="45" t="e">
        <f aca="false">$AP40*BE40</f>
        <v>#NAME?</v>
      </c>
      <c r="BS40" s="45" t="e">
        <f aca="false">$AP40*BF40</f>
        <v>#NAME?</v>
      </c>
      <c r="BT40" s="45" t="e">
        <f aca="false">$AP40*BG40</f>
        <v>#NAME?</v>
      </c>
      <c r="BU40" s="45" t="e">
        <f aca="false">$AP40*BH40</f>
        <v>#NAME?</v>
      </c>
      <c r="BV40" s="45" t="e">
        <f aca="false">$AP40*BI40</f>
        <v>#NAME?</v>
      </c>
      <c r="BX40" s="9" t="n">
        <f aca="false">IF($A40&gt;=BZ$32,IF($A40&lt;=BZ$33,$AN40,0),0)</f>
        <v>31</v>
      </c>
      <c r="BY40" s="123" t="n">
        <f aca="false">$B40+$R40+$D$12</f>
        <v>7.4168</v>
      </c>
      <c r="BZ40" s="123" t="n">
        <f aca="false">$B40+$S40+$D$13</f>
        <v>5.5268</v>
      </c>
      <c r="CA40" s="123" t="n">
        <f aca="false">BY40*BX40</f>
        <v>229.9208</v>
      </c>
      <c r="CB40" s="123" t="n">
        <f aca="false">BZ40*BX40</f>
        <v>171.3308</v>
      </c>
      <c r="CC40" s="156" t="n">
        <f aca="false">($C40*$T40)+$D$14</f>
        <v>0.74425</v>
      </c>
      <c r="CD40" s="156" t="n">
        <f aca="false">($C40*$U40)+$D$15</f>
        <v>0.5725</v>
      </c>
      <c r="CE40" s="131" t="n">
        <f aca="false">$V40+D$16</f>
        <v>0.74</v>
      </c>
      <c r="CF40" s="157" t="e">
        <f aca="false">IF(BX40=0,0,SPRDOPT(BY40,BZ40,$W40,$AM40,CC40,CD40,CE40,$F40,$D$19,0))</f>
        <v>#NAME?</v>
      </c>
      <c r="CG40" s="157" t="e">
        <f aca="false">IF(BY40=0,0,SPRDOPT(BY40,BZ40,$W40,$AM40,CC40,CD40,CE40,$F40,$D$19,1))</f>
        <v>#NAME?</v>
      </c>
      <c r="CH40" s="157" t="e">
        <f aca="false">IF(BZ40=0,0,SPRDOPT(BY40,BZ40,$W40,$AM40,CC40,CD40,CE40,$F40,$D$19,2))</f>
        <v>#NAME?</v>
      </c>
      <c r="CI40" s="157" t="e">
        <f aca="false">IF(CA40=0,0,SPRDOPT(BY40,BZ40,$W40,$AM40,CC40,CD40,CE40,$F40,$D$19,3)/100)</f>
        <v>#NAME?</v>
      </c>
      <c r="CJ40" s="157" t="e">
        <f aca="false">IF(CB40=0,0,SPRDOPT(BY40,BZ40,$W40,$AM40,CC40,CD40,CE40,$F40,$D$19,4)/100)</f>
        <v>#NAME?</v>
      </c>
      <c r="CK40" s="157" t="e">
        <f aca="false">IF(CC40=0,0,SPRDOPT(BY40,BZ40,$W40,$AM40,CC40,CD40,CE40,$F40,$D$19,5)/100)</f>
        <v>#NAME?</v>
      </c>
      <c r="CL40" s="157" t="e">
        <f aca="false">IF(CD40=0,0,SPRDOPT(BY40,BZ40,$W40,$AM40,CC40,CD40,CE40,$F40,$D$19,6)/100)</f>
        <v>#NAME?</v>
      </c>
      <c r="CM40" s="157" t="e">
        <f aca="false">IF(CE40=0,0,SPRDOPT(BY40,BZ40,$W40,$AM40,CC40,CD40,CE40,$F40,$D$19,7)/100)</f>
        <v>#NAME?</v>
      </c>
      <c r="CN40" s="157" t="e">
        <f aca="false">IF(CF40=0,0,SPRDOPT(BY40,BZ40,$W40,$AM40,CC40,CD40,CE40,$F40,$D$19,9)/365)</f>
        <v>#NAME?</v>
      </c>
      <c r="CO40" s="157" t="e">
        <f aca="false">CG40+CH40</f>
        <v>#NAME?</v>
      </c>
      <c r="CP40" s="157" t="e">
        <f aca="false">CJ40-CI40</f>
        <v>#NAME?</v>
      </c>
      <c r="CQ40" s="157" t="e">
        <f aca="false">((CC40/CD40)*CK40)+CL40</f>
        <v>#NAME?</v>
      </c>
      <c r="CR40" s="44"/>
      <c r="CS40" s="45" t="e">
        <f aca="false">BX40*CF40</f>
        <v>#NAME?</v>
      </c>
      <c r="CT40" s="45" t="e">
        <f aca="false">BX40*CG40</f>
        <v>#NAME?</v>
      </c>
      <c r="CU40" s="45" t="e">
        <f aca="false">BX40*CH40</f>
        <v>#NAME?</v>
      </c>
      <c r="CV40" s="45" t="e">
        <f aca="false">BX40*CI40</f>
        <v>#NAME?</v>
      </c>
      <c r="CW40" s="45" t="e">
        <f aca="false">BX40*CJ40</f>
        <v>#NAME?</v>
      </c>
      <c r="CX40" s="45" t="e">
        <f aca="false">BX40*CK40</f>
        <v>#NAME?</v>
      </c>
      <c r="CY40" s="45" t="e">
        <f aca="false">BX40*CL40</f>
        <v>#NAME?</v>
      </c>
      <c r="CZ40" s="45" t="e">
        <f aca="false">BX40*CM40</f>
        <v>#NAME?</v>
      </c>
      <c r="DA40" s="45" t="e">
        <f aca="false">BX40*CN40</f>
        <v>#NAME?</v>
      </c>
      <c r="DB40" s="45" t="e">
        <f aca="false">BX40*CO40</f>
        <v>#NAME?</v>
      </c>
      <c r="DC40" s="45" t="e">
        <f aca="false">BX40*CP40</f>
        <v>#NAME?</v>
      </c>
      <c r="DD40" s="45" t="e">
        <f aca="false">BX40*CQ40</f>
        <v>#NAME?</v>
      </c>
      <c r="DF40" s="9" t="n">
        <f aca="false">IF($A40&gt;=DH$32,IF($A40&lt;=DH$33,$AN40,0),0)</f>
        <v>0</v>
      </c>
      <c r="DG40" s="123" t="n">
        <f aca="false">$B40+$Y40+$F$12</f>
        <v>5.2318</v>
      </c>
      <c r="DH40" s="123" t="n">
        <f aca="false">$B40+$Z40+$F$13</f>
        <v>5.5268</v>
      </c>
      <c r="DI40" s="123" t="n">
        <f aca="false">DG40*DF40</f>
        <v>0</v>
      </c>
      <c r="DJ40" s="123" t="n">
        <f aca="false">DH40*DF40</f>
        <v>0</v>
      </c>
      <c r="DK40" s="156" t="n">
        <f aca="false">($C40*$AA40)+$F$14</f>
        <v>0.5496</v>
      </c>
      <c r="DL40" s="156" t="n">
        <f aca="false">($C40*$AB40)+$F$15</f>
        <v>0.5725</v>
      </c>
      <c r="DM40" s="131" t="n">
        <f aca="false">$AC40+$F$16</f>
        <v>0.974</v>
      </c>
      <c r="DN40" s="157" t="n">
        <f aca="false">IF(DF40=0,0,SPRDOPT(DG40,DH40,$AD40,$AM40,DK40,DL40,DM40,$F40,$F$19,0))</f>
        <v>0</v>
      </c>
      <c r="DO40" s="157" t="e">
        <f aca="false">IF(DG40=0,0,SPRDOPT(DG40,DH40,$AD40,$AM40,DK40,DL40,DM40,$F40,$F$19,1))</f>
        <v>#NAME?</v>
      </c>
      <c r="DP40" s="157" t="e">
        <f aca="false">IF(DH40=0,0,SPRDOPT(DG40,DH40,$AD40,$AM40,DK40,DL40,DM40,$F40,$F$19,2))</f>
        <v>#NAME?</v>
      </c>
      <c r="DQ40" s="157" t="n">
        <f aca="false">IF(DI40=0,0,SPRDOPT(DG40,DH40,$AD40,$AM40,DK40,DL40,DM40,$F40,$F$19,3)/100)</f>
        <v>0</v>
      </c>
      <c r="DR40" s="157" t="n">
        <f aca="false">IF(DJ40=0,0,SPRDOPT(DG40,DH40,$AD40,$AM40,DK40,DL40,DM40,$F40,$F$19,4)/100)</f>
        <v>0</v>
      </c>
      <c r="DS40" s="157" t="e">
        <f aca="false">IF(DK40=0,0,SPRDOPT(DG40,DH40,$AD40,$AM40,DK40,DL40,DM40,$F40,$F$19,5)/100)</f>
        <v>#NAME?</v>
      </c>
      <c r="DT40" s="157" t="e">
        <f aca="false">IF(DL40=0,0,SPRDOPT(DG40,DH40,$AD40,$AM40,DK40,DL40,DM40,$F40,$F$19,6)/100)</f>
        <v>#NAME?</v>
      </c>
      <c r="DU40" s="157" t="e">
        <f aca="false">IF(DM40=0,0,SPRDOPT(DG40,DH40,$AD40,$AM40,DK40,DL40,DM40,$F40,$F$19,7)/100)</f>
        <v>#NAME?</v>
      </c>
      <c r="DV40" s="157" t="n">
        <f aca="false">IF(DN40=0,0,SPRDOPT(DG40,DH40,$AD40,$AM40,DK40,DL40,DM40,$F40,$F$19,9)/365)</f>
        <v>0</v>
      </c>
      <c r="DW40" s="157" t="e">
        <f aca="false">DO40+DP40</f>
        <v>#NAME?</v>
      </c>
      <c r="DX40" s="157" t="n">
        <f aca="false">DR40-DQ40</f>
        <v>0</v>
      </c>
      <c r="DY40" s="157" t="e">
        <f aca="false">((DK40/DL40)*DS40)+DT40</f>
        <v>#NAME?</v>
      </c>
      <c r="DZ40" s="44"/>
      <c r="EA40" s="45" t="n">
        <f aca="false">DF40*DN40</f>
        <v>0</v>
      </c>
      <c r="EB40" s="45" t="e">
        <f aca="false">DF40*DO40</f>
        <v>#NAME?</v>
      </c>
      <c r="EC40" s="45" t="e">
        <f aca="false">DF40*DP40</f>
        <v>#NAME?</v>
      </c>
      <c r="ED40" s="45" t="n">
        <f aca="false">DF40*DQ40</f>
        <v>0</v>
      </c>
      <c r="EE40" s="45" t="n">
        <f aca="false">DF40*DR40</f>
        <v>0</v>
      </c>
      <c r="EF40" s="45" t="e">
        <f aca="false">DF40*DS40</f>
        <v>#NAME?</v>
      </c>
      <c r="EG40" s="45" t="e">
        <f aca="false">DF40*DT40</f>
        <v>#NAME?</v>
      </c>
      <c r="EH40" s="45" t="e">
        <f aca="false">DF40*DU40</f>
        <v>#NAME?</v>
      </c>
      <c r="EI40" s="45" t="n">
        <f aca="false">DF40*DV40</f>
        <v>0</v>
      </c>
      <c r="EJ40" s="45" t="e">
        <f aca="false">DF40*DW40</f>
        <v>#NAME?</v>
      </c>
      <c r="EK40" s="45" t="n">
        <f aca="false">DF40*DX40</f>
        <v>0</v>
      </c>
      <c r="EL40" s="45" t="e">
        <f aca="false">DF40*DY40</f>
        <v>#NAME?</v>
      </c>
      <c r="EN40" s="9" t="n">
        <f aca="false">IF($A40&gt;=EP$32,IF($A40&lt;=EP$33,$AN40,0),0)</f>
        <v>31</v>
      </c>
      <c r="EO40" s="123" t="n">
        <f aca="false">$B40+$AF40+$H$12</f>
        <v>5.4668</v>
      </c>
      <c r="EP40" s="123" t="n">
        <f aca="false">$B40+$AG40+$H$13</f>
        <v>5.5268</v>
      </c>
      <c r="EQ40" s="123" t="n">
        <f aca="false">EO40*EN40</f>
        <v>169.4708</v>
      </c>
      <c r="ER40" s="123" t="n">
        <f aca="false">EP40*EN40</f>
        <v>171.3308</v>
      </c>
      <c r="ES40" s="156" t="n">
        <f aca="false">($C40*$AH40)+$H$14</f>
        <v>0.5725</v>
      </c>
      <c r="ET40" s="156" t="n">
        <f aca="false">($C40*$AI40)+$H$15</f>
        <v>0.5725</v>
      </c>
      <c r="EU40" s="131" t="n">
        <f aca="false">$AJ40+$H$16</f>
        <v>0.998</v>
      </c>
      <c r="EV40" s="157" t="e">
        <f aca="false">IF(EN40=0,0,SPRDOPT(EO40,EP40,$AK40,$AM40,ES40,ET40,EU40,$F40,$H$19,0))</f>
        <v>#NAME?</v>
      </c>
      <c r="EW40" s="157" t="e">
        <f aca="false">IF(EO40=0,0,SPRDOPT(EO40,EP40,$AK40,$AM40,ES40,ET40,EU40,$F40,$H$19,1))</f>
        <v>#NAME?</v>
      </c>
      <c r="EX40" s="157" t="e">
        <f aca="false">IF(EP40=0,0,SPRDOPT(EO40,EP40,$AK40,$AM40,ES40,ET40,EU40,$F40,$H$19,2))</f>
        <v>#NAME?</v>
      </c>
      <c r="EY40" s="157" t="e">
        <f aca="false">IF(EQ40=0,0,SPRDOPT(EO40,EP40,$AK40,$AM40,ES40,ET40,EU40,$F40,$H$19,3)/100)</f>
        <v>#NAME?</v>
      </c>
      <c r="EZ40" s="157" t="e">
        <f aca="false">IF(ER40=0,0,SPRDOPT(EO40,EP40,$AK40,$AM40,ES40,ET40,EU40,$F40,$H$19,4)/100)</f>
        <v>#NAME?</v>
      </c>
      <c r="FA40" s="157" t="e">
        <f aca="false">IF(ES40=0,0,SPRDOPT(EO40,EP40,$AK40,$AM40,ES40,ET40,EU40,$F40,$H$19,5)/100)</f>
        <v>#NAME?</v>
      </c>
      <c r="FB40" s="157" t="e">
        <f aca="false">IF(ET40=0,0,SPRDOPT(EO40,EP40,$AK40,$AM40,ES40,ET40,EU40,$F40,$H$19,6)/100)</f>
        <v>#NAME?</v>
      </c>
      <c r="FC40" s="157" t="e">
        <f aca="false">IF(EU40=0,0,SPRDOPT(EO40,EP40,$AK40,$AM40,ES40,ET40,EU40,$F40,$H$19,7)/100)</f>
        <v>#NAME?</v>
      </c>
      <c r="FD40" s="157" t="e">
        <f aca="false">IF(EV40=0,0,SPRDOPT(EO40,EP40,$AK40,$AM40,ES40,ET40,EU40,$F40,$H$19,9)/365)</f>
        <v>#NAME?</v>
      </c>
      <c r="FE40" s="157" t="e">
        <f aca="false">EW40+EX40</f>
        <v>#NAME?</v>
      </c>
      <c r="FF40" s="157" t="e">
        <f aca="false">EZ40-EY40</f>
        <v>#NAME?</v>
      </c>
      <c r="FG40" s="157" t="e">
        <f aca="false">((ES40/ET40)*FA40)+FB40</f>
        <v>#NAME?</v>
      </c>
      <c r="FH40" s="44"/>
      <c r="FI40" s="45" t="e">
        <f aca="false">$EN40*EV40</f>
        <v>#NAME?</v>
      </c>
      <c r="FJ40" s="45" t="e">
        <f aca="false">$EN40*EW40</f>
        <v>#NAME?</v>
      </c>
      <c r="FK40" s="45" t="e">
        <f aca="false">$EN40*EX40</f>
        <v>#NAME?</v>
      </c>
      <c r="FL40" s="45" t="e">
        <f aca="false">$EN40*EY40</f>
        <v>#NAME?</v>
      </c>
      <c r="FM40" s="45" t="e">
        <f aca="false">$EN40*EZ40</f>
        <v>#NAME?</v>
      </c>
      <c r="FN40" s="45" t="e">
        <f aca="false">$EN40*FA40</f>
        <v>#NAME?</v>
      </c>
      <c r="FO40" s="45" t="e">
        <f aca="false">$EN40*FB40</f>
        <v>#NAME?</v>
      </c>
      <c r="FP40" s="45" t="e">
        <f aca="false">$EN40*FC40</f>
        <v>#NAME?</v>
      </c>
      <c r="FQ40" s="45" t="e">
        <f aca="false">$EN40*FD40</f>
        <v>#NAME?</v>
      </c>
      <c r="FR40" s="45" t="e">
        <f aca="false">$EN40*FE40</f>
        <v>#NAME?</v>
      </c>
      <c r="FS40" s="45" t="e">
        <f aca="false">$EN40*FF40</f>
        <v>#NAME?</v>
      </c>
      <c r="FT40" s="45" t="e">
        <f aca="false">$EN40*FG40</f>
        <v>#NAME?</v>
      </c>
    </row>
    <row r="41" customFormat="false" ht="12.75" hidden="false" customHeight="false" outlineLevel="0" collapsed="false">
      <c r="A41" s="48" t="n">
        <f aca="false">DATE(YEAR(A40),MONTH(A40)+1,1)</f>
        <v>36892</v>
      </c>
      <c r="B41" s="40" t="n">
        <f aca="false">VLOOKUP(A41,STRADDLE,5,FALSE())</f>
        <v>5.4768</v>
      </c>
      <c r="C41" s="4" t="n">
        <f aca="false">VLOOKUP(A41,STRADDLE,8,FALSE())</f>
        <v>0.6075</v>
      </c>
      <c r="D41" s="40"/>
      <c r="E41" s="131"/>
      <c r="F41" s="136" t="n">
        <f aca="false">VLOOKUP(A41,expiration,2,FALSE())-$B$2</f>
        <v>-9039</v>
      </c>
      <c r="G41" s="4"/>
      <c r="H41" s="4"/>
      <c r="I41" s="41"/>
      <c r="J41" s="154"/>
      <c r="K41" s="40" t="n">
        <f aca="false">IF($B$3="NYMEX",0,VLOOKUP($A41,curvesettle,HLOOKUP($B$3,curvesettle,2,FALSE()),FALSE()))</f>
        <v>2.61</v>
      </c>
      <c r="L41" s="40" t="n">
        <f aca="false">IF($B$4="NYMEX",0,VLOOKUP($A41,curvesettle,HLOOKUP($B$4,curvesettle,2,FALSE()),FALSE()))</f>
        <v>0</v>
      </c>
      <c r="M41" s="131" t="n">
        <f aca="false">IF(ISNUMBER(VLOOKUP($A41,VOLCURVES,HLOOKUP($B$3,VOLCURVES,2,FALSE()),FALSE())),VLOOKUP($A41,VOLCURVES,HLOOKUP($B$3,VOLCURVES,2,FALSE()),FALSE()),1)</f>
        <v>1.3</v>
      </c>
      <c r="N41" s="131" t="n">
        <f aca="false">IF(ISNUMBER(VLOOKUP($A41,VOLCURVES,HLOOKUP($B$4,VOLCURVES,2,FALSE()),FALSE())),VLOOKUP($A41,VOLCURVES,HLOOKUP($B$4,VOLCURVES,2,FALSE()),FALSE()),1)</f>
        <v>1</v>
      </c>
      <c r="O41" s="131" t="n">
        <f aca="false">IF(ISNUMBER(VLOOKUP($A41,CORETABLE,HLOOKUP($B$3,CORETABLE,2,FALSE()),FALSE())),VLOOKUP($A41,CORETABLE,HLOOKUP($B$3,CORETABLE,2,FALSE()),FALSE()),0.99)</f>
        <v>0.74</v>
      </c>
      <c r="P41" s="155" t="n">
        <f aca="false">B$18</f>
        <v>2</v>
      </c>
      <c r="Q41" s="131"/>
      <c r="R41" s="40" t="n">
        <f aca="false">IF($D$3="NYMEX",0,VLOOKUP($A41,curvesettle,HLOOKUP($D$3,curvesettle,2,FALSE()),FALSE()))</f>
        <v>2.61</v>
      </c>
      <c r="S41" s="40" t="n">
        <f aca="false">IF($D$4="NYMEX",0,VLOOKUP($A41,curvesettle,HLOOKUP($D$4,curvesettle,2,FALSE()),FALSE()))</f>
        <v>0</v>
      </c>
      <c r="T41" s="131" t="n">
        <f aca="false">IF(ISNUMBER(VLOOKUP($A41,VOLCURVES,HLOOKUP($D$3,VOLCURVES,2,FALSE()),FALSE())),VLOOKUP($A41,VOLCURVES,HLOOKUP($D$3,VOLCURVES,2,FALSE()),FALSE()),1)</f>
        <v>1.3</v>
      </c>
      <c r="U41" s="131" t="n">
        <f aca="false">IF(ISNUMBER(VLOOKUP($A41,VOLCURVES,HLOOKUP($D$4,VOLCURVES,2,FALSE()),FALSE())),VLOOKUP($A41,VOLCURVES,HLOOKUP($D$4,VOLCURVES,2,FALSE()),FALSE()),1)</f>
        <v>1</v>
      </c>
      <c r="V41" s="131" t="n">
        <f aca="false">IF(ISNUMBER(VLOOKUP($A41,CORETABLE,HLOOKUP($D$3,CORETABLE,2,FALSE()),FALSE())),VLOOKUP($A41,CORETABLE,HLOOKUP($D$3,CORETABLE,2,FALSE()),FALSE()),0.99)</f>
        <v>0.74</v>
      </c>
      <c r="W41" s="155" t="n">
        <f aca="false">D$18</f>
        <v>2.5</v>
      </c>
      <c r="X41" s="131"/>
      <c r="Y41" s="40" t="n">
        <f aca="false">IF($F$3="NYMEX",0,VLOOKUP($A41,curvesettle,HLOOKUP($F$3,curvesettle,2,FALSE()),FALSE()))</f>
        <v>-0.31</v>
      </c>
      <c r="Z41" s="40" t="n">
        <f aca="false">IF($F$4="NYMEX",0,VLOOKUP($A41,curvesettle,HLOOKUP($F$4,curvesettle,2,FALSE()),FALSE()))</f>
        <v>0</v>
      </c>
      <c r="AA41" s="131" t="n">
        <f aca="false">IF(ISNUMBER(VLOOKUP($A41,VOLCURVES,HLOOKUP($F$3,VOLCURVES,2,FALSE()),FALSE())),VLOOKUP($A41,VOLCURVES,HLOOKUP($F$3,VOLCURVES,2,FALSE()),FALSE()),1)</f>
        <v>0.96</v>
      </c>
      <c r="AB41" s="131" t="n">
        <f aca="false">IF(ISNUMBER(VLOOKUP($A41,VOLCURVES,HLOOKUP($F$4,VOLCURVES,2,FALSE()),FALSE())),VLOOKUP($A41,VOLCURVES,HLOOKUP($F$4,VOLCURVES,2,FALSE()),FALSE()),1)</f>
        <v>1</v>
      </c>
      <c r="AC41" s="131" t="n">
        <f aca="false">IF(ISNUMBER(VLOOKUP($A41,CORETABLE,HLOOKUP($F$3,CORETABLE,2,FALSE()),FALSE())),VLOOKUP($A41,CORETABLE,HLOOKUP($F$3,CORETABLE,2,FALSE()),FALSE()),1)</f>
        <v>0.96</v>
      </c>
      <c r="AD41" s="155" t="n">
        <f aca="false">F$18</f>
        <v>-0.05</v>
      </c>
      <c r="AE41" s="131"/>
      <c r="AF41" s="40" t="n">
        <f aca="false">IF($H$3="NYMEX",0,VLOOKUP($A41,curvesettle,HLOOKUP($H$3,curvesettle,2,FALSE()),FALSE()))</f>
        <v>-0.065</v>
      </c>
      <c r="AG41" s="40" t="n">
        <f aca="false">IF($H$4="NYMEX",0,VLOOKUP($A41,curvesettle,HLOOKUP($H$4,curvesettle,2,FALSE()),FALSE()))</f>
        <v>0</v>
      </c>
      <c r="AH41" s="131" t="n">
        <f aca="false">IF(ISNUMBER(VLOOKUP($A41,VOLCURVES,HLOOKUP($H$3,VOLCURVES,2,FALSE()),FALSE())),VLOOKUP($A41,VOLCURVES,HLOOKUP($H$3,VOLCURVES,2,FALSE()),FALSE()),1)</f>
        <v>1</v>
      </c>
      <c r="AI41" s="131" t="n">
        <f aca="false">IF(ISNUMBER(VLOOKUP($A41,VOLCURVES,HLOOKUP($H$4,VOLCURVES,2,FALSE()),FALSE())),VLOOKUP($A41,VOLCURVES,HLOOKUP($H$4,VOLCURVES,2,FALSE()),FALSE()),1)</f>
        <v>1</v>
      </c>
      <c r="AJ41" s="131" t="n">
        <f aca="false">IF(ISNUMBER(VLOOKUP($A41,CORETABLE,HLOOKUP($H$3,CORETABLE,2,FALSE()),FALSE())),VLOOKUP($A41,CORETABLE,HLOOKUP($H$3,CORETABLE,2,FALSE()),FALSE()),1)</f>
        <v>0.999</v>
      </c>
      <c r="AK41" s="155" t="n">
        <f aca="false">H$18</f>
        <v>-0.05</v>
      </c>
      <c r="AM41" s="4" t="n">
        <f aca="false">VLOOKUP($A41,STRADDLE,12,FALSE())</f>
        <v>0.068146567086238</v>
      </c>
      <c r="AN41" s="43" t="n">
        <f aca="false">A42-A41</f>
        <v>31</v>
      </c>
      <c r="AP41" s="9" t="n">
        <f aca="false">IF($A41&gt;=AR$32,IF($A41&lt;=AR$33,$AN41,0),0)</f>
        <v>31</v>
      </c>
      <c r="AQ41" s="123" t="n">
        <f aca="false">$B41+$K41+$B$12</f>
        <v>8.1168</v>
      </c>
      <c r="AR41" s="123" t="n">
        <f aca="false">$B41+$L41+$B$13</f>
        <v>5.4768</v>
      </c>
      <c r="AS41" s="123" t="n">
        <f aca="false">AQ41*AP41</f>
        <v>251.6208</v>
      </c>
      <c r="AT41" s="123" t="n">
        <f aca="false">AR41*AP41</f>
        <v>169.7808</v>
      </c>
      <c r="AU41" s="156" t="n">
        <f aca="false">($C41*$M41)+$B$14</f>
        <v>0.78975</v>
      </c>
      <c r="AV41" s="156" t="n">
        <f aca="false">($C41*$N41)+$B$15</f>
        <v>0.6075</v>
      </c>
      <c r="AW41" s="131" t="n">
        <f aca="false">O41+B$16</f>
        <v>0.74</v>
      </c>
      <c r="AX41" s="157" t="e">
        <f aca="false">IF(AP41=0,0,SPRDOPT(AQ41,AR41,$P41,$AM41,AU41,AV41,AW41,$F41,$B$19,0))</f>
        <v>#NAME?</v>
      </c>
      <c r="AY41" s="157" t="e">
        <f aca="false">IF(AQ41=0,0,SPRDOPT(AQ41,AR41,$P41,$AM41,AU41,AV41,AW41,$F41,$B$19,1))</f>
        <v>#NAME?</v>
      </c>
      <c r="AZ41" s="157" t="e">
        <f aca="false">IF(AR41=0,0,SPRDOPT(AQ41,AR41,$P41,$AM41,AU41,AV41,AW41,$F41,$B$19,2))</f>
        <v>#NAME?</v>
      </c>
      <c r="BA41" s="157" t="e">
        <f aca="false">IF(AS41=0,0,SPRDOPT(AQ41,AR41,$P41,$AM41,AU41,AV41,AW41,$F41,$B$19,3)/100)</f>
        <v>#NAME?</v>
      </c>
      <c r="BB41" s="157" t="e">
        <f aca="false">IF(AT41=0,0,SPRDOPT(AQ41,AR41,$P41,$AM41,AU41,AV41,AW41,$F41,$B$19,4)/100)</f>
        <v>#NAME?</v>
      </c>
      <c r="BC41" s="157" t="e">
        <f aca="false">IF(AU41=0,0,SPRDOPT(AQ41,AR41,$P41,$AM41,AU41,AV41,AW41,$F41,$B$19,5)/100)</f>
        <v>#NAME?</v>
      </c>
      <c r="BD41" s="157" t="e">
        <f aca="false">IF(AV41=0,0,SPRDOPT(AQ41,AR41,$P41,$AM41,AU41,AV41,AW41,$F41,$B$19,6)/100)</f>
        <v>#NAME?</v>
      </c>
      <c r="BE41" s="157" t="e">
        <f aca="false">IF(AW41=0,0,SPRDOPT(AQ41,AR41,$P41,$AM41,AU41,AV41,AW41,$F41,$B$19,7)/100)</f>
        <v>#NAME?</v>
      </c>
      <c r="BF41" s="157" t="e">
        <f aca="false">IF(AX41=0,0,SPRDOPT(AQ41,AR41,$P41,$AM41,AU41,AV41,AW41,$F41,$B$19,9)/365)</f>
        <v>#NAME?</v>
      </c>
      <c r="BG41" s="157" t="e">
        <f aca="false">AY41+AZ41</f>
        <v>#NAME?</v>
      </c>
      <c r="BH41" s="157" t="e">
        <f aca="false">BB41-BA41</f>
        <v>#NAME?</v>
      </c>
      <c r="BI41" s="157" t="e">
        <f aca="false">((AU41/AV41)*BC41)+BD41</f>
        <v>#NAME?</v>
      </c>
      <c r="BJ41" s="44"/>
      <c r="BK41" s="45" t="e">
        <f aca="false">$AP41*AX41</f>
        <v>#NAME?</v>
      </c>
      <c r="BL41" s="45" t="e">
        <f aca="false">$AP41*AY41</f>
        <v>#NAME?</v>
      </c>
      <c r="BM41" s="45" t="e">
        <f aca="false">$AP41*AZ41</f>
        <v>#NAME?</v>
      </c>
      <c r="BN41" s="45" t="e">
        <f aca="false">$AP41*BA41</f>
        <v>#NAME?</v>
      </c>
      <c r="BO41" s="45" t="e">
        <f aca="false">$AP41*BB41</f>
        <v>#NAME?</v>
      </c>
      <c r="BP41" s="45" t="e">
        <f aca="false">$AP41*BC41</f>
        <v>#NAME?</v>
      </c>
      <c r="BQ41" s="45" t="e">
        <f aca="false">$AP41*BD41</f>
        <v>#NAME?</v>
      </c>
      <c r="BR41" s="45" t="e">
        <f aca="false">$AP41*BE41</f>
        <v>#NAME?</v>
      </c>
      <c r="BS41" s="45" t="e">
        <f aca="false">$AP41*BF41</f>
        <v>#NAME?</v>
      </c>
      <c r="BT41" s="45" t="e">
        <f aca="false">$AP41*BG41</f>
        <v>#NAME?</v>
      </c>
      <c r="BU41" s="45" t="e">
        <f aca="false">$AP41*BH41</f>
        <v>#NAME?</v>
      </c>
      <c r="BV41" s="45" t="e">
        <f aca="false">$AP41*BI41</f>
        <v>#NAME?</v>
      </c>
      <c r="BX41" s="9" t="n">
        <f aca="false">IF($A41&gt;=BZ$32,IF($A41&lt;=BZ$33,$AN41,0),0)</f>
        <v>31</v>
      </c>
      <c r="BY41" s="123" t="n">
        <f aca="false">$B41+$R41+$D$12</f>
        <v>8.1168</v>
      </c>
      <c r="BZ41" s="123" t="n">
        <f aca="false">$B41+$S41+$D$13</f>
        <v>5.4768</v>
      </c>
      <c r="CA41" s="123" t="n">
        <f aca="false">BY41*BX41</f>
        <v>251.6208</v>
      </c>
      <c r="CB41" s="123" t="n">
        <f aca="false">BZ41*BX41</f>
        <v>169.7808</v>
      </c>
      <c r="CC41" s="156" t="n">
        <f aca="false">($C41*$T41)+$D$14</f>
        <v>0.78975</v>
      </c>
      <c r="CD41" s="156" t="n">
        <f aca="false">($C41*$U41)+$D$15</f>
        <v>0.6075</v>
      </c>
      <c r="CE41" s="131" t="n">
        <f aca="false">$V41+D$16</f>
        <v>0.74</v>
      </c>
      <c r="CF41" s="157" t="e">
        <f aca="false">IF(BX41=0,0,SPRDOPT(BY41,BZ41,$W41,$AM41,CC41,CD41,CE41,$F41,$D$19,0))</f>
        <v>#NAME?</v>
      </c>
      <c r="CG41" s="157" t="e">
        <f aca="false">IF(BY41=0,0,SPRDOPT(BY41,BZ41,$W41,$AM41,CC41,CD41,CE41,$F41,$D$19,1))</f>
        <v>#NAME?</v>
      </c>
      <c r="CH41" s="157" t="e">
        <f aca="false">IF(BZ41=0,0,SPRDOPT(BY41,BZ41,$W41,$AM41,CC41,CD41,CE41,$F41,$D$19,2))</f>
        <v>#NAME?</v>
      </c>
      <c r="CI41" s="157" t="e">
        <f aca="false">IF(CA41=0,0,SPRDOPT(BY41,BZ41,$W41,$AM41,CC41,CD41,CE41,$F41,$D$19,3)/100)</f>
        <v>#NAME?</v>
      </c>
      <c r="CJ41" s="157" t="e">
        <f aca="false">IF(CB41=0,0,SPRDOPT(BY41,BZ41,$W41,$AM41,CC41,CD41,CE41,$F41,$D$19,4)/100)</f>
        <v>#NAME?</v>
      </c>
      <c r="CK41" s="157" t="e">
        <f aca="false">IF(CC41=0,0,SPRDOPT(BY41,BZ41,$W41,$AM41,CC41,CD41,CE41,$F41,$D$19,5)/100)</f>
        <v>#NAME?</v>
      </c>
      <c r="CL41" s="157" t="e">
        <f aca="false">IF(CD41=0,0,SPRDOPT(BY41,BZ41,$W41,$AM41,CC41,CD41,CE41,$F41,$D$19,6)/100)</f>
        <v>#NAME?</v>
      </c>
      <c r="CM41" s="157" t="e">
        <f aca="false">IF(CE41=0,0,SPRDOPT(BY41,BZ41,$W41,$AM41,CC41,CD41,CE41,$F41,$D$19,7)/100)</f>
        <v>#NAME?</v>
      </c>
      <c r="CN41" s="157" t="e">
        <f aca="false">IF(CF41=0,0,SPRDOPT(BY41,BZ41,$W41,$AM41,CC41,CD41,CE41,$F41,$D$19,9)/365)</f>
        <v>#NAME?</v>
      </c>
      <c r="CO41" s="157" t="e">
        <f aca="false">CG41+CH41</f>
        <v>#NAME?</v>
      </c>
      <c r="CP41" s="157" t="e">
        <f aca="false">CJ41-CI41</f>
        <v>#NAME?</v>
      </c>
      <c r="CQ41" s="157" t="e">
        <f aca="false">((CC41/CD41)*CK41)+CL41</f>
        <v>#NAME?</v>
      </c>
      <c r="CR41" s="44"/>
      <c r="CS41" s="45" t="e">
        <f aca="false">BX41*CF41</f>
        <v>#NAME?</v>
      </c>
      <c r="CT41" s="45" t="e">
        <f aca="false">BX41*CG41</f>
        <v>#NAME?</v>
      </c>
      <c r="CU41" s="45" t="e">
        <f aca="false">BX41*CH41</f>
        <v>#NAME?</v>
      </c>
      <c r="CV41" s="45" t="e">
        <f aca="false">BX41*CI41</f>
        <v>#NAME?</v>
      </c>
      <c r="CW41" s="45" t="e">
        <f aca="false">BX41*CJ41</f>
        <v>#NAME?</v>
      </c>
      <c r="CX41" s="45" t="e">
        <f aca="false">BX41*CK41</f>
        <v>#NAME?</v>
      </c>
      <c r="CY41" s="45" t="e">
        <f aca="false">BX41*CL41</f>
        <v>#NAME?</v>
      </c>
      <c r="CZ41" s="45" t="e">
        <f aca="false">BX41*CM41</f>
        <v>#NAME?</v>
      </c>
      <c r="DA41" s="45" t="e">
        <f aca="false">BX41*CN41</f>
        <v>#NAME?</v>
      </c>
      <c r="DB41" s="45" t="e">
        <f aca="false">BX41*CO41</f>
        <v>#NAME?</v>
      </c>
      <c r="DC41" s="45" t="e">
        <f aca="false">BX41*CP41</f>
        <v>#NAME?</v>
      </c>
      <c r="DD41" s="45" t="e">
        <f aca="false">BX41*CQ41</f>
        <v>#NAME?</v>
      </c>
      <c r="DF41" s="9" t="n">
        <f aca="false">IF($A41&gt;=DH$32,IF($A41&lt;=DH$33,$AN41,0),0)</f>
        <v>0</v>
      </c>
      <c r="DG41" s="123" t="n">
        <f aca="false">$B41+$Y41+$F$12</f>
        <v>5.1718</v>
      </c>
      <c r="DH41" s="123" t="n">
        <f aca="false">$B41+$Z41+$F$13</f>
        <v>5.4768</v>
      </c>
      <c r="DI41" s="123" t="n">
        <f aca="false">DG41*DF41</f>
        <v>0</v>
      </c>
      <c r="DJ41" s="123" t="n">
        <f aca="false">DH41*DF41</f>
        <v>0</v>
      </c>
      <c r="DK41" s="156" t="n">
        <f aca="false">($C41*$AA41)+$F$14</f>
        <v>0.5832</v>
      </c>
      <c r="DL41" s="156" t="n">
        <f aca="false">($C41*$AB41)+$F$15</f>
        <v>0.6075</v>
      </c>
      <c r="DM41" s="131" t="n">
        <f aca="false">$AC41+$F$16</f>
        <v>0.974</v>
      </c>
      <c r="DN41" s="157" t="n">
        <f aca="false">IF(DF41=0,0,SPRDOPT(DG41,DH41,$AD41,$AM41,DK41,DL41,DM41,$F41,$F$19,0))</f>
        <v>0</v>
      </c>
      <c r="DO41" s="157" t="e">
        <f aca="false">IF(DG41=0,0,SPRDOPT(DG41,DH41,$AD41,$AM41,DK41,DL41,DM41,$F41,$F$19,1))</f>
        <v>#NAME?</v>
      </c>
      <c r="DP41" s="157" t="e">
        <f aca="false">IF(DH41=0,0,SPRDOPT(DG41,DH41,$AD41,$AM41,DK41,DL41,DM41,$F41,$F$19,2))</f>
        <v>#NAME?</v>
      </c>
      <c r="DQ41" s="157" t="n">
        <f aca="false">IF(DI41=0,0,SPRDOPT(DG41,DH41,$AD41,$AM41,DK41,DL41,DM41,$F41,$F$19,3)/100)</f>
        <v>0</v>
      </c>
      <c r="DR41" s="157" t="n">
        <f aca="false">IF(DJ41=0,0,SPRDOPT(DG41,DH41,$AD41,$AM41,DK41,DL41,DM41,$F41,$F$19,4)/100)</f>
        <v>0</v>
      </c>
      <c r="DS41" s="157" t="e">
        <f aca="false">IF(DK41=0,0,SPRDOPT(DG41,DH41,$AD41,$AM41,DK41,DL41,DM41,$F41,$F$19,5)/100)</f>
        <v>#NAME?</v>
      </c>
      <c r="DT41" s="157" t="e">
        <f aca="false">IF(DL41=0,0,SPRDOPT(DG41,DH41,$AD41,$AM41,DK41,DL41,DM41,$F41,$F$19,6)/100)</f>
        <v>#NAME?</v>
      </c>
      <c r="DU41" s="157" t="e">
        <f aca="false">IF(DM41=0,0,SPRDOPT(DG41,DH41,$AD41,$AM41,DK41,DL41,DM41,$F41,$F$19,7)/100)</f>
        <v>#NAME?</v>
      </c>
      <c r="DV41" s="157" t="n">
        <f aca="false">IF(DN41=0,0,SPRDOPT(DG41,DH41,$AD41,$AM41,DK41,DL41,DM41,$F41,$F$19,9)/365)</f>
        <v>0</v>
      </c>
      <c r="DW41" s="157" t="e">
        <f aca="false">DO41+DP41</f>
        <v>#NAME?</v>
      </c>
      <c r="DX41" s="157" t="n">
        <f aca="false">DR41-DQ41</f>
        <v>0</v>
      </c>
      <c r="DY41" s="157" t="e">
        <f aca="false">((DK41/DL41)*DS41)+DT41</f>
        <v>#NAME?</v>
      </c>
      <c r="DZ41" s="44"/>
      <c r="EA41" s="45" t="n">
        <f aca="false">DF41*DN41</f>
        <v>0</v>
      </c>
      <c r="EB41" s="45" t="e">
        <f aca="false">DF41*DO41</f>
        <v>#NAME?</v>
      </c>
      <c r="EC41" s="45" t="e">
        <f aca="false">DF41*DP41</f>
        <v>#NAME?</v>
      </c>
      <c r="ED41" s="45" t="n">
        <f aca="false">DF41*DQ41</f>
        <v>0</v>
      </c>
      <c r="EE41" s="45" t="n">
        <f aca="false">DF41*DR41</f>
        <v>0</v>
      </c>
      <c r="EF41" s="45" t="e">
        <f aca="false">DF41*DS41</f>
        <v>#NAME?</v>
      </c>
      <c r="EG41" s="45" t="e">
        <f aca="false">DF41*DT41</f>
        <v>#NAME?</v>
      </c>
      <c r="EH41" s="45" t="e">
        <f aca="false">DF41*DU41</f>
        <v>#NAME?</v>
      </c>
      <c r="EI41" s="45" t="n">
        <f aca="false">DF41*DV41</f>
        <v>0</v>
      </c>
      <c r="EJ41" s="45" t="e">
        <f aca="false">DF41*DW41</f>
        <v>#NAME?</v>
      </c>
      <c r="EK41" s="45" t="n">
        <f aca="false">DF41*DX41</f>
        <v>0</v>
      </c>
      <c r="EL41" s="45" t="e">
        <f aca="false">DF41*DY41</f>
        <v>#NAME?</v>
      </c>
      <c r="EN41" s="9" t="n">
        <f aca="false">IF($A41&gt;=EP$32,IF($A41&lt;=EP$33,$AN41,0),0)</f>
        <v>31</v>
      </c>
      <c r="EO41" s="123" t="n">
        <f aca="false">$B41+$AF41+$H$12</f>
        <v>5.4118</v>
      </c>
      <c r="EP41" s="123" t="n">
        <f aca="false">$B41+$AG41+$H$13</f>
        <v>5.4768</v>
      </c>
      <c r="EQ41" s="123" t="n">
        <f aca="false">EO41*EN41</f>
        <v>167.7658</v>
      </c>
      <c r="ER41" s="123" t="n">
        <f aca="false">EP41*EN41</f>
        <v>169.7808</v>
      </c>
      <c r="ES41" s="156" t="n">
        <f aca="false">($C41*$AH41)+$H$14</f>
        <v>0.6075</v>
      </c>
      <c r="ET41" s="156" t="n">
        <f aca="false">($C41*$AI41)+$H$15</f>
        <v>0.6075</v>
      </c>
      <c r="EU41" s="131" t="n">
        <f aca="false">$AJ41+$H$16</f>
        <v>0.998</v>
      </c>
      <c r="EV41" s="157" t="e">
        <f aca="false">IF(EN41=0,0,SPRDOPT(EO41,EP41,$AK41,$AM41,ES41,ET41,EU41,$F41,$H$19,0))</f>
        <v>#NAME?</v>
      </c>
      <c r="EW41" s="157" t="e">
        <f aca="false">IF(EO41=0,0,SPRDOPT(EO41,EP41,$AK41,$AM41,ES41,ET41,EU41,$F41,$H$19,1))</f>
        <v>#NAME?</v>
      </c>
      <c r="EX41" s="157" t="e">
        <f aca="false">IF(EP41=0,0,SPRDOPT(EO41,EP41,$AK41,$AM41,ES41,ET41,EU41,$F41,$H$19,2))</f>
        <v>#NAME?</v>
      </c>
      <c r="EY41" s="157" t="e">
        <f aca="false">IF(EQ41=0,0,SPRDOPT(EO41,EP41,$AK41,$AM41,ES41,ET41,EU41,$F41,$H$19,3)/100)</f>
        <v>#NAME?</v>
      </c>
      <c r="EZ41" s="157" t="e">
        <f aca="false">IF(ER41=0,0,SPRDOPT(EO41,EP41,$AK41,$AM41,ES41,ET41,EU41,$F41,$H$19,4)/100)</f>
        <v>#NAME?</v>
      </c>
      <c r="FA41" s="157" t="e">
        <f aca="false">IF(ES41=0,0,SPRDOPT(EO41,EP41,$AK41,$AM41,ES41,ET41,EU41,$F41,$H$19,5)/100)</f>
        <v>#NAME?</v>
      </c>
      <c r="FB41" s="157" t="e">
        <f aca="false">IF(ET41=0,0,SPRDOPT(EO41,EP41,$AK41,$AM41,ES41,ET41,EU41,$F41,$H$19,6)/100)</f>
        <v>#NAME?</v>
      </c>
      <c r="FC41" s="157" t="e">
        <f aca="false">IF(EU41=0,0,SPRDOPT(EO41,EP41,$AK41,$AM41,ES41,ET41,EU41,$F41,$H$19,7)/100)</f>
        <v>#NAME?</v>
      </c>
      <c r="FD41" s="157" t="e">
        <f aca="false">IF(EV41=0,0,SPRDOPT(EO41,EP41,$AK41,$AM41,ES41,ET41,EU41,$F41,$H$19,9)/365)</f>
        <v>#NAME?</v>
      </c>
      <c r="FE41" s="157" t="e">
        <f aca="false">EW41+EX41</f>
        <v>#NAME?</v>
      </c>
      <c r="FF41" s="157" t="e">
        <f aca="false">EZ41-EY41</f>
        <v>#NAME?</v>
      </c>
      <c r="FG41" s="157" t="e">
        <f aca="false">((ES41/ET41)*FA41)+FB41</f>
        <v>#NAME?</v>
      </c>
      <c r="FH41" s="44"/>
      <c r="FI41" s="45" t="e">
        <f aca="false">$EN41*EV41</f>
        <v>#NAME?</v>
      </c>
      <c r="FJ41" s="45" t="e">
        <f aca="false">$EN41*EW41</f>
        <v>#NAME?</v>
      </c>
      <c r="FK41" s="45" t="e">
        <f aca="false">$EN41*EX41</f>
        <v>#NAME?</v>
      </c>
      <c r="FL41" s="45" t="e">
        <f aca="false">$EN41*EY41</f>
        <v>#NAME?</v>
      </c>
      <c r="FM41" s="45" t="e">
        <f aca="false">$EN41*EZ41</f>
        <v>#NAME?</v>
      </c>
      <c r="FN41" s="45" t="e">
        <f aca="false">$EN41*FA41</f>
        <v>#NAME?</v>
      </c>
      <c r="FO41" s="45" t="e">
        <f aca="false">$EN41*FB41</f>
        <v>#NAME?</v>
      </c>
      <c r="FP41" s="45" t="e">
        <f aca="false">$EN41*FC41</f>
        <v>#NAME?</v>
      </c>
      <c r="FQ41" s="45" t="e">
        <f aca="false">$EN41*FD41</f>
        <v>#NAME?</v>
      </c>
      <c r="FR41" s="45" t="e">
        <f aca="false">$EN41*FE41</f>
        <v>#NAME?</v>
      </c>
      <c r="FS41" s="45" t="e">
        <f aca="false">$EN41*FF41</f>
        <v>#NAME?</v>
      </c>
      <c r="FT41" s="45" t="e">
        <f aca="false">$EN41*FG41</f>
        <v>#NAME?</v>
      </c>
    </row>
    <row r="42" customFormat="false" ht="12.75" hidden="false" customHeight="false" outlineLevel="0" collapsed="false">
      <c r="A42" s="48" t="n">
        <f aca="false">DATE(YEAR(A41),MONTH(A41)+1,1)</f>
        <v>36923</v>
      </c>
      <c r="B42" s="40" t="n">
        <f aca="false">VLOOKUP(A42,STRADDLE,5,FALSE())</f>
        <v>5.1838</v>
      </c>
      <c r="C42" s="4" t="n">
        <f aca="false">VLOOKUP(A42,STRADDLE,8,FALSE())</f>
        <v>0.5975</v>
      </c>
      <c r="D42" s="40"/>
      <c r="E42" s="131"/>
      <c r="F42" s="136" t="n">
        <f aca="false">VLOOKUP(A42,expiration,2,FALSE())-$B$2</f>
        <v>-9006</v>
      </c>
      <c r="G42" s="4"/>
      <c r="H42" s="4"/>
      <c r="I42" s="41"/>
      <c r="J42" s="154"/>
      <c r="K42" s="40" t="n">
        <f aca="false">IF($B$3="NYMEX",0,VLOOKUP($A42,curvesettle,HLOOKUP($B$3,curvesettle,2,FALSE()),FALSE()))</f>
        <v>2.6</v>
      </c>
      <c r="L42" s="40" t="n">
        <f aca="false">IF($B$4="NYMEX",0,VLOOKUP($A42,curvesettle,HLOOKUP($B$4,curvesettle,2,FALSE()),FALSE()))</f>
        <v>0</v>
      </c>
      <c r="M42" s="131" t="n">
        <f aca="false">IF(ISNUMBER(VLOOKUP($A42,VOLCURVES,HLOOKUP($B$3,VOLCURVES,2,FALSE()),FALSE())),VLOOKUP($A42,VOLCURVES,HLOOKUP($B$3,VOLCURVES,2,FALSE()),FALSE()),1)</f>
        <v>1.3</v>
      </c>
      <c r="N42" s="131" t="n">
        <f aca="false">IF(ISNUMBER(VLOOKUP($A42,VOLCURVES,HLOOKUP($B$4,VOLCURVES,2,FALSE()),FALSE())),VLOOKUP($A42,VOLCURVES,HLOOKUP($B$4,VOLCURVES,2,FALSE()),FALSE()),1)</f>
        <v>1</v>
      </c>
      <c r="O42" s="131" t="n">
        <f aca="false">IF(ISNUMBER(VLOOKUP($A42,CORETABLE,HLOOKUP($B$3,CORETABLE,2,FALSE()),FALSE())),VLOOKUP($A42,CORETABLE,HLOOKUP($B$3,CORETABLE,2,FALSE()),FALSE()),0.99)</f>
        <v>0.74</v>
      </c>
      <c r="P42" s="155" t="n">
        <f aca="false">B$18</f>
        <v>2</v>
      </c>
      <c r="Q42" s="131"/>
      <c r="R42" s="40" t="n">
        <f aca="false">IF($D$3="NYMEX",0,VLOOKUP($A42,curvesettle,HLOOKUP($D$3,curvesettle,2,FALSE()),FALSE()))</f>
        <v>2.6</v>
      </c>
      <c r="S42" s="40" t="n">
        <f aca="false">IF($D$4="NYMEX",0,VLOOKUP($A42,curvesettle,HLOOKUP($D$4,curvesettle,2,FALSE()),FALSE()))</f>
        <v>0</v>
      </c>
      <c r="T42" s="131" t="n">
        <f aca="false">IF(ISNUMBER(VLOOKUP($A42,VOLCURVES,HLOOKUP($D$3,VOLCURVES,2,FALSE()),FALSE())),VLOOKUP($A42,VOLCURVES,HLOOKUP($D$3,VOLCURVES,2,FALSE()),FALSE()),1)</f>
        <v>1.3</v>
      </c>
      <c r="U42" s="131" t="n">
        <f aca="false">IF(ISNUMBER(VLOOKUP($A42,VOLCURVES,HLOOKUP($D$4,VOLCURVES,2,FALSE()),FALSE())),VLOOKUP($A42,VOLCURVES,HLOOKUP($D$4,VOLCURVES,2,FALSE()),FALSE()),1)</f>
        <v>1</v>
      </c>
      <c r="V42" s="131" t="n">
        <f aca="false">IF(ISNUMBER(VLOOKUP($A42,CORETABLE,HLOOKUP($D$3,CORETABLE,2,FALSE()),FALSE())),VLOOKUP($A42,CORETABLE,HLOOKUP($D$3,CORETABLE,2,FALSE()),FALSE()),0.99)</f>
        <v>0.74</v>
      </c>
      <c r="W42" s="155" t="n">
        <f aca="false">D$18</f>
        <v>2.5</v>
      </c>
      <c r="X42" s="131"/>
      <c r="Y42" s="40" t="n">
        <f aca="false">IF($F$3="NYMEX",0,VLOOKUP($A42,curvesettle,HLOOKUP($F$3,curvesettle,2,FALSE()),FALSE()))</f>
        <v>-0.33</v>
      </c>
      <c r="Z42" s="40" t="n">
        <f aca="false">IF($F$4="NYMEX",0,VLOOKUP($A42,curvesettle,HLOOKUP($F$4,curvesettle,2,FALSE()),FALSE()))</f>
        <v>0</v>
      </c>
      <c r="AA42" s="131" t="n">
        <f aca="false">IF(ISNUMBER(VLOOKUP($A42,VOLCURVES,HLOOKUP($F$3,VOLCURVES,2,FALSE()),FALSE())),VLOOKUP($A42,VOLCURVES,HLOOKUP($F$3,VOLCURVES,2,FALSE()),FALSE()),1)</f>
        <v>0.96</v>
      </c>
      <c r="AB42" s="131" t="n">
        <f aca="false">IF(ISNUMBER(VLOOKUP($A42,VOLCURVES,HLOOKUP($F$4,VOLCURVES,2,FALSE()),FALSE())),VLOOKUP($A42,VOLCURVES,HLOOKUP($F$4,VOLCURVES,2,FALSE()),FALSE()),1)</f>
        <v>1</v>
      </c>
      <c r="AC42" s="131" t="n">
        <f aca="false">IF(ISNUMBER(VLOOKUP($A42,CORETABLE,HLOOKUP($F$3,CORETABLE,2,FALSE()),FALSE())),VLOOKUP($A42,CORETABLE,HLOOKUP($F$3,CORETABLE,2,FALSE()),FALSE()),1)</f>
        <v>0.96</v>
      </c>
      <c r="AD42" s="155" t="n">
        <f aca="false">F$18</f>
        <v>-0.05</v>
      </c>
      <c r="AE42" s="131"/>
      <c r="AF42" s="40" t="n">
        <f aca="false">IF($H$3="NYMEX",0,VLOOKUP($A42,curvesettle,HLOOKUP($H$3,curvesettle,2,FALSE()),FALSE()))</f>
        <v>-0.0475</v>
      </c>
      <c r="AG42" s="40" t="n">
        <f aca="false">IF($H$4="NYMEX",0,VLOOKUP($A42,curvesettle,HLOOKUP($H$4,curvesettle,2,FALSE()),FALSE()))</f>
        <v>0</v>
      </c>
      <c r="AH42" s="131" t="n">
        <f aca="false">IF(ISNUMBER(VLOOKUP($A42,VOLCURVES,HLOOKUP($H$3,VOLCURVES,2,FALSE()),FALSE())),VLOOKUP($A42,VOLCURVES,HLOOKUP($H$3,VOLCURVES,2,FALSE()),FALSE()),1)</f>
        <v>1</v>
      </c>
      <c r="AI42" s="131" t="n">
        <f aca="false">IF(ISNUMBER(VLOOKUP($A42,VOLCURVES,HLOOKUP($H$4,VOLCURVES,2,FALSE()),FALSE())),VLOOKUP($A42,VOLCURVES,HLOOKUP($H$4,VOLCURVES,2,FALSE()),FALSE()),1)</f>
        <v>1</v>
      </c>
      <c r="AJ42" s="131" t="n">
        <f aca="false">IF(ISNUMBER(VLOOKUP($A42,CORETABLE,HLOOKUP($H$3,CORETABLE,2,FALSE()),FALSE())),VLOOKUP($A42,CORETABLE,HLOOKUP($H$3,CORETABLE,2,FALSE()),FALSE()),1)</f>
        <v>0.999</v>
      </c>
      <c r="AK42" s="155" t="n">
        <f aca="false">H$18</f>
        <v>-0.05</v>
      </c>
      <c r="AM42" s="4" t="n">
        <f aca="false">VLOOKUP($A42,STRADDLE,12,FALSE())</f>
        <v>0.068214589689939</v>
      </c>
      <c r="AN42" s="43" t="n">
        <f aca="false">A43-A42</f>
        <v>28</v>
      </c>
      <c r="AP42" s="9" t="n">
        <f aca="false">IF($A42&gt;=AR$32,IF($A42&lt;=AR$33,$AN42,0),0)</f>
        <v>28</v>
      </c>
      <c r="AQ42" s="123" t="n">
        <f aca="false">$B42+$K42+$B$12</f>
        <v>7.8138</v>
      </c>
      <c r="AR42" s="123" t="n">
        <f aca="false">$B42+$L42+$B$13</f>
        <v>5.1838</v>
      </c>
      <c r="AS42" s="123" t="n">
        <f aca="false">AQ42*AP42</f>
        <v>218.7864</v>
      </c>
      <c r="AT42" s="123" t="n">
        <f aca="false">AR42*AP42</f>
        <v>145.1464</v>
      </c>
      <c r="AU42" s="156" t="n">
        <f aca="false">($C42*$M42)+$B$14</f>
        <v>0.77675</v>
      </c>
      <c r="AV42" s="156" t="n">
        <f aca="false">($C42*$N42)+$B$15</f>
        <v>0.5975</v>
      </c>
      <c r="AW42" s="131" t="n">
        <f aca="false">O42+B$16</f>
        <v>0.74</v>
      </c>
      <c r="AX42" s="157" t="e">
        <f aca="false">IF(AP42=0,0,SPRDOPT(AQ42,AR42,$P42,$AM42,AU42,AV42,AW42,$F42,$B$19,0))</f>
        <v>#NAME?</v>
      </c>
      <c r="AY42" s="157" t="e">
        <f aca="false">IF(AQ42=0,0,SPRDOPT(AQ42,AR42,$P42,$AM42,AU42,AV42,AW42,$F42,$B$19,1))</f>
        <v>#NAME?</v>
      </c>
      <c r="AZ42" s="157" t="e">
        <f aca="false">IF(AR42=0,0,SPRDOPT(AQ42,AR42,$P42,$AM42,AU42,AV42,AW42,$F42,$B$19,2))</f>
        <v>#NAME?</v>
      </c>
      <c r="BA42" s="157" t="e">
        <f aca="false">IF(AS42=0,0,SPRDOPT(AQ42,AR42,$P42,$AM42,AU42,AV42,AW42,$F42,$B$19,3)/100)</f>
        <v>#NAME?</v>
      </c>
      <c r="BB42" s="157" t="e">
        <f aca="false">IF(AT42=0,0,SPRDOPT(AQ42,AR42,$P42,$AM42,AU42,AV42,AW42,$F42,$B$19,4)/100)</f>
        <v>#NAME?</v>
      </c>
      <c r="BC42" s="157" t="e">
        <f aca="false">IF(AU42=0,0,SPRDOPT(AQ42,AR42,$P42,$AM42,AU42,AV42,AW42,$F42,$B$19,5)/100)</f>
        <v>#NAME?</v>
      </c>
      <c r="BD42" s="157" t="e">
        <f aca="false">IF(AV42=0,0,SPRDOPT(AQ42,AR42,$P42,$AM42,AU42,AV42,AW42,$F42,$B$19,6)/100)</f>
        <v>#NAME?</v>
      </c>
      <c r="BE42" s="157" t="e">
        <f aca="false">IF(AW42=0,0,SPRDOPT(AQ42,AR42,$P42,$AM42,AU42,AV42,AW42,$F42,$B$19,7)/100)</f>
        <v>#NAME?</v>
      </c>
      <c r="BF42" s="157" t="e">
        <f aca="false">IF(AX42=0,0,SPRDOPT(AQ42,AR42,$P42,$AM42,AU42,AV42,AW42,$F42,$B$19,9)/365)</f>
        <v>#NAME?</v>
      </c>
      <c r="BG42" s="157" t="e">
        <f aca="false">AY42+AZ42</f>
        <v>#NAME?</v>
      </c>
      <c r="BH42" s="157" t="e">
        <f aca="false">BB42-BA42</f>
        <v>#NAME?</v>
      </c>
      <c r="BI42" s="157" t="e">
        <f aca="false">((AU42/AV42)*BC42)+BD42</f>
        <v>#NAME?</v>
      </c>
      <c r="BJ42" s="44"/>
      <c r="BK42" s="45" t="e">
        <f aca="false">$AP42*AX42</f>
        <v>#NAME?</v>
      </c>
      <c r="BL42" s="45" t="e">
        <f aca="false">$AP42*AY42</f>
        <v>#NAME?</v>
      </c>
      <c r="BM42" s="45" t="e">
        <f aca="false">$AP42*AZ42</f>
        <v>#NAME?</v>
      </c>
      <c r="BN42" s="45" t="e">
        <f aca="false">$AP42*BA42</f>
        <v>#NAME?</v>
      </c>
      <c r="BO42" s="45" t="e">
        <f aca="false">$AP42*BB42</f>
        <v>#NAME?</v>
      </c>
      <c r="BP42" s="45" t="e">
        <f aca="false">$AP42*BC42</f>
        <v>#NAME?</v>
      </c>
      <c r="BQ42" s="45" t="e">
        <f aca="false">$AP42*BD42</f>
        <v>#NAME?</v>
      </c>
      <c r="BR42" s="45" t="e">
        <f aca="false">$AP42*BE42</f>
        <v>#NAME?</v>
      </c>
      <c r="BS42" s="45" t="e">
        <f aca="false">$AP42*BF42</f>
        <v>#NAME?</v>
      </c>
      <c r="BT42" s="45" t="e">
        <f aca="false">$AP42*BG42</f>
        <v>#NAME?</v>
      </c>
      <c r="BU42" s="45" t="e">
        <f aca="false">$AP42*BH42</f>
        <v>#NAME?</v>
      </c>
      <c r="BV42" s="45" t="e">
        <f aca="false">$AP42*BI42</f>
        <v>#NAME?</v>
      </c>
      <c r="BX42" s="9" t="n">
        <f aca="false">IF($A42&gt;=BZ$32,IF($A42&lt;=BZ$33,$AN42,0),0)</f>
        <v>28</v>
      </c>
      <c r="BY42" s="123" t="n">
        <f aca="false">$B42+$R42+$D$12</f>
        <v>7.8138</v>
      </c>
      <c r="BZ42" s="123" t="n">
        <f aca="false">$B42+$S42+$D$13</f>
        <v>5.1838</v>
      </c>
      <c r="CA42" s="123" t="n">
        <f aca="false">BY42*BX42</f>
        <v>218.7864</v>
      </c>
      <c r="CB42" s="123" t="n">
        <f aca="false">BZ42*BX42</f>
        <v>145.1464</v>
      </c>
      <c r="CC42" s="156" t="n">
        <f aca="false">($C42*$T42)+$D$14</f>
        <v>0.77675</v>
      </c>
      <c r="CD42" s="156" t="n">
        <f aca="false">($C42*$U42)+$D$15</f>
        <v>0.5975</v>
      </c>
      <c r="CE42" s="131" t="n">
        <f aca="false">$V42+D$16</f>
        <v>0.74</v>
      </c>
      <c r="CF42" s="157" t="e">
        <f aca="false">IF(BX42=0,0,SPRDOPT(BY42,BZ42,$W42,$AM42,CC42,CD42,CE42,$F42,$D$19,0))</f>
        <v>#NAME?</v>
      </c>
      <c r="CG42" s="157" t="e">
        <f aca="false">IF(BY42=0,0,SPRDOPT(BY42,BZ42,$W42,$AM42,CC42,CD42,CE42,$F42,$D$19,1))</f>
        <v>#NAME?</v>
      </c>
      <c r="CH42" s="157" t="e">
        <f aca="false">IF(BZ42=0,0,SPRDOPT(BY42,BZ42,$W42,$AM42,CC42,CD42,CE42,$F42,$D$19,2))</f>
        <v>#NAME?</v>
      </c>
      <c r="CI42" s="157" t="e">
        <f aca="false">IF(CA42=0,0,SPRDOPT(BY42,BZ42,$W42,$AM42,CC42,CD42,CE42,$F42,$D$19,3)/100)</f>
        <v>#NAME?</v>
      </c>
      <c r="CJ42" s="157" t="e">
        <f aca="false">IF(CB42=0,0,SPRDOPT(BY42,BZ42,$W42,$AM42,CC42,CD42,CE42,$F42,$D$19,4)/100)</f>
        <v>#NAME?</v>
      </c>
      <c r="CK42" s="157" t="e">
        <f aca="false">IF(CC42=0,0,SPRDOPT(BY42,BZ42,$W42,$AM42,CC42,CD42,CE42,$F42,$D$19,5)/100)</f>
        <v>#NAME?</v>
      </c>
      <c r="CL42" s="157" t="e">
        <f aca="false">IF(CD42=0,0,SPRDOPT(BY42,BZ42,$W42,$AM42,CC42,CD42,CE42,$F42,$D$19,6)/100)</f>
        <v>#NAME?</v>
      </c>
      <c r="CM42" s="157" t="e">
        <f aca="false">IF(CE42=0,0,SPRDOPT(BY42,BZ42,$W42,$AM42,CC42,CD42,CE42,$F42,$D$19,7)/100)</f>
        <v>#NAME?</v>
      </c>
      <c r="CN42" s="157" t="e">
        <f aca="false">IF(CF42=0,0,SPRDOPT(BY42,BZ42,$W42,$AM42,CC42,CD42,CE42,$F42,$D$19,9)/365)</f>
        <v>#NAME?</v>
      </c>
      <c r="CO42" s="157" t="e">
        <f aca="false">CG42+CH42</f>
        <v>#NAME?</v>
      </c>
      <c r="CP42" s="157" t="e">
        <f aca="false">CJ42-CI42</f>
        <v>#NAME?</v>
      </c>
      <c r="CQ42" s="157" t="e">
        <f aca="false">((CC42/CD42)*CK42)+CL42</f>
        <v>#NAME?</v>
      </c>
      <c r="CR42" s="44"/>
      <c r="CS42" s="45" t="e">
        <f aca="false">BX42*CF42</f>
        <v>#NAME?</v>
      </c>
      <c r="CT42" s="45" t="e">
        <f aca="false">BX42*CG42</f>
        <v>#NAME?</v>
      </c>
      <c r="CU42" s="45" t="e">
        <f aca="false">BX42*CH42</f>
        <v>#NAME?</v>
      </c>
      <c r="CV42" s="45" t="e">
        <f aca="false">BX42*CI42</f>
        <v>#NAME?</v>
      </c>
      <c r="CW42" s="45" t="e">
        <f aca="false">BX42*CJ42</f>
        <v>#NAME?</v>
      </c>
      <c r="CX42" s="45" t="e">
        <f aca="false">BX42*CK42</f>
        <v>#NAME?</v>
      </c>
      <c r="CY42" s="45" t="e">
        <f aca="false">BX42*CL42</f>
        <v>#NAME?</v>
      </c>
      <c r="CZ42" s="45" t="e">
        <f aca="false">BX42*CM42</f>
        <v>#NAME?</v>
      </c>
      <c r="DA42" s="45" t="e">
        <f aca="false">BX42*CN42</f>
        <v>#NAME?</v>
      </c>
      <c r="DB42" s="45" t="e">
        <f aca="false">BX42*CO42</f>
        <v>#NAME?</v>
      </c>
      <c r="DC42" s="45" t="e">
        <f aca="false">BX42*CP42</f>
        <v>#NAME?</v>
      </c>
      <c r="DD42" s="45" t="e">
        <f aca="false">BX42*CQ42</f>
        <v>#NAME?</v>
      </c>
      <c r="DF42" s="9" t="n">
        <f aca="false">IF($A42&gt;=DH$32,IF($A42&lt;=DH$33,$AN42,0),0)</f>
        <v>0</v>
      </c>
      <c r="DG42" s="123" t="n">
        <f aca="false">$B42+$Y42+$F$12</f>
        <v>4.8588</v>
      </c>
      <c r="DH42" s="123" t="n">
        <f aca="false">$B42+$Z42+$F$13</f>
        <v>5.1838</v>
      </c>
      <c r="DI42" s="123" t="n">
        <f aca="false">DG42*DF42</f>
        <v>0</v>
      </c>
      <c r="DJ42" s="123" t="n">
        <f aca="false">DH42*DF42</f>
        <v>0</v>
      </c>
      <c r="DK42" s="156" t="n">
        <f aca="false">($C42*$AA42)+$F$14</f>
        <v>0.5736</v>
      </c>
      <c r="DL42" s="156" t="n">
        <f aca="false">($C42*$AB42)+$F$15</f>
        <v>0.5975</v>
      </c>
      <c r="DM42" s="131" t="n">
        <f aca="false">$AC42+$F$16</f>
        <v>0.974</v>
      </c>
      <c r="DN42" s="157" t="n">
        <f aca="false">IF(DF42=0,0,SPRDOPT(DG42,DH42,$AD42,$AM42,DK42,DL42,DM42,$F42,$F$19,0))</f>
        <v>0</v>
      </c>
      <c r="DO42" s="157" t="e">
        <f aca="false">IF(DG42=0,0,SPRDOPT(DG42,DH42,$AD42,$AM42,DK42,DL42,DM42,$F42,$F$19,1))</f>
        <v>#NAME?</v>
      </c>
      <c r="DP42" s="157" t="e">
        <f aca="false">IF(DH42=0,0,SPRDOPT(DG42,DH42,$AD42,$AM42,DK42,DL42,DM42,$F42,$F$19,2))</f>
        <v>#NAME?</v>
      </c>
      <c r="DQ42" s="157" t="n">
        <f aca="false">IF(DI42=0,0,SPRDOPT(DG42,DH42,$AD42,$AM42,DK42,DL42,DM42,$F42,$F$19,3)/100)</f>
        <v>0</v>
      </c>
      <c r="DR42" s="157" t="n">
        <f aca="false">IF(DJ42=0,0,SPRDOPT(DG42,DH42,$AD42,$AM42,DK42,DL42,DM42,$F42,$F$19,4)/100)</f>
        <v>0</v>
      </c>
      <c r="DS42" s="157" t="e">
        <f aca="false">IF(DK42=0,0,SPRDOPT(DG42,DH42,$AD42,$AM42,DK42,DL42,DM42,$F42,$F$19,5)/100)</f>
        <v>#NAME?</v>
      </c>
      <c r="DT42" s="157" t="e">
        <f aca="false">IF(DL42=0,0,SPRDOPT(DG42,DH42,$AD42,$AM42,DK42,DL42,DM42,$F42,$F$19,6)/100)</f>
        <v>#NAME?</v>
      </c>
      <c r="DU42" s="157" t="e">
        <f aca="false">IF(DM42=0,0,SPRDOPT(DG42,DH42,$AD42,$AM42,DK42,DL42,DM42,$F42,$F$19,7)/100)</f>
        <v>#NAME?</v>
      </c>
      <c r="DV42" s="157" t="n">
        <f aca="false">IF(DN42=0,0,SPRDOPT(DG42,DH42,$AD42,$AM42,DK42,DL42,DM42,$F42,$F$19,9)/365)</f>
        <v>0</v>
      </c>
      <c r="DW42" s="157" t="e">
        <f aca="false">DO42+DP42</f>
        <v>#NAME?</v>
      </c>
      <c r="DX42" s="157" t="n">
        <f aca="false">DR42-DQ42</f>
        <v>0</v>
      </c>
      <c r="DY42" s="157" t="e">
        <f aca="false">((DK42/DL42)*DS42)+DT42</f>
        <v>#NAME?</v>
      </c>
      <c r="DZ42" s="44"/>
      <c r="EA42" s="45" t="n">
        <f aca="false">DF42*DN42</f>
        <v>0</v>
      </c>
      <c r="EB42" s="45" t="e">
        <f aca="false">DF42*DO42</f>
        <v>#NAME?</v>
      </c>
      <c r="EC42" s="45" t="e">
        <f aca="false">DF42*DP42</f>
        <v>#NAME?</v>
      </c>
      <c r="ED42" s="45" t="n">
        <f aca="false">DF42*DQ42</f>
        <v>0</v>
      </c>
      <c r="EE42" s="45" t="n">
        <f aca="false">DF42*DR42</f>
        <v>0</v>
      </c>
      <c r="EF42" s="45" t="e">
        <f aca="false">DF42*DS42</f>
        <v>#NAME?</v>
      </c>
      <c r="EG42" s="45" t="e">
        <f aca="false">DF42*DT42</f>
        <v>#NAME?</v>
      </c>
      <c r="EH42" s="45" t="e">
        <f aca="false">DF42*DU42</f>
        <v>#NAME?</v>
      </c>
      <c r="EI42" s="45" t="n">
        <f aca="false">DF42*DV42</f>
        <v>0</v>
      </c>
      <c r="EJ42" s="45" t="e">
        <f aca="false">DF42*DW42</f>
        <v>#NAME?</v>
      </c>
      <c r="EK42" s="45" t="n">
        <f aca="false">DF42*DX42</f>
        <v>0</v>
      </c>
      <c r="EL42" s="45" t="e">
        <f aca="false">DF42*DY42</f>
        <v>#NAME?</v>
      </c>
      <c r="EN42" s="9" t="n">
        <f aca="false">IF($A42&gt;=EP$32,IF($A42&lt;=EP$33,$AN42,0),0)</f>
        <v>28</v>
      </c>
      <c r="EO42" s="123" t="n">
        <f aca="false">$B42+$AF42+$H$12</f>
        <v>5.1363</v>
      </c>
      <c r="EP42" s="123" t="n">
        <f aca="false">$B42+$AG42+$H$13</f>
        <v>5.1838</v>
      </c>
      <c r="EQ42" s="123" t="n">
        <f aca="false">EO42*EN42</f>
        <v>143.8164</v>
      </c>
      <c r="ER42" s="123" t="n">
        <f aca="false">EP42*EN42</f>
        <v>145.1464</v>
      </c>
      <c r="ES42" s="156" t="n">
        <f aca="false">($C42*$AH42)+$H$14</f>
        <v>0.5975</v>
      </c>
      <c r="ET42" s="156" t="n">
        <f aca="false">($C42*$AI42)+$H$15</f>
        <v>0.5975</v>
      </c>
      <c r="EU42" s="131" t="n">
        <f aca="false">$AJ42+$H$16</f>
        <v>0.998</v>
      </c>
      <c r="EV42" s="157" t="e">
        <f aca="false">IF(EN42=0,0,SPRDOPT(EO42,EP42,$AK42,$AM42,ES42,ET42,EU42,$F42,$H$19,0))</f>
        <v>#NAME?</v>
      </c>
      <c r="EW42" s="157" t="e">
        <f aca="false">IF(EO42=0,0,SPRDOPT(EO42,EP42,$AK42,$AM42,ES42,ET42,EU42,$F42,$H$19,1))</f>
        <v>#NAME?</v>
      </c>
      <c r="EX42" s="157" t="e">
        <f aca="false">IF(EP42=0,0,SPRDOPT(EO42,EP42,$AK42,$AM42,ES42,ET42,EU42,$F42,$H$19,2))</f>
        <v>#NAME?</v>
      </c>
      <c r="EY42" s="157" t="e">
        <f aca="false">IF(EQ42=0,0,SPRDOPT(EO42,EP42,$AK42,$AM42,ES42,ET42,EU42,$F42,$H$19,3)/100)</f>
        <v>#NAME?</v>
      </c>
      <c r="EZ42" s="157" t="e">
        <f aca="false">IF(ER42=0,0,SPRDOPT(EO42,EP42,$AK42,$AM42,ES42,ET42,EU42,$F42,$H$19,4)/100)</f>
        <v>#NAME?</v>
      </c>
      <c r="FA42" s="157" t="e">
        <f aca="false">IF(ES42=0,0,SPRDOPT(EO42,EP42,$AK42,$AM42,ES42,ET42,EU42,$F42,$H$19,5)/100)</f>
        <v>#NAME?</v>
      </c>
      <c r="FB42" s="157" t="e">
        <f aca="false">IF(ET42=0,0,SPRDOPT(EO42,EP42,$AK42,$AM42,ES42,ET42,EU42,$F42,$H$19,6)/100)</f>
        <v>#NAME?</v>
      </c>
      <c r="FC42" s="157" t="e">
        <f aca="false">IF(EU42=0,0,SPRDOPT(EO42,EP42,$AK42,$AM42,ES42,ET42,EU42,$F42,$H$19,7)/100)</f>
        <v>#NAME?</v>
      </c>
      <c r="FD42" s="157" t="e">
        <f aca="false">IF(EV42=0,0,SPRDOPT(EO42,EP42,$AK42,$AM42,ES42,ET42,EU42,$F42,$H$19,9)/365)</f>
        <v>#NAME?</v>
      </c>
      <c r="FE42" s="157" t="e">
        <f aca="false">EW42+EX42</f>
        <v>#NAME?</v>
      </c>
      <c r="FF42" s="157" t="e">
        <f aca="false">EZ42-EY42</f>
        <v>#NAME?</v>
      </c>
      <c r="FG42" s="157" t="e">
        <f aca="false">((ES42/ET42)*FA42)+FB42</f>
        <v>#NAME?</v>
      </c>
      <c r="FH42" s="44"/>
      <c r="FI42" s="45" t="e">
        <f aca="false">$EN42*EV42</f>
        <v>#NAME?</v>
      </c>
      <c r="FJ42" s="45" t="e">
        <f aca="false">$EN42*EW42</f>
        <v>#NAME?</v>
      </c>
      <c r="FK42" s="45" t="e">
        <f aca="false">$EN42*EX42</f>
        <v>#NAME?</v>
      </c>
      <c r="FL42" s="45" t="e">
        <f aca="false">$EN42*EY42</f>
        <v>#NAME?</v>
      </c>
      <c r="FM42" s="45" t="e">
        <f aca="false">$EN42*EZ42</f>
        <v>#NAME?</v>
      </c>
      <c r="FN42" s="45" t="e">
        <f aca="false">$EN42*FA42</f>
        <v>#NAME?</v>
      </c>
      <c r="FO42" s="45" t="e">
        <f aca="false">$EN42*FB42</f>
        <v>#NAME?</v>
      </c>
      <c r="FP42" s="45" t="e">
        <f aca="false">$EN42*FC42</f>
        <v>#NAME?</v>
      </c>
      <c r="FQ42" s="45" t="e">
        <f aca="false">$EN42*FD42</f>
        <v>#NAME?</v>
      </c>
      <c r="FR42" s="45" t="e">
        <f aca="false">$EN42*FE42</f>
        <v>#NAME?</v>
      </c>
      <c r="FS42" s="45" t="e">
        <f aca="false">$EN42*FF42</f>
        <v>#NAME?</v>
      </c>
      <c r="FT42" s="45" t="e">
        <f aca="false">$EN42*FG42</f>
        <v>#NAME?</v>
      </c>
    </row>
    <row r="43" customFormat="false" ht="12.75" hidden="false" customHeight="false" outlineLevel="0" collapsed="false">
      <c r="A43" s="48" t="n">
        <f aca="false">DATE(YEAR(A42),MONTH(A42)+1,1)</f>
        <v>36951</v>
      </c>
      <c r="B43" s="40" t="n">
        <f aca="false">VLOOKUP(A43,STRADDLE,5,FALSE())</f>
        <v>4.8868</v>
      </c>
      <c r="C43" s="4" t="n">
        <f aca="false">VLOOKUP(A43,STRADDLE,8,FALSE())</f>
        <v>0.5375</v>
      </c>
      <c r="D43" s="40"/>
      <c r="E43" s="131"/>
      <c r="F43" s="136" t="n">
        <f aca="false">VLOOKUP(A43,expiration,2,FALSE())-$B$2</f>
        <v>-8978</v>
      </c>
      <c r="G43" s="4"/>
      <c r="H43" s="4"/>
      <c r="I43" s="41"/>
      <c r="J43" s="154"/>
      <c r="K43" s="40" t="n">
        <f aca="false">IF($B$3="NYMEX",0,VLOOKUP($A43,curvesettle,HLOOKUP($B$3,curvesettle,2,FALSE()),FALSE()))</f>
        <v>1.34</v>
      </c>
      <c r="L43" s="40" t="n">
        <f aca="false">IF($B$4="NYMEX",0,VLOOKUP($A43,curvesettle,HLOOKUP($B$4,curvesettle,2,FALSE()),FALSE()))</f>
        <v>0</v>
      </c>
      <c r="M43" s="131" t="n">
        <f aca="false">IF(ISNUMBER(VLOOKUP($A43,VOLCURVES,HLOOKUP($B$3,VOLCURVES,2,FALSE()),FALSE())),VLOOKUP($A43,VOLCURVES,HLOOKUP($B$3,VOLCURVES,2,FALSE()),FALSE()),1)</f>
        <v>1.2</v>
      </c>
      <c r="N43" s="131" t="n">
        <f aca="false">IF(ISNUMBER(VLOOKUP($A43,VOLCURVES,HLOOKUP($B$4,VOLCURVES,2,FALSE()),FALSE())),VLOOKUP($A43,VOLCURVES,HLOOKUP($B$4,VOLCURVES,2,FALSE()),FALSE()),1)</f>
        <v>1</v>
      </c>
      <c r="O43" s="131" t="n">
        <f aca="false">IF(ISNUMBER(VLOOKUP($A43,CORETABLE,HLOOKUP($B$3,CORETABLE,2,FALSE()),FALSE())),VLOOKUP($A43,CORETABLE,HLOOKUP($B$3,CORETABLE,2,FALSE()),FALSE()),0.99)</f>
        <v>0.8</v>
      </c>
      <c r="P43" s="155" t="n">
        <f aca="false">B$18</f>
        <v>2</v>
      </c>
      <c r="Q43" s="131"/>
      <c r="R43" s="40" t="n">
        <f aca="false">IF($D$3="NYMEX",0,VLOOKUP($A43,curvesettle,HLOOKUP($D$3,curvesettle,2,FALSE()),FALSE()))</f>
        <v>1.34</v>
      </c>
      <c r="S43" s="40" t="n">
        <f aca="false">IF($D$4="NYMEX",0,VLOOKUP($A43,curvesettle,HLOOKUP($D$4,curvesettle,2,FALSE()),FALSE()))</f>
        <v>0</v>
      </c>
      <c r="T43" s="131" t="n">
        <f aca="false">IF(ISNUMBER(VLOOKUP($A43,VOLCURVES,HLOOKUP($D$3,VOLCURVES,2,FALSE()),FALSE())),VLOOKUP($A43,VOLCURVES,HLOOKUP($D$3,VOLCURVES,2,FALSE()),FALSE()),1)</f>
        <v>1.2</v>
      </c>
      <c r="U43" s="131" t="n">
        <f aca="false">IF(ISNUMBER(VLOOKUP($A43,VOLCURVES,HLOOKUP($D$4,VOLCURVES,2,FALSE()),FALSE())),VLOOKUP($A43,VOLCURVES,HLOOKUP($D$4,VOLCURVES,2,FALSE()),FALSE()),1)</f>
        <v>1</v>
      </c>
      <c r="V43" s="131" t="n">
        <f aca="false">IF(ISNUMBER(VLOOKUP($A43,CORETABLE,HLOOKUP($D$3,CORETABLE,2,FALSE()),FALSE())),VLOOKUP($A43,CORETABLE,HLOOKUP($D$3,CORETABLE,2,FALSE()),FALSE()),0.99)</f>
        <v>0.8</v>
      </c>
      <c r="W43" s="155" t="n">
        <f aca="false">D$18</f>
        <v>2.5</v>
      </c>
      <c r="X43" s="131"/>
      <c r="Y43" s="40" t="n">
        <f aca="false">IF($F$3="NYMEX",0,VLOOKUP($A43,curvesettle,HLOOKUP($F$3,curvesettle,2,FALSE()),FALSE()))</f>
        <v>-0.35</v>
      </c>
      <c r="Z43" s="40" t="n">
        <f aca="false">IF($F$4="NYMEX",0,VLOOKUP($A43,curvesettle,HLOOKUP($F$4,curvesettle,2,FALSE()),FALSE()))</f>
        <v>0</v>
      </c>
      <c r="AA43" s="131" t="n">
        <f aca="false">IF(ISNUMBER(VLOOKUP($A43,VOLCURVES,HLOOKUP($F$3,VOLCURVES,2,FALSE()),FALSE())),VLOOKUP($A43,VOLCURVES,HLOOKUP($F$3,VOLCURVES,2,FALSE()),FALSE()),1)</f>
        <v>0.96</v>
      </c>
      <c r="AB43" s="131" t="n">
        <f aca="false">IF(ISNUMBER(VLOOKUP($A43,VOLCURVES,HLOOKUP($F$4,VOLCURVES,2,FALSE()),FALSE())),VLOOKUP($A43,VOLCURVES,HLOOKUP($F$4,VOLCURVES,2,FALSE()),FALSE()),1)</f>
        <v>1</v>
      </c>
      <c r="AC43" s="131" t="n">
        <f aca="false">IF(ISNUMBER(VLOOKUP($A43,CORETABLE,HLOOKUP($F$3,CORETABLE,2,FALSE()),FALSE())),VLOOKUP($A43,CORETABLE,HLOOKUP($F$3,CORETABLE,2,FALSE()),FALSE()),1)</f>
        <v>0.96</v>
      </c>
      <c r="AD43" s="155" t="n">
        <f aca="false">F$18</f>
        <v>-0.05</v>
      </c>
      <c r="AE43" s="131"/>
      <c r="AF43" s="40" t="n">
        <f aca="false">IF($H$3="NYMEX",0,VLOOKUP($A43,curvesettle,HLOOKUP($H$3,curvesettle,2,FALSE()),FALSE()))</f>
        <v>-0.03</v>
      </c>
      <c r="AG43" s="40" t="n">
        <f aca="false">IF($H$4="NYMEX",0,VLOOKUP($A43,curvesettle,HLOOKUP($H$4,curvesettle,2,FALSE()),FALSE()))</f>
        <v>0</v>
      </c>
      <c r="AH43" s="131" t="n">
        <f aca="false">IF(ISNUMBER(VLOOKUP($A43,VOLCURVES,HLOOKUP($H$3,VOLCURVES,2,FALSE()),FALSE())),VLOOKUP($A43,VOLCURVES,HLOOKUP($H$3,VOLCURVES,2,FALSE()),FALSE()),1)</f>
        <v>1</v>
      </c>
      <c r="AI43" s="131" t="n">
        <f aca="false">IF(ISNUMBER(VLOOKUP($A43,VOLCURVES,HLOOKUP($H$4,VOLCURVES,2,FALSE()),FALSE())),VLOOKUP($A43,VOLCURVES,HLOOKUP($H$4,VOLCURVES,2,FALSE()),FALSE()),1)</f>
        <v>1</v>
      </c>
      <c r="AJ43" s="131" t="n">
        <f aca="false">IF(ISNUMBER(VLOOKUP($A43,CORETABLE,HLOOKUP($H$3,CORETABLE,2,FALSE()),FALSE())),VLOOKUP($A43,CORETABLE,HLOOKUP($H$3,CORETABLE,2,FALSE()),FALSE()),1)</f>
        <v>0.999</v>
      </c>
      <c r="AK43" s="155" t="n">
        <f aca="false">H$18</f>
        <v>-0.05</v>
      </c>
      <c r="AM43" s="4" t="n">
        <f aca="false">VLOOKUP($A43,STRADDLE,12,FALSE())</f>
        <v>0.068276029462339</v>
      </c>
      <c r="AN43" s="43" t="n">
        <f aca="false">A44-A43</f>
        <v>31</v>
      </c>
      <c r="AP43" s="9" t="n">
        <f aca="false">IF($A43&gt;=AR$32,IF($A43&lt;=AR$33,$AN43,0),0)</f>
        <v>31</v>
      </c>
      <c r="AQ43" s="123" t="n">
        <f aca="false">$B43+$K43+$B$12</f>
        <v>6.2568</v>
      </c>
      <c r="AR43" s="123" t="n">
        <f aca="false">$B43+$L43+$B$13</f>
        <v>4.8868</v>
      </c>
      <c r="AS43" s="123" t="n">
        <f aca="false">AQ43*AP43</f>
        <v>193.9608</v>
      </c>
      <c r="AT43" s="123" t="n">
        <f aca="false">AR43*AP43</f>
        <v>151.4908</v>
      </c>
      <c r="AU43" s="156" t="n">
        <f aca="false">($C43*$M43)+$B$14</f>
        <v>0.645</v>
      </c>
      <c r="AV43" s="156" t="n">
        <f aca="false">($C43*$N43)+$B$15</f>
        <v>0.5375</v>
      </c>
      <c r="AW43" s="131" t="n">
        <f aca="false">O43+B$16</f>
        <v>0.8</v>
      </c>
      <c r="AX43" s="157" t="e">
        <f aca="false">IF(AP43=0,0,SPRDOPT(AQ43,AR43,$P43,$AM43,AU43,AV43,AW43,$F43,$B$19,0))</f>
        <v>#NAME?</v>
      </c>
      <c r="AY43" s="157" t="e">
        <f aca="false">IF(AQ43=0,0,SPRDOPT(AQ43,AR43,$P43,$AM43,AU43,AV43,AW43,$F43,$B$19,1))</f>
        <v>#NAME?</v>
      </c>
      <c r="AZ43" s="157" t="e">
        <f aca="false">IF(AR43=0,0,SPRDOPT(AQ43,AR43,$P43,$AM43,AU43,AV43,AW43,$F43,$B$19,2))</f>
        <v>#NAME?</v>
      </c>
      <c r="BA43" s="157" t="e">
        <f aca="false">IF(AS43=0,0,SPRDOPT(AQ43,AR43,$P43,$AM43,AU43,AV43,AW43,$F43,$B$19,3)/100)</f>
        <v>#NAME?</v>
      </c>
      <c r="BB43" s="157" t="e">
        <f aca="false">IF(AT43=0,0,SPRDOPT(AQ43,AR43,$P43,$AM43,AU43,AV43,AW43,$F43,$B$19,4)/100)</f>
        <v>#NAME?</v>
      </c>
      <c r="BC43" s="157" t="e">
        <f aca="false">IF(AU43=0,0,SPRDOPT(AQ43,AR43,$P43,$AM43,AU43,AV43,AW43,$F43,$B$19,5)/100)</f>
        <v>#NAME?</v>
      </c>
      <c r="BD43" s="157" t="e">
        <f aca="false">IF(AV43=0,0,SPRDOPT(AQ43,AR43,$P43,$AM43,AU43,AV43,AW43,$F43,$B$19,6)/100)</f>
        <v>#NAME?</v>
      </c>
      <c r="BE43" s="157" t="e">
        <f aca="false">IF(AW43=0,0,SPRDOPT(AQ43,AR43,$P43,$AM43,AU43,AV43,AW43,$F43,$B$19,7)/100)</f>
        <v>#NAME?</v>
      </c>
      <c r="BF43" s="157" t="e">
        <f aca="false">IF(AX43=0,0,SPRDOPT(AQ43,AR43,$P43,$AM43,AU43,AV43,AW43,$F43,$B$19,9)/365)</f>
        <v>#NAME?</v>
      </c>
      <c r="BG43" s="157" t="e">
        <f aca="false">AY43+AZ43</f>
        <v>#NAME?</v>
      </c>
      <c r="BH43" s="157" t="e">
        <f aca="false">BB43-BA43</f>
        <v>#NAME?</v>
      </c>
      <c r="BI43" s="157" t="e">
        <f aca="false">((AU43/AV43)*BC43)+BD43</f>
        <v>#NAME?</v>
      </c>
      <c r="BJ43" s="44"/>
      <c r="BK43" s="45" t="e">
        <f aca="false">$AP43*AX43</f>
        <v>#NAME?</v>
      </c>
      <c r="BL43" s="45" t="e">
        <f aca="false">$AP43*AY43</f>
        <v>#NAME?</v>
      </c>
      <c r="BM43" s="45" t="e">
        <f aca="false">$AP43*AZ43</f>
        <v>#NAME?</v>
      </c>
      <c r="BN43" s="45" t="e">
        <f aca="false">$AP43*BA43</f>
        <v>#NAME?</v>
      </c>
      <c r="BO43" s="45" t="e">
        <f aca="false">$AP43*BB43</f>
        <v>#NAME?</v>
      </c>
      <c r="BP43" s="45" t="e">
        <f aca="false">$AP43*BC43</f>
        <v>#NAME?</v>
      </c>
      <c r="BQ43" s="45" t="e">
        <f aca="false">$AP43*BD43</f>
        <v>#NAME?</v>
      </c>
      <c r="BR43" s="45" t="e">
        <f aca="false">$AP43*BE43</f>
        <v>#NAME?</v>
      </c>
      <c r="BS43" s="45" t="e">
        <f aca="false">$AP43*BF43</f>
        <v>#NAME?</v>
      </c>
      <c r="BT43" s="45" t="e">
        <f aca="false">$AP43*BG43</f>
        <v>#NAME?</v>
      </c>
      <c r="BU43" s="45" t="e">
        <f aca="false">$AP43*BH43</f>
        <v>#NAME?</v>
      </c>
      <c r="BV43" s="45" t="e">
        <f aca="false">$AP43*BI43</f>
        <v>#NAME?</v>
      </c>
      <c r="BX43" s="9" t="n">
        <f aca="false">IF($A43&gt;=BZ$32,IF($A43&lt;=BZ$33,$AN43,0),0)</f>
        <v>31</v>
      </c>
      <c r="BY43" s="123" t="n">
        <f aca="false">$B43+$R43+$D$12</f>
        <v>6.2568</v>
      </c>
      <c r="BZ43" s="123" t="n">
        <f aca="false">$B43+$S43+$D$13</f>
        <v>4.8868</v>
      </c>
      <c r="CA43" s="123" t="n">
        <f aca="false">BY43*BX43</f>
        <v>193.9608</v>
      </c>
      <c r="CB43" s="123" t="n">
        <f aca="false">BZ43*BX43</f>
        <v>151.4908</v>
      </c>
      <c r="CC43" s="156" t="n">
        <f aca="false">($C43*$T43)+$D$14</f>
        <v>0.645</v>
      </c>
      <c r="CD43" s="156" t="n">
        <f aca="false">($C43*$U43)+$D$15</f>
        <v>0.5375</v>
      </c>
      <c r="CE43" s="131" t="n">
        <f aca="false">$V43+D$16</f>
        <v>0.8</v>
      </c>
      <c r="CF43" s="157" t="e">
        <f aca="false">IF(BX43=0,0,SPRDOPT(BY43,BZ43,$W43,$AM43,CC43,CD43,CE43,$F43,$D$19,0))</f>
        <v>#NAME?</v>
      </c>
      <c r="CG43" s="157" t="e">
        <f aca="false">IF(BY43=0,0,SPRDOPT(BY43,BZ43,$W43,$AM43,CC43,CD43,CE43,$F43,$D$19,1))</f>
        <v>#NAME?</v>
      </c>
      <c r="CH43" s="157" t="e">
        <f aca="false">IF(BZ43=0,0,SPRDOPT(BY43,BZ43,$W43,$AM43,CC43,CD43,CE43,$F43,$D$19,2))</f>
        <v>#NAME?</v>
      </c>
      <c r="CI43" s="157" t="e">
        <f aca="false">IF(CA43=0,0,SPRDOPT(BY43,BZ43,$W43,$AM43,CC43,CD43,CE43,$F43,$D$19,3)/100)</f>
        <v>#NAME?</v>
      </c>
      <c r="CJ43" s="157" t="e">
        <f aca="false">IF(CB43=0,0,SPRDOPT(BY43,BZ43,$W43,$AM43,CC43,CD43,CE43,$F43,$D$19,4)/100)</f>
        <v>#NAME?</v>
      </c>
      <c r="CK43" s="157" t="e">
        <f aca="false">IF(CC43=0,0,SPRDOPT(BY43,BZ43,$W43,$AM43,CC43,CD43,CE43,$F43,$D$19,5)/100)</f>
        <v>#NAME?</v>
      </c>
      <c r="CL43" s="157" t="e">
        <f aca="false">IF(CD43=0,0,SPRDOPT(BY43,BZ43,$W43,$AM43,CC43,CD43,CE43,$F43,$D$19,6)/100)</f>
        <v>#NAME?</v>
      </c>
      <c r="CM43" s="157" t="e">
        <f aca="false">IF(CE43=0,0,SPRDOPT(BY43,BZ43,$W43,$AM43,CC43,CD43,CE43,$F43,$D$19,7)/100)</f>
        <v>#NAME?</v>
      </c>
      <c r="CN43" s="157" t="e">
        <f aca="false">IF(CF43=0,0,SPRDOPT(BY43,BZ43,$W43,$AM43,CC43,CD43,CE43,$F43,$D$19,9)/365)</f>
        <v>#NAME?</v>
      </c>
      <c r="CO43" s="157" t="e">
        <f aca="false">CG43+CH43</f>
        <v>#NAME?</v>
      </c>
      <c r="CP43" s="157" t="e">
        <f aca="false">CJ43-CI43</f>
        <v>#NAME?</v>
      </c>
      <c r="CQ43" s="157" t="e">
        <f aca="false">((CC43/CD43)*CK43)+CL43</f>
        <v>#NAME?</v>
      </c>
      <c r="CR43" s="44"/>
      <c r="CS43" s="45" t="e">
        <f aca="false">BX43*CF43</f>
        <v>#NAME?</v>
      </c>
      <c r="CT43" s="45" t="e">
        <f aca="false">BX43*CG43</f>
        <v>#NAME?</v>
      </c>
      <c r="CU43" s="45" t="e">
        <f aca="false">BX43*CH43</f>
        <v>#NAME?</v>
      </c>
      <c r="CV43" s="45" t="e">
        <f aca="false">BX43*CI43</f>
        <v>#NAME?</v>
      </c>
      <c r="CW43" s="45" t="e">
        <f aca="false">BX43*CJ43</f>
        <v>#NAME?</v>
      </c>
      <c r="CX43" s="45" t="e">
        <f aca="false">BX43*CK43</f>
        <v>#NAME?</v>
      </c>
      <c r="CY43" s="45" t="e">
        <f aca="false">BX43*CL43</f>
        <v>#NAME?</v>
      </c>
      <c r="CZ43" s="45" t="e">
        <f aca="false">BX43*CM43</f>
        <v>#NAME?</v>
      </c>
      <c r="DA43" s="45" t="e">
        <f aca="false">BX43*CN43</f>
        <v>#NAME?</v>
      </c>
      <c r="DB43" s="45" t="e">
        <f aca="false">BX43*CO43</f>
        <v>#NAME?</v>
      </c>
      <c r="DC43" s="45" t="e">
        <f aca="false">BX43*CP43</f>
        <v>#NAME?</v>
      </c>
      <c r="DD43" s="45" t="e">
        <f aca="false">BX43*CQ43</f>
        <v>#NAME?</v>
      </c>
      <c r="DF43" s="9" t="n">
        <f aca="false">IF($A43&gt;=DH$32,IF($A43&lt;=DH$33,$AN43,0),0)</f>
        <v>0</v>
      </c>
      <c r="DG43" s="123" t="n">
        <f aca="false">$B43+$Y43+$F$12</f>
        <v>4.5418</v>
      </c>
      <c r="DH43" s="123" t="n">
        <f aca="false">$B43+$Z43+$F$13</f>
        <v>4.8868</v>
      </c>
      <c r="DI43" s="123" t="n">
        <f aca="false">DG43*DF43</f>
        <v>0</v>
      </c>
      <c r="DJ43" s="123" t="n">
        <f aca="false">DH43*DF43</f>
        <v>0</v>
      </c>
      <c r="DK43" s="156" t="n">
        <f aca="false">($C43*$AA43)+$F$14</f>
        <v>0.516</v>
      </c>
      <c r="DL43" s="156" t="n">
        <f aca="false">($C43*$AB43)+$F$15</f>
        <v>0.5375</v>
      </c>
      <c r="DM43" s="131" t="n">
        <f aca="false">$AC43+$F$16</f>
        <v>0.974</v>
      </c>
      <c r="DN43" s="157" t="n">
        <f aca="false">IF(DF43=0,0,SPRDOPT(DG43,DH43,$AD43,$AM43,DK43,DL43,DM43,$F43,$F$19,0))</f>
        <v>0</v>
      </c>
      <c r="DO43" s="157" t="e">
        <f aca="false">IF(DG43=0,0,SPRDOPT(DG43,DH43,$AD43,$AM43,DK43,DL43,DM43,$F43,$F$19,1))</f>
        <v>#NAME?</v>
      </c>
      <c r="DP43" s="157" t="e">
        <f aca="false">IF(DH43=0,0,SPRDOPT(DG43,DH43,$AD43,$AM43,DK43,DL43,DM43,$F43,$F$19,2))</f>
        <v>#NAME?</v>
      </c>
      <c r="DQ43" s="157" t="n">
        <f aca="false">IF(DI43=0,0,SPRDOPT(DG43,DH43,$AD43,$AM43,DK43,DL43,DM43,$F43,$F$19,3)/100)</f>
        <v>0</v>
      </c>
      <c r="DR43" s="157" t="n">
        <f aca="false">IF(DJ43=0,0,SPRDOPT(DG43,DH43,$AD43,$AM43,DK43,DL43,DM43,$F43,$F$19,4)/100)</f>
        <v>0</v>
      </c>
      <c r="DS43" s="157" t="e">
        <f aca="false">IF(DK43=0,0,SPRDOPT(DG43,DH43,$AD43,$AM43,DK43,DL43,DM43,$F43,$F$19,5)/100)</f>
        <v>#NAME?</v>
      </c>
      <c r="DT43" s="157" t="e">
        <f aca="false">IF(DL43=0,0,SPRDOPT(DG43,DH43,$AD43,$AM43,DK43,DL43,DM43,$F43,$F$19,6)/100)</f>
        <v>#NAME?</v>
      </c>
      <c r="DU43" s="157" t="e">
        <f aca="false">IF(DM43=0,0,SPRDOPT(DG43,DH43,$AD43,$AM43,DK43,DL43,DM43,$F43,$F$19,7)/100)</f>
        <v>#NAME?</v>
      </c>
      <c r="DV43" s="157" t="n">
        <f aca="false">IF(DN43=0,0,SPRDOPT(DG43,DH43,$AD43,$AM43,DK43,DL43,DM43,$F43,$F$19,9)/365)</f>
        <v>0</v>
      </c>
      <c r="DW43" s="157" t="e">
        <f aca="false">DO43+DP43</f>
        <v>#NAME?</v>
      </c>
      <c r="DX43" s="157" t="n">
        <f aca="false">DR43-DQ43</f>
        <v>0</v>
      </c>
      <c r="DY43" s="157" t="e">
        <f aca="false">((DK43/DL43)*DS43)+DT43</f>
        <v>#NAME?</v>
      </c>
      <c r="DZ43" s="44"/>
      <c r="EA43" s="45" t="n">
        <f aca="false">DF43*DN43</f>
        <v>0</v>
      </c>
      <c r="EB43" s="45" t="e">
        <f aca="false">DF43*DO43</f>
        <v>#NAME?</v>
      </c>
      <c r="EC43" s="45" t="e">
        <f aca="false">DF43*DP43</f>
        <v>#NAME?</v>
      </c>
      <c r="ED43" s="45" t="n">
        <f aca="false">DF43*DQ43</f>
        <v>0</v>
      </c>
      <c r="EE43" s="45" t="n">
        <f aca="false">DF43*DR43</f>
        <v>0</v>
      </c>
      <c r="EF43" s="45" t="e">
        <f aca="false">DF43*DS43</f>
        <v>#NAME?</v>
      </c>
      <c r="EG43" s="45" t="e">
        <f aca="false">DF43*DT43</f>
        <v>#NAME?</v>
      </c>
      <c r="EH43" s="45" t="e">
        <f aca="false">DF43*DU43</f>
        <v>#NAME?</v>
      </c>
      <c r="EI43" s="45" t="n">
        <f aca="false">DF43*DV43</f>
        <v>0</v>
      </c>
      <c r="EJ43" s="45" t="e">
        <f aca="false">DF43*DW43</f>
        <v>#NAME?</v>
      </c>
      <c r="EK43" s="45" t="n">
        <f aca="false">DF43*DX43</f>
        <v>0</v>
      </c>
      <c r="EL43" s="45" t="e">
        <f aca="false">DF43*DY43</f>
        <v>#NAME?</v>
      </c>
      <c r="EN43" s="9" t="n">
        <f aca="false">IF($A43&gt;=EP$32,IF($A43&lt;=EP$33,$AN43,0),0)</f>
        <v>31</v>
      </c>
      <c r="EO43" s="123" t="n">
        <f aca="false">$B43+$AF43+$H$12</f>
        <v>4.8568</v>
      </c>
      <c r="EP43" s="123" t="n">
        <f aca="false">$B43+$AG43+$H$13</f>
        <v>4.8868</v>
      </c>
      <c r="EQ43" s="123" t="n">
        <f aca="false">EO43*EN43</f>
        <v>150.5608</v>
      </c>
      <c r="ER43" s="123" t="n">
        <f aca="false">EP43*EN43</f>
        <v>151.4908</v>
      </c>
      <c r="ES43" s="156" t="n">
        <f aca="false">($C43*$AH43)+$H$14</f>
        <v>0.5375</v>
      </c>
      <c r="ET43" s="156" t="n">
        <f aca="false">($C43*$AI43)+$H$15</f>
        <v>0.5375</v>
      </c>
      <c r="EU43" s="131" t="n">
        <f aca="false">$AJ43+$H$16</f>
        <v>0.998</v>
      </c>
      <c r="EV43" s="157" t="e">
        <f aca="false">IF(EN43=0,0,SPRDOPT(EO43,EP43,$AK43,$AM43,ES43,ET43,EU43,$F43,$H$19,0))</f>
        <v>#NAME?</v>
      </c>
      <c r="EW43" s="157" t="e">
        <f aca="false">IF(EO43=0,0,SPRDOPT(EO43,EP43,$AK43,$AM43,ES43,ET43,EU43,$F43,$H$19,1))</f>
        <v>#NAME?</v>
      </c>
      <c r="EX43" s="157" t="e">
        <f aca="false">IF(EP43=0,0,SPRDOPT(EO43,EP43,$AK43,$AM43,ES43,ET43,EU43,$F43,$H$19,2))</f>
        <v>#NAME?</v>
      </c>
      <c r="EY43" s="157" t="e">
        <f aca="false">IF(EQ43=0,0,SPRDOPT(EO43,EP43,$AK43,$AM43,ES43,ET43,EU43,$F43,$H$19,3)/100)</f>
        <v>#NAME?</v>
      </c>
      <c r="EZ43" s="157" t="e">
        <f aca="false">IF(ER43=0,0,SPRDOPT(EO43,EP43,$AK43,$AM43,ES43,ET43,EU43,$F43,$H$19,4)/100)</f>
        <v>#NAME?</v>
      </c>
      <c r="FA43" s="157" t="e">
        <f aca="false">IF(ES43=0,0,SPRDOPT(EO43,EP43,$AK43,$AM43,ES43,ET43,EU43,$F43,$H$19,5)/100)</f>
        <v>#NAME?</v>
      </c>
      <c r="FB43" s="157" t="e">
        <f aca="false">IF(ET43=0,0,SPRDOPT(EO43,EP43,$AK43,$AM43,ES43,ET43,EU43,$F43,$H$19,6)/100)</f>
        <v>#NAME?</v>
      </c>
      <c r="FC43" s="157" t="e">
        <f aca="false">IF(EU43=0,0,SPRDOPT(EO43,EP43,$AK43,$AM43,ES43,ET43,EU43,$F43,$H$19,7)/100)</f>
        <v>#NAME?</v>
      </c>
      <c r="FD43" s="157" t="e">
        <f aca="false">IF(EV43=0,0,SPRDOPT(EO43,EP43,$AK43,$AM43,ES43,ET43,EU43,$F43,$H$19,9)/365)</f>
        <v>#NAME?</v>
      </c>
      <c r="FE43" s="157" t="e">
        <f aca="false">EW43+EX43</f>
        <v>#NAME?</v>
      </c>
      <c r="FF43" s="157" t="e">
        <f aca="false">EZ43-EY43</f>
        <v>#NAME?</v>
      </c>
      <c r="FG43" s="157" t="e">
        <f aca="false">((ES43/ET43)*FA43)+FB43</f>
        <v>#NAME?</v>
      </c>
      <c r="FH43" s="44"/>
      <c r="FI43" s="45" t="e">
        <f aca="false">$EN43*EV43</f>
        <v>#NAME?</v>
      </c>
      <c r="FJ43" s="45" t="e">
        <f aca="false">$EN43*EW43</f>
        <v>#NAME?</v>
      </c>
      <c r="FK43" s="45" t="e">
        <f aca="false">$EN43*EX43</f>
        <v>#NAME?</v>
      </c>
      <c r="FL43" s="45" t="e">
        <f aca="false">$EN43*EY43</f>
        <v>#NAME?</v>
      </c>
      <c r="FM43" s="45" t="e">
        <f aca="false">$EN43*EZ43</f>
        <v>#NAME?</v>
      </c>
      <c r="FN43" s="45" t="e">
        <f aca="false">$EN43*FA43</f>
        <v>#NAME?</v>
      </c>
      <c r="FO43" s="45" t="e">
        <f aca="false">$EN43*FB43</f>
        <v>#NAME?</v>
      </c>
      <c r="FP43" s="45" t="e">
        <f aca="false">$EN43*FC43</f>
        <v>#NAME?</v>
      </c>
      <c r="FQ43" s="45" t="e">
        <f aca="false">$EN43*FD43</f>
        <v>#NAME?</v>
      </c>
      <c r="FR43" s="45" t="e">
        <f aca="false">$EN43*FE43</f>
        <v>#NAME?</v>
      </c>
      <c r="FS43" s="45" t="e">
        <f aca="false">$EN43*FF43</f>
        <v>#NAME?</v>
      </c>
      <c r="FT43" s="45" t="e">
        <f aca="false">$EN43*FG43</f>
        <v>#NAME?</v>
      </c>
    </row>
    <row r="44" customFormat="false" ht="12.75" hidden="false" customHeight="false" outlineLevel="0" collapsed="false">
      <c r="A44" s="48" t="n">
        <f aca="false">DATE(YEAR(A43),MONTH(A43)+1,1)</f>
        <v>36982</v>
      </c>
      <c r="B44" s="40" t="n">
        <f aca="false">VLOOKUP(A44,STRADDLE,5,FALSE())</f>
        <v>4.57071428571429</v>
      </c>
      <c r="C44" s="4" t="n">
        <f aca="false">VLOOKUP(A44,STRADDLE,8,FALSE())</f>
        <v>0.435</v>
      </c>
      <c r="D44" s="40"/>
      <c r="E44" s="131"/>
      <c r="F44" s="136" t="n">
        <f aca="false">VLOOKUP(A44,expiration,2,FALSE())-$B$2</f>
        <v>-8948</v>
      </c>
      <c r="G44" s="4"/>
      <c r="H44" s="4"/>
      <c r="I44" s="41"/>
      <c r="J44" s="154"/>
      <c r="K44" s="40" t="n">
        <f aca="false">IF($B$3="NYMEX",0,VLOOKUP($A44,curvesettle,HLOOKUP($B$3,curvesettle,2,FALSE()),FALSE()))</f>
        <v>0.52</v>
      </c>
      <c r="L44" s="40" t="n">
        <f aca="false">IF($B$4="NYMEX",0,VLOOKUP($A44,curvesettle,HLOOKUP($B$4,curvesettle,2,FALSE()),FALSE()))</f>
        <v>0</v>
      </c>
      <c r="M44" s="131" t="n">
        <f aca="false">IF(ISNUMBER(VLOOKUP($A44,VOLCURVES,HLOOKUP($B$3,VOLCURVES,2,FALSE()),FALSE())),VLOOKUP($A44,VOLCURVES,HLOOKUP($B$3,VOLCURVES,2,FALSE()),FALSE()),1)</f>
        <v>0.98</v>
      </c>
      <c r="N44" s="131" t="n">
        <f aca="false">IF(ISNUMBER(VLOOKUP($A44,VOLCURVES,HLOOKUP($B$4,VOLCURVES,2,FALSE()),FALSE())),VLOOKUP($A44,VOLCURVES,HLOOKUP($B$4,VOLCURVES,2,FALSE()),FALSE()),1)</f>
        <v>1</v>
      </c>
      <c r="O44" s="131" t="n">
        <f aca="false">IF(ISNUMBER(VLOOKUP($A44,CORETABLE,HLOOKUP($B$3,CORETABLE,2,FALSE()),FALSE())),VLOOKUP($A44,CORETABLE,HLOOKUP($B$3,CORETABLE,2,FALSE()),FALSE()),0.99)</f>
        <v>0.9773</v>
      </c>
      <c r="P44" s="155" t="n">
        <f aca="false">B$18</f>
        <v>2</v>
      </c>
      <c r="Q44" s="131"/>
      <c r="R44" s="40" t="n">
        <f aca="false">IF($D$3="NYMEX",0,VLOOKUP($A44,curvesettle,HLOOKUP($D$3,curvesettle,2,FALSE()),FALSE()))</f>
        <v>0.52</v>
      </c>
      <c r="S44" s="40" t="n">
        <f aca="false">IF($D$4="NYMEX",0,VLOOKUP($A44,curvesettle,HLOOKUP($D$4,curvesettle,2,FALSE()),FALSE()))</f>
        <v>0</v>
      </c>
      <c r="T44" s="131" t="n">
        <f aca="false">IF(ISNUMBER(VLOOKUP($A44,VOLCURVES,HLOOKUP($D$3,VOLCURVES,2,FALSE()),FALSE())),VLOOKUP($A44,VOLCURVES,HLOOKUP($D$3,VOLCURVES,2,FALSE()),FALSE()),1)</f>
        <v>0.98</v>
      </c>
      <c r="U44" s="131" t="n">
        <f aca="false">IF(ISNUMBER(VLOOKUP($A44,VOLCURVES,HLOOKUP($D$4,VOLCURVES,2,FALSE()),FALSE())),VLOOKUP($A44,VOLCURVES,HLOOKUP($D$4,VOLCURVES,2,FALSE()),FALSE()),1)</f>
        <v>1</v>
      </c>
      <c r="V44" s="131" t="n">
        <f aca="false">IF(ISNUMBER(VLOOKUP($A44,CORETABLE,HLOOKUP($D$3,CORETABLE,2,FALSE()),FALSE())),VLOOKUP($A44,CORETABLE,HLOOKUP($D$3,CORETABLE,2,FALSE()),FALSE()),0.99)</f>
        <v>0.9773</v>
      </c>
      <c r="W44" s="155" t="n">
        <f aca="false">D$18</f>
        <v>2.5</v>
      </c>
      <c r="X44" s="131"/>
      <c r="Y44" s="40" t="n">
        <f aca="false">IF($F$3="NYMEX",0,VLOOKUP($A44,curvesettle,HLOOKUP($F$3,curvesettle,2,FALSE()),FALSE()))</f>
        <v>-0.5375</v>
      </c>
      <c r="Z44" s="40" t="n">
        <f aca="false">IF($F$4="NYMEX",0,VLOOKUP($A44,curvesettle,HLOOKUP($F$4,curvesettle,2,FALSE()),FALSE()))</f>
        <v>0</v>
      </c>
      <c r="AA44" s="131" t="n">
        <f aca="false">IF(ISNUMBER(VLOOKUP($A44,VOLCURVES,HLOOKUP($F$3,VOLCURVES,2,FALSE()),FALSE())),VLOOKUP($A44,VOLCURVES,HLOOKUP($F$3,VOLCURVES,2,FALSE()),FALSE()),1)</f>
        <v>0.97</v>
      </c>
      <c r="AB44" s="131" t="n">
        <f aca="false">IF(ISNUMBER(VLOOKUP($A44,VOLCURVES,HLOOKUP($F$4,VOLCURVES,2,FALSE()),FALSE())),VLOOKUP($A44,VOLCURVES,HLOOKUP($F$4,VOLCURVES,2,FALSE()),FALSE()),1)</f>
        <v>1</v>
      </c>
      <c r="AC44" s="131" t="n">
        <f aca="false">IF(ISNUMBER(VLOOKUP($A44,CORETABLE,HLOOKUP($F$3,CORETABLE,2,FALSE()),FALSE())),VLOOKUP($A44,CORETABLE,HLOOKUP($F$3,CORETABLE,2,FALSE()),FALSE()),1)</f>
        <v>0.96</v>
      </c>
      <c r="AD44" s="155" t="n">
        <f aca="false">F$18</f>
        <v>-0.05</v>
      </c>
      <c r="AE44" s="131"/>
      <c r="AF44" s="40" t="n">
        <f aca="false">IF($H$3="NYMEX",0,VLOOKUP($A44,curvesettle,HLOOKUP($H$3,curvesettle,2,FALSE()),FALSE()))</f>
        <v>0.0125</v>
      </c>
      <c r="AG44" s="40" t="n">
        <f aca="false">IF($H$4="NYMEX",0,VLOOKUP($A44,curvesettle,HLOOKUP($H$4,curvesettle,2,FALSE()),FALSE()))</f>
        <v>0</v>
      </c>
      <c r="AH44" s="131" t="n">
        <f aca="false">IF(ISNUMBER(VLOOKUP($A44,VOLCURVES,HLOOKUP($H$3,VOLCURVES,2,FALSE()),FALSE())),VLOOKUP($A44,VOLCURVES,HLOOKUP($H$3,VOLCURVES,2,FALSE()),FALSE()),1)</f>
        <v>1</v>
      </c>
      <c r="AI44" s="131" t="n">
        <f aca="false">IF(ISNUMBER(VLOOKUP($A44,VOLCURVES,HLOOKUP($H$4,VOLCURVES,2,FALSE()),FALSE())),VLOOKUP($A44,VOLCURVES,HLOOKUP($H$4,VOLCURVES,2,FALSE()),FALSE()),1)</f>
        <v>1</v>
      </c>
      <c r="AJ44" s="131" t="n">
        <f aca="false">IF(ISNUMBER(VLOOKUP($A44,CORETABLE,HLOOKUP($H$3,CORETABLE,2,FALSE()),FALSE())),VLOOKUP($A44,CORETABLE,HLOOKUP($H$3,CORETABLE,2,FALSE()),FALSE()),1)</f>
        <v>0.999</v>
      </c>
      <c r="AK44" s="155" t="n">
        <f aca="false">H$18</f>
        <v>-0.05</v>
      </c>
      <c r="AM44" s="4" t="n">
        <f aca="false">VLOOKUP($A44,STRADDLE,12,FALSE())</f>
        <v>0.068254674043478</v>
      </c>
      <c r="AN44" s="43" t="n">
        <f aca="false">A45-A44</f>
        <v>30</v>
      </c>
      <c r="AP44" s="9" t="n">
        <f aca="false">IF($A44&gt;=AR$32,IF($A44&lt;=AR$33,$AN44,0),0)</f>
        <v>0</v>
      </c>
      <c r="AQ44" s="123" t="n">
        <f aca="false">$B44+$K44+$B$12</f>
        <v>5.12071428571429</v>
      </c>
      <c r="AR44" s="123" t="n">
        <f aca="false">$B44+$L44+$B$13</f>
        <v>4.57071428571429</v>
      </c>
      <c r="AS44" s="123" t="n">
        <f aca="false">AQ44*AP44</f>
        <v>0</v>
      </c>
      <c r="AT44" s="123" t="n">
        <f aca="false">AR44*AP44</f>
        <v>0</v>
      </c>
      <c r="AU44" s="156" t="n">
        <f aca="false">($C44*$M44)+$B$14</f>
        <v>0.4263</v>
      </c>
      <c r="AV44" s="156" t="n">
        <f aca="false">($C44*$N44)+$B$15</f>
        <v>0.435</v>
      </c>
      <c r="AW44" s="131" t="n">
        <f aca="false">O44+B$16</f>
        <v>0.9773</v>
      </c>
      <c r="AX44" s="157" t="n">
        <f aca="false">IF(AP44=0,0,SPRDOPT(AQ44,AR44,$P44,$AM44,AU44,AV44,AW44,$F44,$B$19,0))</f>
        <v>0</v>
      </c>
      <c r="AY44" s="157" t="e">
        <f aca="false">IF(AQ44=0,0,SPRDOPT(AQ44,AR44,$P44,$AM44,AU44,AV44,AW44,$F44,$B$19,1))</f>
        <v>#NAME?</v>
      </c>
      <c r="AZ44" s="157" t="e">
        <f aca="false">IF(AR44=0,0,SPRDOPT(AQ44,AR44,$P44,$AM44,AU44,AV44,AW44,$F44,$B$19,2))</f>
        <v>#NAME?</v>
      </c>
      <c r="BA44" s="157" t="n">
        <f aca="false">IF(AS44=0,0,SPRDOPT(AQ44,AR44,$P44,$AM44,AU44,AV44,AW44,$F44,$B$19,3)/100)</f>
        <v>0</v>
      </c>
      <c r="BB44" s="157" t="n">
        <f aca="false">IF(AT44=0,0,SPRDOPT(AQ44,AR44,$P44,$AM44,AU44,AV44,AW44,$F44,$B$19,4)/100)</f>
        <v>0</v>
      </c>
      <c r="BC44" s="157" t="e">
        <f aca="false">IF(AU44=0,0,SPRDOPT(AQ44,AR44,$P44,$AM44,AU44,AV44,AW44,$F44,$B$19,5)/100)</f>
        <v>#NAME?</v>
      </c>
      <c r="BD44" s="157" t="e">
        <f aca="false">IF(AV44=0,0,SPRDOPT(AQ44,AR44,$P44,$AM44,AU44,AV44,AW44,$F44,$B$19,6)/100)</f>
        <v>#NAME?</v>
      </c>
      <c r="BE44" s="157" t="e">
        <f aca="false">IF(AW44=0,0,SPRDOPT(AQ44,AR44,$P44,$AM44,AU44,AV44,AW44,$F44,$B$19,7)/100)</f>
        <v>#NAME?</v>
      </c>
      <c r="BF44" s="157" t="n">
        <f aca="false">IF(AX44=0,0,SPRDOPT(AQ44,AR44,$P44,$AM44,AU44,AV44,AW44,$F44,$B$19,9)/365)</f>
        <v>0</v>
      </c>
      <c r="BG44" s="157" t="e">
        <f aca="false">AY44+AZ44</f>
        <v>#NAME?</v>
      </c>
      <c r="BH44" s="157" t="n">
        <f aca="false">BB44-BA44</f>
        <v>0</v>
      </c>
      <c r="BI44" s="157" t="e">
        <f aca="false">((AU44/AV44)*BC44)+BD44</f>
        <v>#NAME?</v>
      </c>
      <c r="BJ44" s="44"/>
      <c r="BK44" s="45" t="n">
        <f aca="false">$AP44*AX44</f>
        <v>0</v>
      </c>
      <c r="BL44" s="45" t="e">
        <f aca="false">$AP44*AY44</f>
        <v>#NAME?</v>
      </c>
      <c r="BM44" s="45" t="e">
        <f aca="false">$AP44*AZ44</f>
        <v>#NAME?</v>
      </c>
      <c r="BN44" s="45" t="n">
        <f aca="false">$AP44*BA44</f>
        <v>0</v>
      </c>
      <c r="BO44" s="45" t="n">
        <f aca="false">$AP44*BB44</f>
        <v>0</v>
      </c>
      <c r="BP44" s="45" t="e">
        <f aca="false">$AP44*BC44</f>
        <v>#NAME?</v>
      </c>
      <c r="BQ44" s="45" t="e">
        <f aca="false">$AP44*BD44</f>
        <v>#NAME?</v>
      </c>
      <c r="BR44" s="45" t="e">
        <f aca="false">$AP44*BE44</f>
        <v>#NAME?</v>
      </c>
      <c r="BS44" s="45" t="n">
        <f aca="false">$AP44*BF44</f>
        <v>0</v>
      </c>
      <c r="BT44" s="45" t="e">
        <f aca="false">$AP44*BG44</f>
        <v>#NAME?</v>
      </c>
      <c r="BU44" s="45" t="n">
        <f aca="false">$AP44*BH44</f>
        <v>0</v>
      </c>
      <c r="BV44" s="45" t="e">
        <f aca="false">$AP44*BI44</f>
        <v>#NAME?</v>
      </c>
      <c r="BX44" s="9" t="n">
        <f aca="false">IF($A44&gt;=BZ$32,IF($A44&lt;=BZ$33,$AN44,0),0)</f>
        <v>0</v>
      </c>
      <c r="BY44" s="123" t="n">
        <f aca="false">$B44+$R44+$D$12</f>
        <v>5.12071428571429</v>
      </c>
      <c r="BZ44" s="123" t="n">
        <f aca="false">$B44+$S44+$D$13</f>
        <v>4.57071428571429</v>
      </c>
      <c r="CA44" s="123" t="n">
        <f aca="false">BY44*BX44</f>
        <v>0</v>
      </c>
      <c r="CB44" s="123" t="n">
        <f aca="false">BZ44*BX44</f>
        <v>0</v>
      </c>
      <c r="CC44" s="156" t="n">
        <f aca="false">($C44*$T44)+$D$14</f>
        <v>0.4263</v>
      </c>
      <c r="CD44" s="156" t="n">
        <f aca="false">($C44*$U44)+$D$15</f>
        <v>0.435</v>
      </c>
      <c r="CE44" s="131" t="n">
        <f aca="false">$V44+D$16</f>
        <v>0.9773</v>
      </c>
      <c r="CF44" s="157" t="n">
        <f aca="false">IF(BX44=0,0,SPRDOPT(BY44,BZ44,$W44,$AM44,CC44,CD44,CE44,$F44,$D$19,0))</f>
        <v>0</v>
      </c>
      <c r="CG44" s="157" t="e">
        <f aca="false">IF(BY44=0,0,SPRDOPT(BY44,BZ44,$W44,$AM44,CC44,CD44,CE44,$F44,$D$19,1))</f>
        <v>#NAME?</v>
      </c>
      <c r="CH44" s="157" t="e">
        <f aca="false">IF(BZ44=0,0,SPRDOPT(BY44,BZ44,$W44,$AM44,CC44,CD44,CE44,$F44,$D$19,2))</f>
        <v>#NAME?</v>
      </c>
      <c r="CI44" s="157" t="n">
        <f aca="false">IF(CA44=0,0,SPRDOPT(BY44,BZ44,$W44,$AM44,CC44,CD44,CE44,$F44,$D$19,3)/100)</f>
        <v>0</v>
      </c>
      <c r="CJ44" s="157" t="n">
        <f aca="false">IF(CB44=0,0,SPRDOPT(BY44,BZ44,$W44,$AM44,CC44,CD44,CE44,$F44,$D$19,4)/100)</f>
        <v>0</v>
      </c>
      <c r="CK44" s="157" t="e">
        <f aca="false">IF(CC44=0,0,SPRDOPT(BY44,BZ44,$W44,$AM44,CC44,CD44,CE44,$F44,$D$19,5)/100)</f>
        <v>#NAME?</v>
      </c>
      <c r="CL44" s="157" t="e">
        <f aca="false">IF(CD44=0,0,SPRDOPT(BY44,BZ44,$W44,$AM44,CC44,CD44,CE44,$F44,$D$19,6)/100)</f>
        <v>#NAME?</v>
      </c>
      <c r="CM44" s="157" t="e">
        <f aca="false">IF(CE44=0,0,SPRDOPT(BY44,BZ44,$W44,$AM44,CC44,CD44,CE44,$F44,$D$19,7)/100)</f>
        <v>#NAME?</v>
      </c>
      <c r="CN44" s="157" t="n">
        <f aca="false">IF(CF44=0,0,SPRDOPT(BY44,BZ44,$W44,$AM44,CC44,CD44,CE44,$F44,$D$19,9)/365)</f>
        <v>0</v>
      </c>
      <c r="CO44" s="157" t="e">
        <f aca="false">CG44+CH44</f>
        <v>#NAME?</v>
      </c>
      <c r="CP44" s="157" t="n">
        <f aca="false">CJ44-CI44</f>
        <v>0</v>
      </c>
      <c r="CQ44" s="157" t="e">
        <f aca="false">((CC44/CD44)*CK44)+CL44</f>
        <v>#NAME?</v>
      </c>
      <c r="CR44" s="44"/>
      <c r="CS44" s="45" t="n">
        <f aca="false">BX44*CF44</f>
        <v>0</v>
      </c>
      <c r="CT44" s="45" t="e">
        <f aca="false">BX44*CG44</f>
        <v>#NAME?</v>
      </c>
      <c r="CU44" s="45" t="e">
        <f aca="false">BX44*CH44</f>
        <v>#NAME?</v>
      </c>
      <c r="CV44" s="45" t="n">
        <f aca="false">BX44*CI44</f>
        <v>0</v>
      </c>
      <c r="CW44" s="45" t="n">
        <f aca="false">BX44*CJ44</f>
        <v>0</v>
      </c>
      <c r="CX44" s="45" t="e">
        <f aca="false">BX44*CK44</f>
        <v>#NAME?</v>
      </c>
      <c r="CY44" s="45" t="e">
        <f aca="false">BX44*CL44</f>
        <v>#NAME?</v>
      </c>
      <c r="CZ44" s="45" t="e">
        <f aca="false">BX44*CM44</f>
        <v>#NAME?</v>
      </c>
      <c r="DA44" s="45" t="n">
        <f aca="false">BX44*CN44</f>
        <v>0</v>
      </c>
      <c r="DB44" s="45" t="e">
        <f aca="false">BX44*CO44</f>
        <v>#NAME?</v>
      </c>
      <c r="DC44" s="45" t="n">
        <f aca="false">BX44*CP44</f>
        <v>0</v>
      </c>
      <c r="DD44" s="45" t="e">
        <f aca="false">BX44*CQ44</f>
        <v>#NAME?</v>
      </c>
      <c r="DF44" s="9" t="n">
        <f aca="false">IF($A44&gt;=DH$32,IF($A44&lt;=DH$33,$AN44,0),0)</f>
        <v>30</v>
      </c>
      <c r="DG44" s="123" t="n">
        <f aca="false">$B44+$Y44+$F$12</f>
        <v>4.03821428571429</v>
      </c>
      <c r="DH44" s="123" t="n">
        <f aca="false">$B44+$Z44+$F$13</f>
        <v>4.57071428571429</v>
      </c>
      <c r="DI44" s="123" t="n">
        <f aca="false">DG44*DF44</f>
        <v>121.146428571429</v>
      </c>
      <c r="DJ44" s="123" t="n">
        <f aca="false">DH44*DF44</f>
        <v>137.121428571429</v>
      </c>
      <c r="DK44" s="156" t="n">
        <f aca="false">($C44*$AA44)+$F$14</f>
        <v>0.42195</v>
      </c>
      <c r="DL44" s="156" t="n">
        <f aca="false">($C44*$AB44)+$F$15</f>
        <v>0.435</v>
      </c>
      <c r="DM44" s="131" t="n">
        <f aca="false">$AC44+$F$16</f>
        <v>0.974</v>
      </c>
      <c r="DN44" s="157" t="e">
        <f aca="false">IF(DF44=0,0,SPRDOPT(DG44,DH44,$AD44,$AM44,DK44,DL44,DM44,$F44,$F$19,0))</f>
        <v>#NAME?</v>
      </c>
      <c r="DO44" s="157" t="e">
        <f aca="false">IF(DG44=0,0,SPRDOPT(DG44,DH44,$AD44,$AM44,DK44,DL44,DM44,$F44,$F$19,1))</f>
        <v>#NAME?</v>
      </c>
      <c r="DP44" s="157" t="e">
        <f aca="false">IF(DH44=0,0,SPRDOPT(DG44,DH44,$AD44,$AM44,DK44,DL44,DM44,$F44,$F$19,2))</f>
        <v>#NAME?</v>
      </c>
      <c r="DQ44" s="157" t="e">
        <f aca="false">IF(DI44=0,0,SPRDOPT(DG44,DH44,$AD44,$AM44,DK44,DL44,DM44,$F44,$F$19,3)/100)</f>
        <v>#NAME?</v>
      </c>
      <c r="DR44" s="157" t="e">
        <f aca="false">IF(DJ44=0,0,SPRDOPT(DG44,DH44,$AD44,$AM44,DK44,DL44,DM44,$F44,$F$19,4)/100)</f>
        <v>#NAME?</v>
      </c>
      <c r="DS44" s="157" t="e">
        <f aca="false">IF(DK44=0,0,SPRDOPT(DG44,DH44,$AD44,$AM44,DK44,DL44,DM44,$F44,$F$19,5)/100)</f>
        <v>#NAME?</v>
      </c>
      <c r="DT44" s="157" t="e">
        <f aca="false">IF(DL44=0,0,SPRDOPT(DG44,DH44,$AD44,$AM44,DK44,DL44,DM44,$F44,$F$19,6)/100)</f>
        <v>#NAME?</v>
      </c>
      <c r="DU44" s="157" t="e">
        <f aca="false">IF(DM44=0,0,SPRDOPT(DG44,DH44,$AD44,$AM44,DK44,DL44,DM44,$F44,$F$19,7)/100)</f>
        <v>#NAME?</v>
      </c>
      <c r="DV44" s="157" t="e">
        <f aca="false">IF(DN44=0,0,SPRDOPT(DG44,DH44,$AD44,$AM44,DK44,DL44,DM44,$F44,$F$19,9)/365)</f>
        <v>#NAME?</v>
      </c>
      <c r="DW44" s="157" t="e">
        <f aca="false">DO44+DP44</f>
        <v>#NAME?</v>
      </c>
      <c r="DX44" s="157" t="e">
        <f aca="false">DR44-DQ44</f>
        <v>#NAME?</v>
      </c>
      <c r="DY44" s="157" t="e">
        <f aca="false">((DK44/DL44)*DS44)+DT44</f>
        <v>#NAME?</v>
      </c>
      <c r="DZ44" s="44"/>
      <c r="EA44" s="45" t="e">
        <f aca="false">DF44*DN44</f>
        <v>#NAME?</v>
      </c>
      <c r="EB44" s="45" t="e">
        <f aca="false">DF44*DO44</f>
        <v>#NAME?</v>
      </c>
      <c r="EC44" s="45" t="e">
        <f aca="false">DF44*DP44</f>
        <v>#NAME?</v>
      </c>
      <c r="ED44" s="45" t="e">
        <f aca="false">DF44*DQ44</f>
        <v>#NAME?</v>
      </c>
      <c r="EE44" s="45" t="e">
        <f aca="false">DF44*DR44</f>
        <v>#NAME?</v>
      </c>
      <c r="EF44" s="45" t="e">
        <f aca="false">DF44*DS44</f>
        <v>#NAME?</v>
      </c>
      <c r="EG44" s="45" t="e">
        <f aca="false">DF44*DT44</f>
        <v>#NAME?</v>
      </c>
      <c r="EH44" s="45" t="e">
        <f aca="false">DF44*DU44</f>
        <v>#NAME?</v>
      </c>
      <c r="EI44" s="45" t="e">
        <f aca="false">DF44*DV44</f>
        <v>#NAME?</v>
      </c>
      <c r="EJ44" s="45" t="e">
        <f aca="false">DF44*DW44</f>
        <v>#NAME?</v>
      </c>
      <c r="EK44" s="45" t="e">
        <f aca="false">DF44*DX44</f>
        <v>#NAME?</v>
      </c>
      <c r="EL44" s="45" t="e">
        <f aca="false">DF44*DY44</f>
        <v>#NAME?</v>
      </c>
      <c r="EN44" s="9" t="n">
        <f aca="false">IF($A44&gt;=EP$32,IF($A44&lt;=EP$33,$AN44,0),0)</f>
        <v>0</v>
      </c>
      <c r="EO44" s="123" t="n">
        <f aca="false">$B44+$AF44+$H$12</f>
        <v>4.58321428571429</v>
      </c>
      <c r="EP44" s="123" t="n">
        <f aca="false">$B44+$AG44+$H$13</f>
        <v>4.57071428571429</v>
      </c>
      <c r="EQ44" s="123" t="n">
        <f aca="false">EO44*EN44</f>
        <v>0</v>
      </c>
      <c r="ER44" s="123" t="n">
        <f aca="false">EP44*EN44</f>
        <v>0</v>
      </c>
      <c r="ES44" s="156" t="n">
        <f aca="false">($C44*$AH44)+$H$14</f>
        <v>0.435</v>
      </c>
      <c r="ET44" s="156" t="n">
        <f aca="false">($C44*$AI44)+$H$15</f>
        <v>0.435</v>
      </c>
      <c r="EU44" s="131" t="n">
        <f aca="false">$AJ44+$H$16</f>
        <v>0.998</v>
      </c>
      <c r="EV44" s="157" t="n">
        <f aca="false">IF(EN44=0,0,SPRDOPT(EO44,EP44,$AK44,$AM44,ES44,ET44,EU44,$F44,$H$19,0))</f>
        <v>0</v>
      </c>
      <c r="EW44" s="157" t="e">
        <f aca="false">IF(EO44=0,0,SPRDOPT(EO44,EP44,$AK44,$AM44,ES44,ET44,EU44,$F44,$H$19,1))</f>
        <v>#NAME?</v>
      </c>
      <c r="EX44" s="157" t="e">
        <f aca="false">IF(EP44=0,0,SPRDOPT(EO44,EP44,$AK44,$AM44,ES44,ET44,EU44,$F44,$H$19,2))</f>
        <v>#NAME?</v>
      </c>
      <c r="EY44" s="157" t="n">
        <f aca="false">IF(EQ44=0,0,SPRDOPT(EO44,EP44,$AK44,$AM44,ES44,ET44,EU44,$F44,$H$19,3)/100)</f>
        <v>0</v>
      </c>
      <c r="EZ44" s="157" t="n">
        <f aca="false">IF(ER44=0,0,SPRDOPT(EO44,EP44,$AK44,$AM44,ES44,ET44,EU44,$F44,$H$19,4)/100)</f>
        <v>0</v>
      </c>
      <c r="FA44" s="157" t="e">
        <f aca="false">IF(ES44=0,0,SPRDOPT(EO44,EP44,$AK44,$AM44,ES44,ET44,EU44,$F44,$H$19,5)/100)</f>
        <v>#NAME?</v>
      </c>
      <c r="FB44" s="157" t="e">
        <f aca="false">IF(ET44=0,0,SPRDOPT(EO44,EP44,$AK44,$AM44,ES44,ET44,EU44,$F44,$H$19,6)/100)</f>
        <v>#NAME?</v>
      </c>
      <c r="FC44" s="157" t="e">
        <f aca="false">IF(EU44=0,0,SPRDOPT(EO44,EP44,$AK44,$AM44,ES44,ET44,EU44,$F44,$H$19,7)/100)</f>
        <v>#NAME?</v>
      </c>
      <c r="FD44" s="157" t="n">
        <f aca="false">IF(EV44=0,0,SPRDOPT(EO44,EP44,$AK44,$AM44,ES44,ET44,EU44,$F44,$H$19,9)/365)</f>
        <v>0</v>
      </c>
      <c r="FE44" s="157" t="e">
        <f aca="false">EW44+EX44</f>
        <v>#NAME?</v>
      </c>
      <c r="FF44" s="157" t="n">
        <f aca="false">EZ44-EY44</f>
        <v>0</v>
      </c>
      <c r="FG44" s="157" t="e">
        <f aca="false">((ES44/ET44)*FA44)+FB44</f>
        <v>#NAME?</v>
      </c>
      <c r="FH44" s="44"/>
      <c r="FI44" s="45" t="n">
        <f aca="false">$EN44*EV44</f>
        <v>0</v>
      </c>
      <c r="FJ44" s="45" t="e">
        <f aca="false">$EN44*EW44</f>
        <v>#NAME?</v>
      </c>
      <c r="FK44" s="45" t="e">
        <f aca="false">$EN44*EX44</f>
        <v>#NAME?</v>
      </c>
      <c r="FL44" s="45" t="n">
        <f aca="false">$EN44*EY44</f>
        <v>0</v>
      </c>
      <c r="FM44" s="45" t="n">
        <f aca="false">$EN44*EZ44</f>
        <v>0</v>
      </c>
      <c r="FN44" s="45" t="e">
        <f aca="false">$EN44*FA44</f>
        <v>#NAME?</v>
      </c>
      <c r="FO44" s="45" t="e">
        <f aca="false">$EN44*FB44</f>
        <v>#NAME?</v>
      </c>
      <c r="FP44" s="45" t="e">
        <f aca="false">$EN44*FC44</f>
        <v>#NAME?</v>
      </c>
      <c r="FQ44" s="45" t="n">
        <f aca="false">$EN44*FD44</f>
        <v>0</v>
      </c>
      <c r="FR44" s="45" t="e">
        <f aca="false">$EN44*FE44</f>
        <v>#NAME?</v>
      </c>
      <c r="FS44" s="45" t="n">
        <f aca="false">$EN44*FF44</f>
        <v>0</v>
      </c>
      <c r="FT44" s="45" t="e">
        <f aca="false">$EN44*FG44</f>
        <v>#NAME?</v>
      </c>
    </row>
    <row r="45" customFormat="false" ht="12.75" hidden="false" customHeight="false" outlineLevel="0" collapsed="false">
      <c r="A45" s="48" t="n">
        <f aca="false">DATE(YEAR(A44),MONTH(A44)+1,1)</f>
        <v>37012</v>
      </c>
      <c r="B45" s="40" t="n">
        <f aca="false">VLOOKUP(A45,STRADDLE,5,FALSE())</f>
        <v>4.46571428571429</v>
      </c>
      <c r="C45" s="4" t="n">
        <f aca="false">VLOOKUP(A45,STRADDLE,8,FALSE())</f>
        <v>0.3975</v>
      </c>
      <c r="D45" s="40"/>
      <c r="E45" s="131"/>
      <c r="F45" s="136" t="n">
        <f aca="false">VLOOKUP(A45,expiration,2,FALSE())-$B$2</f>
        <v>-8919</v>
      </c>
      <c r="G45" s="4"/>
      <c r="H45" s="4"/>
      <c r="I45" s="41"/>
      <c r="J45" s="154"/>
      <c r="K45" s="40" t="n">
        <f aca="false">IF($B$3="NYMEX",0,VLOOKUP($A45,curvesettle,HLOOKUP($B$3,curvesettle,2,FALSE()),FALSE()))</f>
        <v>0.405</v>
      </c>
      <c r="L45" s="40" t="n">
        <f aca="false">IF($B$4="NYMEX",0,VLOOKUP($A45,curvesettle,HLOOKUP($B$4,curvesettle,2,FALSE()),FALSE()))</f>
        <v>0</v>
      </c>
      <c r="M45" s="131" t="n">
        <f aca="false">IF(ISNUMBER(VLOOKUP($A45,VOLCURVES,HLOOKUP($B$3,VOLCURVES,2,FALSE()),FALSE())),VLOOKUP($A45,VOLCURVES,HLOOKUP($B$3,VOLCURVES,2,FALSE()),FALSE()),1)</f>
        <v>0.98</v>
      </c>
      <c r="N45" s="131" t="n">
        <f aca="false">IF(ISNUMBER(VLOOKUP($A45,VOLCURVES,HLOOKUP($B$4,VOLCURVES,2,FALSE()),FALSE())),VLOOKUP($A45,VOLCURVES,HLOOKUP($B$4,VOLCURVES,2,FALSE()),FALSE()),1)</f>
        <v>1</v>
      </c>
      <c r="O45" s="131" t="n">
        <f aca="false">IF(ISNUMBER(VLOOKUP($A45,CORETABLE,HLOOKUP($B$3,CORETABLE,2,FALSE()),FALSE())),VLOOKUP($A45,CORETABLE,HLOOKUP($B$3,CORETABLE,2,FALSE()),FALSE()),0.99)</f>
        <v>0.9773</v>
      </c>
      <c r="P45" s="155" t="n">
        <f aca="false">B$18</f>
        <v>2</v>
      </c>
      <c r="Q45" s="131"/>
      <c r="R45" s="40" t="n">
        <f aca="false">IF($D$3="NYMEX",0,VLOOKUP($A45,curvesettle,HLOOKUP($D$3,curvesettle,2,FALSE()),FALSE()))</f>
        <v>0.405</v>
      </c>
      <c r="S45" s="40" t="n">
        <f aca="false">IF($D$4="NYMEX",0,VLOOKUP($A45,curvesettle,HLOOKUP($D$4,curvesettle,2,FALSE()),FALSE()))</f>
        <v>0</v>
      </c>
      <c r="T45" s="131" t="n">
        <f aca="false">IF(ISNUMBER(VLOOKUP($A45,VOLCURVES,HLOOKUP($D$3,VOLCURVES,2,FALSE()),FALSE())),VLOOKUP($A45,VOLCURVES,HLOOKUP($D$3,VOLCURVES,2,FALSE()),FALSE()),1)</f>
        <v>0.98</v>
      </c>
      <c r="U45" s="131" t="n">
        <f aca="false">IF(ISNUMBER(VLOOKUP($A45,VOLCURVES,HLOOKUP($D$4,VOLCURVES,2,FALSE()),FALSE())),VLOOKUP($A45,VOLCURVES,HLOOKUP($D$4,VOLCURVES,2,FALSE()),FALSE()),1)</f>
        <v>1</v>
      </c>
      <c r="V45" s="131" t="n">
        <f aca="false">IF(ISNUMBER(VLOOKUP($A45,CORETABLE,HLOOKUP($D$3,CORETABLE,2,FALSE()),FALSE())),VLOOKUP($A45,CORETABLE,HLOOKUP($D$3,CORETABLE,2,FALSE()),FALSE()),0.99)</f>
        <v>0.9773</v>
      </c>
      <c r="W45" s="155" t="n">
        <f aca="false">D$18</f>
        <v>2.5</v>
      </c>
      <c r="X45" s="131"/>
      <c r="Y45" s="40" t="n">
        <f aca="false">IF($F$3="NYMEX",0,VLOOKUP($A45,curvesettle,HLOOKUP($F$3,curvesettle,2,FALSE()),FALSE()))</f>
        <v>-0.5375</v>
      </c>
      <c r="Z45" s="40" t="n">
        <f aca="false">IF($F$4="NYMEX",0,VLOOKUP($A45,curvesettle,HLOOKUP($F$4,curvesettle,2,FALSE()),FALSE()))</f>
        <v>0</v>
      </c>
      <c r="AA45" s="131" t="n">
        <f aca="false">IF(ISNUMBER(VLOOKUP($A45,VOLCURVES,HLOOKUP($F$3,VOLCURVES,2,FALSE()),FALSE())),VLOOKUP($A45,VOLCURVES,HLOOKUP($F$3,VOLCURVES,2,FALSE()),FALSE()),1)</f>
        <v>0.97</v>
      </c>
      <c r="AB45" s="131" t="n">
        <f aca="false">IF(ISNUMBER(VLOOKUP($A45,VOLCURVES,HLOOKUP($F$4,VOLCURVES,2,FALSE()),FALSE())),VLOOKUP($A45,VOLCURVES,HLOOKUP($F$4,VOLCURVES,2,FALSE()),FALSE()),1)</f>
        <v>1</v>
      </c>
      <c r="AC45" s="131" t="n">
        <f aca="false">IF(ISNUMBER(VLOOKUP($A45,CORETABLE,HLOOKUP($F$3,CORETABLE,2,FALSE()),FALSE())),VLOOKUP($A45,CORETABLE,HLOOKUP($F$3,CORETABLE,2,FALSE()),FALSE()),1)</f>
        <v>0.96</v>
      </c>
      <c r="AD45" s="155" t="n">
        <f aca="false">F$18</f>
        <v>-0.05</v>
      </c>
      <c r="AE45" s="131"/>
      <c r="AF45" s="40" t="n">
        <f aca="false">IF($H$3="NYMEX",0,VLOOKUP($A45,curvesettle,HLOOKUP($H$3,curvesettle,2,FALSE()),FALSE()))</f>
        <v>0.015</v>
      </c>
      <c r="AG45" s="40" t="n">
        <f aca="false">IF($H$4="NYMEX",0,VLOOKUP($A45,curvesettle,HLOOKUP($H$4,curvesettle,2,FALSE()),FALSE()))</f>
        <v>0</v>
      </c>
      <c r="AH45" s="131" t="n">
        <f aca="false">IF(ISNUMBER(VLOOKUP($A45,VOLCURVES,HLOOKUP($H$3,VOLCURVES,2,FALSE()),FALSE())),VLOOKUP($A45,VOLCURVES,HLOOKUP($H$3,VOLCURVES,2,FALSE()),FALSE()),1)</f>
        <v>1</v>
      </c>
      <c r="AI45" s="131" t="n">
        <f aca="false">IF(ISNUMBER(VLOOKUP($A45,VOLCURVES,HLOOKUP($H$4,VOLCURVES,2,FALSE()),FALSE())),VLOOKUP($A45,VOLCURVES,HLOOKUP($H$4,VOLCURVES,2,FALSE()),FALSE()),1)</f>
        <v>1</v>
      </c>
      <c r="AJ45" s="131" t="n">
        <f aca="false">IF(ISNUMBER(VLOOKUP($A45,CORETABLE,HLOOKUP($H$3,CORETABLE,2,FALSE()),FALSE())),VLOOKUP($A45,CORETABLE,HLOOKUP($H$3,CORETABLE,2,FALSE()),FALSE()),1)</f>
        <v>0.999</v>
      </c>
      <c r="AK45" s="155" t="n">
        <f aca="false">H$18</f>
        <v>-0.05</v>
      </c>
      <c r="AM45" s="4" t="n">
        <f aca="false">VLOOKUP($A45,STRADDLE,12,FALSE())</f>
        <v>0.068096132754615</v>
      </c>
      <c r="AN45" s="43" t="n">
        <f aca="false">A46-A45</f>
        <v>31</v>
      </c>
      <c r="AP45" s="9" t="n">
        <f aca="false">IF($A45&gt;=AR$32,IF($A45&lt;=AR$33,$AN45,0),0)</f>
        <v>0</v>
      </c>
      <c r="AQ45" s="123" t="n">
        <f aca="false">$B45+$K45+$B$12</f>
        <v>4.90071428571429</v>
      </c>
      <c r="AR45" s="123" t="n">
        <f aca="false">$B45+$L45+$B$13</f>
        <v>4.46571428571429</v>
      </c>
      <c r="AS45" s="123" t="n">
        <f aca="false">AQ45*AP45</f>
        <v>0</v>
      </c>
      <c r="AT45" s="123" t="n">
        <f aca="false">AR45*AP45</f>
        <v>0</v>
      </c>
      <c r="AU45" s="156" t="n">
        <f aca="false">($C45*$M45)+$B$14</f>
        <v>0.38955</v>
      </c>
      <c r="AV45" s="156" t="n">
        <f aca="false">($C45*$N45)+$B$15</f>
        <v>0.3975</v>
      </c>
      <c r="AW45" s="131" t="n">
        <f aca="false">O45+B$16</f>
        <v>0.9773</v>
      </c>
      <c r="AX45" s="157" t="n">
        <f aca="false">IF(AP45=0,0,SPRDOPT(AQ45,AR45,$P45,$AM45,AU45,AV45,AW45,$F45,$B$19,0))</f>
        <v>0</v>
      </c>
      <c r="AY45" s="157" t="e">
        <f aca="false">IF(AQ45=0,0,SPRDOPT(AQ45,AR45,$P45,$AM45,AU45,AV45,AW45,$F45,$B$19,1))</f>
        <v>#NAME?</v>
      </c>
      <c r="AZ45" s="157" t="e">
        <f aca="false">IF(AR45=0,0,SPRDOPT(AQ45,AR45,$P45,$AM45,AU45,AV45,AW45,$F45,$B$19,2))</f>
        <v>#NAME?</v>
      </c>
      <c r="BA45" s="157" t="n">
        <f aca="false">IF(AS45=0,0,SPRDOPT(AQ45,AR45,$P45,$AM45,AU45,AV45,AW45,$F45,$B$19,3)/100)</f>
        <v>0</v>
      </c>
      <c r="BB45" s="157" t="n">
        <f aca="false">IF(AT45=0,0,SPRDOPT(AQ45,AR45,$P45,$AM45,AU45,AV45,AW45,$F45,$B$19,4)/100)</f>
        <v>0</v>
      </c>
      <c r="BC45" s="157" t="e">
        <f aca="false">IF(AU45=0,0,SPRDOPT(AQ45,AR45,$P45,$AM45,AU45,AV45,AW45,$F45,$B$19,5)/100)</f>
        <v>#NAME?</v>
      </c>
      <c r="BD45" s="157" t="e">
        <f aca="false">IF(AV45=0,0,SPRDOPT(AQ45,AR45,$P45,$AM45,AU45,AV45,AW45,$F45,$B$19,6)/100)</f>
        <v>#NAME?</v>
      </c>
      <c r="BE45" s="157" t="e">
        <f aca="false">IF(AW45=0,0,SPRDOPT(AQ45,AR45,$P45,$AM45,AU45,AV45,AW45,$F45,$B$19,7)/100)</f>
        <v>#NAME?</v>
      </c>
      <c r="BF45" s="157" t="n">
        <f aca="false">IF(AX45=0,0,SPRDOPT(AQ45,AR45,$P45,$AM45,AU45,AV45,AW45,$F45,$B$19,9)/365)</f>
        <v>0</v>
      </c>
      <c r="BG45" s="157" t="e">
        <f aca="false">AY45+AZ45</f>
        <v>#NAME?</v>
      </c>
      <c r="BH45" s="157" t="n">
        <f aca="false">BB45-BA45</f>
        <v>0</v>
      </c>
      <c r="BI45" s="157" t="e">
        <f aca="false">((AU45/AV45)*BC45)+BD45</f>
        <v>#NAME?</v>
      </c>
      <c r="BJ45" s="44"/>
      <c r="BK45" s="45" t="n">
        <f aca="false">$AP45*AX45</f>
        <v>0</v>
      </c>
      <c r="BL45" s="45" t="e">
        <f aca="false">$AP45*AY45</f>
        <v>#NAME?</v>
      </c>
      <c r="BM45" s="45" t="e">
        <f aca="false">$AP45*AZ45</f>
        <v>#NAME?</v>
      </c>
      <c r="BN45" s="45" t="n">
        <f aca="false">$AP45*BA45</f>
        <v>0</v>
      </c>
      <c r="BO45" s="45" t="n">
        <f aca="false">$AP45*BB45</f>
        <v>0</v>
      </c>
      <c r="BP45" s="45" t="e">
        <f aca="false">$AP45*BC45</f>
        <v>#NAME?</v>
      </c>
      <c r="BQ45" s="45" t="e">
        <f aca="false">$AP45*BD45</f>
        <v>#NAME?</v>
      </c>
      <c r="BR45" s="45" t="e">
        <f aca="false">$AP45*BE45</f>
        <v>#NAME?</v>
      </c>
      <c r="BS45" s="45" t="n">
        <f aca="false">$AP45*BF45</f>
        <v>0</v>
      </c>
      <c r="BT45" s="45" t="e">
        <f aca="false">$AP45*BG45</f>
        <v>#NAME?</v>
      </c>
      <c r="BU45" s="45" t="n">
        <f aca="false">$AP45*BH45</f>
        <v>0</v>
      </c>
      <c r="BV45" s="45" t="e">
        <f aca="false">$AP45*BI45</f>
        <v>#NAME?</v>
      </c>
      <c r="BX45" s="9" t="n">
        <f aca="false">IF($A45&gt;=BZ$32,IF($A45&lt;=BZ$33,$AN45,0),0)</f>
        <v>0</v>
      </c>
      <c r="BY45" s="123" t="n">
        <f aca="false">$B45+$R45+$D$12</f>
        <v>4.90071428571429</v>
      </c>
      <c r="BZ45" s="123" t="n">
        <f aca="false">$B45+$S45+$D$13</f>
        <v>4.46571428571429</v>
      </c>
      <c r="CA45" s="123" t="n">
        <f aca="false">BY45*BX45</f>
        <v>0</v>
      </c>
      <c r="CB45" s="123" t="n">
        <f aca="false">BZ45*BX45</f>
        <v>0</v>
      </c>
      <c r="CC45" s="156" t="n">
        <f aca="false">($C45*$T45)+$D$14</f>
        <v>0.38955</v>
      </c>
      <c r="CD45" s="156" t="n">
        <f aca="false">($C45*$U45)+$D$15</f>
        <v>0.3975</v>
      </c>
      <c r="CE45" s="131" t="n">
        <f aca="false">$V45+D$16</f>
        <v>0.9773</v>
      </c>
      <c r="CF45" s="157" t="n">
        <f aca="false">IF(BX45=0,0,SPRDOPT(BY45,BZ45,$W45,$AM45,CC45,CD45,CE45,$F45,$D$19,0))</f>
        <v>0</v>
      </c>
      <c r="CG45" s="157" t="e">
        <f aca="false">IF(BY45=0,0,SPRDOPT(BY45,BZ45,$W45,$AM45,CC45,CD45,CE45,$F45,$D$19,1))</f>
        <v>#NAME?</v>
      </c>
      <c r="CH45" s="157" t="e">
        <f aca="false">IF(BZ45=0,0,SPRDOPT(BY45,BZ45,$W45,$AM45,CC45,CD45,CE45,$F45,$D$19,2))</f>
        <v>#NAME?</v>
      </c>
      <c r="CI45" s="157" t="n">
        <f aca="false">IF(CA45=0,0,SPRDOPT(BY45,BZ45,$W45,$AM45,CC45,CD45,CE45,$F45,$D$19,3)/100)</f>
        <v>0</v>
      </c>
      <c r="CJ45" s="157" t="n">
        <f aca="false">IF(CB45=0,0,SPRDOPT(BY45,BZ45,$W45,$AM45,CC45,CD45,CE45,$F45,$D$19,4)/100)</f>
        <v>0</v>
      </c>
      <c r="CK45" s="157" t="e">
        <f aca="false">IF(CC45=0,0,SPRDOPT(BY45,BZ45,$W45,$AM45,CC45,CD45,CE45,$F45,$D$19,5)/100)</f>
        <v>#NAME?</v>
      </c>
      <c r="CL45" s="157" t="e">
        <f aca="false">IF(CD45=0,0,SPRDOPT(BY45,BZ45,$W45,$AM45,CC45,CD45,CE45,$F45,$D$19,6)/100)</f>
        <v>#NAME?</v>
      </c>
      <c r="CM45" s="157" t="e">
        <f aca="false">IF(CE45=0,0,SPRDOPT(BY45,BZ45,$W45,$AM45,CC45,CD45,CE45,$F45,$D$19,7)/100)</f>
        <v>#NAME?</v>
      </c>
      <c r="CN45" s="157" t="n">
        <f aca="false">IF(CF45=0,0,SPRDOPT(BY45,BZ45,$W45,$AM45,CC45,CD45,CE45,$F45,$D$19,9)/365)</f>
        <v>0</v>
      </c>
      <c r="CO45" s="157" t="e">
        <f aca="false">CG45+CH45</f>
        <v>#NAME?</v>
      </c>
      <c r="CP45" s="157" t="n">
        <f aca="false">CJ45-CI45</f>
        <v>0</v>
      </c>
      <c r="CQ45" s="157" t="e">
        <f aca="false">((CC45/CD45)*CK45)+CL45</f>
        <v>#NAME?</v>
      </c>
      <c r="CR45" s="44"/>
      <c r="CS45" s="45" t="n">
        <f aca="false">BX45*CF45</f>
        <v>0</v>
      </c>
      <c r="CT45" s="45" t="e">
        <f aca="false">BX45*CG45</f>
        <v>#NAME?</v>
      </c>
      <c r="CU45" s="45" t="e">
        <f aca="false">BX45*CH45</f>
        <v>#NAME?</v>
      </c>
      <c r="CV45" s="45" t="n">
        <f aca="false">BX45*CI45</f>
        <v>0</v>
      </c>
      <c r="CW45" s="45" t="n">
        <f aca="false">BX45*CJ45</f>
        <v>0</v>
      </c>
      <c r="CX45" s="45" t="e">
        <f aca="false">BX45*CK45</f>
        <v>#NAME?</v>
      </c>
      <c r="CY45" s="45" t="e">
        <f aca="false">BX45*CL45</f>
        <v>#NAME?</v>
      </c>
      <c r="CZ45" s="45" t="e">
        <f aca="false">BX45*CM45</f>
        <v>#NAME?</v>
      </c>
      <c r="DA45" s="45" t="n">
        <f aca="false">BX45*CN45</f>
        <v>0</v>
      </c>
      <c r="DB45" s="45" t="e">
        <f aca="false">BX45*CO45</f>
        <v>#NAME?</v>
      </c>
      <c r="DC45" s="45" t="n">
        <f aca="false">BX45*CP45</f>
        <v>0</v>
      </c>
      <c r="DD45" s="45" t="e">
        <f aca="false">BX45*CQ45</f>
        <v>#NAME?</v>
      </c>
      <c r="DF45" s="9" t="n">
        <f aca="false">IF($A45&gt;=DH$32,IF($A45&lt;=DH$33,$AN45,0),0)</f>
        <v>31</v>
      </c>
      <c r="DG45" s="123" t="n">
        <f aca="false">$B45+$Y45+$F$12</f>
        <v>3.93321428571429</v>
      </c>
      <c r="DH45" s="123" t="n">
        <f aca="false">$B45+$Z45+$F$13</f>
        <v>4.46571428571429</v>
      </c>
      <c r="DI45" s="123" t="n">
        <f aca="false">DG45*DF45</f>
        <v>121.929642857143</v>
      </c>
      <c r="DJ45" s="123" t="n">
        <f aca="false">DH45*DF45</f>
        <v>138.437142857143</v>
      </c>
      <c r="DK45" s="156" t="n">
        <f aca="false">($C45*$AA45)+$F$14</f>
        <v>0.385575</v>
      </c>
      <c r="DL45" s="156" t="n">
        <f aca="false">($C45*$AB45)+$F$15</f>
        <v>0.3975</v>
      </c>
      <c r="DM45" s="131" t="n">
        <f aca="false">$AC45+$F$16</f>
        <v>0.974</v>
      </c>
      <c r="DN45" s="157" t="e">
        <f aca="false">IF(DF45=0,0,SPRDOPT(DG45,DH45,$AD45,$AM45,DK45,DL45,DM45,$F45,$F$19,0))</f>
        <v>#NAME?</v>
      </c>
      <c r="DO45" s="157" t="e">
        <f aca="false">IF(DG45=0,0,SPRDOPT(DG45,DH45,$AD45,$AM45,DK45,DL45,DM45,$F45,$F$19,1))</f>
        <v>#NAME?</v>
      </c>
      <c r="DP45" s="157" t="e">
        <f aca="false">IF(DH45=0,0,SPRDOPT(DG45,DH45,$AD45,$AM45,DK45,DL45,DM45,$F45,$F$19,2))</f>
        <v>#NAME?</v>
      </c>
      <c r="DQ45" s="157" t="e">
        <f aca="false">IF(DI45=0,0,SPRDOPT(DG45,DH45,$AD45,$AM45,DK45,DL45,DM45,$F45,$F$19,3)/100)</f>
        <v>#NAME?</v>
      </c>
      <c r="DR45" s="157" t="e">
        <f aca="false">IF(DJ45=0,0,SPRDOPT(DG45,DH45,$AD45,$AM45,DK45,DL45,DM45,$F45,$F$19,4)/100)</f>
        <v>#NAME?</v>
      </c>
      <c r="DS45" s="157" t="e">
        <f aca="false">IF(DK45=0,0,SPRDOPT(DG45,DH45,$AD45,$AM45,DK45,DL45,DM45,$F45,$F$19,5)/100)</f>
        <v>#NAME?</v>
      </c>
      <c r="DT45" s="157" t="e">
        <f aca="false">IF(DL45=0,0,SPRDOPT(DG45,DH45,$AD45,$AM45,DK45,DL45,DM45,$F45,$F$19,6)/100)</f>
        <v>#NAME?</v>
      </c>
      <c r="DU45" s="157" t="e">
        <f aca="false">IF(DM45=0,0,SPRDOPT(DG45,DH45,$AD45,$AM45,DK45,DL45,DM45,$F45,$F$19,7)/100)</f>
        <v>#NAME?</v>
      </c>
      <c r="DV45" s="157" t="e">
        <f aca="false">IF(DN45=0,0,SPRDOPT(DG45,DH45,$AD45,$AM45,DK45,DL45,DM45,$F45,$F$19,9)/365)</f>
        <v>#NAME?</v>
      </c>
      <c r="DW45" s="157" t="e">
        <f aca="false">DO45+DP45</f>
        <v>#NAME?</v>
      </c>
      <c r="DX45" s="157" t="e">
        <f aca="false">DR45-DQ45</f>
        <v>#NAME?</v>
      </c>
      <c r="DY45" s="157" t="e">
        <f aca="false">((DK45/DL45)*DS45)+DT45</f>
        <v>#NAME?</v>
      </c>
      <c r="DZ45" s="44"/>
      <c r="EA45" s="45" t="e">
        <f aca="false">DF45*DN45</f>
        <v>#NAME?</v>
      </c>
      <c r="EB45" s="45" t="e">
        <f aca="false">DF45*DO45</f>
        <v>#NAME?</v>
      </c>
      <c r="EC45" s="45" t="e">
        <f aca="false">DF45*DP45</f>
        <v>#NAME?</v>
      </c>
      <c r="ED45" s="45" t="e">
        <f aca="false">DF45*DQ45</f>
        <v>#NAME?</v>
      </c>
      <c r="EE45" s="45" t="e">
        <f aca="false">DF45*DR45</f>
        <v>#NAME?</v>
      </c>
      <c r="EF45" s="45" t="e">
        <f aca="false">DF45*DS45</f>
        <v>#NAME?</v>
      </c>
      <c r="EG45" s="45" t="e">
        <f aca="false">DF45*DT45</f>
        <v>#NAME?</v>
      </c>
      <c r="EH45" s="45" t="e">
        <f aca="false">DF45*DU45</f>
        <v>#NAME?</v>
      </c>
      <c r="EI45" s="45" t="e">
        <f aca="false">DF45*DV45</f>
        <v>#NAME?</v>
      </c>
      <c r="EJ45" s="45" t="e">
        <f aca="false">DF45*DW45</f>
        <v>#NAME?</v>
      </c>
      <c r="EK45" s="45" t="e">
        <f aca="false">DF45*DX45</f>
        <v>#NAME?</v>
      </c>
      <c r="EL45" s="45" t="e">
        <f aca="false">DF45*DY45</f>
        <v>#NAME?</v>
      </c>
      <c r="EN45" s="9" t="n">
        <f aca="false">IF($A45&gt;=EP$32,IF($A45&lt;=EP$33,$AN45,0),0)</f>
        <v>0</v>
      </c>
      <c r="EO45" s="123" t="n">
        <f aca="false">$B45+$AF45+$H$12</f>
        <v>4.48071428571429</v>
      </c>
      <c r="EP45" s="123" t="n">
        <f aca="false">$B45+$AG45+$H$13</f>
        <v>4.46571428571429</v>
      </c>
      <c r="EQ45" s="123" t="n">
        <f aca="false">EO45*EN45</f>
        <v>0</v>
      </c>
      <c r="ER45" s="123" t="n">
        <f aca="false">EP45*EN45</f>
        <v>0</v>
      </c>
      <c r="ES45" s="156" t="n">
        <f aca="false">($C45*$AH45)+$H$14</f>
        <v>0.3975</v>
      </c>
      <c r="ET45" s="156" t="n">
        <f aca="false">($C45*$AI45)+$H$15</f>
        <v>0.3975</v>
      </c>
      <c r="EU45" s="131" t="n">
        <f aca="false">$AJ45+$H$16</f>
        <v>0.998</v>
      </c>
      <c r="EV45" s="157" t="n">
        <f aca="false">IF(EN45=0,0,SPRDOPT(EO45,EP45,$AK45,$AM45,ES45,ET45,EU45,$F45,$H$19,0))</f>
        <v>0</v>
      </c>
      <c r="EW45" s="157" t="e">
        <f aca="false">IF(EO45=0,0,SPRDOPT(EO45,EP45,$AK45,$AM45,ES45,ET45,EU45,$F45,$H$19,1))</f>
        <v>#NAME?</v>
      </c>
      <c r="EX45" s="157" t="e">
        <f aca="false">IF(EP45=0,0,SPRDOPT(EO45,EP45,$AK45,$AM45,ES45,ET45,EU45,$F45,$H$19,2))</f>
        <v>#NAME?</v>
      </c>
      <c r="EY45" s="157" t="n">
        <f aca="false">IF(EQ45=0,0,SPRDOPT(EO45,EP45,$AK45,$AM45,ES45,ET45,EU45,$F45,$H$19,3)/100)</f>
        <v>0</v>
      </c>
      <c r="EZ45" s="157" t="n">
        <f aca="false">IF(ER45=0,0,SPRDOPT(EO45,EP45,$AK45,$AM45,ES45,ET45,EU45,$F45,$H$19,4)/100)</f>
        <v>0</v>
      </c>
      <c r="FA45" s="157" t="e">
        <f aca="false">IF(ES45=0,0,SPRDOPT(EO45,EP45,$AK45,$AM45,ES45,ET45,EU45,$F45,$H$19,5)/100)</f>
        <v>#NAME?</v>
      </c>
      <c r="FB45" s="157" t="e">
        <f aca="false">IF(ET45=0,0,SPRDOPT(EO45,EP45,$AK45,$AM45,ES45,ET45,EU45,$F45,$H$19,6)/100)</f>
        <v>#NAME?</v>
      </c>
      <c r="FC45" s="157" t="e">
        <f aca="false">IF(EU45=0,0,SPRDOPT(EO45,EP45,$AK45,$AM45,ES45,ET45,EU45,$F45,$H$19,7)/100)</f>
        <v>#NAME?</v>
      </c>
      <c r="FD45" s="157" t="n">
        <f aca="false">IF(EV45=0,0,SPRDOPT(EO45,EP45,$AK45,$AM45,ES45,ET45,EU45,$F45,$H$19,9)/365)</f>
        <v>0</v>
      </c>
      <c r="FE45" s="157" t="e">
        <f aca="false">EW45+EX45</f>
        <v>#NAME?</v>
      </c>
      <c r="FF45" s="157" t="n">
        <f aca="false">EZ45-EY45</f>
        <v>0</v>
      </c>
      <c r="FG45" s="157" t="e">
        <f aca="false">((ES45/ET45)*FA45)+FB45</f>
        <v>#NAME?</v>
      </c>
      <c r="FH45" s="44"/>
      <c r="FI45" s="45" t="n">
        <f aca="false">$EN45*EV45</f>
        <v>0</v>
      </c>
      <c r="FJ45" s="45" t="e">
        <f aca="false">$EN45*EW45</f>
        <v>#NAME?</v>
      </c>
      <c r="FK45" s="45" t="e">
        <f aca="false">$EN45*EX45</f>
        <v>#NAME?</v>
      </c>
      <c r="FL45" s="45" t="n">
        <f aca="false">$EN45*EY45</f>
        <v>0</v>
      </c>
      <c r="FM45" s="45" t="n">
        <f aca="false">$EN45*EZ45</f>
        <v>0</v>
      </c>
      <c r="FN45" s="45" t="e">
        <f aca="false">$EN45*FA45</f>
        <v>#NAME?</v>
      </c>
      <c r="FO45" s="45" t="e">
        <f aca="false">$EN45*FB45</f>
        <v>#NAME?</v>
      </c>
      <c r="FP45" s="45" t="e">
        <f aca="false">$EN45*FC45</f>
        <v>#NAME?</v>
      </c>
      <c r="FQ45" s="45" t="n">
        <f aca="false">$EN45*FD45</f>
        <v>0</v>
      </c>
      <c r="FR45" s="45" t="e">
        <f aca="false">$EN45*FE45</f>
        <v>#NAME?</v>
      </c>
      <c r="FS45" s="45" t="n">
        <f aca="false">$EN45*FF45</f>
        <v>0</v>
      </c>
      <c r="FT45" s="45" t="e">
        <f aca="false">$EN45*FG45</f>
        <v>#NAME?</v>
      </c>
    </row>
    <row r="46" customFormat="false" ht="12.75" hidden="false" customHeight="false" outlineLevel="0" collapsed="false">
      <c r="A46" s="48" t="n">
        <f aca="false">DATE(YEAR(A45),MONTH(A45)+1,1)</f>
        <v>37043</v>
      </c>
      <c r="B46" s="40" t="n">
        <f aca="false">VLOOKUP(A46,STRADDLE,5,FALSE())</f>
        <v>4.44071428571429</v>
      </c>
      <c r="C46" s="4" t="n">
        <f aca="false">VLOOKUP(A46,STRADDLE,8,FALSE())</f>
        <v>0.3925</v>
      </c>
      <c r="D46" s="40"/>
      <c r="E46" s="131"/>
      <c r="F46" s="136" t="n">
        <f aca="false">VLOOKUP(A46,expiration,2,FALSE())-$B$2</f>
        <v>-8886</v>
      </c>
      <c r="G46" s="4"/>
      <c r="H46" s="4"/>
      <c r="I46" s="41"/>
      <c r="J46" s="154"/>
      <c r="K46" s="40" t="n">
        <f aca="false">IF($B$3="NYMEX",0,VLOOKUP($A46,curvesettle,HLOOKUP($B$3,curvesettle,2,FALSE()),FALSE()))</f>
        <v>0.395</v>
      </c>
      <c r="L46" s="40" t="n">
        <f aca="false">IF($B$4="NYMEX",0,VLOOKUP($A46,curvesettle,HLOOKUP($B$4,curvesettle,2,FALSE()),FALSE()))</f>
        <v>0</v>
      </c>
      <c r="M46" s="131" t="n">
        <f aca="false">IF(ISNUMBER(VLOOKUP($A46,VOLCURVES,HLOOKUP($B$3,VOLCURVES,2,FALSE()),FALSE())),VLOOKUP($A46,VOLCURVES,HLOOKUP($B$3,VOLCURVES,2,FALSE()),FALSE()),1)</f>
        <v>0.98</v>
      </c>
      <c r="N46" s="131" t="n">
        <f aca="false">IF(ISNUMBER(VLOOKUP($A46,VOLCURVES,HLOOKUP($B$4,VOLCURVES,2,FALSE()),FALSE())),VLOOKUP($A46,VOLCURVES,HLOOKUP($B$4,VOLCURVES,2,FALSE()),FALSE()),1)</f>
        <v>1</v>
      </c>
      <c r="O46" s="131" t="n">
        <f aca="false">IF(ISNUMBER(VLOOKUP($A46,CORETABLE,HLOOKUP($B$3,CORETABLE,2,FALSE()),FALSE())),VLOOKUP($A46,CORETABLE,HLOOKUP($B$3,CORETABLE,2,FALSE()),FALSE()),0.99)</f>
        <v>0.9773</v>
      </c>
      <c r="P46" s="155" t="n">
        <f aca="false">B$18</f>
        <v>2</v>
      </c>
      <c r="Q46" s="131"/>
      <c r="R46" s="40" t="n">
        <f aca="false">IF($D$3="NYMEX",0,VLOOKUP($A46,curvesettle,HLOOKUP($D$3,curvesettle,2,FALSE()),FALSE()))</f>
        <v>0.395</v>
      </c>
      <c r="S46" s="40" t="n">
        <f aca="false">IF($D$4="NYMEX",0,VLOOKUP($A46,curvesettle,HLOOKUP($D$4,curvesettle,2,FALSE()),FALSE()))</f>
        <v>0</v>
      </c>
      <c r="T46" s="131" t="n">
        <f aca="false">IF(ISNUMBER(VLOOKUP($A46,VOLCURVES,HLOOKUP($D$3,VOLCURVES,2,FALSE()),FALSE())),VLOOKUP($A46,VOLCURVES,HLOOKUP($D$3,VOLCURVES,2,FALSE()),FALSE()),1)</f>
        <v>0.98</v>
      </c>
      <c r="U46" s="131" t="n">
        <f aca="false">IF(ISNUMBER(VLOOKUP($A46,VOLCURVES,HLOOKUP($D$4,VOLCURVES,2,FALSE()),FALSE())),VLOOKUP($A46,VOLCURVES,HLOOKUP($D$4,VOLCURVES,2,FALSE()),FALSE()),1)</f>
        <v>1</v>
      </c>
      <c r="V46" s="131" t="n">
        <f aca="false">IF(ISNUMBER(VLOOKUP($A46,CORETABLE,HLOOKUP($D$3,CORETABLE,2,FALSE()),FALSE())),VLOOKUP($A46,CORETABLE,HLOOKUP($D$3,CORETABLE,2,FALSE()),FALSE()),0.99)</f>
        <v>0.9773</v>
      </c>
      <c r="W46" s="155" t="n">
        <f aca="false">D$18</f>
        <v>2.5</v>
      </c>
      <c r="X46" s="131"/>
      <c r="Y46" s="40" t="n">
        <f aca="false">IF($F$3="NYMEX",0,VLOOKUP($A46,curvesettle,HLOOKUP($F$3,curvesettle,2,FALSE()),FALSE()))</f>
        <v>-0.5375</v>
      </c>
      <c r="Z46" s="40" t="n">
        <f aca="false">IF($F$4="NYMEX",0,VLOOKUP($A46,curvesettle,HLOOKUP($F$4,curvesettle,2,FALSE()),FALSE()))</f>
        <v>0</v>
      </c>
      <c r="AA46" s="131" t="n">
        <f aca="false">IF(ISNUMBER(VLOOKUP($A46,VOLCURVES,HLOOKUP($F$3,VOLCURVES,2,FALSE()),FALSE())),VLOOKUP($A46,VOLCURVES,HLOOKUP($F$3,VOLCURVES,2,FALSE()),FALSE()),1)</f>
        <v>0.97</v>
      </c>
      <c r="AB46" s="131" t="n">
        <f aca="false">IF(ISNUMBER(VLOOKUP($A46,VOLCURVES,HLOOKUP($F$4,VOLCURVES,2,FALSE()),FALSE())),VLOOKUP($A46,VOLCURVES,HLOOKUP($F$4,VOLCURVES,2,FALSE()),FALSE()),1)</f>
        <v>1</v>
      </c>
      <c r="AC46" s="131" t="n">
        <f aca="false">IF(ISNUMBER(VLOOKUP($A46,CORETABLE,HLOOKUP($F$3,CORETABLE,2,FALSE()),FALSE())),VLOOKUP($A46,CORETABLE,HLOOKUP($F$3,CORETABLE,2,FALSE()),FALSE()),1)</f>
        <v>0.96</v>
      </c>
      <c r="AD46" s="155" t="n">
        <f aca="false">F$18</f>
        <v>-0.05</v>
      </c>
      <c r="AE46" s="131"/>
      <c r="AF46" s="40" t="n">
        <f aca="false">IF($H$3="NYMEX",0,VLOOKUP($A46,curvesettle,HLOOKUP($H$3,curvesettle,2,FALSE()),FALSE()))</f>
        <v>0.025</v>
      </c>
      <c r="AG46" s="40" t="n">
        <f aca="false">IF($H$4="NYMEX",0,VLOOKUP($A46,curvesettle,HLOOKUP($H$4,curvesettle,2,FALSE()),FALSE()))</f>
        <v>0</v>
      </c>
      <c r="AH46" s="131" t="n">
        <f aca="false">IF(ISNUMBER(VLOOKUP($A46,VOLCURVES,HLOOKUP($H$3,VOLCURVES,2,FALSE()),FALSE())),VLOOKUP($A46,VOLCURVES,HLOOKUP($H$3,VOLCURVES,2,FALSE()),FALSE()),1)</f>
        <v>1</v>
      </c>
      <c r="AI46" s="131" t="n">
        <f aca="false">IF(ISNUMBER(VLOOKUP($A46,VOLCURVES,HLOOKUP($H$4,VOLCURVES,2,FALSE()),FALSE())),VLOOKUP($A46,VOLCURVES,HLOOKUP($H$4,VOLCURVES,2,FALSE()),FALSE()),1)</f>
        <v>1</v>
      </c>
      <c r="AJ46" s="131" t="n">
        <f aca="false">IF(ISNUMBER(VLOOKUP($A46,CORETABLE,HLOOKUP($H$3,CORETABLE,2,FALSE()),FALSE())),VLOOKUP($A46,CORETABLE,HLOOKUP($H$3,CORETABLE,2,FALSE()),FALSE()),1)</f>
        <v>0.999</v>
      </c>
      <c r="AK46" s="155" t="n">
        <f aca="false">H$18</f>
        <v>-0.05</v>
      </c>
      <c r="AM46" s="4" t="n">
        <f aca="false">VLOOKUP($A46,STRADDLE,12,FALSE())</f>
        <v>0.067932306764864</v>
      </c>
      <c r="AN46" s="43" t="n">
        <f aca="false">A47-A46</f>
        <v>30</v>
      </c>
      <c r="AP46" s="9" t="n">
        <f aca="false">IF($A46&gt;=AR$32,IF($A46&lt;=AR$33,$AN46,0),0)</f>
        <v>0</v>
      </c>
      <c r="AQ46" s="123" t="n">
        <f aca="false">$B46+$K46+$B$12</f>
        <v>4.86571428571429</v>
      </c>
      <c r="AR46" s="123" t="n">
        <f aca="false">$B46+$L46+$B$13</f>
        <v>4.44071428571429</v>
      </c>
      <c r="AS46" s="123" t="n">
        <f aca="false">AQ46*AP46</f>
        <v>0</v>
      </c>
      <c r="AT46" s="123" t="n">
        <f aca="false">AR46*AP46</f>
        <v>0</v>
      </c>
      <c r="AU46" s="156" t="n">
        <f aca="false">($C46*$M46)+$B$14</f>
        <v>0.38465</v>
      </c>
      <c r="AV46" s="156" t="n">
        <f aca="false">($C46*$N46)+$B$15</f>
        <v>0.3925</v>
      </c>
      <c r="AW46" s="131" t="n">
        <f aca="false">O46+B$16</f>
        <v>0.9773</v>
      </c>
      <c r="AX46" s="157" t="n">
        <f aca="false">IF(AP46=0,0,SPRDOPT(AQ46,AR46,$P46,$AM46,AU46,AV46,AW46,$F46,$B$19,0))</f>
        <v>0</v>
      </c>
      <c r="AY46" s="157" t="e">
        <f aca="false">IF(AQ46=0,0,SPRDOPT(AQ46,AR46,$P46,$AM46,AU46,AV46,AW46,$F46,$B$19,1))</f>
        <v>#NAME?</v>
      </c>
      <c r="AZ46" s="157" t="e">
        <f aca="false">IF(AR46=0,0,SPRDOPT(AQ46,AR46,$P46,$AM46,AU46,AV46,AW46,$F46,$B$19,2))</f>
        <v>#NAME?</v>
      </c>
      <c r="BA46" s="157" t="n">
        <f aca="false">IF(AS46=0,0,SPRDOPT(AQ46,AR46,$P46,$AM46,AU46,AV46,AW46,$F46,$B$19,3)/100)</f>
        <v>0</v>
      </c>
      <c r="BB46" s="157" t="n">
        <f aca="false">IF(AT46=0,0,SPRDOPT(AQ46,AR46,$P46,$AM46,AU46,AV46,AW46,$F46,$B$19,4)/100)</f>
        <v>0</v>
      </c>
      <c r="BC46" s="157" t="e">
        <f aca="false">IF(AU46=0,0,SPRDOPT(AQ46,AR46,$P46,$AM46,AU46,AV46,AW46,$F46,$B$19,5)/100)</f>
        <v>#NAME?</v>
      </c>
      <c r="BD46" s="157" t="e">
        <f aca="false">IF(AV46=0,0,SPRDOPT(AQ46,AR46,$P46,$AM46,AU46,AV46,AW46,$F46,$B$19,6)/100)</f>
        <v>#NAME?</v>
      </c>
      <c r="BE46" s="157" t="e">
        <f aca="false">IF(AW46=0,0,SPRDOPT(AQ46,AR46,$P46,$AM46,AU46,AV46,AW46,$F46,$B$19,7)/100)</f>
        <v>#NAME?</v>
      </c>
      <c r="BF46" s="157" t="n">
        <f aca="false">IF(AX46=0,0,SPRDOPT(AQ46,AR46,$P46,$AM46,AU46,AV46,AW46,$F46,$B$19,9)/365)</f>
        <v>0</v>
      </c>
      <c r="BG46" s="157" t="e">
        <f aca="false">AY46+AZ46</f>
        <v>#NAME?</v>
      </c>
      <c r="BH46" s="157" t="n">
        <f aca="false">BB46-BA46</f>
        <v>0</v>
      </c>
      <c r="BI46" s="157" t="e">
        <f aca="false">((AU46/AV46)*BC46)+BD46</f>
        <v>#NAME?</v>
      </c>
      <c r="BJ46" s="44"/>
      <c r="BK46" s="45" t="n">
        <f aca="false">$AP46*AX46</f>
        <v>0</v>
      </c>
      <c r="BL46" s="45" t="e">
        <f aca="false">$AP46*AY46</f>
        <v>#NAME?</v>
      </c>
      <c r="BM46" s="45" t="e">
        <f aca="false">$AP46*AZ46</f>
        <v>#NAME?</v>
      </c>
      <c r="BN46" s="45" t="n">
        <f aca="false">$AP46*BA46</f>
        <v>0</v>
      </c>
      <c r="BO46" s="45" t="n">
        <f aca="false">$AP46*BB46</f>
        <v>0</v>
      </c>
      <c r="BP46" s="45" t="e">
        <f aca="false">$AP46*BC46</f>
        <v>#NAME?</v>
      </c>
      <c r="BQ46" s="45" t="e">
        <f aca="false">$AP46*BD46</f>
        <v>#NAME?</v>
      </c>
      <c r="BR46" s="45" t="e">
        <f aca="false">$AP46*BE46</f>
        <v>#NAME?</v>
      </c>
      <c r="BS46" s="45" t="n">
        <f aca="false">$AP46*BF46</f>
        <v>0</v>
      </c>
      <c r="BT46" s="45" t="e">
        <f aca="false">$AP46*BG46</f>
        <v>#NAME?</v>
      </c>
      <c r="BU46" s="45" t="n">
        <f aca="false">$AP46*BH46</f>
        <v>0</v>
      </c>
      <c r="BV46" s="45" t="e">
        <f aca="false">$AP46*BI46</f>
        <v>#NAME?</v>
      </c>
      <c r="BX46" s="9" t="n">
        <f aca="false">IF($A46&gt;=BZ$32,IF($A46&lt;=BZ$33,$AN46,0),0)</f>
        <v>0</v>
      </c>
      <c r="BY46" s="123" t="n">
        <f aca="false">$B46+$R46+$D$12</f>
        <v>4.86571428571429</v>
      </c>
      <c r="BZ46" s="123" t="n">
        <f aca="false">$B46+$S46+$D$13</f>
        <v>4.44071428571429</v>
      </c>
      <c r="CA46" s="123" t="n">
        <f aca="false">BY46*BX46</f>
        <v>0</v>
      </c>
      <c r="CB46" s="123" t="n">
        <f aca="false">BZ46*BX46</f>
        <v>0</v>
      </c>
      <c r="CC46" s="156" t="n">
        <f aca="false">($C46*$T46)+$D$14</f>
        <v>0.38465</v>
      </c>
      <c r="CD46" s="156" t="n">
        <f aca="false">($C46*$U46)+$D$15</f>
        <v>0.3925</v>
      </c>
      <c r="CE46" s="131" t="n">
        <f aca="false">$V46+D$16</f>
        <v>0.9773</v>
      </c>
      <c r="CF46" s="157" t="n">
        <f aca="false">IF(BX46=0,0,SPRDOPT(BY46,BZ46,$W46,$AM46,CC46,CD46,CE46,$F46,$D$19,0))</f>
        <v>0</v>
      </c>
      <c r="CG46" s="157" t="e">
        <f aca="false">IF(BY46=0,0,SPRDOPT(BY46,BZ46,$W46,$AM46,CC46,CD46,CE46,$F46,$D$19,1))</f>
        <v>#NAME?</v>
      </c>
      <c r="CH46" s="157" t="e">
        <f aca="false">IF(BZ46=0,0,SPRDOPT(BY46,BZ46,$W46,$AM46,CC46,CD46,CE46,$F46,$D$19,2))</f>
        <v>#NAME?</v>
      </c>
      <c r="CI46" s="157" t="n">
        <f aca="false">IF(CA46=0,0,SPRDOPT(BY46,BZ46,$W46,$AM46,CC46,CD46,CE46,$F46,$D$19,3)/100)</f>
        <v>0</v>
      </c>
      <c r="CJ46" s="157" t="n">
        <f aca="false">IF(CB46=0,0,SPRDOPT(BY46,BZ46,$W46,$AM46,CC46,CD46,CE46,$F46,$D$19,4)/100)</f>
        <v>0</v>
      </c>
      <c r="CK46" s="157" t="e">
        <f aca="false">IF(CC46=0,0,SPRDOPT(BY46,BZ46,$W46,$AM46,CC46,CD46,CE46,$F46,$D$19,5)/100)</f>
        <v>#NAME?</v>
      </c>
      <c r="CL46" s="157" t="e">
        <f aca="false">IF(CD46=0,0,SPRDOPT(BY46,BZ46,$W46,$AM46,CC46,CD46,CE46,$F46,$D$19,6)/100)</f>
        <v>#NAME?</v>
      </c>
      <c r="CM46" s="157" t="e">
        <f aca="false">IF(CE46=0,0,SPRDOPT(BY46,BZ46,$W46,$AM46,CC46,CD46,CE46,$F46,$D$19,7)/100)</f>
        <v>#NAME?</v>
      </c>
      <c r="CN46" s="157" t="n">
        <f aca="false">IF(CF46=0,0,SPRDOPT(BY46,BZ46,$W46,$AM46,CC46,CD46,CE46,$F46,$D$19,9)/365)</f>
        <v>0</v>
      </c>
      <c r="CO46" s="157" t="e">
        <f aca="false">CG46+CH46</f>
        <v>#NAME?</v>
      </c>
      <c r="CP46" s="157" t="n">
        <f aca="false">CJ46-CI46</f>
        <v>0</v>
      </c>
      <c r="CQ46" s="157" t="e">
        <f aca="false">((CC46/CD46)*CK46)+CL46</f>
        <v>#NAME?</v>
      </c>
      <c r="CR46" s="44"/>
      <c r="CS46" s="45" t="n">
        <f aca="false">BX46*CF46</f>
        <v>0</v>
      </c>
      <c r="CT46" s="45" t="e">
        <f aca="false">BX46*CG46</f>
        <v>#NAME?</v>
      </c>
      <c r="CU46" s="45" t="e">
        <f aca="false">BX46*CH46</f>
        <v>#NAME?</v>
      </c>
      <c r="CV46" s="45" t="n">
        <f aca="false">BX46*CI46</f>
        <v>0</v>
      </c>
      <c r="CW46" s="45" t="n">
        <f aca="false">BX46*CJ46</f>
        <v>0</v>
      </c>
      <c r="CX46" s="45" t="e">
        <f aca="false">BX46*CK46</f>
        <v>#NAME?</v>
      </c>
      <c r="CY46" s="45" t="e">
        <f aca="false">BX46*CL46</f>
        <v>#NAME?</v>
      </c>
      <c r="CZ46" s="45" t="e">
        <f aca="false">BX46*CM46</f>
        <v>#NAME?</v>
      </c>
      <c r="DA46" s="45" t="n">
        <f aca="false">BX46*CN46</f>
        <v>0</v>
      </c>
      <c r="DB46" s="45" t="e">
        <f aca="false">BX46*CO46</f>
        <v>#NAME?</v>
      </c>
      <c r="DC46" s="45" t="n">
        <f aca="false">BX46*CP46</f>
        <v>0</v>
      </c>
      <c r="DD46" s="45" t="e">
        <f aca="false">BX46*CQ46</f>
        <v>#NAME?</v>
      </c>
      <c r="DF46" s="9" t="n">
        <f aca="false">IF($A46&gt;=DH$32,IF($A46&lt;=DH$33,$AN46,0),0)</f>
        <v>30</v>
      </c>
      <c r="DG46" s="123" t="n">
        <f aca="false">$B46+$Y46+$F$12</f>
        <v>3.90821428571429</v>
      </c>
      <c r="DH46" s="123" t="n">
        <f aca="false">$B46+$Z46+$F$13</f>
        <v>4.44071428571429</v>
      </c>
      <c r="DI46" s="123" t="n">
        <f aca="false">DG46*DF46</f>
        <v>117.246428571429</v>
      </c>
      <c r="DJ46" s="123" t="n">
        <f aca="false">DH46*DF46</f>
        <v>133.221428571429</v>
      </c>
      <c r="DK46" s="156" t="n">
        <f aca="false">($C46*$AA46)+$F$14</f>
        <v>0.380725</v>
      </c>
      <c r="DL46" s="156" t="n">
        <f aca="false">($C46*$AB46)+$F$15</f>
        <v>0.3925</v>
      </c>
      <c r="DM46" s="131" t="n">
        <f aca="false">$AC46+$F$16</f>
        <v>0.974</v>
      </c>
      <c r="DN46" s="157" t="e">
        <f aca="false">IF(DF46=0,0,SPRDOPT(DG46,DH46,$AD46,$AM46,DK46,DL46,DM46,$F46,$F$19,0))</f>
        <v>#NAME?</v>
      </c>
      <c r="DO46" s="157" t="e">
        <f aca="false">IF(DG46=0,0,SPRDOPT(DG46,DH46,$AD46,$AM46,DK46,DL46,DM46,$F46,$F$19,1))</f>
        <v>#NAME?</v>
      </c>
      <c r="DP46" s="157" t="e">
        <f aca="false">IF(DH46=0,0,SPRDOPT(DG46,DH46,$AD46,$AM46,DK46,DL46,DM46,$F46,$F$19,2))</f>
        <v>#NAME?</v>
      </c>
      <c r="DQ46" s="157" t="e">
        <f aca="false">IF(DI46=0,0,SPRDOPT(DG46,DH46,$AD46,$AM46,DK46,DL46,DM46,$F46,$F$19,3)/100)</f>
        <v>#NAME?</v>
      </c>
      <c r="DR46" s="157" t="e">
        <f aca="false">IF(DJ46=0,0,SPRDOPT(DG46,DH46,$AD46,$AM46,DK46,DL46,DM46,$F46,$F$19,4)/100)</f>
        <v>#NAME?</v>
      </c>
      <c r="DS46" s="157" t="e">
        <f aca="false">IF(DK46=0,0,SPRDOPT(DG46,DH46,$AD46,$AM46,DK46,DL46,DM46,$F46,$F$19,5)/100)</f>
        <v>#NAME?</v>
      </c>
      <c r="DT46" s="157" t="e">
        <f aca="false">IF(DL46=0,0,SPRDOPT(DG46,DH46,$AD46,$AM46,DK46,DL46,DM46,$F46,$F$19,6)/100)</f>
        <v>#NAME?</v>
      </c>
      <c r="DU46" s="157" t="e">
        <f aca="false">IF(DM46=0,0,SPRDOPT(DG46,DH46,$AD46,$AM46,DK46,DL46,DM46,$F46,$F$19,7)/100)</f>
        <v>#NAME?</v>
      </c>
      <c r="DV46" s="157" t="e">
        <f aca="false">IF(DN46=0,0,SPRDOPT(DG46,DH46,$AD46,$AM46,DK46,DL46,DM46,$F46,$F$19,9)/365)</f>
        <v>#NAME?</v>
      </c>
      <c r="DW46" s="157" t="e">
        <f aca="false">DO46+DP46</f>
        <v>#NAME?</v>
      </c>
      <c r="DX46" s="157" t="e">
        <f aca="false">DR46-DQ46</f>
        <v>#NAME?</v>
      </c>
      <c r="DY46" s="157" t="e">
        <f aca="false">((DK46/DL46)*DS46)+DT46</f>
        <v>#NAME?</v>
      </c>
      <c r="DZ46" s="44"/>
      <c r="EA46" s="45" t="e">
        <f aca="false">DF46*DN46</f>
        <v>#NAME?</v>
      </c>
      <c r="EB46" s="45" t="e">
        <f aca="false">DF46*DO46</f>
        <v>#NAME?</v>
      </c>
      <c r="EC46" s="45" t="e">
        <f aca="false">DF46*DP46</f>
        <v>#NAME?</v>
      </c>
      <c r="ED46" s="45" t="e">
        <f aca="false">DF46*DQ46</f>
        <v>#NAME?</v>
      </c>
      <c r="EE46" s="45" t="e">
        <f aca="false">DF46*DR46</f>
        <v>#NAME?</v>
      </c>
      <c r="EF46" s="45" t="e">
        <f aca="false">DF46*DS46</f>
        <v>#NAME?</v>
      </c>
      <c r="EG46" s="45" t="e">
        <f aca="false">DF46*DT46</f>
        <v>#NAME?</v>
      </c>
      <c r="EH46" s="45" t="e">
        <f aca="false">DF46*DU46</f>
        <v>#NAME?</v>
      </c>
      <c r="EI46" s="45" t="e">
        <f aca="false">DF46*DV46</f>
        <v>#NAME?</v>
      </c>
      <c r="EJ46" s="45" t="e">
        <f aca="false">DF46*DW46</f>
        <v>#NAME?</v>
      </c>
      <c r="EK46" s="45" t="e">
        <f aca="false">DF46*DX46</f>
        <v>#NAME?</v>
      </c>
      <c r="EL46" s="45" t="e">
        <f aca="false">DF46*DY46</f>
        <v>#NAME?</v>
      </c>
      <c r="EN46" s="9" t="n">
        <f aca="false">IF($A46&gt;=EP$32,IF($A46&lt;=EP$33,$AN46,0),0)</f>
        <v>0</v>
      </c>
      <c r="EO46" s="123" t="n">
        <f aca="false">$B46+$AF46+$H$12</f>
        <v>4.46571428571429</v>
      </c>
      <c r="EP46" s="123" t="n">
        <f aca="false">$B46+$AG46+$H$13</f>
        <v>4.44071428571429</v>
      </c>
      <c r="EQ46" s="123" t="n">
        <f aca="false">EO46*EN46</f>
        <v>0</v>
      </c>
      <c r="ER46" s="123" t="n">
        <f aca="false">EP46*EN46</f>
        <v>0</v>
      </c>
      <c r="ES46" s="156" t="n">
        <f aca="false">($C46*$AH46)+$H$14</f>
        <v>0.3925</v>
      </c>
      <c r="ET46" s="156" t="n">
        <f aca="false">($C46*$AI46)+$H$15</f>
        <v>0.3925</v>
      </c>
      <c r="EU46" s="131" t="n">
        <f aca="false">$AJ46+$H$16</f>
        <v>0.998</v>
      </c>
      <c r="EV46" s="157" t="n">
        <f aca="false">IF(EN46=0,0,SPRDOPT(EO46,EP46,$AK46,$AM46,ES46,ET46,EU46,$F46,$H$19,0))</f>
        <v>0</v>
      </c>
      <c r="EW46" s="157" t="e">
        <f aca="false">IF(EO46=0,0,SPRDOPT(EO46,EP46,$AK46,$AM46,ES46,ET46,EU46,$F46,$H$19,1))</f>
        <v>#NAME?</v>
      </c>
      <c r="EX46" s="157" t="e">
        <f aca="false">IF(EP46=0,0,SPRDOPT(EO46,EP46,$AK46,$AM46,ES46,ET46,EU46,$F46,$H$19,2))</f>
        <v>#NAME?</v>
      </c>
      <c r="EY46" s="157" t="n">
        <f aca="false">IF(EQ46=0,0,SPRDOPT(EO46,EP46,$AK46,$AM46,ES46,ET46,EU46,$F46,$H$19,3)/100)</f>
        <v>0</v>
      </c>
      <c r="EZ46" s="157" t="n">
        <f aca="false">IF(ER46=0,0,SPRDOPT(EO46,EP46,$AK46,$AM46,ES46,ET46,EU46,$F46,$H$19,4)/100)</f>
        <v>0</v>
      </c>
      <c r="FA46" s="157" t="e">
        <f aca="false">IF(ES46=0,0,SPRDOPT(EO46,EP46,$AK46,$AM46,ES46,ET46,EU46,$F46,$H$19,5)/100)</f>
        <v>#NAME?</v>
      </c>
      <c r="FB46" s="157" t="e">
        <f aca="false">IF(ET46=0,0,SPRDOPT(EO46,EP46,$AK46,$AM46,ES46,ET46,EU46,$F46,$H$19,6)/100)</f>
        <v>#NAME?</v>
      </c>
      <c r="FC46" s="157" t="e">
        <f aca="false">IF(EU46=0,0,SPRDOPT(EO46,EP46,$AK46,$AM46,ES46,ET46,EU46,$F46,$H$19,7)/100)</f>
        <v>#NAME?</v>
      </c>
      <c r="FD46" s="157" t="n">
        <f aca="false">IF(EV46=0,0,SPRDOPT(EO46,EP46,$AK46,$AM46,ES46,ET46,EU46,$F46,$H$19,9)/365)</f>
        <v>0</v>
      </c>
      <c r="FE46" s="157" t="e">
        <f aca="false">EW46+EX46</f>
        <v>#NAME?</v>
      </c>
      <c r="FF46" s="157" t="n">
        <f aca="false">EZ46-EY46</f>
        <v>0</v>
      </c>
      <c r="FG46" s="157" t="e">
        <f aca="false">((ES46/ET46)*FA46)+FB46</f>
        <v>#NAME?</v>
      </c>
      <c r="FH46" s="44"/>
      <c r="FI46" s="45" t="n">
        <f aca="false">$EN46*EV46</f>
        <v>0</v>
      </c>
      <c r="FJ46" s="45" t="e">
        <f aca="false">$EN46*EW46</f>
        <v>#NAME?</v>
      </c>
      <c r="FK46" s="45" t="e">
        <f aca="false">$EN46*EX46</f>
        <v>#NAME?</v>
      </c>
      <c r="FL46" s="45" t="n">
        <f aca="false">$EN46*EY46</f>
        <v>0</v>
      </c>
      <c r="FM46" s="45" t="n">
        <f aca="false">$EN46*EZ46</f>
        <v>0</v>
      </c>
      <c r="FN46" s="45" t="e">
        <f aca="false">$EN46*FA46</f>
        <v>#NAME?</v>
      </c>
      <c r="FO46" s="45" t="e">
        <f aca="false">$EN46*FB46</f>
        <v>#NAME?</v>
      </c>
      <c r="FP46" s="45" t="e">
        <f aca="false">$EN46*FC46</f>
        <v>#NAME?</v>
      </c>
      <c r="FQ46" s="45" t="n">
        <f aca="false">$EN46*FD46</f>
        <v>0</v>
      </c>
      <c r="FR46" s="45" t="e">
        <f aca="false">$EN46*FE46</f>
        <v>#NAME?</v>
      </c>
      <c r="FS46" s="45" t="n">
        <f aca="false">$EN46*FF46</f>
        <v>0</v>
      </c>
      <c r="FT46" s="45" t="e">
        <f aca="false">$EN46*FG46</f>
        <v>#NAME?</v>
      </c>
    </row>
    <row r="47" customFormat="false" ht="12.75" hidden="false" customHeight="false" outlineLevel="0" collapsed="false">
      <c r="A47" s="48" t="n">
        <f aca="false">DATE(YEAR(A46),MONTH(A46)+1,1)</f>
        <v>37073</v>
      </c>
      <c r="B47" s="40" t="n">
        <f aca="false">VLOOKUP(A47,STRADDLE,5,FALSE())</f>
        <v>4.42071428571429</v>
      </c>
      <c r="C47" s="4" t="n">
        <f aca="false">VLOOKUP(A47,STRADDLE,8,FALSE())</f>
        <v>0.3925</v>
      </c>
      <c r="D47" s="40"/>
      <c r="E47" s="131"/>
      <c r="F47" s="136" t="n">
        <f aca="false">VLOOKUP(A47,expiration,2,FALSE())-$B$2</f>
        <v>-8857</v>
      </c>
      <c r="G47" s="4"/>
      <c r="H47" s="4"/>
      <c r="I47" s="41"/>
      <c r="J47" s="154"/>
      <c r="K47" s="40" t="n">
        <f aca="false">IF($B$3="NYMEX",0,VLOOKUP($A47,curvesettle,HLOOKUP($B$3,curvesettle,2,FALSE()),FALSE()))</f>
        <v>0.46</v>
      </c>
      <c r="L47" s="40" t="n">
        <f aca="false">IF($B$4="NYMEX",0,VLOOKUP($A47,curvesettle,HLOOKUP($B$4,curvesettle,2,FALSE()),FALSE()))</f>
        <v>0</v>
      </c>
      <c r="M47" s="131" t="n">
        <f aca="false">IF(ISNUMBER(VLOOKUP($A47,VOLCURVES,HLOOKUP($B$3,VOLCURVES,2,FALSE()),FALSE())),VLOOKUP($A47,VOLCURVES,HLOOKUP($B$3,VOLCURVES,2,FALSE()),FALSE()),1)</f>
        <v>0.98</v>
      </c>
      <c r="N47" s="131" t="n">
        <f aca="false">IF(ISNUMBER(VLOOKUP($A47,VOLCURVES,HLOOKUP($B$4,VOLCURVES,2,FALSE()),FALSE())),VLOOKUP($A47,VOLCURVES,HLOOKUP($B$4,VOLCURVES,2,FALSE()),FALSE()),1)</f>
        <v>1</v>
      </c>
      <c r="O47" s="131" t="n">
        <f aca="false">IF(ISNUMBER(VLOOKUP($A47,CORETABLE,HLOOKUP($B$3,CORETABLE,2,FALSE()),FALSE())),VLOOKUP($A47,CORETABLE,HLOOKUP($B$3,CORETABLE,2,FALSE()),FALSE()),0.99)</f>
        <v>0.9773</v>
      </c>
      <c r="P47" s="155" t="n">
        <f aca="false">B$18</f>
        <v>2</v>
      </c>
      <c r="Q47" s="131"/>
      <c r="R47" s="40" t="n">
        <f aca="false">IF($D$3="NYMEX",0,VLOOKUP($A47,curvesettle,HLOOKUP($D$3,curvesettle,2,FALSE()),FALSE()))</f>
        <v>0.46</v>
      </c>
      <c r="S47" s="40" t="n">
        <f aca="false">IF($D$4="NYMEX",0,VLOOKUP($A47,curvesettle,HLOOKUP($D$4,curvesettle,2,FALSE()),FALSE()))</f>
        <v>0</v>
      </c>
      <c r="T47" s="131" t="n">
        <f aca="false">IF(ISNUMBER(VLOOKUP($A47,VOLCURVES,HLOOKUP($D$3,VOLCURVES,2,FALSE()),FALSE())),VLOOKUP($A47,VOLCURVES,HLOOKUP($D$3,VOLCURVES,2,FALSE()),FALSE()),1)</f>
        <v>0.98</v>
      </c>
      <c r="U47" s="131" t="n">
        <f aca="false">IF(ISNUMBER(VLOOKUP($A47,VOLCURVES,HLOOKUP($D$4,VOLCURVES,2,FALSE()),FALSE())),VLOOKUP($A47,VOLCURVES,HLOOKUP($D$4,VOLCURVES,2,FALSE()),FALSE()),1)</f>
        <v>1</v>
      </c>
      <c r="V47" s="131" t="n">
        <f aca="false">IF(ISNUMBER(VLOOKUP($A47,CORETABLE,HLOOKUP($D$3,CORETABLE,2,FALSE()),FALSE())),VLOOKUP($A47,CORETABLE,HLOOKUP($D$3,CORETABLE,2,FALSE()),FALSE()),0.99)</f>
        <v>0.9773</v>
      </c>
      <c r="W47" s="155" t="n">
        <f aca="false">D$18</f>
        <v>2.5</v>
      </c>
      <c r="X47" s="131"/>
      <c r="Y47" s="40" t="n">
        <f aca="false">IF($F$3="NYMEX",0,VLOOKUP($A47,curvesettle,HLOOKUP($F$3,curvesettle,2,FALSE()),FALSE()))</f>
        <v>-0.5725</v>
      </c>
      <c r="Z47" s="40" t="n">
        <f aca="false">IF($F$4="NYMEX",0,VLOOKUP($A47,curvesettle,HLOOKUP($F$4,curvesettle,2,FALSE()),FALSE()))</f>
        <v>0</v>
      </c>
      <c r="AA47" s="131" t="n">
        <f aca="false">IF(ISNUMBER(VLOOKUP($A47,VOLCURVES,HLOOKUP($F$3,VOLCURVES,2,FALSE()),FALSE())),VLOOKUP($A47,VOLCURVES,HLOOKUP($F$3,VOLCURVES,2,FALSE()),FALSE()),1)</f>
        <v>0.97</v>
      </c>
      <c r="AB47" s="131" t="n">
        <f aca="false">IF(ISNUMBER(VLOOKUP($A47,VOLCURVES,HLOOKUP($F$4,VOLCURVES,2,FALSE()),FALSE())),VLOOKUP($A47,VOLCURVES,HLOOKUP($F$4,VOLCURVES,2,FALSE()),FALSE()),1)</f>
        <v>1</v>
      </c>
      <c r="AC47" s="131" t="n">
        <f aca="false">IF(ISNUMBER(VLOOKUP($A47,CORETABLE,HLOOKUP($F$3,CORETABLE,2,FALSE()),FALSE())),VLOOKUP($A47,CORETABLE,HLOOKUP($F$3,CORETABLE,2,FALSE()),FALSE()),1)</f>
        <v>0.96</v>
      </c>
      <c r="AD47" s="155" t="n">
        <f aca="false">F$18</f>
        <v>-0.05</v>
      </c>
      <c r="AE47" s="131"/>
      <c r="AF47" s="40" t="n">
        <f aca="false">IF($H$3="NYMEX",0,VLOOKUP($A47,curvesettle,HLOOKUP($H$3,curvesettle,2,FALSE()),FALSE()))</f>
        <v>0.03</v>
      </c>
      <c r="AG47" s="40" t="n">
        <f aca="false">IF($H$4="NYMEX",0,VLOOKUP($A47,curvesettle,HLOOKUP($H$4,curvesettle,2,FALSE()),FALSE()))</f>
        <v>0</v>
      </c>
      <c r="AH47" s="131" t="n">
        <f aca="false">IF(ISNUMBER(VLOOKUP($A47,VOLCURVES,HLOOKUP($H$3,VOLCURVES,2,FALSE()),FALSE())),VLOOKUP($A47,VOLCURVES,HLOOKUP($H$3,VOLCURVES,2,FALSE()),FALSE()),1)</f>
        <v>1</v>
      </c>
      <c r="AI47" s="131" t="n">
        <f aca="false">IF(ISNUMBER(VLOOKUP($A47,VOLCURVES,HLOOKUP($H$4,VOLCURVES,2,FALSE()),FALSE())),VLOOKUP($A47,VOLCURVES,HLOOKUP($H$4,VOLCURVES,2,FALSE()),FALSE()),1)</f>
        <v>1</v>
      </c>
      <c r="AJ47" s="131" t="n">
        <f aca="false">IF(ISNUMBER(VLOOKUP($A47,CORETABLE,HLOOKUP($H$3,CORETABLE,2,FALSE()),FALSE())),VLOOKUP($A47,CORETABLE,HLOOKUP($H$3,CORETABLE,2,FALSE()),FALSE()),1)</f>
        <v>0.999</v>
      </c>
      <c r="AK47" s="155" t="n">
        <f aca="false">H$18</f>
        <v>-0.05</v>
      </c>
      <c r="AM47" s="4" t="n">
        <f aca="false">VLOOKUP($A47,STRADDLE,12,FALSE())</f>
        <v>0.067795554865608</v>
      </c>
      <c r="AN47" s="43" t="n">
        <f aca="false">A48-A47</f>
        <v>31</v>
      </c>
      <c r="AP47" s="9" t="n">
        <f aca="false">IF($A47&gt;=AR$32,IF($A47&lt;=AR$33,$AN47,0),0)</f>
        <v>0</v>
      </c>
      <c r="AQ47" s="123" t="n">
        <f aca="false">$B47+$K47+$B$12</f>
        <v>4.91071428571429</v>
      </c>
      <c r="AR47" s="123" t="n">
        <f aca="false">$B47+$L47+$B$13</f>
        <v>4.42071428571429</v>
      </c>
      <c r="AS47" s="123" t="n">
        <f aca="false">AQ47*AP47</f>
        <v>0</v>
      </c>
      <c r="AT47" s="123" t="n">
        <f aca="false">AR47*AP47</f>
        <v>0</v>
      </c>
      <c r="AU47" s="156" t="n">
        <f aca="false">($C47*$M47)+$B$14</f>
        <v>0.38465</v>
      </c>
      <c r="AV47" s="156" t="n">
        <f aca="false">($C47*$N47)+$B$15</f>
        <v>0.3925</v>
      </c>
      <c r="AW47" s="131" t="n">
        <f aca="false">O47+B$16</f>
        <v>0.9773</v>
      </c>
      <c r="AX47" s="157" t="n">
        <f aca="false">IF(AP47=0,0,SPRDOPT(AQ47,AR47,$P47,$AM47,AU47,AV47,AW47,$F47,$B$19,0))</f>
        <v>0</v>
      </c>
      <c r="AY47" s="157" t="e">
        <f aca="false">IF(AQ47=0,0,SPRDOPT(AQ47,AR47,$P47,$AM47,AU47,AV47,AW47,$F47,$B$19,1))</f>
        <v>#NAME?</v>
      </c>
      <c r="AZ47" s="157" t="e">
        <f aca="false">IF(AR47=0,0,SPRDOPT(AQ47,AR47,$P47,$AM47,AU47,AV47,AW47,$F47,$B$19,2))</f>
        <v>#NAME?</v>
      </c>
      <c r="BA47" s="157" t="n">
        <f aca="false">IF(AS47=0,0,SPRDOPT(AQ47,AR47,$P47,$AM47,AU47,AV47,AW47,$F47,$B$19,3)/100)</f>
        <v>0</v>
      </c>
      <c r="BB47" s="157" t="n">
        <f aca="false">IF(AT47=0,0,SPRDOPT(AQ47,AR47,$P47,$AM47,AU47,AV47,AW47,$F47,$B$19,4)/100)</f>
        <v>0</v>
      </c>
      <c r="BC47" s="157" t="e">
        <f aca="false">IF(AU47=0,0,SPRDOPT(AQ47,AR47,$P47,$AM47,AU47,AV47,AW47,$F47,$B$19,5)/100)</f>
        <v>#NAME?</v>
      </c>
      <c r="BD47" s="157" t="e">
        <f aca="false">IF(AV47=0,0,SPRDOPT(AQ47,AR47,$P47,$AM47,AU47,AV47,AW47,$F47,$B$19,6)/100)</f>
        <v>#NAME?</v>
      </c>
      <c r="BE47" s="157" t="e">
        <f aca="false">IF(AW47=0,0,SPRDOPT(AQ47,AR47,$P47,$AM47,AU47,AV47,AW47,$F47,$B$19,7)/100)</f>
        <v>#NAME?</v>
      </c>
      <c r="BF47" s="157" t="n">
        <f aca="false">IF(AX47=0,0,SPRDOPT(AQ47,AR47,$P47,$AM47,AU47,AV47,AW47,$F47,$B$19,9)/365)</f>
        <v>0</v>
      </c>
      <c r="BG47" s="157" t="e">
        <f aca="false">AY47+AZ47</f>
        <v>#NAME?</v>
      </c>
      <c r="BH47" s="157" t="n">
        <f aca="false">BB47-BA47</f>
        <v>0</v>
      </c>
      <c r="BI47" s="157" t="e">
        <f aca="false">((AU47/AV47)*BC47)+BD47</f>
        <v>#NAME?</v>
      </c>
      <c r="BJ47" s="44"/>
      <c r="BK47" s="45" t="n">
        <f aca="false">$AP47*AX47</f>
        <v>0</v>
      </c>
      <c r="BL47" s="45" t="e">
        <f aca="false">$AP47*AY47</f>
        <v>#NAME?</v>
      </c>
      <c r="BM47" s="45" t="e">
        <f aca="false">$AP47*AZ47</f>
        <v>#NAME?</v>
      </c>
      <c r="BN47" s="45" t="n">
        <f aca="false">$AP47*BA47</f>
        <v>0</v>
      </c>
      <c r="BO47" s="45" t="n">
        <f aca="false">$AP47*BB47</f>
        <v>0</v>
      </c>
      <c r="BP47" s="45" t="e">
        <f aca="false">$AP47*BC47</f>
        <v>#NAME?</v>
      </c>
      <c r="BQ47" s="45" t="e">
        <f aca="false">$AP47*BD47</f>
        <v>#NAME?</v>
      </c>
      <c r="BR47" s="45" t="e">
        <f aca="false">$AP47*BE47</f>
        <v>#NAME?</v>
      </c>
      <c r="BS47" s="45" t="n">
        <f aca="false">$AP47*BF47</f>
        <v>0</v>
      </c>
      <c r="BT47" s="45" t="e">
        <f aca="false">$AP47*BG47</f>
        <v>#NAME?</v>
      </c>
      <c r="BU47" s="45" t="n">
        <f aca="false">$AP47*BH47</f>
        <v>0</v>
      </c>
      <c r="BV47" s="45" t="e">
        <f aca="false">$AP47*BI47</f>
        <v>#NAME?</v>
      </c>
      <c r="BX47" s="9" t="n">
        <f aca="false">IF($A47&gt;=BZ$32,IF($A47&lt;=BZ$33,$AN47,0),0)</f>
        <v>0</v>
      </c>
      <c r="BY47" s="123" t="n">
        <f aca="false">$B47+$R47+$D$12</f>
        <v>4.91071428571429</v>
      </c>
      <c r="BZ47" s="123" t="n">
        <f aca="false">$B47+$S47+$D$13</f>
        <v>4.42071428571429</v>
      </c>
      <c r="CA47" s="123" t="n">
        <f aca="false">BY47*BX47</f>
        <v>0</v>
      </c>
      <c r="CB47" s="123" t="n">
        <f aca="false">BZ47*BX47</f>
        <v>0</v>
      </c>
      <c r="CC47" s="156" t="n">
        <f aca="false">($C47*$T47)+$D$14</f>
        <v>0.38465</v>
      </c>
      <c r="CD47" s="156" t="n">
        <f aca="false">($C47*$U47)+$D$15</f>
        <v>0.3925</v>
      </c>
      <c r="CE47" s="131" t="n">
        <f aca="false">$V47+D$16</f>
        <v>0.9773</v>
      </c>
      <c r="CF47" s="157" t="n">
        <f aca="false">IF(BX47=0,0,SPRDOPT(BY47,BZ47,$W47,$AM47,CC47,CD47,CE47,$F47,$D$19,0))</f>
        <v>0</v>
      </c>
      <c r="CG47" s="157" t="e">
        <f aca="false">IF(BY47=0,0,SPRDOPT(BY47,BZ47,$W47,$AM47,CC47,CD47,CE47,$F47,$D$19,1))</f>
        <v>#NAME?</v>
      </c>
      <c r="CH47" s="157" t="e">
        <f aca="false">IF(BZ47=0,0,SPRDOPT(BY47,BZ47,$W47,$AM47,CC47,CD47,CE47,$F47,$D$19,2))</f>
        <v>#NAME?</v>
      </c>
      <c r="CI47" s="157" t="n">
        <f aca="false">IF(CA47=0,0,SPRDOPT(BY47,BZ47,$W47,$AM47,CC47,CD47,CE47,$F47,$D$19,3)/100)</f>
        <v>0</v>
      </c>
      <c r="CJ47" s="157" t="n">
        <f aca="false">IF(CB47=0,0,SPRDOPT(BY47,BZ47,$W47,$AM47,CC47,CD47,CE47,$F47,$D$19,4)/100)</f>
        <v>0</v>
      </c>
      <c r="CK47" s="157" t="e">
        <f aca="false">IF(CC47=0,0,SPRDOPT(BY47,BZ47,$W47,$AM47,CC47,CD47,CE47,$F47,$D$19,5)/100)</f>
        <v>#NAME?</v>
      </c>
      <c r="CL47" s="157" t="e">
        <f aca="false">IF(CD47=0,0,SPRDOPT(BY47,BZ47,$W47,$AM47,CC47,CD47,CE47,$F47,$D$19,6)/100)</f>
        <v>#NAME?</v>
      </c>
      <c r="CM47" s="157" t="e">
        <f aca="false">IF(CE47=0,0,SPRDOPT(BY47,BZ47,$W47,$AM47,CC47,CD47,CE47,$F47,$D$19,7)/100)</f>
        <v>#NAME?</v>
      </c>
      <c r="CN47" s="157" t="n">
        <f aca="false">IF(CF47=0,0,SPRDOPT(BY47,BZ47,$W47,$AM47,CC47,CD47,CE47,$F47,$D$19,9)/365)</f>
        <v>0</v>
      </c>
      <c r="CO47" s="157" t="e">
        <f aca="false">CG47+CH47</f>
        <v>#NAME?</v>
      </c>
      <c r="CP47" s="157" t="n">
        <f aca="false">CJ47-CI47</f>
        <v>0</v>
      </c>
      <c r="CQ47" s="157" t="e">
        <f aca="false">((CC47/CD47)*CK47)+CL47</f>
        <v>#NAME?</v>
      </c>
      <c r="CR47" s="44"/>
      <c r="CS47" s="45" t="n">
        <f aca="false">BX47*CF47</f>
        <v>0</v>
      </c>
      <c r="CT47" s="45" t="e">
        <f aca="false">BX47*CG47</f>
        <v>#NAME?</v>
      </c>
      <c r="CU47" s="45" t="e">
        <f aca="false">BX47*CH47</f>
        <v>#NAME?</v>
      </c>
      <c r="CV47" s="45" t="n">
        <f aca="false">BX47*CI47</f>
        <v>0</v>
      </c>
      <c r="CW47" s="45" t="n">
        <f aca="false">BX47*CJ47</f>
        <v>0</v>
      </c>
      <c r="CX47" s="45" t="e">
        <f aca="false">BX47*CK47</f>
        <v>#NAME?</v>
      </c>
      <c r="CY47" s="45" t="e">
        <f aca="false">BX47*CL47</f>
        <v>#NAME?</v>
      </c>
      <c r="CZ47" s="45" t="e">
        <f aca="false">BX47*CM47</f>
        <v>#NAME?</v>
      </c>
      <c r="DA47" s="45" t="n">
        <f aca="false">BX47*CN47</f>
        <v>0</v>
      </c>
      <c r="DB47" s="45" t="e">
        <f aca="false">BX47*CO47</f>
        <v>#NAME?</v>
      </c>
      <c r="DC47" s="45" t="n">
        <f aca="false">BX47*CP47</f>
        <v>0</v>
      </c>
      <c r="DD47" s="45" t="e">
        <f aca="false">BX47*CQ47</f>
        <v>#NAME?</v>
      </c>
      <c r="DF47" s="9" t="n">
        <f aca="false">IF($A47&gt;=DH$32,IF($A47&lt;=DH$33,$AN47,0),0)</f>
        <v>31</v>
      </c>
      <c r="DG47" s="123" t="n">
        <f aca="false">$B47+$Y47+$F$12</f>
        <v>3.85321428571429</v>
      </c>
      <c r="DH47" s="123" t="n">
        <f aca="false">$B47+$Z47+$F$13</f>
        <v>4.42071428571429</v>
      </c>
      <c r="DI47" s="123" t="n">
        <f aca="false">DG47*DF47</f>
        <v>119.449642857143</v>
      </c>
      <c r="DJ47" s="123" t="n">
        <f aca="false">DH47*DF47</f>
        <v>137.042142857143</v>
      </c>
      <c r="DK47" s="156" t="n">
        <f aca="false">($C47*$AA47)+$F$14</f>
        <v>0.380725</v>
      </c>
      <c r="DL47" s="156" t="n">
        <f aca="false">($C47*$AB47)+$F$15</f>
        <v>0.3925</v>
      </c>
      <c r="DM47" s="131" t="n">
        <f aca="false">$AC47+$F$16</f>
        <v>0.974</v>
      </c>
      <c r="DN47" s="157" t="e">
        <f aca="false">IF(DF47=0,0,SPRDOPT(DG47,DH47,$AD47,$AM47,DK47,DL47,DM47,$F47,$F$19,0))</f>
        <v>#NAME?</v>
      </c>
      <c r="DO47" s="157" t="e">
        <f aca="false">IF(DG47=0,0,SPRDOPT(DG47,DH47,$AD47,$AM47,DK47,DL47,DM47,$F47,$F$19,1))</f>
        <v>#NAME?</v>
      </c>
      <c r="DP47" s="157" t="e">
        <f aca="false">IF(DH47=0,0,SPRDOPT(DG47,DH47,$AD47,$AM47,DK47,DL47,DM47,$F47,$F$19,2))</f>
        <v>#NAME?</v>
      </c>
      <c r="DQ47" s="157" t="e">
        <f aca="false">IF(DI47=0,0,SPRDOPT(DG47,DH47,$AD47,$AM47,DK47,DL47,DM47,$F47,$F$19,3)/100)</f>
        <v>#NAME?</v>
      </c>
      <c r="DR47" s="157" t="e">
        <f aca="false">IF(DJ47=0,0,SPRDOPT(DG47,DH47,$AD47,$AM47,DK47,DL47,DM47,$F47,$F$19,4)/100)</f>
        <v>#NAME?</v>
      </c>
      <c r="DS47" s="157" t="e">
        <f aca="false">IF(DK47=0,0,SPRDOPT(DG47,DH47,$AD47,$AM47,DK47,DL47,DM47,$F47,$F$19,5)/100)</f>
        <v>#NAME?</v>
      </c>
      <c r="DT47" s="157" t="e">
        <f aca="false">IF(DL47=0,0,SPRDOPT(DG47,DH47,$AD47,$AM47,DK47,DL47,DM47,$F47,$F$19,6)/100)</f>
        <v>#NAME?</v>
      </c>
      <c r="DU47" s="157" t="e">
        <f aca="false">IF(DM47=0,0,SPRDOPT(DG47,DH47,$AD47,$AM47,DK47,DL47,DM47,$F47,$F$19,7)/100)</f>
        <v>#NAME?</v>
      </c>
      <c r="DV47" s="157" t="e">
        <f aca="false">IF(DN47=0,0,SPRDOPT(DG47,DH47,$AD47,$AM47,DK47,DL47,DM47,$F47,$F$19,9)/365)</f>
        <v>#NAME?</v>
      </c>
      <c r="DW47" s="157" t="e">
        <f aca="false">DO47+DP47</f>
        <v>#NAME?</v>
      </c>
      <c r="DX47" s="157" t="e">
        <f aca="false">DR47-DQ47</f>
        <v>#NAME?</v>
      </c>
      <c r="DY47" s="157" t="e">
        <f aca="false">((DK47/DL47)*DS47)+DT47</f>
        <v>#NAME?</v>
      </c>
      <c r="DZ47" s="44"/>
      <c r="EA47" s="45" t="e">
        <f aca="false">DF47*DN47</f>
        <v>#NAME?</v>
      </c>
      <c r="EB47" s="45" t="e">
        <f aca="false">DF47*DO47</f>
        <v>#NAME?</v>
      </c>
      <c r="EC47" s="45" t="e">
        <f aca="false">DF47*DP47</f>
        <v>#NAME?</v>
      </c>
      <c r="ED47" s="45" t="e">
        <f aca="false">DF47*DQ47</f>
        <v>#NAME?</v>
      </c>
      <c r="EE47" s="45" t="e">
        <f aca="false">DF47*DR47</f>
        <v>#NAME?</v>
      </c>
      <c r="EF47" s="45" t="e">
        <f aca="false">DF47*DS47</f>
        <v>#NAME?</v>
      </c>
      <c r="EG47" s="45" t="e">
        <f aca="false">DF47*DT47</f>
        <v>#NAME?</v>
      </c>
      <c r="EH47" s="45" t="e">
        <f aca="false">DF47*DU47</f>
        <v>#NAME?</v>
      </c>
      <c r="EI47" s="45" t="e">
        <f aca="false">DF47*DV47</f>
        <v>#NAME?</v>
      </c>
      <c r="EJ47" s="45" t="e">
        <f aca="false">DF47*DW47</f>
        <v>#NAME?</v>
      </c>
      <c r="EK47" s="45" t="e">
        <f aca="false">DF47*DX47</f>
        <v>#NAME?</v>
      </c>
      <c r="EL47" s="45" t="e">
        <f aca="false">DF47*DY47</f>
        <v>#NAME?</v>
      </c>
      <c r="EN47" s="9" t="n">
        <f aca="false">IF($A47&gt;=EP$32,IF($A47&lt;=EP$33,$AN47,0),0)</f>
        <v>0</v>
      </c>
      <c r="EO47" s="123" t="n">
        <f aca="false">$B47+$AF47+$H$12</f>
        <v>4.45071428571429</v>
      </c>
      <c r="EP47" s="123" t="n">
        <f aca="false">$B47+$AG47+$H$13</f>
        <v>4.42071428571429</v>
      </c>
      <c r="EQ47" s="123" t="n">
        <f aca="false">EO47*EN47</f>
        <v>0</v>
      </c>
      <c r="ER47" s="123" t="n">
        <f aca="false">EP47*EN47</f>
        <v>0</v>
      </c>
      <c r="ES47" s="156" t="n">
        <f aca="false">($C47*$AH47)+$H$14</f>
        <v>0.3925</v>
      </c>
      <c r="ET47" s="156" t="n">
        <f aca="false">($C47*$AI47)+$H$15</f>
        <v>0.3925</v>
      </c>
      <c r="EU47" s="131" t="n">
        <f aca="false">$AJ47+$H$16</f>
        <v>0.998</v>
      </c>
      <c r="EV47" s="157" t="n">
        <f aca="false">IF(EN47=0,0,SPRDOPT(EO47,EP47,$AK47,$AM47,ES47,ET47,EU47,$F47,$H$19,0))</f>
        <v>0</v>
      </c>
      <c r="EW47" s="157" t="e">
        <f aca="false">IF(EO47=0,0,SPRDOPT(EO47,EP47,$AK47,$AM47,ES47,ET47,EU47,$F47,$H$19,1))</f>
        <v>#NAME?</v>
      </c>
      <c r="EX47" s="157" t="e">
        <f aca="false">IF(EP47=0,0,SPRDOPT(EO47,EP47,$AK47,$AM47,ES47,ET47,EU47,$F47,$H$19,2))</f>
        <v>#NAME?</v>
      </c>
      <c r="EY47" s="157" t="n">
        <f aca="false">IF(EQ47=0,0,SPRDOPT(EO47,EP47,$AK47,$AM47,ES47,ET47,EU47,$F47,$H$19,3)/100)</f>
        <v>0</v>
      </c>
      <c r="EZ47" s="157" t="n">
        <f aca="false">IF(ER47=0,0,SPRDOPT(EO47,EP47,$AK47,$AM47,ES47,ET47,EU47,$F47,$H$19,4)/100)</f>
        <v>0</v>
      </c>
      <c r="FA47" s="157" t="e">
        <f aca="false">IF(ES47=0,0,SPRDOPT(EO47,EP47,$AK47,$AM47,ES47,ET47,EU47,$F47,$H$19,5)/100)</f>
        <v>#NAME?</v>
      </c>
      <c r="FB47" s="157" t="e">
        <f aca="false">IF(ET47=0,0,SPRDOPT(EO47,EP47,$AK47,$AM47,ES47,ET47,EU47,$F47,$H$19,6)/100)</f>
        <v>#NAME?</v>
      </c>
      <c r="FC47" s="157" t="e">
        <f aca="false">IF(EU47=0,0,SPRDOPT(EO47,EP47,$AK47,$AM47,ES47,ET47,EU47,$F47,$H$19,7)/100)</f>
        <v>#NAME?</v>
      </c>
      <c r="FD47" s="157" t="n">
        <f aca="false">IF(EV47=0,0,SPRDOPT(EO47,EP47,$AK47,$AM47,ES47,ET47,EU47,$F47,$H$19,9)/365)</f>
        <v>0</v>
      </c>
      <c r="FE47" s="157" t="e">
        <f aca="false">EW47+EX47</f>
        <v>#NAME?</v>
      </c>
      <c r="FF47" s="157" t="n">
        <f aca="false">EZ47-EY47</f>
        <v>0</v>
      </c>
      <c r="FG47" s="157" t="e">
        <f aca="false">((ES47/ET47)*FA47)+FB47</f>
        <v>#NAME?</v>
      </c>
      <c r="FH47" s="44"/>
      <c r="FI47" s="45" t="n">
        <f aca="false">$EN47*EV47</f>
        <v>0</v>
      </c>
      <c r="FJ47" s="45" t="e">
        <f aca="false">$EN47*EW47</f>
        <v>#NAME?</v>
      </c>
      <c r="FK47" s="45" t="e">
        <f aca="false">$EN47*EX47</f>
        <v>#NAME?</v>
      </c>
      <c r="FL47" s="45" t="n">
        <f aca="false">$EN47*EY47</f>
        <v>0</v>
      </c>
      <c r="FM47" s="45" t="n">
        <f aca="false">$EN47*EZ47</f>
        <v>0</v>
      </c>
      <c r="FN47" s="45" t="e">
        <f aca="false">$EN47*FA47</f>
        <v>#NAME?</v>
      </c>
      <c r="FO47" s="45" t="e">
        <f aca="false">$EN47*FB47</f>
        <v>#NAME?</v>
      </c>
      <c r="FP47" s="45" t="e">
        <f aca="false">$EN47*FC47</f>
        <v>#NAME?</v>
      </c>
      <c r="FQ47" s="45" t="n">
        <f aca="false">$EN47*FD47</f>
        <v>0</v>
      </c>
      <c r="FR47" s="45" t="e">
        <f aca="false">$EN47*FE47</f>
        <v>#NAME?</v>
      </c>
      <c r="FS47" s="45" t="n">
        <f aca="false">$EN47*FF47</f>
        <v>0</v>
      </c>
      <c r="FT47" s="45" t="e">
        <f aca="false">$EN47*FG47</f>
        <v>#NAME?</v>
      </c>
    </row>
    <row r="48" customFormat="false" ht="12.75" hidden="false" customHeight="false" outlineLevel="0" collapsed="false">
      <c r="A48" s="48" t="n">
        <f aca="false">DATE(YEAR(A47),MONTH(A47)+1,1)</f>
        <v>37104</v>
      </c>
      <c r="B48" s="40" t="n">
        <f aca="false">VLOOKUP(A48,STRADDLE,5,FALSE())</f>
        <v>4.41071428571429</v>
      </c>
      <c r="C48" s="4" t="n">
        <f aca="false">VLOOKUP(A48,STRADDLE,8,FALSE())</f>
        <v>0.3925</v>
      </c>
      <c r="D48" s="40"/>
      <c r="E48" s="131"/>
      <c r="F48" s="136" t="n">
        <f aca="false">VLOOKUP(A48,expiration,2,FALSE())-$B$2</f>
        <v>-8827</v>
      </c>
      <c r="G48" s="4"/>
      <c r="H48" s="4"/>
      <c r="I48" s="41"/>
      <c r="J48" s="154"/>
      <c r="K48" s="40" t="n">
        <f aca="false">IF($B$3="NYMEX",0,VLOOKUP($A48,curvesettle,HLOOKUP($B$3,curvesettle,2,FALSE()),FALSE()))</f>
        <v>0.46</v>
      </c>
      <c r="L48" s="40" t="n">
        <f aca="false">IF($B$4="NYMEX",0,VLOOKUP($A48,curvesettle,HLOOKUP($B$4,curvesettle,2,FALSE()),FALSE()))</f>
        <v>0</v>
      </c>
      <c r="M48" s="131" t="n">
        <f aca="false">IF(ISNUMBER(VLOOKUP($A48,VOLCURVES,HLOOKUP($B$3,VOLCURVES,2,FALSE()),FALSE())),VLOOKUP($A48,VOLCURVES,HLOOKUP($B$3,VOLCURVES,2,FALSE()),FALSE()),1)</f>
        <v>0.98</v>
      </c>
      <c r="N48" s="131" t="n">
        <f aca="false">IF(ISNUMBER(VLOOKUP($A48,VOLCURVES,HLOOKUP($B$4,VOLCURVES,2,FALSE()),FALSE())),VLOOKUP($A48,VOLCURVES,HLOOKUP($B$4,VOLCURVES,2,FALSE()),FALSE()),1)</f>
        <v>1</v>
      </c>
      <c r="O48" s="131" t="n">
        <f aca="false">IF(ISNUMBER(VLOOKUP($A48,CORETABLE,HLOOKUP($B$3,CORETABLE,2,FALSE()),FALSE())),VLOOKUP($A48,CORETABLE,HLOOKUP($B$3,CORETABLE,2,FALSE()),FALSE()),0.99)</f>
        <v>0.9773</v>
      </c>
      <c r="P48" s="155" t="n">
        <f aca="false">B$18</f>
        <v>2</v>
      </c>
      <c r="Q48" s="131"/>
      <c r="R48" s="40" t="n">
        <f aca="false">IF($D$3="NYMEX",0,VLOOKUP($A48,curvesettle,HLOOKUP($D$3,curvesettle,2,FALSE()),FALSE()))</f>
        <v>0.46</v>
      </c>
      <c r="S48" s="40" t="n">
        <f aca="false">IF($D$4="NYMEX",0,VLOOKUP($A48,curvesettle,HLOOKUP($D$4,curvesettle,2,FALSE()),FALSE()))</f>
        <v>0</v>
      </c>
      <c r="T48" s="131" t="n">
        <f aca="false">IF(ISNUMBER(VLOOKUP($A48,VOLCURVES,HLOOKUP($D$3,VOLCURVES,2,FALSE()),FALSE())),VLOOKUP($A48,VOLCURVES,HLOOKUP($D$3,VOLCURVES,2,FALSE()),FALSE()),1)</f>
        <v>0.98</v>
      </c>
      <c r="U48" s="131" t="n">
        <f aca="false">IF(ISNUMBER(VLOOKUP($A48,VOLCURVES,HLOOKUP($D$4,VOLCURVES,2,FALSE()),FALSE())),VLOOKUP($A48,VOLCURVES,HLOOKUP($D$4,VOLCURVES,2,FALSE()),FALSE()),1)</f>
        <v>1</v>
      </c>
      <c r="V48" s="131" t="n">
        <f aca="false">IF(ISNUMBER(VLOOKUP($A48,CORETABLE,HLOOKUP($D$3,CORETABLE,2,FALSE()),FALSE())),VLOOKUP($A48,CORETABLE,HLOOKUP($D$3,CORETABLE,2,FALSE()),FALSE()),0.99)</f>
        <v>0.9773</v>
      </c>
      <c r="W48" s="155" t="n">
        <f aca="false">D$18</f>
        <v>2.5</v>
      </c>
      <c r="X48" s="131"/>
      <c r="Y48" s="40" t="n">
        <f aca="false">IF($F$3="NYMEX",0,VLOOKUP($A48,curvesettle,HLOOKUP($F$3,curvesettle,2,FALSE()),FALSE()))</f>
        <v>-0.5725</v>
      </c>
      <c r="Z48" s="40" t="n">
        <f aca="false">IF($F$4="NYMEX",0,VLOOKUP($A48,curvesettle,HLOOKUP($F$4,curvesettle,2,FALSE()),FALSE()))</f>
        <v>0</v>
      </c>
      <c r="AA48" s="131" t="n">
        <f aca="false">IF(ISNUMBER(VLOOKUP($A48,VOLCURVES,HLOOKUP($F$3,VOLCURVES,2,FALSE()),FALSE())),VLOOKUP($A48,VOLCURVES,HLOOKUP($F$3,VOLCURVES,2,FALSE()),FALSE()),1)</f>
        <v>0.97</v>
      </c>
      <c r="AB48" s="131" t="n">
        <f aca="false">IF(ISNUMBER(VLOOKUP($A48,VOLCURVES,HLOOKUP($F$4,VOLCURVES,2,FALSE()),FALSE())),VLOOKUP($A48,VOLCURVES,HLOOKUP($F$4,VOLCURVES,2,FALSE()),FALSE()),1)</f>
        <v>1</v>
      </c>
      <c r="AC48" s="131" t="n">
        <f aca="false">IF(ISNUMBER(VLOOKUP($A48,CORETABLE,HLOOKUP($F$3,CORETABLE,2,FALSE()),FALSE())),VLOOKUP($A48,CORETABLE,HLOOKUP($F$3,CORETABLE,2,FALSE()),FALSE()),1)</f>
        <v>0.96</v>
      </c>
      <c r="AD48" s="155" t="n">
        <f aca="false">F$18</f>
        <v>-0.05</v>
      </c>
      <c r="AE48" s="131"/>
      <c r="AF48" s="40" t="n">
        <f aca="false">IF($H$3="NYMEX",0,VLOOKUP($A48,curvesettle,HLOOKUP($H$3,curvesettle,2,FALSE()),FALSE()))</f>
        <v>0.0325</v>
      </c>
      <c r="AG48" s="40" t="n">
        <f aca="false">IF($H$4="NYMEX",0,VLOOKUP($A48,curvesettle,HLOOKUP($H$4,curvesettle,2,FALSE()),FALSE()))</f>
        <v>0</v>
      </c>
      <c r="AH48" s="131" t="n">
        <f aca="false">IF(ISNUMBER(VLOOKUP($A48,VOLCURVES,HLOOKUP($H$3,VOLCURVES,2,FALSE()),FALSE())),VLOOKUP($A48,VOLCURVES,HLOOKUP($H$3,VOLCURVES,2,FALSE()),FALSE()),1)</f>
        <v>1</v>
      </c>
      <c r="AI48" s="131" t="n">
        <f aca="false">IF(ISNUMBER(VLOOKUP($A48,VOLCURVES,HLOOKUP($H$4,VOLCURVES,2,FALSE()),FALSE())),VLOOKUP($A48,VOLCURVES,HLOOKUP($H$4,VOLCURVES,2,FALSE()),FALSE()),1)</f>
        <v>1</v>
      </c>
      <c r="AJ48" s="131" t="n">
        <f aca="false">IF(ISNUMBER(VLOOKUP($A48,CORETABLE,HLOOKUP($H$3,CORETABLE,2,FALSE()),FALSE())),VLOOKUP($A48,CORETABLE,HLOOKUP($H$3,CORETABLE,2,FALSE()),FALSE()),1)</f>
        <v>0.999</v>
      </c>
      <c r="AK48" s="155" t="n">
        <f aca="false">H$18</f>
        <v>-0.05</v>
      </c>
      <c r="AM48" s="4" t="n">
        <f aca="false">VLOOKUP($A48,STRADDLE,12,FALSE())</f>
        <v>0.067695044006758</v>
      </c>
      <c r="AN48" s="43" t="n">
        <f aca="false">A49-A48</f>
        <v>31</v>
      </c>
      <c r="AP48" s="9" t="n">
        <f aca="false">IF($A48&gt;=AR$32,IF($A48&lt;=AR$33,$AN48,0),0)</f>
        <v>0</v>
      </c>
      <c r="AQ48" s="123" t="n">
        <f aca="false">$B48+$K48+$B$12</f>
        <v>4.90071428571429</v>
      </c>
      <c r="AR48" s="123" t="n">
        <f aca="false">$B48+$L48+$B$13</f>
        <v>4.41071428571429</v>
      </c>
      <c r="AS48" s="123" t="n">
        <f aca="false">AQ48*AP48</f>
        <v>0</v>
      </c>
      <c r="AT48" s="123" t="n">
        <f aca="false">AR48*AP48</f>
        <v>0</v>
      </c>
      <c r="AU48" s="156" t="n">
        <f aca="false">($C48*$M48)+$B$14</f>
        <v>0.38465</v>
      </c>
      <c r="AV48" s="156" t="n">
        <f aca="false">($C48*$N48)+$B$15</f>
        <v>0.3925</v>
      </c>
      <c r="AW48" s="131" t="n">
        <f aca="false">O48+B$16</f>
        <v>0.9773</v>
      </c>
      <c r="AX48" s="157" t="n">
        <f aca="false">IF(AP48=0,0,SPRDOPT(AQ48,AR48,$P48,$AM48,AU48,AV48,AW48,$F48,$B$19,0))</f>
        <v>0</v>
      </c>
      <c r="AY48" s="157" t="e">
        <f aca="false">IF(AQ48=0,0,SPRDOPT(AQ48,AR48,$P48,$AM48,AU48,AV48,AW48,$F48,$B$19,1))</f>
        <v>#NAME?</v>
      </c>
      <c r="AZ48" s="157" t="e">
        <f aca="false">IF(AR48=0,0,SPRDOPT(AQ48,AR48,$P48,$AM48,AU48,AV48,AW48,$F48,$B$19,2))</f>
        <v>#NAME?</v>
      </c>
      <c r="BA48" s="157" t="n">
        <f aca="false">IF(AS48=0,0,SPRDOPT(AQ48,AR48,$P48,$AM48,AU48,AV48,AW48,$F48,$B$19,3)/100)</f>
        <v>0</v>
      </c>
      <c r="BB48" s="157" t="n">
        <f aca="false">IF(AT48=0,0,SPRDOPT(AQ48,AR48,$P48,$AM48,AU48,AV48,AW48,$F48,$B$19,4)/100)</f>
        <v>0</v>
      </c>
      <c r="BC48" s="157" t="e">
        <f aca="false">IF(AU48=0,0,SPRDOPT(AQ48,AR48,$P48,$AM48,AU48,AV48,AW48,$F48,$B$19,5)/100)</f>
        <v>#NAME?</v>
      </c>
      <c r="BD48" s="157" t="e">
        <f aca="false">IF(AV48=0,0,SPRDOPT(AQ48,AR48,$P48,$AM48,AU48,AV48,AW48,$F48,$B$19,6)/100)</f>
        <v>#NAME?</v>
      </c>
      <c r="BE48" s="157" t="e">
        <f aca="false">IF(AW48=0,0,SPRDOPT(AQ48,AR48,$P48,$AM48,AU48,AV48,AW48,$F48,$B$19,7)/100)</f>
        <v>#NAME?</v>
      </c>
      <c r="BF48" s="157" t="n">
        <f aca="false">IF(AX48=0,0,SPRDOPT(AQ48,AR48,$P48,$AM48,AU48,AV48,AW48,$F48,$B$19,9)/365)</f>
        <v>0</v>
      </c>
      <c r="BG48" s="157" t="e">
        <f aca="false">AY48+AZ48</f>
        <v>#NAME?</v>
      </c>
      <c r="BH48" s="157" t="n">
        <f aca="false">BB48-BA48</f>
        <v>0</v>
      </c>
      <c r="BI48" s="157" t="e">
        <f aca="false">((AU48/AV48)*BC48)+BD48</f>
        <v>#NAME?</v>
      </c>
      <c r="BJ48" s="44"/>
      <c r="BK48" s="45" t="n">
        <f aca="false">$AP48*AX48</f>
        <v>0</v>
      </c>
      <c r="BL48" s="45" t="e">
        <f aca="false">$AP48*AY48</f>
        <v>#NAME?</v>
      </c>
      <c r="BM48" s="45" t="e">
        <f aca="false">$AP48*AZ48</f>
        <v>#NAME?</v>
      </c>
      <c r="BN48" s="45" t="n">
        <f aca="false">$AP48*BA48</f>
        <v>0</v>
      </c>
      <c r="BO48" s="45" t="n">
        <f aca="false">$AP48*BB48</f>
        <v>0</v>
      </c>
      <c r="BP48" s="45" t="e">
        <f aca="false">$AP48*BC48</f>
        <v>#NAME?</v>
      </c>
      <c r="BQ48" s="45" t="e">
        <f aca="false">$AP48*BD48</f>
        <v>#NAME?</v>
      </c>
      <c r="BR48" s="45" t="e">
        <f aca="false">$AP48*BE48</f>
        <v>#NAME?</v>
      </c>
      <c r="BS48" s="45" t="n">
        <f aca="false">$AP48*BF48</f>
        <v>0</v>
      </c>
      <c r="BT48" s="45" t="e">
        <f aca="false">$AP48*BG48</f>
        <v>#NAME?</v>
      </c>
      <c r="BU48" s="45" t="n">
        <f aca="false">$AP48*BH48</f>
        <v>0</v>
      </c>
      <c r="BV48" s="45" t="e">
        <f aca="false">$AP48*BI48</f>
        <v>#NAME?</v>
      </c>
      <c r="BX48" s="9" t="n">
        <f aca="false">IF($A48&gt;=BZ$32,IF($A48&lt;=BZ$33,$AN48,0),0)</f>
        <v>0</v>
      </c>
      <c r="BY48" s="123" t="n">
        <f aca="false">$B48+$R48+$D$12</f>
        <v>4.90071428571429</v>
      </c>
      <c r="BZ48" s="123" t="n">
        <f aca="false">$B48+$S48+$D$13</f>
        <v>4.41071428571429</v>
      </c>
      <c r="CA48" s="123" t="n">
        <f aca="false">BY48*BX48</f>
        <v>0</v>
      </c>
      <c r="CB48" s="123" t="n">
        <f aca="false">BZ48*BX48</f>
        <v>0</v>
      </c>
      <c r="CC48" s="156" t="n">
        <f aca="false">($C48*$T48)+$D$14</f>
        <v>0.38465</v>
      </c>
      <c r="CD48" s="156" t="n">
        <f aca="false">($C48*$U48)+$D$15</f>
        <v>0.3925</v>
      </c>
      <c r="CE48" s="131" t="n">
        <f aca="false">$V48+D$16</f>
        <v>0.9773</v>
      </c>
      <c r="CF48" s="157" t="n">
        <f aca="false">IF(BX48=0,0,SPRDOPT(BY48,BZ48,$W48,$AM48,CC48,CD48,CE48,$F48,$D$19,0))</f>
        <v>0</v>
      </c>
      <c r="CG48" s="157" t="e">
        <f aca="false">IF(BY48=0,0,SPRDOPT(BY48,BZ48,$W48,$AM48,CC48,CD48,CE48,$F48,$D$19,1))</f>
        <v>#NAME?</v>
      </c>
      <c r="CH48" s="157" t="e">
        <f aca="false">IF(BZ48=0,0,SPRDOPT(BY48,BZ48,$W48,$AM48,CC48,CD48,CE48,$F48,$D$19,2))</f>
        <v>#NAME?</v>
      </c>
      <c r="CI48" s="157" t="n">
        <f aca="false">IF(CA48=0,0,SPRDOPT(BY48,BZ48,$W48,$AM48,CC48,CD48,CE48,$F48,$D$19,3)/100)</f>
        <v>0</v>
      </c>
      <c r="CJ48" s="157" t="n">
        <f aca="false">IF(CB48=0,0,SPRDOPT(BY48,BZ48,$W48,$AM48,CC48,CD48,CE48,$F48,$D$19,4)/100)</f>
        <v>0</v>
      </c>
      <c r="CK48" s="157" t="e">
        <f aca="false">IF(CC48=0,0,SPRDOPT(BY48,BZ48,$W48,$AM48,CC48,CD48,CE48,$F48,$D$19,5)/100)</f>
        <v>#NAME?</v>
      </c>
      <c r="CL48" s="157" t="e">
        <f aca="false">IF(CD48=0,0,SPRDOPT(BY48,BZ48,$W48,$AM48,CC48,CD48,CE48,$F48,$D$19,6)/100)</f>
        <v>#NAME?</v>
      </c>
      <c r="CM48" s="157" t="e">
        <f aca="false">IF(CE48=0,0,SPRDOPT(BY48,BZ48,$W48,$AM48,CC48,CD48,CE48,$F48,$D$19,7)/100)</f>
        <v>#NAME?</v>
      </c>
      <c r="CN48" s="157" t="n">
        <f aca="false">IF(CF48=0,0,SPRDOPT(BY48,BZ48,$W48,$AM48,CC48,CD48,CE48,$F48,$D$19,9)/365)</f>
        <v>0</v>
      </c>
      <c r="CO48" s="157" t="e">
        <f aca="false">CG48+CH48</f>
        <v>#NAME?</v>
      </c>
      <c r="CP48" s="157" t="n">
        <f aca="false">CJ48-CI48</f>
        <v>0</v>
      </c>
      <c r="CQ48" s="157" t="e">
        <f aca="false">((CC48/CD48)*CK48)+CL48</f>
        <v>#NAME?</v>
      </c>
      <c r="CR48" s="44"/>
      <c r="CS48" s="45" t="n">
        <f aca="false">BX48*CF48</f>
        <v>0</v>
      </c>
      <c r="CT48" s="45" t="e">
        <f aca="false">BX48*CG48</f>
        <v>#NAME?</v>
      </c>
      <c r="CU48" s="45" t="e">
        <f aca="false">BX48*CH48</f>
        <v>#NAME?</v>
      </c>
      <c r="CV48" s="45" t="n">
        <f aca="false">BX48*CI48</f>
        <v>0</v>
      </c>
      <c r="CW48" s="45" t="n">
        <f aca="false">BX48*CJ48</f>
        <v>0</v>
      </c>
      <c r="CX48" s="45" t="e">
        <f aca="false">BX48*CK48</f>
        <v>#NAME?</v>
      </c>
      <c r="CY48" s="45" t="e">
        <f aca="false">BX48*CL48</f>
        <v>#NAME?</v>
      </c>
      <c r="CZ48" s="45" t="e">
        <f aca="false">BX48*CM48</f>
        <v>#NAME?</v>
      </c>
      <c r="DA48" s="45" t="n">
        <f aca="false">BX48*CN48</f>
        <v>0</v>
      </c>
      <c r="DB48" s="45" t="e">
        <f aca="false">BX48*CO48</f>
        <v>#NAME?</v>
      </c>
      <c r="DC48" s="45" t="n">
        <f aca="false">BX48*CP48</f>
        <v>0</v>
      </c>
      <c r="DD48" s="45" t="e">
        <f aca="false">BX48*CQ48</f>
        <v>#NAME?</v>
      </c>
      <c r="DF48" s="9" t="n">
        <f aca="false">IF($A48&gt;=DH$32,IF($A48&lt;=DH$33,$AN48,0),0)</f>
        <v>31</v>
      </c>
      <c r="DG48" s="123" t="n">
        <f aca="false">$B48+$Y48+$F$12</f>
        <v>3.84321428571429</v>
      </c>
      <c r="DH48" s="123" t="n">
        <f aca="false">$B48+$Z48+$F$13</f>
        <v>4.41071428571429</v>
      </c>
      <c r="DI48" s="123" t="n">
        <f aca="false">DG48*DF48</f>
        <v>119.139642857143</v>
      </c>
      <c r="DJ48" s="123" t="n">
        <f aca="false">DH48*DF48</f>
        <v>136.732142857143</v>
      </c>
      <c r="DK48" s="156" t="n">
        <f aca="false">($C48*$AA48)+$F$14</f>
        <v>0.380725</v>
      </c>
      <c r="DL48" s="156" t="n">
        <f aca="false">($C48*$AB48)+$F$15</f>
        <v>0.3925</v>
      </c>
      <c r="DM48" s="131" t="n">
        <f aca="false">$AC48+$F$16</f>
        <v>0.974</v>
      </c>
      <c r="DN48" s="157" t="e">
        <f aca="false">IF(DF48=0,0,SPRDOPT(DG48,DH48,$AD48,$AM48,DK48,DL48,DM48,$F48,$F$19,0))</f>
        <v>#NAME?</v>
      </c>
      <c r="DO48" s="157" t="e">
        <f aca="false">IF(DG48=0,0,SPRDOPT(DG48,DH48,$AD48,$AM48,DK48,DL48,DM48,$F48,$F$19,1))</f>
        <v>#NAME?</v>
      </c>
      <c r="DP48" s="157" t="e">
        <f aca="false">IF(DH48=0,0,SPRDOPT(DG48,DH48,$AD48,$AM48,DK48,DL48,DM48,$F48,$F$19,2))</f>
        <v>#NAME?</v>
      </c>
      <c r="DQ48" s="157" t="e">
        <f aca="false">IF(DI48=0,0,SPRDOPT(DG48,DH48,$AD48,$AM48,DK48,DL48,DM48,$F48,$F$19,3)/100)</f>
        <v>#NAME?</v>
      </c>
      <c r="DR48" s="157" t="e">
        <f aca="false">IF(DJ48=0,0,SPRDOPT(DG48,DH48,$AD48,$AM48,DK48,DL48,DM48,$F48,$F$19,4)/100)</f>
        <v>#NAME?</v>
      </c>
      <c r="DS48" s="157" t="e">
        <f aca="false">IF(DK48=0,0,SPRDOPT(DG48,DH48,$AD48,$AM48,DK48,DL48,DM48,$F48,$F$19,5)/100)</f>
        <v>#NAME?</v>
      </c>
      <c r="DT48" s="157" t="e">
        <f aca="false">IF(DL48=0,0,SPRDOPT(DG48,DH48,$AD48,$AM48,DK48,DL48,DM48,$F48,$F$19,6)/100)</f>
        <v>#NAME?</v>
      </c>
      <c r="DU48" s="157" t="e">
        <f aca="false">IF(DM48=0,0,SPRDOPT(DG48,DH48,$AD48,$AM48,DK48,DL48,DM48,$F48,$F$19,7)/100)</f>
        <v>#NAME?</v>
      </c>
      <c r="DV48" s="157" t="e">
        <f aca="false">IF(DN48=0,0,SPRDOPT(DG48,DH48,$AD48,$AM48,DK48,DL48,DM48,$F48,$F$19,9)/365)</f>
        <v>#NAME?</v>
      </c>
      <c r="DW48" s="157" t="e">
        <f aca="false">DO48+DP48</f>
        <v>#NAME?</v>
      </c>
      <c r="DX48" s="157" t="e">
        <f aca="false">DR48-DQ48</f>
        <v>#NAME?</v>
      </c>
      <c r="DY48" s="157" t="e">
        <f aca="false">((DK48/DL48)*DS48)+DT48</f>
        <v>#NAME?</v>
      </c>
      <c r="DZ48" s="44"/>
      <c r="EA48" s="45" t="e">
        <f aca="false">DF48*DN48</f>
        <v>#NAME?</v>
      </c>
      <c r="EB48" s="45" t="e">
        <f aca="false">DF48*DO48</f>
        <v>#NAME?</v>
      </c>
      <c r="EC48" s="45" t="e">
        <f aca="false">DF48*DP48</f>
        <v>#NAME?</v>
      </c>
      <c r="ED48" s="45" t="e">
        <f aca="false">DF48*DQ48</f>
        <v>#NAME?</v>
      </c>
      <c r="EE48" s="45" t="e">
        <f aca="false">DF48*DR48</f>
        <v>#NAME?</v>
      </c>
      <c r="EF48" s="45" t="e">
        <f aca="false">DF48*DS48</f>
        <v>#NAME?</v>
      </c>
      <c r="EG48" s="45" t="e">
        <f aca="false">DF48*DT48</f>
        <v>#NAME?</v>
      </c>
      <c r="EH48" s="45" t="e">
        <f aca="false">DF48*DU48</f>
        <v>#NAME?</v>
      </c>
      <c r="EI48" s="45" t="e">
        <f aca="false">DF48*DV48</f>
        <v>#NAME?</v>
      </c>
      <c r="EJ48" s="45" t="e">
        <f aca="false">DF48*DW48</f>
        <v>#NAME?</v>
      </c>
      <c r="EK48" s="45" t="e">
        <f aca="false">DF48*DX48</f>
        <v>#NAME?</v>
      </c>
      <c r="EL48" s="45" t="e">
        <f aca="false">DF48*DY48</f>
        <v>#NAME?</v>
      </c>
      <c r="EN48" s="9" t="n">
        <f aca="false">IF($A48&gt;=EP$32,IF($A48&lt;=EP$33,$AN48,0),0)</f>
        <v>0</v>
      </c>
      <c r="EO48" s="123" t="n">
        <f aca="false">$B48+$AF48+$H$12</f>
        <v>4.44321428571429</v>
      </c>
      <c r="EP48" s="123" t="n">
        <f aca="false">$B48+$AG48+$H$13</f>
        <v>4.41071428571429</v>
      </c>
      <c r="EQ48" s="123" t="n">
        <f aca="false">EO48*EN48</f>
        <v>0</v>
      </c>
      <c r="ER48" s="123" t="n">
        <f aca="false">EP48*EN48</f>
        <v>0</v>
      </c>
      <c r="ES48" s="156" t="n">
        <f aca="false">($C48*$AH48)+$H$14</f>
        <v>0.3925</v>
      </c>
      <c r="ET48" s="156" t="n">
        <f aca="false">($C48*$AI48)+$H$15</f>
        <v>0.3925</v>
      </c>
      <c r="EU48" s="131" t="n">
        <f aca="false">$AJ48+$H$16</f>
        <v>0.998</v>
      </c>
      <c r="EV48" s="157" t="n">
        <f aca="false">IF(EN48=0,0,SPRDOPT(EO48,EP48,$AK48,$AM48,ES48,ET48,EU48,$F48,$H$19,0))</f>
        <v>0</v>
      </c>
      <c r="EW48" s="157" t="e">
        <f aca="false">IF(EO48=0,0,SPRDOPT(EO48,EP48,$AK48,$AM48,ES48,ET48,EU48,$F48,$H$19,1))</f>
        <v>#NAME?</v>
      </c>
      <c r="EX48" s="157" t="e">
        <f aca="false">IF(EP48=0,0,SPRDOPT(EO48,EP48,$AK48,$AM48,ES48,ET48,EU48,$F48,$H$19,2))</f>
        <v>#NAME?</v>
      </c>
      <c r="EY48" s="157" t="n">
        <f aca="false">IF(EQ48=0,0,SPRDOPT(EO48,EP48,$AK48,$AM48,ES48,ET48,EU48,$F48,$H$19,3)/100)</f>
        <v>0</v>
      </c>
      <c r="EZ48" s="157" t="n">
        <f aca="false">IF(ER48=0,0,SPRDOPT(EO48,EP48,$AK48,$AM48,ES48,ET48,EU48,$F48,$H$19,4)/100)</f>
        <v>0</v>
      </c>
      <c r="FA48" s="157" t="e">
        <f aca="false">IF(ES48=0,0,SPRDOPT(EO48,EP48,$AK48,$AM48,ES48,ET48,EU48,$F48,$H$19,5)/100)</f>
        <v>#NAME?</v>
      </c>
      <c r="FB48" s="157" t="e">
        <f aca="false">IF(ET48=0,0,SPRDOPT(EO48,EP48,$AK48,$AM48,ES48,ET48,EU48,$F48,$H$19,6)/100)</f>
        <v>#NAME?</v>
      </c>
      <c r="FC48" s="157" t="e">
        <f aca="false">IF(EU48=0,0,SPRDOPT(EO48,EP48,$AK48,$AM48,ES48,ET48,EU48,$F48,$H$19,7)/100)</f>
        <v>#NAME?</v>
      </c>
      <c r="FD48" s="157" t="n">
        <f aca="false">IF(EV48=0,0,SPRDOPT(EO48,EP48,$AK48,$AM48,ES48,ET48,EU48,$F48,$H$19,9)/365)</f>
        <v>0</v>
      </c>
      <c r="FE48" s="157" t="e">
        <f aca="false">EW48+EX48</f>
        <v>#NAME?</v>
      </c>
      <c r="FF48" s="157" t="n">
        <f aca="false">EZ48-EY48</f>
        <v>0</v>
      </c>
      <c r="FG48" s="157" t="e">
        <f aca="false">((ES48/ET48)*FA48)+FB48</f>
        <v>#NAME?</v>
      </c>
      <c r="FH48" s="44"/>
      <c r="FI48" s="45" t="n">
        <f aca="false">$EN48*EV48</f>
        <v>0</v>
      </c>
      <c r="FJ48" s="45" t="e">
        <f aca="false">$EN48*EW48</f>
        <v>#NAME?</v>
      </c>
      <c r="FK48" s="45" t="e">
        <f aca="false">$EN48*EX48</f>
        <v>#NAME?</v>
      </c>
      <c r="FL48" s="45" t="n">
        <f aca="false">$EN48*EY48</f>
        <v>0</v>
      </c>
      <c r="FM48" s="45" t="n">
        <f aca="false">$EN48*EZ48</f>
        <v>0</v>
      </c>
      <c r="FN48" s="45" t="e">
        <f aca="false">$EN48*FA48</f>
        <v>#NAME?</v>
      </c>
      <c r="FO48" s="45" t="e">
        <f aca="false">$EN48*FB48</f>
        <v>#NAME?</v>
      </c>
      <c r="FP48" s="45" t="e">
        <f aca="false">$EN48*FC48</f>
        <v>#NAME?</v>
      </c>
      <c r="FQ48" s="45" t="n">
        <f aca="false">$EN48*FD48</f>
        <v>0</v>
      </c>
      <c r="FR48" s="45" t="e">
        <f aca="false">$EN48*FE48</f>
        <v>#NAME?</v>
      </c>
      <c r="FS48" s="45" t="n">
        <f aca="false">$EN48*FF48</f>
        <v>0</v>
      </c>
      <c r="FT48" s="45" t="e">
        <f aca="false">$EN48*FG48</f>
        <v>#NAME?</v>
      </c>
    </row>
    <row r="49" customFormat="false" ht="12.75" hidden="false" customHeight="false" outlineLevel="0" collapsed="false">
      <c r="A49" s="48" t="n">
        <f aca="false">DATE(YEAR(A48),MONTH(A48)+1,1)</f>
        <v>37135</v>
      </c>
      <c r="B49" s="40" t="n">
        <f aca="false">VLOOKUP(A49,STRADDLE,5,FALSE())</f>
        <v>4.39071428571429</v>
      </c>
      <c r="C49" s="4" t="n">
        <f aca="false">VLOOKUP(A49,STRADDLE,8,FALSE())</f>
        <v>0.395</v>
      </c>
      <c r="D49" s="40"/>
      <c r="E49" s="131"/>
      <c r="F49" s="136" t="n">
        <f aca="false">VLOOKUP(A49,expiration,2,FALSE())-$B$2</f>
        <v>-8794</v>
      </c>
      <c r="G49" s="4"/>
      <c r="H49" s="4"/>
      <c r="I49" s="41"/>
      <c r="J49" s="154"/>
      <c r="K49" s="40" t="n">
        <f aca="false">IF($B$3="NYMEX",0,VLOOKUP($A49,curvesettle,HLOOKUP($B$3,curvesettle,2,FALSE()),FALSE()))</f>
        <v>0.395</v>
      </c>
      <c r="L49" s="40" t="n">
        <f aca="false">IF($B$4="NYMEX",0,VLOOKUP($A49,curvesettle,HLOOKUP($B$4,curvesettle,2,FALSE()),FALSE()))</f>
        <v>0</v>
      </c>
      <c r="M49" s="131" t="n">
        <f aca="false">IF(ISNUMBER(VLOOKUP($A49,VOLCURVES,HLOOKUP($B$3,VOLCURVES,2,FALSE()),FALSE())),VLOOKUP($A49,VOLCURVES,HLOOKUP($B$3,VOLCURVES,2,FALSE()),FALSE()),1)</f>
        <v>0.98</v>
      </c>
      <c r="N49" s="131" t="n">
        <f aca="false">IF(ISNUMBER(VLOOKUP($A49,VOLCURVES,HLOOKUP($B$4,VOLCURVES,2,FALSE()),FALSE())),VLOOKUP($A49,VOLCURVES,HLOOKUP($B$4,VOLCURVES,2,FALSE()),FALSE()),1)</f>
        <v>1</v>
      </c>
      <c r="O49" s="131" t="n">
        <f aca="false">IF(ISNUMBER(VLOOKUP($A49,CORETABLE,HLOOKUP($B$3,CORETABLE,2,FALSE()),FALSE())),VLOOKUP($A49,CORETABLE,HLOOKUP($B$3,CORETABLE,2,FALSE()),FALSE()),0.99)</f>
        <v>0.9773</v>
      </c>
      <c r="P49" s="155" t="n">
        <f aca="false">B$18</f>
        <v>2</v>
      </c>
      <c r="Q49" s="131"/>
      <c r="R49" s="40" t="n">
        <f aca="false">IF($D$3="NYMEX",0,VLOOKUP($A49,curvesettle,HLOOKUP($D$3,curvesettle,2,FALSE()),FALSE()))</f>
        <v>0.395</v>
      </c>
      <c r="S49" s="40" t="n">
        <f aca="false">IF($D$4="NYMEX",0,VLOOKUP($A49,curvesettle,HLOOKUP($D$4,curvesettle,2,FALSE()),FALSE()))</f>
        <v>0</v>
      </c>
      <c r="T49" s="131" t="n">
        <f aca="false">IF(ISNUMBER(VLOOKUP($A49,VOLCURVES,HLOOKUP($D$3,VOLCURVES,2,FALSE()),FALSE())),VLOOKUP($A49,VOLCURVES,HLOOKUP($D$3,VOLCURVES,2,FALSE()),FALSE()),1)</f>
        <v>0.98</v>
      </c>
      <c r="U49" s="131" t="n">
        <f aca="false">IF(ISNUMBER(VLOOKUP($A49,VOLCURVES,HLOOKUP($D$4,VOLCURVES,2,FALSE()),FALSE())),VLOOKUP($A49,VOLCURVES,HLOOKUP($D$4,VOLCURVES,2,FALSE()),FALSE()),1)</f>
        <v>1</v>
      </c>
      <c r="V49" s="131" t="n">
        <f aca="false">IF(ISNUMBER(VLOOKUP($A49,CORETABLE,HLOOKUP($D$3,CORETABLE,2,FALSE()),FALSE())),VLOOKUP($A49,CORETABLE,HLOOKUP($D$3,CORETABLE,2,FALSE()),FALSE()),0.99)</f>
        <v>0.9773</v>
      </c>
      <c r="W49" s="155" t="n">
        <f aca="false">D$18</f>
        <v>2.5</v>
      </c>
      <c r="X49" s="131"/>
      <c r="Y49" s="40" t="n">
        <f aca="false">IF($F$3="NYMEX",0,VLOOKUP($A49,curvesettle,HLOOKUP($F$3,curvesettle,2,FALSE()),FALSE()))</f>
        <v>-0.5725</v>
      </c>
      <c r="Z49" s="40" t="n">
        <f aca="false">IF($F$4="NYMEX",0,VLOOKUP($A49,curvesettle,HLOOKUP($F$4,curvesettle,2,FALSE()),FALSE()))</f>
        <v>0</v>
      </c>
      <c r="AA49" s="131" t="n">
        <f aca="false">IF(ISNUMBER(VLOOKUP($A49,VOLCURVES,HLOOKUP($F$3,VOLCURVES,2,FALSE()),FALSE())),VLOOKUP($A49,VOLCURVES,HLOOKUP($F$3,VOLCURVES,2,FALSE()),FALSE()),1)</f>
        <v>0.97</v>
      </c>
      <c r="AB49" s="131" t="n">
        <f aca="false">IF(ISNUMBER(VLOOKUP($A49,VOLCURVES,HLOOKUP($F$4,VOLCURVES,2,FALSE()),FALSE())),VLOOKUP($A49,VOLCURVES,HLOOKUP($F$4,VOLCURVES,2,FALSE()),FALSE()),1)</f>
        <v>1</v>
      </c>
      <c r="AC49" s="131" t="n">
        <f aca="false">IF(ISNUMBER(VLOOKUP($A49,CORETABLE,HLOOKUP($F$3,CORETABLE,2,FALSE()),FALSE())),VLOOKUP($A49,CORETABLE,HLOOKUP($F$3,CORETABLE,2,FALSE()),FALSE()),1)</f>
        <v>0.96</v>
      </c>
      <c r="AD49" s="155" t="n">
        <f aca="false">F$18</f>
        <v>-0.05</v>
      </c>
      <c r="AE49" s="131"/>
      <c r="AF49" s="40" t="n">
        <f aca="false">IF($H$3="NYMEX",0,VLOOKUP($A49,curvesettle,HLOOKUP($H$3,curvesettle,2,FALSE()),FALSE()))</f>
        <v>0.03</v>
      </c>
      <c r="AG49" s="40" t="n">
        <f aca="false">IF($H$4="NYMEX",0,VLOOKUP($A49,curvesettle,HLOOKUP($H$4,curvesettle,2,FALSE()),FALSE()))</f>
        <v>0</v>
      </c>
      <c r="AH49" s="131" t="n">
        <f aca="false">IF(ISNUMBER(VLOOKUP($A49,VOLCURVES,HLOOKUP($H$3,VOLCURVES,2,FALSE()),FALSE())),VLOOKUP($A49,VOLCURVES,HLOOKUP($H$3,VOLCURVES,2,FALSE()),FALSE()),1)</f>
        <v>1</v>
      </c>
      <c r="AI49" s="131" t="n">
        <f aca="false">IF(ISNUMBER(VLOOKUP($A49,VOLCURVES,HLOOKUP($H$4,VOLCURVES,2,FALSE()),FALSE())),VLOOKUP($A49,VOLCURVES,HLOOKUP($H$4,VOLCURVES,2,FALSE()),FALSE()),1)</f>
        <v>1</v>
      </c>
      <c r="AJ49" s="131" t="n">
        <f aca="false">IF(ISNUMBER(VLOOKUP($A49,CORETABLE,HLOOKUP($H$3,CORETABLE,2,FALSE()),FALSE())),VLOOKUP($A49,CORETABLE,HLOOKUP($H$3,CORETABLE,2,FALSE()),FALSE()),1)</f>
        <v>0.999</v>
      </c>
      <c r="AK49" s="155" t="n">
        <f aca="false">H$18</f>
        <v>-0.05</v>
      </c>
      <c r="AM49" s="4" t="n">
        <f aca="false">VLOOKUP($A49,STRADDLE,12,FALSE())</f>
        <v>0.067594533151252</v>
      </c>
      <c r="AN49" s="43" t="n">
        <f aca="false">A50-A49</f>
        <v>30</v>
      </c>
      <c r="AP49" s="9" t="n">
        <f aca="false">IF($A49&gt;=AR$32,IF($A49&lt;=AR$33,$AN49,0),0)</f>
        <v>0</v>
      </c>
      <c r="AQ49" s="123" t="n">
        <f aca="false">$B49+$K49+$B$12</f>
        <v>4.81571428571429</v>
      </c>
      <c r="AR49" s="123" t="n">
        <f aca="false">$B49+$L49+$B$13</f>
        <v>4.39071428571429</v>
      </c>
      <c r="AS49" s="123" t="n">
        <f aca="false">AQ49*AP49</f>
        <v>0</v>
      </c>
      <c r="AT49" s="123" t="n">
        <f aca="false">AR49*AP49</f>
        <v>0</v>
      </c>
      <c r="AU49" s="156" t="n">
        <f aca="false">($C49*$M49)+$B$14</f>
        <v>0.3871</v>
      </c>
      <c r="AV49" s="156" t="n">
        <f aca="false">($C49*$N49)+$B$15</f>
        <v>0.395</v>
      </c>
      <c r="AW49" s="131" t="n">
        <f aca="false">O49+B$16</f>
        <v>0.9773</v>
      </c>
      <c r="AX49" s="157" t="n">
        <f aca="false">IF(AP49=0,0,SPRDOPT(AQ49,AR49,$P49,$AM49,AU49,AV49,AW49,$F49,$B$19,0))</f>
        <v>0</v>
      </c>
      <c r="AY49" s="157" t="e">
        <f aca="false">IF(AQ49=0,0,SPRDOPT(AQ49,AR49,$P49,$AM49,AU49,AV49,AW49,$F49,$B$19,1))</f>
        <v>#NAME?</v>
      </c>
      <c r="AZ49" s="157" t="e">
        <f aca="false">IF(AR49=0,0,SPRDOPT(AQ49,AR49,$P49,$AM49,AU49,AV49,AW49,$F49,$B$19,2))</f>
        <v>#NAME?</v>
      </c>
      <c r="BA49" s="157" t="n">
        <f aca="false">IF(AS49=0,0,SPRDOPT(AQ49,AR49,$P49,$AM49,AU49,AV49,AW49,$F49,$B$19,3)/100)</f>
        <v>0</v>
      </c>
      <c r="BB49" s="157" t="n">
        <f aca="false">IF(AT49=0,0,SPRDOPT(AQ49,AR49,$P49,$AM49,AU49,AV49,AW49,$F49,$B$19,4)/100)</f>
        <v>0</v>
      </c>
      <c r="BC49" s="157" t="e">
        <f aca="false">IF(AU49=0,0,SPRDOPT(AQ49,AR49,$P49,$AM49,AU49,AV49,AW49,$F49,$B$19,5)/100)</f>
        <v>#NAME?</v>
      </c>
      <c r="BD49" s="157" t="e">
        <f aca="false">IF(AV49=0,0,SPRDOPT(AQ49,AR49,$P49,$AM49,AU49,AV49,AW49,$F49,$B$19,6)/100)</f>
        <v>#NAME?</v>
      </c>
      <c r="BE49" s="157" t="e">
        <f aca="false">IF(AW49=0,0,SPRDOPT(AQ49,AR49,$P49,$AM49,AU49,AV49,AW49,$F49,$B$19,7)/100)</f>
        <v>#NAME?</v>
      </c>
      <c r="BF49" s="157" t="n">
        <f aca="false">IF(AX49=0,0,SPRDOPT(AQ49,AR49,$P49,$AM49,AU49,AV49,AW49,$F49,$B$19,9)/365)</f>
        <v>0</v>
      </c>
      <c r="BG49" s="157" t="e">
        <f aca="false">AY49+AZ49</f>
        <v>#NAME?</v>
      </c>
      <c r="BH49" s="157" t="n">
        <f aca="false">BB49-BA49</f>
        <v>0</v>
      </c>
      <c r="BI49" s="157" t="e">
        <f aca="false">((AU49/AV49)*BC49)+BD49</f>
        <v>#NAME?</v>
      </c>
      <c r="BJ49" s="44"/>
      <c r="BK49" s="45" t="n">
        <f aca="false">$AP49*AX49</f>
        <v>0</v>
      </c>
      <c r="BL49" s="45" t="e">
        <f aca="false">$AP49*AY49</f>
        <v>#NAME?</v>
      </c>
      <c r="BM49" s="45" t="e">
        <f aca="false">$AP49*AZ49</f>
        <v>#NAME?</v>
      </c>
      <c r="BN49" s="45" t="n">
        <f aca="false">$AP49*BA49</f>
        <v>0</v>
      </c>
      <c r="BO49" s="45" t="n">
        <f aca="false">$AP49*BB49</f>
        <v>0</v>
      </c>
      <c r="BP49" s="45" t="e">
        <f aca="false">$AP49*BC49</f>
        <v>#NAME?</v>
      </c>
      <c r="BQ49" s="45" t="e">
        <f aca="false">$AP49*BD49</f>
        <v>#NAME?</v>
      </c>
      <c r="BR49" s="45" t="e">
        <f aca="false">$AP49*BE49</f>
        <v>#NAME?</v>
      </c>
      <c r="BS49" s="45" t="n">
        <f aca="false">$AP49*BF49</f>
        <v>0</v>
      </c>
      <c r="BT49" s="45" t="e">
        <f aca="false">$AP49*BG49</f>
        <v>#NAME?</v>
      </c>
      <c r="BU49" s="45" t="n">
        <f aca="false">$AP49*BH49</f>
        <v>0</v>
      </c>
      <c r="BV49" s="45" t="e">
        <f aca="false">$AP49*BI49</f>
        <v>#NAME?</v>
      </c>
      <c r="BX49" s="9" t="n">
        <f aca="false">IF($A49&gt;=BZ$32,IF($A49&lt;=BZ$33,$AN49,0),0)</f>
        <v>0</v>
      </c>
      <c r="BY49" s="123" t="n">
        <f aca="false">$B49+$R49+$D$12</f>
        <v>4.81571428571429</v>
      </c>
      <c r="BZ49" s="123" t="n">
        <f aca="false">$B49+$S49+$D$13</f>
        <v>4.39071428571429</v>
      </c>
      <c r="CA49" s="123" t="n">
        <f aca="false">BY49*BX49</f>
        <v>0</v>
      </c>
      <c r="CB49" s="123" t="n">
        <f aca="false">BZ49*BX49</f>
        <v>0</v>
      </c>
      <c r="CC49" s="156" t="n">
        <f aca="false">($C49*$T49)+$D$14</f>
        <v>0.3871</v>
      </c>
      <c r="CD49" s="156" t="n">
        <f aca="false">($C49*$U49)+$D$15</f>
        <v>0.395</v>
      </c>
      <c r="CE49" s="131" t="n">
        <f aca="false">$V49+D$16</f>
        <v>0.9773</v>
      </c>
      <c r="CF49" s="157" t="n">
        <f aca="false">IF(BX49=0,0,SPRDOPT(BY49,BZ49,$W49,$AM49,CC49,CD49,CE49,$F49,$D$19,0))</f>
        <v>0</v>
      </c>
      <c r="CG49" s="157" t="e">
        <f aca="false">IF(BY49=0,0,SPRDOPT(BY49,BZ49,$W49,$AM49,CC49,CD49,CE49,$F49,$D$19,1))</f>
        <v>#NAME?</v>
      </c>
      <c r="CH49" s="157" t="e">
        <f aca="false">IF(BZ49=0,0,SPRDOPT(BY49,BZ49,$W49,$AM49,CC49,CD49,CE49,$F49,$D$19,2))</f>
        <v>#NAME?</v>
      </c>
      <c r="CI49" s="157" t="n">
        <f aca="false">IF(CA49=0,0,SPRDOPT(BY49,BZ49,$W49,$AM49,CC49,CD49,CE49,$F49,$D$19,3)/100)</f>
        <v>0</v>
      </c>
      <c r="CJ49" s="157" t="n">
        <f aca="false">IF(CB49=0,0,SPRDOPT(BY49,BZ49,$W49,$AM49,CC49,CD49,CE49,$F49,$D$19,4)/100)</f>
        <v>0</v>
      </c>
      <c r="CK49" s="157" t="e">
        <f aca="false">IF(CC49=0,0,SPRDOPT(BY49,BZ49,$W49,$AM49,CC49,CD49,CE49,$F49,$D$19,5)/100)</f>
        <v>#NAME?</v>
      </c>
      <c r="CL49" s="157" t="e">
        <f aca="false">IF(CD49=0,0,SPRDOPT(BY49,BZ49,$W49,$AM49,CC49,CD49,CE49,$F49,$D$19,6)/100)</f>
        <v>#NAME?</v>
      </c>
      <c r="CM49" s="157" t="e">
        <f aca="false">IF(CE49=0,0,SPRDOPT(BY49,BZ49,$W49,$AM49,CC49,CD49,CE49,$F49,$D$19,7)/100)</f>
        <v>#NAME?</v>
      </c>
      <c r="CN49" s="157" t="n">
        <f aca="false">IF(CF49=0,0,SPRDOPT(BY49,BZ49,$W49,$AM49,CC49,CD49,CE49,$F49,$D$19,9)/365)</f>
        <v>0</v>
      </c>
      <c r="CO49" s="157" t="e">
        <f aca="false">CG49+CH49</f>
        <v>#NAME?</v>
      </c>
      <c r="CP49" s="157" t="n">
        <f aca="false">CJ49-CI49</f>
        <v>0</v>
      </c>
      <c r="CQ49" s="157" t="e">
        <f aca="false">((CC49/CD49)*CK49)+CL49</f>
        <v>#NAME?</v>
      </c>
      <c r="CR49" s="44"/>
      <c r="CS49" s="45" t="n">
        <f aca="false">BX49*CF49</f>
        <v>0</v>
      </c>
      <c r="CT49" s="45" t="e">
        <f aca="false">BX49*CG49</f>
        <v>#NAME?</v>
      </c>
      <c r="CU49" s="45" t="e">
        <f aca="false">BX49*CH49</f>
        <v>#NAME?</v>
      </c>
      <c r="CV49" s="45" t="n">
        <f aca="false">BX49*CI49</f>
        <v>0</v>
      </c>
      <c r="CW49" s="45" t="n">
        <f aca="false">BX49*CJ49</f>
        <v>0</v>
      </c>
      <c r="CX49" s="45" t="e">
        <f aca="false">BX49*CK49</f>
        <v>#NAME?</v>
      </c>
      <c r="CY49" s="45" t="e">
        <f aca="false">BX49*CL49</f>
        <v>#NAME?</v>
      </c>
      <c r="CZ49" s="45" t="e">
        <f aca="false">BX49*CM49</f>
        <v>#NAME?</v>
      </c>
      <c r="DA49" s="45" t="n">
        <f aca="false">BX49*CN49</f>
        <v>0</v>
      </c>
      <c r="DB49" s="45" t="e">
        <f aca="false">BX49*CO49</f>
        <v>#NAME?</v>
      </c>
      <c r="DC49" s="45" t="n">
        <f aca="false">BX49*CP49</f>
        <v>0</v>
      </c>
      <c r="DD49" s="45" t="e">
        <f aca="false">BX49*CQ49</f>
        <v>#NAME?</v>
      </c>
      <c r="DF49" s="9" t="n">
        <f aca="false">IF($A49&gt;=DH$32,IF($A49&lt;=DH$33,$AN49,0),0)</f>
        <v>30</v>
      </c>
      <c r="DG49" s="123" t="n">
        <f aca="false">$B49+$Y49+$F$12</f>
        <v>3.82321428571429</v>
      </c>
      <c r="DH49" s="123" t="n">
        <f aca="false">$B49+$Z49+$F$13</f>
        <v>4.39071428571429</v>
      </c>
      <c r="DI49" s="123" t="n">
        <f aca="false">DG49*DF49</f>
        <v>114.696428571429</v>
      </c>
      <c r="DJ49" s="123" t="n">
        <f aca="false">DH49*DF49</f>
        <v>131.721428571429</v>
      </c>
      <c r="DK49" s="156" t="n">
        <f aca="false">($C49*$AA49)+$F$14</f>
        <v>0.38315</v>
      </c>
      <c r="DL49" s="156" t="n">
        <f aca="false">($C49*$AB49)+$F$15</f>
        <v>0.395</v>
      </c>
      <c r="DM49" s="131" t="n">
        <f aca="false">$AC49+$F$16</f>
        <v>0.974</v>
      </c>
      <c r="DN49" s="157" t="e">
        <f aca="false">IF(DF49=0,0,SPRDOPT(DG49,DH49,$AD49,$AM49,DK49,DL49,DM49,$F49,$F$19,0))</f>
        <v>#NAME?</v>
      </c>
      <c r="DO49" s="157" t="e">
        <f aca="false">IF(DG49=0,0,SPRDOPT(DG49,DH49,$AD49,$AM49,DK49,DL49,DM49,$F49,$F$19,1))</f>
        <v>#NAME?</v>
      </c>
      <c r="DP49" s="157" t="e">
        <f aca="false">IF(DH49=0,0,SPRDOPT(DG49,DH49,$AD49,$AM49,DK49,DL49,DM49,$F49,$F$19,2))</f>
        <v>#NAME?</v>
      </c>
      <c r="DQ49" s="157" t="e">
        <f aca="false">IF(DI49=0,0,SPRDOPT(DG49,DH49,$AD49,$AM49,DK49,DL49,DM49,$F49,$F$19,3)/100)</f>
        <v>#NAME?</v>
      </c>
      <c r="DR49" s="157" t="e">
        <f aca="false">IF(DJ49=0,0,SPRDOPT(DG49,DH49,$AD49,$AM49,DK49,DL49,DM49,$F49,$F$19,4)/100)</f>
        <v>#NAME?</v>
      </c>
      <c r="DS49" s="157" t="e">
        <f aca="false">IF(DK49=0,0,SPRDOPT(DG49,DH49,$AD49,$AM49,DK49,DL49,DM49,$F49,$F$19,5)/100)</f>
        <v>#NAME?</v>
      </c>
      <c r="DT49" s="157" t="e">
        <f aca="false">IF(DL49=0,0,SPRDOPT(DG49,DH49,$AD49,$AM49,DK49,DL49,DM49,$F49,$F$19,6)/100)</f>
        <v>#NAME?</v>
      </c>
      <c r="DU49" s="157" t="e">
        <f aca="false">IF(DM49=0,0,SPRDOPT(DG49,DH49,$AD49,$AM49,DK49,DL49,DM49,$F49,$F$19,7)/100)</f>
        <v>#NAME?</v>
      </c>
      <c r="DV49" s="157" t="e">
        <f aca="false">IF(DN49=0,0,SPRDOPT(DG49,DH49,$AD49,$AM49,DK49,DL49,DM49,$F49,$F$19,9)/365)</f>
        <v>#NAME?</v>
      </c>
      <c r="DW49" s="157" t="e">
        <f aca="false">DO49+DP49</f>
        <v>#NAME?</v>
      </c>
      <c r="DX49" s="157" t="e">
        <f aca="false">DR49-DQ49</f>
        <v>#NAME?</v>
      </c>
      <c r="DY49" s="157" t="e">
        <f aca="false">((DK49/DL49)*DS49)+DT49</f>
        <v>#NAME?</v>
      </c>
      <c r="DZ49" s="44"/>
      <c r="EA49" s="45" t="e">
        <f aca="false">DF49*DN49</f>
        <v>#NAME?</v>
      </c>
      <c r="EB49" s="45" t="e">
        <f aca="false">DF49*DO49</f>
        <v>#NAME?</v>
      </c>
      <c r="EC49" s="45" t="e">
        <f aca="false">DF49*DP49</f>
        <v>#NAME?</v>
      </c>
      <c r="ED49" s="45" t="e">
        <f aca="false">DF49*DQ49</f>
        <v>#NAME?</v>
      </c>
      <c r="EE49" s="45" t="e">
        <f aca="false">DF49*DR49</f>
        <v>#NAME?</v>
      </c>
      <c r="EF49" s="45" t="e">
        <f aca="false">DF49*DS49</f>
        <v>#NAME?</v>
      </c>
      <c r="EG49" s="45" t="e">
        <f aca="false">DF49*DT49</f>
        <v>#NAME?</v>
      </c>
      <c r="EH49" s="45" t="e">
        <f aca="false">DF49*DU49</f>
        <v>#NAME?</v>
      </c>
      <c r="EI49" s="45" t="e">
        <f aca="false">DF49*DV49</f>
        <v>#NAME?</v>
      </c>
      <c r="EJ49" s="45" t="e">
        <f aca="false">DF49*DW49</f>
        <v>#NAME?</v>
      </c>
      <c r="EK49" s="45" t="e">
        <f aca="false">DF49*DX49</f>
        <v>#NAME?</v>
      </c>
      <c r="EL49" s="45" t="e">
        <f aca="false">DF49*DY49</f>
        <v>#NAME?</v>
      </c>
      <c r="EN49" s="9" t="n">
        <f aca="false">IF($A49&gt;=EP$32,IF($A49&lt;=EP$33,$AN49,0),0)</f>
        <v>0</v>
      </c>
      <c r="EO49" s="123" t="n">
        <f aca="false">$B49+$AF49+$H$12</f>
        <v>4.42071428571429</v>
      </c>
      <c r="EP49" s="123" t="n">
        <f aca="false">$B49+$AG49+$H$13</f>
        <v>4.39071428571429</v>
      </c>
      <c r="EQ49" s="123" t="n">
        <f aca="false">EO49*EN49</f>
        <v>0</v>
      </c>
      <c r="ER49" s="123" t="n">
        <f aca="false">EP49*EN49</f>
        <v>0</v>
      </c>
      <c r="ES49" s="156" t="n">
        <f aca="false">($C49*$AH49)+$H$14</f>
        <v>0.395</v>
      </c>
      <c r="ET49" s="156" t="n">
        <f aca="false">($C49*$AI49)+$H$15</f>
        <v>0.395</v>
      </c>
      <c r="EU49" s="131" t="n">
        <f aca="false">$AJ49+$H$16</f>
        <v>0.998</v>
      </c>
      <c r="EV49" s="157" t="n">
        <f aca="false">IF(EN49=0,0,SPRDOPT(EO49,EP49,$AK49,$AM49,ES49,ET49,EU49,$F49,$H$19,0))</f>
        <v>0</v>
      </c>
      <c r="EW49" s="157" t="e">
        <f aca="false">IF(EO49=0,0,SPRDOPT(EO49,EP49,$AK49,$AM49,ES49,ET49,EU49,$F49,$H$19,1))</f>
        <v>#NAME?</v>
      </c>
      <c r="EX49" s="157" t="e">
        <f aca="false">IF(EP49=0,0,SPRDOPT(EO49,EP49,$AK49,$AM49,ES49,ET49,EU49,$F49,$H$19,2))</f>
        <v>#NAME?</v>
      </c>
      <c r="EY49" s="157" t="n">
        <f aca="false">IF(EQ49=0,0,SPRDOPT(EO49,EP49,$AK49,$AM49,ES49,ET49,EU49,$F49,$H$19,3)/100)</f>
        <v>0</v>
      </c>
      <c r="EZ49" s="157" t="n">
        <f aca="false">IF(ER49=0,0,SPRDOPT(EO49,EP49,$AK49,$AM49,ES49,ET49,EU49,$F49,$H$19,4)/100)</f>
        <v>0</v>
      </c>
      <c r="FA49" s="157" t="e">
        <f aca="false">IF(ES49=0,0,SPRDOPT(EO49,EP49,$AK49,$AM49,ES49,ET49,EU49,$F49,$H$19,5)/100)</f>
        <v>#NAME?</v>
      </c>
      <c r="FB49" s="157" t="e">
        <f aca="false">IF(ET49=0,0,SPRDOPT(EO49,EP49,$AK49,$AM49,ES49,ET49,EU49,$F49,$H$19,6)/100)</f>
        <v>#NAME?</v>
      </c>
      <c r="FC49" s="157" t="e">
        <f aca="false">IF(EU49=0,0,SPRDOPT(EO49,EP49,$AK49,$AM49,ES49,ET49,EU49,$F49,$H$19,7)/100)</f>
        <v>#NAME?</v>
      </c>
      <c r="FD49" s="157" t="n">
        <f aca="false">IF(EV49=0,0,SPRDOPT(EO49,EP49,$AK49,$AM49,ES49,ET49,EU49,$F49,$H$19,9)/365)</f>
        <v>0</v>
      </c>
      <c r="FE49" s="157" t="e">
        <f aca="false">EW49+EX49</f>
        <v>#NAME?</v>
      </c>
      <c r="FF49" s="157" t="n">
        <f aca="false">EZ49-EY49</f>
        <v>0</v>
      </c>
      <c r="FG49" s="157" t="e">
        <f aca="false">((ES49/ET49)*FA49)+FB49</f>
        <v>#NAME?</v>
      </c>
      <c r="FH49" s="44"/>
      <c r="FI49" s="45" t="n">
        <f aca="false">$EN49*EV49</f>
        <v>0</v>
      </c>
      <c r="FJ49" s="45" t="e">
        <f aca="false">$EN49*EW49</f>
        <v>#NAME?</v>
      </c>
      <c r="FK49" s="45" t="e">
        <f aca="false">$EN49*EX49</f>
        <v>#NAME?</v>
      </c>
      <c r="FL49" s="45" t="n">
        <f aca="false">$EN49*EY49</f>
        <v>0</v>
      </c>
      <c r="FM49" s="45" t="n">
        <f aca="false">$EN49*EZ49</f>
        <v>0</v>
      </c>
      <c r="FN49" s="45" t="e">
        <f aca="false">$EN49*FA49</f>
        <v>#NAME?</v>
      </c>
      <c r="FO49" s="45" t="e">
        <f aca="false">$EN49*FB49</f>
        <v>#NAME?</v>
      </c>
      <c r="FP49" s="45" t="e">
        <f aca="false">$EN49*FC49</f>
        <v>#NAME?</v>
      </c>
      <c r="FQ49" s="45" t="n">
        <f aca="false">$EN49*FD49</f>
        <v>0</v>
      </c>
      <c r="FR49" s="45" t="e">
        <f aca="false">$EN49*FE49</f>
        <v>#NAME?</v>
      </c>
      <c r="FS49" s="45" t="n">
        <f aca="false">$EN49*FF49</f>
        <v>0</v>
      </c>
      <c r="FT49" s="45" t="e">
        <f aca="false">$EN49*FG49</f>
        <v>#NAME?</v>
      </c>
    </row>
    <row r="50" customFormat="false" ht="12.75" hidden="false" customHeight="false" outlineLevel="0" collapsed="false">
      <c r="A50" s="48" t="n">
        <f aca="false">DATE(YEAR(A49),MONTH(A49)+1,1)</f>
        <v>37165</v>
      </c>
      <c r="B50" s="40" t="n">
        <f aca="false">VLOOKUP(A50,STRADDLE,5,FALSE())</f>
        <v>4.38071428571429</v>
      </c>
      <c r="C50" s="4" t="n">
        <f aca="false">VLOOKUP(A50,STRADDLE,8,FALSE())</f>
        <v>0.4025</v>
      </c>
      <c r="D50" s="40"/>
      <c r="E50" s="131"/>
      <c r="F50" s="136" t="n">
        <f aca="false">VLOOKUP(A50,expiration,2,FALSE())-$B$2</f>
        <v>-8766</v>
      </c>
      <c r="G50" s="4"/>
      <c r="H50" s="4"/>
      <c r="I50" s="41"/>
      <c r="J50" s="154"/>
      <c r="K50" s="40" t="n">
        <f aca="false">IF($B$3="NYMEX",0,VLOOKUP($A50,curvesettle,HLOOKUP($B$3,curvesettle,2,FALSE()),FALSE()))</f>
        <v>0.461</v>
      </c>
      <c r="L50" s="40" t="n">
        <f aca="false">IF($B$4="NYMEX",0,VLOOKUP($A50,curvesettle,HLOOKUP($B$4,curvesettle,2,FALSE()),FALSE()))</f>
        <v>0</v>
      </c>
      <c r="M50" s="131" t="n">
        <f aca="false">IF(ISNUMBER(VLOOKUP($A50,VOLCURVES,HLOOKUP($B$3,VOLCURVES,2,FALSE()),FALSE())),VLOOKUP($A50,VOLCURVES,HLOOKUP($B$3,VOLCURVES,2,FALSE()),FALSE()),1)</f>
        <v>0.98</v>
      </c>
      <c r="N50" s="131" t="n">
        <f aca="false">IF(ISNUMBER(VLOOKUP($A50,VOLCURVES,HLOOKUP($B$4,VOLCURVES,2,FALSE()),FALSE())),VLOOKUP($A50,VOLCURVES,HLOOKUP($B$4,VOLCURVES,2,FALSE()),FALSE()),1)</f>
        <v>1</v>
      </c>
      <c r="O50" s="131" t="n">
        <f aca="false">IF(ISNUMBER(VLOOKUP($A50,CORETABLE,HLOOKUP($B$3,CORETABLE,2,FALSE()),FALSE())),VLOOKUP($A50,CORETABLE,HLOOKUP($B$3,CORETABLE,2,FALSE()),FALSE()),0.99)</f>
        <v>0.9773</v>
      </c>
      <c r="P50" s="155" t="n">
        <f aca="false">B$18</f>
        <v>2</v>
      </c>
      <c r="Q50" s="131"/>
      <c r="R50" s="40" t="n">
        <f aca="false">IF($D$3="NYMEX",0,VLOOKUP($A50,curvesettle,HLOOKUP($D$3,curvesettle,2,FALSE()),FALSE()))</f>
        <v>0.461</v>
      </c>
      <c r="S50" s="40" t="n">
        <f aca="false">IF($D$4="NYMEX",0,VLOOKUP($A50,curvesettle,HLOOKUP($D$4,curvesettle,2,FALSE()),FALSE()))</f>
        <v>0</v>
      </c>
      <c r="T50" s="131" t="n">
        <f aca="false">IF(ISNUMBER(VLOOKUP($A50,VOLCURVES,HLOOKUP($D$3,VOLCURVES,2,FALSE()),FALSE())),VLOOKUP($A50,VOLCURVES,HLOOKUP($D$3,VOLCURVES,2,FALSE()),FALSE()),1)</f>
        <v>0.98</v>
      </c>
      <c r="U50" s="131" t="n">
        <f aca="false">IF(ISNUMBER(VLOOKUP($A50,VOLCURVES,HLOOKUP($D$4,VOLCURVES,2,FALSE()),FALSE())),VLOOKUP($A50,VOLCURVES,HLOOKUP($D$4,VOLCURVES,2,FALSE()),FALSE()),1)</f>
        <v>1</v>
      </c>
      <c r="V50" s="131" t="n">
        <f aca="false">IF(ISNUMBER(VLOOKUP($A50,CORETABLE,HLOOKUP($D$3,CORETABLE,2,FALSE()),FALSE())),VLOOKUP($A50,CORETABLE,HLOOKUP($D$3,CORETABLE,2,FALSE()),FALSE()),0.99)</f>
        <v>0.9773</v>
      </c>
      <c r="W50" s="155" t="n">
        <f aca="false">D$18</f>
        <v>2.5</v>
      </c>
      <c r="X50" s="131"/>
      <c r="Y50" s="40" t="n">
        <f aca="false">IF($F$3="NYMEX",0,VLOOKUP($A50,curvesettle,HLOOKUP($F$3,curvesettle,2,FALSE()),FALSE()))</f>
        <v>-0.5725</v>
      </c>
      <c r="Z50" s="40" t="n">
        <f aca="false">IF($F$4="NYMEX",0,VLOOKUP($A50,curvesettle,HLOOKUP($F$4,curvesettle,2,FALSE()),FALSE()))</f>
        <v>0</v>
      </c>
      <c r="AA50" s="131" t="n">
        <f aca="false">IF(ISNUMBER(VLOOKUP($A50,VOLCURVES,HLOOKUP($F$3,VOLCURVES,2,FALSE()),FALSE())),VLOOKUP($A50,VOLCURVES,HLOOKUP($F$3,VOLCURVES,2,FALSE()),FALSE()),1)</f>
        <v>0.97</v>
      </c>
      <c r="AB50" s="131" t="n">
        <f aca="false">IF(ISNUMBER(VLOOKUP($A50,VOLCURVES,HLOOKUP($F$4,VOLCURVES,2,FALSE()),FALSE())),VLOOKUP($A50,VOLCURVES,HLOOKUP($F$4,VOLCURVES,2,FALSE()),FALSE()),1)</f>
        <v>1</v>
      </c>
      <c r="AC50" s="131" t="n">
        <f aca="false">IF(ISNUMBER(VLOOKUP($A50,CORETABLE,HLOOKUP($F$3,CORETABLE,2,FALSE()),FALSE())),VLOOKUP($A50,CORETABLE,HLOOKUP($F$3,CORETABLE,2,FALSE()),FALSE()),1)</f>
        <v>0.96</v>
      </c>
      <c r="AD50" s="155" t="n">
        <f aca="false">F$18</f>
        <v>-0.05</v>
      </c>
      <c r="AE50" s="131"/>
      <c r="AF50" s="40" t="n">
        <f aca="false">IF($H$3="NYMEX",0,VLOOKUP($A50,curvesettle,HLOOKUP($H$3,curvesettle,2,FALSE()),FALSE()))</f>
        <v>0.0125</v>
      </c>
      <c r="AG50" s="40" t="n">
        <f aca="false">IF($H$4="NYMEX",0,VLOOKUP($A50,curvesettle,HLOOKUP($H$4,curvesettle,2,FALSE()),FALSE()))</f>
        <v>0</v>
      </c>
      <c r="AH50" s="131" t="n">
        <f aca="false">IF(ISNUMBER(VLOOKUP($A50,VOLCURVES,HLOOKUP($H$3,VOLCURVES,2,FALSE()),FALSE())),VLOOKUP($A50,VOLCURVES,HLOOKUP($H$3,VOLCURVES,2,FALSE()),FALSE()),1)</f>
        <v>1</v>
      </c>
      <c r="AI50" s="131" t="n">
        <f aca="false">IF(ISNUMBER(VLOOKUP($A50,VOLCURVES,HLOOKUP($H$4,VOLCURVES,2,FALSE()),FALSE())),VLOOKUP($A50,VOLCURVES,HLOOKUP($H$4,VOLCURVES,2,FALSE()),FALSE()),1)</f>
        <v>1</v>
      </c>
      <c r="AJ50" s="131" t="n">
        <f aca="false">IF(ISNUMBER(VLOOKUP($A50,CORETABLE,HLOOKUP($H$3,CORETABLE,2,FALSE()),FALSE())),VLOOKUP($A50,CORETABLE,HLOOKUP($H$3,CORETABLE,2,FALSE()),FALSE()),1)</f>
        <v>0.999</v>
      </c>
      <c r="AK50" s="155" t="n">
        <f aca="false">H$18</f>
        <v>-0.05</v>
      </c>
      <c r="AM50" s="4" t="n">
        <f aca="false">VLOOKUP($A50,STRADDLE,12,FALSE())</f>
        <v>0.067509261584356</v>
      </c>
      <c r="AN50" s="43" t="n">
        <f aca="false">A51-A50</f>
        <v>31</v>
      </c>
      <c r="AP50" s="9" t="n">
        <f aca="false">IF($A50&gt;=AR$32,IF($A50&lt;=AR$33,$AN50,0),0)</f>
        <v>0</v>
      </c>
      <c r="AQ50" s="123" t="n">
        <f aca="false">$B50+$K50+$B$12</f>
        <v>4.87171428571429</v>
      </c>
      <c r="AR50" s="123" t="n">
        <f aca="false">$B50+$L50+$B$13</f>
        <v>4.38071428571429</v>
      </c>
      <c r="AS50" s="123" t="n">
        <f aca="false">AQ50*AP50</f>
        <v>0</v>
      </c>
      <c r="AT50" s="123" t="n">
        <f aca="false">AR50*AP50</f>
        <v>0</v>
      </c>
      <c r="AU50" s="156" t="n">
        <f aca="false">($C50*$M50)+$B$14</f>
        <v>0.39445</v>
      </c>
      <c r="AV50" s="156" t="n">
        <f aca="false">($C50*$N50)+$B$15</f>
        <v>0.4025</v>
      </c>
      <c r="AW50" s="131" t="n">
        <f aca="false">O50+B$16</f>
        <v>0.9773</v>
      </c>
      <c r="AX50" s="157" t="n">
        <f aca="false">IF(AP50=0,0,SPRDOPT(AQ50,AR50,$P50,$AM50,AU50,AV50,AW50,$F50,$B$19,0))</f>
        <v>0</v>
      </c>
      <c r="AY50" s="157" t="e">
        <f aca="false">IF(AQ50=0,0,SPRDOPT(AQ50,AR50,$P50,$AM50,AU50,AV50,AW50,$F50,$B$19,1))</f>
        <v>#NAME?</v>
      </c>
      <c r="AZ50" s="157" t="e">
        <f aca="false">IF(AR50=0,0,SPRDOPT(AQ50,AR50,$P50,$AM50,AU50,AV50,AW50,$F50,$B$19,2))</f>
        <v>#NAME?</v>
      </c>
      <c r="BA50" s="157" t="n">
        <f aca="false">IF(AS50=0,0,SPRDOPT(AQ50,AR50,$P50,$AM50,AU50,AV50,AW50,$F50,$B$19,3)/100)</f>
        <v>0</v>
      </c>
      <c r="BB50" s="157" t="n">
        <f aca="false">IF(AT50=0,0,SPRDOPT(AQ50,AR50,$P50,$AM50,AU50,AV50,AW50,$F50,$B$19,4)/100)</f>
        <v>0</v>
      </c>
      <c r="BC50" s="157" t="e">
        <f aca="false">IF(AU50=0,0,SPRDOPT(AQ50,AR50,$P50,$AM50,AU50,AV50,AW50,$F50,$B$19,5)/100)</f>
        <v>#NAME?</v>
      </c>
      <c r="BD50" s="157" t="e">
        <f aca="false">IF(AV50=0,0,SPRDOPT(AQ50,AR50,$P50,$AM50,AU50,AV50,AW50,$F50,$B$19,6)/100)</f>
        <v>#NAME?</v>
      </c>
      <c r="BE50" s="157" t="e">
        <f aca="false">IF(AW50=0,0,SPRDOPT(AQ50,AR50,$P50,$AM50,AU50,AV50,AW50,$F50,$B$19,7)/100)</f>
        <v>#NAME?</v>
      </c>
      <c r="BF50" s="157" t="n">
        <f aca="false">IF(AX50=0,0,SPRDOPT(AQ50,AR50,$P50,$AM50,AU50,AV50,AW50,$F50,$B$19,9)/365)</f>
        <v>0</v>
      </c>
      <c r="BG50" s="157" t="e">
        <f aca="false">AY50+AZ50</f>
        <v>#NAME?</v>
      </c>
      <c r="BH50" s="157" t="n">
        <f aca="false">BB50-BA50</f>
        <v>0</v>
      </c>
      <c r="BI50" s="157" t="e">
        <f aca="false">((AU50/AV50)*BC50)+BD50</f>
        <v>#NAME?</v>
      </c>
      <c r="BJ50" s="44"/>
      <c r="BK50" s="45" t="n">
        <f aca="false">$AP50*AX50</f>
        <v>0</v>
      </c>
      <c r="BL50" s="45" t="e">
        <f aca="false">$AP50*AY50</f>
        <v>#NAME?</v>
      </c>
      <c r="BM50" s="45" t="e">
        <f aca="false">$AP50*AZ50</f>
        <v>#NAME?</v>
      </c>
      <c r="BN50" s="45" t="n">
        <f aca="false">$AP50*BA50</f>
        <v>0</v>
      </c>
      <c r="BO50" s="45" t="n">
        <f aca="false">$AP50*BB50</f>
        <v>0</v>
      </c>
      <c r="BP50" s="45" t="e">
        <f aca="false">$AP50*BC50</f>
        <v>#NAME?</v>
      </c>
      <c r="BQ50" s="45" t="e">
        <f aca="false">$AP50*BD50</f>
        <v>#NAME?</v>
      </c>
      <c r="BR50" s="45" t="e">
        <f aca="false">$AP50*BE50</f>
        <v>#NAME?</v>
      </c>
      <c r="BS50" s="45" t="n">
        <f aca="false">$AP50*BF50</f>
        <v>0</v>
      </c>
      <c r="BT50" s="45" t="e">
        <f aca="false">$AP50*BG50</f>
        <v>#NAME?</v>
      </c>
      <c r="BU50" s="45" t="n">
        <f aca="false">$AP50*BH50</f>
        <v>0</v>
      </c>
      <c r="BV50" s="45" t="e">
        <f aca="false">$AP50*BI50</f>
        <v>#NAME?</v>
      </c>
      <c r="BX50" s="9" t="n">
        <f aca="false">IF($A50&gt;=BZ$32,IF($A50&lt;=BZ$33,$AN50,0),0)</f>
        <v>0</v>
      </c>
      <c r="BY50" s="123" t="n">
        <f aca="false">$B50+$R50+$D$12</f>
        <v>4.87171428571429</v>
      </c>
      <c r="BZ50" s="123" t="n">
        <f aca="false">$B50+$S50+$D$13</f>
        <v>4.38071428571429</v>
      </c>
      <c r="CA50" s="123" t="n">
        <f aca="false">BY50*BX50</f>
        <v>0</v>
      </c>
      <c r="CB50" s="123" t="n">
        <f aca="false">BZ50*BX50</f>
        <v>0</v>
      </c>
      <c r="CC50" s="156" t="n">
        <f aca="false">($C50*$T50)+$D$14</f>
        <v>0.39445</v>
      </c>
      <c r="CD50" s="156" t="n">
        <f aca="false">($C50*$U50)+$D$15</f>
        <v>0.4025</v>
      </c>
      <c r="CE50" s="131" t="n">
        <f aca="false">$V50+D$16</f>
        <v>0.9773</v>
      </c>
      <c r="CF50" s="157" t="n">
        <f aca="false">IF(BX50=0,0,SPRDOPT(BY50,BZ50,$W50,$AM50,CC50,CD50,CE50,$F50,$D$19,0))</f>
        <v>0</v>
      </c>
      <c r="CG50" s="157" t="e">
        <f aca="false">IF(BY50=0,0,SPRDOPT(BY50,BZ50,$W50,$AM50,CC50,CD50,CE50,$F50,$D$19,1))</f>
        <v>#NAME?</v>
      </c>
      <c r="CH50" s="157" t="e">
        <f aca="false">IF(BZ50=0,0,SPRDOPT(BY50,BZ50,$W50,$AM50,CC50,CD50,CE50,$F50,$D$19,2))</f>
        <v>#NAME?</v>
      </c>
      <c r="CI50" s="157" t="n">
        <f aca="false">IF(CA50=0,0,SPRDOPT(BY50,BZ50,$W50,$AM50,CC50,CD50,CE50,$F50,$D$19,3)/100)</f>
        <v>0</v>
      </c>
      <c r="CJ50" s="157" t="n">
        <f aca="false">IF(CB50=0,0,SPRDOPT(BY50,BZ50,$W50,$AM50,CC50,CD50,CE50,$F50,$D$19,4)/100)</f>
        <v>0</v>
      </c>
      <c r="CK50" s="157" t="e">
        <f aca="false">IF(CC50=0,0,SPRDOPT(BY50,BZ50,$W50,$AM50,CC50,CD50,CE50,$F50,$D$19,5)/100)</f>
        <v>#NAME?</v>
      </c>
      <c r="CL50" s="157" t="e">
        <f aca="false">IF(CD50=0,0,SPRDOPT(BY50,BZ50,$W50,$AM50,CC50,CD50,CE50,$F50,$D$19,6)/100)</f>
        <v>#NAME?</v>
      </c>
      <c r="CM50" s="157" t="e">
        <f aca="false">IF(CE50=0,0,SPRDOPT(BY50,BZ50,$W50,$AM50,CC50,CD50,CE50,$F50,$D$19,7)/100)</f>
        <v>#NAME?</v>
      </c>
      <c r="CN50" s="157" t="n">
        <f aca="false">IF(CF50=0,0,SPRDOPT(BY50,BZ50,$W50,$AM50,CC50,CD50,CE50,$F50,$D$19,9)/365)</f>
        <v>0</v>
      </c>
      <c r="CO50" s="157" t="e">
        <f aca="false">CG50+CH50</f>
        <v>#NAME?</v>
      </c>
      <c r="CP50" s="157" t="n">
        <f aca="false">CJ50-CI50</f>
        <v>0</v>
      </c>
      <c r="CQ50" s="157" t="e">
        <f aca="false">((CC50/CD50)*CK50)+CL50</f>
        <v>#NAME?</v>
      </c>
      <c r="CR50" s="44"/>
      <c r="CS50" s="45" t="n">
        <f aca="false">BX50*CF50</f>
        <v>0</v>
      </c>
      <c r="CT50" s="45" t="e">
        <f aca="false">BX50*CG50</f>
        <v>#NAME?</v>
      </c>
      <c r="CU50" s="45" t="e">
        <f aca="false">BX50*CH50</f>
        <v>#NAME?</v>
      </c>
      <c r="CV50" s="45" t="n">
        <f aca="false">BX50*CI50</f>
        <v>0</v>
      </c>
      <c r="CW50" s="45" t="n">
        <f aca="false">BX50*CJ50</f>
        <v>0</v>
      </c>
      <c r="CX50" s="45" t="e">
        <f aca="false">BX50*CK50</f>
        <v>#NAME?</v>
      </c>
      <c r="CY50" s="45" t="e">
        <f aca="false">BX50*CL50</f>
        <v>#NAME?</v>
      </c>
      <c r="CZ50" s="45" t="e">
        <f aca="false">BX50*CM50</f>
        <v>#NAME?</v>
      </c>
      <c r="DA50" s="45" t="n">
        <f aca="false">BX50*CN50</f>
        <v>0</v>
      </c>
      <c r="DB50" s="45" t="e">
        <f aca="false">BX50*CO50</f>
        <v>#NAME?</v>
      </c>
      <c r="DC50" s="45" t="n">
        <f aca="false">BX50*CP50</f>
        <v>0</v>
      </c>
      <c r="DD50" s="45" t="e">
        <f aca="false">BX50*CQ50</f>
        <v>#NAME?</v>
      </c>
      <c r="DF50" s="9" t="n">
        <f aca="false">IF($A50&gt;=DH$32,IF($A50&lt;=DH$33,$AN50,0),0)</f>
        <v>31</v>
      </c>
      <c r="DG50" s="123" t="n">
        <f aca="false">$B50+$Y50+$F$12</f>
        <v>3.81321428571429</v>
      </c>
      <c r="DH50" s="123" t="n">
        <f aca="false">$B50+$Z50+$F$13</f>
        <v>4.38071428571429</v>
      </c>
      <c r="DI50" s="123" t="n">
        <f aca="false">DG50*DF50</f>
        <v>118.209642857143</v>
      </c>
      <c r="DJ50" s="123" t="n">
        <f aca="false">DH50*DF50</f>
        <v>135.802142857143</v>
      </c>
      <c r="DK50" s="156" t="n">
        <f aca="false">($C50*$AA50)+$F$14</f>
        <v>0.390425</v>
      </c>
      <c r="DL50" s="156" t="n">
        <f aca="false">($C50*$AB50)+$F$15</f>
        <v>0.4025</v>
      </c>
      <c r="DM50" s="131" t="n">
        <f aca="false">$AC50+$F$16</f>
        <v>0.974</v>
      </c>
      <c r="DN50" s="157" t="e">
        <f aca="false">IF(DF50=0,0,SPRDOPT(DG50,DH50,$AD50,$AM50,DK50,DL50,DM50,$F50,$F$19,0))</f>
        <v>#NAME?</v>
      </c>
      <c r="DO50" s="157" t="e">
        <f aca="false">IF(DG50=0,0,SPRDOPT(DG50,DH50,$AD50,$AM50,DK50,DL50,DM50,$F50,$F$19,1))</f>
        <v>#NAME?</v>
      </c>
      <c r="DP50" s="157" t="e">
        <f aca="false">IF(DH50=0,0,SPRDOPT(DG50,DH50,$AD50,$AM50,DK50,DL50,DM50,$F50,$F$19,2))</f>
        <v>#NAME?</v>
      </c>
      <c r="DQ50" s="157" t="e">
        <f aca="false">IF(DI50=0,0,SPRDOPT(DG50,DH50,$AD50,$AM50,DK50,DL50,DM50,$F50,$F$19,3)/100)</f>
        <v>#NAME?</v>
      </c>
      <c r="DR50" s="157" t="e">
        <f aca="false">IF(DJ50=0,0,SPRDOPT(DG50,DH50,$AD50,$AM50,DK50,DL50,DM50,$F50,$F$19,4)/100)</f>
        <v>#NAME?</v>
      </c>
      <c r="DS50" s="157" t="e">
        <f aca="false">IF(DK50=0,0,SPRDOPT(DG50,DH50,$AD50,$AM50,DK50,DL50,DM50,$F50,$F$19,5)/100)</f>
        <v>#NAME?</v>
      </c>
      <c r="DT50" s="157" t="e">
        <f aca="false">IF(DL50=0,0,SPRDOPT(DG50,DH50,$AD50,$AM50,DK50,DL50,DM50,$F50,$F$19,6)/100)</f>
        <v>#NAME?</v>
      </c>
      <c r="DU50" s="157" t="e">
        <f aca="false">IF(DM50=0,0,SPRDOPT(DG50,DH50,$AD50,$AM50,DK50,DL50,DM50,$F50,$F$19,7)/100)</f>
        <v>#NAME?</v>
      </c>
      <c r="DV50" s="157" t="e">
        <f aca="false">IF(DN50=0,0,SPRDOPT(DG50,DH50,$AD50,$AM50,DK50,DL50,DM50,$F50,$F$19,9)/365)</f>
        <v>#NAME?</v>
      </c>
      <c r="DW50" s="157" t="e">
        <f aca="false">DO50+DP50</f>
        <v>#NAME?</v>
      </c>
      <c r="DX50" s="157" t="e">
        <f aca="false">DR50-DQ50</f>
        <v>#NAME?</v>
      </c>
      <c r="DY50" s="157" t="e">
        <f aca="false">((DK50/DL50)*DS50)+DT50</f>
        <v>#NAME?</v>
      </c>
      <c r="DZ50" s="44"/>
      <c r="EA50" s="45" t="e">
        <f aca="false">DF50*DN50</f>
        <v>#NAME?</v>
      </c>
      <c r="EB50" s="45" t="e">
        <f aca="false">DF50*DO50</f>
        <v>#NAME?</v>
      </c>
      <c r="EC50" s="45" t="e">
        <f aca="false">DF50*DP50</f>
        <v>#NAME?</v>
      </c>
      <c r="ED50" s="45" t="e">
        <f aca="false">DF50*DQ50</f>
        <v>#NAME?</v>
      </c>
      <c r="EE50" s="45" t="e">
        <f aca="false">DF50*DR50</f>
        <v>#NAME?</v>
      </c>
      <c r="EF50" s="45" t="e">
        <f aca="false">DF50*DS50</f>
        <v>#NAME?</v>
      </c>
      <c r="EG50" s="45" t="e">
        <f aca="false">DF50*DT50</f>
        <v>#NAME?</v>
      </c>
      <c r="EH50" s="45" t="e">
        <f aca="false">DF50*DU50</f>
        <v>#NAME?</v>
      </c>
      <c r="EI50" s="45" t="e">
        <f aca="false">DF50*DV50</f>
        <v>#NAME?</v>
      </c>
      <c r="EJ50" s="45" t="e">
        <f aca="false">DF50*DW50</f>
        <v>#NAME?</v>
      </c>
      <c r="EK50" s="45" t="e">
        <f aca="false">DF50*DX50</f>
        <v>#NAME?</v>
      </c>
      <c r="EL50" s="45" t="e">
        <f aca="false">DF50*DY50</f>
        <v>#NAME?</v>
      </c>
      <c r="EN50" s="9" t="n">
        <f aca="false">IF($A50&gt;=EP$32,IF($A50&lt;=EP$33,$AN50,0),0)</f>
        <v>0</v>
      </c>
      <c r="EO50" s="123" t="n">
        <f aca="false">$B50+$AF50+$H$12</f>
        <v>4.39321428571429</v>
      </c>
      <c r="EP50" s="123" t="n">
        <f aca="false">$B50+$AG50+$H$13</f>
        <v>4.38071428571429</v>
      </c>
      <c r="EQ50" s="123" t="n">
        <f aca="false">EO50*EN50</f>
        <v>0</v>
      </c>
      <c r="ER50" s="123" t="n">
        <f aca="false">EP50*EN50</f>
        <v>0</v>
      </c>
      <c r="ES50" s="156" t="n">
        <f aca="false">($C50*$AH50)+$H$14</f>
        <v>0.4025</v>
      </c>
      <c r="ET50" s="156" t="n">
        <f aca="false">($C50*$AI50)+$H$15</f>
        <v>0.4025</v>
      </c>
      <c r="EU50" s="131" t="n">
        <f aca="false">$AJ50+$H$16</f>
        <v>0.998</v>
      </c>
      <c r="EV50" s="157" t="n">
        <f aca="false">IF(EN50=0,0,SPRDOPT(EO50,EP50,$AK50,$AM50,ES50,ET50,EU50,$F50,$H$19,0))</f>
        <v>0</v>
      </c>
      <c r="EW50" s="157" t="e">
        <f aca="false">IF(EO50=0,0,SPRDOPT(EO50,EP50,$AK50,$AM50,ES50,ET50,EU50,$F50,$H$19,1))</f>
        <v>#NAME?</v>
      </c>
      <c r="EX50" s="157" t="e">
        <f aca="false">IF(EP50=0,0,SPRDOPT(EO50,EP50,$AK50,$AM50,ES50,ET50,EU50,$F50,$H$19,2))</f>
        <v>#NAME?</v>
      </c>
      <c r="EY50" s="157" t="n">
        <f aca="false">IF(EQ50=0,0,SPRDOPT(EO50,EP50,$AK50,$AM50,ES50,ET50,EU50,$F50,$H$19,3)/100)</f>
        <v>0</v>
      </c>
      <c r="EZ50" s="157" t="n">
        <f aca="false">IF(ER50=0,0,SPRDOPT(EO50,EP50,$AK50,$AM50,ES50,ET50,EU50,$F50,$H$19,4)/100)</f>
        <v>0</v>
      </c>
      <c r="FA50" s="157" t="e">
        <f aca="false">IF(ES50=0,0,SPRDOPT(EO50,EP50,$AK50,$AM50,ES50,ET50,EU50,$F50,$H$19,5)/100)</f>
        <v>#NAME?</v>
      </c>
      <c r="FB50" s="157" t="e">
        <f aca="false">IF(ET50=0,0,SPRDOPT(EO50,EP50,$AK50,$AM50,ES50,ET50,EU50,$F50,$H$19,6)/100)</f>
        <v>#NAME?</v>
      </c>
      <c r="FC50" s="157" t="e">
        <f aca="false">IF(EU50=0,0,SPRDOPT(EO50,EP50,$AK50,$AM50,ES50,ET50,EU50,$F50,$H$19,7)/100)</f>
        <v>#NAME?</v>
      </c>
      <c r="FD50" s="157" t="n">
        <f aca="false">IF(EV50=0,0,SPRDOPT(EO50,EP50,$AK50,$AM50,ES50,ET50,EU50,$F50,$H$19,9)/365)</f>
        <v>0</v>
      </c>
      <c r="FE50" s="157" t="e">
        <f aca="false">EW50+EX50</f>
        <v>#NAME?</v>
      </c>
      <c r="FF50" s="157" t="n">
        <f aca="false">EZ50-EY50</f>
        <v>0</v>
      </c>
      <c r="FG50" s="157" t="e">
        <f aca="false">((ES50/ET50)*FA50)+FB50</f>
        <v>#NAME?</v>
      </c>
      <c r="FH50" s="44"/>
      <c r="FI50" s="45" t="n">
        <f aca="false">$EN50*EV50</f>
        <v>0</v>
      </c>
      <c r="FJ50" s="45" t="e">
        <f aca="false">$EN50*EW50</f>
        <v>#NAME?</v>
      </c>
      <c r="FK50" s="45" t="e">
        <f aca="false">$EN50*EX50</f>
        <v>#NAME?</v>
      </c>
      <c r="FL50" s="45" t="n">
        <f aca="false">$EN50*EY50</f>
        <v>0</v>
      </c>
      <c r="FM50" s="45" t="n">
        <f aca="false">$EN50*EZ50</f>
        <v>0</v>
      </c>
      <c r="FN50" s="45" t="e">
        <f aca="false">$EN50*FA50</f>
        <v>#NAME?</v>
      </c>
      <c r="FO50" s="45" t="e">
        <f aca="false">$EN50*FB50</f>
        <v>#NAME?</v>
      </c>
      <c r="FP50" s="45" t="e">
        <f aca="false">$EN50*FC50</f>
        <v>#NAME?</v>
      </c>
      <c r="FQ50" s="45" t="n">
        <f aca="false">$EN50*FD50</f>
        <v>0</v>
      </c>
      <c r="FR50" s="45" t="e">
        <f aca="false">$EN50*FE50</f>
        <v>#NAME?</v>
      </c>
      <c r="FS50" s="45" t="n">
        <f aca="false">$EN50*FF50</f>
        <v>0</v>
      </c>
      <c r="FT50" s="45" t="e">
        <f aca="false">$EN50*FG50</f>
        <v>#NAME?</v>
      </c>
    </row>
    <row r="51" customFormat="false" ht="12.75" hidden="false" customHeight="false" outlineLevel="0" collapsed="false">
      <c r="A51" s="48" t="n">
        <f aca="false">DATE(YEAR(A50),MONTH(A50)+1,1)</f>
        <v>37196</v>
      </c>
      <c r="B51" s="40" t="n">
        <f aca="false">VLOOKUP(A51,STRADDLE,5,FALSE())</f>
        <v>4.486</v>
      </c>
      <c r="C51" s="4" t="n">
        <f aca="false">VLOOKUP(A51,STRADDLE,8,FALSE())</f>
        <v>0.4075</v>
      </c>
      <c r="D51" s="40"/>
      <c r="E51" s="131"/>
      <c r="F51" s="136" t="n">
        <f aca="false">VLOOKUP(A51,expiration,2,FALSE())-$B$2</f>
        <v>-8733</v>
      </c>
      <c r="G51" s="4"/>
      <c r="H51" s="4"/>
      <c r="I51" s="41"/>
      <c r="J51" s="154"/>
      <c r="K51" s="40" t="n">
        <f aca="false">IF($B$3="NYMEX",0,VLOOKUP($A51,curvesettle,HLOOKUP($B$3,curvesettle,2,FALSE()),FALSE()))</f>
        <v>1.19</v>
      </c>
      <c r="L51" s="40" t="n">
        <f aca="false">IF($B$4="NYMEX",0,VLOOKUP($A51,curvesettle,HLOOKUP($B$4,curvesettle,2,FALSE()),FALSE()))</f>
        <v>0</v>
      </c>
      <c r="M51" s="131" t="n">
        <f aca="false">IF(ISNUMBER(VLOOKUP($A51,VOLCURVES,HLOOKUP($B$3,VOLCURVES,2,FALSE()),FALSE())),VLOOKUP($A51,VOLCURVES,HLOOKUP($B$3,VOLCURVES,2,FALSE()),FALSE()),1)</f>
        <v>1.1</v>
      </c>
      <c r="N51" s="131" t="n">
        <f aca="false">IF(ISNUMBER(VLOOKUP($A51,VOLCURVES,HLOOKUP($B$4,VOLCURVES,2,FALSE()),FALSE())),VLOOKUP($A51,VOLCURVES,HLOOKUP($B$4,VOLCURVES,2,FALSE()),FALSE()),1)</f>
        <v>1</v>
      </c>
      <c r="O51" s="131" t="n">
        <f aca="false">IF(ISNUMBER(VLOOKUP($A51,CORETABLE,HLOOKUP($B$3,CORETABLE,2,FALSE()),FALSE())),VLOOKUP($A51,CORETABLE,HLOOKUP($B$3,CORETABLE,2,FALSE()),FALSE()),0.99)</f>
        <v>0.95</v>
      </c>
      <c r="P51" s="155" t="n">
        <f aca="false">B$18</f>
        <v>2</v>
      </c>
      <c r="Q51" s="131"/>
      <c r="R51" s="40" t="n">
        <f aca="false">IF($D$3="NYMEX",0,VLOOKUP($A51,curvesettle,HLOOKUP($D$3,curvesettle,2,FALSE()),FALSE()))</f>
        <v>1.19</v>
      </c>
      <c r="S51" s="40" t="n">
        <f aca="false">IF($D$4="NYMEX",0,VLOOKUP($A51,curvesettle,HLOOKUP($D$4,curvesettle,2,FALSE()),FALSE()))</f>
        <v>0</v>
      </c>
      <c r="T51" s="131" t="n">
        <f aca="false">IF(ISNUMBER(VLOOKUP($A51,VOLCURVES,HLOOKUP($D$3,VOLCURVES,2,FALSE()),FALSE())),VLOOKUP($A51,VOLCURVES,HLOOKUP($D$3,VOLCURVES,2,FALSE()),FALSE()),1)</f>
        <v>1.1</v>
      </c>
      <c r="U51" s="131" t="n">
        <f aca="false">IF(ISNUMBER(VLOOKUP($A51,VOLCURVES,HLOOKUP($D$4,VOLCURVES,2,FALSE()),FALSE())),VLOOKUP($A51,VOLCURVES,HLOOKUP($D$4,VOLCURVES,2,FALSE()),FALSE()),1)</f>
        <v>1</v>
      </c>
      <c r="V51" s="131" t="n">
        <f aca="false">IF(ISNUMBER(VLOOKUP($A51,CORETABLE,HLOOKUP($D$3,CORETABLE,2,FALSE()),FALSE())),VLOOKUP($A51,CORETABLE,HLOOKUP($D$3,CORETABLE,2,FALSE()),FALSE()),0.99)</f>
        <v>0.95</v>
      </c>
      <c r="W51" s="155" t="n">
        <f aca="false">D$18</f>
        <v>2.5</v>
      </c>
      <c r="X51" s="131"/>
      <c r="Y51" s="40" t="n">
        <f aca="false">IF($F$3="NYMEX",0,VLOOKUP($A51,curvesettle,HLOOKUP($F$3,curvesettle,2,FALSE()),FALSE()))</f>
        <v>-0.33</v>
      </c>
      <c r="Z51" s="40" t="n">
        <f aca="false">IF($F$4="NYMEX",0,VLOOKUP($A51,curvesettle,HLOOKUP($F$4,curvesettle,2,FALSE()),FALSE()))</f>
        <v>0</v>
      </c>
      <c r="AA51" s="131" t="n">
        <f aca="false">IF(ISNUMBER(VLOOKUP($A51,VOLCURVES,HLOOKUP($F$3,VOLCURVES,2,FALSE()),FALSE())),VLOOKUP($A51,VOLCURVES,HLOOKUP($F$3,VOLCURVES,2,FALSE()),FALSE()),1)</f>
        <v>0.97</v>
      </c>
      <c r="AB51" s="131" t="n">
        <f aca="false">IF(ISNUMBER(VLOOKUP($A51,VOLCURVES,HLOOKUP($F$4,VOLCURVES,2,FALSE()),FALSE())),VLOOKUP($A51,VOLCURVES,HLOOKUP($F$4,VOLCURVES,2,FALSE()),FALSE()),1)</f>
        <v>1</v>
      </c>
      <c r="AC51" s="131" t="n">
        <f aca="false">IF(ISNUMBER(VLOOKUP($A51,CORETABLE,HLOOKUP($F$3,CORETABLE,2,FALSE()),FALSE())),VLOOKUP($A51,CORETABLE,HLOOKUP($F$3,CORETABLE,2,FALSE()),FALSE()),1)</f>
        <v>0.96</v>
      </c>
      <c r="AD51" s="155" t="n">
        <f aca="false">F$18</f>
        <v>-0.05</v>
      </c>
      <c r="AE51" s="131"/>
      <c r="AF51" s="40" t="n">
        <f aca="false">IF($H$3="NYMEX",0,VLOOKUP($A51,curvesettle,HLOOKUP($H$3,curvesettle,2,FALSE()),FALSE()))</f>
        <v>-0.0375</v>
      </c>
      <c r="AG51" s="40" t="n">
        <f aca="false">IF($H$4="NYMEX",0,VLOOKUP($A51,curvesettle,HLOOKUP($H$4,curvesettle,2,FALSE()),FALSE()))</f>
        <v>0</v>
      </c>
      <c r="AH51" s="131" t="n">
        <f aca="false">IF(ISNUMBER(VLOOKUP($A51,VOLCURVES,HLOOKUP($H$3,VOLCURVES,2,FALSE()),FALSE())),VLOOKUP($A51,VOLCURVES,HLOOKUP($H$3,VOLCURVES,2,FALSE()),FALSE()),1)</f>
        <v>1</v>
      </c>
      <c r="AI51" s="131" t="n">
        <f aca="false">IF(ISNUMBER(VLOOKUP($A51,VOLCURVES,HLOOKUP($H$4,VOLCURVES,2,FALSE()),FALSE())),VLOOKUP($A51,VOLCURVES,HLOOKUP($H$4,VOLCURVES,2,FALSE()),FALSE()),1)</f>
        <v>1</v>
      </c>
      <c r="AJ51" s="131" t="n">
        <f aca="false">IF(ISNUMBER(VLOOKUP($A51,CORETABLE,HLOOKUP($H$3,CORETABLE,2,FALSE()),FALSE())),VLOOKUP($A51,CORETABLE,HLOOKUP($H$3,CORETABLE,2,FALSE()),FALSE()),1)</f>
        <v>0.999</v>
      </c>
      <c r="AK51" s="155" t="n">
        <f aca="false">H$18</f>
        <v>-0.05</v>
      </c>
      <c r="AM51" s="4" t="n">
        <f aca="false">VLOOKUP($A51,STRADDLE,12,FALSE())</f>
        <v>0.067440746905213</v>
      </c>
      <c r="AN51" s="43" t="n">
        <f aca="false">A52-A51</f>
        <v>30</v>
      </c>
      <c r="AP51" s="9" t="n">
        <f aca="false">IF($A51&gt;=AR$32,IF($A51&lt;=AR$33,$AN51,0),0)</f>
        <v>0</v>
      </c>
      <c r="AQ51" s="123" t="n">
        <f aca="false">$B51+$K51+$B$12</f>
        <v>5.706</v>
      </c>
      <c r="AR51" s="123" t="n">
        <f aca="false">$B51+$L51+$B$13</f>
        <v>4.486</v>
      </c>
      <c r="AS51" s="123" t="n">
        <f aca="false">AQ51*AP51</f>
        <v>0</v>
      </c>
      <c r="AT51" s="123" t="n">
        <f aca="false">AR51*AP51</f>
        <v>0</v>
      </c>
      <c r="AU51" s="156" t="n">
        <f aca="false">($C51*$M51)+$B$14</f>
        <v>0.44825</v>
      </c>
      <c r="AV51" s="156" t="n">
        <f aca="false">($C51*$N51)+$B$15</f>
        <v>0.4075</v>
      </c>
      <c r="AW51" s="131" t="n">
        <f aca="false">O51+B$16</f>
        <v>0.95</v>
      </c>
      <c r="AX51" s="157" t="n">
        <f aca="false">IF(AP51=0,0,SPRDOPT(AQ51,AR51,$P51,$AM51,AU51,AV51,AW51,$F51,$B$19,0))</f>
        <v>0</v>
      </c>
      <c r="AY51" s="157" t="e">
        <f aca="false">IF(AQ51=0,0,SPRDOPT(AQ51,AR51,$P51,$AM51,AU51,AV51,AW51,$F51,$B$19,1))</f>
        <v>#NAME?</v>
      </c>
      <c r="AZ51" s="157" t="e">
        <f aca="false">IF(AR51=0,0,SPRDOPT(AQ51,AR51,$P51,$AM51,AU51,AV51,AW51,$F51,$B$19,2))</f>
        <v>#NAME?</v>
      </c>
      <c r="BA51" s="157" t="n">
        <f aca="false">IF(AS51=0,0,SPRDOPT(AQ51,AR51,$P51,$AM51,AU51,AV51,AW51,$F51,$B$19,3)/100)</f>
        <v>0</v>
      </c>
      <c r="BB51" s="157" t="n">
        <f aca="false">IF(AT51=0,0,SPRDOPT(AQ51,AR51,$P51,$AM51,AU51,AV51,AW51,$F51,$B$19,4)/100)</f>
        <v>0</v>
      </c>
      <c r="BC51" s="157" t="e">
        <f aca="false">IF(AU51=0,0,SPRDOPT(AQ51,AR51,$P51,$AM51,AU51,AV51,AW51,$F51,$B$19,5)/100)</f>
        <v>#NAME?</v>
      </c>
      <c r="BD51" s="157" t="e">
        <f aca="false">IF(AV51=0,0,SPRDOPT(AQ51,AR51,$P51,$AM51,AU51,AV51,AW51,$F51,$B$19,6)/100)</f>
        <v>#NAME?</v>
      </c>
      <c r="BE51" s="157" t="e">
        <f aca="false">IF(AW51=0,0,SPRDOPT(AQ51,AR51,$P51,$AM51,AU51,AV51,AW51,$F51,$B$19,7)/100)</f>
        <v>#NAME?</v>
      </c>
      <c r="BF51" s="157" t="n">
        <f aca="false">IF(AX51=0,0,SPRDOPT(AQ51,AR51,$P51,$AM51,AU51,AV51,AW51,$F51,$B$19,9)/365)</f>
        <v>0</v>
      </c>
      <c r="BG51" s="157" t="e">
        <f aca="false">AY51+AZ51</f>
        <v>#NAME?</v>
      </c>
      <c r="BH51" s="157" t="n">
        <f aca="false">BB51-BA51</f>
        <v>0</v>
      </c>
      <c r="BI51" s="157" t="e">
        <f aca="false">((AU51/AV51)*BC51)+BD51</f>
        <v>#NAME?</v>
      </c>
      <c r="BJ51" s="44"/>
      <c r="BK51" s="45" t="n">
        <f aca="false">$AP51*AX51</f>
        <v>0</v>
      </c>
      <c r="BL51" s="45" t="e">
        <f aca="false">$AP51*AY51</f>
        <v>#NAME?</v>
      </c>
      <c r="BM51" s="45" t="e">
        <f aca="false">$AP51*AZ51</f>
        <v>#NAME?</v>
      </c>
      <c r="BN51" s="45" t="n">
        <f aca="false">$AP51*BA51</f>
        <v>0</v>
      </c>
      <c r="BO51" s="45" t="n">
        <f aca="false">$AP51*BB51</f>
        <v>0</v>
      </c>
      <c r="BP51" s="45" t="e">
        <f aca="false">$AP51*BC51</f>
        <v>#NAME?</v>
      </c>
      <c r="BQ51" s="45" t="e">
        <f aca="false">$AP51*BD51</f>
        <v>#NAME?</v>
      </c>
      <c r="BR51" s="45" t="e">
        <f aca="false">$AP51*BE51</f>
        <v>#NAME?</v>
      </c>
      <c r="BS51" s="45" t="n">
        <f aca="false">$AP51*BF51</f>
        <v>0</v>
      </c>
      <c r="BT51" s="45" t="e">
        <f aca="false">$AP51*BG51</f>
        <v>#NAME?</v>
      </c>
      <c r="BU51" s="45" t="n">
        <f aca="false">$AP51*BH51</f>
        <v>0</v>
      </c>
      <c r="BV51" s="45" t="e">
        <f aca="false">$AP51*BI51</f>
        <v>#NAME?</v>
      </c>
      <c r="BX51" s="9" t="n">
        <f aca="false">IF($A51&gt;=BZ$32,IF($A51&lt;=BZ$33,$AN51,0),0)</f>
        <v>0</v>
      </c>
      <c r="BY51" s="123" t="n">
        <f aca="false">$B51+$R51+$D$12</f>
        <v>5.706</v>
      </c>
      <c r="BZ51" s="123" t="n">
        <f aca="false">$B51+$S51+$D$13</f>
        <v>4.486</v>
      </c>
      <c r="CA51" s="123" t="n">
        <f aca="false">BY51*BX51</f>
        <v>0</v>
      </c>
      <c r="CB51" s="123" t="n">
        <f aca="false">BZ51*BX51</f>
        <v>0</v>
      </c>
      <c r="CC51" s="156" t="n">
        <f aca="false">($C51*$T51)+$D$14</f>
        <v>0.44825</v>
      </c>
      <c r="CD51" s="156" t="n">
        <f aca="false">($C51*$U51)+$D$15</f>
        <v>0.4075</v>
      </c>
      <c r="CE51" s="131" t="n">
        <f aca="false">$V51+D$16</f>
        <v>0.95</v>
      </c>
      <c r="CF51" s="157" t="n">
        <f aca="false">IF(BX51=0,0,SPRDOPT(BY51,BZ51,$W51,$AM51,CC51,CD51,CE51,$F51,$D$19,0))</f>
        <v>0</v>
      </c>
      <c r="CG51" s="157" t="e">
        <f aca="false">IF(BY51=0,0,SPRDOPT(BY51,BZ51,$W51,$AM51,CC51,CD51,CE51,$F51,$D$19,1))</f>
        <v>#NAME?</v>
      </c>
      <c r="CH51" s="157" t="e">
        <f aca="false">IF(BZ51=0,0,SPRDOPT(BY51,BZ51,$W51,$AM51,CC51,CD51,CE51,$F51,$D$19,2))</f>
        <v>#NAME?</v>
      </c>
      <c r="CI51" s="157" t="n">
        <f aca="false">IF(CA51=0,0,SPRDOPT(BY51,BZ51,$W51,$AM51,CC51,CD51,CE51,$F51,$D$19,3)/100)</f>
        <v>0</v>
      </c>
      <c r="CJ51" s="157" t="n">
        <f aca="false">IF(CB51=0,0,SPRDOPT(BY51,BZ51,$W51,$AM51,CC51,CD51,CE51,$F51,$D$19,4)/100)</f>
        <v>0</v>
      </c>
      <c r="CK51" s="157" t="e">
        <f aca="false">IF(CC51=0,0,SPRDOPT(BY51,BZ51,$W51,$AM51,CC51,CD51,CE51,$F51,$D$19,5)/100)</f>
        <v>#NAME?</v>
      </c>
      <c r="CL51" s="157" t="e">
        <f aca="false">IF(CD51=0,0,SPRDOPT(BY51,BZ51,$W51,$AM51,CC51,CD51,CE51,$F51,$D$19,6)/100)</f>
        <v>#NAME?</v>
      </c>
      <c r="CM51" s="157" t="e">
        <f aca="false">IF(CE51=0,0,SPRDOPT(BY51,BZ51,$W51,$AM51,CC51,CD51,CE51,$F51,$D$19,7)/100)</f>
        <v>#NAME?</v>
      </c>
      <c r="CN51" s="157" t="n">
        <f aca="false">IF(CF51=0,0,SPRDOPT(BY51,BZ51,$W51,$AM51,CC51,CD51,CE51,$F51,$D$19,9)/365)</f>
        <v>0</v>
      </c>
      <c r="CO51" s="157" t="e">
        <f aca="false">CG51+CH51</f>
        <v>#NAME?</v>
      </c>
      <c r="CP51" s="157" t="n">
        <f aca="false">CJ51-CI51</f>
        <v>0</v>
      </c>
      <c r="CQ51" s="157" t="e">
        <f aca="false">((CC51/CD51)*CK51)+CL51</f>
        <v>#NAME?</v>
      </c>
      <c r="CR51" s="44"/>
      <c r="CS51" s="45" t="n">
        <f aca="false">BX51*CF51</f>
        <v>0</v>
      </c>
      <c r="CT51" s="45" t="e">
        <f aca="false">BX51*CG51</f>
        <v>#NAME?</v>
      </c>
      <c r="CU51" s="45" t="e">
        <f aca="false">BX51*CH51</f>
        <v>#NAME?</v>
      </c>
      <c r="CV51" s="45" t="n">
        <f aca="false">BX51*CI51</f>
        <v>0</v>
      </c>
      <c r="CW51" s="45" t="n">
        <f aca="false">BX51*CJ51</f>
        <v>0</v>
      </c>
      <c r="CX51" s="45" t="e">
        <f aca="false">BX51*CK51</f>
        <v>#NAME?</v>
      </c>
      <c r="CY51" s="45" t="e">
        <f aca="false">BX51*CL51</f>
        <v>#NAME?</v>
      </c>
      <c r="CZ51" s="45" t="e">
        <f aca="false">BX51*CM51</f>
        <v>#NAME?</v>
      </c>
      <c r="DA51" s="45" t="n">
        <f aca="false">BX51*CN51</f>
        <v>0</v>
      </c>
      <c r="DB51" s="45" t="e">
        <f aca="false">BX51*CO51</f>
        <v>#NAME?</v>
      </c>
      <c r="DC51" s="45" t="n">
        <f aca="false">BX51*CP51</f>
        <v>0</v>
      </c>
      <c r="DD51" s="45" t="e">
        <f aca="false">BX51*CQ51</f>
        <v>#NAME?</v>
      </c>
      <c r="DF51" s="9" t="n">
        <f aca="false">IF($A51&gt;=DH$32,IF($A51&lt;=DH$33,$AN51,0),0)</f>
        <v>0</v>
      </c>
      <c r="DG51" s="123" t="n">
        <f aca="false">$B51+$Y51+$F$12</f>
        <v>4.161</v>
      </c>
      <c r="DH51" s="123" t="n">
        <f aca="false">$B51+$Z51+$F$13</f>
        <v>4.486</v>
      </c>
      <c r="DI51" s="123" t="n">
        <f aca="false">DG51*DF51</f>
        <v>0</v>
      </c>
      <c r="DJ51" s="123" t="n">
        <f aca="false">DH51*DF51</f>
        <v>0</v>
      </c>
      <c r="DK51" s="156" t="n">
        <f aca="false">($C51*$AA51)+$F$14</f>
        <v>0.395275</v>
      </c>
      <c r="DL51" s="156" t="n">
        <f aca="false">($C51*$AB51)+$F$15</f>
        <v>0.4075</v>
      </c>
      <c r="DM51" s="131" t="n">
        <f aca="false">$AC51+$F$16</f>
        <v>0.974</v>
      </c>
      <c r="DN51" s="157" t="n">
        <f aca="false">IF(DF51=0,0,SPRDOPT(DG51,DH51,$AD51,$AM51,DK51,DL51,DM51,$F51,$F$19,0))</f>
        <v>0</v>
      </c>
      <c r="DO51" s="157" t="e">
        <f aca="false">IF(DG51=0,0,SPRDOPT(DG51,DH51,$AD51,$AM51,DK51,DL51,DM51,$F51,$F$19,1))</f>
        <v>#NAME?</v>
      </c>
      <c r="DP51" s="157" t="e">
        <f aca="false">IF(DH51=0,0,SPRDOPT(DG51,DH51,$AD51,$AM51,DK51,DL51,DM51,$F51,$F$19,2))</f>
        <v>#NAME?</v>
      </c>
      <c r="DQ51" s="157" t="n">
        <f aca="false">IF(DI51=0,0,SPRDOPT(DG51,DH51,$AD51,$AM51,DK51,DL51,DM51,$F51,$F$19,3)/100)</f>
        <v>0</v>
      </c>
      <c r="DR51" s="157" t="n">
        <f aca="false">IF(DJ51=0,0,SPRDOPT(DG51,DH51,$AD51,$AM51,DK51,DL51,DM51,$F51,$F$19,4)/100)</f>
        <v>0</v>
      </c>
      <c r="DS51" s="157" t="e">
        <f aca="false">IF(DK51=0,0,SPRDOPT(DG51,DH51,$AD51,$AM51,DK51,DL51,DM51,$F51,$F$19,5)/100)</f>
        <v>#NAME?</v>
      </c>
      <c r="DT51" s="157" t="e">
        <f aca="false">IF(DL51=0,0,SPRDOPT(DG51,DH51,$AD51,$AM51,DK51,DL51,DM51,$F51,$F$19,6)/100)</f>
        <v>#NAME?</v>
      </c>
      <c r="DU51" s="157" t="e">
        <f aca="false">IF(DM51=0,0,SPRDOPT(DG51,DH51,$AD51,$AM51,DK51,DL51,DM51,$F51,$F$19,7)/100)</f>
        <v>#NAME?</v>
      </c>
      <c r="DV51" s="157" t="n">
        <f aca="false">IF(DN51=0,0,SPRDOPT(DG51,DH51,$AD51,$AM51,DK51,DL51,DM51,$F51,$F$19,9)/365)</f>
        <v>0</v>
      </c>
      <c r="DW51" s="157" t="e">
        <f aca="false">DO51+DP51</f>
        <v>#NAME?</v>
      </c>
      <c r="DX51" s="157" t="n">
        <f aca="false">DR51-DQ51</f>
        <v>0</v>
      </c>
      <c r="DY51" s="157" t="e">
        <f aca="false">((DK51/DL51)*DS51)+DT51</f>
        <v>#NAME?</v>
      </c>
      <c r="DZ51" s="44"/>
      <c r="EA51" s="45" t="n">
        <f aca="false">DF51*DN51</f>
        <v>0</v>
      </c>
      <c r="EB51" s="45" t="e">
        <f aca="false">DF51*DO51</f>
        <v>#NAME?</v>
      </c>
      <c r="EC51" s="45" t="e">
        <f aca="false">DF51*DP51</f>
        <v>#NAME?</v>
      </c>
      <c r="ED51" s="45" t="n">
        <f aca="false">DF51*DQ51</f>
        <v>0</v>
      </c>
      <c r="EE51" s="45" t="n">
        <f aca="false">DF51*DR51</f>
        <v>0</v>
      </c>
      <c r="EF51" s="45" t="e">
        <f aca="false">DF51*DS51</f>
        <v>#NAME?</v>
      </c>
      <c r="EG51" s="45" t="e">
        <f aca="false">DF51*DT51</f>
        <v>#NAME?</v>
      </c>
      <c r="EH51" s="45" t="e">
        <f aca="false">DF51*DU51</f>
        <v>#NAME?</v>
      </c>
      <c r="EI51" s="45" t="n">
        <f aca="false">DF51*DV51</f>
        <v>0</v>
      </c>
      <c r="EJ51" s="45" t="e">
        <f aca="false">DF51*DW51</f>
        <v>#NAME?</v>
      </c>
      <c r="EK51" s="45" t="n">
        <f aca="false">DF51*DX51</f>
        <v>0</v>
      </c>
      <c r="EL51" s="45" t="e">
        <f aca="false">DF51*DY51</f>
        <v>#NAME?</v>
      </c>
      <c r="EN51" s="9" t="n">
        <f aca="false">IF($A51&gt;=EP$32,IF($A51&lt;=EP$33,$AN51,0),0)</f>
        <v>0</v>
      </c>
      <c r="EO51" s="123" t="n">
        <f aca="false">$B51+$AF51+$H$12</f>
        <v>4.4485</v>
      </c>
      <c r="EP51" s="123" t="n">
        <f aca="false">$B51+$AG51+$H$13</f>
        <v>4.486</v>
      </c>
      <c r="EQ51" s="123" t="n">
        <f aca="false">EO51*EN51</f>
        <v>0</v>
      </c>
      <c r="ER51" s="123" t="n">
        <f aca="false">EP51*EN51</f>
        <v>0</v>
      </c>
      <c r="ES51" s="156" t="n">
        <f aca="false">($C51*$AH51)+$H$14</f>
        <v>0.4075</v>
      </c>
      <c r="ET51" s="156" t="n">
        <f aca="false">($C51*$AI51)+$H$15</f>
        <v>0.4075</v>
      </c>
      <c r="EU51" s="131" t="n">
        <f aca="false">$AJ51+$H$16</f>
        <v>0.998</v>
      </c>
      <c r="EV51" s="157" t="n">
        <f aca="false">IF(EN51=0,0,SPRDOPT(EO51,EP51,$AK51,$AM51,ES51,ET51,EU51,$F51,$H$19,0))</f>
        <v>0</v>
      </c>
      <c r="EW51" s="157" t="e">
        <f aca="false">IF(EO51=0,0,SPRDOPT(EO51,EP51,$AK51,$AM51,ES51,ET51,EU51,$F51,$H$19,1))</f>
        <v>#NAME?</v>
      </c>
      <c r="EX51" s="157" t="e">
        <f aca="false">IF(EP51=0,0,SPRDOPT(EO51,EP51,$AK51,$AM51,ES51,ET51,EU51,$F51,$H$19,2))</f>
        <v>#NAME?</v>
      </c>
      <c r="EY51" s="157" t="n">
        <f aca="false">IF(EQ51=0,0,SPRDOPT(EO51,EP51,$AK51,$AM51,ES51,ET51,EU51,$F51,$H$19,3)/100)</f>
        <v>0</v>
      </c>
      <c r="EZ51" s="157" t="n">
        <f aca="false">IF(ER51=0,0,SPRDOPT(EO51,EP51,$AK51,$AM51,ES51,ET51,EU51,$F51,$H$19,4)/100)</f>
        <v>0</v>
      </c>
      <c r="FA51" s="157" t="e">
        <f aca="false">IF(ES51=0,0,SPRDOPT(EO51,EP51,$AK51,$AM51,ES51,ET51,EU51,$F51,$H$19,5)/100)</f>
        <v>#NAME?</v>
      </c>
      <c r="FB51" s="157" t="e">
        <f aca="false">IF(ET51=0,0,SPRDOPT(EO51,EP51,$AK51,$AM51,ES51,ET51,EU51,$F51,$H$19,6)/100)</f>
        <v>#NAME?</v>
      </c>
      <c r="FC51" s="157" t="e">
        <f aca="false">IF(EU51=0,0,SPRDOPT(EO51,EP51,$AK51,$AM51,ES51,ET51,EU51,$F51,$H$19,7)/100)</f>
        <v>#NAME?</v>
      </c>
      <c r="FD51" s="157" t="n">
        <f aca="false">IF(EV51=0,0,SPRDOPT(EO51,EP51,$AK51,$AM51,ES51,ET51,EU51,$F51,$H$19,9)/365)</f>
        <v>0</v>
      </c>
      <c r="FE51" s="157" t="e">
        <f aca="false">EW51+EX51</f>
        <v>#NAME?</v>
      </c>
      <c r="FF51" s="157" t="n">
        <f aca="false">EZ51-EY51</f>
        <v>0</v>
      </c>
      <c r="FG51" s="157" t="e">
        <f aca="false">((ES51/ET51)*FA51)+FB51</f>
        <v>#NAME?</v>
      </c>
      <c r="FH51" s="44"/>
      <c r="FI51" s="45" t="n">
        <f aca="false">$EN51*EV51</f>
        <v>0</v>
      </c>
      <c r="FJ51" s="45" t="e">
        <f aca="false">$EN51*EW51</f>
        <v>#NAME?</v>
      </c>
      <c r="FK51" s="45" t="e">
        <f aca="false">$EN51*EX51</f>
        <v>#NAME?</v>
      </c>
      <c r="FL51" s="45" t="n">
        <f aca="false">$EN51*EY51</f>
        <v>0</v>
      </c>
      <c r="FM51" s="45" t="n">
        <f aca="false">$EN51*EZ51</f>
        <v>0</v>
      </c>
      <c r="FN51" s="45" t="e">
        <f aca="false">$EN51*FA51</f>
        <v>#NAME?</v>
      </c>
      <c r="FO51" s="45" t="e">
        <f aca="false">$EN51*FB51</f>
        <v>#NAME?</v>
      </c>
      <c r="FP51" s="45" t="e">
        <f aca="false">$EN51*FC51</f>
        <v>#NAME?</v>
      </c>
      <c r="FQ51" s="45" t="n">
        <f aca="false">$EN51*FD51</f>
        <v>0</v>
      </c>
      <c r="FR51" s="45" t="e">
        <f aca="false">$EN51*FE51</f>
        <v>#NAME?</v>
      </c>
      <c r="FS51" s="45" t="n">
        <f aca="false">$EN51*FF51</f>
        <v>0</v>
      </c>
      <c r="FT51" s="45" t="e">
        <f aca="false">$EN51*FG51</f>
        <v>#NAME?</v>
      </c>
    </row>
    <row r="52" customFormat="false" ht="12.75" hidden="false" customHeight="false" outlineLevel="0" collapsed="false">
      <c r="A52" s="48" t="n">
        <f aca="false">DATE(YEAR(A51),MONTH(A51)+1,1)</f>
        <v>37226</v>
      </c>
      <c r="B52" s="40" t="n">
        <f aca="false">VLOOKUP(A52,STRADDLE,5,FALSE())</f>
        <v>4.581</v>
      </c>
      <c r="C52" s="4" t="n">
        <f aca="false">VLOOKUP(A52,STRADDLE,8,FALSE())</f>
        <v>0.4125</v>
      </c>
      <c r="D52" s="40"/>
      <c r="E52" s="131"/>
      <c r="F52" s="136" t="n">
        <f aca="false">VLOOKUP(A52,expiration,2,FALSE())-$B$2</f>
        <v>-8703</v>
      </c>
      <c r="G52" s="4"/>
      <c r="H52" s="4"/>
      <c r="I52" s="41"/>
      <c r="J52" s="154"/>
      <c r="K52" s="40" t="n">
        <f aca="false">IF($B$3="NYMEX",0,VLOOKUP($A52,curvesettle,HLOOKUP($B$3,curvesettle,2,FALSE()),FALSE()))</f>
        <v>1.61</v>
      </c>
      <c r="L52" s="40" t="n">
        <f aca="false">IF($B$4="NYMEX",0,VLOOKUP($A52,curvesettle,HLOOKUP($B$4,curvesettle,2,FALSE()),FALSE()))</f>
        <v>0</v>
      </c>
      <c r="M52" s="131" t="n">
        <f aca="false">IF(ISNUMBER(VLOOKUP($A52,VOLCURVES,HLOOKUP($B$3,VOLCURVES,2,FALSE()),FALSE())),VLOOKUP($A52,VOLCURVES,HLOOKUP($B$3,VOLCURVES,2,FALSE()),FALSE()),1)</f>
        <v>1.1</v>
      </c>
      <c r="N52" s="131" t="n">
        <f aca="false">IF(ISNUMBER(VLOOKUP($A52,VOLCURVES,HLOOKUP($B$4,VOLCURVES,2,FALSE()),FALSE())),VLOOKUP($A52,VOLCURVES,HLOOKUP($B$4,VOLCURVES,2,FALSE()),FALSE()),1)</f>
        <v>1</v>
      </c>
      <c r="O52" s="131" t="n">
        <f aca="false">IF(ISNUMBER(VLOOKUP($A52,CORETABLE,HLOOKUP($B$3,CORETABLE,2,FALSE()),FALSE())),VLOOKUP($A52,CORETABLE,HLOOKUP($B$3,CORETABLE,2,FALSE()),FALSE()),0.99)</f>
        <v>0.95</v>
      </c>
      <c r="P52" s="155" t="n">
        <f aca="false">B$18</f>
        <v>2</v>
      </c>
      <c r="Q52" s="131"/>
      <c r="R52" s="40" t="n">
        <f aca="false">IF($D$3="NYMEX",0,VLOOKUP($A52,curvesettle,HLOOKUP($D$3,curvesettle,2,FALSE()),FALSE()))</f>
        <v>1.61</v>
      </c>
      <c r="S52" s="40" t="n">
        <f aca="false">IF($D$4="NYMEX",0,VLOOKUP($A52,curvesettle,HLOOKUP($D$4,curvesettle,2,FALSE()),FALSE()))</f>
        <v>0</v>
      </c>
      <c r="T52" s="131" t="n">
        <f aca="false">IF(ISNUMBER(VLOOKUP($A52,VOLCURVES,HLOOKUP($D$3,VOLCURVES,2,FALSE()),FALSE())),VLOOKUP($A52,VOLCURVES,HLOOKUP($D$3,VOLCURVES,2,FALSE()),FALSE()),1)</f>
        <v>1.1</v>
      </c>
      <c r="U52" s="131" t="n">
        <f aca="false">IF(ISNUMBER(VLOOKUP($A52,VOLCURVES,HLOOKUP($D$4,VOLCURVES,2,FALSE()),FALSE())),VLOOKUP($A52,VOLCURVES,HLOOKUP($D$4,VOLCURVES,2,FALSE()),FALSE()),1)</f>
        <v>1</v>
      </c>
      <c r="V52" s="131" t="n">
        <f aca="false">IF(ISNUMBER(VLOOKUP($A52,CORETABLE,HLOOKUP($D$3,CORETABLE,2,FALSE()),FALSE())),VLOOKUP($A52,CORETABLE,HLOOKUP($D$3,CORETABLE,2,FALSE()),FALSE()),0.99)</f>
        <v>0.95</v>
      </c>
      <c r="W52" s="155" t="n">
        <f aca="false">D$18</f>
        <v>2.5</v>
      </c>
      <c r="X52" s="131"/>
      <c r="Y52" s="40" t="n">
        <f aca="false">IF($F$3="NYMEX",0,VLOOKUP($A52,curvesettle,HLOOKUP($F$3,curvesettle,2,FALSE()),FALSE()))</f>
        <v>-0.33</v>
      </c>
      <c r="Z52" s="40" t="n">
        <f aca="false">IF($F$4="NYMEX",0,VLOOKUP($A52,curvesettle,HLOOKUP($F$4,curvesettle,2,FALSE()),FALSE()))</f>
        <v>0</v>
      </c>
      <c r="AA52" s="131" t="n">
        <f aca="false">IF(ISNUMBER(VLOOKUP($A52,VOLCURVES,HLOOKUP($F$3,VOLCURVES,2,FALSE()),FALSE())),VLOOKUP($A52,VOLCURVES,HLOOKUP($F$3,VOLCURVES,2,FALSE()),FALSE()),1)</f>
        <v>0.97</v>
      </c>
      <c r="AB52" s="131" t="n">
        <f aca="false">IF(ISNUMBER(VLOOKUP($A52,VOLCURVES,HLOOKUP($F$4,VOLCURVES,2,FALSE()),FALSE())),VLOOKUP($A52,VOLCURVES,HLOOKUP($F$4,VOLCURVES,2,FALSE()),FALSE()),1)</f>
        <v>1</v>
      </c>
      <c r="AC52" s="131" t="n">
        <f aca="false">IF(ISNUMBER(VLOOKUP($A52,CORETABLE,HLOOKUP($F$3,CORETABLE,2,FALSE()),FALSE())),VLOOKUP($A52,CORETABLE,HLOOKUP($F$3,CORETABLE,2,FALSE()),FALSE()),1)</f>
        <v>0.96</v>
      </c>
      <c r="AD52" s="155" t="n">
        <f aca="false">F$18</f>
        <v>-0.05</v>
      </c>
      <c r="AE52" s="131"/>
      <c r="AF52" s="40" t="n">
        <f aca="false">IF($H$3="NYMEX",0,VLOOKUP($A52,curvesettle,HLOOKUP($H$3,curvesettle,2,FALSE()),FALSE()))</f>
        <v>-0.06</v>
      </c>
      <c r="AG52" s="40" t="n">
        <f aca="false">IF($H$4="NYMEX",0,VLOOKUP($A52,curvesettle,HLOOKUP($H$4,curvesettle,2,FALSE()),FALSE()))</f>
        <v>0</v>
      </c>
      <c r="AH52" s="131" t="n">
        <f aca="false">IF(ISNUMBER(VLOOKUP($A52,VOLCURVES,HLOOKUP($H$3,VOLCURVES,2,FALSE()),FALSE())),VLOOKUP($A52,VOLCURVES,HLOOKUP($H$3,VOLCURVES,2,FALSE()),FALSE()),1)</f>
        <v>1</v>
      </c>
      <c r="AI52" s="131" t="n">
        <f aca="false">IF(ISNUMBER(VLOOKUP($A52,VOLCURVES,HLOOKUP($H$4,VOLCURVES,2,FALSE()),FALSE())),VLOOKUP($A52,VOLCURVES,HLOOKUP($H$4,VOLCURVES,2,FALSE()),FALSE()),1)</f>
        <v>1</v>
      </c>
      <c r="AJ52" s="131" t="n">
        <f aca="false">IF(ISNUMBER(VLOOKUP($A52,CORETABLE,HLOOKUP($H$3,CORETABLE,2,FALSE()),FALSE())),VLOOKUP($A52,CORETABLE,HLOOKUP($H$3,CORETABLE,2,FALSE()),FALSE()),1)</f>
        <v>0.999</v>
      </c>
      <c r="AK52" s="155" t="n">
        <f aca="false">H$18</f>
        <v>-0.05</v>
      </c>
      <c r="AM52" s="4" t="n">
        <f aca="false">VLOOKUP($A52,STRADDLE,12,FALSE())</f>
        <v>0.06737444237849</v>
      </c>
      <c r="AN52" s="43" t="n">
        <f aca="false">A53-A52</f>
        <v>31</v>
      </c>
      <c r="AP52" s="9" t="n">
        <f aca="false">IF($A52&gt;=AR$32,IF($A52&lt;=AR$33,$AN52,0),0)</f>
        <v>0</v>
      </c>
      <c r="AQ52" s="123" t="n">
        <f aca="false">$B52+$K52+$B$12</f>
        <v>6.221</v>
      </c>
      <c r="AR52" s="123" t="n">
        <f aca="false">$B52+$L52+$B$13</f>
        <v>4.581</v>
      </c>
      <c r="AS52" s="123" t="n">
        <f aca="false">AQ52*AP52</f>
        <v>0</v>
      </c>
      <c r="AT52" s="123" t="n">
        <f aca="false">AR52*AP52</f>
        <v>0</v>
      </c>
      <c r="AU52" s="156" t="n">
        <f aca="false">($C52*$M52)+$B$14</f>
        <v>0.45375</v>
      </c>
      <c r="AV52" s="156" t="n">
        <f aca="false">($C52*$N52)+$B$15</f>
        <v>0.4125</v>
      </c>
      <c r="AW52" s="131" t="n">
        <f aca="false">O52+B$16</f>
        <v>0.95</v>
      </c>
      <c r="AX52" s="157" t="n">
        <f aca="false">IF(AP52=0,0,SPRDOPT(AQ52,AR52,$P52,$AM52,AU52,AV52,AW52,$F52,$B$19,0))</f>
        <v>0</v>
      </c>
      <c r="AY52" s="157" t="e">
        <f aca="false">IF(AQ52=0,0,SPRDOPT(AQ52,AR52,$P52,$AM52,AU52,AV52,AW52,$F52,$B$19,1))</f>
        <v>#NAME?</v>
      </c>
      <c r="AZ52" s="157" t="e">
        <f aca="false">IF(AR52=0,0,SPRDOPT(AQ52,AR52,$P52,$AM52,AU52,AV52,AW52,$F52,$B$19,2))</f>
        <v>#NAME?</v>
      </c>
      <c r="BA52" s="157" t="n">
        <f aca="false">IF(AS52=0,0,SPRDOPT(AQ52,AR52,$P52,$AM52,AU52,AV52,AW52,$F52,$B$19,3)/100)</f>
        <v>0</v>
      </c>
      <c r="BB52" s="157" t="n">
        <f aca="false">IF(AT52=0,0,SPRDOPT(AQ52,AR52,$P52,$AM52,AU52,AV52,AW52,$F52,$B$19,4)/100)</f>
        <v>0</v>
      </c>
      <c r="BC52" s="157" t="e">
        <f aca="false">IF(AU52=0,0,SPRDOPT(AQ52,AR52,$P52,$AM52,AU52,AV52,AW52,$F52,$B$19,5)/100)</f>
        <v>#NAME?</v>
      </c>
      <c r="BD52" s="157" t="e">
        <f aca="false">IF(AV52=0,0,SPRDOPT(AQ52,AR52,$P52,$AM52,AU52,AV52,AW52,$F52,$B$19,6)/100)</f>
        <v>#NAME?</v>
      </c>
      <c r="BE52" s="157" t="e">
        <f aca="false">IF(AW52=0,0,SPRDOPT(AQ52,AR52,$P52,$AM52,AU52,AV52,AW52,$F52,$B$19,7)/100)</f>
        <v>#NAME?</v>
      </c>
      <c r="BF52" s="157" t="n">
        <f aca="false">IF(AX52=0,0,SPRDOPT(AQ52,AR52,$P52,$AM52,AU52,AV52,AW52,$F52,$B$19,9)/365)</f>
        <v>0</v>
      </c>
      <c r="BG52" s="157" t="e">
        <f aca="false">AY52+AZ52</f>
        <v>#NAME?</v>
      </c>
      <c r="BH52" s="157" t="n">
        <f aca="false">BB52-BA52</f>
        <v>0</v>
      </c>
      <c r="BI52" s="157" t="e">
        <f aca="false">((AU52/AV52)*BC52)+BD52</f>
        <v>#NAME?</v>
      </c>
      <c r="BJ52" s="44"/>
      <c r="BK52" s="45" t="n">
        <f aca="false">$AP52*AX52</f>
        <v>0</v>
      </c>
      <c r="BL52" s="45" t="e">
        <f aca="false">$AP52*AY52</f>
        <v>#NAME?</v>
      </c>
      <c r="BM52" s="45" t="e">
        <f aca="false">$AP52*AZ52</f>
        <v>#NAME?</v>
      </c>
      <c r="BN52" s="45" t="n">
        <f aca="false">$AP52*BA52</f>
        <v>0</v>
      </c>
      <c r="BO52" s="45" t="n">
        <f aca="false">$AP52*BB52</f>
        <v>0</v>
      </c>
      <c r="BP52" s="45" t="e">
        <f aca="false">$AP52*BC52</f>
        <v>#NAME?</v>
      </c>
      <c r="BQ52" s="45" t="e">
        <f aca="false">$AP52*BD52</f>
        <v>#NAME?</v>
      </c>
      <c r="BR52" s="45" t="e">
        <f aca="false">$AP52*BE52</f>
        <v>#NAME?</v>
      </c>
      <c r="BS52" s="45" t="n">
        <f aca="false">$AP52*BF52</f>
        <v>0</v>
      </c>
      <c r="BT52" s="45" t="e">
        <f aca="false">$AP52*BG52</f>
        <v>#NAME?</v>
      </c>
      <c r="BU52" s="45" t="n">
        <f aca="false">$AP52*BH52</f>
        <v>0</v>
      </c>
      <c r="BV52" s="45" t="e">
        <f aca="false">$AP52*BI52</f>
        <v>#NAME?</v>
      </c>
      <c r="BX52" s="9" t="n">
        <f aca="false">IF($A52&gt;=BZ$32,IF($A52&lt;=BZ$33,$AN52,0),0)</f>
        <v>0</v>
      </c>
      <c r="BY52" s="123" t="n">
        <f aca="false">$B52+$R52+$D$12</f>
        <v>6.221</v>
      </c>
      <c r="BZ52" s="123" t="n">
        <f aca="false">$B52+$S52+$D$13</f>
        <v>4.581</v>
      </c>
      <c r="CA52" s="123" t="n">
        <f aca="false">BY52*BX52</f>
        <v>0</v>
      </c>
      <c r="CB52" s="123" t="n">
        <f aca="false">BZ52*BX52</f>
        <v>0</v>
      </c>
      <c r="CC52" s="156" t="n">
        <f aca="false">($C52*$T52)+$D$14</f>
        <v>0.45375</v>
      </c>
      <c r="CD52" s="156" t="n">
        <f aca="false">($C52*$U52)+$D$15</f>
        <v>0.4125</v>
      </c>
      <c r="CE52" s="131" t="n">
        <f aca="false">$V52+D$16</f>
        <v>0.95</v>
      </c>
      <c r="CF52" s="157" t="n">
        <f aca="false">IF(BX52=0,0,SPRDOPT(BY52,BZ52,$W52,$AM52,CC52,CD52,CE52,$F52,$D$19,0))</f>
        <v>0</v>
      </c>
      <c r="CG52" s="157" t="e">
        <f aca="false">IF(BY52=0,0,SPRDOPT(BY52,BZ52,$W52,$AM52,CC52,CD52,CE52,$F52,$D$19,1))</f>
        <v>#NAME?</v>
      </c>
      <c r="CH52" s="157" t="e">
        <f aca="false">IF(BZ52=0,0,SPRDOPT(BY52,BZ52,$W52,$AM52,CC52,CD52,CE52,$F52,$D$19,2))</f>
        <v>#NAME?</v>
      </c>
      <c r="CI52" s="157" t="n">
        <f aca="false">IF(CA52=0,0,SPRDOPT(BY52,BZ52,$W52,$AM52,CC52,CD52,CE52,$F52,$D$19,3)/100)</f>
        <v>0</v>
      </c>
      <c r="CJ52" s="157" t="n">
        <f aca="false">IF(CB52=0,0,SPRDOPT(BY52,BZ52,$W52,$AM52,CC52,CD52,CE52,$F52,$D$19,4)/100)</f>
        <v>0</v>
      </c>
      <c r="CK52" s="157" t="e">
        <f aca="false">IF(CC52=0,0,SPRDOPT(BY52,BZ52,$W52,$AM52,CC52,CD52,CE52,$F52,$D$19,5)/100)</f>
        <v>#NAME?</v>
      </c>
      <c r="CL52" s="157" t="e">
        <f aca="false">IF(CD52=0,0,SPRDOPT(BY52,BZ52,$W52,$AM52,CC52,CD52,CE52,$F52,$D$19,6)/100)</f>
        <v>#NAME?</v>
      </c>
      <c r="CM52" s="157" t="e">
        <f aca="false">IF(CE52=0,0,SPRDOPT(BY52,BZ52,$W52,$AM52,CC52,CD52,CE52,$F52,$D$19,7)/100)</f>
        <v>#NAME?</v>
      </c>
      <c r="CN52" s="157" t="n">
        <f aca="false">IF(CF52=0,0,SPRDOPT(BY52,BZ52,$W52,$AM52,CC52,CD52,CE52,$F52,$D$19,9)/365)</f>
        <v>0</v>
      </c>
      <c r="CO52" s="157" t="e">
        <f aca="false">CG52+CH52</f>
        <v>#NAME?</v>
      </c>
      <c r="CP52" s="157" t="n">
        <f aca="false">CJ52-CI52</f>
        <v>0</v>
      </c>
      <c r="CQ52" s="157" t="e">
        <f aca="false">((CC52/CD52)*CK52)+CL52</f>
        <v>#NAME?</v>
      </c>
      <c r="CR52" s="44"/>
      <c r="CS52" s="45" t="n">
        <f aca="false">BX52*CF52</f>
        <v>0</v>
      </c>
      <c r="CT52" s="45" t="e">
        <f aca="false">BX52*CG52</f>
        <v>#NAME?</v>
      </c>
      <c r="CU52" s="45" t="e">
        <f aca="false">BX52*CH52</f>
        <v>#NAME?</v>
      </c>
      <c r="CV52" s="45" t="n">
        <f aca="false">BX52*CI52</f>
        <v>0</v>
      </c>
      <c r="CW52" s="45" t="n">
        <f aca="false">BX52*CJ52</f>
        <v>0</v>
      </c>
      <c r="CX52" s="45" t="e">
        <f aca="false">BX52*CK52</f>
        <v>#NAME?</v>
      </c>
      <c r="CY52" s="45" t="e">
        <f aca="false">BX52*CL52</f>
        <v>#NAME?</v>
      </c>
      <c r="CZ52" s="45" t="e">
        <f aca="false">BX52*CM52</f>
        <v>#NAME?</v>
      </c>
      <c r="DA52" s="45" t="n">
        <f aca="false">BX52*CN52</f>
        <v>0</v>
      </c>
      <c r="DB52" s="45" t="e">
        <f aca="false">BX52*CO52</f>
        <v>#NAME?</v>
      </c>
      <c r="DC52" s="45" t="n">
        <f aca="false">BX52*CP52</f>
        <v>0</v>
      </c>
      <c r="DD52" s="45" t="e">
        <f aca="false">BX52*CQ52</f>
        <v>#NAME?</v>
      </c>
      <c r="DF52" s="9" t="n">
        <f aca="false">IF($A52&gt;=DH$32,IF($A52&lt;=DH$33,$AN52,0),0)</f>
        <v>0</v>
      </c>
      <c r="DG52" s="123" t="n">
        <f aca="false">$B52+$Y52+$F$12</f>
        <v>4.256</v>
      </c>
      <c r="DH52" s="123" t="n">
        <f aca="false">$B52+$Z52+$F$13</f>
        <v>4.581</v>
      </c>
      <c r="DI52" s="123" t="n">
        <f aca="false">DG52*DF52</f>
        <v>0</v>
      </c>
      <c r="DJ52" s="123" t="n">
        <f aca="false">DH52*DF52</f>
        <v>0</v>
      </c>
      <c r="DK52" s="156" t="n">
        <f aca="false">($C52*$AA52)+$F$14</f>
        <v>0.400125</v>
      </c>
      <c r="DL52" s="156" t="n">
        <f aca="false">($C52*$AB52)+$F$15</f>
        <v>0.4125</v>
      </c>
      <c r="DM52" s="131" t="n">
        <f aca="false">$AC52+$F$16</f>
        <v>0.974</v>
      </c>
      <c r="DN52" s="157" t="n">
        <f aca="false">IF(DF52=0,0,SPRDOPT(DG52,DH52,$AD52,$AM52,DK52,DL52,DM52,$F52,$F$19,0))</f>
        <v>0</v>
      </c>
      <c r="DO52" s="157" t="e">
        <f aca="false">IF(DG52=0,0,SPRDOPT(DG52,DH52,$AD52,$AM52,DK52,DL52,DM52,$F52,$F$19,1))</f>
        <v>#NAME?</v>
      </c>
      <c r="DP52" s="157" t="e">
        <f aca="false">IF(DH52=0,0,SPRDOPT(DG52,DH52,$AD52,$AM52,DK52,DL52,DM52,$F52,$F$19,2))</f>
        <v>#NAME?</v>
      </c>
      <c r="DQ52" s="157" t="n">
        <f aca="false">IF(DI52=0,0,SPRDOPT(DG52,DH52,$AD52,$AM52,DK52,DL52,DM52,$F52,$F$19,3)/100)</f>
        <v>0</v>
      </c>
      <c r="DR52" s="157" t="n">
        <f aca="false">IF(DJ52=0,0,SPRDOPT(DG52,DH52,$AD52,$AM52,DK52,DL52,DM52,$F52,$F$19,4)/100)</f>
        <v>0</v>
      </c>
      <c r="DS52" s="157" t="e">
        <f aca="false">IF(DK52=0,0,SPRDOPT(DG52,DH52,$AD52,$AM52,DK52,DL52,DM52,$F52,$F$19,5)/100)</f>
        <v>#NAME?</v>
      </c>
      <c r="DT52" s="157" t="e">
        <f aca="false">IF(DL52=0,0,SPRDOPT(DG52,DH52,$AD52,$AM52,DK52,DL52,DM52,$F52,$F$19,6)/100)</f>
        <v>#NAME?</v>
      </c>
      <c r="DU52" s="157" t="e">
        <f aca="false">IF(DM52=0,0,SPRDOPT(DG52,DH52,$AD52,$AM52,DK52,DL52,DM52,$F52,$F$19,7)/100)</f>
        <v>#NAME?</v>
      </c>
      <c r="DV52" s="157" t="n">
        <f aca="false">IF(DN52=0,0,SPRDOPT(DG52,DH52,$AD52,$AM52,DK52,DL52,DM52,$F52,$F$19,9)/365)</f>
        <v>0</v>
      </c>
      <c r="DW52" s="157" t="e">
        <f aca="false">DO52+DP52</f>
        <v>#NAME?</v>
      </c>
      <c r="DX52" s="157" t="n">
        <f aca="false">DR52-DQ52</f>
        <v>0</v>
      </c>
      <c r="DY52" s="157" t="e">
        <f aca="false">((DK52/DL52)*DS52)+DT52</f>
        <v>#NAME?</v>
      </c>
      <c r="DZ52" s="44"/>
      <c r="EA52" s="45" t="n">
        <f aca="false">DF52*DN52</f>
        <v>0</v>
      </c>
      <c r="EB52" s="45" t="e">
        <f aca="false">DF52*DO52</f>
        <v>#NAME?</v>
      </c>
      <c r="EC52" s="45" t="e">
        <f aca="false">DF52*DP52</f>
        <v>#NAME?</v>
      </c>
      <c r="ED52" s="45" t="n">
        <f aca="false">DF52*DQ52</f>
        <v>0</v>
      </c>
      <c r="EE52" s="45" t="n">
        <f aca="false">DF52*DR52</f>
        <v>0</v>
      </c>
      <c r="EF52" s="45" t="e">
        <f aca="false">DF52*DS52</f>
        <v>#NAME?</v>
      </c>
      <c r="EG52" s="45" t="e">
        <f aca="false">DF52*DT52</f>
        <v>#NAME?</v>
      </c>
      <c r="EH52" s="45" t="e">
        <f aca="false">DF52*DU52</f>
        <v>#NAME?</v>
      </c>
      <c r="EI52" s="45" t="n">
        <f aca="false">DF52*DV52</f>
        <v>0</v>
      </c>
      <c r="EJ52" s="45" t="e">
        <f aca="false">DF52*DW52</f>
        <v>#NAME?</v>
      </c>
      <c r="EK52" s="45" t="n">
        <f aca="false">DF52*DX52</f>
        <v>0</v>
      </c>
      <c r="EL52" s="45" t="e">
        <f aca="false">DF52*DY52</f>
        <v>#NAME?</v>
      </c>
      <c r="EN52" s="9" t="n">
        <f aca="false">IF($A52&gt;=EP$32,IF($A52&lt;=EP$33,$AN52,0),0)</f>
        <v>0</v>
      </c>
      <c r="EO52" s="123" t="n">
        <f aca="false">$B52+$AF52+$H$12</f>
        <v>4.521</v>
      </c>
      <c r="EP52" s="123" t="n">
        <f aca="false">$B52+$AG52+$H$13</f>
        <v>4.581</v>
      </c>
      <c r="EQ52" s="123" t="n">
        <f aca="false">EO52*EN52</f>
        <v>0</v>
      </c>
      <c r="ER52" s="123" t="n">
        <f aca="false">EP52*EN52</f>
        <v>0</v>
      </c>
      <c r="ES52" s="156" t="n">
        <f aca="false">($C52*$AH52)+$H$14</f>
        <v>0.4125</v>
      </c>
      <c r="ET52" s="156" t="n">
        <f aca="false">($C52*$AI52)+$H$15</f>
        <v>0.4125</v>
      </c>
      <c r="EU52" s="131" t="n">
        <f aca="false">$AJ52+$H$16</f>
        <v>0.998</v>
      </c>
      <c r="EV52" s="157" t="n">
        <f aca="false">IF(EN52=0,0,SPRDOPT(EO52,EP52,$AK52,$AM52,ES52,ET52,EU52,$F52,$H$19,0))</f>
        <v>0</v>
      </c>
      <c r="EW52" s="157" t="e">
        <f aca="false">IF(EO52=0,0,SPRDOPT(EO52,EP52,$AK52,$AM52,ES52,ET52,EU52,$F52,$H$19,1))</f>
        <v>#NAME?</v>
      </c>
      <c r="EX52" s="157" t="e">
        <f aca="false">IF(EP52=0,0,SPRDOPT(EO52,EP52,$AK52,$AM52,ES52,ET52,EU52,$F52,$H$19,2))</f>
        <v>#NAME?</v>
      </c>
      <c r="EY52" s="157" t="n">
        <f aca="false">IF(EQ52=0,0,SPRDOPT(EO52,EP52,$AK52,$AM52,ES52,ET52,EU52,$F52,$H$19,3)/100)</f>
        <v>0</v>
      </c>
      <c r="EZ52" s="157" t="n">
        <f aca="false">IF(ER52=0,0,SPRDOPT(EO52,EP52,$AK52,$AM52,ES52,ET52,EU52,$F52,$H$19,4)/100)</f>
        <v>0</v>
      </c>
      <c r="FA52" s="157" t="e">
        <f aca="false">IF(ES52=0,0,SPRDOPT(EO52,EP52,$AK52,$AM52,ES52,ET52,EU52,$F52,$H$19,5)/100)</f>
        <v>#NAME?</v>
      </c>
      <c r="FB52" s="157" t="e">
        <f aca="false">IF(ET52=0,0,SPRDOPT(EO52,EP52,$AK52,$AM52,ES52,ET52,EU52,$F52,$H$19,6)/100)</f>
        <v>#NAME?</v>
      </c>
      <c r="FC52" s="157" t="e">
        <f aca="false">IF(EU52=0,0,SPRDOPT(EO52,EP52,$AK52,$AM52,ES52,ET52,EU52,$F52,$H$19,7)/100)</f>
        <v>#NAME?</v>
      </c>
      <c r="FD52" s="157" t="n">
        <f aca="false">IF(EV52=0,0,SPRDOPT(EO52,EP52,$AK52,$AM52,ES52,ET52,EU52,$F52,$H$19,9)/365)</f>
        <v>0</v>
      </c>
      <c r="FE52" s="157" t="e">
        <f aca="false">EW52+EX52</f>
        <v>#NAME?</v>
      </c>
      <c r="FF52" s="157" t="n">
        <f aca="false">EZ52-EY52</f>
        <v>0</v>
      </c>
      <c r="FG52" s="157" t="e">
        <f aca="false">((ES52/ET52)*FA52)+FB52</f>
        <v>#NAME?</v>
      </c>
      <c r="FH52" s="44"/>
      <c r="FI52" s="45" t="n">
        <f aca="false">$EN52*EV52</f>
        <v>0</v>
      </c>
      <c r="FJ52" s="45" t="e">
        <f aca="false">$EN52*EW52</f>
        <v>#NAME?</v>
      </c>
      <c r="FK52" s="45" t="e">
        <f aca="false">$EN52*EX52</f>
        <v>#NAME?</v>
      </c>
      <c r="FL52" s="45" t="n">
        <f aca="false">$EN52*EY52</f>
        <v>0</v>
      </c>
      <c r="FM52" s="45" t="n">
        <f aca="false">$EN52*EZ52</f>
        <v>0</v>
      </c>
      <c r="FN52" s="45" t="e">
        <f aca="false">$EN52*FA52</f>
        <v>#NAME?</v>
      </c>
      <c r="FO52" s="45" t="e">
        <f aca="false">$EN52*FB52</f>
        <v>#NAME?</v>
      </c>
      <c r="FP52" s="45" t="e">
        <f aca="false">$EN52*FC52</f>
        <v>#NAME?</v>
      </c>
      <c r="FQ52" s="45" t="n">
        <f aca="false">$EN52*FD52</f>
        <v>0</v>
      </c>
      <c r="FR52" s="45" t="e">
        <f aca="false">$EN52*FE52</f>
        <v>#NAME?</v>
      </c>
      <c r="FS52" s="45" t="n">
        <f aca="false">$EN52*FF52</f>
        <v>0</v>
      </c>
      <c r="FT52" s="45" t="e">
        <f aca="false">$EN52*FG52</f>
        <v>#NAME?</v>
      </c>
    </row>
    <row r="53" customFormat="false" ht="12.75" hidden="false" customHeight="false" outlineLevel="0" collapsed="false">
      <c r="A53" s="48" t="n">
        <f aca="false">DATE(YEAR(A52),MONTH(A52)+1,1)</f>
        <v>37257</v>
      </c>
      <c r="B53" s="40" t="n">
        <f aca="false">VLOOKUP(A53,STRADDLE,5,FALSE())</f>
        <v>4.546</v>
      </c>
      <c r="C53" s="4" t="n">
        <f aca="false">VLOOKUP(A53,STRADDLE,8,FALSE())</f>
        <v>0.4175</v>
      </c>
      <c r="D53" s="40"/>
      <c r="E53" s="131"/>
      <c r="F53" s="136" t="n">
        <f aca="false">VLOOKUP(A53,expiration,2,FALSE())-$B$2</f>
        <v>-8674</v>
      </c>
      <c r="G53" s="4"/>
      <c r="H53" s="4"/>
      <c r="I53" s="41"/>
      <c r="J53" s="154"/>
      <c r="K53" s="40" t="n">
        <f aca="false">IF($B$3="NYMEX",0,VLOOKUP($A53,curvesettle,HLOOKUP($B$3,curvesettle,2,FALSE()),FALSE()))</f>
        <v>1.87</v>
      </c>
      <c r="L53" s="40" t="n">
        <f aca="false">IF($B$4="NYMEX",0,VLOOKUP($A53,curvesettle,HLOOKUP($B$4,curvesettle,2,FALSE()),FALSE()))</f>
        <v>0</v>
      </c>
      <c r="M53" s="131" t="n">
        <f aca="false">IF(ISNUMBER(VLOOKUP($A53,VOLCURVES,HLOOKUP($B$3,VOLCURVES,2,FALSE()),FALSE())),VLOOKUP($A53,VOLCURVES,HLOOKUP($B$3,VOLCURVES,2,FALSE()),FALSE()),1)</f>
        <v>1.1</v>
      </c>
      <c r="N53" s="131" t="n">
        <f aca="false">IF(ISNUMBER(VLOOKUP($A53,VOLCURVES,HLOOKUP($B$4,VOLCURVES,2,FALSE()),FALSE())),VLOOKUP($A53,VOLCURVES,HLOOKUP($B$4,VOLCURVES,2,FALSE()),FALSE()),1)</f>
        <v>1</v>
      </c>
      <c r="O53" s="131" t="n">
        <f aca="false">IF(ISNUMBER(VLOOKUP($A53,CORETABLE,HLOOKUP($B$3,CORETABLE,2,FALSE()),FALSE())),VLOOKUP($A53,CORETABLE,HLOOKUP($B$3,CORETABLE,2,FALSE()),FALSE()),0.99)</f>
        <v>0.95</v>
      </c>
      <c r="P53" s="155" t="n">
        <f aca="false">B$18</f>
        <v>2</v>
      </c>
      <c r="Q53" s="131"/>
      <c r="R53" s="40" t="n">
        <f aca="false">IF($D$3="NYMEX",0,VLOOKUP($A53,curvesettle,HLOOKUP($D$3,curvesettle,2,FALSE()),FALSE()))</f>
        <v>1.87</v>
      </c>
      <c r="S53" s="40" t="n">
        <f aca="false">IF($D$4="NYMEX",0,VLOOKUP($A53,curvesettle,HLOOKUP($D$4,curvesettle,2,FALSE()),FALSE()))</f>
        <v>0</v>
      </c>
      <c r="T53" s="131" t="n">
        <f aca="false">IF(ISNUMBER(VLOOKUP($A53,VOLCURVES,HLOOKUP($D$3,VOLCURVES,2,FALSE()),FALSE())),VLOOKUP($A53,VOLCURVES,HLOOKUP($D$3,VOLCURVES,2,FALSE()),FALSE()),1)</f>
        <v>1.1</v>
      </c>
      <c r="U53" s="131" t="n">
        <f aca="false">IF(ISNUMBER(VLOOKUP($A53,VOLCURVES,HLOOKUP($D$4,VOLCURVES,2,FALSE()),FALSE())),VLOOKUP($A53,VOLCURVES,HLOOKUP($D$4,VOLCURVES,2,FALSE()),FALSE()),1)</f>
        <v>1</v>
      </c>
      <c r="V53" s="131" t="n">
        <f aca="false">IF(ISNUMBER(VLOOKUP($A53,CORETABLE,HLOOKUP($D$3,CORETABLE,2,FALSE()),FALSE())),VLOOKUP($A53,CORETABLE,HLOOKUP($D$3,CORETABLE,2,FALSE()),FALSE()),0.99)</f>
        <v>0.95</v>
      </c>
      <c r="W53" s="155" t="n">
        <f aca="false">D$18</f>
        <v>2.5</v>
      </c>
      <c r="X53" s="131"/>
      <c r="Y53" s="40" t="n">
        <f aca="false">IF($F$3="NYMEX",0,VLOOKUP($A53,curvesettle,HLOOKUP($F$3,curvesettle,2,FALSE()),FALSE()))</f>
        <v>-0.33</v>
      </c>
      <c r="Z53" s="40" t="n">
        <f aca="false">IF($F$4="NYMEX",0,VLOOKUP($A53,curvesettle,HLOOKUP($F$4,curvesettle,2,FALSE()),FALSE()))</f>
        <v>0</v>
      </c>
      <c r="AA53" s="131" t="n">
        <f aca="false">IF(ISNUMBER(VLOOKUP($A53,VOLCURVES,HLOOKUP($F$3,VOLCURVES,2,FALSE()),FALSE())),VLOOKUP($A53,VOLCURVES,HLOOKUP($F$3,VOLCURVES,2,FALSE()),FALSE()),1)</f>
        <v>0.97</v>
      </c>
      <c r="AB53" s="131" t="n">
        <f aca="false">IF(ISNUMBER(VLOOKUP($A53,VOLCURVES,HLOOKUP($F$4,VOLCURVES,2,FALSE()),FALSE())),VLOOKUP($A53,VOLCURVES,HLOOKUP($F$4,VOLCURVES,2,FALSE()),FALSE()),1)</f>
        <v>1</v>
      </c>
      <c r="AC53" s="131" t="n">
        <f aca="false">IF(ISNUMBER(VLOOKUP($A53,CORETABLE,HLOOKUP($F$3,CORETABLE,2,FALSE()),FALSE())),VLOOKUP($A53,CORETABLE,HLOOKUP($F$3,CORETABLE,2,FALSE()),FALSE()),1)</f>
        <v>0.96</v>
      </c>
      <c r="AD53" s="155" t="n">
        <f aca="false">F$18</f>
        <v>-0.05</v>
      </c>
      <c r="AE53" s="131"/>
      <c r="AF53" s="40" t="n">
        <f aca="false">IF($H$3="NYMEX",0,VLOOKUP($A53,curvesettle,HLOOKUP($H$3,curvesettle,2,FALSE()),FALSE()))</f>
        <v>-0.0625</v>
      </c>
      <c r="AG53" s="40" t="n">
        <f aca="false">IF($H$4="NYMEX",0,VLOOKUP($A53,curvesettle,HLOOKUP($H$4,curvesettle,2,FALSE()),FALSE()))</f>
        <v>0</v>
      </c>
      <c r="AH53" s="131" t="n">
        <f aca="false">IF(ISNUMBER(VLOOKUP($A53,VOLCURVES,HLOOKUP($H$3,VOLCURVES,2,FALSE()),FALSE())),VLOOKUP($A53,VOLCURVES,HLOOKUP($H$3,VOLCURVES,2,FALSE()),FALSE()),1)</f>
        <v>1</v>
      </c>
      <c r="AI53" s="131" t="n">
        <f aca="false">IF(ISNUMBER(VLOOKUP($A53,VOLCURVES,HLOOKUP($H$4,VOLCURVES,2,FALSE()),FALSE())),VLOOKUP($A53,VOLCURVES,HLOOKUP($H$4,VOLCURVES,2,FALSE()),FALSE()),1)</f>
        <v>1</v>
      </c>
      <c r="AJ53" s="131" t="n">
        <f aca="false">IF(ISNUMBER(VLOOKUP($A53,CORETABLE,HLOOKUP($H$3,CORETABLE,2,FALSE()),FALSE())),VLOOKUP($A53,CORETABLE,HLOOKUP($H$3,CORETABLE,2,FALSE()),FALSE()),1)</f>
        <v>0.999</v>
      </c>
      <c r="AK53" s="155" t="n">
        <f aca="false">H$18</f>
        <v>-0.05</v>
      </c>
      <c r="AM53" s="4" t="n">
        <f aca="false">VLOOKUP($A53,STRADDLE,12,FALSE())</f>
        <v>0.067333198956693</v>
      </c>
      <c r="AN53" s="43" t="n">
        <f aca="false">A54-A53</f>
        <v>31</v>
      </c>
      <c r="AP53" s="9" t="n">
        <f aca="false">IF($A53&gt;=AR$32,IF($A53&lt;=AR$33,$AN53,0),0)</f>
        <v>0</v>
      </c>
      <c r="AQ53" s="123" t="n">
        <f aca="false">$B53+$K53+$B$12</f>
        <v>6.446</v>
      </c>
      <c r="AR53" s="123" t="n">
        <f aca="false">$B53+$L53+$B$13</f>
        <v>4.546</v>
      </c>
      <c r="AS53" s="123" t="n">
        <f aca="false">AQ53*AP53</f>
        <v>0</v>
      </c>
      <c r="AT53" s="123" t="n">
        <f aca="false">AR53*AP53</f>
        <v>0</v>
      </c>
      <c r="AU53" s="156" t="n">
        <f aca="false">($C53*$M53)+$B$14</f>
        <v>0.45925</v>
      </c>
      <c r="AV53" s="156" t="n">
        <f aca="false">($C53*$N53)+$B$15</f>
        <v>0.4175</v>
      </c>
      <c r="AW53" s="131" t="n">
        <f aca="false">O53+B$16</f>
        <v>0.95</v>
      </c>
      <c r="AX53" s="157" t="n">
        <f aca="false">IF(AP53=0,0,SPRDOPT(AQ53,AR53,$P53,$AM53,AU53,AV53,AW53,$F53,$B$19,0))</f>
        <v>0</v>
      </c>
      <c r="AY53" s="157" t="e">
        <f aca="false">IF(AQ53=0,0,SPRDOPT(AQ53,AR53,$P53,$AM53,AU53,AV53,AW53,$F53,$B$19,1))</f>
        <v>#NAME?</v>
      </c>
      <c r="AZ53" s="157" t="e">
        <f aca="false">IF(AR53=0,0,SPRDOPT(AQ53,AR53,$P53,$AM53,AU53,AV53,AW53,$F53,$B$19,2))</f>
        <v>#NAME?</v>
      </c>
      <c r="BA53" s="157" t="n">
        <f aca="false">IF(AS53=0,0,SPRDOPT(AQ53,AR53,$P53,$AM53,AU53,AV53,AW53,$F53,$B$19,3)/100)</f>
        <v>0</v>
      </c>
      <c r="BB53" s="157" t="n">
        <f aca="false">IF(AT53=0,0,SPRDOPT(AQ53,AR53,$P53,$AM53,AU53,AV53,AW53,$F53,$B$19,4)/100)</f>
        <v>0</v>
      </c>
      <c r="BC53" s="157" t="e">
        <f aca="false">IF(AU53=0,0,SPRDOPT(AQ53,AR53,$P53,$AM53,AU53,AV53,AW53,$F53,$B$19,5)/100)</f>
        <v>#NAME?</v>
      </c>
      <c r="BD53" s="157" t="e">
        <f aca="false">IF(AV53=0,0,SPRDOPT(AQ53,AR53,$P53,$AM53,AU53,AV53,AW53,$F53,$B$19,6)/100)</f>
        <v>#NAME?</v>
      </c>
      <c r="BE53" s="157" t="e">
        <f aca="false">IF(AW53=0,0,SPRDOPT(AQ53,AR53,$P53,$AM53,AU53,AV53,AW53,$F53,$B$19,7)/100)</f>
        <v>#NAME?</v>
      </c>
      <c r="BF53" s="157" t="n">
        <f aca="false">IF(AX53=0,0,SPRDOPT(AQ53,AR53,$P53,$AM53,AU53,AV53,AW53,$F53,$B$19,9)/365)</f>
        <v>0</v>
      </c>
      <c r="BG53" s="157" t="e">
        <f aca="false">AY53+AZ53</f>
        <v>#NAME?</v>
      </c>
      <c r="BH53" s="157" t="n">
        <f aca="false">BB53-BA53</f>
        <v>0</v>
      </c>
      <c r="BI53" s="157" t="e">
        <f aca="false">((AU53/AV53)*BC53)+BD53</f>
        <v>#NAME?</v>
      </c>
      <c r="BJ53" s="44"/>
      <c r="BK53" s="45" t="n">
        <f aca="false">$AP53*AX53</f>
        <v>0</v>
      </c>
      <c r="BL53" s="45" t="e">
        <f aca="false">$AP53*AY53</f>
        <v>#NAME?</v>
      </c>
      <c r="BM53" s="45" t="e">
        <f aca="false">$AP53*AZ53</f>
        <v>#NAME?</v>
      </c>
      <c r="BN53" s="45" t="n">
        <f aca="false">$AP53*BA53</f>
        <v>0</v>
      </c>
      <c r="BO53" s="45" t="n">
        <f aca="false">$AP53*BB53</f>
        <v>0</v>
      </c>
      <c r="BP53" s="45" t="e">
        <f aca="false">$AP53*BC53</f>
        <v>#NAME?</v>
      </c>
      <c r="BQ53" s="45" t="e">
        <f aca="false">$AP53*BD53</f>
        <v>#NAME?</v>
      </c>
      <c r="BR53" s="45" t="e">
        <f aca="false">$AP53*BE53</f>
        <v>#NAME?</v>
      </c>
      <c r="BS53" s="45" t="n">
        <f aca="false">$AP53*BF53</f>
        <v>0</v>
      </c>
      <c r="BT53" s="45" t="e">
        <f aca="false">$AP53*BG53</f>
        <v>#NAME?</v>
      </c>
      <c r="BU53" s="45" t="n">
        <f aca="false">$AP53*BH53</f>
        <v>0</v>
      </c>
      <c r="BV53" s="45" t="e">
        <f aca="false">$AP53*BI53</f>
        <v>#NAME?</v>
      </c>
      <c r="BX53" s="9" t="n">
        <f aca="false">IF($A53&gt;=BZ$32,IF($A53&lt;=BZ$33,$AN53,0),0)</f>
        <v>0</v>
      </c>
      <c r="BY53" s="123" t="n">
        <f aca="false">$B53+$R53+$D$12</f>
        <v>6.446</v>
      </c>
      <c r="BZ53" s="123" t="n">
        <f aca="false">$B53+$S53+$D$13</f>
        <v>4.546</v>
      </c>
      <c r="CA53" s="123" t="n">
        <f aca="false">BY53*BX53</f>
        <v>0</v>
      </c>
      <c r="CB53" s="123" t="n">
        <f aca="false">BZ53*BX53</f>
        <v>0</v>
      </c>
      <c r="CC53" s="156" t="n">
        <f aca="false">($C53*$T53)+$D$14</f>
        <v>0.45925</v>
      </c>
      <c r="CD53" s="156" t="n">
        <f aca="false">($C53*$U53)+$D$15</f>
        <v>0.4175</v>
      </c>
      <c r="CE53" s="131" t="n">
        <f aca="false">$V53+D$16</f>
        <v>0.95</v>
      </c>
      <c r="CF53" s="157" t="n">
        <f aca="false">IF(BX53=0,0,SPRDOPT(BY53,BZ53,$W53,$AM53,CC53,CD53,CE53,$F53,$D$19,0))</f>
        <v>0</v>
      </c>
      <c r="CG53" s="157" t="e">
        <f aca="false">IF(BY53=0,0,SPRDOPT(BY53,BZ53,$W53,$AM53,CC53,CD53,CE53,$F53,$D$19,1))</f>
        <v>#NAME?</v>
      </c>
      <c r="CH53" s="157" t="e">
        <f aca="false">IF(BZ53=0,0,SPRDOPT(BY53,BZ53,$W53,$AM53,CC53,CD53,CE53,$F53,$D$19,2))</f>
        <v>#NAME?</v>
      </c>
      <c r="CI53" s="157" t="n">
        <f aca="false">IF(CA53=0,0,SPRDOPT(BY53,BZ53,$W53,$AM53,CC53,CD53,CE53,$F53,$D$19,3)/100)</f>
        <v>0</v>
      </c>
      <c r="CJ53" s="157" t="n">
        <f aca="false">IF(CB53=0,0,SPRDOPT(BY53,BZ53,$W53,$AM53,CC53,CD53,CE53,$F53,$D$19,4)/100)</f>
        <v>0</v>
      </c>
      <c r="CK53" s="157" t="e">
        <f aca="false">IF(CC53=0,0,SPRDOPT(BY53,BZ53,$W53,$AM53,CC53,CD53,CE53,$F53,$D$19,5)/100)</f>
        <v>#NAME?</v>
      </c>
      <c r="CL53" s="157" t="e">
        <f aca="false">IF(CD53=0,0,SPRDOPT(BY53,BZ53,$W53,$AM53,CC53,CD53,CE53,$F53,$D$19,6)/100)</f>
        <v>#NAME?</v>
      </c>
      <c r="CM53" s="157" t="e">
        <f aca="false">IF(CE53=0,0,SPRDOPT(BY53,BZ53,$W53,$AM53,CC53,CD53,CE53,$F53,$D$19,7)/100)</f>
        <v>#NAME?</v>
      </c>
      <c r="CN53" s="157" t="n">
        <f aca="false">IF(CF53=0,0,SPRDOPT(BY53,BZ53,$W53,$AM53,CC53,CD53,CE53,$F53,$D$19,9)/365)</f>
        <v>0</v>
      </c>
      <c r="CO53" s="157" t="e">
        <f aca="false">CG53+CH53</f>
        <v>#NAME?</v>
      </c>
      <c r="CP53" s="157" t="n">
        <f aca="false">CJ53-CI53</f>
        <v>0</v>
      </c>
      <c r="CQ53" s="157" t="e">
        <f aca="false">((CC53/CD53)*CK53)+CL53</f>
        <v>#NAME?</v>
      </c>
      <c r="CR53" s="44"/>
      <c r="CS53" s="45" t="n">
        <f aca="false">BX53*CF53</f>
        <v>0</v>
      </c>
      <c r="CT53" s="45" t="e">
        <f aca="false">BX53*CG53</f>
        <v>#NAME?</v>
      </c>
      <c r="CU53" s="45" t="e">
        <f aca="false">BX53*CH53</f>
        <v>#NAME?</v>
      </c>
      <c r="CV53" s="45" t="n">
        <f aca="false">BX53*CI53</f>
        <v>0</v>
      </c>
      <c r="CW53" s="45" t="n">
        <f aca="false">BX53*CJ53</f>
        <v>0</v>
      </c>
      <c r="CX53" s="45" t="e">
        <f aca="false">BX53*CK53</f>
        <v>#NAME?</v>
      </c>
      <c r="CY53" s="45" t="e">
        <f aca="false">BX53*CL53</f>
        <v>#NAME?</v>
      </c>
      <c r="CZ53" s="45" t="e">
        <f aca="false">BX53*CM53</f>
        <v>#NAME?</v>
      </c>
      <c r="DA53" s="45" t="n">
        <f aca="false">BX53*CN53</f>
        <v>0</v>
      </c>
      <c r="DB53" s="45" t="e">
        <f aca="false">BX53*CO53</f>
        <v>#NAME?</v>
      </c>
      <c r="DC53" s="45" t="n">
        <f aca="false">BX53*CP53</f>
        <v>0</v>
      </c>
      <c r="DD53" s="45" t="e">
        <f aca="false">BX53*CQ53</f>
        <v>#NAME?</v>
      </c>
      <c r="DF53" s="9" t="n">
        <f aca="false">IF($A53&gt;=DH$32,IF($A53&lt;=DH$33,$AN53,0),0)</f>
        <v>0</v>
      </c>
      <c r="DG53" s="123" t="n">
        <f aca="false">$B53+$Y53+$F$12</f>
        <v>4.221</v>
      </c>
      <c r="DH53" s="123" t="n">
        <f aca="false">$B53+$Z53+$F$13</f>
        <v>4.546</v>
      </c>
      <c r="DI53" s="123" t="n">
        <f aca="false">DG53*DF53</f>
        <v>0</v>
      </c>
      <c r="DJ53" s="123" t="n">
        <f aca="false">DH53*DF53</f>
        <v>0</v>
      </c>
      <c r="DK53" s="156" t="n">
        <f aca="false">($C53*$AA53)+$F$14</f>
        <v>0.404975</v>
      </c>
      <c r="DL53" s="156" t="n">
        <f aca="false">($C53*$AB53)+$F$15</f>
        <v>0.4175</v>
      </c>
      <c r="DM53" s="131" t="n">
        <f aca="false">$AC53+$F$16</f>
        <v>0.974</v>
      </c>
      <c r="DN53" s="157" t="n">
        <f aca="false">IF(DF53=0,0,SPRDOPT(DG53,DH53,$AD53,$AM53,DK53,DL53,DM53,$F53,$F$19,0))</f>
        <v>0</v>
      </c>
      <c r="DO53" s="157" t="e">
        <f aca="false">IF(DG53=0,0,SPRDOPT(DG53,DH53,$AD53,$AM53,DK53,DL53,DM53,$F53,$F$19,1))</f>
        <v>#NAME?</v>
      </c>
      <c r="DP53" s="157" t="e">
        <f aca="false">IF(DH53=0,0,SPRDOPT(DG53,DH53,$AD53,$AM53,DK53,DL53,DM53,$F53,$F$19,2))</f>
        <v>#NAME?</v>
      </c>
      <c r="DQ53" s="157" t="n">
        <f aca="false">IF(DI53=0,0,SPRDOPT(DG53,DH53,$AD53,$AM53,DK53,DL53,DM53,$F53,$F$19,3)/100)</f>
        <v>0</v>
      </c>
      <c r="DR53" s="157" t="n">
        <f aca="false">IF(DJ53=0,0,SPRDOPT(DG53,DH53,$AD53,$AM53,DK53,DL53,DM53,$F53,$F$19,4)/100)</f>
        <v>0</v>
      </c>
      <c r="DS53" s="157" t="e">
        <f aca="false">IF(DK53=0,0,SPRDOPT(DG53,DH53,$AD53,$AM53,DK53,DL53,DM53,$F53,$F$19,5)/100)</f>
        <v>#NAME?</v>
      </c>
      <c r="DT53" s="157" t="e">
        <f aca="false">IF(DL53=0,0,SPRDOPT(DG53,DH53,$AD53,$AM53,DK53,DL53,DM53,$F53,$F$19,6)/100)</f>
        <v>#NAME?</v>
      </c>
      <c r="DU53" s="157" t="e">
        <f aca="false">IF(DM53=0,0,SPRDOPT(DG53,DH53,$AD53,$AM53,DK53,DL53,DM53,$F53,$F$19,7)/100)</f>
        <v>#NAME?</v>
      </c>
      <c r="DV53" s="157" t="n">
        <f aca="false">IF(DN53=0,0,SPRDOPT(DG53,DH53,$AD53,$AM53,DK53,DL53,DM53,$F53,$F$19,9)/365)</f>
        <v>0</v>
      </c>
      <c r="DW53" s="157" t="e">
        <f aca="false">DO53+DP53</f>
        <v>#NAME?</v>
      </c>
      <c r="DX53" s="157" t="n">
        <f aca="false">DR53-DQ53</f>
        <v>0</v>
      </c>
      <c r="DY53" s="157" t="e">
        <f aca="false">((DK53/DL53)*DS53)+DT53</f>
        <v>#NAME?</v>
      </c>
      <c r="DZ53" s="44"/>
      <c r="EA53" s="45" t="n">
        <f aca="false">DF53*DN53</f>
        <v>0</v>
      </c>
      <c r="EB53" s="45" t="e">
        <f aca="false">DF53*DO53</f>
        <v>#NAME?</v>
      </c>
      <c r="EC53" s="45" t="e">
        <f aca="false">DF53*DP53</f>
        <v>#NAME?</v>
      </c>
      <c r="ED53" s="45" t="n">
        <f aca="false">DF53*DQ53</f>
        <v>0</v>
      </c>
      <c r="EE53" s="45" t="n">
        <f aca="false">DF53*DR53</f>
        <v>0</v>
      </c>
      <c r="EF53" s="45" t="e">
        <f aca="false">DF53*DS53</f>
        <v>#NAME?</v>
      </c>
      <c r="EG53" s="45" t="e">
        <f aca="false">DF53*DT53</f>
        <v>#NAME?</v>
      </c>
      <c r="EH53" s="45" t="e">
        <f aca="false">DF53*DU53</f>
        <v>#NAME?</v>
      </c>
      <c r="EI53" s="45" t="n">
        <f aca="false">DF53*DV53</f>
        <v>0</v>
      </c>
      <c r="EJ53" s="45" t="e">
        <f aca="false">DF53*DW53</f>
        <v>#NAME?</v>
      </c>
      <c r="EK53" s="45" t="n">
        <f aca="false">DF53*DX53</f>
        <v>0</v>
      </c>
      <c r="EL53" s="45" t="e">
        <f aca="false">DF53*DY53</f>
        <v>#NAME?</v>
      </c>
      <c r="EN53" s="9" t="n">
        <f aca="false">IF($A53&gt;=EP$32,IF($A53&lt;=EP$33,$AN53,0),0)</f>
        <v>0</v>
      </c>
      <c r="EO53" s="123" t="n">
        <f aca="false">$B53+$AF53+$H$12</f>
        <v>4.4835</v>
      </c>
      <c r="EP53" s="123" t="n">
        <f aca="false">$B53+$AG53+$H$13</f>
        <v>4.546</v>
      </c>
      <c r="EQ53" s="123" t="n">
        <f aca="false">EO53*EN53</f>
        <v>0</v>
      </c>
      <c r="ER53" s="123" t="n">
        <f aca="false">EP53*EN53</f>
        <v>0</v>
      </c>
      <c r="ES53" s="156" t="n">
        <f aca="false">($C53*$AH53)+$H$14</f>
        <v>0.4175</v>
      </c>
      <c r="ET53" s="156" t="n">
        <f aca="false">($C53*$AI53)+$H$15</f>
        <v>0.4175</v>
      </c>
      <c r="EU53" s="131" t="n">
        <f aca="false">$AJ53+$H$16</f>
        <v>0.998</v>
      </c>
      <c r="EV53" s="157" t="n">
        <f aca="false">IF(EN53=0,0,SPRDOPT(EO53,EP53,$AK53,$AM53,ES53,ET53,EU53,$F53,$H$19,0))</f>
        <v>0</v>
      </c>
      <c r="EW53" s="157" t="e">
        <f aca="false">IF(EO53=0,0,SPRDOPT(EO53,EP53,$AK53,$AM53,ES53,ET53,EU53,$F53,$H$19,1))</f>
        <v>#NAME?</v>
      </c>
      <c r="EX53" s="157" t="e">
        <f aca="false">IF(EP53=0,0,SPRDOPT(EO53,EP53,$AK53,$AM53,ES53,ET53,EU53,$F53,$H$19,2))</f>
        <v>#NAME?</v>
      </c>
      <c r="EY53" s="157" t="n">
        <f aca="false">IF(EQ53=0,0,SPRDOPT(EO53,EP53,$AK53,$AM53,ES53,ET53,EU53,$F53,$H$19,3)/100)</f>
        <v>0</v>
      </c>
      <c r="EZ53" s="157" t="n">
        <f aca="false">IF(ER53=0,0,SPRDOPT(EO53,EP53,$AK53,$AM53,ES53,ET53,EU53,$F53,$H$19,4)/100)</f>
        <v>0</v>
      </c>
      <c r="FA53" s="157" t="e">
        <f aca="false">IF(ES53=0,0,SPRDOPT(EO53,EP53,$AK53,$AM53,ES53,ET53,EU53,$F53,$H$19,5)/100)</f>
        <v>#NAME?</v>
      </c>
      <c r="FB53" s="157" t="e">
        <f aca="false">IF(ET53=0,0,SPRDOPT(EO53,EP53,$AK53,$AM53,ES53,ET53,EU53,$F53,$H$19,6)/100)</f>
        <v>#NAME?</v>
      </c>
      <c r="FC53" s="157" t="e">
        <f aca="false">IF(EU53=0,0,SPRDOPT(EO53,EP53,$AK53,$AM53,ES53,ET53,EU53,$F53,$H$19,7)/100)</f>
        <v>#NAME?</v>
      </c>
      <c r="FD53" s="157" t="n">
        <f aca="false">IF(EV53=0,0,SPRDOPT(EO53,EP53,$AK53,$AM53,ES53,ET53,EU53,$F53,$H$19,9)/365)</f>
        <v>0</v>
      </c>
      <c r="FE53" s="157" t="e">
        <f aca="false">EW53+EX53</f>
        <v>#NAME?</v>
      </c>
      <c r="FF53" s="157" t="n">
        <f aca="false">EZ53-EY53</f>
        <v>0</v>
      </c>
      <c r="FG53" s="157" t="e">
        <f aca="false">((ES53/ET53)*FA53)+FB53</f>
        <v>#NAME?</v>
      </c>
      <c r="FH53" s="44"/>
      <c r="FI53" s="45" t="n">
        <f aca="false">$EN53*EV53</f>
        <v>0</v>
      </c>
      <c r="FJ53" s="45" t="e">
        <f aca="false">$EN53*EW53</f>
        <v>#NAME?</v>
      </c>
      <c r="FK53" s="45" t="e">
        <f aca="false">$EN53*EX53</f>
        <v>#NAME?</v>
      </c>
      <c r="FL53" s="45" t="n">
        <f aca="false">$EN53*EY53</f>
        <v>0</v>
      </c>
      <c r="FM53" s="45" t="n">
        <f aca="false">$EN53*EZ53</f>
        <v>0</v>
      </c>
      <c r="FN53" s="45" t="e">
        <f aca="false">$EN53*FA53</f>
        <v>#NAME?</v>
      </c>
      <c r="FO53" s="45" t="e">
        <f aca="false">$EN53*FB53</f>
        <v>#NAME?</v>
      </c>
      <c r="FP53" s="45" t="e">
        <f aca="false">$EN53*FC53</f>
        <v>#NAME?</v>
      </c>
      <c r="FQ53" s="45" t="n">
        <f aca="false">$EN53*FD53</f>
        <v>0</v>
      </c>
      <c r="FR53" s="45" t="e">
        <f aca="false">$EN53*FE53</f>
        <v>#NAME?</v>
      </c>
      <c r="FS53" s="45" t="n">
        <f aca="false">$EN53*FF53</f>
        <v>0</v>
      </c>
      <c r="FT53" s="45" t="e">
        <f aca="false">$EN53*FG53</f>
        <v>#NAME?</v>
      </c>
    </row>
    <row r="54" customFormat="false" ht="12.75" hidden="false" customHeight="false" outlineLevel="0" collapsed="false">
      <c r="A54" s="48" t="n">
        <f aca="false">DATE(YEAR(A53),MONTH(A53)+1,1)</f>
        <v>37288</v>
      </c>
      <c r="B54" s="40" t="n">
        <f aca="false">VLOOKUP(A54,STRADDLE,5,FALSE())</f>
        <v>4.321</v>
      </c>
      <c r="C54" s="4" t="n">
        <f aca="false">VLOOKUP(A54,STRADDLE,8,FALSE())</f>
        <v>0.4075</v>
      </c>
      <c r="D54" s="40"/>
      <c r="E54" s="131"/>
      <c r="F54" s="136" t="n">
        <f aca="false">VLOOKUP(A54,expiration,2,FALSE())-$B$2</f>
        <v>-8641</v>
      </c>
      <c r="G54" s="4"/>
      <c r="H54" s="4"/>
      <c r="I54" s="41"/>
      <c r="J54" s="154"/>
      <c r="K54" s="40" t="n">
        <f aca="false">IF($B$3="NYMEX",0,VLOOKUP($A54,curvesettle,HLOOKUP($B$3,curvesettle,2,FALSE()),FALSE()))</f>
        <v>1.86</v>
      </c>
      <c r="L54" s="40" t="n">
        <f aca="false">IF($B$4="NYMEX",0,VLOOKUP($A54,curvesettle,HLOOKUP($B$4,curvesettle,2,FALSE()),FALSE()))</f>
        <v>0</v>
      </c>
      <c r="M54" s="131" t="n">
        <f aca="false">IF(ISNUMBER(VLOOKUP($A54,VOLCURVES,HLOOKUP($B$3,VOLCURVES,2,FALSE()),FALSE())),VLOOKUP($A54,VOLCURVES,HLOOKUP($B$3,VOLCURVES,2,FALSE()),FALSE()),1)</f>
        <v>1.1</v>
      </c>
      <c r="N54" s="131" t="n">
        <f aca="false">IF(ISNUMBER(VLOOKUP($A54,VOLCURVES,HLOOKUP($B$4,VOLCURVES,2,FALSE()),FALSE())),VLOOKUP($A54,VOLCURVES,HLOOKUP($B$4,VOLCURVES,2,FALSE()),FALSE()),1)</f>
        <v>1</v>
      </c>
      <c r="O54" s="131" t="n">
        <f aca="false">IF(ISNUMBER(VLOOKUP($A54,CORETABLE,HLOOKUP($B$3,CORETABLE,2,FALSE()),FALSE())),VLOOKUP($A54,CORETABLE,HLOOKUP($B$3,CORETABLE,2,FALSE()),FALSE()),0.99)</f>
        <v>0.95</v>
      </c>
      <c r="P54" s="155" t="n">
        <f aca="false">B$18</f>
        <v>2</v>
      </c>
      <c r="Q54" s="131"/>
      <c r="R54" s="40" t="n">
        <f aca="false">IF($D$3="NYMEX",0,VLOOKUP($A54,curvesettle,HLOOKUP($D$3,curvesettle,2,FALSE()),FALSE()))</f>
        <v>1.86</v>
      </c>
      <c r="S54" s="40" t="n">
        <f aca="false">IF($D$4="NYMEX",0,VLOOKUP($A54,curvesettle,HLOOKUP($D$4,curvesettle,2,FALSE()),FALSE()))</f>
        <v>0</v>
      </c>
      <c r="T54" s="131" t="n">
        <f aca="false">IF(ISNUMBER(VLOOKUP($A54,VOLCURVES,HLOOKUP($D$3,VOLCURVES,2,FALSE()),FALSE())),VLOOKUP($A54,VOLCURVES,HLOOKUP($D$3,VOLCURVES,2,FALSE()),FALSE()),1)</f>
        <v>1.1</v>
      </c>
      <c r="U54" s="131" t="n">
        <f aca="false">IF(ISNUMBER(VLOOKUP($A54,VOLCURVES,HLOOKUP($D$4,VOLCURVES,2,FALSE()),FALSE())),VLOOKUP($A54,VOLCURVES,HLOOKUP($D$4,VOLCURVES,2,FALSE()),FALSE()),1)</f>
        <v>1</v>
      </c>
      <c r="V54" s="131" t="n">
        <f aca="false">IF(ISNUMBER(VLOOKUP($A54,CORETABLE,HLOOKUP($D$3,CORETABLE,2,FALSE()),FALSE())),VLOOKUP($A54,CORETABLE,HLOOKUP($D$3,CORETABLE,2,FALSE()),FALSE()),0.99)</f>
        <v>0.95</v>
      </c>
      <c r="W54" s="155" t="n">
        <f aca="false">D$18</f>
        <v>2.5</v>
      </c>
      <c r="X54" s="131"/>
      <c r="Y54" s="40" t="n">
        <f aca="false">IF($F$3="NYMEX",0,VLOOKUP($A54,curvesettle,HLOOKUP($F$3,curvesettle,2,FALSE()),FALSE()))</f>
        <v>-0.33</v>
      </c>
      <c r="Z54" s="40" t="n">
        <f aca="false">IF($F$4="NYMEX",0,VLOOKUP($A54,curvesettle,HLOOKUP($F$4,curvesettle,2,FALSE()),FALSE()))</f>
        <v>0</v>
      </c>
      <c r="AA54" s="131" t="n">
        <f aca="false">IF(ISNUMBER(VLOOKUP($A54,VOLCURVES,HLOOKUP($F$3,VOLCURVES,2,FALSE()),FALSE())),VLOOKUP($A54,VOLCURVES,HLOOKUP($F$3,VOLCURVES,2,FALSE()),FALSE()),1)</f>
        <v>0.97</v>
      </c>
      <c r="AB54" s="131" t="n">
        <f aca="false">IF(ISNUMBER(VLOOKUP($A54,VOLCURVES,HLOOKUP($F$4,VOLCURVES,2,FALSE()),FALSE())),VLOOKUP($A54,VOLCURVES,HLOOKUP($F$4,VOLCURVES,2,FALSE()),FALSE()),1)</f>
        <v>1</v>
      </c>
      <c r="AC54" s="131" t="n">
        <f aca="false">IF(ISNUMBER(VLOOKUP($A54,CORETABLE,HLOOKUP($F$3,CORETABLE,2,FALSE()),FALSE())),VLOOKUP($A54,CORETABLE,HLOOKUP($F$3,CORETABLE,2,FALSE()),FALSE()),1)</f>
        <v>0.96</v>
      </c>
      <c r="AD54" s="155" t="n">
        <f aca="false">F$18</f>
        <v>-0.05</v>
      </c>
      <c r="AE54" s="131"/>
      <c r="AF54" s="40" t="n">
        <f aca="false">IF($H$3="NYMEX",0,VLOOKUP($A54,curvesettle,HLOOKUP($H$3,curvesettle,2,FALSE()),FALSE()))</f>
        <v>-0.045</v>
      </c>
      <c r="AG54" s="40" t="n">
        <f aca="false">IF($H$4="NYMEX",0,VLOOKUP($A54,curvesettle,HLOOKUP($H$4,curvesettle,2,FALSE()),FALSE()))</f>
        <v>0</v>
      </c>
      <c r="AH54" s="131" t="n">
        <f aca="false">IF(ISNUMBER(VLOOKUP($A54,VOLCURVES,HLOOKUP($H$3,VOLCURVES,2,FALSE()),FALSE())),VLOOKUP($A54,VOLCURVES,HLOOKUP($H$3,VOLCURVES,2,FALSE()),FALSE()),1)</f>
        <v>1</v>
      </c>
      <c r="AI54" s="131" t="n">
        <f aca="false">IF(ISNUMBER(VLOOKUP($A54,VOLCURVES,HLOOKUP($H$4,VOLCURVES,2,FALSE()),FALSE())),VLOOKUP($A54,VOLCURVES,HLOOKUP($H$4,VOLCURVES,2,FALSE()),FALSE()),1)</f>
        <v>1</v>
      </c>
      <c r="AJ54" s="131" t="n">
        <f aca="false">IF(ISNUMBER(VLOOKUP($A54,CORETABLE,HLOOKUP($H$3,CORETABLE,2,FALSE()),FALSE())),VLOOKUP($A54,CORETABLE,HLOOKUP($H$3,CORETABLE,2,FALSE()),FALSE()),1)</f>
        <v>0.999</v>
      </c>
      <c r="AK54" s="155" t="n">
        <f aca="false">H$18</f>
        <v>-0.05</v>
      </c>
      <c r="AM54" s="4" t="n">
        <f aca="false">VLOOKUP($A54,STRADDLE,12,FALSE())</f>
        <v>0.067329715733591</v>
      </c>
      <c r="AN54" s="43" t="n">
        <f aca="false">A55-A54</f>
        <v>28</v>
      </c>
      <c r="AP54" s="9" t="n">
        <f aca="false">IF($A54&gt;=AR$32,IF($A54&lt;=AR$33,$AN54,0),0)</f>
        <v>0</v>
      </c>
      <c r="AQ54" s="123" t="n">
        <f aca="false">$B54+$K54+$B$12</f>
        <v>6.211</v>
      </c>
      <c r="AR54" s="123" t="n">
        <f aca="false">$B54+$L54+$B$13</f>
        <v>4.321</v>
      </c>
      <c r="AS54" s="123" t="n">
        <f aca="false">AQ54*AP54</f>
        <v>0</v>
      </c>
      <c r="AT54" s="123" t="n">
        <f aca="false">AR54*AP54</f>
        <v>0</v>
      </c>
      <c r="AU54" s="156" t="n">
        <f aca="false">($C54*$M54)+$B$14</f>
        <v>0.44825</v>
      </c>
      <c r="AV54" s="156" t="n">
        <f aca="false">($C54*$N54)+$B$15</f>
        <v>0.4075</v>
      </c>
      <c r="AW54" s="131" t="n">
        <f aca="false">O54+B$16</f>
        <v>0.95</v>
      </c>
      <c r="AX54" s="157" t="n">
        <f aca="false">IF(AP54=0,0,SPRDOPT(AQ54,AR54,$P54,$AM54,AU54,AV54,AW54,$F54,$B$19,0))</f>
        <v>0</v>
      </c>
      <c r="AY54" s="157" t="e">
        <f aca="false">IF(AQ54=0,0,SPRDOPT(AQ54,AR54,$P54,$AM54,AU54,AV54,AW54,$F54,$B$19,1))</f>
        <v>#NAME?</v>
      </c>
      <c r="AZ54" s="157" t="e">
        <f aca="false">IF(AR54=0,0,SPRDOPT(AQ54,AR54,$P54,$AM54,AU54,AV54,AW54,$F54,$B$19,2))</f>
        <v>#NAME?</v>
      </c>
      <c r="BA54" s="157" t="n">
        <f aca="false">IF(AS54=0,0,SPRDOPT(AQ54,AR54,$P54,$AM54,AU54,AV54,AW54,$F54,$B$19,3)/100)</f>
        <v>0</v>
      </c>
      <c r="BB54" s="157" t="n">
        <f aca="false">IF(AT54=0,0,SPRDOPT(AQ54,AR54,$P54,$AM54,AU54,AV54,AW54,$F54,$B$19,4)/100)</f>
        <v>0</v>
      </c>
      <c r="BC54" s="157" t="e">
        <f aca="false">IF(AU54=0,0,SPRDOPT(AQ54,AR54,$P54,$AM54,AU54,AV54,AW54,$F54,$B$19,5)/100)</f>
        <v>#NAME?</v>
      </c>
      <c r="BD54" s="157" t="e">
        <f aca="false">IF(AV54=0,0,SPRDOPT(AQ54,AR54,$P54,$AM54,AU54,AV54,AW54,$F54,$B$19,6)/100)</f>
        <v>#NAME?</v>
      </c>
      <c r="BE54" s="157" t="e">
        <f aca="false">IF(AW54=0,0,SPRDOPT(AQ54,AR54,$P54,$AM54,AU54,AV54,AW54,$F54,$B$19,7)/100)</f>
        <v>#NAME?</v>
      </c>
      <c r="BF54" s="157" t="n">
        <f aca="false">IF(AX54=0,0,SPRDOPT(AQ54,AR54,$P54,$AM54,AU54,AV54,AW54,$F54,$B$19,9)/365)</f>
        <v>0</v>
      </c>
      <c r="BG54" s="157" t="e">
        <f aca="false">AY54+AZ54</f>
        <v>#NAME?</v>
      </c>
      <c r="BH54" s="157" t="n">
        <f aca="false">BB54-BA54</f>
        <v>0</v>
      </c>
      <c r="BI54" s="157" t="e">
        <f aca="false">((AU54/AV54)*BC54)+BD54</f>
        <v>#NAME?</v>
      </c>
      <c r="BJ54" s="44"/>
      <c r="BK54" s="45" t="n">
        <f aca="false">$AP54*AX54</f>
        <v>0</v>
      </c>
      <c r="BL54" s="45" t="e">
        <f aca="false">$AP54*AY54</f>
        <v>#NAME?</v>
      </c>
      <c r="BM54" s="45" t="e">
        <f aca="false">$AP54*AZ54</f>
        <v>#NAME?</v>
      </c>
      <c r="BN54" s="45" t="n">
        <f aca="false">$AP54*BA54</f>
        <v>0</v>
      </c>
      <c r="BO54" s="45" t="n">
        <f aca="false">$AP54*BB54</f>
        <v>0</v>
      </c>
      <c r="BP54" s="45" t="e">
        <f aca="false">$AP54*BC54</f>
        <v>#NAME?</v>
      </c>
      <c r="BQ54" s="45" t="e">
        <f aca="false">$AP54*BD54</f>
        <v>#NAME?</v>
      </c>
      <c r="BR54" s="45" t="e">
        <f aca="false">$AP54*BE54</f>
        <v>#NAME?</v>
      </c>
      <c r="BS54" s="45" t="n">
        <f aca="false">$AP54*BF54</f>
        <v>0</v>
      </c>
      <c r="BT54" s="45" t="e">
        <f aca="false">$AP54*BG54</f>
        <v>#NAME?</v>
      </c>
      <c r="BU54" s="45" t="n">
        <f aca="false">$AP54*BH54</f>
        <v>0</v>
      </c>
      <c r="BV54" s="45" t="e">
        <f aca="false">$AP54*BI54</f>
        <v>#NAME?</v>
      </c>
      <c r="BX54" s="9" t="n">
        <f aca="false">IF($A54&gt;=BZ$32,IF($A54&lt;=BZ$33,$AN54,0),0)</f>
        <v>0</v>
      </c>
      <c r="BY54" s="123" t="n">
        <f aca="false">$B54+$R54+$D$12</f>
        <v>6.211</v>
      </c>
      <c r="BZ54" s="123" t="n">
        <f aca="false">$B54+$S54+$D$13</f>
        <v>4.321</v>
      </c>
      <c r="CA54" s="123" t="n">
        <f aca="false">BY54*BX54</f>
        <v>0</v>
      </c>
      <c r="CB54" s="123" t="n">
        <f aca="false">BZ54*BX54</f>
        <v>0</v>
      </c>
      <c r="CC54" s="156" t="n">
        <f aca="false">($C54*$T54)+$D$14</f>
        <v>0.44825</v>
      </c>
      <c r="CD54" s="156" t="n">
        <f aca="false">($C54*$U54)+$D$15</f>
        <v>0.4075</v>
      </c>
      <c r="CE54" s="131" t="n">
        <f aca="false">$V54+D$16</f>
        <v>0.95</v>
      </c>
      <c r="CF54" s="157" t="n">
        <f aca="false">IF(BX54=0,0,SPRDOPT(BY54,BZ54,$W54,$AM54,CC54,CD54,CE54,$F54,$D$19,0))</f>
        <v>0</v>
      </c>
      <c r="CG54" s="157" t="e">
        <f aca="false">IF(BY54=0,0,SPRDOPT(BY54,BZ54,$W54,$AM54,CC54,CD54,CE54,$F54,$D$19,1))</f>
        <v>#NAME?</v>
      </c>
      <c r="CH54" s="157" t="e">
        <f aca="false">IF(BZ54=0,0,SPRDOPT(BY54,BZ54,$W54,$AM54,CC54,CD54,CE54,$F54,$D$19,2))</f>
        <v>#NAME?</v>
      </c>
      <c r="CI54" s="157" t="n">
        <f aca="false">IF(CA54=0,0,SPRDOPT(BY54,BZ54,$W54,$AM54,CC54,CD54,CE54,$F54,$D$19,3)/100)</f>
        <v>0</v>
      </c>
      <c r="CJ54" s="157" t="n">
        <f aca="false">IF(CB54=0,0,SPRDOPT(BY54,BZ54,$W54,$AM54,CC54,CD54,CE54,$F54,$D$19,4)/100)</f>
        <v>0</v>
      </c>
      <c r="CK54" s="157" t="e">
        <f aca="false">IF(CC54=0,0,SPRDOPT(BY54,BZ54,$W54,$AM54,CC54,CD54,CE54,$F54,$D$19,5)/100)</f>
        <v>#NAME?</v>
      </c>
      <c r="CL54" s="157" t="e">
        <f aca="false">IF(CD54=0,0,SPRDOPT(BY54,BZ54,$W54,$AM54,CC54,CD54,CE54,$F54,$D$19,6)/100)</f>
        <v>#NAME?</v>
      </c>
      <c r="CM54" s="157" t="e">
        <f aca="false">IF(CE54=0,0,SPRDOPT(BY54,BZ54,$W54,$AM54,CC54,CD54,CE54,$F54,$D$19,7)/100)</f>
        <v>#NAME?</v>
      </c>
      <c r="CN54" s="157" t="n">
        <f aca="false">IF(CF54=0,0,SPRDOPT(BY54,BZ54,$W54,$AM54,CC54,CD54,CE54,$F54,$D$19,9)/365)</f>
        <v>0</v>
      </c>
      <c r="CO54" s="157" t="e">
        <f aca="false">CG54+CH54</f>
        <v>#NAME?</v>
      </c>
      <c r="CP54" s="157" t="n">
        <f aca="false">CJ54-CI54</f>
        <v>0</v>
      </c>
      <c r="CQ54" s="157" t="e">
        <f aca="false">((CC54/CD54)*CK54)+CL54</f>
        <v>#NAME?</v>
      </c>
      <c r="CR54" s="44"/>
      <c r="CS54" s="45" t="n">
        <f aca="false">BX54*CF54</f>
        <v>0</v>
      </c>
      <c r="CT54" s="45" t="e">
        <f aca="false">BX54*CG54</f>
        <v>#NAME?</v>
      </c>
      <c r="CU54" s="45" t="e">
        <f aca="false">BX54*CH54</f>
        <v>#NAME?</v>
      </c>
      <c r="CV54" s="45" t="n">
        <f aca="false">BX54*CI54</f>
        <v>0</v>
      </c>
      <c r="CW54" s="45" t="n">
        <f aca="false">BX54*CJ54</f>
        <v>0</v>
      </c>
      <c r="CX54" s="45" t="e">
        <f aca="false">BX54*CK54</f>
        <v>#NAME?</v>
      </c>
      <c r="CY54" s="45" t="e">
        <f aca="false">BX54*CL54</f>
        <v>#NAME?</v>
      </c>
      <c r="CZ54" s="45" t="e">
        <f aca="false">BX54*CM54</f>
        <v>#NAME?</v>
      </c>
      <c r="DA54" s="45" t="n">
        <f aca="false">BX54*CN54</f>
        <v>0</v>
      </c>
      <c r="DB54" s="45" t="e">
        <f aca="false">BX54*CO54</f>
        <v>#NAME?</v>
      </c>
      <c r="DC54" s="45" t="n">
        <f aca="false">BX54*CP54</f>
        <v>0</v>
      </c>
      <c r="DD54" s="45" t="e">
        <f aca="false">BX54*CQ54</f>
        <v>#NAME?</v>
      </c>
      <c r="DF54" s="9" t="n">
        <f aca="false">IF($A54&gt;=DH$32,IF($A54&lt;=DH$33,$AN54,0),0)</f>
        <v>0</v>
      </c>
      <c r="DG54" s="123" t="n">
        <f aca="false">$B54+$Y54+$F$12</f>
        <v>3.996</v>
      </c>
      <c r="DH54" s="123" t="n">
        <f aca="false">$B54+$Z54+$F$13</f>
        <v>4.321</v>
      </c>
      <c r="DI54" s="123" t="n">
        <f aca="false">DG54*DF54</f>
        <v>0</v>
      </c>
      <c r="DJ54" s="123" t="n">
        <f aca="false">DH54*DF54</f>
        <v>0</v>
      </c>
      <c r="DK54" s="156" t="n">
        <f aca="false">($C54*$AA54)+$F$14</f>
        <v>0.395275</v>
      </c>
      <c r="DL54" s="156" t="n">
        <f aca="false">($C54*$AB54)+$F$15</f>
        <v>0.4075</v>
      </c>
      <c r="DM54" s="131" t="n">
        <f aca="false">$AC54+$F$16</f>
        <v>0.974</v>
      </c>
      <c r="DN54" s="157" t="n">
        <f aca="false">IF(DF54=0,0,SPRDOPT(DG54,DH54,$AD54,$AM54,DK54,DL54,DM54,$F54,$F$19,0))</f>
        <v>0</v>
      </c>
      <c r="DO54" s="157" t="e">
        <f aca="false">IF(DG54=0,0,SPRDOPT(DG54,DH54,$AD54,$AM54,DK54,DL54,DM54,$F54,$F$19,1))</f>
        <v>#NAME?</v>
      </c>
      <c r="DP54" s="157" t="e">
        <f aca="false">IF(DH54=0,0,SPRDOPT(DG54,DH54,$AD54,$AM54,DK54,DL54,DM54,$F54,$F$19,2))</f>
        <v>#NAME?</v>
      </c>
      <c r="DQ54" s="157" t="n">
        <f aca="false">IF(DI54=0,0,SPRDOPT(DG54,DH54,$AD54,$AM54,DK54,DL54,DM54,$F54,$F$19,3)/100)</f>
        <v>0</v>
      </c>
      <c r="DR54" s="157" t="n">
        <f aca="false">IF(DJ54=0,0,SPRDOPT(DG54,DH54,$AD54,$AM54,DK54,DL54,DM54,$F54,$F$19,4)/100)</f>
        <v>0</v>
      </c>
      <c r="DS54" s="157" t="e">
        <f aca="false">IF(DK54=0,0,SPRDOPT(DG54,DH54,$AD54,$AM54,DK54,DL54,DM54,$F54,$F$19,5)/100)</f>
        <v>#NAME?</v>
      </c>
      <c r="DT54" s="157" t="e">
        <f aca="false">IF(DL54=0,0,SPRDOPT(DG54,DH54,$AD54,$AM54,DK54,DL54,DM54,$F54,$F$19,6)/100)</f>
        <v>#NAME?</v>
      </c>
      <c r="DU54" s="157" t="e">
        <f aca="false">IF(DM54=0,0,SPRDOPT(DG54,DH54,$AD54,$AM54,DK54,DL54,DM54,$F54,$F$19,7)/100)</f>
        <v>#NAME?</v>
      </c>
      <c r="DV54" s="157" t="n">
        <f aca="false">IF(DN54=0,0,SPRDOPT(DG54,DH54,$AD54,$AM54,DK54,DL54,DM54,$F54,$F$19,9)/365)</f>
        <v>0</v>
      </c>
      <c r="DW54" s="157" t="e">
        <f aca="false">DO54+DP54</f>
        <v>#NAME?</v>
      </c>
      <c r="DX54" s="157" t="n">
        <f aca="false">DR54-DQ54</f>
        <v>0</v>
      </c>
      <c r="DY54" s="157" t="e">
        <f aca="false">((DK54/DL54)*DS54)+DT54</f>
        <v>#NAME?</v>
      </c>
      <c r="DZ54" s="44"/>
      <c r="EA54" s="45" t="n">
        <f aca="false">DF54*DN54</f>
        <v>0</v>
      </c>
      <c r="EB54" s="45" t="e">
        <f aca="false">DF54*DO54</f>
        <v>#NAME?</v>
      </c>
      <c r="EC54" s="45" t="e">
        <f aca="false">DF54*DP54</f>
        <v>#NAME?</v>
      </c>
      <c r="ED54" s="45" t="n">
        <f aca="false">DF54*DQ54</f>
        <v>0</v>
      </c>
      <c r="EE54" s="45" t="n">
        <f aca="false">DF54*DR54</f>
        <v>0</v>
      </c>
      <c r="EF54" s="45" t="e">
        <f aca="false">DF54*DS54</f>
        <v>#NAME?</v>
      </c>
      <c r="EG54" s="45" t="e">
        <f aca="false">DF54*DT54</f>
        <v>#NAME?</v>
      </c>
      <c r="EH54" s="45" t="e">
        <f aca="false">DF54*DU54</f>
        <v>#NAME?</v>
      </c>
      <c r="EI54" s="45" t="n">
        <f aca="false">DF54*DV54</f>
        <v>0</v>
      </c>
      <c r="EJ54" s="45" t="e">
        <f aca="false">DF54*DW54</f>
        <v>#NAME?</v>
      </c>
      <c r="EK54" s="45" t="n">
        <f aca="false">DF54*DX54</f>
        <v>0</v>
      </c>
      <c r="EL54" s="45" t="e">
        <f aca="false">DF54*DY54</f>
        <v>#NAME?</v>
      </c>
      <c r="EN54" s="9" t="n">
        <f aca="false">IF($A54&gt;=EP$32,IF($A54&lt;=EP$33,$AN54,0),0)</f>
        <v>0</v>
      </c>
      <c r="EO54" s="123" t="n">
        <f aca="false">$B54+$AF54+$H$12</f>
        <v>4.276</v>
      </c>
      <c r="EP54" s="123" t="n">
        <f aca="false">$B54+$AG54+$H$13</f>
        <v>4.321</v>
      </c>
      <c r="EQ54" s="123" t="n">
        <f aca="false">EO54*EN54</f>
        <v>0</v>
      </c>
      <c r="ER54" s="123" t="n">
        <f aca="false">EP54*EN54</f>
        <v>0</v>
      </c>
      <c r="ES54" s="156" t="n">
        <f aca="false">($C54*$AH54)+$H$14</f>
        <v>0.4075</v>
      </c>
      <c r="ET54" s="156" t="n">
        <f aca="false">($C54*$AI54)+$H$15</f>
        <v>0.4075</v>
      </c>
      <c r="EU54" s="131" t="n">
        <f aca="false">$AJ54+$H$16</f>
        <v>0.998</v>
      </c>
      <c r="EV54" s="157" t="n">
        <f aca="false">IF(EN54=0,0,SPRDOPT(EO54,EP54,$AK54,$AM54,ES54,ET54,EU54,$F54,$H$19,0))</f>
        <v>0</v>
      </c>
      <c r="EW54" s="157" t="e">
        <f aca="false">IF(EO54=0,0,SPRDOPT(EO54,EP54,$AK54,$AM54,ES54,ET54,EU54,$F54,$H$19,1))</f>
        <v>#NAME?</v>
      </c>
      <c r="EX54" s="157" t="e">
        <f aca="false">IF(EP54=0,0,SPRDOPT(EO54,EP54,$AK54,$AM54,ES54,ET54,EU54,$F54,$H$19,2))</f>
        <v>#NAME?</v>
      </c>
      <c r="EY54" s="157" t="n">
        <f aca="false">IF(EQ54=0,0,SPRDOPT(EO54,EP54,$AK54,$AM54,ES54,ET54,EU54,$F54,$H$19,3)/100)</f>
        <v>0</v>
      </c>
      <c r="EZ54" s="157" t="n">
        <f aca="false">IF(ER54=0,0,SPRDOPT(EO54,EP54,$AK54,$AM54,ES54,ET54,EU54,$F54,$H$19,4)/100)</f>
        <v>0</v>
      </c>
      <c r="FA54" s="157" t="e">
        <f aca="false">IF(ES54=0,0,SPRDOPT(EO54,EP54,$AK54,$AM54,ES54,ET54,EU54,$F54,$H$19,5)/100)</f>
        <v>#NAME?</v>
      </c>
      <c r="FB54" s="157" t="e">
        <f aca="false">IF(ET54=0,0,SPRDOPT(EO54,EP54,$AK54,$AM54,ES54,ET54,EU54,$F54,$H$19,6)/100)</f>
        <v>#NAME?</v>
      </c>
      <c r="FC54" s="157" t="e">
        <f aca="false">IF(EU54=0,0,SPRDOPT(EO54,EP54,$AK54,$AM54,ES54,ET54,EU54,$F54,$H$19,7)/100)</f>
        <v>#NAME?</v>
      </c>
      <c r="FD54" s="157" t="n">
        <f aca="false">IF(EV54=0,0,SPRDOPT(EO54,EP54,$AK54,$AM54,ES54,ET54,EU54,$F54,$H$19,9)/365)</f>
        <v>0</v>
      </c>
      <c r="FE54" s="157" t="e">
        <f aca="false">EW54+EX54</f>
        <v>#NAME?</v>
      </c>
      <c r="FF54" s="157" t="n">
        <f aca="false">EZ54-EY54</f>
        <v>0</v>
      </c>
      <c r="FG54" s="157" t="e">
        <f aca="false">((ES54/ET54)*FA54)+FB54</f>
        <v>#NAME?</v>
      </c>
      <c r="FH54" s="44"/>
      <c r="FI54" s="45" t="n">
        <f aca="false">$EN54*EV54</f>
        <v>0</v>
      </c>
      <c r="FJ54" s="45" t="e">
        <f aca="false">$EN54*EW54</f>
        <v>#NAME?</v>
      </c>
      <c r="FK54" s="45" t="e">
        <f aca="false">$EN54*EX54</f>
        <v>#NAME?</v>
      </c>
      <c r="FL54" s="45" t="n">
        <f aca="false">$EN54*EY54</f>
        <v>0</v>
      </c>
      <c r="FM54" s="45" t="n">
        <f aca="false">$EN54*EZ54</f>
        <v>0</v>
      </c>
      <c r="FN54" s="45" t="e">
        <f aca="false">$EN54*FA54</f>
        <v>#NAME?</v>
      </c>
      <c r="FO54" s="45" t="e">
        <f aca="false">$EN54*FB54</f>
        <v>#NAME?</v>
      </c>
      <c r="FP54" s="45" t="e">
        <f aca="false">$EN54*FC54</f>
        <v>#NAME?</v>
      </c>
      <c r="FQ54" s="45" t="n">
        <f aca="false">$EN54*FD54</f>
        <v>0</v>
      </c>
      <c r="FR54" s="45" t="e">
        <f aca="false">$EN54*FE54</f>
        <v>#NAME?</v>
      </c>
      <c r="FS54" s="45" t="n">
        <f aca="false">$EN54*FF54</f>
        <v>0</v>
      </c>
      <c r="FT54" s="45" t="e">
        <f aca="false">$EN54*FG54</f>
        <v>#NAME?</v>
      </c>
    </row>
    <row r="55" customFormat="false" ht="12.75" hidden="false" customHeight="false" outlineLevel="0" collapsed="false">
      <c r="A55" s="48" t="n">
        <f aca="false">DATE(YEAR(A54),MONTH(A54)+1,1)</f>
        <v>37316</v>
      </c>
      <c r="B55" s="40" t="n">
        <f aca="false">VLOOKUP(A55,STRADDLE,5,FALSE())</f>
        <v>4.091</v>
      </c>
      <c r="C55" s="4" t="n">
        <f aca="false">VLOOKUP(A55,STRADDLE,8,FALSE())</f>
        <v>0.3675</v>
      </c>
      <c r="D55" s="40"/>
      <c r="E55" s="131"/>
      <c r="F55" s="136" t="n">
        <f aca="false">VLOOKUP(A55,expiration,2,FALSE())-$B$2</f>
        <v>-8613</v>
      </c>
      <c r="G55" s="4"/>
      <c r="H55" s="4"/>
      <c r="I55" s="41"/>
      <c r="J55" s="154"/>
      <c r="K55" s="40" t="n">
        <f aca="false">IF($B$3="NYMEX",0,VLOOKUP($A55,curvesettle,HLOOKUP($B$3,curvesettle,2,FALSE()),FALSE()))</f>
        <v>1.29</v>
      </c>
      <c r="L55" s="40" t="n">
        <f aca="false">IF($B$4="NYMEX",0,VLOOKUP($A55,curvesettle,HLOOKUP($B$4,curvesettle,2,FALSE()),FALSE()))</f>
        <v>0</v>
      </c>
      <c r="M55" s="131" t="n">
        <f aca="false">IF(ISNUMBER(VLOOKUP($A55,VOLCURVES,HLOOKUP($B$3,VOLCURVES,2,FALSE()),FALSE())),VLOOKUP($A55,VOLCURVES,HLOOKUP($B$3,VOLCURVES,2,FALSE()),FALSE()),1)</f>
        <v>1.1</v>
      </c>
      <c r="N55" s="131" t="n">
        <f aca="false">IF(ISNUMBER(VLOOKUP($A55,VOLCURVES,HLOOKUP($B$4,VOLCURVES,2,FALSE()),FALSE())),VLOOKUP($A55,VOLCURVES,HLOOKUP($B$4,VOLCURVES,2,FALSE()),FALSE()),1)</f>
        <v>1</v>
      </c>
      <c r="O55" s="131" t="n">
        <f aca="false">IF(ISNUMBER(VLOOKUP($A55,CORETABLE,HLOOKUP($B$3,CORETABLE,2,FALSE()),FALSE())),VLOOKUP($A55,CORETABLE,HLOOKUP($B$3,CORETABLE,2,FALSE()),FALSE()),0.99)</f>
        <v>0.95</v>
      </c>
      <c r="P55" s="155" t="n">
        <f aca="false">B$18</f>
        <v>2</v>
      </c>
      <c r="Q55" s="131"/>
      <c r="R55" s="40" t="n">
        <f aca="false">IF($D$3="NYMEX",0,VLOOKUP($A55,curvesettle,HLOOKUP($D$3,curvesettle,2,FALSE()),FALSE()))</f>
        <v>1.29</v>
      </c>
      <c r="S55" s="40" t="n">
        <f aca="false">IF($D$4="NYMEX",0,VLOOKUP($A55,curvesettle,HLOOKUP($D$4,curvesettle,2,FALSE()),FALSE()))</f>
        <v>0</v>
      </c>
      <c r="T55" s="131" t="n">
        <f aca="false">IF(ISNUMBER(VLOOKUP($A55,VOLCURVES,HLOOKUP($D$3,VOLCURVES,2,FALSE()),FALSE())),VLOOKUP($A55,VOLCURVES,HLOOKUP($D$3,VOLCURVES,2,FALSE()),FALSE()),1)</f>
        <v>1.1</v>
      </c>
      <c r="U55" s="131" t="n">
        <f aca="false">IF(ISNUMBER(VLOOKUP($A55,VOLCURVES,HLOOKUP($D$4,VOLCURVES,2,FALSE()),FALSE())),VLOOKUP($A55,VOLCURVES,HLOOKUP($D$4,VOLCURVES,2,FALSE()),FALSE()),1)</f>
        <v>1</v>
      </c>
      <c r="V55" s="131" t="n">
        <f aca="false">IF(ISNUMBER(VLOOKUP($A55,CORETABLE,HLOOKUP($D$3,CORETABLE,2,FALSE()),FALSE())),VLOOKUP($A55,CORETABLE,HLOOKUP($D$3,CORETABLE,2,FALSE()),FALSE()),0.99)</f>
        <v>0.95</v>
      </c>
      <c r="W55" s="155" t="n">
        <f aca="false">D$18</f>
        <v>2.5</v>
      </c>
      <c r="X55" s="131"/>
      <c r="Y55" s="40" t="n">
        <f aca="false">IF($F$3="NYMEX",0,VLOOKUP($A55,curvesettle,HLOOKUP($F$3,curvesettle,2,FALSE()),FALSE()))</f>
        <v>-0.33</v>
      </c>
      <c r="Z55" s="40" t="n">
        <f aca="false">IF($F$4="NYMEX",0,VLOOKUP($A55,curvesettle,HLOOKUP($F$4,curvesettle,2,FALSE()),FALSE()))</f>
        <v>0</v>
      </c>
      <c r="AA55" s="131" t="n">
        <f aca="false">IF(ISNUMBER(VLOOKUP($A55,VOLCURVES,HLOOKUP($F$3,VOLCURVES,2,FALSE()),FALSE())),VLOOKUP($A55,VOLCURVES,HLOOKUP($F$3,VOLCURVES,2,FALSE()),FALSE()),1)</f>
        <v>0.97</v>
      </c>
      <c r="AB55" s="131" t="n">
        <f aca="false">IF(ISNUMBER(VLOOKUP($A55,VOLCURVES,HLOOKUP($F$4,VOLCURVES,2,FALSE()),FALSE())),VLOOKUP($A55,VOLCURVES,HLOOKUP($F$4,VOLCURVES,2,FALSE()),FALSE()),1)</f>
        <v>1</v>
      </c>
      <c r="AC55" s="131" t="n">
        <f aca="false">IF(ISNUMBER(VLOOKUP($A55,CORETABLE,HLOOKUP($F$3,CORETABLE,2,FALSE()),FALSE())),VLOOKUP($A55,CORETABLE,HLOOKUP($F$3,CORETABLE,2,FALSE()),FALSE()),1)</f>
        <v>0.96</v>
      </c>
      <c r="AD55" s="155" t="n">
        <f aca="false">F$18</f>
        <v>-0.05</v>
      </c>
      <c r="AE55" s="131"/>
      <c r="AF55" s="40" t="n">
        <f aca="false">IF($H$3="NYMEX",0,VLOOKUP($A55,curvesettle,HLOOKUP($H$3,curvesettle,2,FALSE()),FALSE()))</f>
        <v>-0.0325</v>
      </c>
      <c r="AG55" s="40" t="n">
        <f aca="false">IF($H$4="NYMEX",0,VLOOKUP($A55,curvesettle,HLOOKUP($H$4,curvesettle,2,FALSE()),FALSE()))</f>
        <v>0</v>
      </c>
      <c r="AH55" s="131" t="n">
        <f aca="false">IF(ISNUMBER(VLOOKUP($A55,VOLCURVES,HLOOKUP($H$3,VOLCURVES,2,FALSE()),FALSE())),VLOOKUP($A55,VOLCURVES,HLOOKUP($H$3,VOLCURVES,2,FALSE()),FALSE()),1)</f>
        <v>1</v>
      </c>
      <c r="AI55" s="131" t="n">
        <f aca="false">IF(ISNUMBER(VLOOKUP($A55,VOLCURVES,HLOOKUP($H$4,VOLCURVES,2,FALSE()),FALSE())),VLOOKUP($A55,VOLCURVES,HLOOKUP($H$4,VOLCURVES,2,FALSE()),FALSE()),1)</f>
        <v>1</v>
      </c>
      <c r="AJ55" s="131" t="n">
        <f aca="false">IF(ISNUMBER(VLOOKUP($A55,CORETABLE,HLOOKUP($H$3,CORETABLE,2,FALSE()),FALSE())),VLOOKUP($A55,CORETABLE,HLOOKUP($H$3,CORETABLE,2,FALSE()),FALSE()),1)</f>
        <v>0.999</v>
      </c>
      <c r="AK55" s="155" t="n">
        <f aca="false">H$18</f>
        <v>-0.05</v>
      </c>
      <c r="AM55" s="4" t="n">
        <f aca="false">VLOOKUP($A55,STRADDLE,12,FALSE())</f>
        <v>0.067326569596599</v>
      </c>
      <c r="AN55" s="43" t="n">
        <f aca="false">A56-A55</f>
        <v>31</v>
      </c>
      <c r="AP55" s="9" t="n">
        <f aca="false">IF($A55&gt;=AR$32,IF($A55&lt;=AR$33,$AN55,0),0)</f>
        <v>0</v>
      </c>
      <c r="AQ55" s="123" t="n">
        <f aca="false">$B55+$K55+$B$12</f>
        <v>5.411</v>
      </c>
      <c r="AR55" s="123" t="n">
        <f aca="false">$B55+$L55+$B$13</f>
        <v>4.091</v>
      </c>
      <c r="AS55" s="123" t="n">
        <f aca="false">AQ55*AP55</f>
        <v>0</v>
      </c>
      <c r="AT55" s="123" t="n">
        <f aca="false">AR55*AP55</f>
        <v>0</v>
      </c>
      <c r="AU55" s="156" t="n">
        <f aca="false">($C55*$M55)+$B$14</f>
        <v>0.40425</v>
      </c>
      <c r="AV55" s="156" t="n">
        <f aca="false">($C55*$N55)+$B$15</f>
        <v>0.3675</v>
      </c>
      <c r="AW55" s="131" t="n">
        <f aca="false">O55+B$16</f>
        <v>0.95</v>
      </c>
      <c r="AX55" s="157" t="n">
        <f aca="false">IF(AP55=0,0,SPRDOPT(AQ55,AR55,$P55,$AM55,AU55,AV55,AW55,$F55,$B$19,0))</f>
        <v>0</v>
      </c>
      <c r="AY55" s="157" t="e">
        <f aca="false">IF(AQ55=0,0,SPRDOPT(AQ55,AR55,$P55,$AM55,AU55,AV55,AW55,$F55,$B$19,1))</f>
        <v>#NAME?</v>
      </c>
      <c r="AZ55" s="157" t="e">
        <f aca="false">IF(AR55=0,0,SPRDOPT(AQ55,AR55,$P55,$AM55,AU55,AV55,AW55,$F55,$B$19,2))</f>
        <v>#NAME?</v>
      </c>
      <c r="BA55" s="157" t="n">
        <f aca="false">IF(AS55=0,0,SPRDOPT(AQ55,AR55,$P55,$AM55,AU55,AV55,AW55,$F55,$B$19,3)/100)</f>
        <v>0</v>
      </c>
      <c r="BB55" s="157" t="n">
        <f aca="false">IF(AT55=0,0,SPRDOPT(AQ55,AR55,$P55,$AM55,AU55,AV55,AW55,$F55,$B$19,4)/100)</f>
        <v>0</v>
      </c>
      <c r="BC55" s="157" t="e">
        <f aca="false">IF(AU55=0,0,SPRDOPT(AQ55,AR55,$P55,$AM55,AU55,AV55,AW55,$F55,$B$19,5)/100)</f>
        <v>#NAME?</v>
      </c>
      <c r="BD55" s="157" t="e">
        <f aca="false">IF(AV55=0,0,SPRDOPT(AQ55,AR55,$P55,$AM55,AU55,AV55,AW55,$F55,$B$19,6)/100)</f>
        <v>#NAME?</v>
      </c>
      <c r="BE55" s="157" t="e">
        <f aca="false">IF(AW55=0,0,SPRDOPT(AQ55,AR55,$P55,$AM55,AU55,AV55,AW55,$F55,$B$19,7)/100)</f>
        <v>#NAME?</v>
      </c>
      <c r="BF55" s="157" t="n">
        <f aca="false">IF(AX55=0,0,SPRDOPT(AQ55,AR55,$P55,$AM55,AU55,AV55,AW55,$F55,$B$19,9)/365)</f>
        <v>0</v>
      </c>
      <c r="BG55" s="157" t="e">
        <f aca="false">AY55+AZ55</f>
        <v>#NAME?</v>
      </c>
      <c r="BH55" s="157" t="n">
        <f aca="false">BB55-BA55</f>
        <v>0</v>
      </c>
      <c r="BI55" s="157" t="e">
        <f aca="false">((AU55/AV55)*BC55)+BD55</f>
        <v>#NAME?</v>
      </c>
      <c r="BJ55" s="44"/>
      <c r="BK55" s="45" t="n">
        <f aca="false">$AP55*AX55</f>
        <v>0</v>
      </c>
      <c r="BL55" s="45" t="e">
        <f aca="false">$AP55*AY55</f>
        <v>#NAME?</v>
      </c>
      <c r="BM55" s="45" t="e">
        <f aca="false">$AP55*AZ55</f>
        <v>#NAME?</v>
      </c>
      <c r="BN55" s="45" t="n">
        <f aca="false">$AP55*BA55</f>
        <v>0</v>
      </c>
      <c r="BO55" s="45" t="n">
        <f aca="false">$AP55*BB55</f>
        <v>0</v>
      </c>
      <c r="BP55" s="45" t="e">
        <f aca="false">$AP55*BC55</f>
        <v>#NAME?</v>
      </c>
      <c r="BQ55" s="45" t="e">
        <f aca="false">$AP55*BD55</f>
        <v>#NAME?</v>
      </c>
      <c r="BR55" s="45" t="e">
        <f aca="false">$AP55*BE55</f>
        <v>#NAME?</v>
      </c>
      <c r="BS55" s="45" t="n">
        <f aca="false">$AP55*BF55</f>
        <v>0</v>
      </c>
      <c r="BT55" s="45" t="e">
        <f aca="false">$AP55*BG55</f>
        <v>#NAME?</v>
      </c>
      <c r="BU55" s="45" t="n">
        <f aca="false">$AP55*BH55</f>
        <v>0</v>
      </c>
      <c r="BV55" s="45" t="e">
        <f aca="false">$AP55*BI55</f>
        <v>#NAME?</v>
      </c>
      <c r="BX55" s="9" t="n">
        <f aca="false">IF($A55&gt;=BZ$32,IF($A55&lt;=BZ$33,$AN55,0),0)</f>
        <v>0</v>
      </c>
      <c r="BY55" s="123" t="n">
        <f aca="false">$B55+$R55+$D$12</f>
        <v>5.411</v>
      </c>
      <c r="BZ55" s="123" t="n">
        <f aca="false">$B55+$S55+$D$13</f>
        <v>4.091</v>
      </c>
      <c r="CA55" s="123" t="n">
        <f aca="false">BY55*BX55</f>
        <v>0</v>
      </c>
      <c r="CB55" s="123" t="n">
        <f aca="false">BZ55*BX55</f>
        <v>0</v>
      </c>
      <c r="CC55" s="156" t="n">
        <f aca="false">($C55*$T55)+$D$14</f>
        <v>0.40425</v>
      </c>
      <c r="CD55" s="156" t="n">
        <f aca="false">($C55*$U55)+$D$15</f>
        <v>0.3675</v>
      </c>
      <c r="CE55" s="131" t="n">
        <f aca="false">$V55+D$16</f>
        <v>0.95</v>
      </c>
      <c r="CF55" s="157" t="n">
        <f aca="false">IF(BX55=0,0,SPRDOPT(BY55,BZ55,$W55,$AM55,CC55,CD55,CE55,$F55,$D$19,0))</f>
        <v>0</v>
      </c>
      <c r="CG55" s="157" t="e">
        <f aca="false">IF(BY55=0,0,SPRDOPT(BY55,BZ55,$W55,$AM55,CC55,CD55,CE55,$F55,$D$19,1))</f>
        <v>#NAME?</v>
      </c>
      <c r="CH55" s="157" t="e">
        <f aca="false">IF(BZ55=0,0,SPRDOPT(BY55,BZ55,$W55,$AM55,CC55,CD55,CE55,$F55,$D$19,2))</f>
        <v>#NAME?</v>
      </c>
      <c r="CI55" s="157" t="n">
        <f aca="false">IF(CA55=0,0,SPRDOPT(BY55,BZ55,$W55,$AM55,CC55,CD55,CE55,$F55,$D$19,3)/100)</f>
        <v>0</v>
      </c>
      <c r="CJ55" s="157" t="n">
        <f aca="false">IF(CB55=0,0,SPRDOPT(BY55,BZ55,$W55,$AM55,CC55,CD55,CE55,$F55,$D$19,4)/100)</f>
        <v>0</v>
      </c>
      <c r="CK55" s="157" t="e">
        <f aca="false">IF(CC55=0,0,SPRDOPT(BY55,BZ55,$W55,$AM55,CC55,CD55,CE55,$F55,$D$19,5)/100)</f>
        <v>#NAME?</v>
      </c>
      <c r="CL55" s="157" t="e">
        <f aca="false">IF(CD55=0,0,SPRDOPT(BY55,BZ55,$W55,$AM55,CC55,CD55,CE55,$F55,$D$19,6)/100)</f>
        <v>#NAME?</v>
      </c>
      <c r="CM55" s="157" t="e">
        <f aca="false">IF(CE55=0,0,SPRDOPT(BY55,BZ55,$W55,$AM55,CC55,CD55,CE55,$F55,$D$19,7)/100)</f>
        <v>#NAME?</v>
      </c>
      <c r="CN55" s="157" t="n">
        <f aca="false">IF(CF55=0,0,SPRDOPT(BY55,BZ55,$W55,$AM55,CC55,CD55,CE55,$F55,$D$19,9)/365)</f>
        <v>0</v>
      </c>
      <c r="CO55" s="157" t="e">
        <f aca="false">CG55+CH55</f>
        <v>#NAME?</v>
      </c>
      <c r="CP55" s="157" t="n">
        <f aca="false">CJ55-CI55</f>
        <v>0</v>
      </c>
      <c r="CQ55" s="157" t="e">
        <f aca="false">((CC55/CD55)*CK55)+CL55</f>
        <v>#NAME?</v>
      </c>
      <c r="CR55" s="44"/>
      <c r="CS55" s="45" t="n">
        <f aca="false">BX55*CF55</f>
        <v>0</v>
      </c>
      <c r="CT55" s="45" t="e">
        <f aca="false">BX55*CG55</f>
        <v>#NAME?</v>
      </c>
      <c r="CU55" s="45" t="e">
        <f aca="false">BX55*CH55</f>
        <v>#NAME?</v>
      </c>
      <c r="CV55" s="45" t="n">
        <f aca="false">BX55*CI55</f>
        <v>0</v>
      </c>
      <c r="CW55" s="45" t="n">
        <f aca="false">BX55*CJ55</f>
        <v>0</v>
      </c>
      <c r="CX55" s="45" t="e">
        <f aca="false">BX55*CK55</f>
        <v>#NAME?</v>
      </c>
      <c r="CY55" s="45" t="e">
        <f aca="false">BX55*CL55</f>
        <v>#NAME?</v>
      </c>
      <c r="CZ55" s="45" t="e">
        <f aca="false">BX55*CM55</f>
        <v>#NAME?</v>
      </c>
      <c r="DA55" s="45" t="n">
        <f aca="false">BX55*CN55</f>
        <v>0</v>
      </c>
      <c r="DB55" s="45" t="e">
        <f aca="false">BX55*CO55</f>
        <v>#NAME?</v>
      </c>
      <c r="DC55" s="45" t="n">
        <f aca="false">BX55*CP55</f>
        <v>0</v>
      </c>
      <c r="DD55" s="45" t="e">
        <f aca="false">BX55*CQ55</f>
        <v>#NAME?</v>
      </c>
      <c r="DF55" s="9" t="n">
        <f aca="false">IF($A55&gt;=DH$32,IF($A55&lt;=DH$33,$AN55,0),0)</f>
        <v>0</v>
      </c>
      <c r="DG55" s="123" t="n">
        <f aca="false">$B55+$Y55+$F$12</f>
        <v>3.766</v>
      </c>
      <c r="DH55" s="123" t="n">
        <f aca="false">$B55+$Z55+$F$13</f>
        <v>4.091</v>
      </c>
      <c r="DI55" s="123" t="n">
        <f aca="false">DG55*DF55</f>
        <v>0</v>
      </c>
      <c r="DJ55" s="123" t="n">
        <f aca="false">DH55*DF55</f>
        <v>0</v>
      </c>
      <c r="DK55" s="156" t="n">
        <f aca="false">($C55*$AA55)+$F$14</f>
        <v>0.356475</v>
      </c>
      <c r="DL55" s="156" t="n">
        <f aca="false">($C55*$AB55)+$F$15</f>
        <v>0.3675</v>
      </c>
      <c r="DM55" s="131" t="n">
        <f aca="false">$AC55+$F$16</f>
        <v>0.974</v>
      </c>
      <c r="DN55" s="157" t="n">
        <f aca="false">IF(DF55=0,0,SPRDOPT(DG55,DH55,$AD55,$AM55,DK55,DL55,DM55,$F55,$F$19,0))</f>
        <v>0</v>
      </c>
      <c r="DO55" s="157" t="e">
        <f aca="false">IF(DG55=0,0,SPRDOPT(DG55,DH55,$AD55,$AM55,DK55,DL55,DM55,$F55,$F$19,1))</f>
        <v>#NAME?</v>
      </c>
      <c r="DP55" s="157" t="e">
        <f aca="false">IF(DH55=0,0,SPRDOPT(DG55,DH55,$AD55,$AM55,DK55,DL55,DM55,$F55,$F$19,2))</f>
        <v>#NAME?</v>
      </c>
      <c r="DQ55" s="157" t="n">
        <f aca="false">IF(DI55=0,0,SPRDOPT(DG55,DH55,$AD55,$AM55,DK55,DL55,DM55,$F55,$F$19,3)/100)</f>
        <v>0</v>
      </c>
      <c r="DR55" s="157" t="n">
        <f aca="false">IF(DJ55=0,0,SPRDOPT(DG55,DH55,$AD55,$AM55,DK55,DL55,DM55,$F55,$F$19,4)/100)</f>
        <v>0</v>
      </c>
      <c r="DS55" s="157" t="e">
        <f aca="false">IF(DK55=0,0,SPRDOPT(DG55,DH55,$AD55,$AM55,DK55,DL55,DM55,$F55,$F$19,5)/100)</f>
        <v>#NAME?</v>
      </c>
      <c r="DT55" s="157" t="e">
        <f aca="false">IF(DL55=0,0,SPRDOPT(DG55,DH55,$AD55,$AM55,DK55,DL55,DM55,$F55,$F$19,6)/100)</f>
        <v>#NAME?</v>
      </c>
      <c r="DU55" s="157" t="e">
        <f aca="false">IF(DM55=0,0,SPRDOPT(DG55,DH55,$AD55,$AM55,DK55,DL55,DM55,$F55,$F$19,7)/100)</f>
        <v>#NAME?</v>
      </c>
      <c r="DV55" s="157" t="n">
        <f aca="false">IF(DN55=0,0,SPRDOPT(DG55,DH55,$AD55,$AM55,DK55,DL55,DM55,$F55,$F$19,9)/365)</f>
        <v>0</v>
      </c>
      <c r="DW55" s="157" t="e">
        <f aca="false">DO55+DP55</f>
        <v>#NAME?</v>
      </c>
      <c r="DX55" s="157" t="n">
        <f aca="false">DR55-DQ55</f>
        <v>0</v>
      </c>
      <c r="DY55" s="157" t="e">
        <f aca="false">((DK55/DL55)*DS55)+DT55</f>
        <v>#NAME?</v>
      </c>
      <c r="DZ55" s="44"/>
      <c r="EA55" s="45" t="n">
        <f aca="false">DF55*DN55</f>
        <v>0</v>
      </c>
      <c r="EB55" s="45" t="e">
        <f aca="false">DF55*DO55</f>
        <v>#NAME?</v>
      </c>
      <c r="EC55" s="45" t="e">
        <f aca="false">DF55*DP55</f>
        <v>#NAME?</v>
      </c>
      <c r="ED55" s="45" t="n">
        <f aca="false">DF55*DQ55</f>
        <v>0</v>
      </c>
      <c r="EE55" s="45" t="n">
        <f aca="false">DF55*DR55</f>
        <v>0</v>
      </c>
      <c r="EF55" s="45" t="e">
        <f aca="false">DF55*DS55</f>
        <v>#NAME?</v>
      </c>
      <c r="EG55" s="45" t="e">
        <f aca="false">DF55*DT55</f>
        <v>#NAME?</v>
      </c>
      <c r="EH55" s="45" t="e">
        <f aca="false">DF55*DU55</f>
        <v>#NAME?</v>
      </c>
      <c r="EI55" s="45" t="n">
        <f aca="false">DF55*DV55</f>
        <v>0</v>
      </c>
      <c r="EJ55" s="45" t="e">
        <f aca="false">DF55*DW55</f>
        <v>#NAME?</v>
      </c>
      <c r="EK55" s="45" t="n">
        <f aca="false">DF55*DX55</f>
        <v>0</v>
      </c>
      <c r="EL55" s="45" t="e">
        <f aca="false">DF55*DY55</f>
        <v>#NAME?</v>
      </c>
      <c r="EN55" s="9" t="n">
        <f aca="false">IF($A55&gt;=EP$32,IF($A55&lt;=EP$33,$AN55,0),0)</f>
        <v>0</v>
      </c>
      <c r="EO55" s="123" t="n">
        <f aca="false">$B55+$AF55+$H$12</f>
        <v>4.0585</v>
      </c>
      <c r="EP55" s="123" t="n">
        <f aca="false">$B55+$AG55+$H$13</f>
        <v>4.091</v>
      </c>
      <c r="EQ55" s="123" t="n">
        <f aca="false">EO55*EN55</f>
        <v>0</v>
      </c>
      <c r="ER55" s="123" t="n">
        <f aca="false">EP55*EN55</f>
        <v>0</v>
      </c>
      <c r="ES55" s="156" t="n">
        <f aca="false">($C55*$AH55)+$H$14</f>
        <v>0.3675</v>
      </c>
      <c r="ET55" s="156" t="n">
        <f aca="false">($C55*$AI55)+$H$15</f>
        <v>0.3675</v>
      </c>
      <c r="EU55" s="131" t="n">
        <f aca="false">$AJ55+$H$16</f>
        <v>0.998</v>
      </c>
      <c r="EV55" s="157" t="n">
        <f aca="false">IF(EN55=0,0,SPRDOPT(EO55,EP55,$AK55,$AM55,ES55,ET55,EU55,$F55,$H$19,0))</f>
        <v>0</v>
      </c>
      <c r="EW55" s="157" t="e">
        <f aca="false">IF(EO55=0,0,SPRDOPT(EO55,EP55,$AK55,$AM55,ES55,ET55,EU55,$F55,$H$19,1))</f>
        <v>#NAME?</v>
      </c>
      <c r="EX55" s="157" t="e">
        <f aca="false">IF(EP55=0,0,SPRDOPT(EO55,EP55,$AK55,$AM55,ES55,ET55,EU55,$F55,$H$19,2))</f>
        <v>#NAME?</v>
      </c>
      <c r="EY55" s="157" t="n">
        <f aca="false">IF(EQ55=0,0,SPRDOPT(EO55,EP55,$AK55,$AM55,ES55,ET55,EU55,$F55,$H$19,3)/100)</f>
        <v>0</v>
      </c>
      <c r="EZ55" s="157" t="n">
        <f aca="false">IF(ER55=0,0,SPRDOPT(EO55,EP55,$AK55,$AM55,ES55,ET55,EU55,$F55,$H$19,4)/100)</f>
        <v>0</v>
      </c>
      <c r="FA55" s="157" t="e">
        <f aca="false">IF(ES55=0,0,SPRDOPT(EO55,EP55,$AK55,$AM55,ES55,ET55,EU55,$F55,$H$19,5)/100)</f>
        <v>#NAME?</v>
      </c>
      <c r="FB55" s="157" t="e">
        <f aca="false">IF(ET55=0,0,SPRDOPT(EO55,EP55,$AK55,$AM55,ES55,ET55,EU55,$F55,$H$19,6)/100)</f>
        <v>#NAME?</v>
      </c>
      <c r="FC55" s="157" t="e">
        <f aca="false">IF(EU55=0,0,SPRDOPT(EO55,EP55,$AK55,$AM55,ES55,ET55,EU55,$F55,$H$19,7)/100)</f>
        <v>#NAME?</v>
      </c>
      <c r="FD55" s="157" t="n">
        <f aca="false">IF(EV55=0,0,SPRDOPT(EO55,EP55,$AK55,$AM55,ES55,ET55,EU55,$F55,$H$19,9)/365)</f>
        <v>0</v>
      </c>
      <c r="FE55" s="157" t="e">
        <f aca="false">EW55+EX55</f>
        <v>#NAME?</v>
      </c>
      <c r="FF55" s="157" t="n">
        <f aca="false">EZ55-EY55</f>
        <v>0</v>
      </c>
      <c r="FG55" s="157" t="e">
        <f aca="false">((ES55/ET55)*FA55)+FB55</f>
        <v>#NAME?</v>
      </c>
      <c r="FH55" s="44"/>
      <c r="FI55" s="45" t="n">
        <f aca="false">$EN55*EV55</f>
        <v>0</v>
      </c>
      <c r="FJ55" s="45" t="e">
        <f aca="false">$EN55*EW55</f>
        <v>#NAME?</v>
      </c>
      <c r="FK55" s="45" t="e">
        <f aca="false">$EN55*EX55</f>
        <v>#NAME?</v>
      </c>
      <c r="FL55" s="45" t="n">
        <f aca="false">$EN55*EY55</f>
        <v>0</v>
      </c>
      <c r="FM55" s="45" t="n">
        <f aca="false">$EN55*EZ55</f>
        <v>0</v>
      </c>
      <c r="FN55" s="45" t="e">
        <f aca="false">$EN55*FA55</f>
        <v>#NAME?</v>
      </c>
      <c r="FO55" s="45" t="e">
        <f aca="false">$EN55*FB55</f>
        <v>#NAME?</v>
      </c>
      <c r="FP55" s="45" t="e">
        <f aca="false">$EN55*FC55</f>
        <v>#NAME?</v>
      </c>
      <c r="FQ55" s="45" t="n">
        <f aca="false">$EN55*FD55</f>
        <v>0</v>
      </c>
      <c r="FR55" s="45" t="e">
        <f aca="false">$EN55*FE55</f>
        <v>#NAME?</v>
      </c>
      <c r="FS55" s="45" t="n">
        <f aca="false">$EN55*FF55</f>
        <v>0</v>
      </c>
      <c r="FT55" s="45" t="e">
        <f aca="false">$EN55*FG55</f>
        <v>#NAME?</v>
      </c>
    </row>
    <row r="56" customFormat="false" ht="12.75" hidden="false" customHeight="false" outlineLevel="0" collapsed="false">
      <c r="A56" s="48" t="n">
        <f aca="false">DATE(YEAR(A55),MONTH(A55)+1,1)</f>
        <v>37347</v>
      </c>
      <c r="B56" s="40" t="n">
        <f aca="false">VLOOKUP(A56,STRADDLE,5,FALSE())</f>
        <v>3.81</v>
      </c>
      <c r="C56" s="4" t="n">
        <f aca="false">VLOOKUP(A56,STRADDLE,8,FALSE())</f>
        <v>0.3075</v>
      </c>
      <c r="D56" s="40"/>
      <c r="E56" s="131"/>
      <c r="F56" s="136" t="n">
        <f aca="false">VLOOKUP(A56,expiration,2,FALSE())-$B$2</f>
        <v>-8585</v>
      </c>
      <c r="G56" s="4"/>
      <c r="H56" s="4"/>
      <c r="I56" s="41"/>
      <c r="J56" s="154"/>
      <c r="K56" s="40" t="n">
        <f aca="false">IF($B$3="NYMEX",0,VLOOKUP($A56,curvesettle,HLOOKUP($B$3,curvesettle,2,FALSE()),FALSE()))</f>
        <v>0.45</v>
      </c>
      <c r="L56" s="40" t="n">
        <f aca="false">IF($B$4="NYMEX",0,VLOOKUP($A56,curvesettle,HLOOKUP($B$4,curvesettle,2,FALSE()),FALSE()))</f>
        <v>0</v>
      </c>
      <c r="M56" s="131" t="n">
        <f aca="false">IF(ISNUMBER(VLOOKUP($A56,VOLCURVES,HLOOKUP($B$3,VOLCURVES,2,FALSE()),FALSE())),VLOOKUP($A56,VOLCURVES,HLOOKUP($B$3,VOLCURVES,2,FALSE()),FALSE()),1)</f>
        <v>0.98</v>
      </c>
      <c r="N56" s="131" t="n">
        <f aca="false">IF(ISNUMBER(VLOOKUP($A56,VOLCURVES,HLOOKUP($B$4,VOLCURVES,2,FALSE()),FALSE())),VLOOKUP($A56,VOLCURVES,HLOOKUP($B$4,VOLCURVES,2,FALSE()),FALSE()),1)</f>
        <v>1</v>
      </c>
      <c r="O56" s="131" t="n">
        <f aca="false">IF(ISNUMBER(VLOOKUP($A56,CORETABLE,HLOOKUP($B$3,CORETABLE,2,FALSE()),FALSE())),VLOOKUP($A56,CORETABLE,HLOOKUP($B$3,CORETABLE,2,FALSE()),FALSE()),0.99)</f>
        <v>0.980420749757432</v>
      </c>
      <c r="P56" s="155" t="n">
        <f aca="false">B$18</f>
        <v>2</v>
      </c>
      <c r="Q56" s="131"/>
      <c r="R56" s="40" t="n">
        <f aca="false">IF($D$3="NYMEX",0,VLOOKUP($A56,curvesettle,HLOOKUP($D$3,curvesettle,2,FALSE()),FALSE()))</f>
        <v>0.45</v>
      </c>
      <c r="S56" s="40" t="n">
        <f aca="false">IF($D$4="NYMEX",0,VLOOKUP($A56,curvesettle,HLOOKUP($D$4,curvesettle,2,FALSE()),FALSE()))</f>
        <v>0</v>
      </c>
      <c r="T56" s="131" t="n">
        <f aca="false">IF(ISNUMBER(VLOOKUP($A56,VOLCURVES,HLOOKUP($D$3,VOLCURVES,2,FALSE()),FALSE())),VLOOKUP($A56,VOLCURVES,HLOOKUP($D$3,VOLCURVES,2,FALSE()),FALSE()),1)</f>
        <v>0.98</v>
      </c>
      <c r="U56" s="131" t="n">
        <f aca="false">IF(ISNUMBER(VLOOKUP($A56,VOLCURVES,HLOOKUP($D$4,VOLCURVES,2,FALSE()),FALSE())),VLOOKUP($A56,VOLCURVES,HLOOKUP($D$4,VOLCURVES,2,FALSE()),FALSE()),1)</f>
        <v>1</v>
      </c>
      <c r="V56" s="131" t="n">
        <f aca="false">IF(ISNUMBER(VLOOKUP($A56,CORETABLE,HLOOKUP($D$3,CORETABLE,2,FALSE()),FALSE())),VLOOKUP($A56,CORETABLE,HLOOKUP($D$3,CORETABLE,2,FALSE()),FALSE()),0.99)</f>
        <v>0.980420749757432</v>
      </c>
      <c r="W56" s="155" t="n">
        <f aca="false">D$18</f>
        <v>2.5</v>
      </c>
      <c r="X56" s="131"/>
      <c r="Y56" s="40" t="n">
        <f aca="false">IF($F$3="NYMEX",0,VLOOKUP($A56,curvesettle,HLOOKUP($F$3,curvesettle,2,FALSE()),FALSE()))</f>
        <v>-0.535</v>
      </c>
      <c r="Z56" s="40" t="n">
        <f aca="false">IF($F$4="NYMEX",0,VLOOKUP($A56,curvesettle,HLOOKUP($F$4,curvesettle,2,FALSE()),FALSE()))</f>
        <v>0</v>
      </c>
      <c r="AA56" s="131" t="n">
        <f aca="false">IF(ISNUMBER(VLOOKUP($A56,VOLCURVES,HLOOKUP($F$3,VOLCURVES,2,FALSE()),FALSE())),VLOOKUP($A56,VOLCURVES,HLOOKUP($F$3,VOLCURVES,2,FALSE()),FALSE()),1)</f>
        <v>1</v>
      </c>
      <c r="AB56" s="131" t="n">
        <f aca="false">IF(ISNUMBER(VLOOKUP($A56,VOLCURVES,HLOOKUP($F$4,VOLCURVES,2,FALSE()),FALSE())),VLOOKUP($A56,VOLCURVES,HLOOKUP($F$4,VOLCURVES,2,FALSE()),FALSE()),1)</f>
        <v>1</v>
      </c>
      <c r="AC56" s="131" t="n">
        <f aca="false">IF(ISNUMBER(VLOOKUP($A56,CORETABLE,HLOOKUP($F$3,CORETABLE,2,FALSE()),FALSE())),VLOOKUP($A56,CORETABLE,HLOOKUP($F$3,CORETABLE,2,FALSE()),FALSE()),1)</f>
        <v>0.96</v>
      </c>
      <c r="AD56" s="155" t="n">
        <f aca="false">F$18</f>
        <v>-0.05</v>
      </c>
      <c r="AE56" s="131"/>
      <c r="AF56" s="40" t="n">
        <f aca="false">IF($H$3="NYMEX",0,VLOOKUP($A56,curvesettle,HLOOKUP($H$3,curvesettle,2,FALSE()),FALSE()))</f>
        <v>0.015</v>
      </c>
      <c r="AG56" s="40" t="n">
        <f aca="false">IF($H$4="NYMEX",0,VLOOKUP($A56,curvesettle,HLOOKUP($H$4,curvesettle,2,FALSE()),FALSE()))</f>
        <v>0</v>
      </c>
      <c r="AH56" s="131" t="n">
        <f aca="false">IF(ISNUMBER(VLOOKUP($A56,VOLCURVES,HLOOKUP($H$3,VOLCURVES,2,FALSE()),FALSE())),VLOOKUP($A56,VOLCURVES,HLOOKUP($H$3,VOLCURVES,2,FALSE()),FALSE()),1)</f>
        <v>1</v>
      </c>
      <c r="AI56" s="131" t="n">
        <f aca="false">IF(ISNUMBER(VLOOKUP($A56,VOLCURVES,HLOOKUP($H$4,VOLCURVES,2,FALSE()),FALSE())),VLOOKUP($A56,VOLCURVES,HLOOKUP($H$4,VOLCURVES,2,FALSE()),FALSE()),1)</f>
        <v>1</v>
      </c>
      <c r="AJ56" s="131" t="n">
        <f aca="false">IF(ISNUMBER(VLOOKUP($A56,CORETABLE,HLOOKUP($H$3,CORETABLE,2,FALSE()),FALSE())),VLOOKUP($A56,CORETABLE,HLOOKUP($H$3,CORETABLE,2,FALSE()),FALSE()),1)</f>
        <v>0.999</v>
      </c>
      <c r="AK56" s="155" t="n">
        <f aca="false">H$18</f>
        <v>-0.05</v>
      </c>
      <c r="AM56" s="4" t="n">
        <f aca="false">VLOOKUP($A56,STRADDLE,12,FALSE())</f>
        <v>0.067312742785332</v>
      </c>
      <c r="AN56" s="43" t="n">
        <f aca="false">A57-A56</f>
        <v>30</v>
      </c>
      <c r="AP56" s="9" t="n">
        <f aca="false">IF($A56&gt;=AR$32,IF($A56&lt;=AR$33,$AN56,0),0)</f>
        <v>0</v>
      </c>
      <c r="AQ56" s="123" t="n">
        <f aca="false">$B56+$K56+$B$12</f>
        <v>4.29</v>
      </c>
      <c r="AR56" s="123" t="n">
        <f aca="false">$B56+$L56+$B$13</f>
        <v>3.81</v>
      </c>
      <c r="AS56" s="123" t="n">
        <f aca="false">AQ56*AP56</f>
        <v>0</v>
      </c>
      <c r="AT56" s="123" t="n">
        <f aca="false">AR56*AP56</f>
        <v>0</v>
      </c>
      <c r="AU56" s="156" t="n">
        <f aca="false">($C56*$M56)+$B$14</f>
        <v>0.30135</v>
      </c>
      <c r="AV56" s="156" t="n">
        <f aca="false">($C56*$N56)+$B$15</f>
        <v>0.3075</v>
      </c>
      <c r="AW56" s="131" t="n">
        <f aca="false">O56+B$16</f>
        <v>0.980420749757432</v>
      </c>
      <c r="AX56" s="157" t="n">
        <f aca="false">IF(AP56=0,0,SPRDOPT(AQ56,AR56,$P56,$AM56,AU56,AV56,AW56,$F56,$B$19,0))</f>
        <v>0</v>
      </c>
      <c r="AY56" s="157" t="e">
        <f aca="false">IF(AQ56=0,0,SPRDOPT(AQ56,AR56,$P56,$AM56,AU56,AV56,AW56,$F56,$B$19,1))</f>
        <v>#NAME?</v>
      </c>
      <c r="AZ56" s="157" t="e">
        <f aca="false">IF(AR56=0,0,SPRDOPT(AQ56,AR56,$P56,$AM56,AU56,AV56,AW56,$F56,$B$19,2))</f>
        <v>#NAME?</v>
      </c>
      <c r="BA56" s="157" t="n">
        <f aca="false">IF(AS56=0,0,SPRDOPT(AQ56,AR56,$P56,$AM56,AU56,AV56,AW56,$F56,$B$19,3)/100)</f>
        <v>0</v>
      </c>
      <c r="BB56" s="157" t="n">
        <f aca="false">IF(AT56=0,0,SPRDOPT(AQ56,AR56,$P56,$AM56,AU56,AV56,AW56,$F56,$B$19,4)/100)</f>
        <v>0</v>
      </c>
      <c r="BC56" s="157" t="e">
        <f aca="false">IF(AU56=0,0,SPRDOPT(AQ56,AR56,$P56,$AM56,AU56,AV56,AW56,$F56,$B$19,5)/100)</f>
        <v>#NAME?</v>
      </c>
      <c r="BD56" s="157" t="e">
        <f aca="false">IF(AV56=0,0,SPRDOPT(AQ56,AR56,$P56,$AM56,AU56,AV56,AW56,$F56,$B$19,6)/100)</f>
        <v>#NAME?</v>
      </c>
      <c r="BE56" s="157" t="e">
        <f aca="false">IF(AW56=0,0,SPRDOPT(AQ56,AR56,$P56,$AM56,AU56,AV56,AW56,$F56,$B$19,7)/100)</f>
        <v>#NAME?</v>
      </c>
      <c r="BF56" s="157" t="n">
        <f aca="false">IF(AX56=0,0,SPRDOPT(AQ56,AR56,$P56,$AM56,AU56,AV56,AW56,$F56,$B$19,9)/365)</f>
        <v>0</v>
      </c>
      <c r="BG56" s="157" t="e">
        <f aca="false">AY56+AZ56</f>
        <v>#NAME?</v>
      </c>
      <c r="BH56" s="157" t="n">
        <f aca="false">BB56-BA56</f>
        <v>0</v>
      </c>
      <c r="BI56" s="157" t="e">
        <f aca="false">((AU56/AV56)*BC56)+BD56</f>
        <v>#NAME?</v>
      </c>
      <c r="BJ56" s="44"/>
      <c r="BK56" s="45" t="n">
        <f aca="false">$AP56*AX56</f>
        <v>0</v>
      </c>
      <c r="BL56" s="45" t="e">
        <f aca="false">$AP56*AY56</f>
        <v>#NAME?</v>
      </c>
      <c r="BM56" s="45" t="e">
        <f aca="false">$AP56*AZ56</f>
        <v>#NAME?</v>
      </c>
      <c r="BN56" s="45" t="n">
        <f aca="false">$AP56*BA56</f>
        <v>0</v>
      </c>
      <c r="BO56" s="45" t="n">
        <f aca="false">$AP56*BB56</f>
        <v>0</v>
      </c>
      <c r="BP56" s="45" t="e">
        <f aca="false">$AP56*BC56</f>
        <v>#NAME?</v>
      </c>
      <c r="BQ56" s="45" t="e">
        <f aca="false">$AP56*BD56</f>
        <v>#NAME?</v>
      </c>
      <c r="BR56" s="45" t="e">
        <f aca="false">$AP56*BE56</f>
        <v>#NAME?</v>
      </c>
      <c r="BS56" s="45" t="n">
        <f aca="false">$AP56*BF56</f>
        <v>0</v>
      </c>
      <c r="BT56" s="45" t="e">
        <f aca="false">$AP56*BG56</f>
        <v>#NAME?</v>
      </c>
      <c r="BU56" s="45" t="n">
        <f aca="false">$AP56*BH56</f>
        <v>0</v>
      </c>
      <c r="BV56" s="45" t="e">
        <f aca="false">$AP56*BI56</f>
        <v>#NAME?</v>
      </c>
      <c r="BX56" s="9" t="n">
        <f aca="false">IF($A56&gt;=BZ$32,IF($A56&lt;=BZ$33,$AN56,0),0)</f>
        <v>0</v>
      </c>
      <c r="BY56" s="123" t="n">
        <f aca="false">$B56+$R56+$D$12</f>
        <v>4.29</v>
      </c>
      <c r="BZ56" s="123" t="n">
        <f aca="false">$B56+$S56+$D$13</f>
        <v>3.81</v>
      </c>
      <c r="CA56" s="123" t="n">
        <f aca="false">BY56*BX56</f>
        <v>0</v>
      </c>
      <c r="CB56" s="123" t="n">
        <f aca="false">BZ56*BX56</f>
        <v>0</v>
      </c>
      <c r="CC56" s="156" t="n">
        <f aca="false">($C56*$T56)+$D$14</f>
        <v>0.30135</v>
      </c>
      <c r="CD56" s="156" t="n">
        <f aca="false">($C56*$U56)+$D$15</f>
        <v>0.3075</v>
      </c>
      <c r="CE56" s="131" t="n">
        <f aca="false">$V56+D$16</f>
        <v>0.980420749757432</v>
      </c>
      <c r="CF56" s="157" t="n">
        <f aca="false">IF(BX56=0,0,SPRDOPT(BY56,BZ56,$W56,$AM56,CC56,CD56,CE56,$F56,$D$19,0))</f>
        <v>0</v>
      </c>
      <c r="CG56" s="157" t="e">
        <f aca="false">IF(BY56=0,0,SPRDOPT(BY56,BZ56,$W56,$AM56,CC56,CD56,CE56,$F56,$D$19,1))</f>
        <v>#NAME?</v>
      </c>
      <c r="CH56" s="157" t="e">
        <f aca="false">IF(BZ56=0,0,SPRDOPT(BY56,BZ56,$W56,$AM56,CC56,CD56,CE56,$F56,$D$19,2))</f>
        <v>#NAME?</v>
      </c>
      <c r="CI56" s="157" t="n">
        <f aca="false">IF(CA56=0,0,SPRDOPT(BY56,BZ56,$W56,$AM56,CC56,CD56,CE56,$F56,$D$19,3)/100)</f>
        <v>0</v>
      </c>
      <c r="CJ56" s="157" t="n">
        <f aca="false">IF(CB56=0,0,SPRDOPT(BY56,BZ56,$W56,$AM56,CC56,CD56,CE56,$F56,$D$19,4)/100)</f>
        <v>0</v>
      </c>
      <c r="CK56" s="157" t="e">
        <f aca="false">IF(CC56=0,0,SPRDOPT(BY56,BZ56,$W56,$AM56,CC56,CD56,CE56,$F56,$D$19,5)/100)</f>
        <v>#NAME?</v>
      </c>
      <c r="CL56" s="157" t="e">
        <f aca="false">IF(CD56=0,0,SPRDOPT(BY56,BZ56,$W56,$AM56,CC56,CD56,CE56,$F56,$D$19,6)/100)</f>
        <v>#NAME?</v>
      </c>
      <c r="CM56" s="157" t="e">
        <f aca="false">IF(CE56=0,0,SPRDOPT(BY56,BZ56,$W56,$AM56,CC56,CD56,CE56,$F56,$D$19,7)/100)</f>
        <v>#NAME?</v>
      </c>
      <c r="CN56" s="157" t="n">
        <f aca="false">IF(CF56=0,0,SPRDOPT(BY56,BZ56,$W56,$AM56,CC56,CD56,CE56,$F56,$D$19,9)/365)</f>
        <v>0</v>
      </c>
      <c r="CO56" s="157" t="e">
        <f aca="false">CG56+CH56</f>
        <v>#NAME?</v>
      </c>
      <c r="CP56" s="157" t="n">
        <f aca="false">CJ56-CI56</f>
        <v>0</v>
      </c>
      <c r="CQ56" s="157" t="e">
        <f aca="false">((CC56/CD56)*CK56)+CL56</f>
        <v>#NAME?</v>
      </c>
      <c r="CR56" s="44"/>
      <c r="CS56" s="45" t="n">
        <f aca="false">BX56*CF56</f>
        <v>0</v>
      </c>
      <c r="CT56" s="45" t="e">
        <f aca="false">BX56*CG56</f>
        <v>#NAME?</v>
      </c>
      <c r="CU56" s="45" t="e">
        <f aca="false">BX56*CH56</f>
        <v>#NAME?</v>
      </c>
      <c r="CV56" s="45" t="n">
        <f aca="false">BX56*CI56</f>
        <v>0</v>
      </c>
      <c r="CW56" s="45" t="n">
        <f aca="false">BX56*CJ56</f>
        <v>0</v>
      </c>
      <c r="CX56" s="45" t="e">
        <f aca="false">BX56*CK56</f>
        <v>#NAME?</v>
      </c>
      <c r="CY56" s="45" t="e">
        <f aca="false">BX56*CL56</f>
        <v>#NAME?</v>
      </c>
      <c r="CZ56" s="45" t="e">
        <f aca="false">BX56*CM56</f>
        <v>#NAME?</v>
      </c>
      <c r="DA56" s="45" t="n">
        <f aca="false">BX56*CN56</f>
        <v>0</v>
      </c>
      <c r="DB56" s="45" t="e">
        <f aca="false">BX56*CO56</f>
        <v>#NAME?</v>
      </c>
      <c r="DC56" s="45" t="n">
        <f aca="false">BX56*CP56</f>
        <v>0</v>
      </c>
      <c r="DD56" s="45" t="e">
        <f aca="false">BX56*CQ56</f>
        <v>#NAME?</v>
      </c>
      <c r="DF56" s="9" t="n">
        <f aca="false">IF($A56&gt;=DH$32,IF($A56&lt;=DH$33,$AN56,0),0)</f>
        <v>0</v>
      </c>
      <c r="DG56" s="123" t="n">
        <f aca="false">$B56+$Y56+$F$12</f>
        <v>3.28</v>
      </c>
      <c r="DH56" s="123" t="n">
        <f aca="false">$B56+$Z56+$F$13</f>
        <v>3.81</v>
      </c>
      <c r="DI56" s="123" t="n">
        <f aca="false">DG56*DF56</f>
        <v>0</v>
      </c>
      <c r="DJ56" s="123" t="n">
        <f aca="false">DH56*DF56</f>
        <v>0</v>
      </c>
      <c r="DK56" s="156" t="n">
        <f aca="false">($C56*$AA56)+$F$14</f>
        <v>0.3075</v>
      </c>
      <c r="DL56" s="156" t="n">
        <f aca="false">($C56*$AB56)+$F$15</f>
        <v>0.3075</v>
      </c>
      <c r="DM56" s="131" t="n">
        <f aca="false">$AC56+$F$16</f>
        <v>0.974</v>
      </c>
      <c r="DN56" s="157" t="n">
        <f aca="false">IF(DF56=0,0,SPRDOPT(DG56,DH56,$AD56,$AM56,DK56,DL56,DM56,$F56,$F$19,0))</f>
        <v>0</v>
      </c>
      <c r="DO56" s="157" t="e">
        <f aca="false">IF(DG56=0,0,SPRDOPT(DG56,DH56,$AD56,$AM56,DK56,DL56,DM56,$F56,$F$19,1))</f>
        <v>#NAME?</v>
      </c>
      <c r="DP56" s="157" t="e">
        <f aca="false">IF(DH56=0,0,SPRDOPT(DG56,DH56,$AD56,$AM56,DK56,DL56,DM56,$F56,$F$19,2))</f>
        <v>#NAME?</v>
      </c>
      <c r="DQ56" s="157" t="n">
        <f aca="false">IF(DI56=0,0,SPRDOPT(DG56,DH56,$AD56,$AM56,DK56,DL56,DM56,$F56,$F$19,3)/100)</f>
        <v>0</v>
      </c>
      <c r="DR56" s="157" t="n">
        <f aca="false">IF(DJ56=0,0,SPRDOPT(DG56,DH56,$AD56,$AM56,DK56,DL56,DM56,$F56,$F$19,4)/100)</f>
        <v>0</v>
      </c>
      <c r="DS56" s="157" t="e">
        <f aca="false">IF(DK56=0,0,SPRDOPT(DG56,DH56,$AD56,$AM56,DK56,DL56,DM56,$F56,$F$19,5)/100)</f>
        <v>#NAME?</v>
      </c>
      <c r="DT56" s="157" t="e">
        <f aca="false">IF(DL56=0,0,SPRDOPT(DG56,DH56,$AD56,$AM56,DK56,DL56,DM56,$F56,$F$19,6)/100)</f>
        <v>#NAME?</v>
      </c>
      <c r="DU56" s="157" t="e">
        <f aca="false">IF(DM56=0,0,SPRDOPT(DG56,DH56,$AD56,$AM56,DK56,DL56,DM56,$F56,$F$19,7)/100)</f>
        <v>#NAME?</v>
      </c>
      <c r="DV56" s="157" t="n">
        <f aca="false">IF(DN56=0,0,SPRDOPT(DG56,DH56,$AD56,$AM56,DK56,DL56,DM56,$F56,$F$19,9)/365)</f>
        <v>0</v>
      </c>
      <c r="DW56" s="157" t="e">
        <f aca="false">DO56+DP56</f>
        <v>#NAME?</v>
      </c>
      <c r="DX56" s="157" t="n">
        <f aca="false">DR56-DQ56</f>
        <v>0</v>
      </c>
      <c r="DY56" s="157" t="e">
        <f aca="false">((DK56/DL56)*DS56)+DT56</f>
        <v>#NAME?</v>
      </c>
      <c r="DZ56" s="44"/>
      <c r="EA56" s="45" t="n">
        <f aca="false">DF56*DN56</f>
        <v>0</v>
      </c>
      <c r="EB56" s="45" t="e">
        <f aca="false">DF56*DO56</f>
        <v>#NAME?</v>
      </c>
      <c r="EC56" s="45" t="e">
        <f aca="false">DF56*DP56</f>
        <v>#NAME?</v>
      </c>
      <c r="ED56" s="45" t="n">
        <f aca="false">DF56*DQ56</f>
        <v>0</v>
      </c>
      <c r="EE56" s="45" t="n">
        <f aca="false">DF56*DR56</f>
        <v>0</v>
      </c>
      <c r="EF56" s="45" t="e">
        <f aca="false">DF56*DS56</f>
        <v>#NAME?</v>
      </c>
      <c r="EG56" s="45" t="e">
        <f aca="false">DF56*DT56</f>
        <v>#NAME?</v>
      </c>
      <c r="EH56" s="45" t="e">
        <f aca="false">DF56*DU56</f>
        <v>#NAME?</v>
      </c>
      <c r="EI56" s="45" t="n">
        <f aca="false">DF56*DV56</f>
        <v>0</v>
      </c>
      <c r="EJ56" s="45" t="e">
        <f aca="false">DF56*DW56</f>
        <v>#NAME?</v>
      </c>
      <c r="EK56" s="45" t="n">
        <f aca="false">DF56*DX56</f>
        <v>0</v>
      </c>
      <c r="EL56" s="45" t="e">
        <f aca="false">DF56*DY56</f>
        <v>#NAME?</v>
      </c>
      <c r="EN56" s="9" t="n">
        <f aca="false">IF($A56&gt;=EP$32,IF($A56&lt;=EP$33,$AN56,0),0)</f>
        <v>0</v>
      </c>
      <c r="EO56" s="123" t="n">
        <f aca="false">$B56+$AF56+$H$12</f>
        <v>3.825</v>
      </c>
      <c r="EP56" s="123" t="n">
        <f aca="false">$B56+$AG56+$H$13</f>
        <v>3.81</v>
      </c>
      <c r="EQ56" s="123" t="n">
        <f aca="false">EO56*EN56</f>
        <v>0</v>
      </c>
      <c r="ER56" s="123" t="n">
        <f aca="false">EP56*EN56</f>
        <v>0</v>
      </c>
      <c r="ES56" s="156" t="n">
        <f aca="false">($C56*$AH56)+$H$14</f>
        <v>0.3075</v>
      </c>
      <c r="ET56" s="156" t="n">
        <f aca="false">($C56*$AI56)+$H$15</f>
        <v>0.3075</v>
      </c>
      <c r="EU56" s="131" t="n">
        <f aca="false">$AJ56+$H$16</f>
        <v>0.998</v>
      </c>
      <c r="EV56" s="157" t="n">
        <f aca="false">IF(EN56=0,0,SPRDOPT(EO56,EP56,$AK56,$AM56,ES56,ET56,EU56,$F56,$H$19,0))</f>
        <v>0</v>
      </c>
      <c r="EW56" s="157" t="e">
        <f aca="false">IF(EO56=0,0,SPRDOPT(EO56,EP56,$AK56,$AM56,ES56,ET56,EU56,$F56,$H$19,1))</f>
        <v>#NAME?</v>
      </c>
      <c r="EX56" s="157" t="e">
        <f aca="false">IF(EP56=0,0,SPRDOPT(EO56,EP56,$AK56,$AM56,ES56,ET56,EU56,$F56,$H$19,2))</f>
        <v>#NAME?</v>
      </c>
      <c r="EY56" s="157" t="n">
        <f aca="false">IF(EQ56=0,0,SPRDOPT(EO56,EP56,$AK56,$AM56,ES56,ET56,EU56,$F56,$H$19,3)/100)</f>
        <v>0</v>
      </c>
      <c r="EZ56" s="157" t="n">
        <f aca="false">IF(ER56=0,0,SPRDOPT(EO56,EP56,$AK56,$AM56,ES56,ET56,EU56,$F56,$H$19,4)/100)</f>
        <v>0</v>
      </c>
      <c r="FA56" s="157" t="e">
        <f aca="false">IF(ES56=0,0,SPRDOPT(EO56,EP56,$AK56,$AM56,ES56,ET56,EU56,$F56,$H$19,5)/100)</f>
        <v>#NAME?</v>
      </c>
      <c r="FB56" s="157" t="e">
        <f aca="false">IF(ET56=0,0,SPRDOPT(EO56,EP56,$AK56,$AM56,ES56,ET56,EU56,$F56,$H$19,6)/100)</f>
        <v>#NAME?</v>
      </c>
      <c r="FC56" s="157" t="e">
        <f aca="false">IF(EU56=0,0,SPRDOPT(EO56,EP56,$AK56,$AM56,ES56,ET56,EU56,$F56,$H$19,7)/100)</f>
        <v>#NAME?</v>
      </c>
      <c r="FD56" s="157" t="n">
        <f aca="false">IF(EV56=0,0,SPRDOPT(EO56,EP56,$AK56,$AM56,ES56,ET56,EU56,$F56,$H$19,9)/365)</f>
        <v>0</v>
      </c>
      <c r="FE56" s="157" t="e">
        <f aca="false">EW56+EX56</f>
        <v>#NAME?</v>
      </c>
      <c r="FF56" s="157" t="n">
        <f aca="false">EZ56-EY56</f>
        <v>0</v>
      </c>
      <c r="FG56" s="157" t="e">
        <f aca="false">((ES56/ET56)*FA56)+FB56</f>
        <v>#NAME?</v>
      </c>
      <c r="FH56" s="44"/>
      <c r="FI56" s="45" t="n">
        <f aca="false">$EN56*EV56</f>
        <v>0</v>
      </c>
      <c r="FJ56" s="45" t="e">
        <f aca="false">$EN56*EW56</f>
        <v>#NAME?</v>
      </c>
      <c r="FK56" s="45" t="e">
        <f aca="false">$EN56*EX56</f>
        <v>#NAME?</v>
      </c>
      <c r="FL56" s="45" t="n">
        <f aca="false">$EN56*EY56</f>
        <v>0</v>
      </c>
      <c r="FM56" s="45" t="n">
        <f aca="false">$EN56*EZ56</f>
        <v>0</v>
      </c>
      <c r="FN56" s="45" t="e">
        <f aca="false">$EN56*FA56</f>
        <v>#NAME?</v>
      </c>
      <c r="FO56" s="45" t="e">
        <f aca="false">$EN56*FB56</f>
        <v>#NAME?</v>
      </c>
      <c r="FP56" s="45" t="e">
        <f aca="false">$EN56*FC56</f>
        <v>#NAME?</v>
      </c>
      <c r="FQ56" s="45" t="n">
        <f aca="false">$EN56*FD56</f>
        <v>0</v>
      </c>
      <c r="FR56" s="45" t="e">
        <f aca="false">$EN56*FE56</f>
        <v>#NAME?</v>
      </c>
      <c r="FS56" s="45" t="n">
        <f aca="false">$EN56*FF56</f>
        <v>0</v>
      </c>
      <c r="FT56" s="45" t="e">
        <f aca="false">$EN56*FG56</f>
        <v>#NAME?</v>
      </c>
    </row>
    <row r="57" customFormat="false" ht="12.75" hidden="false" customHeight="false" outlineLevel="0" collapsed="false">
      <c r="A57" s="48" t="n">
        <f aca="false">DATE(YEAR(A56),MONTH(A56)+1,1)</f>
        <v>37377</v>
      </c>
      <c r="B57" s="40" t="n">
        <f aca="false">VLOOKUP(A57,STRADDLE,5,FALSE())</f>
        <v>3.71</v>
      </c>
      <c r="C57" s="4" t="n">
        <f aca="false">VLOOKUP(A57,STRADDLE,8,FALSE())</f>
        <v>0.2925</v>
      </c>
      <c r="D57" s="40"/>
      <c r="E57" s="131"/>
      <c r="F57" s="136" t="n">
        <f aca="false">VLOOKUP(A57,expiration,2,FALSE())-$B$2</f>
        <v>-8554</v>
      </c>
      <c r="G57" s="4"/>
      <c r="H57" s="4"/>
      <c r="I57" s="41"/>
      <c r="J57" s="154"/>
      <c r="K57" s="40" t="n">
        <f aca="false">IF($B$3="NYMEX",0,VLOOKUP($A57,curvesettle,HLOOKUP($B$3,curvesettle,2,FALSE()),FALSE()))</f>
        <v>0.405</v>
      </c>
      <c r="L57" s="40" t="n">
        <f aca="false">IF($B$4="NYMEX",0,VLOOKUP($A57,curvesettle,HLOOKUP($B$4,curvesettle,2,FALSE()),FALSE()))</f>
        <v>0</v>
      </c>
      <c r="M57" s="131" t="n">
        <f aca="false">IF(ISNUMBER(VLOOKUP($A57,VOLCURVES,HLOOKUP($B$3,VOLCURVES,2,FALSE()),FALSE())),VLOOKUP($A57,VOLCURVES,HLOOKUP($B$3,VOLCURVES,2,FALSE()),FALSE()),1)</f>
        <v>0.98</v>
      </c>
      <c r="N57" s="131" t="n">
        <f aca="false">IF(ISNUMBER(VLOOKUP($A57,VOLCURVES,HLOOKUP($B$4,VOLCURVES,2,FALSE()),FALSE())),VLOOKUP($A57,VOLCURVES,HLOOKUP($B$4,VOLCURVES,2,FALSE()),FALSE()),1)</f>
        <v>1</v>
      </c>
      <c r="O57" s="131" t="n">
        <f aca="false">IF(ISNUMBER(VLOOKUP($A57,CORETABLE,HLOOKUP($B$3,CORETABLE,2,FALSE()),FALSE())),VLOOKUP($A57,CORETABLE,HLOOKUP($B$3,CORETABLE,2,FALSE()),FALSE()),0.99)</f>
        <v>0.980420749757432</v>
      </c>
      <c r="P57" s="155" t="n">
        <f aca="false">B$18</f>
        <v>2</v>
      </c>
      <c r="Q57" s="131"/>
      <c r="R57" s="40" t="n">
        <f aca="false">IF($D$3="NYMEX",0,VLOOKUP($A57,curvesettle,HLOOKUP($D$3,curvesettle,2,FALSE()),FALSE()))</f>
        <v>0.405</v>
      </c>
      <c r="S57" s="40" t="n">
        <f aca="false">IF($D$4="NYMEX",0,VLOOKUP($A57,curvesettle,HLOOKUP($D$4,curvesettle,2,FALSE()),FALSE()))</f>
        <v>0</v>
      </c>
      <c r="T57" s="131" t="n">
        <f aca="false">IF(ISNUMBER(VLOOKUP($A57,VOLCURVES,HLOOKUP($D$3,VOLCURVES,2,FALSE()),FALSE())),VLOOKUP($A57,VOLCURVES,HLOOKUP($D$3,VOLCURVES,2,FALSE()),FALSE()),1)</f>
        <v>0.98</v>
      </c>
      <c r="U57" s="131" t="n">
        <f aca="false">IF(ISNUMBER(VLOOKUP($A57,VOLCURVES,HLOOKUP($D$4,VOLCURVES,2,FALSE()),FALSE())),VLOOKUP($A57,VOLCURVES,HLOOKUP($D$4,VOLCURVES,2,FALSE()),FALSE()),1)</f>
        <v>1</v>
      </c>
      <c r="V57" s="131" t="n">
        <f aca="false">IF(ISNUMBER(VLOOKUP($A57,CORETABLE,HLOOKUP($D$3,CORETABLE,2,FALSE()),FALSE())),VLOOKUP($A57,CORETABLE,HLOOKUP($D$3,CORETABLE,2,FALSE()),FALSE()),0.99)</f>
        <v>0.980420749757432</v>
      </c>
      <c r="W57" s="155" t="n">
        <f aca="false">D$18</f>
        <v>2.5</v>
      </c>
      <c r="X57" s="131"/>
      <c r="Y57" s="40" t="n">
        <f aca="false">IF($F$3="NYMEX",0,VLOOKUP($A57,curvesettle,HLOOKUP($F$3,curvesettle,2,FALSE()),FALSE()))</f>
        <v>-0.535</v>
      </c>
      <c r="Z57" s="40" t="n">
        <f aca="false">IF($F$4="NYMEX",0,VLOOKUP($A57,curvesettle,HLOOKUP($F$4,curvesettle,2,FALSE()),FALSE()))</f>
        <v>0</v>
      </c>
      <c r="AA57" s="131" t="n">
        <f aca="false">IF(ISNUMBER(VLOOKUP($A57,VOLCURVES,HLOOKUP($F$3,VOLCURVES,2,FALSE()),FALSE())),VLOOKUP($A57,VOLCURVES,HLOOKUP($F$3,VOLCURVES,2,FALSE()),FALSE()),1)</f>
        <v>1</v>
      </c>
      <c r="AB57" s="131" t="n">
        <f aca="false">IF(ISNUMBER(VLOOKUP($A57,VOLCURVES,HLOOKUP($F$4,VOLCURVES,2,FALSE()),FALSE())),VLOOKUP($A57,VOLCURVES,HLOOKUP($F$4,VOLCURVES,2,FALSE()),FALSE()),1)</f>
        <v>1</v>
      </c>
      <c r="AC57" s="131" t="n">
        <f aca="false">IF(ISNUMBER(VLOOKUP($A57,CORETABLE,HLOOKUP($F$3,CORETABLE,2,FALSE()),FALSE())),VLOOKUP($A57,CORETABLE,HLOOKUP($F$3,CORETABLE,2,FALSE()),FALSE()),1)</f>
        <v>0.96</v>
      </c>
      <c r="AD57" s="155" t="n">
        <f aca="false">F$18</f>
        <v>-0.05</v>
      </c>
      <c r="AE57" s="131"/>
      <c r="AF57" s="40" t="n">
        <f aca="false">IF($H$3="NYMEX",0,VLOOKUP($A57,curvesettle,HLOOKUP($H$3,curvesettle,2,FALSE()),FALSE()))</f>
        <v>0.015</v>
      </c>
      <c r="AG57" s="40" t="n">
        <f aca="false">IF($H$4="NYMEX",0,VLOOKUP($A57,curvesettle,HLOOKUP($H$4,curvesettle,2,FALSE()),FALSE()))</f>
        <v>0</v>
      </c>
      <c r="AH57" s="131" t="n">
        <f aca="false">IF(ISNUMBER(VLOOKUP($A57,VOLCURVES,HLOOKUP($H$3,VOLCURVES,2,FALSE()),FALSE())),VLOOKUP($A57,VOLCURVES,HLOOKUP($H$3,VOLCURVES,2,FALSE()),FALSE()),1)</f>
        <v>1</v>
      </c>
      <c r="AI57" s="131" t="n">
        <f aca="false">IF(ISNUMBER(VLOOKUP($A57,VOLCURVES,HLOOKUP($H$4,VOLCURVES,2,FALSE()),FALSE())),VLOOKUP($A57,VOLCURVES,HLOOKUP($H$4,VOLCURVES,2,FALSE()),FALSE()),1)</f>
        <v>1</v>
      </c>
      <c r="AJ57" s="131" t="n">
        <f aca="false">IF(ISNUMBER(VLOOKUP($A57,CORETABLE,HLOOKUP($H$3,CORETABLE,2,FALSE()),FALSE())),VLOOKUP($A57,CORETABLE,HLOOKUP($H$3,CORETABLE,2,FALSE()),FALSE()),1)</f>
        <v>0.999</v>
      </c>
      <c r="AK57" s="155" t="n">
        <f aca="false">H$18</f>
        <v>-0.05</v>
      </c>
      <c r="AM57" s="4" t="n">
        <f aca="false">VLOOKUP($A57,STRADDLE,12,FALSE())</f>
        <v>0.067283554328081</v>
      </c>
      <c r="AN57" s="43" t="n">
        <f aca="false">A58-A57</f>
        <v>31</v>
      </c>
      <c r="AP57" s="9" t="n">
        <f aca="false">IF($A57&gt;=AR$32,IF($A57&lt;=AR$33,$AN57,0),0)</f>
        <v>0</v>
      </c>
      <c r="AQ57" s="123" t="n">
        <f aca="false">$B57+$K57+$B$12</f>
        <v>4.145</v>
      </c>
      <c r="AR57" s="123" t="n">
        <f aca="false">$B57+$L57+$B$13</f>
        <v>3.71</v>
      </c>
      <c r="AS57" s="123" t="n">
        <f aca="false">AQ57*AP57</f>
        <v>0</v>
      </c>
      <c r="AT57" s="123" t="n">
        <f aca="false">AR57*AP57</f>
        <v>0</v>
      </c>
      <c r="AU57" s="156" t="n">
        <f aca="false">($C57*$M57)+$B$14</f>
        <v>0.28665</v>
      </c>
      <c r="AV57" s="156" t="n">
        <f aca="false">($C57*$N57)+$B$15</f>
        <v>0.2925</v>
      </c>
      <c r="AW57" s="131" t="n">
        <f aca="false">O57+B$16</f>
        <v>0.980420749757432</v>
      </c>
      <c r="AX57" s="157" t="n">
        <f aca="false">IF(AP57=0,0,SPRDOPT(AQ57,AR57,$P57,$AM57,AU57,AV57,AW57,$F57,$B$19,0))</f>
        <v>0</v>
      </c>
      <c r="AY57" s="157" t="e">
        <f aca="false">IF(AQ57=0,0,SPRDOPT(AQ57,AR57,$P57,$AM57,AU57,AV57,AW57,$F57,$B$19,1))</f>
        <v>#NAME?</v>
      </c>
      <c r="AZ57" s="157" t="e">
        <f aca="false">IF(AR57=0,0,SPRDOPT(AQ57,AR57,$P57,$AM57,AU57,AV57,AW57,$F57,$B$19,2))</f>
        <v>#NAME?</v>
      </c>
      <c r="BA57" s="157" t="n">
        <f aca="false">IF(AS57=0,0,SPRDOPT(AQ57,AR57,$P57,$AM57,AU57,AV57,AW57,$F57,$B$19,3)/100)</f>
        <v>0</v>
      </c>
      <c r="BB57" s="157" t="n">
        <f aca="false">IF(AT57=0,0,SPRDOPT(AQ57,AR57,$P57,$AM57,AU57,AV57,AW57,$F57,$B$19,4)/100)</f>
        <v>0</v>
      </c>
      <c r="BC57" s="157" t="e">
        <f aca="false">IF(AU57=0,0,SPRDOPT(AQ57,AR57,$P57,$AM57,AU57,AV57,AW57,$F57,$B$19,5)/100)</f>
        <v>#NAME?</v>
      </c>
      <c r="BD57" s="157" t="e">
        <f aca="false">IF(AV57=0,0,SPRDOPT(AQ57,AR57,$P57,$AM57,AU57,AV57,AW57,$F57,$B$19,6)/100)</f>
        <v>#NAME?</v>
      </c>
      <c r="BE57" s="157" t="e">
        <f aca="false">IF(AW57=0,0,SPRDOPT(AQ57,AR57,$P57,$AM57,AU57,AV57,AW57,$F57,$B$19,7)/100)</f>
        <v>#NAME?</v>
      </c>
      <c r="BF57" s="157" t="n">
        <f aca="false">IF(AX57=0,0,SPRDOPT(AQ57,AR57,$P57,$AM57,AU57,AV57,AW57,$F57,$B$19,9)/365)</f>
        <v>0</v>
      </c>
      <c r="BG57" s="157" t="e">
        <f aca="false">AY57+AZ57</f>
        <v>#NAME?</v>
      </c>
      <c r="BH57" s="157" t="n">
        <f aca="false">BB57-BA57</f>
        <v>0</v>
      </c>
      <c r="BI57" s="157" t="e">
        <f aca="false">((AU57/AV57)*BC57)+BD57</f>
        <v>#NAME?</v>
      </c>
      <c r="BJ57" s="44"/>
      <c r="BK57" s="45" t="n">
        <f aca="false">$AP57*AX57</f>
        <v>0</v>
      </c>
      <c r="BL57" s="45" t="e">
        <f aca="false">$AP57*AY57</f>
        <v>#NAME?</v>
      </c>
      <c r="BM57" s="45" t="e">
        <f aca="false">$AP57*AZ57</f>
        <v>#NAME?</v>
      </c>
      <c r="BN57" s="45" t="n">
        <f aca="false">$AP57*BA57</f>
        <v>0</v>
      </c>
      <c r="BO57" s="45" t="n">
        <f aca="false">$AP57*BB57</f>
        <v>0</v>
      </c>
      <c r="BP57" s="45" t="e">
        <f aca="false">$AP57*BC57</f>
        <v>#NAME?</v>
      </c>
      <c r="BQ57" s="45" t="e">
        <f aca="false">$AP57*BD57</f>
        <v>#NAME?</v>
      </c>
      <c r="BR57" s="45" t="e">
        <f aca="false">$AP57*BE57</f>
        <v>#NAME?</v>
      </c>
      <c r="BS57" s="45" t="n">
        <f aca="false">$AP57*BF57</f>
        <v>0</v>
      </c>
      <c r="BT57" s="45" t="e">
        <f aca="false">$AP57*BG57</f>
        <v>#NAME?</v>
      </c>
      <c r="BU57" s="45" t="n">
        <f aca="false">$AP57*BH57</f>
        <v>0</v>
      </c>
      <c r="BV57" s="45" t="e">
        <f aca="false">$AP57*BI57</f>
        <v>#NAME?</v>
      </c>
      <c r="BX57" s="9" t="n">
        <f aca="false">IF($A57&gt;=BZ$32,IF($A57&lt;=BZ$33,$AN57,0),0)</f>
        <v>0</v>
      </c>
      <c r="BY57" s="123" t="n">
        <f aca="false">$B57+$R57+$D$12</f>
        <v>4.145</v>
      </c>
      <c r="BZ57" s="123" t="n">
        <f aca="false">$B57+$S57+$D$13</f>
        <v>3.71</v>
      </c>
      <c r="CA57" s="123" t="n">
        <f aca="false">BY57*BX57</f>
        <v>0</v>
      </c>
      <c r="CB57" s="123" t="n">
        <f aca="false">BZ57*BX57</f>
        <v>0</v>
      </c>
      <c r="CC57" s="156" t="n">
        <f aca="false">($C57*$T57)+$D$14</f>
        <v>0.28665</v>
      </c>
      <c r="CD57" s="156" t="n">
        <f aca="false">($C57*$U57)+$D$15</f>
        <v>0.2925</v>
      </c>
      <c r="CE57" s="131" t="n">
        <f aca="false">$V57+D$16</f>
        <v>0.980420749757432</v>
      </c>
      <c r="CF57" s="157" t="n">
        <f aca="false">IF(BX57=0,0,SPRDOPT(BY57,BZ57,$W57,$AM57,CC57,CD57,CE57,$F57,$D$19,0))</f>
        <v>0</v>
      </c>
      <c r="CG57" s="157" t="e">
        <f aca="false">IF(BY57=0,0,SPRDOPT(BY57,BZ57,$W57,$AM57,CC57,CD57,CE57,$F57,$D$19,1))</f>
        <v>#NAME?</v>
      </c>
      <c r="CH57" s="157" t="e">
        <f aca="false">IF(BZ57=0,0,SPRDOPT(BY57,BZ57,$W57,$AM57,CC57,CD57,CE57,$F57,$D$19,2))</f>
        <v>#NAME?</v>
      </c>
      <c r="CI57" s="157" t="n">
        <f aca="false">IF(CA57=0,0,SPRDOPT(BY57,BZ57,$W57,$AM57,CC57,CD57,CE57,$F57,$D$19,3)/100)</f>
        <v>0</v>
      </c>
      <c r="CJ57" s="157" t="n">
        <f aca="false">IF(CB57=0,0,SPRDOPT(BY57,BZ57,$W57,$AM57,CC57,CD57,CE57,$F57,$D$19,4)/100)</f>
        <v>0</v>
      </c>
      <c r="CK57" s="157" t="e">
        <f aca="false">IF(CC57=0,0,SPRDOPT(BY57,BZ57,$W57,$AM57,CC57,CD57,CE57,$F57,$D$19,5)/100)</f>
        <v>#NAME?</v>
      </c>
      <c r="CL57" s="157" t="e">
        <f aca="false">IF(CD57=0,0,SPRDOPT(BY57,BZ57,$W57,$AM57,CC57,CD57,CE57,$F57,$D$19,6)/100)</f>
        <v>#NAME?</v>
      </c>
      <c r="CM57" s="157" t="e">
        <f aca="false">IF(CE57=0,0,SPRDOPT(BY57,BZ57,$W57,$AM57,CC57,CD57,CE57,$F57,$D$19,7)/100)</f>
        <v>#NAME?</v>
      </c>
      <c r="CN57" s="157" t="n">
        <f aca="false">IF(CF57=0,0,SPRDOPT(BY57,BZ57,$W57,$AM57,CC57,CD57,CE57,$F57,$D$19,9)/365)</f>
        <v>0</v>
      </c>
      <c r="CO57" s="157" t="e">
        <f aca="false">CG57+CH57</f>
        <v>#NAME?</v>
      </c>
      <c r="CP57" s="157" t="n">
        <f aca="false">CJ57-CI57</f>
        <v>0</v>
      </c>
      <c r="CQ57" s="157" t="e">
        <f aca="false">((CC57/CD57)*CK57)+CL57</f>
        <v>#NAME?</v>
      </c>
      <c r="CR57" s="44"/>
      <c r="CS57" s="45" t="n">
        <f aca="false">BX57*CF57</f>
        <v>0</v>
      </c>
      <c r="CT57" s="45" t="e">
        <f aca="false">BX57*CG57</f>
        <v>#NAME?</v>
      </c>
      <c r="CU57" s="45" t="e">
        <f aca="false">BX57*CH57</f>
        <v>#NAME?</v>
      </c>
      <c r="CV57" s="45" t="n">
        <f aca="false">BX57*CI57</f>
        <v>0</v>
      </c>
      <c r="CW57" s="45" t="n">
        <f aca="false">BX57*CJ57</f>
        <v>0</v>
      </c>
      <c r="CX57" s="45" t="e">
        <f aca="false">BX57*CK57</f>
        <v>#NAME?</v>
      </c>
      <c r="CY57" s="45" t="e">
        <f aca="false">BX57*CL57</f>
        <v>#NAME?</v>
      </c>
      <c r="CZ57" s="45" t="e">
        <f aca="false">BX57*CM57</f>
        <v>#NAME?</v>
      </c>
      <c r="DA57" s="45" t="n">
        <f aca="false">BX57*CN57</f>
        <v>0</v>
      </c>
      <c r="DB57" s="45" t="e">
        <f aca="false">BX57*CO57</f>
        <v>#NAME?</v>
      </c>
      <c r="DC57" s="45" t="n">
        <f aca="false">BX57*CP57</f>
        <v>0</v>
      </c>
      <c r="DD57" s="45" t="e">
        <f aca="false">BX57*CQ57</f>
        <v>#NAME?</v>
      </c>
      <c r="DF57" s="9" t="n">
        <f aca="false">IF($A57&gt;=DH$32,IF($A57&lt;=DH$33,$AN57,0),0)</f>
        <v>0</v>
      </c>
      <c r="DG57" s="123" t="n">
        <f aca="false">$B57+$Y57+$F$12</f>
        <v>3.18</v>
      </c>
      <c r="DH57" s="123" t="n">
        <f aca="false">$B57+$Z57+$F$13</f>
        <v>3.71</v>
      </c>
      <c r="DI57" s="123" t="n">
        <f aca="false">DG57*DF57</f>
        <v>0</v>
      </c>
      <c r="DJ57" s="123" t="n">
        <f aca="false">DH57*DF57</f>
        <v>0</v>
      </c>
      <c r="DK57" s="156" t="n">
        <f aca="false">($C57*$AA57)+$F$14</f>
        <v>0.2925</v>
      </c>
      <c r="DL57" s="156" t="n">
        <f aca="false">($C57*$AB57)+$F$15</f>
        <v>0.2925</v>
      </c>
      <c r="DM57" s="131" t="n">
        <f aca="false">$AC57+$F$16</f>
        <v>0.974</v>
      </c>
      <c r="DN57" s="157" t="n">
        <f aca="false">IF(DF57=0,0,SPRDOPT(DG57,DH57,$AD57,$AM57,DK57,DL57,DM57,$F57,$F$19,0))</f>
        <v>0</v>
      </c>
      <c r="DO57" s="157" t="e">
        <f aca="false">IF(DG57=0,0,SPRDOPT(DG57,DH57,$AD57,$AM57,DK57,DL57,DM57,$F57,$F$19,1))</f>
        <v>#NAME?</v>
      </c>
      <c r="DP57" s="157" t="e">
        <f aca="false">IF(DH57=0,0,SPRDOPT(DG57,DH57,$AD57,$AM57,DK57,DL57,DM57,$F57,$F$19,2))</f>
        <v>#NAME?</v>
      </c>
      <c r="DQ57" s="157" t="n">
        <f aca="false">IF(DI57=0,0,SPRDOPT(DG57,DH57,$AD57,$AM57,DK57,DL57,DM57,$F57,$F$19,3)/100)</f>
        <v>0</v>
      </c>
      <c r="DR57" s="157" t="n">
        <f aca="false">IF(DJ57=0,0,SPRDOPT(DG57,DH57,$AD57,$AM57,DK57,DL57,DM57,$F57,$F$19,4)/100)</f>
        <v>0</v>
      </c>
      <c r="DS57" s="157" t="e">
        <f aca="false">IF(DK57=0,0,SPRDOPT(DG57,DH57,$AD57,$AM57,DK57,DL57,DM57,$F57,$F$19,5)/100)</f>
        <v>#NAME?</v>
      </c>
      <c r="DT57" s="157" t="e">
        <f aca="false">IF(DL57=0,0,SPRDOPT(DG57,DH57,$AD57,$AM57,DK57,DL57,DM57,$F57,$F$19,6)/100)</f>
        <v>#NAME?</v>
      </c>
      <c r="DU57" s="157" t="e">
        <f aca="false">IF(DM57=0,0,SPRDOPT(DG57,DH57,$AD57,$AM57,DK57,DL57,DM57,$F57,$F$19,7)/100)</f>
        <v>#NAME?</v>
      </c>
      <c r="DV57" s="157" t="n">
        <f aca="false">IF(DN57=0,0,SPRDOPT(DG57,DH57,$AD57,$AM57,DK57,DL57,DM57,$F57,$F$19,9)/365)</f>
        <v>0</v>
      </c>
      <c r="DW57" s="157" t="e">
        <f aca="false">DO57+DP57</f>
        <v>#NAME?</v>
      </c>
      <c r="DX57" s="157" t="n">
        <f aca="false">DR57-DQ57</f>
        <v>0</v>
      </c>
      <c r="DY57" s="157" t="e">
        <f aca="false">((DK57/DL57)*DS57)+DT57</f>
        <v>#NAME?</v>
      </c>
      <c r="DZ57" s="44"/>
      <c r="EA57" s="45" t="n">
        <f aca="false">DF57*DN57</f>
        <v>0</v>
      </c>
      <c r="EB57" s="45" t="e">
        <f aca="false">DF57*DO57</f>
        <v>#NAME?</v>
      </c>
      <c r="EC57" s="45" t="e">
        <f aca="false">DF57*DP57</f>
        <v>#NAME?</v>
      </c>
      <c r="ED57" s="45" t="n">
        <f aca="false">DF57*DQ57</f>
        <v>0</v>
      </c>
      <c r="EE57" s="45" t="n">
        <f aca="false">DF57*DR57</f>
        <v>0</v>
      </c>
      <c r="EF57" s="45" t="e">
        <f aca="false">DF57*DS57</f>
        <v>#NAME?</v>
      </c>
      <c r="EG57" s="45" t="e">
        <f aca="false">DF57*DT57</f>
        <v>#NAME?</v>
      </c>
      <c r="EH57" s="45" t="e">
        <f aca="false">DF57*DU57</f>
        <v>#NAME?</v>
      </c>
      <c r="EI57" s="45" t="n">
        <f aca="false">DF57*DV57</f>
        <v>0</v>
      </c>
      <c r="EJ57" s="45" t="e">
        <f aca="false">DF57*DW57</f>
        <v>#NAME?</v>
      </c>
      <c r="EK57" s="45" t="n">
        <f aca="false">DF57*DX57</f>
        <v>0</v>
      </c>
      <c r="EL57" s="45" t="e">
        <f aca="false">DF57*DY57</f>
        <v>#NAME?</v>
      </c>
      <c r="EN57" s="9" t="n">
        <f aca="false">IF($A57&gt;=EP$32,IF($A57&lt;=EP$33,$AN57,0),0)</f>
        <v>0</v>
      </c>
      <c r="EO57" s="123" t="n">
        <f aca="false">$B57+$AF57+$H$12</f>
        <v>3.725</v>
      </c>
      <c r="EP57" s="123" t="n">
        <f aca="false">$B57+$AG57+$H$13</f>
        <v>3.71</v>
      </c>
      <c r="EQ57" s="123" t="n">
        <f aca="false">EO57*EN57</f>
        <v>0</v>
      </c>
      <c r="ER57" s="123" t="n">
        <f aca="false">EP57*EN57</f>
        <v>0</v>
      </c>
      <c r="ES57" s="156" t="n">
        <f aca="false">($C57*$AH57)+$H$14</f>
        <v>0.2925</v>
      </c>
      <c r="ET57" s="156" t="n">
        <f aca="false">($C57*$AI57)+$H$15</f>
        <v>0.2925</v>
      </c>
      <c r="EU57" s="131" t="n">
        <f aca="false">$AJ57+$H$16</f>
        <v>0.998</v>
      </c>
      <c r="EV57" s="157" t="n">
        <f aca="false">IF(EN57=0,0,SPRDOPT(EO57,EP57,$AK57,$AM57,ES57,ET57,EU57,$F57,$H$19,0))</f>
        <v>0</v>
      </c>
      <c r="EW57" s="157" t="e">
        <f aca="false">IF(EO57=0,0,SPRDOPT(EO57,EP57,$AK57,$AM57,ES57,ET57,EU57,$F57,$H$19,1))</f>
        <v>#NAME?</v>
      </c>
      <c r="EX57" s="157" t="e">
        <f aca="false">IF(EP57=0,0,SPRDOPT(EO57,EP57,$AK57,$AM57,ES57,ET57,EU57,$F57,$H$19,2))</f>
        <v>#NAME?</v>
      </c>
      <c r="EY57" s="157" t="n">
        <f aca="false">IF(EQ57=0,0,SPRDOPT(EO57,EP57,$AK57,$AM57,ES57,ET57,EU57,$F57,$H$19,3)/100)</f>
        <v>0</v>
      </c>
      <c r="EZ57" s="157" t="n">
        <f aca="false">IF(ER57=0,0,SPRDOPT(EO57,EP57,$AK57,$AM57,ES57,ET57,EU57,$F57,$H$19,4)/100)</f>
        <v>0</v>
      </c>
      <c r="FA57" s="157" t="e">
        <f aca="false">IF(ES57=0,0,SPRDOPT(EO57,EP57,$AK57,$AM57,ES57,ET57,EU57,$F57,$H$19,5)/100)</f>
        <v>#NAME?</v>
      </c>
      <c r="FB57" s="157" t="e">
        <f aca="false">IF(ET57=0,0,SPRDOPT(EO57,EP57,$AK57,$AM57,ES57,ET57,EU57,$F57,$H$19,6)/100)</f>
        <v>#NAME?</v>
      </c>
      <c r="FC57" s="157" t="e">
        <f aca="false">IF(EU57=0,0,SPRDOPT(EO57,EP57,$AK57,$AM57,ES57,ET57,EU57,$F57,$H$19,7)/100)</f>
        <v>#NAME?</v>
      </c>
      <c r="FD57" s="157" t="n">
        <f aca="false">IF(EV57=0,0,SPRDOPT(EO57,EP57,$AK57,$AM57,ES57,ET57,EU57,$F57,$H$19,9)/365)</f>
        <v>0</v>
      </c>
      <c r="FE57" s="157" t="e">
        <f aca="false">EW57+EX57</f>
        <v>#NAME?</v>
      </c>
      <c r="FF57" s="157" t="n">
        <f aca="false">EZ57-EY57</f>
        <v>0</v>
      </c>
      <c r="FG57" s="157" t="e">
        <f aca="false">((ES57/ET57)*FA57)+FB57</f>
        <v>#NAME?</v>
      </c>
      <c r="FH57" s="44"/>
      <c r="FI57" s="45" t="n">
        <f aca="false">$EN57*EV57</f>
        <v>0</v>
      </c>
      <c r="FJ57" s="45" t="e">
        <f aca="false">$EN57*EW57</f>
        <v>#NAME?</v>
      </c>
      <c r="FK57" s="45" t="e">
        <f aca="false">$EN57*EX57</f>
        <v>#NAME?</v>
      </c>
      <c r="FL57" s="45" t="n">
        <f aca="false">$EN57*EY57</f>
        <v>0</v>
      </c>
      <c r="FM57" s="45" t="n">
        <f aca="false">$EN57*EZ57</f>
        <v>0</v>
      </c>
      <c r="FN57" s="45" t="e">
        <f aca="false">$EN57*FA57</f>
        <v>#NAME?</v>
      </c>
      <c r="FO57" s="45" t="e">
        <f aca="false">$EN57*FB57</f>
        <v>#NAME?</v>
      </c>
      <c r="FP57" s="45" t="e">
        <f aca="false">$EN57*FC57</f>
        <v>#NAME?</v>
      </c>
      <c r="FQ57" s="45" t="n">
        <f aca="false">$EN57*FD57</f>
        <v>0</v>
      </c>
      <c r="FR57" s="45" t="e">
        <f aca="false">$EN57*FE57</f>
        <v>#NAME?</v>
      </c>
      <c r="FS57" s="45" t="n">
        <f aca="false">$EN57*FF57</f>
        <v>0</v>
      </c>
      <c r="FT57" s="45" t="e">
        <f aca="false">$EN57*FG57</f>
        <v>#NAME?</v>
      </c>
    </row>
    <row r="58" customFormat="false" ht="12.75" hidden="false" customHeight="false" outlineLevel="0" collapsed="false">
      <c r="A58" s="48" t="n">
        <f aca="false">DATE(YEAR(A57),MONTH(A57)+1,1)</f>
        <v>37408</v>
      </c>
      <c r="B58" s="40" t="n">
        <f aca="false">VLOOKUP(A58,STRADDLE,5,FALSE())</f>
        <v>3.69</v>
      </c>
      <c r="C58" s="4" t="n">
        <f aca="false">VLOOKUP(A58,STRADDLE,8,FALSE())</f>
        <v>0.29</v>
      </c>
      <c r="D58" s="40"/>
      <c r="E58" s="131"/>
      <c r="F58" s="136" t="n">
        <f aca="false">VLOOKUP(A58,expiration,2,FALSE())-$B$2</f>
        <v>-8521</v>
      </c>
      <c r="G58" s="4"/>
      <c r="H58" s="4"/>
      <c r="I58" s="41"/>
      <c r="J58" s="154"/>
      <c r="K58" s="40" t="n">
        <f aca="false">IF($B$3="NYMEX",0,VLOOKUP($A58,curvesettle,HLOOKUP($B$3,curvesettle,2,FALSE()),FALSE()))</f>
        <v>0.395</v>
      </c>
      <c r="L58" s="40" t="n">
        <f aca="false">IF($B$4="NYMEX",0,VLOOKUP($A58,curvesettle,HLOOKUP($B$4,curvesettle,2,FALSE()),FALSE()))</f>
        <v>0</v>
      </c>
      <c r="M58" s="131" t="n">
        <f aca="false">IF(ISNUMBER(VLOOKUP($A58,VOLCURVES,HLOOKUP($B$3,VOLCURVES,2,FALSE()),FALSE())),VLOOKUP($A58,VOLCURVES,HLOOKUP($B$3,VOLCURVES,2,FALSE()),FALSE()),1)</f>
        <v>0.98</v>
      </c>
      <c r="N58" s="131" t="n">
        <f aca="false">IF(ISNUMBER(VLOOKUP($A58,VOLCURVES,HLOOKUP($B$4,VOLCURVES,2,FALSE()),FALSE())),VLOOKUP($A58,VOLCURVES,HLOOKUP($B$4,VOLCURVES,2,FALSE()),FALSE()),1)</f>
        <v>1</v>
      </c>
      <c r="O58" s="131" t="n">
        <f aca="false">IF(ISNUMBER(VLOOKUP($A58,CORETABLE,HLOOKUP($B$3,CORETABLE,2,FALSE()),FALSE())),VLOOKUP($A58,CORETABLE,HLOOKUP($B$3,CORETABLE,2,FALSE()),FALSE()),0.99)</f>
        <v>0.980420749757432</v>
      </c>
      <c r="P58" s="155" t="n">
        <f aca="false">B$18</f>
        <v>2</v>
      </c>
      <c r="Q58" s="131"/>
      <c r="R58" s="40" t="n">
        <f aca="false">IF($D$3="NYMEX",0,VLOOKUP($A58,curvesettle,HLOOKUP($D$3,curvesettle,2,FALSE()),FALSE()))</f>
        <v>0.395</v>
      </c>
      <c r="S58" s="40" t="n">
        <f aca="false">IF($D$4="NYMEX",0,VLOOKUP($A58,curvesettle,HLOOKUP($D$4,curvesettle,2,FALSE()),FALSE()))</f>
        <v>0</v>
      </c>
      <c r="T58" s="131" t="n">
        <f aca="false">IF(ISNUMBER(VLOOKUP($A58,VOLCURVES,HLOOKUP($D$3,VOLCURVES,2,FALSE()),FALSE())),VLOOKUP($A58,VOLCURVES,HLOOKUP($D$3,VOLCURVES,2,FALSE()),FALSE()),1)</f>
        <v>0.98</v>
      </c>
      <c r="U58" s="131" t="n">
        <f aca="false">IF(ISNUMBER(VLOOKUP($A58,VOLCURVES,HLOOKUP($D$4,VOLCURVES,2,FALSE()),FALSE())),VLOOKUP($A58,VOLCURVES,HLOOKUP($D$4,VOLCURVES,2,FALSE()),FALSE()),1)</f>
        <v>1</v>
      </c>
      <c r="V58" s="131" t="n">
        <f aca="false">IF(ISNUMBER(VLOOKUP($A58,CORETABLE,HLOOKUP($D$3,CORETABLE,2,FALSE()),FALSE())),VLOOKUP($A58,CORETABLE,HLOOKUP($D$3,CORETABLE,2,FALSE()),FALSE()),0.99)</f>
        <v>0.980420749757432</v>
      </c>
      <c r="W58" s="155" t="n">
        <f aca="false">D$18</f>
        <v>2.5</v>
      </c>
      <c r="X58" s="131"/>
      <c r="Y58" s="40" t="n">
        <f aca="false">IF($F$3="NYMEX",0,VLOOKUP($A58,curvesettle,HLOOKUP($F$3,curvesettle,2,FALSE()),FALSE()))</f>
        <v>-0.535</v>
      </c>
      <c r="Z58" s="40" t="n">
        <f aca="false">IF($F$4="NYMEX",0,VLOOKUP($A58,curvesettle,HLOOKUP($F$4,curvesettle,2,FALSE()),FALSE()))</f>
        <v>0</v>
      </c>
      <c r="AA58" s="131" t="n">
        <f aca="false">IF(ISNUMBER(VLOOKUP($A58,VOLCURVES,HLOOKUP($F$3,VOLCURVES,2,FALSE()),FALSE())),VLOOKUP($A58,VOLCURVES,HLOOKUP($F$3,VOLCURVES,2,FALSE()),FALSE()),1)</f>
        <v>1</v>
      </c>
      <c r="AB58" s="131" t="n">
        <f aca="false">IF(ISNUMBER(VLOOKUP($A58,VOLCURVES,HLOOKUP($F$4,VOLCURVES,2,FALSE()),FALSE())),VLOOKUP($A58,VOLCURVES,HLOOKUP($F$4,VOLCURVES,2,FALSE()),FALSE()),1)</f>
        <v>1</v>
      </c>
      <c r="AC58" s="131" t="n">
        <f aca="false">IF(ISNUMBER(VLOOKUP($A58,CORETABLE,HLOOKUP($F$3,CORETABLE,2,FALSE()),FALSE())),VLOOKUP($A58,CORETABLE,HLOOKUP($F$3,CORETABLE,2,FALSE()),FALSE()),1)</f>
        <v>0.96</v>
      </c>
      <c r="AD58" s="155" t="n">
        <f aca="false">F$18</f>
        <v>-0.05</v>
      </c>
      <c r="AE58" s="131"/>
      <c r="AF58" s="40" t="n">
        <f aca="false">IF($H$3="NYMEX",0,VLOOKUP($A58,curvesettle,HLOOKUP($H$3,curvesettle,2,FALSE()),FALSE()))</f>
        <v>0.02</v>
      </c>
      <c r="AG58" s="40" t="n">
        <f aca="false">IF($H$4="NYMEX",0,VLOOKUP($A58,curvesettle,HLOOKUP($H$4,curvesettle,2,FALSE()),FALSE()))</f>
        <v>0</v>
      </c>
      <c r="AH58" s="131" t="n">
        <f aca="false">IF(ISNUMBER(VLOOKUP($A58,VOLCURVES,HLOOKUP($H$3,VOLCURVES,2,FALSE()),FALSE())),VLOOKUP($A58,VOLCURVES,HLOOKUP($H$3,VOLCURVES,2,FALSE()),FALSE()),1)</f>
        <v>1</v>
      </c>
      <c r="AI58" s="131" t="n">
        <f aca="false">IF(ISNUMBER(VLOOKUP($A58,VOLCURVES,HLOOKUP($H$4,VOLCURVES,2,FALSE()),FALSE())),VLOOKUP($A58,VOLCURVES,HLOOKUP($H$4,VOLCURVES,2,FALSE()),FALSE()),1)</f>
        <v>1</v>
      </c>
      <c r="AJ58" s="131" t="n">
        <f aca="false">IF(ISNUMBER(VLOOKUP($A58,CORETABLE,HLOOKUP($H$3,CORETABLE,2,FALSE()),FALSE())),VLOOKUP($A58,CORETABLE,HLOOKUP($H$3,CORETABLE,2,FALSE()),FALSE()),1)</f>
        <v>0.999</v>
      </c>
      <c r="AK58" s="155" t="n">
        <f aca="false">H$18</f>
        <v>-0.05</v>
      </c>
      <c r="AM58" s="4" t="n">
        <f aca="false">VLOOKUP($A58,STRADDLE,12,FALSE())</f>
        <v>0.067253392922551</v>
      </c>
      <c r="AN58" s="43" t="n">
        <f aca="false">A59-A58</f>
        <v>30</v>
      </c>
      <c r="AP58" s="9" t="n">
        <f aca="false">IF($A58&gt;=AR$32,IF($A58&lt;=AR$33,$AN58,0),0)</f>
        <v>0</v>
      </c>
      <c r="AQ58" s="123" t="n">
        <f aca="false">$B58+$K58+$B$12</f>
        <v>4.115</v>
      </c>
      <c r="AR58" s="123" t="n">
        <f aca="false">$B58+$L58+$B$13</f>
        <v>3.69</v>
      </c>
      <c r="AS58" s="123" t="n">
        <f aca="false">AQ58*AP58</f>
        <v>0</v>
      </c>
      <c r="AT58" s="123" t="n">
        <f aca="false">AR58*AP58</f>
        <v>0</v>
      </c>
      <c r="AU58" s="156" t="n">
        <f aca="false">($C58*$M58)+$B$14</f>
        <v>0.2842</v>
      </c>
      <c r="AV58" s="156" t="n">
        <f aca="false">($C58*$N58)+$B$15</f>
        <v>0.29</v>
      </c>
      <c r="AW58" s="131" t="n">
        <f aca="false">O58+B$16</f>
        <v>0.980420749757432</v>
      </c>
      <c r="AX58" s="157" t="n">
        <f aca="false">IF(AP58=0,0,SPRDOPT(AQ58,AR58,$P58,$AM58,AU58,AV58,AW58,$F58,$B$19,0))</f>
        <v>0</v>
      </c>
      <c r="AY58" s="157" t="e">
        <f aca="false">IF(AQ58=0,0,SPRDOPT(AQ58,AR58,$P58,$AM58,AU58,AV58,AW58,$F58,$B$19,1))</f>
        <v>#NAME?</v>
      </c>
      <c r="AZ58" s="157" t="e">
        <f aca="false">IF(AR58=0,0,SPRDOPT(AQ58,AR58,$P58,$AM58,AU58,AV58,AW58,$F58,$B$19,2))</f>
        <v>#NAME?</v>
      </c>
      <c r="BA58" s="157" t="n">
        <f aca="false">IF(AS58=0,0,SPRDOPT(AQ58,AR58,$P58,$AM58,AU58,AV58,AW58,$F58,$B$19,3)/100)</f>
        <v>0</v>
      </c>
      <c r="BB58" s="157" t="n">
        <f aca="false">IF(AT58=0,0,SPRDOPT(AQ58,AR58,$P58,$AM58,AU58,AV58,AW58,$F58,$B$19,4)/100)</f>
        <v>0</v>
      </c>
      <c r="BC58" s="157" t="e">
        <f aca="false">IF(AU58=0,0,SPRDOPT(AQ58,AR58,$P58,$AM58,AU58,AV58,AW58,$F58,$B$19,5)/100)</f>
        <v>#NAME?</v>
      </c>
      <c r="BD58" s="157" t="e">
        <f aca="false">IF(AV58=0,0,SPRDOPT(AQ58,AR58,$P58,$AM58,AU58,AV58,AW58,$F58,$B$19,6)/100)</f>
        <v>#NAME?</v>
      </c>
      <c r="BE58" s="157" t="e">
        <f aca="false">IF(AW58=0,0,SPRDOPT(AQ58,AR58,$P58,$AM58,AU58,AV58,AW58,$F58,$B$19,7)/100)</f>
        <v>#NAME?</v>
      </c>
      <c r="BF58" s="157" t="n">
        <f aca="false">IF(AX58=0,0,SPRDOPT(AQ58,AR58,$P58,$AM58,AU58,AV58,AW58,$F58,$B$19,9)/365)</f>
        <v>0</v>
      </c>
      <c r="BG58" s="157" t="e">
        <f aca="false">AY58+AZ58</f>
        <v>#NAME?</v>
      </c>
      <c r="BH58" s="157" t="n">
        <f aca="false">BB58-BA58</f>
        <v>0</v>
      </c>
      <c r="BI58" s="157" t="e">
        <f aca="false">((AU58/AV58)*BC58)+BD58</f>
        <v>#NAME?</v>
      </c>
      <c r="BJ58" s="44"/>
      <c r="BK58" s="45" t="n">
        <f aca="false">$AP58*AX58</f>
        <v>0</v>
      </c>
      <c r="BL58" s="45" t="e">
        <f aca="false">$AP58*AY58</f>
        <v>#NAME?</v>
      </c>
      <c r="BM58" s="45" t="e">
        <f aca="false">$AP58*AZ58</f>
        <v>#NAME?</v>
      </c>
      <c r="BN58" s="45" t="n">
        <f aca="false">$AP58*BA58</f>
        <v>0</v>
      </c>
      <c r="BO58" s="45" t="n">
        <f aca="false">$AP58*BB58</f>
        <v>0</v>
      </c>
      <c r="BP58" s="45" t="e">
        <f aca="false">$AP58*BC58</f>
        <v>#NAME?</v>
      </c>
      <c r="BQ58" s="45" t="e">
        <f aca="false">$AP58*BD58</f>
        <v>#NAME?</v>
      </c>
      <c r="BR58" s="45" t="e">
        <f aca="false">$AP58*BE58</f>
        <v>#NAME?</v>
      </c>
      <c r="BS58" s="45" t="n">
        <f aca="false">$AP58*BF58</f>
        <v>0</v>
      </c>
      <c r="BT58" s="45" t="e">
        <f aca="false">$AP58*BG58</f>
        <v>#NAME?</v>
      </c>
      <c r="BU58" s="45" t="n">
        <f aca="false">$AP58*BH58</f>
        <v>0</v>
      </c>
      <c r="BV58" s="45" t="e">
        <f aca="false">$AP58*BI58</f>
        <v>#NAME?</v>
      </c>
      <c r="BX58" s="9" t="n">
        <f aca="false">IF($A58&gt;=BZ$32,IF($A58&lt;=BZ$33,$AN58,0),0)</f>
        <v>0</v>
      </c>
      <c r="BY58" s="123" t="n">
        <f aca="false">$B58+$R58+$D$12</f>
        <v>4.115</v>
      </c>
      <c r="BZ58" s="123" t="n">
        <f aca="false">$B58+$S58+$D$13</f>
        <v>3.69</v>
      </c>
      <c r="CA58" s="123" t="n">
        <f aca="false">BY58*BX58</f>
        <v>0</v>
      </c>
      <c r="CB58" s="123" t="n">
        <f aca="false">BZ58*BX58</f>
        <v>0</v>
      </c>
      <c r="CC58" s="156" t="n">
        <f aca="false">($C58*$T58)+$D$14</f>
        <v>0.2842</v>
      </c>
      <c r="CD58" s="156" t="n">
        <f aca="false">($C58*$U58)+$D$15</f>
        <v>0.29</v>
      </c>
      <c r="CE58" s="131" t="n">
        <f aca="false">$V58+D$16</f>
        <v>0.980420749757432</v>
      </c>
      <c r="CF58" s="157" t="n">
        <f aca="false">IF(BX58=0,0,SPRDOPT(BY58,BZ58,$W58,$AM58,CC58,CD58,CE58,$F58,$D$19,0))</f>
        <v>0</v>
      </c>
      <c r="CG58" s="157" t="e">
        <f aca="false">IF(BY58=0,0,SPRDOPT(BY58,BZ58,$W58,$AM58,CC58,CD58,CE58,$F58,$D$19,1))</f>
        <v>#NAME?</v>
      </c>
      <c r="CH58" s="157" t="e">
        <f aca="false">IF(BZ58=0,0,SPRDOPT(BY58,BZ58,$W58,$AM58,CC58,CD58,CE58,$F58,$D$19,2))</f>
        <v>#NAME?</v>
      </c>
      <c r="CI58" s="157" t="n">
        <f aca="false">IF(CA58=0,0,SPRDOPT(BY58,BZ58,$W58,$AM58,CC58,CD58,CE58,$F58,$D$19,3)/100)</f>
        <v>0</v>
      </c>
      <c r="CJ58" s="157" t="n">
        <f aca="false">IF(CB58=0,0,SPRDOPT(BY58,BZ58,$W58,$AM58,CC58,CD58,CE58,$F58,$D$19,4)/100)</f>
        <v>0</v>
      </c>
      <c r="CK58" s="157" t="e">
        <f aca="false">IF(CC58=0,0,SPRDOPT(BY58,BZ58,$W58,$AM58,CC58,CD58,CE58,$F58,$D$19,5)/100)</f>
        <v>#NAME?</v>
      </c>
      <c r="CL58" s="157" t="e">
        <f aca="false">IF(CD58=0,0,SPRDOPT(BY58,BZ58,$W58,$AM58,CC58,CD58,CE58,$F58,$D$19,6)/100)</f>
        <v>#NAME?</v>
      </c>
      <c r="CM58" s="157" t="e">
        <f aca="false">IF(CE58=0,0,SPRDOPT(BY58,BZ58,$W58,$AM58,CC58,CD58,CE58,$F58,$D$19,7)/100)</f>
        <v>#NAME?</v>
      </c>
      <c r="CN58" s="157" t="n">
        <f aca="false">IF(CF58=0,0,SPRDOPT(BY58,BZ58,$W58,$AM58,CC58,CD58,CE58,$F58,$D$19,9)/365)</f>
        <v>0</v>
      </c>
      <c r="CO58" s="157" t="e">
        <f aca="false">CG58+CH58</f>
        <v>#NAME?</v>
      </c>
      <c r="CP58" s="157" t="n">
        <f aca="false">CJ58-CI58</f>
        <v>0</v>
      </c>
      <c r="CQ58" s="157" t="e">
        <f aca="false">((CC58/CD58)*CK58)+CL58</f>
        <v>#NAME?</v>
      </c>
      <c r="CR58" s="44"/>
      <c r="CS58" s="45" t="n">
        <f aca="false">BX58*CF58</f>
        <v>0</v>
      </c>
      <c r="CT58" s="45" t="e">
        <f aca="false">BX58*CG58</f>
        <v>#NAME?</v>
      </c>
      <c r="CU58" s="45" t="e">
        <f aca="false">BX58*CH58</f>
        <v>#NAME?</v>
      </c>
      <c r="CV58" s="45" t="n">
        <f aca="false">BX58*CI58</f>
        <v>0</v>
      </c>
      <c r="CW58" s="45" t="n">
        <f aca="false">BX58*CJ58</f>
        <v>0</v>
      </c>
      <c r="CX58" s="45" t="e">
        <f aca="false">BX58*CK58</f>
        <v>#NAME?</v>
      </c>
      <c r="CY58" s="45" t="e">
        <f aca="false">BX58*CL58</f>
        <v>#NAME?</v>
      </c>
      <c r="CZ58" s="45" t="e">
        <f aca="false">BX58*CM58</f>
        <v>#NAME?</v>
      </c>
      <c r="DA58" s="45" t="n">
        <f aca="false">BX58*CN58</f>
        <v>0</v>
      </c>
      <c r="DB58" s="45" t="e">
        <f aca="false">BX58*CO58</f>
        <v>#NAME?</v>
      </c>
      <c r="DC58" s="45" t="n">
        <f aca="false">BX58*CP58</f>
        <v>0</v>
      </c>
      <c r="DD58" s="45" t="e">
        <f aca="false">BX58*CQ58</f>
        <v>#NAME?</v>
      </c>
      <c r="DF58" s="9" t="n">
        <f aca="false">IF($A58&gt;=DH$32,IF($A58&lt;=DH$33,$AN58,0),0)</f>
        <v>0</v>
      </c>
      <c r="DG58" s="123" t="n">
        <f aca="false">$B58+$Y58+$F$12</f>
        <v>3.16</v>
      </c>
      <c r="DH58" s="123" t="n">
        <f aca="false">$B58+$Z58+$F$13</f>
        <v>3.69</v>
      </c>
      <c r="DI58" s="123" t="n">
        <f aca="false">DG58*DF58</f>
        <v>0</v>
      </c>
      <c r="DJ58" s="123" t="n">
        <f aca="false">DH58*DF58</f>
        <v>0</v>
      </c>
      <c r="DK58" s="156" t="n">
        <f aca="false">($C58*$AA58)+$F$14</f>
        <v>0.29</v>
      </c>
      <c r="DL58" s="156" t="n">
        <f aca="false">($C58*$AB58)+$F$15</f>
        <v>0.29</v>
      </c>
      <c r="DM58" s="131" t="n">
        <f aca="false">$AC58+$F$16</f>
        <v>0.974</v>
      </c>
      <c r="DN58" s="157" t="n">
        <f aca="false">IF(DF58=0,0,SPRDOPT(DG58,DH58,$AD58,$AM58,DK58,DL58,DM58,$F58,$F$19,0))</f>
        <v>0</v>
      </c>
      <c r="DO58" s="157" t="e">
        <f aca="false">IF(DG58=0,0,SPRDOPT(DG58,DH58,$AD58,$AM58,DK58,DL58,DM58,$F58,$F$19,1))</f>
        <v>#NAME?</v>
      </c>
      <c r="DP58" s="157" t="e">
        <f aca="false">IF(DH58=0,0,SPRDOPT(DG58,DH58,$AD58,$AM58,DK58,DL58,DM58,$F58,$F$19,2))</f>
        <v>#NAME?</v>
      </c>
      <c r="DQ58" s="157" t="n">
        <f aca="false">IF(DI58=0,0,SPRDOPT(DG58,DH58,$AD58,$AM58,DK58,DL58,DM58,$F58,$F$19,3)/100)</f>
        <v>0</v>
      </c>
      <c r="DR58" s="157" t="n">
        <f aca="false">IF(DJ58=0,0,SPRDOPT(DG58,DH58,$AD58,$AM58,DK58,DL58,DM58,$F58,$F$19,4)/100)</f>
        <v>0</v>
      </c>
      <c r="DS58" s="157" t="e">
        <f aca="false">IF(DK58=0,0,SPRDOPT(DG58,DH58,$AD58,$AM58,DK58,DL58,DM58,$F58,$F$19,5)/100)</f>
        <v>#NAME?</v>
      </c>
      <c r="DT58" s="157" t="e">
        <f aca="false">IF(DL58=0,0,SPRDOPT(DG58,DH58,$AD58,$AM58,DK58,DL58,DM58,$F58,$F$19,6)/100)</f>
        <v>#NAME?</v>
      </c>
      <c r="DU58" s="157" t="e">
        <f aca="false">IF(DM58=0,0,SPRDOPT(DG58,DH58,$AD58,$AM58,DK58,DL58,DM58,$F58,$F$19,7)/100)</f>
        <v>#NAME?</v>
      </c>
      <c r="DV58" s="157" t="n">
        <f aca="false">IF(DN58=0,0,SPRDOPT(DG58,DH58,$AD58,$AM58,DK58,DL58,DM58,$F58,$F$19,9)/365)</f>
        <v>0</v>
      </c>
      <c r="DW58" s="157" t="e">
        <f aca="false">DO58+DP58</f>
        <v>#NAME?</v>
      </c>
      <c r="DX58" s="157" t="n">
        <f aca="false">DR58-DQ58</f>
        <v>0</v>
      </c>
      <c r="DY58" s="157" t="e">
        <f aca="false">((DK58/DL58)*DS58)+DT58</f>
        <v>#NAME?</v>
      </c>
      <c r="DZ58" s="44"/>
      <c r="EA58" s="45" t="n">
        <f aca="false">DF58*DN58</f>
        <v>0</v>
      </c>
      <c r="EB58" s="45" t="e">
        <f aca="false">DF58*DO58</f>
        <v>#NAME?</v>
      </c>
      <c r="EC58" s="45" t="e">
        <f aca="false">DF58*DP58</f>
        <v>#NAME?</v>
      </c>
      <c r="ED58" s="45" t="n">
        <f aca="false">DF58*DQ58</f>
        <v>0</v>
      </c>
      <c r="EE58" s="45" t="n">
        <f aca="false">DF58*DR58</f>
        <v>0</v>
      </c>
      <c r="EF58" s="45" t="e">
        <f aca="false">DF58*DS58</f>
        <v>#NAME?</v>
      </c>
      <c r="EG58" s="45" t="e">
        <f aca="false">DF58*DT58</f>
        <v>#NAME?</v>
      </c>
      <c r="EH58" s="45" t="e">
        <f aca="false">DF58*DU58</f>
        <v>#NAME?</v>
      </c>
      <c r="EI58" s="45" t="n">
        <f aca="false">DF58*DV58</f>
        <v>0</v>
      </c>
      <c r="EJ58" s="45" t="e">
        <f aca="false">DF58*DW58</f>
        <v>#NAME?</v>
      </c>
      <c r="EK58" s="45" t="n">
        <f aca="false">DF58*DX58</f>
        <v>0</v>
      </c>
      <c r="EL58" s="45" t="e">
        <f aca="false">DF58*DY58</f>
        <v>#NAME?</v>
      </c>
      <c r="EN58" s="9" t="n">
        <f aca="false">IF($A58&gt;=EP$32,IF($A58&lt;=EP$33,$AN58,0),0)</f>
        <v>0</v>
      </c>
      <c r="EO58" s="123" t="n">
        <f aca="false">$B58+$AF58+$H$12</f>
        <v>3.71</v>
      </c>
      <c r="EP58" s="123" t="n">
        <f aca="false">$B58+$AG58+$H$13</f>
        <v>3.69</v>
      </c>
      <c r="EQ58" s="123" t="n">
        <f aca="false">EO58*EN58</f>
        <v>0</v>
      </c>
      <c r="ER58" s="123" t="n">
        <f aca="false">EP58*EN58</f>
        <v>0</v>
      </c>
      <c r="ES58" s="156" t="n">
        <f aca="false">($C58*$AH58)+$H$14</f>
        <v>0.29</v>
      </c>
      <c r="ET58" s="156" t="n">
        <f aca="false">($C58*$AI58)+$H$15</f>
        <v>0.29</v>
      </c>
      <c r="EU58" s="131" t="n">
        <f aca="false">$AJ58+$H$16</f>
        <v>0.998</v>
      </c>
      <c r="EV58" s="157" t="n">
        <f aca="false">IF(EN58=0,0,SPRDOPT(EO58,EP58,$AK58,$AM58,ES58,ET58,EU58,$F58,$H$19,0))</f>
        <v>0</v>
      </c>
      <c r="EW58" s="157" t="e">
        <f aca="false">IF(EO58=0,0,SPRDOPT(EO58,EP58,$AK58,$AM58,ES58,ET58,EU58,$F58,$H$19,1))</f>
        <v>#NAME?</v>
      </c>
      <c r="EX58" s="157" t="e">
        <f aca="false">IF(EP58=0,0,SPRDOPT(EO58,EP58,$AK58,$AM58,ES58,ET58,EU58,$F58,$H$19,2))</f>
        <v>#NAME?</v>
      </c>
      <c r="EY58" s="157" t="n">
        <f aca="false">IF(EQ58=0,0,SPRDOPT(EO58,EP58,$AK58,$AM58,ES58,ET58,EU58,$F58,$H$19,3)/100)</f>
        <v>0</v>
      </c>
      <c r="EZ58" s="157" t="n">
        <f aca="false">IF(ER58=0,0,SPRDOPT(EO58,EP58,$AK58,$AM58,ES58,ET58,EU58,$F58,$H$19,4)/100)</f>
        <v>0</v>
      </c>
      <c r="FA58" s="157" t="e">
        <f aca="false">IF(ES58=0,0,SPRDOPT(EO58,EP58,$AK58,$AM58,ES58,ET58,EU58,$F58,$H$19,5)/100)</f>
        <v>#NAME?</v>
      </c>
      <c r="FB58" s="157" t="e">
        <f aca="false">IF(ET58=0,0,SPRDOPT(EO58,EP58,$AK58,$AM58,ES58,ET58,EU58,$F58,$H$19,6)/100)</f>
        <v>#NAME?</v>
      </c>
      <c r="FC58" s="157" t="e">
        <f aca="false">IF(EU58=0,0,SPRDOPT(EO58,EP58,$AK58,$AM58,ES58,ET58,EU58,$F58,$H$19,7)/100)</f>
        <v>#NAME?</v>
      </c>
      <c r="FD58" s="157" t="n">
        <f aca="false">IF(EV58=0,0,SPRDOPT(EO58,EP58,$AK58,$AM58,ES58,ET58,EU58,$F58,$H$19,9)/365)</f>
        <v>0</v>
      </c>
      <c r="FE58" s="157" t="e">
        <f aca="false">EW58+EX58</f>
        <v>#NAME?</v>
      </c>
      <c r="FF58" s="157" t="n">
        <f aca="false">EZ58-EY58</f>
        <v>0</v>
      </c>
      <c r="FG58" s="157" t="e">
        <f aca="false">((ES58/ET58)*FA58)+FB58</f>
        <v>#NAME?</v>
      </c>
      <c r="FH58" s="44"/>
      <c r="FI58" s="45" t="n">
        <f aca="false">$EN58*EV58</f>
        <v>0</v>
      </c>
      <c r="FJ58" s="45" t="e">
        <f aca="false">$EN58*EW58</f>
        <v>#NAME?</v>
      </c>
      <c r="FK58" s="45" t="e">
        <f aca="false">$EN58*EX58</f>
        <v>#NAME?</v>
      </c>
      <c r="FL58" s="45" t="n">
        <f aca="false">$EN58*EY58</f>
        <v>0</v>
      </c>
      <c r="FM58" s="45" t="n">
        <f aca="false">$EN58*EZ58</f>
        <v>0</v>
      </c>
      <c r="FN58" s="45" t="e">
        <f aca="false">$EN58*FA58</f>
        <v>#NAME?</v>
      </c>
      <c r="FO58" s="45" t="e">
        <f aca="false">$EN58*FB58</f>
        <v>#NAME?</v>
      </c>
      <c r="FP58" s="45" t="e">
        <f aca="false">$EN58*FC58</f>
        <v>#NAME?</v>
      </c>
      <c r="FQ58" s="45" t="n">
        <f aca="false">$EN58*FD58</f>
        <v>0</v>
      </c>
      <c r="FR58" s="45" t="e">
        <f aca="false">$EN58*FE58</f>
        <v>#NAME?</v>
      </c>
      <c r="FS58" s="45" t="n">
        <f aca="false">$EN58*FF58</f>
        <v>0</v>
      </c>
      <c r="FT58" s="45" t="e">
        <f aca="false">$EN58*FG58</f>
        <v>#NAME?</v>
      </c>
    </row>
    <row r="59" customFormat="false" ht="12.75" hidden="false" customHeight="false" outlineLevel="0" collapsed="false">
      <c r="A59" s="48" t="n">
        <f aca="false">DATE(YEAR(A58),MONTH(A58)+1,1)</f>
        <v>37438</v>
      </c>
      <c r="B59" s="40" t="n">
        <f aca="false">VLOOKUP(A59,STRADDLE,5,FALSE())</f>
        <v>3.7</v>
      </c>
      <c r="C59" s="4" t="n">
        <f aca="false">VLOOKUP(A59,STRADDLE,8,FALSE())</f>
        <v>0.29</v>
      </c>
      <c r="D59" s="40"/>
      <c r="E59" s="131"/>
      <c r="F59" s="136" t="n">
        <f aca="false">VLOOKUP(A59,expiration,2,FALSE())-$B$2</f>
        <v>-8493</v>
      </c>
      <c r="G59" s="4"/>
      <c r="H59" s="4"/>
      <c r="I59" s="41"/>
      <c r="J59" s="154"/>
      <c r="K59" s="40" t="n">
        <f aca="false">IF($B$3="NYMEX",0,VLOOKUP($A59,curvesettle,HLOOKUP($B$3,curvesettle,2,FALSE()),FALSE()))</f>
        <v>0.43</v>
      </c>
      <c r="L59" s="40" t="n">
        <f aca="false">IF($B$4="NYMEX",0,VLOOKUP($A59,curvesettle,HLOOKUP($B$4,curvesettle,2,FALSE()),FALSE()))</f>
        <v>0</v>
      </c>
      <c r="M59" s="131" t="n">
        <f aca="false">IF(ISNUMBER(VLOOKUP($A59,VOLCURVES,HLOOKUP($B$3,VOLCURVES,2,FALSE()),FALSE())),VLOOKUP($A59,VOLCURVES,HLOOKUP($B$3,VOLCURVES,2,FALSE()),FALSE()),1)</f>
        <v>0.98</v>
      </c>
      <c r="N59" s="131" t="n">
        <f aca="false">IF(ISNUMBER(VLOOKUP($A59,VOLCURVES,HLOOKUP($B$4,VOLCURVES,2,FALSE()),FALSE())),VLOOKUP($A59,VOLCURVES,HLOOKUP($B$4,VOLCURVES,2,FALSE()),FALSE()),1)</f>
        <v>1</v>
      </c>
      <c r="O59" s="131" t="n">
        <f aca="false">IF(ISNUMBER(VLOOKUP($A59,CORETABLE,HLOOKUP($B$3,CORETABLE,2,FALSE()),FALSE())),VLOOKUP($A59,CORETABLE,HLOOKUP($B$3,CORETABLE,2,FALSE()),FALSE()),0.99)</f>
        <v>0.980420749757432</v>
      </c>
      <c r="P59" s="155" t="n">
        <f aca="false">B$18</f>
        <v>2</v>
      </c>
      <c r="Q59" s="131"/>
      <c r="R59" s="40" t="n">
        <f aca="false">IF($D$3="NYMEX",0,VLOOKUP($A59,curvesettle,HLOOKUP($D$3,curvesettle,2,FALSE()),FALSE()))</f>
        <v>0.43</v>
      </c>
      <c r="S59" s="40" t="n">
        <f aca="false">IF($D$4="NYMEX",0,VLOOKUP($A59,curvesettle,HLOOKUP($D$4,curvesettle,2,FALSE()),FALSE()))</f>
        <v>0</v>
      </c>
      <c r="T59" s="131" t="n">
        <f aca="false">IF(ISNUMBER(VLOOKUP($A59,VOLCURVES,HLOOKUP($D$3,VOLCURVES,2,FALSE()),FALSE())),VLOOKUP($A59,VOLCURVES,HLOOKUP($D$3,VOLCURVES,2,FALSE()),FALSE()),1)</f>
        <v>0.98</v>
      </c>
      <c r="U59" s="131" t="n">
        <f aca="false">IF(ISNUMBER(VLOOKUP($A59,VOLCURVES,HLOOKUP($D$4,VOLCURVES,2,FALSE()),FALSE())),VLOOKUP($A59,VOLCURVES,HLOOKUP($D$4,VOLCURVES,2,FALSE()),FALSE()),1)</f>
        <v>1</v>
      </c>
      <c r="V59" s="131" t="n">
        <f aca="false">IF(ISNUMBER(VLOOKUP($A59,CORETABLE,HLOOKUP($D$3,CORETABLE,2,FALSE()),FALSE())),VLOOKUP($A59,CORETABLE,HLOOKUP($D$3,CORETABLE,2,FALSE()),FALSE()),0.99)</f>
        <v>0.980420749757432</v>
      </c>
      <c r="W59" s="155" t="n">
        <f aca="false">D$18</f>
        <v>2.5</v>
      </c>
      <c r="X59" s="131"/>
      <c r="Y59" s="40" t="n">
        <f aca="false">IF($F$3="NYMEX",0,VLOOKUP($A59,curvesettle,HLOOKUP($F$3,curvesettle,2,FALSE()),FALSE()))</f>
        <v>-0.535</v>
      </c>
      <c r="Z59" s="40" t="n">
        <f aca="false">IF($F$4="NYMEX",0,VLOOKUP($A59,curvesettle,HLOOKUP($F$4,curvesettle,2,FALSE()),FALSE()))</f>
        <v>0</v>
      </c>
      <c r="AA59" s="131" t="n">
        <f aca="false">IF(ISNUMBER(VLOOKUP($A59,VOLCURVES,HLOOKUP($F$3,VOLCURVES,2,FALSE()),FALSE())),VLOOKUP($A59,VOLCURVES,HLOOKUP($F$3,VOLCURVES,2,FALSE()),FALSE()),1)</f>
        <v>1</v>
      </c>
      <c r="AB59" s="131" t="n">
        <f aca="false">IF(ISNUMBER(VLOOKUP($A59,VOLCURVES,HLOOKUP($F$4,VOLCURVES,2,FALSE()),FALSE())),VLOOKUP($A59,VOLCURVES,HLOOKUP($F$4,VOLCURVES,2,FALSE()),FALSE()),1)</f>
        <v>1</v>
      </c>
      <c r="AC59" s="131" t="n">
        <f aca="false">IF(ISNUMBER(VLOOKUP($A59,CORETABLE,HLOOKUP($F$3,CORETABLE,2,FALSE()),FALSE())),VLOOKUP($A59,CORETABLE,HLOOKUP($F$3,CORETABLE,2,FALSE()),FALSE()),1)</f>
        <v>0.96</v>
      </c>
      <c r="AD59" s="155" t="n">
        <f aca="false">F$18</f>
        <v>-0.05</v>
      </c>
      <c r="AE59" s="131"/>
      <c r="AF59" s="40" t="n">
        <f aca="false">IF($H$3="NYMEX",0,VLOOKUP($A59,curvesettle,HLOOKUP($H$3,curvesettle,2,FALSE()),FALSE()))</f>
        <v>0.0225</v>
      </c>
      <c r="AG59" s="40" t="n">
        <f aca="false">IF($H$4="NYMEX",0,VLOOKUP($A59,curvesettle,HLOOKUP($H$4,curvesettle,2,FALSE()),FALSE()))</f>
        <v>0</v>
      </c>
      <c r="AH59" s="131" t="n">
        <f aca="false">IF(ISNUMBER(VLOOKUP($A59,VOLCURVES,HLOOKUP($H$3,VOLCURVES,2,FALSE()),FALSE())),VLOOKUP($A59,VOLCURVES,HLOOKUP($H$3,VOLCURVES,2,FALSE()),FALSE()),1)</f>
        <v>1</v>
      </c>
      <c r="AI59" s="131" t="n">
        <f aca="false">IF(ISNUMBER(VLOOKUP($A59,VOLCURVES,HLOOKUP($H$4,VOLCURVES,2,FALSE()),FALSE())),VLOOKUP($A59,VOLCURVES,HLOOKUP($H$4,VOLCURVES,2,FALSE()),FALSE()),1)</f>
        <v>1</v>
      </c>
      <c r="AJ59" s="131" t="n">
        <f aca="false">IF(ISNUMBER(VLOOKUP($A59,CORETABLE,HLOOKUP($H$3,CORETABLE,2,FALSE()),FALSE())),VLOOKUP($A59,CORETABLE,HLOOKUP($H$3,CORETABLE,2,FALSE()),FALSE()),1)</f>
        <v>0.999</v>
      </c>
      <c r="AK59" s="155" t="n">
        <f aca="false">H$18</f>
        <v>-0.05</v>
      </c>
      <c r="AM59" s="4" t="n">
        <f aca="false">VLOOKUP($A59,STRADDLE,12,FALSE())</f>
        <v>0.067230480386273</v>
      </c>
      <c r="AN59" s="43" t="n">
        <f aca="false">A60-A59</f>
        <v>31</v>
      </c>
      <c r="AP59" s="9" t="n">
        <f aca="false">IF($A59&gt;=AR$32,IF($A59&lt;=AR$33,$AN59,0),0)</f>
        <v>0</v>
      </c>
      <c r="AQ59" s="123" t="n">
        <f aca="false">$B59+$K59+$B$12</f>
        <v>4.16</v>
      </c>
      <c r="AR59" s="123" t="n">
        <f aca="false">$B59+$L59+$B$13</f>
        <v>3.7</v>
      </c>
      <c r="AS59" s="123" t="n">
        <f aca="false">AQ59*AP59</f>
        <v>0</v>
      </c>
      <c r="AT59" s="123" t="n">
        <f aca="false">AR59*AP59</f>
        <v>0</v>
      </c>
      <c r="AU59" s="156" t="n">
        <f aca="false">($C59*$M59)+$B$14</f>
        <v>0.2842</v>
      </c>
      <c r="AV59" s="156" t="n">
        <f aca="false">($C59*$N59)+$B$15</f>
        <v>0.29</v>
      </c>
      <c r="AW59" s="131" t="n">
        <f aca="false">O59+B$16</f>
        <v>0.980420749757432</v>
      </c>
      <c r="AX59" s="157" t="n">
        <f aca="false">IF(AP59=0,0,SPRDOPT(AQ59,AR59,$P59,$AM59,AU59,AV59,AW59,$F59,$B$19,0))</f>
        <v>0</v>
      </c>
      <c r="AY59" s="157" t="e">
        <f aca="false">IF(AQ59=0,0,SPRDOPT(AQ59,AR59,$P59,$AM59,AU59,AV59,AW59,$F59,$B$19,1))</f>
        <v>#NAME?</v>
      </c>
      <c r="AZ59" s="157" t="e">
        <f aca="false">IF(AR59=0,0,SPRDOPT(AQ59,AR59,$P59,$AM59,AU59,AV59,AW59,$F59,$B$19,2))</f>
        <v>#NAME?</v>
      </c>
      <c r="BA59" s="157" t="n">
        <f aca="false">IF(AS59=0,0,SPRDOPT(AQ59,AR59,$P59,$AM59,AU59,AV59,AW59,$F59,$B$19,3)/100)</f>
        <v>0</v>
      </c>
      <c r="BB59" s="157" t="n">
        <f aca="false">IF(AT59=0,0,SPRDOPT(AQ59,AR59,$P59,$AM59,AU59,AV59,AW59,$F59,$B$19,4)/100)</f>
        <v>0</v>
      </c>
      <c r="BC59" s="157" t="e">
        <f aca="false">IF(AU59=0,0,SPRDOPT(AQ59,AR59,$P59,$AM59,AU59,AV59,AW59,$F59,$B$19,5)/100)</f>
        <v>#NAME?</v>
      </c>
      <c r="BD59" s="157" t="e">
        <f aca="false">IF(AV59=0,0,SPRDOPT(AQ59,AR59,$P59,$AM59,AU59,AV59,AW59,$F59,$B$19,6)/100)</f>
        <v>#NAME?</v>
      </c>
      <c r="BE59" s="157" t="e">
        <f aca="false">IF(AW59=0,0,SPRDOPT(AQ59,AR59,$P59,$AM59,AU59,AV59,AW59,$F59,$B$19,7)/100)</f>
        <v>#NAME?</v>
      </c>
      <c r="BF59" s="157" t="n">
        <f aca="false">IF(AX59=0,0,SPRDOPT(AQ59,AR59,$P59,$AM59,AU59,AV59,AW59,$F59,$B$19,9)/365)</f>
        <v>0</v>
      </c>
      <c r="BG59" s="157" t="e">
        <f aca="false">AY59+AZ59</f>
        <v>#NAME?</v>
      </c>
      <c r="BH59" s="157" t="n">
        <f aca="false">BB59-BA59</f>
        <v>0</v>
      </c>
      <c r="BI59" s="157" t="e">
        <f aca="false">((AU59/AV59)*BC59)+BD59</f>
        <v>#NAME?</v>
      </c>
      <c r="BJ59" s="44"/>
      <c r="BK59" s="45" t="n">
        <f aca="false">$AP59*AX59</f>
        <v>0</v>
      </c>
      <c r="BL59" s="45" t="e">
        <f aca="false">$AP59*AY59</f>
        <v>#NAME?</v>
      </c>
      <c r="BM59" s="45" t="e">
        <f aca="false">$AP59*AZ59</f>
        <v>#NAME?</v>
      </c>
      <c r="BN59" s="45" t="n">
        <f aca="false">$AP59*BA59</f>
        <v>0</v>
      </c>
      <c r="BO59" s="45" t="n">
        <f aca="false">$AP59*BB59</f>
        <v>0</v>
      </c>
      <c r="BP59" s="45" t="e">
        <f aca="false">$AP59*BC59</f>
        <v>#NAME?</v>
      </c>
      <c r="BQ59" s="45" t="e">
        <f aca="false">$AP59*BD59</f>
        <v>#NAME?</v>
      </c>
      <c r="BR59" s="45" t="e">
        <f aca="false">$AP59*BE59</f>
        <v>#NAME?</v>
      </c>
      <c r="BS59" s="45" t="n">
        <f aca="false">$AP59*BF59</f>
        <v>0</v>
      </c>
      <c r="BT59" s="45" t="e">
        <f aca="false">$AP59*BG59</f>
        <v>#NAME?</v>
      </c>
      <c r="BU59" s="45" t="n">
        <f aca="false">$AP59*BH59</f>
        <v>0</v>
      </c>
      <c r="BV59" s="45" t="e">
        <f aca="false">$AP59*BI59</f>
        <v>#NAME?</v>
      </c>
      <c r="BX59" s="9" t="n">
        <f aca="false">IF($A59&gt;=BZ$32,IF($A59&lt;=BZ$33,$AN59,0),0)</f>
        <v>0</v>
      </c>
      <c r="BY59" s="123" t="n">
        <f aca="false">$B59+$R59+$D$12</f>
        <v>4.16</v>
      </c>
      <c r="BZ59" s="123" t="n">
        <f aca="false">$B59+$S59+$D$13</f>
        <v>3.7</v>
      </c>
      <c r="CA59" s="123" t="n">
        <f aca="false">BY59*BX59</f>
        <v>0</v>
      </c>
      <c r="CB59" s="123" t="n">
        <f aca="false">BZ59*BX59</f>
        <v>0</v>
      </c>
      <c r="CC59" s="156" t="n">
        <f aca="false">($C59*$T59)+$D$14</f>
        <v>0.2842</v>
      </c>
      <c r="CD59" s="156" t="n">
        <f aca="false">($C59*$U59)+$D$15</f>
        <v>0.29</v>
      </c>
      <c r="CE59" s="131" t="n">
        <f aca="false">$V59+D$16</f>
        <v>0.980420749757432</v>
      </c>
      <c r="CF59" s="157" t="n">
        <f aca="false">IF(BX59=0,0,SPRDOPT(BY59,BZ59,$W59,$AM59,CC59,CD59,CE59,$F59,$D$19,0))</f>
        <v>0</v>
      </c>
      <c r="CG59" s="157" t="e">
        <f aca="false">IF(BY59=0,0,SPRDOPT(BY59,BZ59,$W59,$AM59,CC59,CD59,CE59,$F59,$D$19,1))</f>
        <v>#NAME?</v>
      </c>
      <c r="CH59" s="157" t="e">
        <f aca="false">IF(BZ59=0,0,SPRDOPT(BY59,BZ59,$W59,$AM59,CC59,CD59,CE59,$F59,$D$19,2))</f>
        <v>#NAME?</v>
      </c>
      <c r="CI59" s="157" t="n">
        <f aca="false">IF(CA59=0,0,SPRDOPT(BY59,BZ59,$W59,$AM59,CC59,CD59,CE59,$F59,$D$19,3)/100)</f>
        <v>0</v>
      </c>
      <c r="CJ59" s="157" t="n">
        <f aca="false">IF(CB59=0,0,SPRDOPT(BY59,BZ59,$W59,$AM59,CC59,CD59,CE59,$F59,$D$19,4)/100)</f>
        <v>0</v>
      </c>
      <c r="CK59" s="157" t="e">
        <f aca="false">IF(CC59=0,0,SPRDOPT(BY59,BZ59,$W59,$AM59,CC59,CD59,CE59,$F59,$D$19,5)/100)</f>
        <v>#NAME?</v>
      </c>
      <c r="CL59" s="157" t="e">
        <f aca="false">IF(CD59=0,0,SPRDOPT(BY59,BZ59,$W59,$AM59,CC59,CD59,CE59,$F59,$D$19,6)/100)</f>
        <v>#NAME?</v>
      </c>
      <c r="CM59" s="157" t="e">
        <f aca="false">IF(CE59=0,0,SPRDOPT(BY59,BZ59,$W59,$AM59,CC59,CD59,CE59,$F59,$D$19,7)/100)</f>
        <v>#NAME?</v>
      </c>
      <c r="CN59" s="157" t="n">
        <f aca="false">IF(CF59=0,0,SPRDOPT(BY59,BZ59,$W59,$AM59,CC59,CD59,CE59,$F59,$D$19,9)/365)</f>
        <v>0</v>
      </c>
      <c r="CO59" s="157" t="e">
        <f aca="false">CG59+CH59</f>
        <v>#NAME?</v>
      </c>
      <c r="CP59" s="157" t="n">
        <f aca="false">CJ59-CI59</f>
        <v>0</v>
      </c>
      <c r="CQ59" s="157" t="e">
        <f aca="false">((CC59/CD59)*CK59)+CL59</f>
        <v>#NAME?</v>
      </c>
      <c r="CR59" s="44"/>
      <c r="CS59" s="45" t="n">
        <f aca="false">BX59*CF59</f>
        <v>0</v>
      </c>
      <c r="CT59" s="45" t="e">
        <f aca="false">BX59*CG59</f>
        <v>#NAME?</v>
      </c>
      <c r="CU59" s="45" t="e">
        <f aca="false">BX59*CH59</f>
        <v>#NAME?</v>
      </c>
      <c r="CV59" s="45" t="n">
        <f aca="false">BX59*CI59</f>
        <v>0</v>
      </c>
      <c r="CW59" s="45" t="n">
        <f aca="false">BX59*CJ59</f>
        <v>0</v>
      </c>
      <c r="CX59" s="45" t="e">
        <f aca="false">BX59*CK59</f>
        <v>#NAME?</v>
      </c>
      <c r="CY59" s="45" t="e">
        <f aca="false">BX59*CL59</f>
        <v>#NAME?</v>
      </c>
      <c r="CZ59" s="45" t="e">
        <f aca="false">BX59*CM59</f>
        <v>#NAME?</v>
      </c>
      <c r="DA59" s="45" t="n">
        <f aca="false">BX59*CN59</f>
        <v>0</v>
      </c>
      <c r="DB59" s="45" t="e">
        <f aca="false">BX59*CO59</f>
        <v>#NAME?</v>
      </c>
      <c r="DC59" s="45" t="n">
        <f aca="false">BX59*CP59</f>
        <v>0</v>
      </c>
      <c r="DD59" s="45" t="e">
        <f aca="false">BX59*CQ59</f>
        <v>#NAME?</v>
      </c>
      <c r="DF59" s="9" t="n">
        <f aca="false">IF($A59&gt;=DH$32,IF($A59&lt;=DH$33,$AN59,0),0)</f>
        <v>0</v>
      </c>
      <c r="DG59" s="123" t="n">
        <f aca="false">$B59+$Y59+$F$12</f>
        <v>3.17</v>
      </c>
      <c r="DH59" s="123" t="n">
        <f aca="false">$B59+$Z59+$F$13</f>
        <v>3.7</v>
      </c>
      <c r="DI59" s="123" t="n">
        <f aca="false">DG59*DF59</f>
        <v>0</v>
      </c>
      <c r="DJ59" s="123" t="n">
        <f aca="false">DH59*DF59</f>
        <v>0</v>
      </c>
      <c r="DK59" s="156" t="n">
        <f aca="false">($C59*$AA59)+$F$14</f>
        <v>0.29</v>
      </c>
      <c r="DL59" s="156" t="n">
        <f aca="false">($C59*$AB59)+$F$15</f>
        <v>0.29</v>
      </c>
      <c r="DM59" s="131" t="n">
        <f aca="false">$AC59+$F$16</f>
        <v>0.974</v>
      </c>
      <c r="DN59" s="157" t="n">
        <f aca="false">IF(DF59=0,0,SPRDOPT(DG59,DH59,$AD59,$AM59,DK59,DL59,DM59,$F59,$F$19,0))</f>
        <v>0</v>
      </c>
      <c r="DO59" s="157" t="e">
        <f aca="false">IF(DG59=0,0,SPRDOPT(DG59,DH59,$AD59,$AM59,DK59,DL59,DM59,$F59,$F$19,1))</f>
        <v>#NAME?</v>
      </c>
      <c r="DP59" s="157" t="e">
        <f aca="false">IF(DH59=0,0,SPRDOPT(DG59,DH59,$AD59,$AM59,DK59,DL59,DM59,$F59,$F$19,2))</f>
        <v>#NAME?</v>
      </c>
      <c r="DQ59" s="157" t="n">
        <f aca="false">IF(DI59=0,0,SPRDOPT(DG59,DH59,$AD59,$AM59,DK59,DL59,DM59,$F59,$F$19,3)/100)</f>
        <v>0</v>
      </c>
      <c r="DR59" s="157" t="n">
        <f aca="false">IF(DJ59=0,0,SPRDOPT(DG59,DH59,$AD59,$AM59,DK59,DL59,DM59,$F59,$F$19,4)/100)</f>
        <v>0</v>
      </c>
      <c r="DS59" s="157" t="e">
        <f aca="false">IF(DK59=0,0,SPRDOPT(DG59,DH59,$AD59,$AM59,DK59,DL59,DM59,$F59,$F$19,5)/100)</f>
        <v>#NAME?</v>
      </c>
      <c r="DT59" s="157" t="e">
        <f aca="false">IF(DL59=0,0,SPRDOPT(DG59,DH59,$AD59,$AM59,DK59,DL59,DM59,$F59,$F$19,6)/100)</f>
        <v>#NAME?</v>
      </c>
      <c r="DU59" s="157" t="e">
        <f aca="false">IF(DM59=0,0,SPRDOPT(DG59,DH59,$AD59,$AM59,DK59,DL59,DM59,$F59,$F$19,7)/100)</f>
        <v>#NAME?</v>
      </c>
      <c r="DV59" s="157" t="n">
        <f aca="false">IF(DN59=0,0,SPRDOPT(DG59,DH59,$AD59,$AM59,DK59,DL59,DM59,$F59,$F$19,9)/365)</f>
        <v>0</v>
      </c>
      <c r="DW59" s="157" t="e">
        <f aca="false">DO59+DP59</f>
        <v>#NAME?</v>
      </c>
      <c r="DX59" s="157" t="n">
        <f aca="false">DR59-DQ59</f>
        <v>0</v>
      </c>
      <c r="DY59" s="157" t="e">
        <f aca="false">((DK59/DL59)*DS59)+DT59</f>
        <v>#NAME?</v>
      </c>
      <c r="DZ59" s="44"/>
      <c r="EA59" s="45" t="n">
        <f aca="false">DF59*DN59</f>
        <v>0</v>
      </c>
      <c r="EB59" s="45" t="e">
        <f aca="false">DF59*DO59</f>
        <v>#NAME?</v>
      </c>
      <c r="EC59" s="45" t="e">
        <f aca="false">DF59*DP59</f>
        <v>#NAME?</v>
      </c>
      <c r="ED59" s="45" t="n">
        <f aca="false">DF59*DQ59</f>
        <v>0</v>
      </c>
      <c r="EE59" s="45" t="n">
        <f aca="false">DF59*DR59</f>
        <v>0</v>
      </c>
      <c r="EF59" s="45" t="e">
        <f aca="false">DF59*DS59</f>
        <v>#NAME?</v>
      </c>
      <c r="EG59" s="45" t="e">
        <f aca="false">DF59*DT59</f>
        <v>#NAME?</v>
      </c>
      <c r="EH59" s="45" t="e">
        <f aca="false">DF59*DU59</f>
        <v>#NAME?</v>
      </c>
      <c r="EI59" s="45" t="n">
        <f aca="false">DF59*DV59</f>
        <v>0</v>
      </c>
      <c r="EJ59" s="45" t="e">
        <f aca="false">DF59*DW59</f>
        <v>#NAME?</v>
      </c>
      <c r="EK59" s="45" t="n">
        <f aca="false">DF59*DX59</f>
        <v>0</v>
      </c>
      <c r="EL59" s="45" t="e">
        <f aca="false">DF59*DY59</f>
        <v>#NAME?</v>
      </c>
      <c r="EN59" s="9" t="n">
        <f aca="false">IF($A59&gt;=EP$32,IF($A59&lt;=EP$33,$AN59,0),0)</f>
        <v>0</v>
      </c>
      <c r="EO59" s="123" t="n">
        <f aca="false">$B59+$AF59+$H$12</f>
        <v>3.7225</v>
      </c>
      <c r="EP59" s="123" t="n">
        <f aca="false">$B59+$AG59+$H$13</f>
        <v>3.7</v>
      </c>
      <c r="EQ59" s="123" t="n">
        <f aca="false">EO59*EN59</f>
        <v>0</v>
      </c>
      <c r="ER59" s="123" t="n">
        <f aca="false">EP59*EN59</f>
        <v>0</v>
      </c>
      <c r="ES59" s="156" t="n">
        <f aca="false">($C59*$AH59)+$H$14</f>
        <v>0.29</v>
      </c>
      <c r="ET59" s="156" t="n">
        <f aca="false">($C59*$AI59)+$H$15</f>
        <v>0.29</v>
      </c>
      <c r="EU59" s="131" t="n">
        <f aca="false">$AJ59+$H$16</f>
        <v>0.998</v>
      </c>
      <c r="EV59" s="157" t="n">
        <f aca="false">IF(EN59=0,0,SPRDOPT(EO59,EP59,$AK59,$AM59,ES59,ET59,EU59,$F59,$H$19,0))</f>
        <v>0</v>
      </c>
      <c r="EW59" s="157" t="e">
        <f aca="false">IF(EO59=0,0,SPRDOPT(EO59,EP59,$AK59,$AM59,ES59,ET59,EU59,$F59,$H$19,1))</f>
        <v>#NAME?</v>
      </c>
      <c r="EX59" s="157" t="e">
        <f aca="false">IF(EP59=0,0,SPRDOPT(EO59,EP59,$AK59,$AM59,ES59,ET59,EU59,$F59,$H$19,2))</f>
        <v>#NAME?</v>
      </c>
      <c r="EY59" s="157" t="n">
        <f aca="false">IF(EQ59=0,0,SPRDOPT(EO59,EP59,$AK59,$AM59,ES59,ET59,EU59,$F59,$H$19,3)/100)</f>
        <v>0</v>
      </c>
      <c r="EZ59" s="157" t="n">
        <f aca="false">IF(ER59=0,0,SPRDOPT(EO59,EP59,$AK59,$AM59,ES59,ET59,EU59,$F59,$H$19,4)/100)</f>
        <v>0</v>
      </c>
      <c r="FA59" s="157" t="e">
        <f aca="false">IF(ES59=0,0,SPRDOPT(EO59,EP59,$AK59,$AM59,ES59,ET59,EU59,$F59,$H$19,5)/100)</f>
        <v>#NAME?</v>
      </c>
      <c r="FB59" s="157" t="e">
        <f aca="false">IF(ET59=0,0,SPRDOPT(EO59,EP59,$AK59,$AM59,ES59,ET59,EU59,$F59,$H$19,6)/100)</f>
        <v>#NAME?</v>
      </c>
      <c r="FC59" s="157" t="e">
        <f aca="false">IF(EU59=0,0,SPRDOPT(EO59,EP59,$AK59,$AM59,ES59,ET59,EU59,$F59,$H$19,7)/100)</f>
        <v>#NAME?</v>
      </c>
      <c r="FD59" s="157" t="n">
        <f aca="false">IF(EV59=0,0,SPRDOPT(EO59,EP59,$AK59,$AM59,ES59,ET59,EU59,$F59,$H$19,9)/365)</f>
        <v>0</v>
      </c>
      <c r="FE59" s="157" t="e">
        <f aca="false">EW59+EX59</f>
        <v>#NAME?</v>
      </c>
      <c r="FF59" s="157" t="n">
        <f aca="false">EZ59-EY59</f>
        <v>0</v>
      </c>
      <c r="FG59" s="157" t="e">
        <f aca="false">((ES59/ET59)*FA59)+FB59</f>
        <v>#NAME?</v>
      </c>
      <c r="FH59" s="44"/>
      <c r="FI59" s="45" t="n">
        <f aca="false">$EN59*EV59</f>
        <v>0</v>
      </c>
      <c r="FJ59" s="45" t="e">
        <f aca="false">$EN59*EW59</f>
        <v>#NAME?</v>
      </c>
      <c r="FK59" s="45" t="e">
        <f aca="false">$EN59*EX59</f>
        <v>#NAME?</v>
      </c>
      <c r="FL59" s="45" t="n">
        <f aca="false">$EN59*EY59</f>
        <v>0</v>
      </c>
      <c r="FM59" s="45" t="n">
        <f aca="false">$EN59*EZ59</f>
        <v>0</v>
      </c>
      <c r="FN59" s="45" t="e">
        <f aca="false">$EN59*FA59</f>
        <v>#NAME?</v>
      </c>
      <c r="FO59" s="45" t="e">
        <f aca="false">$EN59*FB59</f>
        <v>#NAME?</v>
      </c>
      <c r="FP59" s="45" t="e">
        <f aca="false">$EN59*FC59</f>
        <v>#NAME?</v>
      </c>
      <c r="FQ59" s="45" t="n">
        <f aca="false">$EN59*FD59</f>
        <v>0</v>
      </c>
      <c r="FR59" s="45" t="e">
        <f aca="false">$EN59*FE59</f>
        <v>#NAME?</v>
      </c>
      <c r="FS59" s="45" t="n">
        <f aca="false">$EN59*FF59</f>
        <v>0</v>
      </c>
      <c r="FT59" s="45" t="e">
        <f aca="false">$EN59*FG59</f>
        <v>#NAME?</v>
      </c>
    </row>
    <row r="60" customFormat="false" ht="12.75" hidden="false" customHeight="false" outlineLevel="0" collapsed="false">
      <c r="A60" s="48" t="n">
        <f aca="false">DATE(YEAR(A59),MONTH(A59)+1,1)</f>
        <v>37469</v>
      </c>
      <c r="B60" s="40" t="n">
        <f aca="false">VLOOKUP(A60,STRADDLE,5,FALSE())</f>
        <v>3.71</v>
      </c>
      <c r="C60" s="4" t="n">
        <f aca="false">VLOOKUP(A60,STRADDLE,8,FALSE())</f>
        <v>0.29</v>
      </c>
      <c r="D60" s="40"/>
      <c r="E60" s="131"/>
      <c r="F60" s="136" t="n">
        <f aca="false">VLOOKUP(A60,expiration,2,FALSE())-$B$2</f>
        <v>-8460</v>
      </c>
      <c r="G60" s="4"/>
      <c r="H60" s="4"/>
      <c r="I60" s="41"/>
      <c r="J60" s="154"/>
      <c r="K60" s="40" t="n">
        <f aca="false">IF($B$3="NYMEX",0,VLOOKUP($A60,curvesettle,HLOOKUP($B$3,curvesettle,2,FALSE()),FALSE()))</f>
        <v>0.495</v>
      </c>
      <c r="L60" s="40" t="n">
        <f aca="false">IF($B$4="NYMEX",0,VLOOKUP($A60,curvesettle,HLOOKUP($B$4,curvesettle,2,FALSE()),FALSE()))</f>
        <v>0</v>
      </c>
      <c r="M60" s="131" t="n">
        <f aca="false">IF(ISNUMBER(VLOOKUP($A60,VOLCURVES,HLOOKUP($B$3,VOLCURVES,2,FALSE()),FALSE())),VLOOKUP($A60,VOLCURVES,HLOOKUP($B$3,VOLCURVES,2,FALSE()),FALSE()),1)</f>
        <v>0.98</v>
      </c>
      <c r="N60" s="131" t="n">
        <f aca="false">IF(ISNUMBER(VLOOKUP($A60,VOLCURVES,HLOOKUP($B$4,VOLCURVES,2,FALSE()),FALSE())),VLOOKUP($A60,VOLCURVES,HLOOKUP($B$4,VOLCURVES,2,FALSE()),FALSE()),1)</f>
        <v>1</v>
      </c>
      <c r="O60" s="131" t="n">
        <f aca="false">IF(ISNUMBER(VLOOKUP($A60,CORETABLE,HLOOKUP($B$3,CORETABLE,2,FALSE()),FALSE())),VLOOKUP($A60,CORETABLE,HLOOKUP($B$3,CORETABLE,2,FALSE()),FALSE()),0.99)</f>
        <v>0.980420749757432</v>
      </c>
      <c r="P60" s="155" t="n">
        <f aca="false">B$18</f>
        <v>2</v>
      </c>
      <c r="Q60" s="131"/>
      <c r="R60" s="40" t="n">
        <f aca="false">IF($D$3="NYMEX",0,VLOOKUP($A60,curvesettle,HLOOKUP($D$3,curvesettle,2,FALSE()),FALSE()))</f>
        <v>0.495</v>
      </c>
      <c r="S60" s="40" t="n">
        <f aca="false">IF($D$4="NYMEX",0,VLOOKUP($A60,curvesettle,HLOOKUP($D$4,curvesettle,2,FALSE()),FALSE()))</f>
        <v>0</v>
      </c>
      <c r="T60" s="131" t="n">
        <f aca="false">IF(ISNUMBER(VLOOKUP($A60,VOLCURVES,HLOOKUP($D$3,VOLCURVES,2,FALSE()),FALSE())),VLOOKUP($A60,VOLCURVES,HLOOKUP($D$3,VOLCURVES,2,FALSE()),FALSE()),1)</f>
        <v>0.98</v>
      </c>
      <c r="U60" s="131" t="n">
        <f aca="false">IF(ISNUMBER(VLOOKUP($A60,VOLCURVES,HLOOKUP($D$4,VOLCURVES,2,FALSE()),FALSE())),VLOOKUP($A60,VOLCURVES,HLOOKUP($D$4,VOLCURVES,2,FALSE()),FALSE()),1)</f>
        <v>1</v>
      </c>
      <c r="V60" s="131" t="n">
        <f aca="false">IF(ISNUMBER(VLOOKUP($A60,CORETABLE,HLOOKUP($D$3,CORETABLE,2,FALSE()),FALSE())),VLOOKUP($A60,CORETABLE,HLOOKUP($D$3,CORETABLE,2,FALSE()),FALSE()),0.99)</f>
        <v>0.980420749757432</v>
      </c>
      <c r="W60" s="155" t="n">
        <f aca="false">D$18</f>
        <v>2.5</v>
      </c>
      <c r="X60" s="131"/>
      <c r="Y60" s="40" t="n">
        <f aca="false">IF($F$3="NYMEX",0,VLOOKUP($A60,curvesettle,HLOOKUP($F$3,curvesettle,2,FALSE()),FALSE()))</f>
        <v>-0.535</v>
      </c>
      <c r="Z60" s="40" t="n">
        <f aca="false">IF($F$4="NYMEX",0,VLOOKUP($A60,curvesettle,HLOOKUP($F$4,curvesettle,2,FALSE()),FALSE()))</f>
        <v>0</v>
      </c>
      <c r="AA60" s="131" t="n">
        <f aca="false">IF(ISNUMBER(VLOOKUP($A60,VOLCURVES,HLOOKUP($F$3,VOLCURVES,2,FALSE()),FALSE())),VLOOKUP($A60,VOLCURVES,HLOOKUP($F$3,VOLCURVES,2,FALSE()),FALSE()),1)</f>
        <v>1</v>
      </c>
      <c r="AB60" s="131" t="n">
        <f aca="false">IF(ISNUMBER(VLOOKUP($A60,VOLCURVES,HLOOKUP($F$4,VOLCURVES,2,FALSE()),FALSE())),VLOOKUP($A60,VOLCURVES,HLOOKUP($F$4,VOLCURVES,2,FALSE()),FALSE()),1)</f>
        <v>1</v>
      </c>
      <c r="AC60" s="131" t="n">
        <f aca="false">IF(ISNUMBER(VLOOKUP($A60,CORETABLE,HLOOKUP($F$3,CORETABLE,2,FALSE()),FALSE())),VLOOKUP($A60,CORETABLE,HLOOKUP($F$3,CORETABLE,2,FALSE()),FALSE()),1)</f>
        <v>0.96</v>
      </c>
      <c r="AD60" s="155" t="n">
        <f aca="false">F$18</f>
        <v>-0.05</v>
      </c>
      <c r="AE60" s="131"/>
      <c r="AF60" s="40" t="n">
        <f aca="false">IF($H$3="NYMEX",0,VLOOKUP($A60,curvesettle,HLOOKUP($H$3,curvesettle,2,FALSE()),FALSE()))</f>
        <v>0.025</v>
      </c>
      <c r="AG60" s="40" t="n">
        <f aca="false">IF($H$4="NYMEX",0,VLOOKUP($A60,curvesettle,HLOOKUP($H$4,curvesettle,2,FALSE()),FALSE()))</f>
        <v>0</v>
      </c>
      <c r="AH60" s="131" t="n">
        <f aca="false">IF(ISNUMBER(VLOOKUP($A60,VOLCURVES,HLOOKUP($H$3,VOLCURVES,2,FALSE()),FALSE())),VLOOKUP($A60,VOLCURVES,HLOOKUP($H$3,VOLCURVES,2,FALSE()),FALSE()),1)</f>
        <v>1</v>
      </c>
      <c r="AI60" s="131" t="n">
        <f aca="false">IF(ISNUMBER(VLOOKUP($A60,VOLCURVES,HLOOKUP($H$4,VOLCURVES,2,FALSE()),FALSE())),VLOOKUP($A60,VOLCURVES,HLOOKUP($H$4,VOLCURVES,2,FALSE()),FALSE()),1)</f>
        <v>1</v>
      </c>
      <c r="AJ60" s="131" t="n">
        <f aca="false">IF(ISNUMBER(VLOOKUP($A60,CORETABLE,HLOOKUP($H$3,CORETABLE,2,FALSE()),FALSE())),VLOOKUP($A60,CORETABLE,HLOOKUP($H$3,CORETABLE,2,FALSE()),FALSE()),1)</f>
        <v>0.999</v>
      </c>
      <c r="AK60" s="155" t="n">
        <f aca="false">H$18</f>
        <v>-0.05</v>
      </c>
      <c r="AM60" s="4" t="n">
        <f aca="false">VLOOKUP($A60,STRADDLE,12,FALSE())</f>
        <v>0.067217129309422</v>
      </c>
      <c r="AN60" s="43" t="n">
        <f aca="false">A61-A60</f>
        <v>31</v>
      </c>
      <c r="AP60" s="9" t="n">
        <f aca="false">IF($A60&gt;=AR$32,IF($A60&lt;=AR$33,$AN60,0),0)</f>
        <v>0</v>
      </c>
      <c r="AQ60" s="123" t="n">
        <f aca="false">$B60+$K60+$B$12</f>
        <v>4.235</v>
      </c>
      <c r="AR60" s="123" t="n">
        <f aca="false">$B60+$L60+$B$13</f>
        <v>3.71</v>
      </c>
      <c r="AS60" s="123" t="n">
        <f aca="false">AQ60*AP60</f>
        <v>0</v>
      </c>
      <c r="AT60" s="123" t="n">
        <f aca="false">AR60*AP60</f>
        <v>0</v>
      </c>
      <c r="AU60" s="156" t="n">
        <f aca="false">($C60*$M60)+$B$14</f>
        <v>0.2842</v>
      </c>
      <c r="AV60" s="156" t="n">
        <f aca="false">($C60*$N60)+$B$15</f>
        <v>0.29</v>
      </c>
      <c r="AW60" s="131" t="n">
        <f aca="false">O60+B$16</f>
        <v>0.980420749757432</v>
      </c>
      <c r="AX60" s="157" t="n">
        <f aca="false">IF(AP60=0,0,SPRDOPT(AQ60,AR60,$P60,$AM60,AU60,AV60,AW60,$F60,$B$19,0))</f>
        <v>0</v>
      </c>
      <c r="AY60" s="157" t="e">
        <f aca="false">IF(AQ60=0,0,SPRDOPT(AQ60,AR60,$P60,$AM60,AU60,AV60,AW60,$F60,$B$19,1))</f>
        <v>#NAME?</v>
      </c>
      <c r="AZ60" s="157" t="e">
        <f aca="false">IF(AR60=0,0,SPRDOPT(AQ60,AR60,$P60,$AM60,AU60,AV60,AW60,$F60,$B$19,2))</f>
        <v>#NAME?</v>
      </c>
      <c r="BA60" s="157" t="n">
        <f aca="false">IF(AS60=0,0,SPRDOPT(AQ60,AR60,$P60,$AM60,AU60,AV60,AW60,$F60,$B$19,3)/100)</f>
        <v>0</v>
      </c>
      <c r="BB60" s="157" t="n">
        <f aca="false">IF(AT60=0,0,SPRDOPT(AQ60,AR60,$P60,$AM60,AU60,AV60,AW60,$F60,$B$19,4)/100)</f>
        <v>0</v>
      </c>
      <c r="BC60" s="157" t="e">
        <f aca="false">IF(AU60=0,0,SPRDOPT(AQ60,AR60,$P60,$AM60,AU60,AV60,AW60,$F60,$B$19,5)/100)</f>
        <v>#NAME?</v>
      </c>
      <c r="BD60" s="157" t="e">
        <f aca="false">IF(AV60=0,0,SPRDOPT(AQ60,AR60,$P60,$AM60,AU60,AV60,AW60,$F60,$B$19,6)/100)</f>
        <v>#NAME?</v>
      </c>
      <c r="BE60" s="157" t="e">
        <f aca="false">IF(AW60=0,0,SPRDOPT(AQ60,AR60,$P60,$AM60,AU60,AV60,AW60,$F60,$B$19,7)/100)</f>
        <v>#NAME?</v>
      </c>
      <c r="BF60" s="157" t="n">
        <f aca="false">IF(AX60=0,0,SPRDOPT(AQ60,AR60,$P60,$AM60,AU60,AV60,AW60,$F60,$B$19,9)/365)</f>
        <v>0</v>
      </c>
      <c r="BG60" s="157" t="e">
        <f aca="false">AY60+AZ60</f>
        <v>#NAME?</v>
      </c>
      <c r="BH60" s="157" t="n">
        <f aca="false">BB60-BA60</f>
        <v>0</v>
      </c>
      <c r="BI60" s="157" t="e">
        <f aca="false">((AU60/AV60)*BC60)+BD60</f>
        <v>#NAME?</v>
      </c>
      <c r="BJ60" s="44"/>
      <c r="BK60" s="45" t="n">
        <f aca="false">$AP60*AX60</f>
        <v>0</v>
      </c>
      <c r="BL60" s="45" t="e">
        <f aca="false">$AP60*AY60</f>
        <v>#NAME?</v>
      </c>
      <c r="BM60" s="45" t="e">
        <f aca="false">$AP60*AZ60</f>
        <v>#NAME?</v>
      </c>
      <c r="BN60" s="45" t="n">
        <f aca="false">$AP60*BA60</f>
        <v>0</v>
      </c>
      <c r="BO60" s="45" t="n">
        <f aca="false">$AP60*BB60</f>
        <v>0</v>
      </c>
      <c r="BP60" s="45" t="e">
        <f aca="false">$AP60*BC60</f>
        <v>#NAME?</v>
      </c>
      <c r="BQ60" s="45" t="e">
        <f aca="false">$AP60*BD60</f>
        <v>#NAME?</v>
      </c>
      <c r="BR60" s="45" t="e">
        <f aca="false">$AP60*BE60</f>
        <v>#NAME?</v>
      </c>
      <c r="BS60" s="45" t="n">
        <f aca="false">$AP60*BF60</f>
        <v>0</v>
      </c>
      <c r="BT60" s="45" t="e">
        <f aca="false">$AP60*BG60</f>
        <v>#NAME?</v>
      </c>
      <c r="BU60" s="45" t="n">
        <f aca="false">$AP60*BH60</f>
        <v>0</v>
      </c>
      <c r="BV60" s="45" t="e">
        <f aca="false">$AP60*BI60</f>
        <v>#NAME?</v>
      </c>
      <c r="BX60" s="9" t="n">
        <f aca="false">IF($A60&gt;=BZ$32,IF($A60&lt;=BZ$33,$AN60,0),0)</f>
        <v>0</v>
      </c>
      <c r="BY60" s="123" t="n">
        <f aca="false">$B60+$R60+$D$12</f>
        <v>4.235</v>
      </c>
      <c r="BZ60" s="123" t="n">
        <f aca="false">$B60+$S60+$D$13</f>
        <v>3.71</v>
      </c>
      <c r="CA60" s="123" t="n">
        <f aca="false">BY60*BX60</f>
        <v>0</v>
      </c>
      <c r="CB60" s="123" t="n">
        <f aca="false">BZ60*BX60</f>
        <v>0</v>
      </c>
      <c r="CC60" s="156" t="n">
        <f aca="false">($C60*$T60)+$D$14</f>
        <v>0.2842</v>
      </c>
      <c r="CD60" s="156" t="n">
        <f aca="false">($C60*$U60)+$D$15</f>
        <v>0.29</v>
      </c>
      <c r="CE60" s="131" t="n">
        <f aca="false">$V60+D$16</f>
        <v>0.980420749757432</v>
      </c>
      <c r="CF60" s="157" t="n">
        <f aca="false">IF(BX60=0,0,SPRDOPT(BY60,BZ60,$W60,$AM60,CC60,CD60,CE60,$F60,$D$19,0))</f>
        <v>0</v>
      </c>
      <c r="CG60" s="157" t="e">
        <f aca="false">IF(BY60=0,0,SPRDOPT(BY60,BZ60,$W60,$AM60,CC60,CD60,CE60,$F60,$D$19,1))</f>
        <v>#NAME?</v>
      </c>
      <c r="CH60" s="157" t="e">
        <f aca="false">IF(BZ60=0,0,SPRDOPT(BY60,BZ60,$W60,$AM60,CC60,CD60,CE60,$F60,$D$19,2))</f>
        <v>#NAME?</v>
      </c>
      <c r="CI60" s="157" t="n">
        <f aca="false">IF(CA60=0,0,SPRDOPT(BY60,BZ60,$W60,$AM60,CC60,CD60,CE60,$F60,$D$19,3)/100)</f>
        <v>0</v>
      </c>
      <c r="CJ60" s="157" t="n">
        <f aca="false">IF(CB60=0,0,SPRDOPT(BY60,BZ60,$W60,$AM60,CC60,CD60,CE60,$F60,$D$19,4)/100)</f>
        <v>0</v>
      </c>
      <c r="CK60" s="157" t="e">
        <f aca="false">IF(CC60=0,0,SPRDOPT(BY60,BZ60,$W60,$AM60,CC60,CD60,CE60,$F60,$D$19,5)/100)</f>
        <v>#NAME?</v>
      </c>
      <c r="CL60" s="157" t="e">
        <f aca="false">IF(CD60=0,0,SPRDOPT(BY60,BZ60,$W60,$AM60,CC60,CD60,CE60,$F60,$D$19,6)/100)</f>
        <v>#NAME?</v>
      </c>
      <c r="CM60" s="157" t="e">
        <f aca="false">IF(CE60=0,0,SPRDOPT(BY60,BZ60,$W60,$AM60,CC60,CD60,CE60,$F60,$D$19,7)/100)</f>
        <v>#NAME?</v>
      </c>
      <c r="CN60" s="157" t="n">
        <f aca="false">IF(CF60=0,0,SPRDOPT(BY60,BZ60,$W60,$AM60,CC60,CD60,CE60,$F60,$D$19,9)/365)</f>
        <v>0</v>
      </c>
      <c r="CO60" s="157" t="e">
        <f aca="false">CG60+CH60</f>
        <v>#NAME?</v>
      </c>
      <c r="CP60" s="157" t="n">
        <f aca="false">CJ60-CI60</f>
        <v>0</v>
      </c>
      <c r="CQ60" s="157" t="e">
        <f aca="false">((CC60/CD60)*CK60)+CL60</f>
        <v>#NAME?</v>
      </c>
      <c r="CR60" s="44"/>
      <c r="CS60" s="45" t="n">
        <f aca="false">BX60*CF60</f>
        <v>0</v>
      </c>
      <c r="CT60" s="45" t="e">
        <f aca="false">BX60*CG60</f>
        <v>#NAME?</v>
      </c>
      <c r="CU60" s="45" t="e">
        <f aca="false">BX60*CH60</f>
        <v>#NAME?</v>
      </c>
      <c r="CV60" s="45" t="n">
        <f aca="false">BX60*CI60</f>
        <v>0</v>
      </c>
      <c r="CW60" s="45" t="n">
        <f aca="false">BX60*CJ60</f>
        <v>0</v>
      </c>
      <c r="CX60" s="45" t="e">
        <f aca="false">BX60*CK60</f>
        <v>#NAME?</v>
      </c>
      <c r="CY60" s="45" t="e">
        <f aca="false">BX60*CL60</f>
        <v>#NAME?</v>
      </c>
      <c r="CZ60" s="45" t="e">
        <f aca="false">BX60*CM60</f>
        <v>#NAME?</v>
      </c>
      <c r="DA60" s="45" t="n">
        <f aca="false">BX60*CN60</f>
        <v>0</v>
      </c>
      <c r="DB60" s="45" t="e">
        <f aca="false">BX60*CO60</f>
        <v>#NAME?</v>
      </c>
      <c r="DC60" s="45" t="n">
        <f aca="false">BX60*CP60</f>
        <v>0</v>
      </c>
      <c r="DD60" s="45" t="e">
        <f aca="false">BX60*CQ60</f>
        <v>#NAME?</v>
      </c>
      <c r="DF60" s="9" t="n">
        <f aca="false">IF($A60&gt;=DH$32,IF($A60&lt;=DH$33,$AN60,0),0)</f>
        <v>0</v>
      </c>
      <c r="DG60" s="123" t="n">
        <f aca="false">$B60+$Y60+$F$12</f>
        <v>3.18</v>
      </c>
      <c r="DH60" s="123" t="n">
        <f aca="false">$B60+$Z60+$F$13</f>
        <v>3.71</v>
      </c>
      <c r="DI60" s="123" t="n">
        <f aca="false">DG60*DF60</f>
        <v>0</v>
      </c>
      <c r="DJ60" s="123" t="n">
        <f aca="false">DH60*DF60</f>
        <v>0</v>
      </c>
      <c r="DK60" s="156" t="n">
        <f aca="false">($C60*$AA60)+$F$14</f>
        <v>0.29</v>
      </c>
      <c r="DL60" s="156" t="n">
        <f aca="false">($C60*$AB60)+$F$15</f>
        <v>0.29</v>
      </c>
      <c r="DM60" s="131" t="n">
        <f aca="false">$AC60+$F$16</f>
        <v>0.974</v>
      </c>
      <c r="DN60" s="157" t="n">
        <f aca="false">IF(DF60=0,0,SPRDOPT(DG60,DH60,$AD60,$AM60,DK60,DL60,DM60,$F60,$F$19,0))</f>
        <v>0</v>
      </c>
      <c r="DO60" s="157" t="e">
        <f aca="false">IF(DG60=0,0,SPRDOPT(DG60,DH60,$AD60,$AM60,DK60,DL60,DM60,$F60,$F$19,1))</f>
        <v>#NAME?</v>
      </c>
      <c r="DP60" s="157" t="e">
        <f aca="false">IF(DH60=0,0,SPRDOPT(DG60,DH60,$AD60,$AM60,DK60,DL60,DM60,$F60,$F$19,2))</f>
        <v>#NAME?</v>
      </c>
      <c r="DQ60" s="157" t="n">
        <f aca="false">IF(DI60=0,0,SPRDOPT(DG60,DH60,$AD60,$AM60,DK60,DL60,DM60,$F60,$F$19,3)/100)</f>
        <v>0</v>
      </c>
      <c r="DR60" s="157" t="n">
        <f aca="false">IF(DJ60=0,0,SPRDOPT(DG60,DH60,$AD60,$AM60,DK60,DL60,DM60,$F60,$F$19,4)/100)</f>
        <v>0</v>
      </c>
      <c r="DS60" s="157" t="e">
        <f aca="false">IF(DK60=0,0,SPRDOPT(DG60,DH60,$AD60,$AM60,DK60,DL60,DM60,$F60,$F$19,5)/100)</f>
        <v>#NAME?</v>
      </c>
      <c r="DT60" s="157" t="e">
        <f aca="false">IF(DL60=0,0,SPRDOPT(DG60,DH60,$AD60,$AM60,DK60,DL60,DM60,$F60,$F$19,6)/100)</f>
        <v>#NAME?</v>
      </c>
      <c r="DU60" s="157" t="e">
        <f aca="false">IF(DM60=0,0,SPRDOPT(DG60,DH60,$AD60,$AM60,DK60,DL60,DM60,$F60,$F$19,7)/100)</f>
        <v>#NAME?</v>
      </c>
      <c r="DV60" s="157" t="n">
        <f aca="false">IF(DN60=0,0,SPRDOPT(DG60,DH60,$AD60,$AM60,DK60,DL60,DM60,$F60,$F$19,9)/365)</f>
        <v>0</v>
      </c>
      <c r="DW60" s="157" t="e">
        <f aca="false">DO60+DP60</f>
        <v>#NAME?</v>
      </c>
      <c r="DX60" s="157" t="n">
        <f aca="false">DR60-DQ60</f>
        <v>0</v>
      </c>
      <c r="DY60" s="157" t="e">
        <f aca="false">((DK60/DL60)*DS60)+DT60</f>
        <v>#NAME?</v>
      </c>
      <c r="DZ60" s="44"/>
      <c r="EA60" s="45" t="n">
        <f aca="false">DF60*DN60</f>
        <v>0</v>
      </c>
      <c r="EB60" s="45" t="e">
        <f aca="false">DF60*DO60</f>
        <v>#NAME?</v>
      </c>
      <c r="EC60" s="45" t="e">
        <f aca="false">DF60*DP60</f>
        <v>#NAME?</v>
      </c>
      <c r="ED60" s="45" t="n">
        <f aca="false">DF60*DQ60</f>
        <v>0</v>
      </c>
      <c r="EE60" s="45" t="n">
        <f aca="false">DF60*DR60</f>
        <v>0</v>
      </c>
      <c r="EF60" s="45" t="e">
        <f aca="false">DF60*DS60</f>
        <v>#NAME?</v>
      </c>
      <c r="EG60" s="45" t="e">
        <f aca="false">DF60*DT60</f>
        <v>#NAME?</v>
      </c>
      <c r="EH60" s="45" t="e">
        <f aca="false">DF60*DU60</f>
        <v>#NAME?</v>
      </c>
      <c r="EI60" s="45" t="n">
        <f aca="false">DF60*DV60</f>
        <v>0</v>
      </c>
      <c r="EJ60" s="45" t="e">
        <f aca="false">DF60*DW60</f>
        <v>#NAME?</v>
      </c>
      <c r="EK60" s="45" t="n">
        <f aca="false">DF60*DX60</f>
        <v>0</v>
      </c>
      <c r="EL60" s="45" t="e">
        <f aca="false">DF60*DY60</f>
        <v>#NAME?</v>
      </c>
      <c r="EN60" s="9" t="n">
        <f aca="false">IF($A60&gt;=EP$32,IF($A60&lt;=EP$33,$AN60,0),0)</f>
        <v>0</v>
      </c>
      <c r="EO60" s="123" t="n">
        <f aca="false">$B60+$AF60+$H$12</f>
        <v>3.735</v>
      </c>
      <c r="EP60" s="123" t="n">
        <f aca="false">$B60+$AG60+$H$13</f>
        <v>3.71</v>
      </c>
      <c r="EQ60" s="123" t="n">
        <f aca="false">EO60*EN60</f>
        <v>0</v>
      </c>
      <c r="ER60" s="123" t="n">
        <f aca="false">EP60*EN60</f>
        <v>0</v>
      </c>
      <c r="ES60" s="156" t="n">
        <f aca="false">($C60*$AH60)+$H$14</f>
        <v>0.29</v>
      </c>
      <c r="ET60" s="156" t="n">
        <f aca="false">($C60*$AI60)+$H$15</f>
        <v>0.29</v>
      </c>
      <c r="EU60" s="131" t="n">
        <f aca="false">$AJ60+$H$16</f>
        <v>0.998</v>
      </c>
      <c r="EV60" s="157" t="n">
        <f aca="false">IF(EN60=0,0,SPRDOPT(EO60,EP60,$AK60,$AM60,ES60,ET60,EU60,$F60,$H$19,0))</f>
        <v>0</v>
      </c>
      <c r="EW60" s="157" t="e">
        <f aca="false">IF(EO60=0,0,SPRDOPT(EO60,EP60,$AK60,$AM60,ES60,ET60,EU60,$F60,$H$19,1))</f>
        <v>#NAME?</v>
      </c>
      <c r="EX60" s="157" t="e">
        <f aca="false">IF(EP60=0,0,SPRDOPT(EO60,EP60,$AK60,$AM60,ES60,ET60,EU60,$F60,$H$19,2))</f>
        <v>#NAME?</v>
      </c>
      <c r="EY60" s="157" t="n">
        <f aca="false">IF(EQ60=0,0,SPRDOPT(EO60,EP60,$AK60,$AM60,ES60,ET60,EU60,$F60,$H$19,3)/100)</f>
        <v>0</v>
      </c>
      <c r="EZ60" s="157" t="n">
        <f aca="false">IF(ER60=0,0,SPRDOPT(EO60,EP60,$AK60,$AM60,ES60,ET60,EU60,$F60,$H$19,4)/100)</f>
        <v>0</v>
      </c>
      <c r="FA60" s="157" t="e">
        <f aca="false">IF(ES60=0,0,SPRDOPT(EO60,EP60,$AK60,$AM60,ES60,ET60,EU60,$F60,$H$19,5)/100)</f>
        <v>#NAME?</v>
      </c>
      <c r="FB60" s="157" t="e">
        <f aca="false">IF(ET60=0,0,SPRDOPT(EO60,EP60,$AK60,$AM60,ES60,ET60,EU60,$F60,$H$19,6)/100)</f>
        <v>#NAME?</v>
      </c>
      <c r="FC60" s="157" t="e">
        <f aca="false">IF(EU60=0,0,SPRDOPT(EO60,EP60,$AK60,$AM60,ES60,ET60,EU60,$F60,$H$19,7)/100)</f>
        <v>#NAME?</v>
      </c>
      <c r="FD60" s="157" t="n">
        <f aca="false">IF(EV60=0,0,SPRDOPT(EO60,EP60,$AK60,$AM60,ES60,ET60,EU60,$F60,$H$19,9)/365)</f>
        <v>0</v>
      </c>
      <c r="FE60" s="157" t="e">
        <f aca="false">EW60+EX60</f>
        <v>#NAME?</v>
      </c>
      <c r="FF60" s="157" t="n">
        <f aca="false">EZ60-EY60</f>
        <v>0</v>
      </c>
      <c r="FG60" s="157" t="e">
        <f aca="false">((ES60/ET60)*FA60)+FB60</f>
        <v>#NAME?</v>
      </c>
      <c r="FH60" s="44"/>
      <c r="FI60" s="45" t="n">
        <f aca="false">$EN60*EV60</f>
        <v>0</v>
      </c>
      <c r="FJ60" s="45" t="e">
        <f aca="false">$EN60*EW60</f>
        <v>#NAME?</v>
      </c>
      <c r="FK60" s="45" t="e">
        <f aca="false">$EN60*EX60</f>
        <v>#NAME?</v>
      </c>
      <c r="FL60" s="45" t="n">
        <f aca="false">$EN60*EY60</f>
        <v>0</v>
      </c>
      <c r="FM60" s="45" t="n">
        <f aca="false">$EN60*EZ60</f>
        <v>0</v>
      </c>
      <c r="FN60" s="45" t="e">
        <f aca="false">$EN60*FA60</f>
        <v>#NAME?</v>
      </c>
      <c r="FO60" s="45" t="e">
        <f aca="false">$EN60*FB60</f>
        <v>#NAME?</v>
      </c>
      <c r="FP60" s="45" t="e">
        <f aca="false">$EN60*FC60</f>
        <v>#NAME?</v>
      </c>
      <c r="FQ60" s="45" t="n">
        <f aca="false">$EN60*FD60</f>
        <v>0</v>
      </c>
      <c r="FR60" s="45" t="e">
        <f aca="false">$EN60*FE60</f>
        <v>#NAME?</v>
      </c>
      <c r="FS60" s="45" t="n">
        <f aca="false">$EN60*FF60</f>
        <v>0</v>
      </c>
      <c r="FT60" s="45" t="e">
        <f aca="false">$EN60*FG60</f>
        <v>#NAME?</v>
      </c>
    </row>
    <row r="61" customFormat="false" ht="12.75" hidden="false" customHeight="false" outlineLevel="0" collapsed="false">
      <c r="A61" s="48" t="n">
        <f aca="false">DATE(YEAR(A60),MONTH(A60)+1,1)</f>
        <v>37500</v>
      </c>
      <c r="B61" s="40" t="n">
        <f aca="false">VLOOKUP(A61,STRADDLE,5,FALSE())</f>
        <v>3.705</v>
      </c>
      <c r="C61" s="4" t="n">
        <f aca="false">VLOOKUP(A61,STRADDLE,8,FALSE())</f>
        <v>0.29</v>
      </c>
      <c r="D61" s="40"/>
      <c r="E61" s="131"/>
      <c r="F61" s="136" t="n">
        <f aca="false">VLOOKUP(A61,expiration,2,FALSE())-$B$2</f>
        <v>-8430</v>
      </c>
      <c r="G61" s="4"/>
      <c r="H61" s="4"/>
      <c r="I61" s="41"/>
      <c r="J61" s="154"/>
      <c r="K61" s="40" t="n">
        <f aca="false">IF($B$3="NYMEX",0,VLOOKUP($A61,curvesettle,HLOOKUP($B$3,curvesettle,2,FALSE()),FALSE()))</f>
        <v>0.395</v>
      </c>
      <c r="L61" s="40" t="n">
        <f aca="false">IF($B$4="NYMEX",0,VLOOKUP($A61,curvesettle,HLOOKUP($B$4,curvesettle,2,FALSE()),FALSE()))</f>
        <v>0</v>
      </c>
      <c r="M61" s="131" t="n">
        <f aca="false">IF(ISNUMBER(VLOOKUP($A61,VOLCURVES,HLOOKUP($B$3,VOLCURVES,2,FALSE()),FALSE())),VLOOKUP($A61,VOLCURVES,HLOOKUP($B$3,VOLCURVES,2,FALSE()),FALSE()),1)</f>
        <v>0.98</v>
      </c>
      <c r="N61" s="131" t="n">
        <f aca="false">IF(ISNUMBER(VLOOKUP($A61,VOLCURVES,HLOOKUP($B$4,VOLCURVES,2,FALSE()),FALSE())),VLOOKUP($A61,VOLCURVES,HLOOKUP($B$4,VOLCURVES,2,FALSE()),FALSE()),1)</f>
        <v>1</v>
      </c>
      <c r="O61" s="131" t="n">
        <f aca="false">IF(ISNUMBER(VLOOKUP($A61,CORETABLE,HLOOKUP($B$3,CORETABLE,2,FALSE()),FALSE())),VLOOKUP($A61,CORETABLE,HLOOKUP($B$3,CORETABLE,2,FALSE()),FALSE()),0.99)</f>
        <v>0.980420749757432</v>
      </c>
      <c r="P61" s="155" t="n">
        <f aca="false">B$18</f>
        <v>2</v>
      </c>
      <c r="Q61" s="131"/>
      <c r="R61" s="40" t="n">
        <f aca="false">IF($D$3="NYMEX",0,VLOOKUP($A61,curvesettle,HLOOKUP($D$3,curvesettle,2,FALSE()),FALSE()))</f>
        <v>0.395</v>
      </c>
      <c r="S61" s="40" t="n">
        <f aca="false">IF($D$4="NYMEX",0,VLOOKUP($A61,curvesettle,HLOOKUP($D$4,curvesettle,2,FALSE()),FALSE()))</f>
        <v>0</v>
      </c>
      <c r="T61" s="131" t="n">
        <f aca="false">IF(ISNUMBER(VLOOKUP($A61,VOLCURVES,HLOOKUP($D$3,VOLCURVES,2,FALSE()),FALSE())),VLOOKUP($A61,VOLCURVES,HLOOKUP($D$3,VOLCURVES,2,FALSE()),FALSE()),1)</f>
        <v>0.98</v>
      </c>
      <c r="U61" s="131" t="n">
        <f aca="false">IF(ISNUMBER(VLOOKUP($A61,VOLCURVES,HLOOKUP($D$4,VOLCURVES,2,FALSE()),FALSE())),VLOOKUP($A61,VOLCURVES,HLOOKUP($D$4,VOLCURVES,2,FALSE()),FALSE()),1)</f>
        <v>1</v>
      </c>
      <c r="V61" s="131" t="n">
        <f aca="false">IF(ISNUMBER(VLOOKUP($A61,CORETABLE,HLOOKUP($D$3,CORETABLE,2,FALSE()),FALSE())),VLOOKUP($A61,CORETABLE,HLOOKUP($D$3,CORETABLE,2,FALSE()),FALSE()),0.99)</f>
        <v>0.980420749757432</v>
      </c>
      <c r="W61" s="155" t="n">
        <f aca="false">D$18</f>
        <v>2.5</v>
      </c>
      <c r="X61" s="131"/>
      <c r="Y61" s="40" t="n">
        <f aca="false">IF($F$3="NYMEX",0,VLOOKUP($A61,curvesettle,HLOOKUP($F$3,curvesettle,2,FALSE()),FALSE()))</f>
        <v>-0.535</v>
      </c>
      <c r="Z61" s="40" t="n">
        <f aca="false">IF($F$4="NYMEX",0,VLOOKUP($A61,curvesettle,HLOOKUP($F$4,curvesettle,2,FALSE()),FALSE()))</f>
        <v>0</v>
      </c>
      <c r="AA61" s="131" t="n">
        <f aca="false">IF(ISNUMBER(VLOOKUP($A61,VOLCURVES,HLOOKUP($F$3,VOLCURVES,2,FALSE()),FALSE())),VLOOKUP($A61,VOLCURVES,HLOOKUP($F$3,VOLCURVES,2,FALSE()),FALSE()),1)</f>
        <v>1</v>
      </c>
      <c r="AB61" s="131" t="n">
        <f aca="false">IF(ISNUMBER(VLOOKUP($A61,VOLCURVES,HLOOKUP($F$4,VOLCURVES,2,FALSE()),FALSE())),VLOOKUP($A61,VOLCURVES,HLOOKUP($F$4,VOLCURVES,2,FALSE()),FALSE()),1)</f>
        <v>1</v>
      </c>
      <c r="AC61" s="131" t="n">
        <f aca="false">IF(ISNUMBER(VLOOKUP($A61,CORETABLE,HLOOKUP($F$3,CORETABLE,2,FALSE()),FALSE())),VLOOKUP($A61,CORETABLE,HLOOKUP($F$3,CORETABLE,2,FALSE()),FALSE()),1)</f>
        <v>0.96</v>
      </c>
      <c r="AD61" s="155" t="n">
        <f aca="false">F$18</f>
        <v>-0.05</v>
      </c>
      <c r="AE61" s="131"/>
      <c r="AF61" s="40" t="n">
        <f aca="false">IF($H$3="NYMEX",0,VLOOKUP($A61,curvesettle,HLOOKUP($H$3,curvesettle,2,FALSE()),FALSE()))</f>
        <v>0.0175</v>
      </c>
      <c r="AG61" s="40" t="n">
        <f aca="false">IF($H$4="NYMEX",0,VLOOKUP($A61,curvesettle,HLOOKUP($H$4,curvesettle,2,FALSE()),FALSE()))</f>
        <v>0</v>
      </c>
      <c r="AH61" s="131" t="n">
        <f aca="false">IF(ISNUMBER(VLOOKUP($A61,VOLCURVES,HLOOKUP($H$3,VOLCURVES,2,FALSE()),FALSE())),VLOOKUP($A61,VOLCURVES,HLOOKUP($H$3,VOLCURVES,2,FALSE()),FALSE()),1)</f>
        <v>1</v>
      </c>
      <c r="AI61" s="131" t="n">
        <f aca="false">IF(ISNUMBER(VLOOKUP($A61,VOLCURVES,HLOOKUP($H$4,VOLCURVES,2,FALSE()),FALSE())),VLOOKUP($A61,VOLCURVES,HLOOKUP($H$4,VOLCURVES,2,FALSE()),FALSE()),1)</f>
        <v>1</v>
      </c>
      <c r="AJ61" s="131" t="n">
        <f aca="false">IF(ISNUMBER(VLOOKUP($A61,CORETABLE,HLOOKUP($H$3,CORETABLE,2,FALSE()),FALSE())),VLOOKUP($A61,CORETABLE,HLOOKUP($H$3,CORETABLE,2,FALSE()),FALSE()),1)</f>
        <v>0.999</v>
      </c>
      <c r="AK61" s="155" t="n">
        <f aca="false">H$18</f>
        <v>-0.05</v>
      </c>
      <c r="AM61" s="4" t="n">
        <f aca="false">VLOOKUP($A61,STRADDLE,12,FALSE())</f>
        <v>0.06720377823263</v>
      </c>
      <c r="AN61" s="43" t="n">
        <f aca="false">A62-A61</f>
        <v>30</v>
      </c>
      <c r="AP61" s="9" t="n">
        <f aca="false">IF($A61&gt;=AR$32,IF($A61&lt;=AR$33,$AN61,0),0)</f>
        <v>0</v>
      </c>
      <c r="AQ61" s="123" t="n">
        <f aca="false">$B61+$K61+$B$12</f>
        <v>4.13</v>
      </c>
      <c r="AR61" s="123" t="n">
        <f aca="false">$B61+$L61+$B$13</f>
        <v>3.705</v>
      </c>
      <c r="AS61" s="123" t="n">
        <f aca="false">AQ61*AP61</f>
        <v>0</v>
      </c>
      <c r="AT61" s="123" t="n">
        <f aca="false">AR61*AP61</f>
        <v>0</v>
      </c>
      <c r="AU61" s="156" t="n">
        <f aca="false">($C61*$M61)+$B$14</f>
        <v>0.2842</v>
      </c>
      <c r="AV61" s="156" t="n">
        <f aca="false">($C61*$N61)+$B$15</f>
        <v>0.29</v>
      </c>
      <c r="AW61" s="131" t="n">
        <f aca="false">O61+B$16</f>
        <v>0.980420749757432</v>
      </c>
      <c r="AX61" s="157" t="n">
        <f aca="false">IF(AP61=0,0,SPRDOPT(AQ61,AR61,$P61,$AM61,AU61,AV61,AW61,$F61,$B$19,0))</f>
        <v>0</v>
      </c>
      <c r="AY61" s="157" t="e">
        <f aca="false">IF(AQ61=0,0,SPRDOPT(AQ61,AR61,$P61,$AM61,AU61,AV61,AW61,$F61,$B$19,1))</f>
        <v>#NAME?</v>
      </c>
      <c r="AZ61" s="157" t="e">
        <f aca="false">IF(AR61=0,0,SPRDOPT(AQ61,AR61,$P61,$AM61,AU61,AV61,AW61,$F61,$B$19,2))</f>
        <v>#NAME?</v>
      </c>
      <c r="BA61" s="157" t="n">
        <f aca="false">IF(AS61=0,0,SPRDOPT(AQ61,AR61,$P61,$AM61,AU61,AV61,AW61,$F61,$B$19,3)/100)</f>
        <v>0</v>
      </c>
      <c r="BB61" s="157" t="n">
        <f aca="false">IF(AT61=0,0,SPRDOPT(AQ61,AR61,$P61,$AM61,AU61,AV61,AW61,$F61,$B$19,4)/100)</f>
        <v>0</v>
      </c>
      <c r="BC61" s="157" t="e">
        <f aca="false">IF(AU61=0,0,SPRDOPT(AQ61,AR61,$P61,$AM61,AU61,AV61,AW61,$F61,$B$19,5)/100)</f>
        <v>#NAME?</v>
      </c>
      <c r="BD61" s="157" t="e">
        <f aca="false">IF(AV61=0,0,SPRDOPT(AQ61,AR61,$P61,$AM61,AU61,AV61,AW61,$F61,$B$19,6)/100)</f>
        <v>#NAME?</v>
      </c>
      <c r="BE61" s="157" t="e">
        <f aca="false">IF(AW61=0,0,SPRDOPT(AQ61,AR61,$P61,$AM61,AU61,AV61,AW61,$F61,$B$19,7)/100)</f>
        <v>#NAME?</v>
      </c>
      <c r="BF61" s="157" t="n">
        <f aca="false">IF(AX61=0,0,SPRDOPT(AQ61,AR61,$P61,$AM61,AU61,AV61,AW61,$F61,$B$19,9)/365)</f>
        <v>0</v>
      </c>
      <c r="BG61" s="157" t="e">
        <f aca="false">AY61+AZ61</f>
        <v>#NAME?</v>
      </c>
      <c r="BH61" s="157" t="n">
        <f aca="false">BB61-BA61</f>
        <v>0</v>
      </c>
      <c r="BI61" s="157" t="e">
        <f aca="false">((AU61/AV61)*BC61)+BD61</f>
        <v>#NAME?</v>
      </c>
      <c r="BJ61" s="44"/>
      <c r="BK61" s="45" t="n">
        <f aca="false">$AP61*AX61</f>
        <v>0</v>
      </c>
      <c r="BL61" s="45" t="e">
        <f aca="false">$AP61*AY61</f>
        <v>#NAME?</v>
      </c>
      <c r="BM61" s="45" t="e">
        <f aca="false">$AP61*AZ61</f>
        <v>#NAME?</v>
      </c>
      <c r="BN61" s="45" t="n">
        <f aca="false">$AP61*BA61</f>
        <v>0</v>
      </c>
      <c r="BO61" s="45" t="n">
        <f aca="false">$AP61*BB61</f>
        <v>0</v>
      </c>
      <c r="BP61" s="45" t="e">
        <f aca="false">$AP61*BC61</f>
        <v>#NAME?</v>
      </c>
      <c r="BQ61" s="45" t="e">
        <f aca="false">$AP61*BD61</f>
        <v>#NAME?</v>
      </c>
      <c r="BR61" s="45" t="e">
        <f aca="false">$AP61*BE61</f>
        <v>#NAME?</v>
      </c>
      <c r="BS61" s="45" t="n">
        <f aca="false">$AP61*BF61</f>
        <v>0</v>
      </c>
      <c r="BT61" s="45" t="e">
        <f aca="false">$AP61*BG61</f>
        <v>#NAME?</v>
      </c>
      <c r="BU61" s="45" t="n">
        <f aca="false">$AP61*BH61</f>
        <v>0</v>
      </c>
      <c r="BV61" s="45" t="e">
        <f aca="false">$AP61*BI61</f>
        <v>#NAME?</v>
      </c>
      <c r="BX61" s="9" t="n">
        <f aca="false">IF($A61&gt;=BZ$32,IF($A61&lt;=BZ$33,$AN61,0),0)</f>
        <v>0</v>
      </c>
      <c r="BY61" s="123" t="n">
        <f aca="false">$B61+$R61+$D$12</f>
        <v>4.13</v>
      </c>
      <c r="BZ61" s="123" t="n">
        <f aca="false">$B61+$S61+$D$13</f>
        <v>3.705</v>
      </c>
      <c r="CA61" s="123" t="n">
        <f aca="false">BY61*BX61</f>
        <v>0</v>
      </c>
      <c r="CB61" s="123" t="n">
        <f aca="false">BZ61*BX61</f>
        <v>0</v>
      </c>
      <c r="CC61" s="156" t="n">
        <f aca="false">($C61*$T61)+$D$14</f>
        <v>0.2842</v>
      </c>
      <c r="CD61" s="156" t="n">
        <f aca="false">($C61*$U61)+$D$15</f>
        <v>0.29</v>
      </c>
      <c r="CE61" s="131" t="n">
        <f aca="false">$V61+D$16</f>
        <v>0.980420749757432</v>
      </c>
      <c r="CF61" s="157" t="n">
        <f aca="false">IF(BX61=0,0,SPRDOPT(BY61,BZ61,$W61,$AM61,CC61,CD61,CE61,$F61,$D$19,0))</f>
        <v>0</v>
      </c>
      <c r="CG61" s="157" t="e">
        <f aca="false">IF(BY61=0,0,SPRDOPT(BY61,BZ61,$W61,$AM61,CC61,CD61,CE61,$F61,$D$19,1))</f>
        <v>#NAME?</v>
      </c>
      <c r="CH61" s="157" t="e">
        <f aca="false">IF(BZ61=0,0,SPRDOPT(BY61,BZ61,$W61,$AM61,CC61,CD61,CE61,$F61,$D$19,2))</f>
        <v>#NAME?</v>
      </c>
      <c r="CI61" s="157" t="n">
        <f aca="false">IF(CA61=0,0,SPRDOPT(BY61,BZ61,$W61,$AM61,CC61,CD61,CE61,$F61,$D$19,3)/100)</f>
        <v>0</v>
      </c>
      <c r="CJ61" s="157" t="n">
        <f aca="false">IF(CB61=0,0,SPRDOPT(BY61,BZ61,$W61,$AM61,CC61,CD61,CE61,$F61,$D$19,4)/100)</f>
        <v>0</v>
      </c>
      <c r="CK61" s="157" t="e">
        <f aca="false">IF(CC61=0,0,SPRDOPT(BY61,BZ61,$W61,$AM61,CC61,CD61,CE61,$F61,$D$19,5)/100)</f>
        <v>#NAME?</v>
      </c>
      <c r="CL61" s="157" t="e">
        <f aca="false">IF(CD61=0,0,SPRDOPT(BY61,BZ61,$W61,$AM61,CC61,CD61,CE61,$F61,$D$19,6)/100)</f>
        <v>#NAME?</v>
      </c>
      <c r="CM61" s="157" t="e">
        <f aca="false">IF(CE61=0,0,SPRDOPT(BY61,BZ61,$W61,$AM61,CC61,CD61,CE61,$F61,$D$19,7)/100)</f>
        <v>#NAME?</v>
      </c>
      <c r="CN61" s="157" t="n">
        <f aca="false">IF(CF61=0,0,SPRDOPT(BY61,BZ61,$W61,$AM61,CC61,CD61,CE61,$F61,$D$19,9)/365)</f>
        <v>0</v>
      </c>
      <c r="CO61" s="157" t="e">
        <f aca="false">CG61+CH61</f>
        <v>#NAME?</v>
      </c>
      <c r="CP61" s="157" t="n">
        <f aca="false">CJ61-CI61</f>
        <v>0</v>
      </c>
      <c r="CQ61" s="157" t="e">
        <f aca="false">((CC61/CD61)*CK61)+CL61</f>
        <v>#NAME?</v>
      </c>
      <c r="CR61" s="44"/>
      <c r="CS61" s="45" t="n">
        <f aca="false">BX61*CF61</f>
        <v>0</v>
      </c>
      <c r="CT61" s="45" t="e">
        <f aca="false">BX61*CG61</f>
        <v>#NAME?</v>
      </c>
      <c r="CU61" s="45" t="e">
        <f aca="false">BX61*CH61</f>
        <v>#NAME?</v>
      </c>
      <c r="CV61" s="45" t="n">
        <f aca="false">BX61*CI61</f>
        <v>0</v>
      </c>
      <c r="CW61" s="45" t="n">
        <f aca="false">BX61*CJ61</f>
        <v>0</v>
      </c>
      <c r="CX61" s="45" t="e">
        <f aca="false">BX61*CK61</f>
        <v>#NAME?</v>
      </c>
      <c r="CY61" s="45" t="e">
        <f aca="false">BX61*CL61</f>
        <v>#NAME?</v>
      </c>
      <c r="CZ61" s="45" t="e">
        <f aca="false">BX61*CM61</f>
        <v>#NAME?</v>
      </c>
      <c r="DA61" s="45" t="n">
        <f aca="false">BX61*CN61</f>
        <v>0</v>
      </c>
      <c r="DB61" s="45" t="e">
        <f aca="false">BX61*CO61</f>
        <v>#NAME?</v>
      </c>
      <c r="DC61" s="45" t="n">
        <f aca="false">BX61*CP61</f>
        <v>0</v>
      </c>
      <c r="DD61" s="45" t="e">
        <f aca="false">BX61*CQ61</f>
        <v>#NAME?</v>
      </c>
      <c r="DF61" s="9" t="n">
        <f aca="false">IF($A61&gt;=DH$32,IF($A61&lt;=DH$33,$AN61,0),0)</f>
        <v>0</v>
      </c>
      <c r="DG61" s="123" t="n">
        <f aca="false">$B61+$Y61+$F$12</f>
        <v>3.175</v>
      </c>
      <c r="DH61" s="123" t="n">
        <f aca="false">$B61+$Z61+$F$13</f>
        <v>3.705</v>
      </c>
      <c r="DI61" s="123" t="n">
        <f aca="false">DG61*DF61</f>
        <v>0</v>
      </c>
      <c r="DJ61" s="123" t="n">
        <f aca="false">DH61*DF61</f>
        <v>0</v>
      </c>
      <c r="DK61" s="156" t="n">
        <f aca="false">($C61*$AA61)+$F$14</f>
        <v>0.29</v>
      </c>
      <c r="DL61" s="156" t="n">
        <f aca="false">($C61*$AB61)+$F$15</f>
        <v>0.29</v>
      </c>
      <c r="DM61" s="131" t="n">
        <f aca="false">$AC61+$F$16</f>
        <v>0.974</v>
      </c>
      <c r="DN61" s="157" t="n">
        <f aca="false">IF(DF61=0,0,SPRDOPT(DG61,DH61,$AD61,$AM61,DK61,DL61,DM61,$F61,$F$19,0))</f>
        <v>0</v>
      </c>
      <c r="DO61" s="157" t="e">
        <f aca="false">IF(DG61=0,0,SPRDOPT(DG61,DH61,$AD61,$AM61,DK61,DL61,DM61,$F61,$F$19,1))</f>
        <v>#NAME?</v>
      </c>
      <c r="DP61" s="157" t="e">
        <f aca="false">IF(DH61=0,0,SPRDOPT(DG61,DH61,$AD61,$AM61,DK61,DL61,DM61,$F61,$F$19,2))</f>
        <v>#NAME?</v>
      </c>
      <c r="DQ61" s="157" t="n">
        <f aca="false">IF(DI61=0,0,SPRDOPT(DG61,DH61,$AD61,$AM61,DK61,DL61,DM61,$F61,$F$19,3)/100)</f>
        <v>0</v>
      </c>
      <c r="DR61" s="157" t="n">
        <f aca="false">IF(DJ61=0,0,SPRDOPT(DG61,DH61,$AD61,$AM61,DK61,DL61,DM61,$F61,$F$19,4)/100)</f>
        <v>0</v>
      </c>
      <c r="DS61" s="157" t="e">
        <f aca="false">IF(DK61=0,0,SPRDOPT(DG61,DH61,$AD61,$AM61,DK61,DL61,DM61,$F61,$F$19,5)/100)</f>
        <v>#NAME?</v>
      </c>
      <c r="DT61" s="157" t="e">
        <f aca="false">IF(DL61=0,0,SPRDOPT(DG61,DH61,$AD61,$AM61,DK61,DL61,DM61,$F61,$F$19,6)/100)</f>
        <v>#NAME?</v>
      </c>
      <c r="DU61" s="157" t="e">
        <f aca="false">IF(DM61=0,0,SPRDOPT(DG61,DH61,$AD61,$AM61,DK61,DL61,DM61,$F61,$F$19,7)/100)</f>
        <v>#NAME?</v>
      </c>
      <c r="DV61" s="157" t="n">
        <f aca="false">IF(DN61=0,0,SPRDOPT(DG61,DH61,$AD61,$AM61,DK61,DL61,DM61,$F61,$F$19,9)/365)</f>
        <v>0</v>
      </c>
      <c r="DW61" s="157" t="e">
        <f aca="false">DO61+DP61</f>
        <v>#NAME?</v>
      </c>
      <c r="DX61" s="157" t="n">
        <f aca="false">DR61-DQ61</f>
        <v>0</v>
      </c>
      <c r="DY61" s="157" t="e">
        <f aca="false">((DK61/DL61)*DS61)+DT61</f>
        <v>#NAME?</v>
      </c>
      <c r="DZ61" s="44"/>
      <c r="EA61" s="45" t="n">
        <f aca="false">DF61*DN61</f>
        <v>0</v>
      </c>
      <c r="EB61" s="45" t="e">
        <f aca="false">DF61*DO61</f>
        <v>#NAME?</v>
      </c>
      <c r="EC61" s="45" t="e">
        <f aca="false">DF61*DP61</f>
        <v>#NAME?</v>
      </c>
      <c r="ED61" s="45" t="n">
        <f aca="false">DF61*DQ61</f>
        <v>0</v>
      </c>
      <c r="EE61" s="45" t="n">
        <f aca="false">DF61*DR61</f>
        <v>0</v>
      </c>
      <c r="EF61" s="45" t="e">
        <f aca="false">DF61*DS61</f>
        <v>#NAME?</v>
      </c>
      <c r="EG61" s="45" t="e">
        <f aca="false">DF61*DT61</f>
        <v>#NAME?</v>
      </c>
      <c r="EH61" s="45" t="e">
        <f aca="false">DF61*DU61</f>
        <v>#NAME?</v>
      </c>
      <c r="EI61" s="45" t="n">
        <f aca="false">DF61*DV61</f>
        <v>0</v>
      </c>
      <c r="EJ61" s="45" t="e">
        <f aca="false">DF61*DW61</f>
        <v>#NAME?</v>
      </c>
      <c r="EK61" s="45" t="n">
        <f aca="false">DF61*DX61</f>
        <v>0</v>
      </c>
      <c r="EL61" s="45" t="e">
        <f aca="false">DF61*DY61</f>
        <v>#NAME?</v>
      </c>
      <c r="EN61" s="9" t="n">
        <f aca="false">IF($A61&gt;=EP$32,IF($A61&lt;=EP$33,$AN61,0),0)</f>
        <v>0</v>
      </c>
      <c r="EO61" s="123" t="n">
        <f aca="false">$B61+$AF61+$H$12</f>
        <v>3.7225</v>
      </c>
      <c r="EP61" s="123" t="n">
        <f aca="false">$B61+$AG61+$H$13</f>
        <v>3.705</v>
      </c>
      <c r="EQ61" s="123" t="n">
        <f aca="false">EO61*EN61</f>
        <v>0</v>
      </c>
      <c r="ER61" s="123" t="n">
        <f aca="false">EP61*EN61</f>
        <v>0</v>
      </c>
      <c r="ES61" s="156" t="n">
        <f aca="false">($C61*$AH61)+$H$14</f>
        <v>0.29</v>
      </c>
      <c r="ET61" s="156" t="n">
        <f aca="false">($C61*$AI61)+$H$15</f>
        <v>0.29</v>
      </c>
      <c r="EU61" s="131" t="n">
        <f aca="false">$AJ61+$H$16</f>
        <v>0.998</v>
      </c>
      <c r="EV61" s="157" t="n">
        <f aca="false">IF(EN61=0,0,SPRDOPT(EO61,EP61,$AK61,$AM61,ES61,ET61,EU61,$F61,$H$19,0))</f>
        <v>0</v>
      </c>
      <c r="EW61" s="157" t="e">
        <f aca="false">IF(EO61=0,0,SPRDOPT(EO61,EP61,$AK61,$AM61,ES61,ET61,EU61,$F61,$H$19,1))</f>
        <v>#NAME?</v>
      </c>
      <c r="EX61" s="157" t="e">
        <f aca="false">IF(EP61=0,0,SPRDOPT(EO61,EP61,$AK61,$AM61,ES61,ET61,EU61,$F61,$H$19,2))</f>
        <v>#NAME?</v>
      </c>
      <c r="EY61" s="157" t="n">
        <f aca="false">IF(EQ61=0,0,SPRDOPT(EO61,EP61,$AK61,$AM61,ES61,ET61,EU61,$F61,$H$19,3)/100)</f>
        <v>0</v>
      </c>
      <c r="EZ61" s="157" t="n">
        <f aca="false">IF(ER61=0,0,SPRDOPT(EO61,EP61,$AK61,$AM61,ES61,ET61,EU61,$F61,$H$19,4)/100)</f>
        <v>0</v>
      </c>
      <c r="FA61" s="157" t="e">
        <f aca="false">IF(ES61=0,0,SPRDOPT(EO61,EP61,$AK61,$AM61,ES61,ET61,EU61,$F61,$H$19,5)/100)</f>
        <v>#NAME?</v>
      </c>
      <c r="FB61" s="157" t="e">
        <f aca="false">IF(ET61=0,0,SPRDOPT(EO61,EP61,$AK61,$AM61,ES61,ET61,EU61,$F61,$H$19,6)/100)</f>
        <v>#NAME?</v>
      </c>
      <c r="FC61" s="157" t="e">
        <f aca="false">IF(EU61=0,0,SPRDOPT(EO61,EP61,$AK61,$AM61,ES61,ET61,EU61,$F61,$H$19,7)/100)</f>
        <v>#NAME?</v>
      </c>
      <c r="FD61" s="157" t="n">
        <f aca="false">IF(EV61=0,0,SPRDOPT(EO61,EP61,$AK61,$AM61,ES61,ET61,EU61,$F61,$H$19,9)/365)</f>
        <v>0</v>
      </c>
      <c r="FE61" s="157" t="e">
        <f aca="false">EW61+EX61</f>
        <v>#NAME?</v>
      </c>
      <c r="FF61" s="157" t="n">
        <f aca="false">EZ61-EY61</f>
        <v>0</v>
      </c>
      <c r="FG61" s="157" t="e">
        <f aca="false">((ES61/ET61)*FA61)+FB61</f>
        <v>#NAME?</v>
      </c>
      <c r="FH61" s="44"/>
      <c r="FI61" s="45" t="n">
        <f aca="false">$EN61*EV61</f>
        <v>0</v>
      </c>
      <c r="FJ61" s="45" t="e">
        <f aca="false">$EN61*EW61</f>
        <v>#NAME?</v>
      </c>
      <c r="FK61" s="45" t="e">
        <f aca="false">$EN61*EX61</f>
        <v>#NAME?</v>
      </c>
      <c r="FL61" s="45" t="n">
        <f aca="false">$EN61*EY61</f>
        <v>0</v>
      </c>
      <c r="FM61" s="45" t="n">
        <f aca="false">$EN61*EZ61</f>
        <v>0</v>
      </c>
      <c r="FN61" s="45" t="e">
        <f aca="false">$EN61*FA61</f>
        <v>#NAME?</v>
      </c>
      <c r="FO61" s="45" t="e">
        <f aca="false">$EN61*FB61</f>
        <v>#NAME?</v>
      </c>
      <c r="FP61" s="45" t="e">
        <f aca="false">$EN61*FC61</f>
        <v>#NAME?</v>
      </c>
      <c r="FQ61" s="45" t="n">
        <f aca="false">$EN61*FD61</f>
        <v>0</v>
      </c>
      <c r="FR61" s="45" t="e">
        <f aca="false">$EN61*FE61</f>
        <v>#NAME?</v>
      </c>
      <c r="FS61" s="45" t="n">
        <f aca="false">$EN61*FF61</f>
        <v>0</v>
      </c>
      <c r="FT61" s="45" t="e">
        <f aca="false">$EN61*FG61</f>
        <v>#NAME?</v>
      </c>
    </row>
    <row r="62" customFormat="false" ht="12.75" hidden="false" customHeight="false" outlineLevel="0" collapsed="false">
      <c r="A62" s="48" t="n">
        <f aca="false">DATE(YEAR(A61),MONTH(A61)+1,1)</f>
        <v>37530</v>
      </c>
      <c r="B62" s="40"/>
      <c r="C62" s="4"/>
      <c r="D62" s="40"/>
      <c r="E62" s="131"/>
      <c r="F62" s="136"/>
      <c r="G62" s="4"/>
      <c r="H62" s="4"/>
      <c r="I62" s="41"/>
      <c r="J62" s="154"/>
      <c r="K62" s="40"/>
      <c r="L62" s="40"/>
      <c r="M62" s="131"/>
      <c r="N62" s="131"/>
      <c r="O62" s="131"/>
      <c r="P62" s="131"/>
      <c r="Q62" s="131"/>
      <c r="R62" s="40"/>
      <c r="S62" s="40"/>
      <c r="T62" s="131"/>
      <c r="U62" s="131"/>
      <c r="V62" s="131"/>
      <c r="W62" s="131"/>
      <c r="X62" s="131"/>
      <c r="Y62" s="40"/>
      <c r="Z62" s="40"/>
      <c r="AA62" s="131"/>
      <c r="AB62" s="131"/>
      <c r="AC62" s="131"/>
      <c r="AD62" s="131"/>
      <c r="AE62" s="131"/>
      <c r="AF62" s="40"/>
      <c r="AG62" s="40"/>
      <c r="AH62" s="131"/>
      <c r="AI62" s="131"/>
      <c r="AJ62" s="131"/>
      <c r="AK62" s="131"/>
      <c r="AM62" s="4"/>
      <c r="AN62" s="43"/>
    </row>
    <row r="63" customFormat="false" ht="12.75" hidden="false" customHeight="false" outlineLevel="0" collapsed="false">
      <c r="A63" s="48"/>
      <c r="B63" s="40"/>
      <c r="C63" s="4"/>
      <c r="D63" s="40"/>
      <c r="E63" s="131"/>
      <c r="F63" s="136"/>
      <c r="G63" s="4"/>
      <c r="H63" s="4"/>
      <c r="I63" s="41"/>
      <c r="J63" s="154"/>
      <c r="K63" s="40"/>
      <c r="L63" s="40"/>
      <c r="M63" s="131"/>
      <c r="N63" s="131"/>
      <c r="O63" s="131"/>
      <c r="P63" s="131"/>
      <c r="Q63" s="131"/>
      <c r="R63" s="40"/>
      <c r="S63" s="40"/>
      <c r="T63" s="131"/>
      <c r="U63" s="131"/>
      <c r="V63" s="131"/>
      <c r="W63" s="131"/>
      <c r="X63" s="131"/>
      <c r="Y63" s="40"/>
      <c r="Z63" s="40"/>
      <c r="AA63" s="131"/>
      <c r="AB63" s="131"/>
      <c r="AC63" s="131"/>
      <c r="AD63" s="131"/>
      <c r="AE63" s="131"/>
      <c r="AF63" s="40"/>
      <c r="AG63" s="40"/>
      <c r="AH63" s="131"/>
      <c r="AI63" s="131"/>
      <c r="AJ63" s="131"/>
      <c r="AK63" s="131"/>
      <c r="AM63" s="4"/>
      <c r="AN63" s="43"/>
    </row>
    <row r="64" customFormat="false" ht="12.75" hidden="false" customHeight="false" outlineLevel="0" collapsed="false">
      <c r="A64" s="48"/>
      <c r="B64" s="40"/>
      <c r="C64" s="4"/>
      <c r="D64" s="40"/>
      <c r="E64" s="131"/>
      <c r="F64" s="136"/>
      <c r="G64" s="4"/>
      <c r="H64" s="4"/>
      <c r="I64" s="41"/>
      <c r="J64" s="154"/>
      <c r="K64" s="40"/>
      <c r="L64" s="40"/>
      <c r="M64" s="131"/>
      <c r="N64" s="131"/>
      <c r="O64" s="131"/>
      <c r="P64" s="131"/>
      <c r="Q64" s="131"/>
      <c r="R64" s="40"/>
      <c r="S64" s="40"/>
      <c r="T64" s="131"/>
      <c r="U64" s="131"/>
      <c r="V64" s="131"/>
      <c r="W64" s="131"/>
      <c r="X64" s="131"/>
      <c r="Y64" s="40"/>
      <c r="Z64" s="40"/>
      <c r="AA64" s="131"/>
      <c r="AB64" s="131"/>
      <c r="AC64" s="131"/>
      <c r="AD64" s="131"/>
      <c r="AE64" s="131"/>
      <c r="AF64" s="40"/>
      <c r="AG64" s="40"/>
      <c r="AH64" s="131"/>
      <c r="AI64" s="131"/>
      <c r="AJ64" s="131"/>
      <c r="AK64" s="131"/>
      <c r="AM64" s="4"/>
      <c r="AN64" s="43"/>
    </row>
    <row r="65" customFormat="false" ht="12.75" hidden="false" customHeight="false" outlineLevel="0" collapsed="false">
      <c r="A65" s="48"/>
      <c r="B65" s="40"/>
      <c r="C65" s="4"/>
      <c r="D65" s="40"/>
      <c r="E65" s="131"/>
      <c r="F65" s="136"/>
      <c r="G65" s="4"/>
      <c r="H65" s="4"/>
      <c r="I65" s="41"/>
      <c r="J65" s="154"/>
      <c r="K65" s="40"/>
      <c r="L65" s="40"/>
      <c r="M65" s="131"/>
      <c r="N65" s="131"/>
      <c r="O65" s="131"/>
      <c r="P65" s="131"/>
      <c r="Q65" s="131"/>
      <c r="R65" s="40"/>
      <c r="S65" s="40"/>
      <c r="T65" s="131"/>
      <c r="U65" s="131"/>
      <c r="V65" s="131"/>
      <c r="W65" s="131"/>
      <c r="X65" s="131"/>
      <c r="Y65" s="40"/>
      <c r="Z65" s="40"/>
      <c r="AA65" s="131"/>
      <c r="AB65" s="131"/>
      <c r="AC65" s="131"/>
      <c r="AD65" s="131"/>
      <c r="AE65" s="131"/>
      <c r="AF65" s="40"/>
      <c r="AG65" s="40"/>
      <c r="AH65" s="131"/>
      <c r="AI65" s="131"/>
      <c r="AJ65" s="131"/>
      <c r="AK65" s="131"/>
      <c r="AM65" s="4"/>
      <c r="AN65" s="43"/>
    </row>
    <row r="66" customFormat="false" ht="12.75" hidden="false" customHeight="false" outlineLevel="0" collapsed="false">
      <c r="A66" s="48"/>
      <c r="B66" s="40"/>
      <c r="C66" s="4"/>
      <c r="D66" s="40"/>
      <c r="E66" s="131"/>
      <c r="F66" s="136"/>
      <c r="G66" s="4"/>
      <c r="H66" s="4"/>
      <c r="I66" s="41"/>
      <c r="J66" s="154"/>
      <c r="K66" s="40"/>
      <c r="L66" s="40"/>
      <c r="M66" s="131"/>
      <c r="N66" s="131"/>
      <c r="O66" s="131"/>
      <c r="P66" s="131"/>
      <c r="Q66" s="131"/>
      <c r="R66" s="40"/>
      <c r="S66" s="40"/>
      <c r="T66" s="131"/>
      <c r="U66" s="131"/>
      <c r="V66" s="131"/>
      <c r="W66" s="131"/>
      <c r="X66" s="131"/>
      <c r="Y66" s="40"/>
      <c r="Z66" s="40"/>
      <c r="AA66" s="131"/>
      <c r="AB66" s="131"/>
      <c r="AC66" s="131"/>
      <c r="AD66" s="131"/>
      <c r="AE66" s="131"/>
      <c r="AF66" s="40"/>
      <c r="AG66" s="40"/>
      <c r="AH66" s="131"/>
      <c r="AI66" s="131"/>
      <c r="AJ66" s="131"/>
      <c r="AK66" s="131"/>
      <c r="AM66" s="4"/>
      <c r="AN66" s="43"/>
    </row>
    <row r="67" customFormat="false" ht="12.75" hidden="false" customHeight="false" outlineLevel="0" collapsed="false">
      <c r="A67" s="48"/>
      <c r="B67" s="40"/>
      <c r="C67" s="4"/>
      <c r="D67" s="40"/>
      <c r="E67" s="131"/>
      <c r="F67" s="136"/>
      <c r="G67" s="4"/>
      <c r="H67" s="4"/>
      <c r="I67" s="41"/>
      <c r="J67" s="154"/>
      <c r="K67" s="40"/>
      <c r="L67" s="40"/>
      <c r="M67" s="131"/>
      <c r="N67" s="131"/>
      <c r="O67" s="131"/>
      <c r="P67" s="131"/>
      <c r="Q67" s="131"/>
      <c r="R67" s="40"/>
      <c r="S67" s="40"/>
      <c r="T67" s="131"/>
      <c r="U67" s="131"/>
      <c r="V67" s="131"/>
      <c r="W67" s="131"/>
      <c r="X67" s="131"/>
      <c r="Y67" s="40"/>
      <c r="Z67" s="40"/>
      <c r="AA67" s="131"/>
      <c r="AB67" s="131"/>
      <c r="AC67" s="131"/>
      <c r="AD67" s="131"/>
      <c r="AE67" s="131"/>
      <c r="AF67" s="40"/>
      <c r="AG67" s="40"/>
      <c r="AH67" s="131"/>
      <c r="AI67" s="131"/>
      <c r="AJ67" s="131"/>
      <c r="AK67" s="131"/>
      <c r="AM67" s="4"/>
      <c r="AN67" s="43"/>
    </row>
    <row r="68" customFormat="false" ht="12.75" hidden="false" customHeight="false" outlineLevel="0" collapsed="false">
      <c r="A68" s="48"/>
      <c r="B68" s="40"/>
      <c r="C68" s="4"/>
      <c r="D68" s="40"/>
      <c r="E68" s="131"/>
      <c r="F68" s="136"/>
      <c r="G68" s="4"/>
      <c r="H68" s="4"/>
      <c r="I68" s="41"/>
      <c r="J68" s="154"/>
      <c r="K68" s="40"/>
      <c r="L68" s="40"/>
      <c r="M68" s="131"/>
      <c r="N68" s="131"/>
      <c r="O68" s="131"/>
      <c r="P68" s="131"/>
      <c r="Q68" s="131"/>
      <c r="R68" s="40"/>
      <c r="S68" s="40"/>
      <c r="T68" s="131"/>
      <c r="U68" s="131"/>
      <c r="V68" s="131"/>
      <c r="W68" s="131"/>
      <c r="X68" s="131"/>
      <c r="Y68" s="40"/>
      <c r="Z68" s="40"/>
      <c r="AA68" s="131"/>
      <c r="AB68" s="131"/>
      <c r="AC68" s="131"/>
      <c r="AD68" s="131"/>
      <c r="AE68" s="131"/>
      <c r="AF68" s="40"/>
      <c r="AG68" s="40"/>
      <c r="AH68" s="131"/>
      <c r="AI68" s="131"/>
      <c r="AJ68" s="131"/>
      <c r="AK68" s="131"/>
      <c r="AM68" s="4"/>
      <c r="AN68" s="43"/>
    </row>
    <row r="69" customFormat="false" ht="12.75" hidden="false" customHeight="false" outlineLevel="0" collapsed="false">
      <c r="A69" s="48"/>
      <c r="B69" s="40"/>
      <c r="C69" s="4"/>
      <c r="D69" s="40"/>
      <c r="E69" s="131"/>
      <c r="F69" s="136"/>
      <c r="G69" s="4"/>
      <c r="H69" s="4"/>
      <c r="I69" s="41"/>
      <c r="J69" s="154"/>
      <c r="K69" s="40"/>
      <c r="L69" s="40"/>
      <c r="M69" s="131"/>
      <c r="N69" s="131"/>
      <c r="O69" s="131"/>
      <c r="P69" s="131"/>
      <c r="Q69" s="131"/>
      <c r="R69" s="40"/>
      <c r="S69" s="40"/>
      <c r="T69" s="131"/>
      <c r="U69" s="131"/>
      <c r="V69" s="131"/>
      <c r="W69" s="131"/>
      <c r="X69" s="131"/>
      <c r="Y69" s="40"/>
      <c r="Z69" s="40"/>
      <c r="AA69" s="131"/>
      <c r="AB69" s="131"/>
      <c r="AC69" s="131"/>
      <c r="AD69" s="131"/>
      <c r="AE69" s="131"/>
      <c r="AF69" s="40"/>
      <c r="AG69" s="40"/>
      <c r="AH69" s="131"/>
      <c r="AI69" s="131"/>
      <c r="AJ69" s="131"/>
      <c r="AK69" s="131"/>
      <c r="AM69" s="4"/>
      <c r="AN69" s="43"/>
    </row>
    <row r="70" customFormat="false" ht="12.75" hidden="false" customHeight="false" outlineLevel="0" collapsed="false">
      <c r="A70" s="48"/>
      <c r="B70" s="40"/>
      <c r="C70" s="4"/>
      <c r="D70" s="40"/>
      <c r="E70" s="131"/>
      <c r="F70" s="136"/>
      <c r="G70" s="4"/>
      <c r="H70" s="4"/>
      <c r="I70" s="41"/>
      <c r="J70" s="154"/>
      <c r="K70" s="40"/>
      <c r="L70" s="40"/>
      <c r="M70" s="131"/>
      <c r="N70" s="131"/>
      <c r="O70" s="131"/>
      <c r="P70" s="131"/>
      <c r="Q70" s="131"/>
      <c r="R70" s="40"/>
      <c r="S70" s="40"/>
      <c r="T70" s="131"/>
      <c r="U70" s="131"/>
      <c r="V70" s="131"/>
      <c r="W70" s="131"/>
      <c r="X70" s="131"/>
      <c r="Y70" s="40"/>
      <c r="Z70" s="40"/>
      <c r="AA70" s="131"/>
      <c r="AB70" s="131"/>
      <c r="AC70" s="131"/>
      <c r="AD70" s="131"/>
      <c r="AE70" s="131"/>
      <c r="AF70" s="40"/>
      <c r="AG70" s="40"/>
      <c r="AH70" s="131"/>
      <c r="AI70" s="131"/>
      <c r="AJ70" s="131"/>
      <c r="AK70" s="131"/>
      <c r="AM70" s="4"/>
      <c r="AN70" s="43"/>
    </row>
    <row r="71" customFormat="false" ht="12.75" hidden="false" customHeight="false" outlineLevel="0" collapsed="false">
      <c r="A71" s="48"/>
      <c r="B71" s="40"/>
      <c r="C71" s="4"/>
      <c r="D71" s="40"/>
      <c r="E71" s="131"/>
      <c r="F71" s="136"/>
      <c r="G71" s="4"/>
      <c r="H71" s="4"/>
      <c r="I71" s="41"/>
      <c r="J71" s="154"/>
      <c r="K71" s="40"/>
      <c r="L71" s="40"/>
      <c r="M71" s="131"/>
      <c r="N71" s="131"/>
      <c r="O71" s="131"/>
      <c r="P71" s="131"/>
      <c r="Q71" s="131"/>
      <c r="R71" s="40"/>
      <c r="S71" s="40"/>
      <c r="T71" s="131"/>
      <c r="U71" s="131"/>
      <c r="V71" s="131"/>
      <c r="W71" s="131"/>
      <c r="X71" s="131"/>
      <c r="Y71" s="40"/>
      <c r="Z71" s="40"/>
      <c r="AA71" s="131"/>
      <c r="AB71" s="131"/>
      <c r="AC71" s="131"/>
      <c r="AD71" s="131"/>
      <c r="AE71" s="131"/>
      <c r="AF71" s="40"/>
      <c r="AG71" s="40"/>
      <c r="AH71" s="131"/>
      <c r="AI71" s="131"/>
      <c r="AJ71" s="131"/>
      <c r="AK71" s="131"/>
      <c r="AM71" s="4"/>
      <c r="AN71" s="43"/>
    </row>
    <row r="72" customFormat="false" ht="12.75" hidden="false" customHeight="false" outlineLevel="0" collapsed="false">
      <c r="A72" s="48"/>
      <c r="B72" s="40"/>
      <c r="C72" s="4"/>
      <c r="D72" s="40"/>
      <c r="E72" s="131"/>
      <c r="F72" s="136"/>
      <c r="G72" s="4"/>
      <c r="H72" s="4"/>
      <c r="I72" s="41"/>
      <c r="J72" s="154"/>
      <c r="K72" s="40"/>
      <c r="L72" s="40"/>
      <c r="M72" s="131"/>
      <c r="N72" s="131"/>
      <c r="O72" s="131"/>
      <c r="P72" s="131"/>
      <c r="Q72" s="131"/>
      <c r="R72" s="40"/>
      <c r="S72" s="40"/>
      <c r="T72" s="131"/>
      <c r="U72" s="131"/>
      <c r="V72" s="131"/>
      <c r="W72" s="131"/>
      <c r="X72" s="131"/>
      <c r="Y72" s="40"/>
      <c r="Z72" s="40"/>
      <c r="AA72" s="131"/>
      <c r="AB72" s="131"/>
      <c r="AC72" s="131"/>
      <c r="AD72" s="131"/>
      <c r="AE72" s="131"/>
      <c r="AF72" s="40"/>
      <c r="AG72" s="40"/>
      <c r="AH72" s="131"/>
      <c r="AI72" s="131"/>
      <c r="AJ72" s="131"/>
      <c r="AK72" s="131"/>
      <c r="AM72" s="4"/>
      <c r="AN72" s="43"/>
    </row>
    <row r="73" customFormat="false" ht="12.75" hidden="false" customHeight="false" outlineLevel="0" collapsed="false">
      <c r="A73" s="48"/>
      <c r="B73" s="40"/>
      <c r="C73" s="4"/>
      <c r="D73" s="40"/>
      <c r="E73" s="131"/>
      <c r="F73" s="136"/>
      <c r="G73" s="4"/>
      <c r="H73" s="4"/>
      <c r="I73" s="41"/>
      <c r="J73" s="154"/>
      <c r="K73" s="40"/>
      <c r="L73" s="40"/>
      <c r="M73" s="131"/>
      <c r="N73" s="131"/>
      <c r="O73" s="131"/>
      <c r="P73" s="131"/>
      <c r="Q73" s="131"/>
      <c r="R73" s="40"/>
      <c r="S73" s="40"/>
      <c r="T73" s="131"/>
      <c r="U73" s="131"/>
      <c r="V73" s="131"/>
      <c r="W73" s="131"/>
      <c r="X73" s="131"/>
      <c r="Y73" s="40"/>
      <c r="Z73" s="40"/>
      <c r="AA73" s="131"/>
      <c r="AB73" s="131"/>
      <c r="AC73" s="131"/>
      <c r="AD73" s="131"/>
      <c r="AE73" s="131"/>
      <c r="AF73" s="40"/>
      <c r="AG73" s="40"/>
      <c r="AH73" s="131"/>
      <c r="AI73" s="131"/>
      <c r="AJ73" s="131"/>
      <c r="AK73" s="131"/>
      <c r="AM73" s="4"/>
      <c r="AN73" s="43"/>
    </row>
    <row r="74" customFormat="false" ht="12.75" hidden="false" customHeight="false" outlineLevel="0" collapsed="false">
      <c r="A74" s="48"/>
      <c r="B74" s="40"/>
      <c r="C74" s="4"/>
      <c r="D74" s="40"/>
      <c r="E74" s="131"/>
      <c r="F74" s="136"/>
      <c r="G74" s="4"/>
      <c r="H74" s="4"/>
      <c r="I74" s="41"/>
      <c r="J74" s="154"/>
      <c r="K74" s="40"/>
      <c r="L74" s="40"/>
      <c r="M74" s="131"/>
      <c r="N74" s="131"/>
      <c r="O74" s="131"/>
      <c r="P74" s="131"/>
      <c r="Q74" s="131"/>
      <c r="R74" s="40"/>
      <c r="S74" s="40"/>
      <c r="T74" s="131"/>
      <c r="U74" s="131"/>
      <c r="V74" s="131"/>
      <c r="W74" s="131"/>
      <c r="X74" s="131"/>
      <c r="Y74" s="40"/>
      <c r="Z74" s="40"/>
      <c r="AA74" s="131"/>
      <c r="AB74" s="131"/>
      <c r="AC74" s="131"/>
      <c r="AD74" s="131"/>
      <c r="AE74" s="131"/>
      <c r="AF74" s="40"/>
      <c r="AG74" s="40"/>
      <c r="AH74" s="131"/>
      <c r="AI74" s="131"/>
      <c r="AJ74" s="131"/>
      <c r="AK74" s="131"/>
      <c r="AM74" s="4"/>
      <c r="AN74" s="43"/>
    </row>
    <row r="75" customFormat="false" ht="12.75" hidden="false" customHeight="false" outlineLevel="0" collapsed="false">
      <c r="A75" s="48"/>
      <c r="B75" s="40"/>
      <c r="C75" s="4"/>
      <c r="D75" s="40"/>
      <c r="E75" s="131"/>
      <c r="F75" s="136"/>
      <c r="G75" s="4"/>
      <c r="H75" s="4"/>
      <c r="I75" s="41"/>
      <c r="J75" s="154"/>
      <c r="K75" s="40"/>
      <c r="L75" s="40"/>
      <c r="M75" s="131"/>
      <c r="N75" s="131"/>
      <c r="O75" s="131"/>
      <c r="P75" s="131"/>
      <c r="Q75" s="131"/>
      <c r="R75" s="40"/>
      <c r="S75" s="40"/>
      <c r="T75" s="131"/>
      <c r="U75" s="131"/>
      <c r="V75" s="131"/>
      <c r="W75" s="131"/>
      <c r="X75" s="131"/>
      <c r="Y75" s="40"/>
      <c r="Z75" s="40"/>
      <c r="AA75" s="131"/>
      <c r="AB75" s="131"/>
      <c r="AC75" s="131"/>
      <c r="AD75" s="131"/>
      <c r="AE75" s="131"/>
      <c r="AF75" s="40"/>
      <c r="AG75" s="40"/>
      <c r="AH75" s="131"/>
      <c r="AI75" s="131"/>
      <c r="AJ75" s="131"/>
      <c r="AK75" s="131"/>
      <c r="AM75" s="4"/>
      <c r="AN75" s="43"/>
    </row>
    <row r="76" customFormat="false" ht="12.75" hidden="false" customHeight="false" outlineLevel="0" collapsed="false">
      <c r="A76" s="48"/>
      <c r="B76" s="40"/>
      <c r="C76" s="4"/>
      <c r="D76" s="40"/>
      <c r="E76" s="131"/>
      <c r="F76" s="136"/>
      <c r="G76" s="4"/>
      <c r="H76" s="4"/>
      <c r="I76" s="41"/>
      <c r="J76" s="154"/>
      <c r="K76" s="40"/>
      <c r="L76" s="40"/>
      <c r="M76" s="131"/>
      <c r="N76" s="131"/>
      <c r="O76" s="131"/>
      <c r="P76" s="131"/>
      <c r="Q76" s="131"/>
      <c r="R76" s="40"/>
      <c r="S76" s="40"/>
      <c r="T76" s="131"/>
      <c r="U76" s="131"/>
      <c r="V76" s="131"/>
      <c r="W76" s="131"/>
      <c r="X76" s="131"/>
      <c r="Y76" s="40"/>
      <c r="Z76" s="40"/>
      <c r="AA76" s="131"/>
      <c r="AB76" s="131"/>
      <c r="AC76" s="131"/>
      <c r="AD76" s="131"/>
      <c r="AE76" s="131"/>
      <c r="AF76" s="40"/>
      <c r="AG76" s="40"/>
      <c r="AH76" s="131"/>
      <c r="AI76" s="131"/>
      <c r="AJ76" s="131"/>
      <c r="AK76" s="131"/>
      <c r="AM76" s="4"/>
      <c r="AN76" s="43"/>
    </row>
    <row r="77" customFormat="false" ht="12.75" hidden="false" customHeight="false" outlineLevel="0" collapsed="false">
      <c r="A77" s="48"/>
      <c r="B77" s="40"/>
      <c r="C77" s="4"/>
      <c r="D77" s="40"/>
      <c r="E77" s="131"/>
      <c r="F77" s="136"/>
      <c r="G77" s="4"/>
      <c r="H77" s="4"/>
      <c r="I77" s="41"/>
      <c r="J77" s="154"/>
      <c r="K77" s="40"/>
      <c r="L77" s="40"/>
      <c r="M77" s="131"/>
      <c r="N77" s="131"/>
      <c r="O77" s="131"/>
      <c r="P77" s="131"/>
      <c r="Q77" s="131"/>
      <c r="R77" s="40"/>
      <c r="S77" s="40"/>
      <c r="T77" s="131"/>
      <c r="U77" s="131"/>
      <c r="V77" s="131"/>
      <c r="W77" s="131"/>
      <c r="X77" s="131"/>
      <c r="Y77" s="40"/>
      <c r="Z77" s="40"/>
      <c r="AA77" s="131"/>
      <c r="AB77" s="131"/>
      <c r="AC77" s="131"/>
      <c r="AD77" s="131"/>
      <c r="AE77" s="131"/>
      <c r="AF77" s="40"/>
      <c r="AG77" s="40"/>
      <c r="AH77" s="131"/>
      <c r="AI77" s="131"/>
      <c r="AJ77" s="131"/>
      <c r="AK77" s="131"/>
      <c r="AM77" s="4"/>
      <c r="AN77" s="43"/>
    </row>
    <row r="78" customFormat="false" ht="12.75" hidden="false" customHeight="false" outlineLevel="0" collapsed="false">
      <c r="A78" s="48"/>
      <c r="B78" s="40"/>
      <c r="C78" s="4"/>
      <c r="D78" s="40"/>
      <c r="E78" s="131"/>
      <c r="F78" s="136"/>
      <c r="G78" s="4"/>
      <c r="H78" s="4"/>
      <c r="I78" s="41"/>
      <c r="J78" s="154"/>
      <c r="K78" s="40"/>
      <c r="L78" s="40"/>
      <c r="M78" s="131"/>
      <c r="N78" s="131"/>
      <c r="O78" s="131"/>
      <c r="P78" s="131"/>
      <c r="Q78" s="131"/>
      <c r="R78" s="40"/>
      <c r="S78" s="40"/>
      <c r="T78" s="131"/>
      <c r="U78" s="131"/>
      <c r="V78" s="131"/>
      <c r="W78" s="131"/>
      <c r="X78" s="131"/>
      <c r="Y78" s="40"/>
      <c r="Z78" s="40"/>
      <c r="AA78" s="131"/>
      <c r="AB78" s="131"/>
      <c r="AC78" s="131"/>
      <c r="AD78" s="131"/>
      <c r="AE78" s="131"/>
      <c r="AF78" s="40"/>
      <c r="AG78" s="40"/>
      <c r="AH78" s="131"/>
      <c r="AI78" s="131"/>
      <c r="AJ78" s="131"/>
      <c r="AK78" s="131"/>
      <c r="AM78" s="4"/>
      <c r="AN78" s="43"/>
    </row>
    <row r="79" customFormat="false" ht="12.75" hidden="false" customHeight="false" outlineLevel="0" collapsed="false">
      <c r="A79" s="48"/>
      <c r="B79" s="40"/>
      <c r="C79" s="4"/>
      <c r="D79" s="40"/>
      <c r="E79" s="131"/>
      <c r="F79" s="136"/>
      <c r="G79" s="4"/>
      <c r="H79" s="4"/>
      <c r="I79" s="41"/>
      <c r="J79" s="154"/>
      <c r="K79" s="40"/>
      <c r="L79" s="40"/>
      <c r="M79" s="131"/>
      <c r="N79" s="131"/>
      <c r="O79" s="131"/>
      <c r="P79" s="131"/>
      <c r="Q79" s="131"/>
      <c r="R79" s="40"/>
      <c r="S79" s="40"/>
      <c r="T79" s="131"/>
      <c r="U79" s="131"/>
      <c r="V79" s="131"/>
      <c r="W79" s="131"/>
      <c r="X79" s="131"/>
      <c r="Y79" s="40"/>
      <c r="Z79" s="40"/>
      <c r="AA79" s="131"/>
      <c r="AB79" s="131"/>
      <c r="AC79" s="131"/>
      <c r="AD79" s="131"/>
      <c r="AE79" s="131"/>
      <c r="AF79" s="40"/>
      <c r="AG79" s="40"/>
      <c r="AH79" s="131"/>
      <c r="AI79" s="131"/>
      <c r="AJ79" s="131"/>
      <c r="AK79" s="131"/>
      <c r="AM79" s="4"/>
      <c r="AN79" s="43"/>
    </row>
    <row r="80" customFormat="false" ht="12.75" hidden="false" customHeight="false" outlineLevel="0" collapsed="false">
      <c r="A80" s="48"/>
      <c r="B80" s="40"/>
      <c r="C80" s="4"/>
      <c r="D80" s="40"/>
      <c r="E80" s="131"/>
      <c r="F80" s="136"/>
      <c r="G80" s="4"/>
      <c r="H80" s="4"/>
      <c r="I80" s="41"/>
      <c r="J80" s="154"/>
      <c r="K80" s="40"/>
      <c r="L80" s="40"/>
      <c r="M80" s="131"/>
      <c r="N80" s="131"/>
      <c r="O80" s="131"/>
      <c r="P80" s="131"/>
      <c r="Q80" s="131"/>
      <c r="R80" s="40"/>
      <c r="S80" s="40"/>
      <c r="T80" s="131"/>
      <c r="U80" s="131"/>
      <c r="V80" s="131"/>
      <c r="W80" s="131"/>
      <c r="X80" s="131"/>
      <c r="Y80" s="40"/>
      <c r="Z80" s="40"/>
      <c r="AA80" s="131"/>
      <c r="AB80" s="131"/>
      <c r="AC80" s="131"/>
      <c r="AD80" s="131"/>
      <c r="AE80" s="131"/>
      <c r="AF80" s="40"/>
      <c r="AG80" s="40"/>
      <c r="AH80" s="131"/>
      <c r="AI80" s="131"/>
      <c r="AJ80" s="131"/>
      <c r="AK80" s="131"/>
      <c r="AM80" s="4"/>
      <c r="AN80" s="43"/>
    </row>
    <row r="81" customFormat="false" ht="12.75" hidden="false" customHeight="false" outlineLevel="0" collapsed="false">
      <c r="A81" s="48"/>
      <c r="B81" s="40"/>
      <c r="C81" s="4"/>
      <c r="D81" s="40"/>
      <c r="E81" s="131"/>
      <c r="F81" s="136"/>
      <c r="G81" s="4"/>
      <c r="H81" s="4"/>
      <c r="I81" s="41"/>
      <c r="J81" s="154"/>
      <c r="K81" s="40"/>
      <c r="L81" s="40"/>
      <c r="M81" s="131"/>
      <c r="N81" s="131"/>
      <c r="O81" s="131"/>
      <c r="P81" s="131"/>
      <c r="Q81" s="131"/>
      <c r="R81" s="40"/>
      <c r="S81" s="40"/>
      <c r="T81" s="131"/>
      <c r="U81" s="131"/>
      <c r="V81" s="131"/>
      <c r="W81" s="131"/>
      <c r="X81" s="131"/>
      <c r="Y81" s="40"/>
      <c r="Z81" s="40"/>
      <c r="AA81" s="131"/>
      <c r="AB81" s="131"/>
      <c r="AC81" s="131"/>
      <c r="AD81" s="131"/>
      <c r="AE81" s="131"/>
      <c r="AF81" s="40"/>
      <c r="AG81" s="40"/>
      <c r="AH81" s="131"/>
      <c r="AI81" s="131"/>
      <c r="AJ81" s="131"/>
      <c r="AK81" s="131"/>
      <c r="AM81" s="4"/>
      <c r="AN81" s="43"/>
    </row>
    <row r="82" customFormat="false" ht="12.75" hidden="false" customHeight="false" outlineLevel="0" collapsed="false">
      <c r="A82" s="48"/>
      <c r="B82" s="40"/>
      <c r="C82" s="4"/>
      <c r="D82" s="40"/>
      <c r="E82" s="131"/>
      <c r="F82" s="136"/>
      <c r="G82" s="4"/>
      <c r="H82" s="4"/>
      <c r="I82" s="41"/>
      <c r="J82" s="154"/>
      <c r="K82" s="40"/>
      <c r="L82" s="40"/>
      <c r="M82" s="131"/>
      <c r="N82" s="131"/>
      <c r="O82" s="131"/>
      <c r="P82" s="131"/>
      <c r="Q82" s="131"/>
      <c r="R82" s="40"/>
      <c r="S82" s="40"/>
      <c r="T82" s="131"/>
      <c r="U82" s="131"/>
      <c r="V82" s="131"/>
      <c r="W82" s="131"/>
      <c r="X82" s="131"/>
      <c r="Y82" s="40"/>
      <c r="Z82" s="40"/>
      <c r="AA82" s="131"/>
      <c r="AB82" s="131"/>
      <c r="AC82" s="131"/>
      <c r="AD82" s="131"/>
      <c r="AE82" s="131"/>
      <c r="AF82" s="40"/>
      <c r="AG82" s="40"/>
      <c r="AH82" s="131"/>
      <c r="AI82" s="131"/>
      <c r="AJ82" s="131"/>
      <c r="AK82" s="131"/>
      <c r="AM82" s="4"/>
      <c r="AN82" s="43"/>
    </row>
    <row r="83" customFormat="false" ht="12.75" hidden="false" customHeight="false" outlineLevel="0" collapsed="false">
      <c r="A83" s="48"/>
      <c r="B83" s="40"/>
      <c r="C83" s="4"/>
      <c r="D83" s="40"/>
      <c r="E83" s="131"/>
      <c r="F83" s="136"/>
      <c r="G83" s="4"/>
      <c r="H83" s="4"/>
      <c r="I83" s="41"/>
      <c r="J83" s="154"/>
      <c r="K83" s="40"/>
      <c r="L83" s="40"/>
      <c r="M83" s="131"/>
      <c r="N83" s="131"/>
      <c r="O83" s="131"/>
      <c r="P83" s="131"/>
      <c r="Q83" s="131"/>
      <c r="R83" s="40"/>
      <c r="S83" s="40"/>
      <c r="T83" s="131"/>
      <c r="U83" s="131"/>
      <c r="V83" s="131"/>
      <c r="W83" s="131"/>
      <c r="X83" s="131"/>
      <c r="Y83" s="40"/>
      <c r="Z83" s="40"/>
      <c r="AA83" s="131"/>
      <c r="AB83" s="131"/>
      <c r="AC83" s="131"/>
      <c r="AD83" s="131"/>
      <c r="AE83" s="131"/>
      <c r="AF83" s="40"/>
      <c r="AG83" s="40"/>
      <c r="AH83" s="131"/>
      <c r="AI83" s="131"/>
      <c r="AJ83" s="131"/>
      <c r="AK83" s="131"/>
      <c r="AM83" s="4"/>
      <c r="AN83" s="43"/>
    </row>
    <row r="84" customFormat="false" ht="12.75" hidden="false" customHeight="false" outlineLevel="0" collapsed="false">
      <c r="A84" s="48"/>
      <c r="B84" s="40"/>
      <c r="C84" s="4"/>
      <c r="D84" s="40"/>
      <c r="E84" s="131"/>
      <c r="F84" s="136"/>
      <c r="G84" s="4"/>
      <c r="H84" s="4"/>
      <c r="I84" s="41"/>
      <c r="J84" s="154"/>
      <c r="K84" s="40"/>
      <c r="L84" s="40"/>
      <c r="M84" s="131"/>
      <c r="N84" s="131"/>
      <c r="O84" s="131"/>
      <c r="P84" s="131"/>
      <c r="Q84" s="131"/>
      <c r="R84" s="40"/>
      <c r="S84" s="40"/>
      <c r="T84" s="131"/>
      <c r="U84" s="131"/>
      <c r="V84" s="131"/>
      <c r="W84" s="131"/>
      <c r="X84" s="131"/>
      <c r="Y84" s="40"/>
      <c r="Z84" s="40"/>
      <c r="AA84" s="131"/>
      <c r="AB84" s="131"/>
      <c r="AC84" s="131"/>
      <c r="AD84" s="131"/>
      <c r="AE84" s="131"/>
      <c r="AF84" s="40"/>
      <c r="AG84" s="40"/>
      <c r="AH84" s="131"/>
      <c r="AI84" s="131"/>
      <c r="AJ84" s="131"/>
      <c r="AK84" s="131"/>
      <c r="AM84" s="4"/>
      <c r="AN84" s="43"/>
    </row>
    <row r="85" customFormat="false" ht="12.75" hidden="false" customHeight="false" outlineLevel="0" collapsed="false">
      <c r="A85" s="48"/>
      <c r="B85" s="40"/>
      <c r="C85" s="4"/>
      <c r="D85" s="40"/>
      <c r="E85" s="131"/>
      <c r="F85" s="136"/>
      <c r="G85" s="4"/>
      <c r="H85" s="4"/>
      <c r="I85" s="41"/>
      <c r="J85" s="154"/>
      <c r="K85" s="40"/>
      <c r="L85" s="40"/>
      <c r="M85" s="131"/>
      <c r="N85" s="131"/>
      <c r="O85" s="131"/>
      <c r="P85" s="131"/>
      <c r="Q85" s="131"/>
      <c r="R85" s="40"/>
      <c r="S85" s="40"/>
      <c r="T85" s="131"/>
      <c r="U85" s="131"/>
      <c r="V85" s="131"/>
      <c r="W85" s="131"/>
      <c r="X85" s="131"/>
      <c r="Y85" s="40"/>
      <c r="Z85" s="40"/>
      <c r="AA85" s="131"/>
      <c r="AB85" s="131"/>
      <c r="AC85" s="131"/>
      <c r="AD85" s="131"/>
      <c r="AE85" s="131"/>
      <c r="AF85" s="40"/>
      <c r="AG85" s="40"/>
      <c r="AH85" s="131"/>
      <c r="AI85" s="131"/>
      <c r="AJ85" s="131"/>
      <c r="AK85" s="131"/>
      <c r="AM85" s="4"/>
      <c r="AN85" s="43"/>
    </row>
    <row r="86" customFormat="false" ht="12.75" hidden="false" customHeight="false" outlineLevel="0" collapsed="false">
      <c r="A86" s="48"/>
      <c r="B86" s="40"/>
      <c r="C86" s="4"/>
      <c r="D86" s="40"/>
      <c r="E86" s="131"/>
      <c r="F86" s="136"/>
      <c r="G86" s="4"/>
      <c r="H86" s="4"/>
      <c r="I86" s="41"/>
      <c r="J86" s="154"/>
      <c r="K86" s="40"/>
      <c r="L86" s="40"/>
      <c r="M86" s="131"/>
      <c r="N86" s="131"/>
      <c r="O86" s="131"/>
      <c r="P86" s="131"/>
      <c r="Q86" s="131"/>
      <c r="R86" s="40"/>
      <c r="S86" s="40"/>
      <c r="T86" s="131"/>
      <c r="U86" s="131"/>
      <c r="V86" s="131"/>
      <c r="W86" s="131"/>
      <c r="X86" s="131"/>
      <c r="Y86" s="40"/>
      <c r="Z86" s="40"/>
      <c r="AA86" s="131"/>
      <c r="AB86" s="131"/>
      <c r="AC86" s="131"/>
      <c r="AD86" s="131"/>
      <c r="AE86" s="131"/>
      <c r="AF86" s="40"/>
      <c r="AG86" s="40"/>
      <c r="AH86" s="131"/>
      <c r="AI86" s="131"/>
      <c r="AJ86" s="131"/>
      <c r="AK86" s="131"/>
      <c r="AM86" s="4"/>
      <c r="AN86" s="43"/>
    </row>
    <row r="87" customFormat="false" ht="12.75" hidden="false" customHeight="false" outlineLevel="0" collapsed="false">
      <c r="A87" s="48"/>
      <c r="B87" s="40"/>
      <c r="C87" s="4"/>
      <c r="D87" s="40"/>
      <c r="E87" s="131"/>
      <c r="F87" s="136"/>
      <c r="G87" s="4"/>
      <c r="H87" s="4"/>
      <c r="I87" s="41"/>
      <c r="J87" s="154"/>
      <c r="K87" s="40"/>
      <c r="L87" s="40"/>
      <c r="M87" s="131"/>
      <c r="N87" s="131"/>
      <c r="O87" s="131"/>
      <c r="P87" s="131"/>
      <c r="Q87" s="131"/>
      <c r="R87" s="40"/>
      <c r="S87" s="40"/>
      <c r="T87" s="131"/>
      <c r="U87" s="131"/>
      <c r="V87" s="131"/>
      <c r="W87" s="131"/>
      <c r="X87" s="131"/>
      <c r="Y87" s="40"/>
      <c r="Z87" s="40"/>
      <c r="AA87" s="131"/>
      <c r="AB87" s="131"/>
      <c r="AC87" s="131"/>
      <c r="AD87" s="131"/>
      <c r="AE87" s="131"/>
      <c r="AF87" s="40"/>
      <c r="AG87" s="40"/>
      <c r="AH87" s="131"/>
      <c r="AI87" s="131"/>
      <c r="AJ87" s="131"/>
      <c r="AK87" s="131"/>
      <c r="AM87" s="4"/>
      <c r="AN87" s="43"/>
    </row>
    <row r="88" customFormat="false" ht="12.75" hidden="false" customHeight="false" outlineLevel="0" collapsed="false">
      <c r="A88" s="48"/>
      <c r="B88" s="40"/>
      <c r="C88" s="4"/>
      <c r="D88" s="40"/>
      <c r="E88" s="131"/>
      <c r="F88" s="136"/>
      <c r="G88" s="4"/>
      <c r="H88" s="4"/>
      <c r="I88" s="41"/>
      <c r="J88" s="154"/>
      <c r="K88" s="40"/>
      <c r="L88" s="40"/>
      <c r="M88" s="131"/>
      <c r="N88" s="131"/>
      <c r="O88" s="131"/>
      <c r="P88" s="131"/>
      <c r="Q88" s="131"/>
      <c r="R88" s="40"/>
      <c r="S88" s="40"/>
      <c r="T88" s="131"/>
      <c r="U88" s="131"/>
      <c r="V88" s="131"/>
      <c r="W88" s="131"/>
      <c r="X88" s="131"/>
      <c r="Y88" s="40"/>
      <c r="Z88" s="40"/>
      <c r="AA88" s="131"/>
      <c r="AB88" s="131"/>
      <c r="AC88" s="131"/>
      <c r="AD88" s="131"/>
      <c r="AE88" s="131"/>
      <c r="AF88" s="40"/>
      <c r="AG88" s="40"/>
      <c r="AH88" s="131"/>
      <c r="AI88" s="131"/>
      <c r="AJ88" s="131"/>
      <c r="AK88" s="131"/>
      <c r="AM88" s="4"/>
      <c r="AN88" s="43"/>
    </row>
    <row r="89" customFormat="false" ht="12.75" hidden="false" customHeight="false" outlineLevel="0" collapsed="false">
      <c r="A89" s="48"/>
      <c r="B89" s="40"/>
      <c r="C89" s="4"/>
      <c r="D89" s="40"/>
      <c r="E89" s="131"/>
      <c r="F89" s="136"/>
      <c r="G89" s="4"/>
      <c r="H89" s="4"/>
      <c r="I89" s="41"/>
      <c r="J89" s="154"/>
      <c r="K89" s="40"/>
      <c r="L89" s="40"/>
      <c r="M89" s="131"/>
      <c r="N89" s="131"/>
      <c r="O89" s="131"/>
      <c r="P89" s="131"/>
      <c r="Q89" s="131"/>
      <c r="R89" s="40"/>
      <c r="S89" s="40"/>
      <c r="T89" s="131"/>
      <c r="U89" s="131"/>
      <c r="V89" s="131"/>
      <c r="W89" s="131"/>
      <c r="X89" s="131"/>
      <c r="Y89" s="40"/>
      <c r="Z89" s="40"/>
      <c r="AA89" s="131"/>
      <c r="AB89" s="131"/>
      <c r="AC89" s="131"/>
      <c r="AD89" s="131"/>
      <c r="AE89" s="131"/>
      <c r="AF89" s="40"/>
      <c r="AG89" s="40"/>
      <c r="AH89" s="131"/>
      <c r="AI89" s="131"/>
      <c r="AJ89" s="131"/>
      <c r="AK89" s="131"/>
      <c r="AM89" s="4"/>
      <c r="AN89" s="43"/>
    </row>
    <row r="90" customFormat="false" ht="12.75" hidden="false" customHeight="false" outlineLevel="0" collapsed="false">
      <c r="A90" s="48"/>
      <c r="B90" s="40"/>
      <c r="C90" s="4"/>
      <c r="D90" s="40"/>
      <c r="E90" s="131"/>
      <c r="F90" s="136"/>
      <c r="G90" s="4"/>
      <c r="H90" s="4"/>
      <c r="I90" s="41"/>
      <c r="J90" s="154"/>
      <c r="K90" s="40"/>
      <c r="L90" s="40"/>
      <c r="M90" s="131"/>
      <c r="N90" s="131"/>
      <c r="O90" s="131"/>
      <c r="P90" s="131"/>
      <c r="Q90" s="131"/>
      <c r="R90" s="40"/>
      <c r="S90" s="40"/>
      <c r="T90" s="131"/>
      <c r="U90" s="131"/>
      <c r="V90" s="131"/>
      <c r="W90" s="131"/>
      <c r="X90" s="131"/>
      <c r="Y90" s="40"/>
      <c r="Z90" s="40"/>
      <c r="AA90" s="131"/>
      <c r="AB90" s="131"/>
      <c r="AC90" s="131"/>
      <c r="AD90" s="131"/>
      <c r="AE90" s="131"/>
      <c r="AF90" s="40"/>
      <c r="AG90" s="40"/>
      <c r="AH90" s="131"/>
      <c r="AI90" s="131"/>
      <c r="AJ90" s="131"/>
      <c r="AK90" s="131"/>
      <c r="AM90" s="4"/>
      <c r="AN90" s="43"/>
    </row>
    <row r="91" customFormat="false" ht="12.75" hidden="false" customHeight="false" outlineLevel="0" collapsed="false">
      <c r="A91" s="48"/>
      <c r="B91" s="40"/>
      <c r="C91" s="4"/>
      <c r="D91" s="40"/>
      <c r="E91" s="131"/>
      <c r="F91" s="136"/>
      <c r="G91" s="4"/>
      <c r="H91" s="4"/>
      <c r="I91" s="41"/>
      <c r="J91" s="154"/>
      <c r="K91" s="40"/>
      <c r="L91" s="40"/>
      <c r="M91" s="131"/>
      <c r="N91" s="131"/>
      <c r="O91" s="131"/>
      <c r="P91" s="131"/>
      <c r="Q91" s="131"/>
      <c r="R91" s="40"/>
      <c r="S91" s="40"/>
      <c r="T91" s="131"/>
      <c r="U91" s="131"/>
      <c r="V91" s="131"/>
      <c r="W91" s="131"/>
      <c r="X91" s="131"/>
      <c r="Y91" s="40"/>
      <c r="Z91" s="40"/>
      <c r="AA91" s="131"/>
      <c r="AB91" s="131"/>
      <c r="AC91" s="131"/>
      <c r="AD91" s="131"/>
      <c r="AE91" s="131"/>
      <c r="AF91" s="40"/>
      <c r="AG91" s="40"/>
      <c r="AH91" s="131"/>
      <c r="AI91" s="131"/>
      <c r="AJ91" s="131"/>
      <c r="AK91" s="131"/>
      <c r="AM91" s="4"/>
      <c r="AN91" s="43"/>
    </row>
    <row r="92" customFormat="false" ht="12.75" hidden="false" customHeight="false" outlineLevel="0" collapsed="false">
      <c r="A92" s="48"/>
      <c r="B92" s="40"/>
      <c r="C92" s="4"/>
      <c r="D92" s="40"/>
      <c r="E92" s="131"/>
      <c r="F92" s="136"/>
      <c r="G92" s="4"/>
      <c r="H92" s="4"/>
      <c r="I92" s="41"/>
      <c r="J92" s="154"/>
      <c r="K92" s="40"/>
      <c r="L92" s="40"/>
      <c r="M92" s="131"/>
      <c r="N92" s="131"/>
      <c r="O92" s="131"/>
      <c r="P92" s="131"/>
      <c r="Q92" s="131"/>
      <c r="R92" s="40"/>
      <c r="S92" s="40"/>
      <c r="T92" s="131"/>
      <c r="U92" s="131"/>
      <c r="V92" s="131"/>
      <c r="W92" s="131"/>
      <c r="X92" s="131"/>
      <c r="Y92" s="40"/>
      <c r="Z92" s="40"/>
      <c r="AA92" s="131"/>
      <c r="AB92" s="131"/>
      <c r="AC92" s="131"/>
      <c r="AD92" s="131"/>
      <c r="AE92" s="131"/>
      <c r="AF92" s="40"/>
      <c r="AG92" s="40"/>
      <c r="AH92" s="131"/>
      <c r="AI92" s="131"/>
      <c r="AJ92" s="131"/>
      <c r="AK92" s="131"/>
      <c r="AM92" s="4"/>
      <c r="AN92" s="43"/>
    </row>
    <row r="93" customFormat="false" ht="12.75" hidden="false" customHeight="false" outlineLevel="0" collapsed="false">
      <c r="A93" s="48"/>
      <c r="B93" s="40"/>
      <c r="C93" s="4"/>
      <c r="D93" s="40"/>
      <c r="E93" s="131"/>
      <c r="F93" s="136"/>
      <c r="G93" s="4"/>
      <c r="H93" s="4"/>
      <c r="I93" s="41"/>
      <c r="J93" s="154"/>
      <c r="K93" s="40"/>
      <c r="L93" s="40"/>
      <c r="M93" s="131"/>
      <c r="N93" s="131"/>
      <c r="O93" s="131"/>
      <c r="P93" s="131"/>
      <c r="Q93" s="131"/>
      <c r="R93" s="40"/>
      <c r="S93" s="40"/>
      <c r="T93" s="131"/>
      <c r="U93" s="131"/>
      <c r="V93" s="131"/>
      <c r="W93" s="131"/>
      <c r="X93" s="131"/>
      <c r="Y93" s="40"/>
      <c r="Z93" s="40"/>
      <c r="AA93" s="131"/>
      <c r="AB93" s="131"/>
      <c r="AC93" s="131"/>
      <c r="AD93" s="131"/>
      <c r="AE93" s="131"/>
      <c r="AF93" s="40"/>
      <c r="AG93" s="40"/>
      <c r="AH93" s="131"/>
      <c r="AI93" s="131"/>
      <c r="AJ93" s="131"/>
      <c r="AK93" s="131"/>
      <c r="AM93" s="4"/>
      <c r="AN93" s="43"/>
    </row>
    <row r="94" customFormat="false" ht="12.75" hidden="false" customHeight="false" outlineLevel="0" collapsed="false">
      <c r="A94" s="48"/>
      <c r="B94" s="40"/>
      <c r="C94" s="4"/>
      <c r="D94" s="40"/>
      <c r="E94" s="131"/>
      <c r="F94" s="136"/>
      <c r="G94" s="4"/>
      <c r="H94" s="4"/>
      <c r="I94" s="41"/>
      <c r="J94" s="154"/>
      <c r="K94" s="40"/>
      <c r="L94" s="40"/>
      <c r="M94" s="131"/>
      <c r="N94" s="131"/>
      <c r="O94" s="131"/>
      <c r="P94" s="131"/>
      <c r="Q94" s="131"/>
      <c r="R94" s="40"/>
      <c r="S94" s="40"/>
      <c r="T94" s="131"/>
      <c r="U94" s="131"/>
      <c r="V94" s="131"/>
      <c r="W94" s="131"/>
      <c r="X94" s="131"/>
      <c r="Y94" s="40"/>
      <c r="Z94" s="40"/>
      <c r="AA94" s="131"/>
      <c r="AB94" s="131"/>
      <c r="AC94" s="131"/>
      <c r="AD94" s="131"/>
      <c r="AE94" s="131"/>
      <c r="AF94" s="40"/>
      <c r="AG94" s="40"/>
      <c r="AH94" s="131"/>
      <c r="AI94" s="131"/>
      <c r="AJ94" s="131"/>
      <c r="AK94" s="131"/>
      <c r="AM94" s="4"/>
      <c r="AN94" s="43"/>
    </row>
    <row r="95" customFormat="false" ht="12.75" hidden="false" customHeight="false" outlineLevel="0" collapsed="false">
      <c r="A95" s="48"/>
      <c r="B95" s="40"/>
      <c r="C95" s="4"/>
      <c r="D95" s="40"/>
      <c r="E95" s="131"/>
      <c r="F95" s="136"/>
      <c r="G95" s="4"/>
      <c r="H95" s="4"/>
      <c r="I95" s="41"/>
      <c r="J95" s="154"/>
      <c r="K95" s="40"/>
      <c r="L95" s="40"/>
      <c r="M95" s="131"/>
      <c r="N95" s="131"/>
      <c r="O95" s="131"/>
      <c r="P95" s="131"/>
      <c r="Q95" s="131"/>
      <c r="R95" s="40"/>
      <c r="S95" s="40"/>
      <c r="T95" s="131"/>
      <c r="U95" s="131"/>
      <c r="V95" s="131"/>
      <c r="W95" s="131"/>
      <c r="X95" s="131"/>
      <c r="Y95" s="40"/>
      <c r="Z95" s="40"/>
      <c r="AA95" s="131"/>
      <c r="AB95" s="131"/>
      <c r="AC95" s="131"/>
      <c r="AD95" s="131"/>
      <c r="AE95" s="131"/>
      <c r="AF95" s="40"/>
      <c r="AG95" s="40"/>
      <c r="AH95" s="131"/>
      <c r="AI95" s="131"/>
      <c r="AJ95" s="131"/>
      <c r="AK95" s="131"/>
      <c r="AM95" s="4"/>
      <c r="AN95" s="43"/>
    </row>
    <row r="96" customFormat="false" ht="12.75" hidden="false" customHeight="false" outlineLevel="0" collapsed="false">
      <c r="A96" s="48"/>
      <c r="B96" s="40"/>
      <c r="C96" s="4"/>
      <c r="D96" s="40"/>
      <c r="E96" s="131"/>
      <c r="F96" s="136"/>
      <c r="G96" s="4"/>
      <c r="H96" s="4"/>
      <c r="I96" s="41"/>
      <c r="J96" s="154"/>
      <c r="K96" s="40"/>
      <c r="L96" s="40"/>
      <c r="M96" s="131"/>
      <c r="N96" s="131"/>
      <c r="O96" s="131"/>
      <c r="P96" s="131"/>
      <c r="Q96" s="131"/>
      <c r="R96" s="40"/>
      <c r="S96" s="40"/>
      <c r="T96" s="131"/>
      <c r="U96" s="131"/>
      <c r="V96" s="131"/>
      <c r="W96" s="131"/>
      <c r="X96" s="131"/>
      <c r="Y96" s="40"/>
      <c r="Z96" s="40"/>
      <c r="AA96" s="131"/>
      <c r="AB96" s="131"/>
      <c r="AC96" s="131"/>
      <c r="AD96" s="131"/>
      <c r="AE96" s="131"/>
      <c r="AF96" s="40"/>
      <c r="AG96" s="40"/>
      <c r="AH96" s="131"/>
      <c r="AI96" s="131"/>
      <c r="AJ96" s="131"/>
      <c r="AK96" s="131"/>
      <c r="AM96" s="4"/>
      <c r="AN96" s="43"/>
    </row>
    <row r="97" customFormat="false" ht="12.75" hidden="false" customHeight="false" outlineLevel="0" collapsed="false">
      <c r="A97" s="48"/>
      <c r="B97" s="40"/>
      <c r="C97" s="4"/>
      <c r="D97" s="40"/>
      <c r="E97" s="131"/>
      <c r="F97" s="136"/>
      <c r="G97" s="4"/>
      <c r="H97" s="4"/>
      <c r="I97" s="41"/>
      <c r="J97" s="154"/>
      <c r="K97" s="40"/>
      <c r="L97" s="40"/>
      <c r="M97" s="131"/>
      <c r="N97" s="131"/>
      <c r="O97" s="131"/>
      <c r="P97" s="131"/>
      <c r="Q97" s="131"/>
      <c r="R97" s="40"/>
      <c r="S97" s="40"/>
      <c r="T97" s="131"/>
      <c r="U97" s="131"/>
      <c r="V97" s="131"/>
      <c r="W97" s="131"/>
      <c r="X97" s="131"/>
      <c r="Y97" s="40"/>
      <c r="Z97" s="40"/>
      <c r="AA97" s="131"/>
      <c r="AB97" s="131"/>
      <c r="AC97" s="131"/>
      <c r="AD97" s="131"/>
      <c r="AE97" s="131"/>
      <c r="AF97" s="40"/>
      <c r="AG97" s="40"/>
      <c r="AH97" s="131"/>
      <c r="AI97" s="131"/>
      <c r="AJ97" s="131"/>
      <c r="AK97" s="131"/>
      <c r="AM97" s="4"/>
      <c r="AN97" s="43"/>
    </row>
    <row r="98" customFormat="false" ht="12.75" hidden="false" customHeight="false" outlineLevel="0" collapsed="false">
      <c r="A98" s="48"/>
      <c r="B98" s="40"/>
      <c r="C98" s="4"/>
      <c r="D98" s="40"/>
      <c r="E98" s="131"/>
      <c r="F98" s="136"/>
      <c r="G98" s="4"/>
      <c r="H98" s="4"/>
      <c r="I98" s="41"/>
      <c r="J98" s="154"/>
      <c r="K98" s="40"/>
      <c r="L98" s="40"/>
      <c r="M98" s="131"/>
      <c r="N98" s="131"/>
      <c r="O98" s="131"/>
      <c r="P98" s="131"/>
      <c r="Q98" s="131"/>
      <c r="R98" s="40"/>
      <c r="S98" s="40"/>
      <c r="T98" s="131"/>
      <c r="U98" s="131"/>
      <c r="V98" s="131"/>
      <c r="W98" s="131"/>
      <c r="X98" s="131"/>
      <c r="Y98" s="40"/>
      <c r="Z98" s="40"/>
      <c r="AA98" s="131"/>
      <c r="AB98" s="131"/>
      <c r="AC98" s="131"/>
      <c r="AD98" s="131"/>
      <c r="AE98" s="131"/>
      <c r="AF98" s="40"/>
      <c r="AG98" s="40"/>
      <c r="AH98" s="131"/>
      <c r="AI98" s="131"/>
      <c r="AJ98" s="131"/>
      <c r="AK98" s="131"/>
      <c r="AM98" s="4"/>
      <c r="AN98" s="43"/>
    </row>
    <row r="99" customFormat="false" ht="12.75" hidden="false" customHeight="false" outlineLevel="0" collapsed="false">
      <c r="A99" s="48"/>
      <c r="B99" s="40"/>
      <c r="C99" s="4"/>
      <c r="D99" s="40"/>
      <c r="E99" s="131"/>
      <c r="F99" s="136"/>
      <c r="G99" s="4"/>
      <c r="H99" s="4"/>
      <c r="I99" s="41"/>
      <c r="J99" s="154"/>
      <c r="K99" s="40"/>
      <c r="L99" s="40"/>
      <c r="M99" s="131"/>
      <c r="N99" s="131"/>
      <c r="O99" s="131"/>
      <c r="P99" s="131"/>
      <c r="Q99" s="131"/>
      <c r="R99" s="40"/>
      <c r="S99" s="40"/>
      <c r="T99" s="131"/>
      <c r="U99" s="131"/>
      <c r="V99" s="131"/>
      <c r="W99" s="131"/>
      <c r="X99" s="131"/>
      <c r="Y99" s="40"/>
      <c r="Z99" s="40"/>
      <c r="AA99" s="131"/>
      <c r="AB99" s="131"/>
      <c r="AC99" s="131"/>
      <c r="AD99" s="131"/>
      <c r="AE99" s="131"/>
      <c r="AF99" s="40"/>
      <c r="AG99" s="40"/>
      <c r="AH99" s="131"/>
      <c r="AI99" s="131"/>
      <c r="AJ99" s="131"/>
      <c r="AK99" s="131"/>
      <c r="AM99" s="4"/>
      <c r="AN99" s="43"/>
    </row>
    <row r="100" customFormat="false" ht="12.75" hidden="false" customHeight="false" outlineLevel="0" collapsed="false">
      <c r="A100" s="48"/>
      <c r="B100" s="40"/>
      <c r="C100" s="4"/>
      <c r="D100" s="40"/>
      <c r="E100" s="131"/>
      <c r="F100" s="136"/>
      <c r="G100" s="4"/>
      <c r="H100" s="4"/>
      <c r="I100" s="41"/>
      <c r="J100" s="154"/>
      <c r="K100" s="40"/>
      <c r="L100" s="40"/>
      <c r="M100" s="131"/>
      <c r="N100" s="131"/>
      <c r="O100" s="131"/>
      <c r="P100" s="131"/>
      <c r="Q100" s="131"/>
      <c r="R100" s="40"/>
      <c r="S100" s="40"/>
      <c r="T100" s="131"/>
      <c r="U100" s="131"/>
      <c r="V100" s="131"/>
      <c r="W100" s="131"/>
      <c r="X100" s="131"/>
      <c r="Y100" s="40"/>
      <c r="Z100" s="40"/>
      <c r="AA100" s="131"/>
      <c r="AB100" s="131"/>
      <c r="AC100" s="131"/>
      <c r="AD100" s="131"/>
      <c r="AE100" s="131"/>
      <c r="AF100" s="40"/>
      <c r="AG100" s="40"/>
      <c r="AH100" s="131"/>
      <c r="AI100" s="131"/>
      <c r="AJ100" s="131"/>
      <c r="AK100" s="131"/>
      <c r="AM100" s="4"/>
      <c r="AN100" s="43"/>
    </row>
    <row r="101" customFormat="false" ht="12.75" hidden="false" customHeight="false" outlineLevel="0" collapsed="false">
      <c r="A101" s="48"/>
      <c r="B101" s="40"/>
      <c r="C101" s="4"/>
      <c r="D101" s="40"/>
      <c r="E101" s="131"/>
      <c r="F101" s="136"/>
      <c r="G101" s="4"/>
      <c r="H101" s="4"/>
      <c r="I101" s="41"/>
      <c r="J101" s="154"/>
      <c r="K101" s="40"/>
      <c r="L101" s="40"/>
      <c r="M101" s="131"/>
      <c r="N101" s="131"/>
      <c r="O101" s="131"/>
      <c r="P101" s="131"/>
      <c r="Q101" s="131"/>
      <c r="R101" s="40"/>
      <c r="S101" s="40"/>
      <c r="T101" s="131"/>
      <c r="U101" s="131"/>
      <c r="V101" s="131"/>
      <c r="W101" s="131"/>
      <c r="X101" s="131"/>
      <c r="Y101" s="40"/>
      <c r="Z101" s="40"/>
      <c r="AA101" s="131"/>
      <c r="AB101" s="131"/>
      <c r="AC101" s="131"/>
      <c r="AD101" s="131"/>
      <c r="AE101" s="131"/>
      <c r="AF101" s="40"/>
      <c r="AG101" s="40"/>
      <c r="AH101" s="131"/>
      <c r="AI101" s="131"/>
      <c r="AJ101" s="131"/>
      <c r="AK101" s="131"/>
      <c r="AM101" s="4"/>
      <c r="AN101" s="43"/>
    </row>
    <row r="102" customFormat="false" ht="12.75" hidden="false" customHeight="false" outlineLevel="0" collapsed="false">
      <c r="A102" s="48"/>
      <c r="B102" s="40"/>
      <c r="C102" s="4"/>
      <c r="D102" s="40"/>
      <c r="E102" s="131"/>
      <c r="F102" s="136"/>
      <c r="G102" s="4"/>
      <c r="H102" s="4"/>
      <c r="I102" s="41"/>
      <c r="J102" s="154"/>
      <c r="K102" s="40"/>
      <c r="L102" s="40"/>
      <c r="M102" s="131"/>
      <c r="N102" s="131"/>
      <c r="O102" s="131"/>
      <c r="P102" s="131"/>
      <c r="Q102" s="131"/>
      <c r="R102" s="40"/>
      <c r="S102" s="40"/>
      <c r="T102" s="131"/>
      <c r="U102" s="131"/>
      <c r="V102" s="131"/>
      <c r="W102" s="131"/>
      <c r="X102" s="131"/>
      <c r="Y102" s="40"/>
      <c r="Z102" s="40"/>
      <c r="AA102" s="131"/>
      <c r="AB102" s="131"/>
      <c r="AC102" s="131"/>
      <c r="AD102" s="131"/>
      <c r="AE102" s="131"/>
      <c r="AF102" s="40"/>
      <c r="AG102" s="40"/>
      <c r="AH102" s="131"/>
      <c r="AI102" s="131"/>
      <c r="AJ102" s="131"/>
      <c r="AK102" s="131"/>
      <c r="AM102" s="4"/>
      <c r="AN102" s="43"/>
    </row>
    <row r="103" customFormat="false" ht="12.75" hidden="false" customHeight="false" outlineLevel="0" collapsed="false">
      <c r="A103" s="48"/>
      <c r="B103" s="40"/>
      <c r="C103" s="4"/>
      <c r="D103" s="40"/>
      <c r="E103" s="131"/>
      <c r="F103" s="136"/>
      <c r="G103" s="4"/>
      <c r="H103" s="4"/>
      <c r="I103" s="41"/>
      <c r="J103" s="154"/>
      <c r="K103" s="40"/>
      <c r="L103" s="40"/>
      <c r="M103" s="131"/>
      <c r="N103" s="131"/>
      <c r="O103" s="131"/>
      <c r="P103" s="131"/>
      <c r="Q103" s="131"/>
      <c r="R103" s="40"/>
      <c r="S103" s="40"/>
      <c r="T103" s="131"/>
      <c r="U103" s="131"/>
      <c r="V103" s="131"/>
      <c r="W103" s="131"/>
      <c r="X103" s="131"/>
      <c r="Y103" s="40"/>
      <c r="Z103" s="40"/>
      <c r="AA103" s="131"/>
      <c r="AB103" s="131"/>
      <c r="AC103" s="131"/>
      <c r="AD103" s="131"/>
      <c r="AE103" s="131"/>
      <c r="AF103" s="40"/>
      <c r="AG103" s="40"/>
      <c r="AH103" s="131"/>
      <c r="AI103" s="131"/>
      <c r="AJ103" s="131"/>
      <c r="AK103" s="131"/>
      <c r="AM103" s="4"/>
      <c r="AN103" s="43"/>
    </row>
    <row r="104" customFormat="false" ht="12.75" hidden="false" customHeight="false" outlineLevel="0" collapsed="false">
      <c r="A104" s="48"/>
      <c r="B104" s="40"/>
      <c r="C104" s="4"/>
      <c r="D104" s="40"/>
      <c r="E104" s="131"/>
      <c r="F104" s="136"/>
      <c r="G104" s="4"/>
      <c r="H104" s="4"/>
      <c r="I104" s="41"/>
      <c r="J104" s="154"/>
      <c r="K104" s="40"/>
      <c r="L104" s="40"/>
      <c r="M104" s="131"/>
      <c r="N104" s="131"/>
      <c r="O104" s="131"/>
      <c r="P104" s="131"/>
      <c r="Q104" s="131"/>
      <c r="R104" s="40"/>
      <c r="S104" s="40"/>
      <c r="T104" s="131"/>
      <c r="U104" s="131"/>
      <c r="V104" s="131"/>
      <c r="W104" s="131"/>
      <c r="X104" s="131"/>
      <c r="Y104" s="40"/>
      <c r="Z104" s="40"/>
      <c r="AA104" s="131"/>
      <c r="AB104" s="131"/>
      <c r="AC104" s="131"/>
      <c r="AD104" s="131"/>
      <c r="AE104" s="131"/>
      <c r="AF104" s="40"/>
      <c r="AG104" s="40"/>
      <c r="AH104" s="131"/>
      <c r="AI104" s="131"/>
      <c r="AJ104" s="131"/>
      <c r="AK104" s="131"/>
      <c r="AM104" s="4"/>
      <c r="AN104" s="43"/>
    </row>
    <row r="105" customFormat="false" ht="12.75" hidden="false" customHeight="false" outlineLevel="0" collapsed="false">
      <c r="A105" s="48"/>
      <c r="B105" s="40"/>
      <c r="C105" s="4"/>
      <c r="D105" s="40"/>
      <c r="E105" s="131"/>
      <c r="F105" s="136"/>
      <c r="G105" s="4"/>
      <c r="H105" s="4"/>
      <c r="I105" s="41"/>
      <c r="J105" s="154"/>
      <c r="K105" s="40"/>
      <c r="L105" s="40"/>
      <c r="M105" s="131"/>
      <c r="N105" s="131"/>
      <c r="O105" s="131"/>
      <c r="P105" s="131"/>
      <c r="Q105" s="131"/>
      <c r="R105" s="40"/>
      <c r="S105" s="40"/>
      <c r="T105" s="131"/>
      <c r="U105" s="131"/>
      <c r="V105" s="131"/>
      <c r="W105" s="131"/>
      <c r="X105" s="131"/>
      <c r="Y105" s="40"/>
      <c r="Z105" s="40"/>
      <c r="AA105" s="131"/>
      <c r="AB105" s="131"/>
      <c r="AC105" s="131"/>
      <c r="AD105" s="131"/>
      <c r="AE105" s="131"/>
      <c r="AF105" s="40"/>
      <c r="AG105" s="40"/>
      <c r="AH105" s="131"/>
      <c r="AI105" s="131"/>
      <c r="AJ105" s="131"/>
      <c r="AK105" s="131"/>
      <c r="AM105" s="4"/>
      <c r="AN105" s="43"/>
    </row>
    <row r="106" customFormat="false" ht="12.75" hidden="false" customHeight="false" outlineLevel="0" collapsed="false">
      <c r="A106" s="48"/>
      <c r="B106" s="40"/>
      <c r="C106" s="4"/>
      <c r="D106" s="40"/>
      <c r="E106" s="131"/>
      <c r="F106" s="136"/>
      <c r="G106" s="4"/>
      <c r="H106" s="4"/>
      <c r="I106" s="41"/>
      <c r="J106" s="154"/>
      <c r="K106" s="40"/>
      <c r="L106" s="40"/>
      <c r="M106" s="131"/>
      <c r="N106" s="131"/>
      <c r="O106" s="131"/>
      <c r="P106" s="131"/>
      <c r="Q106" s="131"/>
      <c r="R106" s="40"/>
      <c r="S106" s="40"/>
      <c r="T106" s="131"/>
      <c r="U106" s="131"/>
      <c r="V106" s="131"/>
      <c r="W106" s="131"/>
      <c r="X106" s="131"/>
      <c r="Y106" s="40"/>
      <c r="Z106" s="40"/>
      <c r="AA106" s="131"/>
      <c r="AB106" s="131"/>
      <c r="AC106" s="131"/>
      <c r="AD106" s="131"/>
      <c r="AE106" s="131"/>
      <c r="AF106" s="40"/>
      <c r="AG106" s="40"/>
      <c r="AH106" s="131"/>
      <c r="AI106" s="131"/>
      <c r="AJ106" s="131"/>
      <c r="AK106" s="131"/>
      <c r="AM106" s="4"/>
      <c r="AN106" s="43"/>
    </row>
    <row r="107" customFormat="false" ht="12.75" hidden="false" customHeight="false" outlineLevel="0" collapsed="false">
      <c r="A107" s="48"/>
      <c r="B107" s="40"/>
      <c r="C107" s="4"/>
      <c r="D107" s="40"/>
      <c r="E107" s="131"/>
      <c r="F107" s="136"/>
      <c r="G107" s="4"/>
      <c r="H107" s="4"/>
      <c r="I107" s="41"/>
      <c r="J107" s="154"/>
      <c r="K107" s="40"/>
      <c r="L107" s="40"/>
      <c r="M107" s="131"/>
      <c r="N107" s="131"/>
      <c r="O107" s="131"/>
      <c r="P107" s="131"/>
      <c r="Q107" s="131"/>
      <c r="R107" s="40"/>
      <c r="S107" s="40"/>
      <c r="T107" s="131"/>
      <c r="U107" s="131"/>
      <c r="V107" s="131"/>
      <c r="W107" s="131"/>
      <c r="X107" s="131"/>
      <c r="Y107" s="40"/>
      <c r="Z107" s="40"/>
      <c r="AA107" s="131"/>
      <c r="AB107" s="131"/>
      <c r="AC107" s="131"/>
      <c r="AD107" s="131"/>
      <c r="AE107" s="131"/>
      <c r="AF107" s="40"/>
      <c r="AG107" s="40"/>
      <c r="AH107" s="131"/>
      <c r="AI107" s="131"/>
      <c r="AJ107" s="131"/>
      <c r="AK107" s="131"/>
      <c r="AM107" s="4"/>
      <c r="AN107" s="43"/>
    </row>
    <row r="108" customFormat="false" ht="12.75" hidden="false" customHeight="false" outlineLevel="0" collapsed="false">
      <c r="A108" s="48"/>
      <c r="B108" s="40"/>
      <c r="C108" s="4"/>
      <c r="D108" s="40"/>
      <c r="E108" s="131"/>
      <c r="F108" s="136"/>
      <c r="G108" s="4"/>
      <c r="H108" s="4"/>
      <c r="I108" s="41"/>
      <c r="J108" s="154"/>
      <c r="K108" s="40"/>
      <c r="L108" s="40"/>
      <c r="M108" s="131"/>
      <c r="N108" s="131"/>
      <c r="O108" s="131"/>
      <c r="P108" s="131"/>
      <c r="Q108" s="131"/>
      <c r="R108" s="40"/>
      <c r="S108" s="40"/>
      <c r="T108" s="131"/>
      <c r="U108" s="131"/>
      <c r="V108" s="131"/>
      <c r="W108" s="131"/>
      <c r="X108" s="131"/>
      <c r="Y108" s="40"/>
      <c r="Z108" s="40"/>
      <c r="AA108" s="131"/>
      <c r="AB108" s="131"/>
      <c r="AC108" s="131"/>
      <c r="AD108" s="131"/>
      <c r="AE108" s="131"/>
      <c r="AF108" s="40"/>
      <c r="AG108" s="40"/>
      <c r="AH108" s="131"/>
      <c r="AI108" s="131"/>
      <c r="AJ108" s="131"/>
      <c r="AK108" s="131"/>
      <c r="AM108" s="4"/>
      <c r="AN108" s="43"/>
    </row>
    <row r="109" customFormat="false" ht="12.75" hidden="false" customHeight="false" outlineLevel="0" collapsed="false">
      <c r="A109" s="48"/>
      <c r="B109" s="40"/>
      <c r="C109" s="4"/>
      <c r="D109" s="40"/>
      <c r="E109" s="131"/>
      <c r="F109" s="136"/>
      <c r="G109" s="4"/>
      <c r="H109" s="4"/>
      <c r="I109" s="41"/>
      <c r="J109" s="154"/>
      <c r="K109" s="40"/>
      <c r="L109" s="40"/>
      <c r="M109" s="131"/>
      <c r="N109" s="131"/>
      <c r="O109" s="131"/>
      <c r="P109" s="131"/>
      <c r="Q109" s="131"/>
      <c r="R109" s="40"/>
      <c r="S109" s="40"/>
      <c r="T109" s="131"/>
      <c r="U109" s="131"/>
      <c r="V109" s="131"/>
      <c r="W109" s="131"/>
      <c r="X109" s="131"/>
      <c r="Y109" s="40"/>
      <c r="Z109" s="40"/>
      <c r="AA109" s="131"/>
      <c r="AB109" s="131"/>
      <c r="AC109" s="131"/>
      <c r="AD109" s="131"/>
      <c r="AE109" s="131"/>
      <c r="AF109" s="40"/>
      <c r="AG109" s="40"/>
      <c r="AH109" s="131"/>
      <c r="AI109" s="131"/>
      <c r="AJ109" s="131"/>
      <c r="AK109" s="131"/>
      <c r="AM109" s="4"/>
      <c r="AN109" s="43"/>
    </row>
    <row r="110" customFormat="false" ht="12.75" hidden="false" customHeight="false" outlineLevel="0" collapsed="false">
      <c r="A110" s="48"/>
      <c r="B110" s="40"/>
      <c r="C110" s="4"/>
      <c r="D110" s="40"/>
      <c r="E110" s="131"/>
      <c r="F110" s="136"/>
      <c r="G110" s="4"/>
      <c r="H110" s="4"/>
      <c r="I110" s="41"/>
      <c r="J110" s="154"/>
      <c r="K110" s="40"/>
      <c r="L110" s="40"/>
      <c r="M110" s="131"/>
      <c r="N110" s="131"/>
      <c r="O110" s="131"/>
      <c r="P110" s="131"/>
      <c r="Q110" s="131"/>
      <c r="R110" s="40"/>
      <c r="S110" s="40"/>
      <c r="T110" s="131"/>
      <c r="U110" s="131"/>
      <c r="V110" s="131"/>
      <c r="W110" s="131"/>
      <c r="X110" s="131"/>
      <c r="Y110" s="40"/>
      <c r="Z110" s="40"/>
      <c r="AA110" s="131"/>
      <c r="AB110" s="131"/>
      <c r="AC110" s="131"/>
      <c r="AD110" s="131"/>
      <c r="AE110" s="131"/>
      <c r="AF110" s="40"/>
      <c r="AG110" s="40"/>
      <c r="AH110" s="131"/>
      <c r="AI110" s="131"/>
      <c r="AJ110" s="131"/>
      <c r="AK110" s="131"/>
      <c r="AM110" s="4"/>
      <c r="AN110" s="43"/>
    </row>
    <row r="111" customFormat="false" ht="12.75" hidden="false" customHeight="false" outlineLevel="0" collapsed="false">
      <c r="A111" s="48"/>
      <c r="B111" s="40"/>
      <c r="C111" s="4"/>
      <c r="D111" s="40"/>
      <c r="E111" s="131"/>
      <c r="F111" s="136"/>
      <c r="G111" s="4"/>
      <c r="H111" s="4"/>
      <c r="I111" s="41"/>
      <c r="J111" s="154"/>
      <c r="K111" s="40"/>
      <c r="L111" s="40"/>
      <c r="M111" s="131"/>
      <c r="N111" s="131"/>
      <c r="O111" s="131"/>
      <c r="P111" s="131"/>
      <c r="Q111" s="131"/>
      <c r="R111" s="40"/>
      <c r="S111" s="40"/>
      <c r="T111" s="131"/>
      <c r="U111" s="131"/>
      <c r="V111" s="131"/>
      <c r="W111" s="131"/>
      <c r="X111" s="131"/>
      <c r="Y111" s="40"/>
      <c r="Z111" s="40"/>
      <c r="AA111" s="131"/>
      <c r="AB111" s="131"/>
      <c r="AC111" s="131"/>
      <c r="AD111" s="131"/>
      <c r="AE111" s="131"/>
      <c r="AF111" s="40"/>
      <c r="AG111" s="40"/>
      <c r="AH111" s="131"/>
      <c r="AI111" s="131"/>
      <c r="AJ111" s="131"/>
      <c r="AK111" s="131"/>
      <c r="AM111" s="4"/>
      <c r="AN111" s="43"/>
    </row>
    <row r="112" customFormat="false" ht="12.75" hidden="false" customHeight="false" outlineLevel="0" collapsed="false">
      <c r="A112" s="48"/>
      <c r="B112" s="40"/>
      <c r="C112" s="4"/>
      <c r="D112" s="40"/>
      <c r="E112" s="131"/>
      <c r="F112" s="136"/>
      <c r="G112" s="4"/>
      <c r="H112" s="4"/>
      <c r="I112" s="41"/>
      <c r="J112" s="154"/>
      <c r="K112" s="40"/>
      <c r="L112" s="40"/>
      <c r="M112" s="131"/>
      <c r="N112" s="131"/>
      <c r="O112" s="131"/>
      <c r="P112" s="131"/>
      <c r="Q112" s="131"/>
      <c r="R112" s="40"/>
      <c r="S112" s="40"/>
      <c r="T112" s="131"/>
      <c r="U112" s="131"/>
      <c r="V112" s="131"/>
      <c r="W112" s="131"/>
      <c r="X112" s="131"/>
      <c r="Y112" s="40"/>
      <c r="Z112" s="40"/>
      <c r="AA112" s="131"/>
      <c r="AB112" s="131"/>
      <c r="AC112" s="131"/>
      <c r="AD112" s="131"/>
      <c r="AE112" s="131"/>
      <c r="AF112" s="40"/>
      <c r="AG112" s="40"/>
      <c r="AH112" s="131"/>
      <c r="AI112" s="131"/>
      <c r="AJ112" s="131"/>
      <c r="AK112" s="131"/>
      <c r="AM112" s="4"/>
      <c r="AN112" s="43"/>
    </row>
    <row r="113" customFormat="false" ht="12.75" hidden="false" customHeight="false" outlineLevel="0" collapsed="false">
      <c r="A113" s="48"/>
      <c r="B113" s="40"/>
      <c r="C113" s="4"/>
      <c r="D113" s="40"/>
      <c r="E113" s="131"/>
      <c r="F113" s="136"/>
      <c r="G113" s="4"/>
      <c r="H113" s="4"/>
      <c r="I113" s="41"/>
      <c r="J113" s="154"/>
      <c r="K113" s="40"/>
      <c r="L113" s="40"/>
      <c r="M113" s="131"/>
      <c r="N113" s="131"/>
      <c r="O113" s="131"/>
      <c r="P113" s="131"/>
      <c r="Q113" s="131"/>
      <c r="R113" s="40"/>
      <c r="S113" s="40"/>
      <c r="T113" s="131"/>
      <c r="U113" s="131"/>
      <c r="V113" s="131"/>
      <c r="W113" s="131"/>
      <c r="X113" s="131"/>
      <c r="Y113" s="40"/>
      <c r="Z113" s="40"/>
      <c r="AA113" s="131"/>
      <c r="AB113" s="131"/>
      <c r="AC113" s="131"/>
      <c r="AD113" s="131"/>
      <c r="AE113" s="131"/>
      <c r="AF113" s="40"/>
      <c r="AG113" s="40"/>
      <c r="AH113" s="131"/>
      <c r="AI113" s="131"/>
      <c r="AJ113" s="131"/>
      <c r="AK113" s="131"/>
      <c r="AM113" s="4"/>
      <c r="AN113" s="43"/>
    </row>
    <row r="114" customFormat="false" ht="12.75" hidden="false" customHeight="false" outlineLevel="0" collapsed="false">
      <c r="A114" s="48"/>
      <c r="B114" s="40"/>
      <c r="C114" s="4"/>
      <c r="D114" s="40"/>
      <c r="E114" s="131"/>
      <c r="F114" s="136"/>
      <c r="G114" s="4"/>
      <c r="H114" s="4"/>
      <c r="I114" s="41"/>
      <c r="J114" s="154"/>
      <c r="K114" s="40"/>
      <c r="L114" s="40"/>
      <c r="M114" s="131"/>
      <c r="N114" s="131"/>
      <c r="O114" s="131"/>
      <c r="P114" s="131"/>
      <c r="Q114" s="131"/>
      <c r="R114" s="40"/>
      <c r="S114" s="40"/>
      <c r="T114" s="131"/>
      <c r="U114" s="131"/>
      <c r="V114" s="131"/>
      <c r="W114" s="131"/>
      <c r="X114" s="131"/>
      <c r="Y114" s="40"/>
      <c r="Z114" s="40"/>
      <c r="AA114" s="131"/>
      <c r="AB114" s="131"/>
      <c r="AC114" s="131"/>
      <c r="AD114" s="131"/>
      <c r="AE114" s="131"/>
      <c r="AF114" s="40"/>
      <c r="AG114" s="40"/>
      <c r="AH114" s="131"/>
      <c r="AI114" s="131"/>
      <c r="AJ114" s="131"/>
      <c r="AK114" s="131"/>
      <c r="AM114" s="4"/>
      <c r="AN114" s="43"/>
    </row>
    <row r="115" customFormat="false" ht="12.75" hidden="false" customHeight="false" outlineLevel="0" collapsed="false">
      <c r="A115" s="48"/>
      <c r="B115" s="40"/>
      <c r="C115" s="4"/>
      <c r="D115" s="40"/>
      <c r="E115" s="131"/>
      <c r="F115" s="136"/>
      <c r="G115" s="4"/>
      <c r="H115" s="4"/>
      <c r="I115" s="41"/>
      <c r="J115" s="154"/>
      <c r="K115" s="40"/>
      <c r="L115" s="40"/>
      <c r="M115" s="131"/>
      <c r="N115" s="131"/>
      <c r="O115" s="131"/>
      <c r="P115" s="131"/>
      <c r="Q115" s="131"/>
      <c r="R115" s="40"/>
      <c r="S115" s="40"/>
      <c r="T115" s="131"/>
      <c r="U115" s="131"/>
      <c r="V115" s="131"/>
      <c r="W115" s="131"/>
      <c r="X115" s="131"/>
      <c r="Y115" s="40"/>
      <c r="Z115" s="40"/>
      <c r="AA115" s="131"/>
      <c r="AB115" s="131"/>
      <c r="AC115" s="131"/>
      <c r="AD115" s="131"/>
      <c r="AE115" s="131"/>
      <c r="AF115" s="40"/>
      <c r="AG115" s="40"/>
      <c r="AH115" s="131"/>
      <c r="AI115" s="131"/>
      <c r="AJ115" s="131"/>
      <c r="AK115" s="131"/>
      <c r="AM115" s="4"/>
      <c r="AN115" s="43"/>
    </row>
    <row r="116" customFormat="false" ht="12.75" hidden="false" customHeight="false" outlineLevel="0" collapsed="false">
      <c r="A116" s="48"/>
      <c r="B116" s="49"/>
      <c r="C116" s="50"/>
      <c r="E116" s="46"/>
      <c r="F116" s="46"/>
      <c r="G116" s="46"/>
      <c r="H116" s="133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BX116" s="10"/>
      <c r="DF116" s="10"/>
      <c r="EN116" s="10"/>
    </row>
    <row r="117" customFormat="false" ht="12.75" hidden="false" customHeight="false" outlineLevel="0" collapsed="false">
      <c r="A117" s="51"/>
      <c r="B117" s="49"/>
      <c r="C117" s="50"/>
      <c r="E117" s="46"/>
      <c r="F117" s="46"/>
      <c r="G117" s="46"/>
      <c r="H117" s="133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BX117" s="10"/>
      <c r="DF117" s="10"/>
      <c r="EN117" s="10"/>
    </row>
    <row r="118" customFormat="false" ht="12.75" hidden="false" customHeight="false" outlineLevel="0" collapsed="false">
      <c r="A118" s="51"/>
      <c r="B118" s="49"/>
      <c r="C118" s="50"/>
      <c r="E118" s="46"/>
      <c r="F118" s="46"/>
      <c r="G118" s="46"/>
      <c r="H118" s="133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BX118" s="10"/>
      <c r="DF118" s="10"/>
      <c r="EN118" s="10"/>
    </row>
    <row r="119" customFormat="false" ht="12.75" hidden="false" customHeight="false" outlineLevel="0" collapsed="false">
      <c r="A119" s="51"/>
      <c r="B119" s="49"/>
      <c r="C119" s="50"/>
      <c r="E119" s="46"/>
      <c r="F119" s="46"/>
      <c r="G119" s="46"/>
      <c r="H119" s="133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BX119" s="10"/>
      <c r="DF119" s="10"/>
      <c r="EN119" s="10"/>
    </row>
    <row r="120" customFormat="false" ht="12.75" hidden="false" customHeight="false" outlineLevel="0" collapsed="false">
      <c r="A120" s="51"/>
      <c r="B120" s="49"/>
      <c r="C120" s="50"/>
      <c r="E120" s="46"/>
      <c r="F120" s="46"/>
      <c r="G120" s="46"/>
      <c r="H120" s="133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BX120" s="10"/>
      <c r="DF120" s="10"/>
      <c r="EN120" s="10"/>
    </row>
    <row r="121" customFormat="false" ht="12.75" hidden="false" customHeight="false" outlineLevel="0" collapsed="false">
      <c r="A121" s="51"/>
      <c r="B121" s="49"/>
      <c r="C121" s="50"/>
      <c r="E121" s="46"/>
      <c r="F121" s="46"/>
      <c r="G121" s="46"/>
      <c r="H121" s="133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BX121" s="10"/>
      <c r="DF121" s="10"/>
      <c r="EN121" s="10"/>
    </row>
    <row r="122" customFormat="false" ht="12.75" hidden="false" customHeight="false" outlineLevel="0" collapsed="false">
      <c r="A122" s="51"/>
      <c r="B122" s="49"/>
      <c r="C122" s="50"/>
      <c r="E122" s="46"/>
      <c r="F122" s="46"/>
      <c r="G122" s="46"/>
      <c r="H122" s="133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BX122" s="10"/>
      <c r="DF122" s="10"/>
      <c r="EN122" s="10"/>
    </row>
    <row r="123" customFormat="false" ht="12.75" hidden="false" customHeight="false" outlineLevel="0" collapsed="false">
      <c r="A123" s="51"/>
      <c r="B123" s="49"/>
      <c r="C123" s="50"/>
      <c r="E123" s="46"/>
      <c r="F123" s="46"/>
      <c r="G123" s="46"/>
      <c r="H123" s="133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BX123" s="10"/>
      <c r="DF123" s="10"/>
      <c r="EN123" s="10"/>
    </row>
    <row r="124" customFormat="false" ht="12.75" hidden="false" customHeight="false" outlineLevel="0" collapsed="false">
      <c r="A124" s="51"/>
      <c r="B124" s="49"/>
      <c r="C124" s="50"/>
      <c r="E124" s="46"/>
      <c r="F124" s="46"/>
      <c r="G124" s="46"/>
      <c r="H124" s="133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BX124" s="10"/>
      <c r="DF124" s="10"/>
      <c r="EN124" s="10"/>
    </row>
    <row r="125" customFormat="false" ht="12.75" hidden="false" customHeight="false" outlineLevel="0" collapsed="false">
      <c r="A125" s="51"/>
      <c r="B125" s="49"/>
      <c r="C125" s="50"/>
      <c r="E125" s="46"/>
      <c r="F125" s="46"/>
      <c r="G125" s="46"/>
      <c r="H125" s="133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BX125" s="10"/>
      <c r="DF125" s="10"/>
      <c r="EN125" s="10"/>
    </row>
    <row r="126" customFormat="false" ht="12.75" hidden="false" customHeight="false" outlineLevel="0" collapsed="false">
      <c r="A126" s="51"/>
      <c r="B126" s="49"/>
      <c r="C126" s="50"/>
      <c r="E126" s="46"/>
      <c r="F126" s="46"/>
      <c r="G126" s="46"/>
      <c r="H126" s="133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BX126" s="10"/>
      <c r="DF126" s="10"/>
      <c r="EN126" s="10"/>
    </row>
    <row r="127" customFormat="false" ht="12.75" hidden="false" customHeight="false" outlineLevel="0" collapsed="false">
      <c r="A127" s="52"/>
      <c r="E127" s="22"/>
      <c r="F127" s="22"/>
      <c r="G127" s="22"/>
      <c r="H127" s="133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BX127" s="10"/>
      <c r="DF127" s="10"/>
      <c r="EN127" s="10"/>
    </row>
    <row r="128" customFormat="false" ht="12.75" hidden="false" customHeight="false" outlineLevel="0" collapsed="false">
      <c r="A128" s="51"/>
      <c r="B128" s="49"/>
      <c r="C128" s="50"/>
      <c r="E128" s="46"/>
      <c r="F128" s="46"/>
      <c r="G128" s="46"/>
      <c r="H128" s="133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BX128" s="10"/>
      <c r="DF128" s="10"/>
      <c r="EN128" s="10"/>
    </row>
    <row r="129" customFormat="false" ht="12.75" hidden="false" customHeight="false" outlineLevel="0" collapsed="false">
      <c r="B129" s="51"/>
      <c r="C129" s="53"/>
      <c r="D129" s="54"/>
      <c r="E129" s="55"/>
      <c r="F129" s="55"/>
      <c r="G129" s="55"/>
      <c r="H129" s="46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0"/>
      <c r="AN129" s="55"/>
      <c r="AO129" s="55"/>
      <c r="AP129" s="10"/>
      <c r="BX129" s="10"/>
      <c r="DF129" s="10"/>
      <c r="EN129" s="10"/>
    </row>
    <row r="130" customFormat="false" ht="12.75" hidden="false" customHeight="false" outlineLevel="0" collapsed="false">
      <c r="B130" s="51"/>
      <c r="C130" s="53"/>
      <c r="D130" s="54"/>
      <c r="E130" s="55"/>
      <c r="F130" s="55"/>
      <c r="G130" s="55"/>
      <c r="H130" s="46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0"/>
      <c r="AN130" s="55"/>
      <c r="AO130" s="55"/>
      <c r="AP130" s="10"/>
      <c r="BX130" s="10"/>
      <c r="DF130" s="10"/>
      <c r="EN130" s="10"/>
    </row>
    <row r="131" customFormat="false" ht="12.75" hidden="false" customHeight="false" outlineLevel="0" collapsed="false">
      <c r="B131" s="51"/>
      <c r="C131" s="53"/>
      <c r="D131" s="54"/>
      <c r="E131" s="55"/>
      <c r="F131" s="55"/>
      <c r="G131" s="55"/>
      <c r="H131" s="46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0"/>
      <c r="AN131" s="55"/>
      <c r="AO131" s="55"/>
      <c r="AP131" s="10"/>
      <c r="BX131" s="10"/>
      <c r="DF131" s="10"/>
      <c r="EN131" s="10"/>
    </row>
    <row r="132" customFormat="false" ht="12.75" hidden="false" customHeight="false" outlineLevel="0" collapsed="false">
      <c r="B132" s="51"/>
      <c r="C132" s="53"/>
      <c r="D132" s="54"/>
      <c r="E132" s="55"/>
      <c r="F132" s="55"/>
      <c r="G132" s="55"/>
      <c r="H132" s="46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0"/>
      <c r="AN132" s="55"/>
      <c r="AO132" s="55"/>
      <c r="AP132" s="10"/>
      <c r="BX132" s="10"/>
      <c r="DF132" s="10"/>
      <c r="EN132" s="10"/>
    </row>
    <row r="133" customFormat="false" ht="12.75" hidden="false" customHeight="false" outlineLevel="0" collapsed="false">
      <c r="B133" s="51"/>
      <c r="C133" s="53"/>
      <c r="D133" s="54"/>
      <c r="E133" s="55"/>
      <c r="F133" s="55"/>
      <c r="G133" s="55"/>
      <c r="H133" s="46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0"/>
      <c r="AN133" s="55"/>
      <c r="AO133" s="55"/>
      <c r="AP133" s="10"/>
      <c r="BX133" s="10"/>
      <c r="DF133" s="10"/>
      <c r="EN133" s="10"/>
    </row>
    <row r="134" customFormat="false" ht="12.75" hidden="false" customHeight="false" outlineLevel="0" collapsed="false">
      <c r="B134" s="51"/>
      <c r="C134" s="53"/>
      <c r="D134" s="54"/>
      <c r="E134" s="55"/>
      <c r="F134" s="55"/>
      <c r="G134" s="55"/>
      <c r="H134" s="46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0"/>
      <c r="AN134" s="55"/>
      <c r="AO134" s="55"/>
      <c r="AP134" s="10"/>
      <c r="BX134" s="10"/>
      <c r="DF134" s="10"/>
      <c r="EN134" s="10"/>
    </row>
    <row r="135" customFormat="false" ht="12.75" hidden="false" customHeight="false" outlineLevel="0" collapsed="false">
      <c r="B135" s="51"/>
      <c r="C135" s="53"/>
      <c r="D135" s="54"/>
      <c r="E135" s="55"/>
      <c r="F135" s="55"/>
      <c r="G135" s="55"/>
      <c r="H135" s="46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0"/>
      <c r="AN135" s="55"/>
      <c r="AO135" s="55"/>
      <c r="AP135" s="10"/>
      <c r="BX135" s="10"/>
      <c r="DF135" s="10"/>
      <c r="EN135" s="10"/>
    </row>
    <row r="136" customFormat="false" ht="12.75" hidden="false" customHeight="false" outlineLevel="0" collapsed="false">
      <c r="B136" s="51"/>
      <c r="C136" s="53"/>
      <c r="D136" s="54"/>
      <c r="E136" s="55"/>
      <c r="F136" s="55"/>
      <c r="G136" s="55"/>
      <c r="H136" s="46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0"/>
      <c r="AN136" s="55"/>
      <c r="AO136" s="55"/>
      <c r="AP136" s="10"/>
      <c r="BX136" s="10"/>
      <c r="DF136" s="10"/>
      <c r="EN136" s="10"/>
    </row>
    <row r="137" customFormat="false" ht="12.75" hidden="false" customHeight="false" outlineLevel="0" collapsed="false">
      <c r="B137" s="51"/>
      <c r="C137" s="53"/>
      <c r="D137" s="54"/>
      <c r="E137" s="55"/>
      <c r="F137" s="55"/>
      <c r="G137" s="55"/>
      <c r="H137" s="46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0"/>
      <c r="AN137" s="55"/>
      <c r="AO137" s="55"/>
      <c r="AP137" s="10"/>
      <c r="BX137" s="10"/>
      <c r="DF137" s="10"/>
      <c r="EN137" s="10"/>
    </row>
    <row r="138" customFormat="false" ht="12.75" hidden="false" customHeight="false" outlineLevel="0" collapsed="false">
      <c r="B138" s="51"/>
      <c r="C138" s="53"/>
      <c r="D138" s="54"/>
      <c r="E138" s="55"/>
      <c r="F138" s="55"/>
      <c r="G138" s="55"/>
      <c r="H138" s="46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0"/>
      <c r="AN138" s="55"/>
      <c r="AO138" s="55"/>
      <c r="AP138" s="10"/>
      <c r="BX138" s="10"/>
      <c r="DF138" s="10"/>
      <c r="EN138" s="10"/>
    </row>
    <row r="139" customFormat="false" ht="12.75" hidden="false" customHeight="false" outlineLevel="0" collapsed="false">
      <c r="B139" s="51"/>
      <c r="C139" s="53"/>
      <c r="D139" s="54"/>
      <c r="E139" s="55"/>
      <c r="F139" s="55"/>
      <c r="G139" s="55"/>
      <c r="H139" s="46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0"/>
      <c r="AN139" s="55"/>
      <c r="AO139" s="55"/>
      <c r="AP139" s="10"/>
      <c r="BX139" s="10"/>
      <c r="DF139" s="10"/>
      <c r="EN139" s="10"/>
    </row>
    <row r="140" customFormat="false" ht="12.75" hidden="false" customHeight="false" outlineLevel="0" collapsed="false">
      <c r="B140" s="51"/>
      <c r="C140" s="53"/>
      <c r="D140" s="54"/>
      <c r="E140" s="55"/>
      <c r="F140" s="55"/>
      <c r="G140" s="55"/>
      <c r="H140" s="46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0"/>
      <c r="AN140" s="55"/>
      <c r="AO140" s="55"/>
      <c r="AP140" s="10"/>
      <c r="BX140" s="10"/>
      <c r="DF140" s="10"/>
      <c r="EN140" s="10"/>
    </row>
    <row r="141" customFormat="false" ht="13.5" hidden="false" customHeight="false" outlineLevel="0" collapsed="false">
      <c r="B141" s="51"/>
      <c r="C141" s="53"/>
      <c r="D141" s="56"/>
      <c r="E141" s="55"/>
      <c r="F141" s="55"/>
      <c r="G141" s="55"/>
      <c r="H141" s="46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0"/>
      <c r="AN141" s="10"/>
      <c r="AO141" s="10"/>
      <c r="AP141" s="10"/>
      <c r="BX141" s="10"/>
      <c r="DF141" s="10"/>
      <c r="EN141" s="10"/>
    </row>
    <row r="142" customFormat="false" ht="12.75" hidden="false" customHeight="false" outlineLevel="0" collapsed="false">
      <c r="B142" s="51"/>
      <c r="C142" s="53"/>
      <c r="D142" s="57"/>
      <c r="E142" s="55"/>
      <c r="F142" s="55"/>
      <c r="G142" s="55"/>
      <c r="H142" s="46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0"/>
      <c r="AN142" s="10"/>
      <c r="AO142" s="10"/>
      <c r="AP142" s="10"/>
      <c r="BX142" s="10"/>
      <c r="DF142" s="10"/>
      <c r="EN142" s="10"/>
    </row>
    <row r="143" customFormat="false" ht="13.5" hidden="false" customHeight="false" outlineLevel="0" collapsed="false">
      <c r="B143" s="51"/>
      <c r="C143" s="53"/>
      <c r="D143" s="58"/>
      <c r="E143" s="55"/>
      <c r="F143" s="55"/>
      <c r="G143" s="55"/>
      <c r="H143" s="46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0"/>
      <c r="AN143" s="10"/>
      <c r="AO143" s="10"/>
      <c r="AP143" s="10"/>
      <c r="BX143" s="10"/>
      <c r="DF143" s="10"/>
      <c r="EN143" s="10"/>
    </row>
    <row r="144" customFormat="false" ht="13.5" hidden="false" customHeight="false" outlineLevel="0" collapsed="false">
      <c r="B144" s="51"/>
      <c r="C144" s="53"/>
      <c r="D144" s="58"/>
      <c r="E144" s="55"/>
      <c r="F144" s="55"/>
      <c r="G144" s="55"/>
      <c r="H144" s="46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0"/>
      <c r="AN144" s="10"/>
      <c r="AO144" s="10"/>
      <c r="AP144" s="10"/>
      <c r="BX144" s="10"/>
      <c r="DF144" s="10"/>
      <c r="EN144" s="10"/>
    </row>
    <row r="145" customFormat="false" ht="12.75" hidden="false" customHeight="false" outlineLevel="0" collapsed="false">
      <c r="B145" s="51"/>
      <c r="C145" s="53"/>
      <c r="D145" s="59"/>
      <c r="E145" s="55"/>
      <c r="F145" s="55"/>
      <c r="G145" s="55"/>
      <c r="H145" s="46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0"/>
      <c r="AN145" s="10"/>
      <c r="AO145" s="10"/>
      <c r="AP145" s="10"/>
      <c r="BX145" s="10"/>
      <c r="DF145" s="10"/>
      <c r="EN145" s="10"/>
    </row>
    <row r="146" customFormat="false" ht="12.75" hidden="false" customHeight="false" outlineLevel="0" collapsed="false">
      <c r="B146" s="51"/>
      <c r="C146" s="53"/>
      <c r="D146" s="59"/>
      <c r="E146" s="55"/>
      <c r="F146" s="55"/>
      <c r="G146" s="55"/>
      <c r="H146" s="46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0"/>
      <c r="AN146" s="10"/>
      <c r="AO146" s="10"/>
      <c r="AP146" s="10"/>
      <c r="BX146" s="10"/>
      <c r="DF146" s="10"/>
      <c r="EN146" s="10"/>
    </row>
    <row r="147" customFormat="false" ht="12.75" hidden="false" customHeight="false" outlineLevel="0" collapsed="false">
      <c r="B147" s="51"/>
      <c r="C147" s="53"/>
      <c r="D147" s="59"/>
      <c r="E147" s="55"/>
      <c r="F147" s="55"/>
      <c r="G147" s="55"/>
      <c r="H147" s="46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0"/>
      <c r="AN147" s="10"/>
      <c r="AO147" s="10"/>
      <c r="AP147" s="10"/>
      <c r="BX147" s="10"/>
      <c r="DF147" s="10"/>
      <c r="EN147" s="10"/>
    </row>
    <row r="148" customFormat="false" ht="12.75" hidden="false" customHeight="false" outlineLevel="0" collapsed="false">
      <c r="B148" s="51"/>
      <c r="C148" s="53"/>
      <c r="D148" s="59"/>
      <c r="E148" s="55"/>
      <c r="F148" s="55"/>
      <c r="G148" s="55"/>
      <c r="H148" s="46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0"/>
      <c r="AN148" s="10"/>
      <c r="AO148" s="10"/>
      <c r="AP148" s="10"/>
      <c r="BX148" s="10"/>
      <c r="DF148" s="10"/>
      <c r="EN148" s="10"/>
    </row>
    <row r="149" customFormat="false" ht="12.75" hidden="false" customHeight="false" outlineLevel="0" collapsed="false">
      <c r="B149" s="51"/>
      <c r="C149" s="53"/>
      <c r="D149" s="59"/>
      <c r="E149" s="55"/>
      <c r="F149" s="55"/>
      <c r="G149" s="55"/>
      <c r="H149" s="46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0"/>
      <c r="AN149" s="10"/>
      <c r="AO149" s="10"/>
      <c r="AP149" s="10"/>
      <c r="BX149" s="10"/>
      <c r="DF149" s="10"/>
      <c r="EN149" s="10"/>
    </row>
    <row r="150" customFormat="false" ht="12.75" hidden="false" customHeight="false" outlineLevel="0" collapsed="false">
      <c r="B150" s="51"/>
      <c r="C150" s="53"/>
      <c r="D150" s="59"/>
      <c r="E150" s="55"/>
      <c r="F150" s="55"/>
      <c r="G150" s="55"/>
      <c r="H150" s="46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0"/>
      <c r="AP150" s="10"/>
      <c r="BX150" s="10"/>
      <c r="DF150" s="10"/>
      <c r="EN150" s="10"/>
    </row>
    <row r="151" customFormat="false" ht="12.75" hidden="false" customHeight="false" outlineLevel="0" collapsed="false">
      <c r="B151" s="51"/>
      <c r="C151" s="53"/>
      <c r="D151" s="59"/>
      <c r="E151" s="55"/>
      <c r="F151" s="55"/>
      <c r="G151" s="55"/>
      <c r="H151" s="46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0"/>
      <c r="AN151" s="10"/>
      <c r="AO151" s="10"/>
      <c r="AP151" s="10"/>
      <c r="BX151" s="10"/>
      <c r="DF151" s="10"/>
      <c r="EN151" s="10"/>
    </row>
    <row r="152" customFormat="false" ht="12.75" hidden="false" customHeight="false" outlineLevel="0" collapsed="false">
      <c r="B152" s="51"/>
      <c r="C152" s="53"/>
      <c r="D152" s="59"/>
      <c r="E152" s="55"/>
      <c r="F152" s="55"/>
      <c r="G152" s="55"/>
      <c r="H152" s="46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0"/>
      <c r="AN152" s="10"/>
      <c r="AO152" s="10"/>
      <c r="AP152" s="10"/>
      <c r="BX152" s="10"/>
      <c r="DF152" s="10"/>
      <c r="EN152" s="10"/>
    </row>
    <row r="153" customFormat="false" ht="12.75" hidden="false" customHeight="false" outlineLevel="0" collapsed="false">
      <c r="B153" s="51"/>
      <c r="C153" s="53"/>
      <c r="D153" s="59"/>
      <c r="E153" s="55"/>
      <c r="F153" s="55"/>
      <c r="G153" s="55"/>
      <c r="H153" s="46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0"/>
      <c r="AN153" s="10"/>
      <c r="AO153" s="10"/>
      <c r="AP153" s="10"/>
      <c r="BX153" s="10"/>
      <c r="DF153" s="10"/>
      <c r="EN153" s="10"/>
    </row>
    <row r="154" customFormat="false" ht="12.75" hidden="false" customHeight="false" outlineLevel="0" collapsed="false">
      <c r="B154" s="51"/>
      <c r="C154" s="53"/>
      <c r="D154" s="59"/>
      <c r="E154" s="55"/>
      <c r="F154" s="55"/>
      <c r="G154" s="55"/>
      <c r="H154" s="46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0"/>
      <c r="AN154" s="10"/>
      <c r="AO154" s="10"/>
      <c r="AP154" s="10"/>
      <c r="BX154" s="10"/>
      <c r="DF154" s="10"/>
      <c r="EN154" s="10"/>
    </row>
    <row r="155" customFormat="false" ht="12.75" hidden="false" customHeight="false" outlineLevel="0" collapsed="false">
      <c r="B155" s="51"/>
      <c r="C155" s="53"/>
      <c r="D155" s="59"/>
      <c r="E155" s="55"/>
      <c r="F155" s="55"/>
      <c r="G155" s="55"/>
      <c r="H155" s="46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0"/>
      <c r="AN155" s="10"/>
      <c r="AO155" s="10"/>
      <c r="AP155" s="10"/>
      <c r="BX155" s="10"/>
      <c r="DF155" s="10"/>
      <c r="EN155" s="10"/>
    </row>
    <row r="156" customFormat="false" ht="12.75" hidden="false" customHeight="false" outlineLevel="0" collapsed="false">
      <c r="B156" s="51"/>
      <c r="C156" s="53"/>
      <c r="D156" s="59"/>
      <c r="E156" s="55"/>
      <c r="F156" s="55"/>
      <c r="G156" s="55"/>
      <c r="H156" s="46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0"/>
      <c r="AN156" s="10"/>
      <c r="AO156" s="10"/>
      <c r="AP156" s="10"/>
      <c r="BX156" s="10"/>
      <c r="DF156" s="10"/>
      <c r="EN156" s="10"/>
    </row>
    <row r="157" customFormat="false" ht="12.75" hidden="false" customHeight="false" outlineLevel="0" collapsed="false">
      <c r="B157" s="51"/>
      <c r="C157" s="53"/>
      <c r="D157" s="59"/>
      <c r="E157" s="55"/>
      <c r="F157" s="55"/>
      <c r="G157" s="55"/>
      <c r="H157" s="46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0"/>
      <c r="AN157" s="10"/>
      <c r="AO157" s="10"/>
      <c r="AP157" s="10"/>
      <c r="BX157" s="10"/>
      <c r="DF157" s="10"/>
      <c r="EN157" s="10"/>
    </row>
    <row r="158" customFormat="false" ht="12.75" hidden="false" customHeight="false" outlineLevel="0" collapsed="false">
      <c r="B158" s="51"/>
      <c r="C158" s="53"/>
      <c r="D158" s="59"/>
      <c r="E158" s="55"/>
      <c r="F158" s="55"/>
      <c r="G158" s="55"/>
      <c r="H158" s="46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0"/>
      <c r="AN158" s="10"/>
      <c r="AO158" s="10"/>
      <c r="AP158" s="10"/>
      <c r="BX158" s="10"/>
      <c r="DF158" s="10"/>
      <c r="EN158" s="10"/>
    </row>
    <row r="159" customFormat="false" ht="12.75" hidden="false" customHeight="false" outlineLevel="0" collapsed="false">
      <c r="B159" s="51"/>
      <c r="C159" s="53"/>
      <c r="D159" s="59"/>
      <c r="E159" s="55"/>
      <c r="F159" s="55"/>
      <c r="G159" s="55"/>
      <c r="H159" s="46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0"/>
      <c r="AN159" s="10"/>
      <c r="AO159" s="10"/>
      <c r="AP159" s="10"/>
      <c r="BX159" s="10"/>
      <c r="DF159" s="10"/>
      <c r="EN159" s="10"/>
    </row>
    <row r="160" customFormat="false" ht="12.75" hidden="false" customHeight="false" outlineLevel="0" collapsed="false">
      <c r="B160" s="51"/>
      <c r="C160" s="53"/>
      <c r="D160" s="59"/>
      <c r="E160" s="55"/>
      <c r="F160" s="55"/>
      <c r="G160" s="55"/>
      <c r="H160" s="46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0"/>
      <c r="AN160" s="10"/>
      <c r="AO160" s="10"/>
      <c r="AP160" s="10"/>
      <c r="BX160" s="10"/>
      <c r="DF160" s="10"/>
      <c r="EN160" s="10"/>
    </row>
    <row r="161" customFormat="false" ht="12.75" hidden="false" customHeight="false" outlineLevel="0" collapsed="false">
      <c r="B161" s="51"/>
      <c r="C161" s="53"/>
      <c r="D161" s="59"/>
      <c r="E161" s="55"/>
      <c r="F161" s="55"/>
      <c r="G161" s="55"/>
      <c r="H161" s="46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0"/>
      <c r="AN161" s="10"/>
      <c r="AO161" s="10"/>
      <c r="AP161" s="10"/>
      <c r="BX161" s="10"/>
      <c r="DF161" s="10"/>
      <c r="EN161" s="10"/>
    </row>
    <row r="162" customFormat="false" ht="12.75" hidden="false" customHeight="false" outlineLevel="0" collapsed="false">
      <c r="B162" s="51"/>
      <c r="C162" s="53"/>
      <c r="D162" s="59"/>
      <c r="E162" s="55"/>
      <c r="F162" s="55"/>
      <c r="G162" s="55"/>
      <c r="H162" s="46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0"/>
      <c r="AN162" s="10"/>
      <c r="AO162" s="10"/>
      <c r="AP162" s="10"/>
      <c r="BX162" s="10"/>
      <c r="DF162" s="10"/>
      <c r="EN162" s="10"/>
    </row>
    <row r="163" customFormat="false" ht="12.75" hidden="false" customHeight="false" outlineLevel="0" collapsed="false">
      <c r="B163" s="51"/>
      <c r="C163" s="53"/>
      <c r="D163" s="59"/>
      <c r="E163" s="55"/>
      <c r="F163" s="55"/>
      <c r="G163" s="55"/>
      <c r="H163" s="46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0"/>
      <c r="AN163" s="10"/>
      <c r="AO163" s="10"/>
      <c r="AP163" s="10"/>
      <c r="BX163" s="10"/>
      <c r="DF163" s="10"/>
      <c r="EN163" s="10"/>
    </row>
    <row r="164" customFormat="false" ht="12.75" hidden="false" customHeight="false" outlineLevel="0" collapsed="false">
      <c r="B164" s="51"/>
      <c r="C164" s="53"/>
      <c r="D164" s="59"/>
      <c r="E164" s="55"/>
      <c r="F164" s="55"/>
      <c r="G164" s="55"/>
      <c r="H164" s="46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0"/>
      <c r="AN164" s="10"/>
      <c r="AO164" s="10"/>
      <c r="AP164" s="10"/>
      <c r="BX164" s="10"/>
      <c r="DF164" s="10"/>
      <c r="EN164" s="10"/>
    </row>
    <row r="165" customFormat="false" ht="12.75" hidden="false" customHeight="false" outlineLevel="0" collapsed="false">
      <c r="B165" s="51"/>
      <c r="C165" s="53"/>
      <c r="D165" s="59"/>
      <c r="E165" s="55"/>
      <c r="F165" s="55"/>
      <c r="G165" s="55"/>
      <c r="H165" s="46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0"/>
      <c r="AN165" s="10"/>
      <c r="AO165" s="10"/>
      <c r="AP165" s="10"/>
      <c r="BX165" s="10"/>
      <c r="DF165" s="10"/>
      <c r="EN165" s="10"/>
    </row>
    <row r="166" customFormat="false" ht="12.75" hidden="false" customHeight="false" outlineLevel="0" collapsed="false">
      <c r="B166" s="51"/>
      <c r="C166" s="53"/>
      <c r="D166" s="59"/>
      <c r="E166" s="55"/>
      <c r="F166" s="55"/>
      <c r="G166" s="55"/>
      <c r="H166" s="46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0"/>
      <c r="AN166" s="10"/>
      <c r="AO166" s="10"/>
      <c r="AP166" s="10"/>
      <c r="BX166" s="10"/>
      <c r="DF166" s="10"/>
      <c r="EN166" s="10"/>
    </row>
    <row r="167" customFormat="false" ht="12.75" hidden="false" customHeight="false" outlineLevel="0" collapsed="false">
      <c r="B167" s="51"/>
      <c r="C167" s="53"/>
      <c r="D167" s="59"/>
      <c r="E167" s="55"/>
      <c r="F167" s="55"/>
      <c r="G167" s="55"/>
      <c r="H167" s="46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0"/>
      <c r="AN167" s="10"/>
      <c r="AO167" s="10"/>
      <c r="AP167" s="10"/>
      <c r="BX167" s="10"/>
      <c r="DF167" s="10"/>
      <c r="EN167" s="10"/>
    </row>
    <row r="168" customFormat="false" ht="12.75" hidden="false" customHeight="false" outlineLevel="0" collapsed="false">
      <c r="B168" s="51"/>
      <c r="C168" s="53"/>
      <c r="D168" s="59"/>
      <c r="E168" s="55"/>
      <c r="F168" s="55"/>
      <c r="G168" s="55"/>
      <c r="H168" s="46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0"/>
      <c r="AN168" s="10"/>
      <c r="AO168" s="10"/>
      <c r="AP168" s="10"/>
      <c r="BX168" s="10"/>
      <c r="DF168" s="10"/>
      <c r="EN168" s="10"/>
    </row>
    <row r="169" customFormat="false" ht="12.75" hidden="false" customHeight="false" outlineLevel="0" collapsed="false">
      <c r="B169" s="51"/>
      <c r="C169" s="53"/>
      <c r="D169" s="59"/>
      <c r="E169" s="55"/>
      <c r="F169" s="55"/>
      <c r="G169" s="55"/>
      <c r="H169" s="46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0"/>
      <c r="AN169" s="10"/>
      <c r="AO169" s="10"/>
      <c r="AP169" s="10"/>
      <c r="BX169" s="10"/>
      <c r="DF169" s="10"/>
      <c r="EN169" s="10"/>
    </row>
    <row r="170" customFormat="false" ht="12.75" hidden="false" customHeight="false" outlineLevel="0" collapsed="false">
      <c r="B170" s="51"/>
      <c r="C170" s="53"/>
      <c r="D170" s="59"/>
      <c r="E170" s="55"/>
      <c r="F170" s="55"/>
      <c r="G170" s="55"/>
      <c r="H170" s="46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0"/>
      <c r="AN170" s="10"/>
      <c r="AO170" s="10"/>
      <c r="AP170" s="10"/>
      <c r="BX170" s="10"/>
      <c r="DF170" s="10"/>
      <c r="EN170" s="10"/>
    </row>
    <row r="171" customFormat="false" ht="12.75" hidden="false" customHeight="false" outlineLevel="0" collapsed="false">
      <c r="B171" s="51"/>
      <c r="C171" s="53"/>
      <c r="D171" s="59"/>
      <c r="E171" s="55"/>
      <c r="F171" s="55"/>
      <c r="G171" s="55"/>
      <c r="H171" s="46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0"/>
      <c r="AN171" s="10"/>
      <c r="AO171" s="10"/>
      <c r="AP171" s="10"/>
      <c r="BX171" s="10"/>
      <c r="DF171" s="10"/>
      <c r="EN171" s="10"/>
    </row>
    <row r="172" customFormat="false" ht="12.75" hidden="false" customHeight="false" outlineLevel="0" collapsed="false">
      <c r="B172" s="51"/>
      <c r="C172" s="53"/>
      <c r="D172" s="59"/>
      <c r="E172" s="55"/>
      <c r="F172" s="55"/>
      <c r="G172" s="55"/>
      <c r="H172" s="46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0"/>
      <c r="AN172" s="10"/>
      <c r="AO172" s="10"/>
      <c r="AP172" s="10"/>
      <c r="BX172" s="10"/>
      <c r="DF172" s="10"/>
      <c r="EN172" s="10"/>
    </row>
    <row r="173" customFormat="false" ht="12.75" hidden="false" customHeight="false" outlineLevel="0" collapsed="false">
      <c r="B173" s="51"/>
      <c r="C173" s="53"/>
      <c r="D173" s="59"/>
      <c r="E173" s="55"/>
      <c r="F173" s="55"/>
      <c r="G173" s="55"/>
      <c r="H173" s="46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0"/>
      <c r="AN173" s="10"/>
      <c r="AO173" s="10"/>
      <c r="AP173" s="10"/>
      <c r="BX173" s="10"/>
      <c r="DF173" s="10"/>
      <c r="EN173" s="10"/>
    </row>
    <row r="174" customFormat="false" ht="12.75" hidden="false" customHeight="false" outlineLevel="0" collapsed="false">
      <c r="B174" s="51"/>
      <c r="C174" s="53"/>
      <c r="D174" s="59"/>
      <c r="E174" s="55"/>
      <c r="F174" s="55"/>
      <c r="G174" s="55"/>
      <c r="H174" s="46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0"/>
      <c r="AN174" s="10"/>
      <c r="AO174" s="10"/>
      <c r="AP174" s="10"/>
      <c r="BX174" s="10"/>
      <c r="DF174" s="10"/>
      <c r="EN174" s="10"/>
    </row>
    <row r="175" customFormat="false" ht="12.75" hidden="false" customHeight="false" outlineLevel="0" collapsed="false">
      <c r="B175" s="60"/>
      <c r="C175" s="59"/>
      <c r="D175" s="59"/>
      <c r="E175" s="55"/>
      <c r="F175" s="55"/>
      <c r="G175" s="55"/>
      <c r="H175" s="46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0"/>
      <c r="AN175" s="10"/>
      <c r="AO175" s="10"/>
      <c r="AP175" s="10"/>
      <c r="BX175" s="10"/>
      <c r="DF175" s="10"/>
      <c r="EN175" s="10"/>
    </row>
    <row r="176" customFormat="false" ht="12.75" hidden="false" customHeight="false" outlineLevel="0" collapsed="false">
      <c r="B176" s="60"/>
      <c r="C176" s="59"/>
      <c r="D176" s="59"/>
      <c r="E176" s="55"/>
      <c r="F176" s="55"/>
      <c r="G176" s="55"/>
      <c r="H176" s="46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0"/>
      <c r="AN176" s="10"/>
      <c r="AO176" s="10"/>
      <c r="AP176" s="10"/>
      <c r="BX176" s="10"/>
      <c r="DF176" s="10"/>
      <c r="EN176" s="10"/>
    </row>
    <row r="177" customFormat="false" ht="12.75" hidden="false" customHeight="false" outlineLevel="0" collapsed="false">
      <c r="B177" s="60"/>
      <c r="C177" s="59"/>
      <c r="D177" s="59"/>
      <c r="E177" s="55"/>
      <c r="F177" s="55"/>
      <c r="G177" s="55"/>
      <c r="H177" s="46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0"/>
      <c r="AN177" s="10"/>
      <c r="AO177" s="10"/>
      <c r="AP177" s="10"/>
      <c r="BX177" s="10"/>
      <c r="DF177" s="10"/>
      <c r="EN177" s="10"/>
    </row>
    <row r="178" customFormat="false" ht="12.75" hidden="false" customHeight="false" outlineLevel="0" collapsed="false">
      <c r="B178" s="60"/>
      <c r="C178" s="59"/>
      <c r="D178" s="59"/>
      <c r="E178" s="55"/>
      <c r="F178" s="55"/>
      <c r="G178" s="55"/>
      <c r="H178" s="46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0"/>
      <c r="AN178" s="10"/>
      <c r="AO178" s="10"/>
      <c r="AP178" s="10"/>
      <c r="BX178" s="10"/>
      <c r="DF178" s="10"/>
      <c r="EN178" s="10"/>
    </row>
    <row r="179" customFormat="false" ht="12.75" hidden="false" customHeight="false" outlineLevel="0" collapsed="false">
      <c r="B179" s="60"/>
      <c r="C179" s="59"/>
      <c r="D179" s="59"/>
      <c r="E179" s="55"/>
      <c r="F179" s="55"/>
      <c r="G179" s="55"/>
      <c r="H179" s="46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0"/>
      <c r="AN179" s="10"/>
      <c r="AO179" s="10"/>
      <c r="AP179" s="10"/>
      <c r="BX179" s="10"/>
      <c r="DF179" s="10"/>
      <c r="EN179" s="10"/>
    </row>
    <row r="180" customFormat="false" ht="12.75" hidden="false" customHeight="false" outlineLevel="0" collapsed="false">
      <c r="B180" s="60"/>
      <c r="C180" s="59"/>
      <c r="D180" s="59"/>
      <c r="E180" s="55"/>
      <c r="F180" s="55"/>
      <c r="G180" s="55"/>
      <c r="H180" s="46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0"/>
      <c r="AN180" s="10"/>
      <c r="AO180" s="10"/>
      <c r="AP180" s="10"/>
      <c r="BX180" s="10"/>
      <c r="DF180" s="10"/>
      <c r="EN180" s="10"/>
    </row>
    <row r="181" customFormat="false" ht="12.75" hidden="false" customHeight="false" outlineLevel="0" collapsed="false">
      <c r="B181" s="60"/>
      <c r="C181" s="59"/>
      <c r="D181" s="59"/>
      <c r="E181" s="55"/>
      <c r="F181" s="55"/>
      <c r="G181" s="55"/>
      <c r="H181" s="46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0"/>
      <c r="AN181" s="10"/>
      <c r="AO181" s="10"/>
      <c r="AP181" s="10"/>
      <c r="BX181" s="10"/>
      <c r="DF181" s="10"/>
      <c r="EN181" s="10"/>
    </row>
    <row r="182" customFormat="false" ht="12.75" hidden="false" customHeight="false" outlineLevel="0" collapsed="false">
      <c r="B182" s="60"/>
      <c r="C182" s="59"/>
      <c r="D182" s="59"/>
      <c r="E182" s="55"/>
      <c r="F182" s="55"/>
      <c r="G182" s="55"/>
      <c r="H182" s="46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0"/>
      <c r="AN182" s="10"/>
      <c r="AO182" s="10"/>
      <c r="AP182" s="10"/>
      <c r="BX182" s="10"/>
      <c r="DF182" s="10"/>
      <c r="EN182" s="10"/>
    </row>
    <row r="183" customFormat="false" ht="12.75" hidden="false" customHeight="false" outlineLevel="0" collapsed="false">
      <c r="B183" s="60"/>
      <c r="C183" s="59"/>
      <c r="D183" s="59"/>
      <c r="E183" s="55"/>
      <c r="F183" s="55"/>
      <c r="G183" s="55"/>
      <c r="H183" s="46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0"/>
      <c r="AN183" s="10"/>
      <c r="AO183" s="10"/>
      <c r="AP183" s="10"/>
      <c r="BX183" s="10"/>
      <c r="DF183" s="10"/>
      <c r="EN183" s="10"/>
    </row>
    <row r="184" customFormat="false" ht="12.75" hidden="false" customHeight="false" outlineLevel="0" collapsed="false">
      <c r="B184" s="60"/>
      <c r="C184" s="59"/>
      <c r="D184" s="59"/>
      <c r="E184" s="55"/>
      <c r="F184" s="55"/>
      <c r="G184" s="55"/>
      <c r="H184" s="46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0"/>
      <c r="AN184" s="10"/>
      <c r="AO184" s="10"/>
      <c r="AP184" s="10"/>
      <c r="BX184" s="10"/>
      <c r="DF184" s="10"/>
      <c r="EN184" s="10"/>
    </row>
    <row r="185" customFormat="false" ht="12.75" hidden="false" customHeight="false" outlineLevel="0" collapsed="false">
      <c r="B185" s="60"/>
      <c r="C185" s="59"/>
      <c r="D185" s="59"/>
      <c r="E185" s="55"/>
      <c r="F185" s="55"/>
      <c r="G185" s="55"/>
      <c r="H185" s="46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0"/>
      <c r="AN185" s="10"/>
      <c r="AO185" s="10"/>
      <c r="AP185" s="10"/>
      <c r="BX185" s="10"/>
      <c r="DF185" s="10"/>
      <c r="EN185" s="10"/>
    </row>
    <row r="186" customFormat="false" ht="12.75" hidden="false" customHeight="false" outlineLevel="0" collapsed="false">
      <c r="B186" s="60"/>
      <c r="C186" s="59"/>
      <c r="D186" s="59"/>
      <c r="E186" s="55"/>
      <c r="F186" s="55"/>
      <c r="G186" s="55"/>
      <c r="H186" s="46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0"/>
      <c r="AN186" s="10"/>
      <c r="AO186" s="10"/>
      <c r="AP186" s="10"/>
      <c r="BX186" s="10"/>
      <c r="DF186" s="10"/>
      <c r="EN186" s="10"/>
    </row>
    <row r="187" customFormat="false" ht="12.75" hidden="false" customHeight="false" outlineLevel="0" collapsed="false">
      <c r="B187" s="60"/>
      <c r="C187" s="59"/>
      <c r="D187" s="59"/>
      <c r="E187" s="55"/>
      <c r="F187" s="55"/>
      <c r="G187" s="55"/>
      <c r="H187" s="46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0"/>
      <c r="AN187" s="10"/>
      <c r="AO187" s="10"/>
      <c r="AP187" s="10"/>
      <c r="BX187" s="10"/>
      <c r="DF187" s="10"/>
      <c r="EN187" s="1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2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G3" activePane="bottomRight" state="frozen"/>
      <selection pane="topLeft" activeCell="A1" activeCellId="0" sqref="A1"/>
      <selection pane="topRight" activeCell="G1" activeCellId="0" sqref="G1"/>
      <selection pane="bottomLeft" activeCell="A3" activeCellId="0" sqref="A3"/>
      <selection pane="bottomRight" activeCell="I5" activeCellId="0" sqref="I5:I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58" width="9.14"/>
    <col collapsed="false" customWidth="true" hidden="false" outlineLevel="0" max="8" min="2" style="108" width="15.7"/>
    <col collapsed="false" customWidth="true" hidden="false" outlineLevel="0" max="10" min="9" style="159" width="9.14"/>
  </cols>
  <sheetData>
    <row r="1" customFormat="false" ht="14.25" hidden="false" customHeight="false" outlineLevel="0" collapsed="false">
      <c r="A1" s="158" t="s">
        <v>196</v>
      </c>
      <c r="B1" s="160" t="s">
        <v>93</v>
      </c>
      <c r="C1" s="161" t="s">
        <v>31</v>
      </c>
      <c r="D1" s="162" t="s">
        <v>47</v>
      </c>
      <c r="E1" s="162" t="s">
        <v>37</v>
      </c>
      <c r="F1" s="162" t="s">
        <v>100</v>
      </c>
      <c r="G1" s="162" t="s">
        <v>52</v>
      </c>
      <c r="H1" s="162" t="s">
        <v>38</v>
      </c>
      <c r="I1" s="162" t="s">
        <v>35</v>
      </c>
      <c r="J1" s="162" t="s">
        <v>67</v>
      </c>
      <c r="K1" s="162" t="s">
        <v>75</v>
      </c>
      <c r="L1" s="163" t="s">
        <v>117</v>
      </c>
      <c r="M1" s="163" t="s">
        <v>58</v>
      </c>
      <c r="N1" s="164" t="s">
        <v>87</v>
      </c>
    </row>
    <row r="2" customFormat="false" ht="12.75" hidden="false" customHeight="false" outlineLevel="0" collapsed="false">
      <c r="B2" s="165" t="n">
        <v>2</v>
      </c>
      <c r="C2" s="165" t="n">
        <f aca="false">B2+1</f>
        <v>3</v>
      </c>
      <c r="D2" s="165" t="n">
        <f aca="false">C2+1</f>
        <v>4</v>
      </c>
      <c r="E2" s="165" t="n">
        <f aca="false">D2+1</f>
        <v>5</v>
      </c>
      <c r="F2" s="165" t="n">
        <f aca="false">E2+1</f>
        <v>6</v>
      </c>
      <c r="G2" s="165" t="n">
        <f aca="false">F2+1</f>
        <v>7</v>
      </c>
      <c r="H2" s="165" t="n">
        <f aca="false">G2+1</f>
        <v>8</v>
      </c>
      <c r="I2" s="165" t="n">
        <f aca="false">H2+1</f>
        <v>9</v>
      </c>
      <c r="J2" s="165" t="n">
        <f aca="false">I2+1</f>
        <v>10</v>
      </c>
      <c r="K2" s="165" t="n">
        <f aca="false">J2+1</f>
        <v>11</v>
      </c>
      <c r="L2" s="165" t="n">
        <f aca="false">K2+1</f>
        <v>12</v>
      </c>
      <c r="M2" s="165" t="n">
        <f aca="false">L2+1</f>
        <v>13</v>
      </c>
      <c r="N2" s="165" t="n">
        <f aca="false">M2+1</f>
        <v>14</v>
      </c>
    </row>
    <row r="3" customFormat="false" ht="12.75" hidden="false" customHeight="false" outlineLevel="0" collapsed="false">
      <c r="A3" s="158" t="n">
        <v>36770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</row>
    <row r="4" customFormat="false" ht="12.75" hidden="false" customHeight="false" outlineLevel="0" collapsed="false">
      <c r="A4" s="158" t="n">
        <v>36800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</row>
    <row r="5" customFormat="false" ht="12.75" hidden="false" customHeight="false" outlineLevel="0" collapsed="false">
      <c r="A5" s="158" t="n">
        <v>36831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customFormat="false" ht="12.75" hidden="false" customHeight="false" outlineLevel="0" collapsed="false">
      <c r="A6" s="158" t="n">
        <v>36861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customFormat="false" ht="12.75" hidden="false" customHeight="false" outlineLevel="0" collapsed="false">
      <c r="A7" s="158" t="n">
        <v>36892</v>
      </c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</row>
    <row r="8" customFormat="false" ht="12.75" hidden="false" customHeight="false" outlineLevel="0" collapsed="false">
      <c r="A8" s="158" t="n">
        <v>36923</v>
      </c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</row>
    <row r="9" customFormat="false" ht="12.75" hidden="false" customHeight="false" outlineLevel="0" collapsed="false">
      <c r="A9" s="158" t="n">
        <v>36951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</row>
    <row r="10" customFormat="false" ht="12.75" hidden="false" customHeight="false" outlineLevel="0" collapsed="false">
      <c r="A10" s="158" t="n">
        <v>36982</v>
      </c>
      <c r="B10" s="166"/>
      <c r="C10" s="166"/>
      <c r="D10" s="166"/>
      <c r="E10" s="166"/>
      <c r="F10" s="166"/>
      <c r="G10" s="166"/>
      <c r="H10" s="166"/>
      <c r="I10" s="166"/>
      <c r="J10" s="166"/>
      <c r="K10" s="166"/>
      <c r="L10" s="166"/>
      <c r="M10" s="166"/>
      <c r="N10" s="166"/>
    </row>
    <row r="11" customFormat="false" ht="12.75" hidden="false" customHeight="false" outlineLevel="0" collapsed="false">
      <c r="A11" s="158" t="n">
        <v>37012</v>
      </c>
      <c r="B11" s="166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6"/>
    </row>
    <row r="12" customFormat="false" ht="12.75" hidden="false" customHeight="false" outlineLevel="0" collapsed="false">
      <c r="A12" s="158" t="n">
        <v>37043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</row>
    <row r="13" customFormat="false" ht="12.75" hidden="false" customHeight="false" outlineLevel="0" collapsed="false">
      <c r="A13" s="158" t="n">
        <v>37073</v>
      </c>
      <c r="B13" s="166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</row>
    <row r="14" customFormat="false" ht="12.75" hidden="false" customHeight="false" outlineLevel="0" collapsed="false">
      <c r="A14" s="158" t="n">
        <v>37104</v>
      </c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</row>
    <row r="15" customFormat="false" ht="12.75" hidden="false" customHeight="false" outlineLevel="0" collapsed="false">
      <c r="A15" s="158" t="n">
        <v>37135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</row>
    <row r="16" customFormat="false" ht="12.75" hidden="false" customHeight="false" outlineLevel="0" collapsed="false">
      <c r="A16" s="158" t="n">
        <v>37165</v>
      </c>
      <c r="B16" s="166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</row>
    <row r="17" customFormat="false" ht="12.75" hidden="false" customHeight="false" outlineLevel="0" collapsed="false">
      <c r="A17" s="158" t="n">
        <v>37196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</row>
    <row r="18" customFormat="false" ht="12.75" hidden="false" customHeight="false" outlineLevel="0" collapsed="false">
      <c r="A18" s="158" t="n">
        <v>37226</v>
      </c>
      <c r="B18" s="166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</row>
    <row r="19" customFormat="false" ht="12.75" hidden="false" customHeight="false" outlineLevel="0" collapsed="false">
      <c r="A19" s="158" t="n">
        <v>37257</v>
      </c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</row>
    <row r="20" customFormat="false" ht="12.75" hidden="false" customHeight="false" outlineLevel="0" collapsed="false">
      <c r="A20" s="158" t="n">
        <v>37288</v>
      </c>
      <c r="B20" s="166"/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</row>
    <row r="21" customFormat="false" ht="12.75" hidden="false" customHeight="false" outlineLevel="0" collapsed="false">
      <c r="A21" s="158" t="n">
        <v>37316</v>
      </c>
      <c r="B21" s="166"/>
      <c r="C21" s="166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</row>
    <row r="22" customFormat="false" ht="12.75" hidden="false" customHeight="false" outlineLevel="0" collapsed="false">
      <c r="A22" s="158" t="n">
        <v>37347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</row>
    <row r="23" customFormat="false" ht="12.75" hidden="false" customHeight="false" outlineLevel="0" collapsed="false">
      <c r="A23" s="158" t="n">
        <v>37377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</row>
    <row r="24" customFormat="false" ht="12.75" hidden="false" customHeight="false" outlineLevel="0" collapsed="false">
      <c r="A24" s="158" t="n">
        <v>37408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</row>
    <row r="25" customFormat="false" ht="12.75" hidden="false" customHeight="false" outlineLevel="0" collapsed="false">
      <c r="A25" s="158" t="n">
        <v>37438</v>
      </c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</row>
    <row r="26" customFormat="false" ht="12.75" hidden="false" customHeight="false" outlineLevel="0" collapsed="false">
      <c r="A26" s="158" t="n">
        <v>37469</v>
      </c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6"/>
    </row>
    <row r="27" customFormat="false" ht="12.75" hidden="false" customHeight="false" outlineLevel="0" collapsed="false">
      <c r="A27" s="158" t="n">
        <v>37500</v>
      </c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6"/>
    </row>
    <row r="28" customFormat="false" ht="12.75" hidden="false" customHeight="false" outlineLevel="0" collapsed="false">
      <c r="A28" s="158" t="n">
        <v>37530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</row>
    <row r="29" customFormat="false" ht="12.75" hidden="false" customHeight="false" outlineLevel="0" collapsed="false">
      <c r="A29" s="158" t="n">
        <v>37561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</row>
    <row r="30" customFormat="false" ht="12.75" hidden="false" customHeight="false" outlineLevel="0" collapsed="false">
      <c r="A30" s="158" t="n">
        <v>37591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</row>
    <row r="31" customFormat="false" ht="12.75" hidden="false" customHeight="false" outlineLevel="0" collapsed="false">
      <c r="A31" s="158" t="n">
        <v>37622</v>
      </c>
      <c r="B31" s="166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</row>
    <row r="32" customFormat="false" ht="12.75" hidden="false" customHeight="false" outlineLevel="0" collapsed="false">
      <c r="A32" s="158" t="n">
        <v>37653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</row>
    <row r="33" customFormat="false" ht="12.75" hidden="false" customHeight="false" outlineLevel="0" collapsed="false">
      <c r="A33" s="158" t="n">
        <v>37681</v>
      </c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</row>
    <row r="34" customFormat="false" ht="12.75" hidden="false" customHeight="false" outlineLevel="0" collapsed="false">
      <c r="A34" s="158" t="n">
        <v>37712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</row>
    <row r="35" customFormat="false" ht="12.75" hidden="false" customHeight="false" outlineLevel="0" collapsed="false">
      <c r="A35" s="158" t="n">
        <v>37742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</row>
    <row r="36" customFormat="false" ht="12.75" hidden="false" customHeight="false" outlineLevel="0" collapsed="false">
      <c r="A36" s="158" t="n">
        <v>37773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</row>
    <row r="37" customFormat="false" ht="12.75" hidden="false" customHeight="false" outlineLevel="0" collapsed="false">
      <c r="A37" s="158" t="n">
        <v>37803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</row>
    <row r="38" customFormat="false" ht="12.75" hidden="false" customHeight="false" outlineLevel="0" collapsed="false">
      <c r="A38" s="158" t="n">
        <v>37834</v>
      </c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</row>
    <row r="39" customFormat="false" ht="12.75" hidden="false" customHeight="false" outlineLevel="0" collapsed="false">
      <c r="A39" s="158" t="n">
        <v>37865</v>
      </c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</row>
    <row r="40" customFormat="false" ht="12.75" hidden="false" customHeight="false" outlineLevel="0" collapsed="false">
      <c r="A40" s="158" t="n">
        <v>37895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</row>
    <row r="41" customFormat="false" ht="12.75" hidden="false" customHeight="false" outlineLevel="0" collapsed="false">
      <c r="A41" s="158" t="n">
        <v>37926</v>
      </c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</row>
    <row r="42" customFormat="false" ht="12.75" hidden="false" customHeight="false" outlineLevel="0" collapsed="false">
      <c r="A42" s="158" t="n">
        <v>37956</v>
      </c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</row>
    <row r="43" customFormat="false" ht="12.75" hidden="false" customHeight="false" outlineLevel="0" collapsed="false">
      <c r="A43" s="158" t="n">
        <v>37987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</row>
    <row r="44" customFormat="false" ht="12.75" hidden="false" customHeight="false" outlineLevel="0" collapsed="false">
      <c r="A44" s="158" t="n">
        <v>38018</v>
      </c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</row>
    <row r="45" customFormat="false" ht="12.75" hidden="false" customHeight="false" outlineLevel="0" collapsed="false">
      <c r="A45" s="158" t="n">
        <v>38047</v>
      </c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</row>
    <row r="46" customFormat="false" ht="12.75" hidden="false" customHeight="false" outlineLevel="0" collapsed="false">
      <c r="A46" s="158" t="n">
        <v>38078</v>
      </c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</row>
    <row r="47" customFormat="false" ht="12.75" hidden="false" customHeight="false" outlineLevel="0" collapsed="false">
      <c r="A47" s="158" t="n">
        <v>38108</v>
      </c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</row>
    <row r="48" customFormat="false" ht="12.75" hidden="false" customHeight="false" outlineLevel="0" collapsed="false">
      <c r="A48" s="158" t="n">
        <v>38139</v>
      </c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</row>
    <row r="49" customFormat="false" ht="12.75" hidden="false" customHeight="false" outlineLevel="0" collapsed="false">
      <c r="A49" s="158" t="n">
        <v>38169</v>
      </c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</row>
    <row r="50" customFormat="false" ht="12.75" hidden="false" customHeight="false" outlineLevel="0" collapsed="false">
      <c r="A50" s="158" t="n">
        <v>38200</v>
      </c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</row>
    <row r="51" customFormat="false" ht="12.75" hidden="false" customHeight="false" outlineLevel="0" collapsed="false">
      <c r="A51" s="158" t="n">
        <v>38231</v>
      </c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</row>
    <row r="52" customFormat="false" ht="12.75" hidden="false" customHeight="false" outlineLevel="0" collapsed="false">
      <c r="A52" s="158" t="n">
        <v>38261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</row>
    <row r="53" customFormat="false" ht="12.75" hidden="false" customHeight="false" outlineLevel="0" collapsed="false">
      <c r="A53" s="158" t="n">
        <v>38292</v>
      </c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</row>
    <row r="54" customFormat="false" ht="12.75" hidden="false" customHeight="false" outlineLevel="0" collapsed="false">
      <c r="A54" s="158" t="n">
        <v>38322</v>
      </c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</row>
    <row r="55" customFormat="false" ht="12.75" hidden="false" customHeight="false" outlineLevel="0" collapsed="false">
      <c r="A55" s="158" t="n">
        <v>38353</v>
      </c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</row>
    <row r="56" customFormat="false" ht="12.75" hidden="false" customHeight="false" outlineLevel="0" collapsed="false">
      <c r="A56" s="158" t="n">
        <v>38384</v>
      </c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</row>
    <row r="57" customFormat="false" ht="12.75" hidden="false" customHeight="false" outlineLevel="0" collapsed="false">
      <c r="A57" s="158" t="n">
        <v>38412</v>
      </c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</row>
    <row r="58" customFormat="false" ht="12.75" hidden="false" customHeight="false" outlineLevel="0" collapsed="false">
      <c r="A58" s="158" t="n">
        <v>38443</v>
      </c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</row>
    <row r="59" customFormat="false" ht="12.75" hidden="false" customHeight="false" outlineLevel="0" collapsed="false">
      <c r="A59" s="158" t="n">
        <v>38473</v>
      </c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</row>
    <row r="60" customFormat="false" ht="12.75" hidden="false" customHeight="false" outlineLevel="0" collapsed="false">
      <c r="A60" s="158" t="n">
        <v>38504</v>
      </c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</row>
    <row r="61" customFormat="false" ht="12.75" hidden="false" customHeight="false" outlineLevel="0" collapsed="false">
      <c r="A61" s="158" t="n">
        <v>38534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</row>
    <row r="62" customFormat="false" ht="12.75" hidden="false" customHeight="false" outlineLevel="0" collapsed="false">
      <c r="A62" s="158" t="n">
        <v>38565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</row>
    <row r="63" customFormat="false" ht="12.75" hidden="false" customHeight="false" outlineLevel="0" collapsed="false">
      <c r="A63" s="158" t="n">
        <v>38596</v>
      </c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</row>
    <row r="64" customFormat="false" ht="12.75" hidden="false" customHeight="false" outlineLevel="0" collapsed="false">
      <c r="A64" s="158" t="n">
        <v>38626</v>
      </c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</row>
    <row r="65" customFormat="false" ht="12.75" hidden="false" customHeight="false" outlineLevel="0" collapsed="false">
      <c r="A65" s="158" t="n">
        <v>38657</v>
      </c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</row>
    <row r="66" customFormat="false" ht="12.75" hidden="false" customHeight="false" outlineLevel="0" collapsed="false">
      <c r="A66" s="158" t="n">
        <v>38687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</row>
    <row r="67" customFormat="false" ht="12.75" hidden="false" customHeight="false" outlineLevel="0" collapsed="false">
      <c r="A67" s="158" t="n">
        <v>38718</v>
      </c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</row>
    <row r="68" customFormat="false" ht="12.75" hidden="false" customHeight="false" outlineLevel="0" collapsed="false">
      <c r="A68" s="158" t="n">
        <v>38749</v>
      </c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</row>
    <row r="69" customFormat="false" ht="12.75" hidden="false" customHeight="false" outlineLevel="0" collapsed="false">
      <c r="A69" s="158" t="n">
        <v>38777</v>
      </c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</row>
    <row r="70" customFormat="false" ht="12.75" hidden="false" customHeight="false" outlineLevel="0" collapsed="false">
      <c r="A70" s="158" t="n">
        <v>38808</v>
      </c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</row>
    <row r="71" customFormat="false" ht="12.75" hidden="false" customHeight="false" outlineLevel="0" collapsed="false">
      <c r="A71" s="158" t="n">
        <v>38838</v>
      </c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</row>
    <row r="72" customFormat="false" ht="12.75" hidden="false" customHeight="false" outlineLevel="0" collapsed="false">
      <c r="A72" s="158" t="n">
        <v>38869</v>
      </c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</row>
    <row r="73" customFormat="false" ht="12.75" hidden="false" customHeight="false" outlineLevel="0" collapsed="false">
      <c r="A73" s="158" t="n">
        <v>38899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</row>
    <row r="74" customFormat="false" ht="12.75" hidden="false" customHeight="false" outlineLevel="0" collapsed="false">
      <c r="A74" s="158" t="n">
        <v>38930</v>
      </c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</row>
    <row r="75" customFormat="false" ht="12.75" hidden="false" customHeight="false" outlineLevel="0" collapsed="false">
      <c r="A75" s="158" t="n">
        <v>38961</v>
      </c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</row>
    <row r="76" customFormat="false" ht="12.75" hidden="false" customHeight="false" outlineLevel="0" collapsed="false">
      <c r="A76" s="158" t="n">
        <v>38991</v>
      </c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</row>
    <row r="77" customFormat="false" ht="12.75" hidden="false" customHeight="false" outlineLevel="0" collapsed="false">
      <c r="A77" s="158" t="n">
        <v>39022</v>
      </c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</row>
    <row r="78" customFormat="false" ht="12.75" hidden="false" customHeight="false" outlineLevel="0" collapsed="false">
      <c r="A78" s="158" t="n">
        <v>39052</v>
      </c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</row>
    <row r="79" customFormat="false" ht="12.75" hidden="false" customHeight="false" outlineLevel="0" collapsed="false">
      <c r="A79" s="158" t="n">
        <v>39083</v>
      </c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</row>
    <row r="80" customFormat="false" ht="12.75" hidden="false" customHeight="false" outlineLevel="0" collapsed="false">
      <c r="A80" s="158" t="n">
        <v>39114</v>
      </c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</row>
    <row r="81" customFormat="false" ht="12.75" hidden="false" customHeight="false" outlineLevel="0" collapsed="false">
      <c r="A81" s="158" t="n">
        <v>39142</v>
      </c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</row>
    <row r="82" customFormat="false" ht="12.75" hidden="false" customHeight="false" outlineLevel="0" collapsed="false">
      <c r="A82" s="158" t="n">
        <v>39173</v>
      </c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</row>
    <row r="83" customFormat="false" ht="12.75" hidden="false" customHeight="false" outlineLevel="0" collapsed="false">
      <c r="A83" s="158" t="n">
        <v>39203</v>
      </c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</row>
    <row r="84" customFormat="false" ht="12.75" hidden="false" customHeight="false" outlineLevel="0" collapsed="false">
      <c r="A84" s="158" t="n">
        <v>39234</v>
      </c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</row>
    <row r="85" customFormat="false" ht="12.75" hidden="false" customHeight="false" outlineLevel="0" collapsed="false">
      <c r="A85" s="158" t="n">
        <v>39264</v>
      </c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</row>
    <row r="86" customFormat="false" ht="12.75" hidden="false" customHeight="false" outlineLevel="0" collapsed="false">
      <c r="A86" s="158" t="n">
        <v>39295</v>
      </c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</row>
    <row r="87" customFormat="false" ht="12.75" hidden="false" customHeight="false" outlineLevel="0" collapsed="false">
      <c r="A87" s="158" t="n">
        <v>39326</v>
      </c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</row>
    <row r="88" customFormat="false" ht="12.75" hidden="false" customHeight="false" outlineLevel="0" collapsed="false">
      <c r="A88" s="158" t="n">
        <v>39356</v>
      </c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</row>
    <row r="89" customFormat="false" ht="12.75" hidden="false" customHeight="false" outlineLevel="0" collapsed="false">
      <c r="A89" s="158" t="n">
        <v>39387</v>
      </c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</row>
    <row r="90" customFormat="false" ht="12.75" hidden="false" customHeight="false" outlineLevel="0" collapsed="false">
      <c r="A90" s="158" t="n">
        <v>39417</v>
      </c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</row>
    <row r="91" customFormat="false" ht="12.75" hidden="false" customHeight="false" outlineLevel="0" collapsed="false">
      <c r="A91" s="158" t="n">
        <v>39448</v>
      </c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</row>
    <row r="92" customFormat="false" ht="12.75" hidden="false" customHeight="false" outlineLevel="0" collapsed="false">
      <c r="A92" s="158" t="n">
        <v>39479</v>
      </c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</row>
    <row r="93" customFormat="false" ht="12.75" hidden="false" customHeight="false" outlineLevel="0" collapsed="false">
      <c r="A93" s="158" t="n">
        <v>39508</v>
      </c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</row>
    <row r="94" customFormat="false" ht="12.75" hidden="false" customHeight="false" outlineLevel="0" collapsed="false">
      <c r="A94" s="158" t="n">
        <v>39539</v>
      </c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</row>
    <row r="95" customFormat="false" ht="12.75" hidden="false" customHeight="false" outlineLevel="0" collapsed="false">
      <c r="A95" s="158" t="n">
        <v>39569</v>
      </c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</row>
    <row r="96" customFormat="false" ht="12.75" hidden="false" customHeight="false" outlineLevel="0" collapsed="false">
      <c r="A96" s="158" t="n">
        <v>39600</v>
      </c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</row>
    <row r="97" customFormat="false" ht="12.75" hidden="false" customHeight="false" outlineLevel="0" collapsed="false">
      <c r="A97" s="158" t="n">
        <v>39630</v>
      </c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</row>
    <row r="98" customFormat="false" ht="12.75" hidden="false" customHeight="false" outlineLevel="0" collapsed="false">
      <c r="A98" s="158" t="n">
        <v>39661</v>
      </c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</row>
    <row r="99" customFormat="false" ht="12.75" hidden="false" customHeight="false" outlineLevel="0" collapsed="false">
      <c r="A99" s="158" t="n">
        <v>39692</v>
      </c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</row>
    <row r="100" customFormat="false" ht="12.75" hidden="false" customHeight="false" outlineLevel="0" collapsed="false">
      <c r="A100" s="158" t="n">
        <v>39722</v>
      </c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customFormat="false" ht="12.75" hidden="false" customHeight="false" outlineLevel="0" collapsed="false">
      <c r="A101" s="158" t="n">
        <v>39753</v>
      </c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customFormat="false" ht="12.75" hidden="false" customHeight="false" outlineLevel="0" collapsed="false">
      <c r="A102" s="158" t="n">
        <v>39783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customFormat="false" ht="12.75" hidden="false" customHeight="false" outlineLevel="0" collapsed="false">
      <c r="A103" s="158" t="n">
        <v>39814</v>
      </c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customFormat="false" ht="12.75" hidden="false" customHeight="false" outlineLevel="0" collapsed="false">
      <c r="A104" s="158" t="n">
        <v>39845</v>
      </c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customFormat="false" ht="12.75" hidden="false" customHeight="false" outlineLevel="0" collapsed="false">
      <c r="A105" s="158" t="n">
        <v>39873</v>
      </c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customFormat="false" ht="12.75" hidden="false" customHeight="false" outlineLevel="0" collapsed="false">
      <c r="A106" s="158" t="n">
        <v>39904</v>
      </c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customFormat="false" ht="12.75" hidden="false" customHeight="false" outlineLevel="0" collapsed="false">
      <c r="A107" s="158" t="n">
        <v>39934</v>
      </c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customFormat="false" ht="12.75" hidden="false" customHeight="false" outlineLevel="0" collapsed="false">
      <c r="A108" s="158" t="n">
        <v>39965</v>
      </c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customFormat="false" ht="12.75" hidden="false" customHeight="false" outlineLevel="0" collapsed="false">
      <c r="A109" s="158" t="n">
        <v>39995</v>
      </c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customFormat="false" ht="12.75" hidden="false" customHeight="false" outlineLevel="0" collapsed="false">
      <c r="A110" s="158" t="n">
        <v>40026</v>
      </c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customFormat="false" ht="12.75" hidden="false" customHeight="false" outlineLevel="0" collapsed="false">
      <c r="A111" s="158" t="n">
        <v>40057</v>
      </c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customFormat="false" ht="12.75" hidden="false" customHeight="false" outlineLevel="0" collapsed="false">
      <c r="A112" s="158" t="n">
        <v>40087</v>
      </c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customFormat="false" ht="12.75" hidden="false" customHeight="false" outlineLevel="0" collapsed="false">
      <c r="A113" s="158" t="n">
        <v>40118</v>
      </c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customFormat="false" ht="12.75" hidden="false" customHeight="false" outlineLevel="0" collapsed="false">
      <c r="A114" s="158" t="n">
        <v>40148</v>
      </c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customFormat="false" ht="12.75" hidden="false" customHeight="false" outlineLevel="0" collapsed="false">
      <c r="A115" s="158" t="n">
        <v>40179</v>
      </c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customFormat="false" ht="12.75" hidden="false" customHeight="false" outlineLevel="0" collapsed="false">
      <c r="A116" s="158" t="n">
        <v>40210</v>
      </c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customFormat="false" ht="12.75" hidden="false" customHeight="false" outlineLevel="0" collapsed="false">
      <c r="A117" s="158" t="n">
        <v>40238</v>
      </c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customFormat="false" ht="12.75" hidden="false" customHeight="false" outlineLevel="0" collapsed="false">
      <c r="A118" s="158" t="n">
        <v>40269</v>
      </c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customFormat="false" ht="12.75" hidden="false" customHeight="false" outlineLevel="0" collapsed="false">
      <c r="A119" s="158" t="n">
        <v>40299</v>
      </c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customFormat="false" ht="12.75" hidden="false" customHeight="false" outlineLevel="0" collapsed="false">
      <c r="A120" s="158" t="n">
        <v>40330</v>
      </c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customFormat="false" ht="12.75" hidden="false" customHeight="false" outlineLevel="0" collapsed="false">
      <c r="A121" s="158" t="n">
        <v>40360</v>
      </c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customFormat="false" ht="12.75" hidden="false" customHeight="false" outlineLevel="0" collapsed="false">
      <c r="A122" s="158" t="n">
        <v>40391</v>
      </c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customFormat="false" ht="12.75" hidden="false" customHeight="false" outlineLevel="0" collapsed="false">
      <c r="A123" s="158" t="n">
        <v>40422</v>
      </c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customFormat="false" ht="12.75" hidden="false" customHeight="false" outlineLevel="0" collapsed="false">
      <c r="A124" s="158" t="n">
        <v>40452</v>
      </c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customFormat="false" ht="12.75" hidden="false" customHeight="false" outlineLevel="0" collapsed="false">
      <c r="A125" s="158" t="n">
        <v>40483</v>
      </c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customFormat="false" ht="12.75" hidden="false" customHeight="false" outlineLevel="0" collapsed="false">
      <c r="A126" s="158" t="n">
        <v>40513</v>
      </c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customFormat="false" ht="12.75" hidden="false" customHeight="false" outlineLevel="0" collapsed="false">
      <c r="A127" s="158" t="n">
        <v>40544</v>
      </c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customFormat="false" ht="12.75" hidden="false" customHeight="false" outlineLevel="0" collapsed="false">
      <c r="A128" s="158" t="n">
        <v>40575</v>
      </c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customFormat="false" ht="12.75" hidden="false" customHeight="false" outlineLevel="0" collapsed="false">
      <c r="A129" s="158" t="n">
        <v>40603</v>
      </c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customFormat="false" ht="12.75" hidden="false" customHeight="false" outlineLevel="0" collapsed="false">
      <c r="A130" s="158" t="n">
        <v>40634</v>
      </c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customFormat="false" ht="12.75" hidden="false" customHeight="false" outlineLevel="0" collapsed="false">
      <c r="A131" s="158" t="n">
        <v>40664</v>
      </c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customFormat="false" ht="12.75" hidden="false" customHeight="false" outlineLevel="0" collapsed="false">
      <c r="A132" s="158" t="n">
        <v>40695</v>
      </c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customFormat="false" ht="12.75" hidden="false" customHeight="false" outlineLevel="0" collapsed="false">
      <c r="A133" s="158" t="n">
        <v>40725</v>
      </c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customFormat="false" ht="12.75" hidden="false" customHeight="false" outlineLevel="0" collapsed="false">
      <c r="A134" s="158" t="n">
        <v>40756</v>
      </c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customFormat="false" ht="12.75" hidden="false" customHeight="false" outlineLevel="0" collapsed="false">
      <c r="A135" s="158" t="n">
        <v>40787</v>
      </c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customFormat="false" ht="12.75" hidden="false" customHeight="false" outlineLevel="0" collapsed="false">
      <c r="A136" s="158" t="n">
        <v>40817</v>
      </c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customFormat="false" ht="12.75" hidden="false" customHeight="false" outlineLevel="0" collapsed="false">
      <c r="A137" s="158" t="n">
        <v>40848</v>
      </c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customFormat="false" ht="12.75" hidden="false" customHeight="false" outlineLevel="0" collapsed="false">
      <c r="A138" s="158" t="n">
        <v>40878</v>
      </c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customFormat="false" ht="12.75" hidden="false" customHeight="false" outlineLevel="0" collapsed="false">
      <c r="A139" s="158" t="n">
        <v>40909</v>
      </c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customFormat="false" ht="12.75" hidden="false" customHeight="false" outlineLevel="0" collapsed="false">
      <c r="A140" s="158" t="n">
        <v>40940</v>
      </c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customFormat="false" ht="12.75" hidden="false" customHeight="false" outlineLevel="0" collapsed="false">
      <c r="A141" s="158" t="n">
        <v>40969</v>
      </c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customFormat="false" ht="12.75" hidden="false" customHeight="false" outlineLevel="0" collapsed="false">
      <c r="A142" s="158" t="n">
        <v>41000</v>
      </c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customFormat="false" ht="12.75" hidden="false" customHeight="false" outlineLevel="0" collapsed="false">
      <c r="A143" s="158" t="n">
        <v>41030</v>
      </c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customFormat="false" ht="12.75" hidden="false" customHeight="false" outlineLevel="0" collapsed="false">
      <c r="A144" s="158" t="n">
        <v>41061</v>
      </c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customFormat="false" ht="12.75" hidden="false" customHeight="false" outlineLevel="0" collapsed="false">
      <c r="A145" s="158" t="n">
        <v>41091</v>
      </c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customFormat="false" ht="12.75" hidden="false" customHeight="false" outlineLevel="0" collapsed="false">
      <c r="A146" s="158" t="n">
        <v>41122</v>
      </c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customFormat="false" ht="12.75" hidden="false" customHeight="false" outlineLevel="0" collapsed="false">
      <c r="A147" s="158" t="n">
        <v>41153</v>
      </c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customFormat="false" ht="12.75" hidden="false" customHeight="false" outlineLevel="0" collapsed="false">
      <c r="A148" s="158" t="n">
        <v>41183</v>
      </c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customFormat="false" ht="12.75" hidden="false" customHeight="false" outlineLevel="0" collapsed="false">
      <c r="A149" s="158" t="n">
        <v>41214</v>
      </c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customFormat="false" ht="12.75" hidden="false" customHeight="false" outlineLevel="0" collapsed="false">
      <c r="A150" s="158" t="n">
        <v>41244</v>
      </c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customFormat="false" ht="12.75" hidden="false" customHeight="false" outlineLevel="0" collapsed="false">
      <c r="A151" s="158" t="n">
        <v>41275</v>
      </c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customFormat="false" ht="12.75" hidden="false" customHeight="false" outlineLevel="0" collapsed="false">
      <c r="A152" s="158" t="n">
        <v>41306</v>
      </c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customFormat="false" ht="12.75" hidden="false" customHeight="false" outlineLevel="0" collapsed="false">
      <c r="A153" s="158" t="n">
        <v>41334</v>
      </c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customFormat="false" ht="12.75" hidden="false" customHeight="false" outlineLevel="0" collapsed="false">
      <c r="A154" s="158" t="n">
        <v>41365</v>
      </c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customFormat="false" ht="12.75" hidden="false" customHeight="false" outlineLevel="0" collapsed="false">
      <c r="A155" s="158" t="n">
        <v>41395</v>
      </c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customFormat="false" ht="12.75" hidden="false" customHeight="false" outlineLevel="0" collapsed="false">
      <c r="A156" s="158" t="n">
        <v>41426</v>
      </c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customFormat="false" ht="12.75" hidden="false" customHeight="false" outlineLevel="0" collapsed="false">
      <c r="A157" s="158" t="n">
        <v>41456</v>
      </c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customFormat="false" ht="12.75" hidden="false" customHeight="false" outlineLevel="0" collapsed="false">
      <c r="A158" s="158" t="n">
        <v>41487</v>
      </c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customFormat="false" ht="12.75" hidden="false" customHeight="false" outlineLevel="0" collapsed="false">
      <c r="A159" s="158" t="n">
        <v>41518</v>
      </c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customFormat="false" ht="12.75" hidden="false" customHeight="false" outlineLevel="0" collapsed="false">
      <c r="A160" s="158" t="n">
        <v>41548</v>
      </c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</row>
    <row r="161" customFormat="false" ht="12.75" hidden="false" customHeight="false" outlineLevel="0" collapsed="false">
      <c r="A161" s="158" t="n">
        <v>41579</v>
      </c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</row>
    <row r="162" customFormat="false" ht="12.75" hidden="false" customHeight="false" outlineLevel="0" collapsed="false">
      <c r="A162" s="158" t="n">
        <v>41609</v>
      </c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</row>
    <row r="163" customFormat="false" ht="12.75" hidden="false" customHeight="false" outlineLevel="0" collapsed="false">
      <c r="A163" s="158" t="n">
        <v>41640</v>
      </c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</row>
    <row r="164" customFormat="false" ht="12.75" hidden="false" customHeight="false" outlineLevel="0" collapsed="false">
      <c r="A164" s="158" t="n">
        <v>41671</v>
      </c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</row>
    <row r="165" customFormat="false" ht="12.75" hidden="false" customHeight="false" outlineLevel="0" collapsed="false">
      <c r="A165" s="158" t="n">
        <v>41699</v>
      </c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</row>
    <row r="166" customFormat="false" ht="12.75" hidden="false" customHeight="false" outlineLevel="0" collapsed="false">
      <c r="A166" s="158" t="n">
        <v>41730</v>
      </c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</row>
    <row r="167" customFormat="false" ht="12.75" hidden="false" customHeight="false" outlineLevel="0" collapsed="false">
      <c r="A167" s="158" t="n">
        <v>41760</v>
      </c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</row>
    <row r="168" customFormat="false" ht="12.75" hidden="false" customHeight="false" outlineLevel="0" collapsed="false">
      <c r="A168" s="158" t="n">
        <v>41791</v>
      </c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</row>
    <row r="169" customFormat="false" ht="12.75" hidden="false" customHeight="false" outlineLevel="0" collapsed="false">
      <c r="A169" s="158" t="n">
        <v>41821</v>
      </c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</row>
    <row r="170" customFormat="false" ht="12.75" hidden="false" customHeight="false" outlineLevel="0" collapsed="false">
      <c r="A170" s="158" t="n">
        <v>41852</v>
      </c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</row>
    <row r="171" customFormat="false" ht="12.75" hidden="false" customHeight="false" outlineLevel="0" collapsed="false">
      <c r="A171" s="158" t="n">
        <v>41883</v>
      </c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</row>
    <row r="172" customFormat="false" ht="12.75" hidden="false" customHeight="false" outlineLevel="0" collapsed="false">
      <c r="A172" s="158" t="n">
        <v>41913</v>
      </c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</row>
    <row r="173" customFormat="false" ht="12.75" hidden="false" customHeight="false" outlineLevel="0" collapsed="false">
      <c r="A173" s="158" t="n">
        <v>41944</v>
      </c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</row>
    <row r="174" customFormat="false" ht="12.75" hidden="false" customHeight="false" outlineLevel="0" collapsed="false">
      <c r="A174" s="158" t="n">
        <v>41974</v>
      </c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</row>
    <row r="175" customFormat="false" ht="12.75" hidden="false" customHeight="false" outlineLevel="0" collapsed="false">
      <c r="A175" s="158" t="n">
        <v>42005</v>
      </c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</row>
    <row r="176" customFormat="false" ht="12.75" hidden="false" customHeight="false" outlineLevel="0" collapsed="false">
      <c r="A176" s="158" t="n">
        <v>42036</v>
      </c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</row>
    <row r="177" customFormat="false" ht="12.75" hidden="false" customHeight="false" outlineLevel="0" collapsed="false">
      <c r="A177" s="158" t="n">
        <v>42064</v>
      </c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</row>
    <row r="178" customFormat="false" ht="12.75" hidden="false" customHeight="false" outlineLevel="0" collapsed="false">
      <c r="A178" s="158" t="n">
        <v>42095</v>
      </c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</row>
    <row r="179" customFormat="false" ht="12.75" hidden="false" customHeight="false" outlineLevel="0" collapsed="false">
      <c r="A179" s="158" t="n">
        <v>42125</v>
      </c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</row>
    <row r="180" customFormat="false" ht="12.75" hidden="false" customHeight="false" outlineLevel="0" collapsed="false">
      <c r="A180" s="158" t="n">
        <v>42156</v>
      </c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</row>
    <row r="181" customFormat="false" ht="12.75" hidden="false" customHeight="false" outlineLevel="0" collapsed="false">
      <c r="A181" s="158" t="n">
        <v>42186</v>
      </c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</row>
    <row r="182" customFormat="false" ht="12.75" hidden="false" customHeight="false" outlineLevel="0" collapsed="false">
      <c r="A182" s="158" t="n">
        <v>42217</v>
      </c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</row>
    <row r="183" customFormat="false" ht="12.75" hidden="false" customHeight="false" outlineLevel="0" collapsed="false">
      <c r="A183" s="158" t="n">
        <v>42248</v>
      </c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</row>
    <row r="184" customFormat="false" ht="12.75" hidden="false" customHeight="false" outlineLevel="0" collapsed="false">
      <c r="A184" s="158" t="n">
        <v>42278</v>
      </c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</row>
    <row r="185" customFormat="false" ht="12.75" hidden="false" customHeight="false" outlineLevel="0" collapsed="false">
      <c r="A185" s="158" t="n">
        <v>42309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</row>
    <row r="186" customFormat="false" ht="12.75" hidden="false" customHeight="false" outlineLevel="0" collapsed="false">
      <c r="A186" s="158" t="n">
        <v>42339</v>
      </c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</row>
    <row r="187" customFormat="false" ht="12.75" hidden="false" customHeight="false" outlineLevel="0" collapsed="false">
      <c r="A187" s="158" t="n">
        <v>42370</v>
      </c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</row>
    <row r="188" customFormat="false" ht="12.75" hidden="false" customHeight="false" outlineLevel="0" collapsed="false">
      <c r="A188" s="158" t="n">
        <v>42401</v>
      </c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</row>
    <row r="189" customFormat="false" ht="12.75" hidden="false" customHeight="false" outlineLevel="0" collapsed="false">
      <c r="A189" s="158" t="n">
        <v>42430</v>
      </c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</row>
    <row r="190" customFormat="false" ht="12.75" hidden="false" customHeight="false" outlineLevel="0" collapsed="false">
      <c r="A190" s="158" t="n">
        <v>42461</v>
      </c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</row>
    <row r="191" customFormat="false" ht="12.75" hidden="false" customHeight="false" outlineLevel="0" collapsed="false">
      <c r="A191" s="158" t="n">
        <v>42491</v>
      </c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</row>
    <row r="192" customFormat="false" ht="12.75" hidden="false" customHeight="false" outlineLevel="0" collapsed="false">
      <c r="A192" s="158" t="n">
        <v>42522</v>
      </c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</row>
    <row r="193" customFormat="false" ht="12.75" hidden="false" customHeight="false" outlineLevel="0" collapsed="false">
      <c r="A193" s="158" t="n">
        <v>42552</v>
      </c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</row>
    <row r="194" customFormat="false" ht="12.75" hidden="false" customHeight="false" outlineLevel="0" collapsed="false">
      <c r="A194" s="158" t="n">
        <v>42583</v>
      </c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</row>
    <row r="195" customFormat="false" ht="12.75" hidden="false" customHeight="false" outlineLevel="0" collapsed="false">
      <c r="A195" s="158" t="n">
        <v>42614</v>
      </c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</row>
    <row r="196" customFormat="false" ht="12.75" hidden="false" customHeight="false" outlineLevel="0" collapsed="false">
      <c r="A196" s="158" t="n">
        <v>42644</v>
      </c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</row>
    <row r="197" customFormat="false" ht="12.75" hidden="false" customHeight="false" outlineLevel="0" collapsed="false">
      <c r="A197" s="158" t="n">
        <v>42675</v>
      </c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</row>
    <row r="198" customFormat="false" ht="12.75" hidden="false" customHeight="false" outlineLevel="0" collapsed="false">
      <c r="A198" s="158" t="n">
        <v>42705</v>
      </c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</row>
    <row r="199" customFormat="false" ht="12.75" hidden="false" customHeight="false" outlineLevel="0" collapsed="false">
      <c r="A199" s="158" t="n">
        <v>42736</v>
      </c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</row>
    <row r="200" customFormat="false" ht="12.75" hidden="false" customHeight="false" outlineLevel="0" collapsed="false">
      <c r="A200" s="158" t="n">
        <v>42767</v>
      </c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</row>
    <row r="201" customFormat="false" ht="12.75" hidden="false" customHeight="false" outlineLevel="0" collapsed="false">
      <c r="A201" s="158" t="n">
        <v>42795</v>
      </c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</row>
    <row r="202" customFormat="false" ht="12.75" hidden="false" customHeight="false" outlineLevel="0" collapsed="false">
      <c r="A202" s="158" t="n">
        <v>42826</v>
      </c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</row>
    <row r="203" customFormat="false" ht="12.75" hidden="false" customHeight="false" outlineLevel="0" collapsed="false">
      <c r="A203" s="158" t="n">
        <v>42856</v>
      </c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</row>
    <row r="204" customFormat="false" ht="12.75" hidden="false" customHeight="false" outlineLevel="0" collapsed="false">
      <c r="A204" s="158" t="n">
        <v>42887</v>
      </c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</row>
    <row r="205" customFormat="false" ht="12.75" hidden="false" customHeight="false" outlineLevel="0" collapsed="false">
      <c r="A205" s="158" t="n">
        <v>42917</v>
      </c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</row>
    <row r="206" customFormat="false" ht="12.75" hidden="false" customHeight="false" outlineLevel="0" collapsed="false">
      <c r="A206" s="158" t="n">
        <v>42948</v>
      </c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</row>
    <row r="207" customFormat="false" ht="12.75" hidden="false" customHeight="false" outlineLevel="0" collapsed="false">
      <c r="A207" s="158" t="n">
        <v>42979</v>
      </c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</row>
    <row r="208" customFormat="false" ht="12.75" hidden="false" customHeight="false" outlineLevel="0" collapsed="false">
      <c r="A208" s="158" t="n">
        <v>43009</v>
      </c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</row>
    <row r="209" customFormat="false" ht="12.75" hidden="false" customHeight="false" outlineLevel="0" collapsed="false">
      <c r="A209" s="158" t="n">
        <v>43040</v>
      </c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AV2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AF4" activePane="bottomRight" state="frozen"/>
      <selection pane="topLeft" activeCell="A1" activeCellId="0" sqref="A1"/>
      <selection pane="topRight" activeCell="AF1" activeCellId="0" sqref="AF1"/>
      <selection pane="bottomLeft" activeCell="A4" activeCellId="0" sqref="A4"/>
      <selection pane="bottomRight" activeCell="AG6" activeCellId="0" sqref="AG6:AG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13"/>
    <col collapsed="false" customWidth="true" hidden="false" outlineLevel="0" max="3" min="3" style="0" width="10.56"/>
    <col collapsed="false" customWidth="true" hidden="false" outlineLevel="0" max="4" min="4" style="0" width="15.41"/>
    <col collapsed="false" customWidth="true" hidden="false" outlineLevel="0" max="5" min="5" style="0" width="17.7"/>
    <col collapsed="false" customWidth="true" hidden="false" outlineLevel="0" max="6" min="6" style="0" width="11.13"/>
    <col collapsed="false" customWidth="true" hidden="false" outlineLevel="0" max="7" min="7" style="0" width="11.99"/>
    <col collapsed="false" customWidth="true" hidden="false" outlineLevel="0" max="8" min="8" style="0" width="15.13"/>
    <col collapsed="false" customWidth="true" hidden="false" outlineLevel="0" max="9" min="9" style="0" width="18.14"/>
    <col collapsed="false" customWidth="true" hidden="false" outlineLevel="0" max="10" min="10" style="0" width="12.99"/>
    <col collapsed="false" customWidth="true" hidden="false" outlineLevel="0" max="11" min="11" style="0" width="16.56"/>
    <col collapsed="false" customWidth="true" hidden="false" outlineLevel="0" max="12" min="12" style="0" width="13.28"/>
    <col collapsed="false" customWidth="true" hidden="false" outlineLevel="0" max="13" min="13" style="0" width="11.7"/>
    <col collapsed="false" customWidth="true" hidden="false" outlineLevel="0" max="14" min="14" style="0" width="12.7"/>
    <col collapsed="false" customWidth="true" hidden="false" outlineLevel="0" max="15" min="15" style="0" width="11.85"/>
    <col collapsed="false" customWidth="true" hidden="false" outlineLevel="0" max="16" min="16" style="0" width="11.99"/>
    <col collapsed="false" customWidth="true" hidden="false" outlineLevel="0" max="17" min="17" style="0" width="9.7"/>
    <col collapsed="false" customWidth="true" hidden="false" outlineLevel="0" max="18" min="18" style="0" width="13.99"/>
    <col collapsed="false" customWidth="true" hidden="false" outlineLevel="0" max="21" min="19" style="0" width="8.99"/>
    <col collapsed="false" customWidth="true" hidden="false" outlineLevel="0" max="23" min="23" style="0" width="10.85"/>
    <col collapsed="false" customWidth="true" hidden="false" outlineLevel="0" max="24" min="24" style="0" width="12.85"/>
    <col collapsed="false" customWidth="true" hidden="false" outlineLevel="0" max="25" min="25" style="0" width="13.7"/>
    <col collapsed="false" customWidth="true" hidden="false" outlineLevel="0" max="26" min="26" style="0" width="14.14"/>
    <col collapsed="false" customWidth="true" hidden="false" outlineLevel="0" max="27" min="27" style="0" width="12.28"/>
    <col collapsed="false" customWidth="true" hidden="false" outlineLevel="0" max="28" min="28" style="0" width="12.85"/>
    <col collapsed="false" customWidth="true" hidden="false" outlineLevel="0" max="29" min="29" style="0" width="10.41"/>
    <col collapsed="false" customWidth="true" hidden="false" outlineLevel="0" max="30" min="30" style="0" width="15.56"/>
    <col collapsed="false" customWidth="true" hidden="false" outlineLevel="0" max="31" min="31" style="0" width="16.99"/>
    <col collapsed="false" customWidth="true" hidden="false" outlineLevel="0" max="32" min="32" style="0" width="11.99"/>
    <col collapsed="false" customWidth="true" hidden="false" outlineLevel="0" max="33" min="33" style="0" width="14.14"/>
    <col collapsed="false" customWidth="true" hidden="false" outlineLevel="0" max="34" min="34" style="0" width="14.56"/>
    <col collapsed="false" customWidth="true" hidden="false" outlineLevel="0" max="35" min="35" style="0" width="14.28"/>
    <col collapsed="false" customWidth="true" hidden="false" outlineLevel="0" max="36" min="36" style="0" width="17.99"/>
    <col collapsed="false" customWidth="true" hidden="false" outlineLevel="0" max="37" min="37" style="0" width="17.85"/>
    <col collapsed="false" customWidth="true" hidden="false" outlineLevel="0" max="38" min="38" style="0" width="17.14"/>
    <col collapsed="false" customWidth="true" hidden="false" outlineLevel="0" max="39" min="39" style="0" width="10.85"/>
    <col collapsed="false" customWidth="true" hidden="false" outlineLevel="0" max="40" min="40" style="0" width="10.99"/>
    <col collapsed="false" customWidth="true" hidden="false" outlineLevel="0" max="41" min="41" style="0" width="5.56"/>
  </cols>
  <sheetData>
    <row r="3" customFormat="false" ht="12.75" hidden="false" customHeight="false" outlineLevel="0" collapsed="false">
      <c r="A3" s="167"/>
      <c r="B3" s="168" t="s">
        <v>73</v>
      </c>
      <c r="C3" s="168" t="s">
        <v>95</v>
      </c>
      <c r="D3" s="168" t="s">
        <v>96</v>
      </c>
      <c r="E3" s="168" t="s">
        <v>98</v>
      </c>
      <c r="F3" s="168" t="s">
        <v>99</v>
      </c>
      <c r="G3" s="168" t="s">
        <v>67</v>
      </c>
      <c r="H3" s="168" t="s">
        <v>32</v>
      </c>
      <c r="I3" s="168" t="s">
        <v>101</v>
      </c>
      <c r="J3" s="168" t="s">
        <v>47</v>
      </c>
      <c r="K3" s="168" t="s">
        <v>110</v>
      </c>
      <c r="L3" s="168" t="s">
        <v>89</v>
      </c>
      <c r="M3" s="168" t="s">
        <v>113</v>
      </c>
      <c r="N3" s="168" t="s">
        <v>197</v>
      </c>
      <c r="O3" s="168" t="s">
        <v>198</v>
      </c>
      <c r="P3" s="168" t="s">
        <v>58</v>
      </c>
      <c r="Q3" s="168" t="s">
        <v>199</v>
      </c>
      <c r="R3" s="168" t="s">
        <v>88</v>
      </c>
      <c r="S3" s="168" t="s">
        <v>90</v>
      </c>
      <c r="T3" s="168" t="s">
        <v>91</v>
      </c>
      <c r="U3" s="168" t="s">
        <v>92</v>
      </c>
      <c r="V3" s="168" t="s">
        <v>93</v>
      </c>
      <c r="W3" s="168" t="s">
        <v>71</v>
      </c>
      <c r="X3" s="168" t="s">
        <v>70</v>
      </c>
      <c r="Y3" s="168" t="s">
        <v>105</v>
      </c>
      <c r="Z3" s="168" t="s">
        <v>109</v>
      </c>
      <c r="AA3" s="168" t="s">
        <v>86</v>
      </c>
      <c r="AB3" s="168" t="s">
        <v>200</v>
      </c>
      <c r="AC3" s="168" t="s">
        <v>201</v>
      </c>
      <c r="AD3" s="168" t="s">
        <v>38</v>
      </c>
      <c r="AE3" s="168" t="s">
        <v>87</v>
      </c>
      <c r="AF3" s="168" t="s">
        <v>117</v>
      </c>
      <c r="AG3" s="168" t="s">
        <v>35</v>
      </c>
      <c r="AH3" s="168" t="s">
        <v>202</v>
      </c>
      <c r="AI3" s="168" t="s">
        <v>69</v>
      </c>
      <c r="AJ3" s="168" t="s">
        <v>37</v>
      </c>
      <c r="AK3" s="0" t="s">
        <v>100</v>
      </c>
      <c r="AL3" s="0" t="s">
        <v>64</v>
      </c>
      <c r="AM3" s="0" t="s">
        <v>42</v>
      </c>
      <c r="AN3" s="0" t="s">
        <v>75</v>
      </c>
      <c r="AO3" s="0" t="s">
        <v>203</v>
      </c>
    </row>
    <row r="4" customFormat="false" ht="12.75" hidden="false" customHeight="false" outlineLevel="0" collapsed="false">
      <c r="A4" s="167" t="n">
        <v>36800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</row>
    <row r="5" customFormat="false" ht="12.75" hidden="false" customHeight="false" outlineLevel="0" collapsed="false">
      <c r="A5" s="167" t="n">
        <v>36831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</row>
    <row r="6" customFormat="false" ht="12.75" hidden="false" customHeight="false" outlineLevel="0" collapsed="false">
      <c r="A6" s="167" t="n">
        <v>36861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</row>
    <row r="7" customFormat="false" ht="12.75" hidden="false" customHeight="false" outlineLevel="0" collapsed="false">
      <c r="A7" s="167" t="n">
        <v>36892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</row>
    <row r="8" customFormat="false" ht="12.75" hidden="false" customHeight="false" outlineLevel="0" collapsed="false">
      <c r="A8" s="167" t="n">
        <v>36923</v>
      </c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</row>
    <row r="9" customFormat="false" ht="12.75" hidden="false" customHeight="false" outlineLevel="0" collapsed="false">
      <c r="A9" s="167" t="n">
        <v>36951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</row>
    <row r="10" customFormat="false" ht="12.75" hidden="false" customHeight="false" outlineLevel="0" collapsed="false">
      <c r="A10" s="167" t="n">
        <v>36982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</row>
    <row r="11" customFormat="false" ht="12.75" hidden="false" customHeight="false" outlineLevel="0" collapsed="false">
      <c r="A11" s="167" t="n">
        <v>37012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</row>
    <row r="12" customFormat="false" ht="12.75" hidden="false" customHeight="false" outlineLevel="0" collapsed="false">
      <c r="A12" s="167" t="n">
        <v>37043</v>
      </c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</row>
    <row r="13" customFormat="false" ht="12.75" hidden="false" customHeight="false" outlineLevel="0" collapsed="false">
      <c r="A13" s="167" t="n">
        <v>37073</v>
      </c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</row>
    <row r="14" customFormat="false" ht="12.75" hidden="false" customHeight="false" outlineLevel="0" collapsed="false">
      <c r="A14" s="167" t="n">
        <v>37104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</row>
    <row r="15" customFormat="false" ht="12.75" hidden="false" customHeight="false" outlineLevel="0" collapsed="false">
      <c r="A15" s="167" t="n">
        <v>37135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</row>
    <row r="16" customFormat="false" ht="12.75" hidden="false" customHeight="false" outlineLevel="0" collapsed="false">
      <c r="A16" s="167" t="n">
        <v>37165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</row>
    <row r="17" customFormat="false" ht="12.75" hidden="false" customHeight="false" outlineLevel="0" collapsed="false">
      <c r="A17" s="167" t="n">
        <v>37196</v>
      </c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</row>
    <row r="18" customFormat="false" ht="12.75" hidden="false" customHeight="false" outlineLevel="0" collapsed="false">
      <c r="A18" s="167" t="n">
        <v>37226</v>
      </c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</row>
    <row r="19" customFormat="false" ht="12.75" hidden="false" customHeight="false" outlineLevel="0" collapsed="false">
      <c r="A19" s="167" t="n">
        <v>37257</v>
      </c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</row>
    <row r="20" customFormat="false" ht="12.75" hidden="false" customHeight="false" outlineLevel="0" collapsed="false">
      <c r="A20" s="167" t="n">
        <v>37288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</row>
    <row r="21" customFormat="false" ht="12.75" hidden="false" customHeight="false" outlineLevel="0" collapsed="false">
      <c r="A21" s="167" t="n">
        <v>37316</v>
      </c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</row>
    <row r="22" customFormat="false" ht="12.75" hidden="false" customHeight="false" outlineLevel="0" collapsed="false">
      <c r="A22" s="167" t="n">
        <v>37347</v>
      </c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</row>
    <row r="23" customFormat="false" ht="12.75" hidden="false" customHeight="false" outlineLevel="0" collapsed="false">
      <c r="A23" s="167" t="n">
        <v>37377</v>
      </c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</row>
    <row r="24" customFormat="false" ht="12.75" hidden="false" customHeight="false" outlineLevel="0" collapsed="false">
      <c r="A24" s="167" t="n">
        <v>37408</v>
      </c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</row>
    <row r="25" customFormat="false" ht="12.75" hidden="false" customHeight="false" outlineLevel="0" collapsed="false">
      <c r="A25" s="167" t="n">
        <v>37438</v>
      </c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</row>
    <row r="26" customFormat="false" ht="12.75" hidden="false" customHeight="false" outlineLevel="0" collapsed="false">
      <c r="A26" s="167" t="n">
        <v>37469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</row>
    <row r="27" customFormat="false" ht="12.75" hidden="false" customHeight="false" outlineLevel="0" collapsed="false">
      <c r="A27" s="167" t="n">
        <v>37500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</row>
    <row r="28" customFormat="false" ht="12.75" hidden="false" customHeight="false" outlineLevel="0" collapsed="false">
      <c r="A28" s="167" t="n">
        <v>37530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</row>
    <row r="29" customFormat="false" ht="12.75" hidden="false" customHeight="false" outlineLevel="0" collapsed="false">
      <c r="A29" s="167" t="n">
        <v>37561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</row>
    <row r="30" customFormat="false" ht="12.75" hidden="false" customHeight="false" outlineLevel="0" collapsed="false">
      <c r="A30" s="167" t="n">
        <v>37591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</row>
    <row r="31" customFormat="false" ht="12.75" hidden="false" customHeight="false" outlineLevel="0" collapsed="false">
      <c r="A31" s="167" t="n">
        <v>37622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</row>
    <row r="32" customFormat="false" ht="12.75" hidden="false" customHeight="false" outlineLevel="0" collapsed="false">
      <c r="A32" s="167" t="n">
        <v>37653</v>
      </c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</row>
    <row r="33" customFormat="false" ht="12.75" hidden="false" customHeight="false" outlineLevel="0" collapsed="false">
      <c r="A33" s="167" t="n">
        <v>37681</v>
      </c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</row>
    <row r="34" customFormat="false" ht="12.75" hidden="false" customHeight="false" outlineLevel="0" collapsed="false">
      <c r="A34" s="167" t="n">
        <v>37712</v>
      </c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</row>
    <row r="35" customFormat="false" ht="12.75" hidden="false" customHeight="false" outlineLevel="0" collapsed="false">
      <c r="A35" s="167" t="n">
        <v>37742</v>
      </c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</row>
    <row r="36" customFormat="false" ht="12.75" hidden="false" customHeight="false" outlineLevel="0" collapsed="false">
      <c r="A36" s="167" t="n">
        <v>37773</v>
      </c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</row>
    <row r="37" customFormat="false" ht="12.75" hidden="false" customHeight="false" outlineLevel="0" collapsed="false">
      <c r="A37" s="167" t="n">
        <v>37803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</row>
    <row r="38" customFormat="false" ht="12.75" hidden="false" customHeight="false" outlineLevel="0" collapsed="false">
      <c r="A38" s="167" t="n">
        <v>37834</v>
      </c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</row>
    <row r="39" customFormat="false" ht="12.75" hidden="false" customHeight="false" outlineLevel="0" collapsed="false">
      <c r="A39" s="167" t="n">
        <v>37865</v>
      </c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</row>
    <row r="40" customFormat="false" ht="12.75" hidden="false" customHeight="false" outlineLevel="0" collapsed="false">
      <c r="A40" s="167" t="n">
        <v>37895</v>
      </c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</row>
    <row r="41" customFormat="false" ht="12.75" hidden="false" customHeight="false" outlineLevel="0" collapsed="false">
      <c r="A41" s="167" t="n">
        <v>37926</v>
      </c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</row>
    <row r="42" customFormat="false" ht="12.75" hidden="false" customHeight="false" outlineLevel="0" collapsed="false">
      <c r="A42" s="167" t="n">
        <v>37956</v>
      </c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</row>
    <row r="43" customFormat="false" ht="12.75" hidden="false" customHeight="false" outlineLevel="0" collapsed="false">
      <c r="A43" s="167" t="n">
        <v>37987</v>
      </c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</row>
    <row r="44" customFormat="false" ht="12.75" hidden="false" customHeight="false" outlineLevel="0" collapsed="false">
      <c r="A44" s="167" t="n">
        <v>38018</v>
      </c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</row>
    <row r="45" customFormat="false" ht="12.75" hidden="false" customHeight="false" outlineLevel="0" collapsed="false">
      <c r="A45" s="167" t="n">
        <v>38047</v>
      </c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</row>
    <row r="46" customFormat="false" ht="12.75" hidden="false" customHeight="false" outlineLevel="0" collapsed="false">
      <c r="A46" s="167" t="n">
        <v>38078</v>
      </c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</row>
    <row r="47" customFormat="false" ht="12.75" hidden="false" customHeight="false" outlineLevel="0" collapsed="false">
      <c r="A47" s="167" t="n">
        <v>38108</v>
      </c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</row>
    <row r="48" customFormat="false" ht="12.75" hidden="false" customHeight="false" outlineLevel="0" collapsed="false">
      <c r="A48" s="167" t="n">
        <v>38139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</row>
    <row r="49" customFormat="false" ht="12.75" hidden="false" customHeight="false" outlineLevel="0" collapsed="false">
      <c r="A49" s="167" t="n">
        <v>38169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</row>
    <row r="50" customFormat="false" ht="12.75" hidden="false" customHeight="false" outlineLevel="0" collapsed="false">
      <c r="A50" s="167" t="n">
        <v>38200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</row>
    <row r="51" customFormat="false" ht="12.75" hidden="false" customHeight="false" outlineLevel="0" collapsed="false">
      <c r="A51" s="167" t="n">
        <v>38231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</row>
    <row r="52" customFormat="false" ht="12.75" hidden="false" customHeight="false" outlineLevel="0" collapsed="false">
      <c r="A52" s="167" t="n">
        <v>38261</v>
      </c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</row>
    <row r="53" customFormat="false" ht="12.75" hidden="false" customHeight="false" outlineLevel="0" collapsed="false">
      <c r="A53" s="167" t="n">
        <v>38292</v>
      </c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</row>
    <row r="54" customFormat="false" ht="12.75" hidden="false" customHeight="false" outlineLevel="0" collapsed="false">
      <c r="A54" s="167" t="n">
        <v>38322</v>
      </c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</row>
    <row r="55" customFormat="false" ht="12.75" hidden="false" customHeight="false" outlineLevel="0" collapsed="false">
      <c r="A55" s="167" t="n">
        <v>38353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</row>
    <row r="56" customFormat="false" ht="12.75" hidden="false" customHeight="false" outlineLevel="0" collapsed="false">
      <c r="A56" s="167" t="n">
        <v>38384</v>
      </c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</row>
    <row r="57" customFormat="false" ht="12.75" hidden="false" customHeight="false" outlineLevel="0" collapsed="false">
      <c r="A57" s="167" t="n">
        <v>38412</v>
      </c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</row>
    <row r="58" customFormat="false" ht="12.75" hidden="false" customHeight="false" outlineLevel="0" collapsed="false">
      <c r="A58" s="167" t="n">
        <v>38443</v>
      </c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</row>
    <row r="59" customFormat="false" ht="12.75" hidden="false" customHeight="false" outlineLevel="0" collapsed="false">
      <c r="A59" s="167" t="n">
        <v>38473</v>
      </c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</row>
    <row r="60" customFormat="false" ht="12.75" hidden="false" customHeight="false" outlineLevel="0" collapsed="false">
      <c r="A60" s="167" t="n">
        <v>38504</v>
      </c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</row>
    <row r="61" customFormat="false" ht="12.75" hidden="false" customHeight="false" outlineLevel="0" collapsed="false">
      <c r="A61" s="167" t="n">
        <v>38534</v>
      </c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</row>
    <row r="62" customFormat="false" ht="12.75" hidden="false" customHeight="false" outlineLevel="0" collapsed="false">
      <c r="A62" s="167" t="n">
        <v>38565</v>
      </c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</row>
    <row r="63" customFormat="false" ht="12.75" hidden="false" customHeight="false" outlineLevel="0" collapsed="false">
      <c r="A63" s="167" t="n">
        <v>38596</v>
      </c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</row>
    <row r="64" customFormat="false" ht="12.75" hidden="false" customHeight="false" outlineLevel="0" collapsed="false">
      <c r="A64" s="167" t="n">
        <v>38626</v>
      </c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</row>
    <row r="65" customFormat="false" ht="12.75" hidden="false" customHeight="false" outlineLevel="0" collapsed="false">
      <c r="A65" s="167" t="n">
        <v>38657</v>
      </c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</row>
    <row r="66" customFormat="false" ht="12.75" hidden="false" customHeight="false" outlineLevel="0" collapsed="false">
      <c r="A66" s="167" t="n">
        <v>38687</v>
      </c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</row>
    <row r="67" customFormat="false" ht="12.75" hidden="false" customHeight="false" outlineLevel="0" collapsed="false">
      <c r="A67" s="167" t="n">
        <v>38718</v>
      </c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</row>
    <row r="68" customFormat="false" ht="12.75" hidden="false" customHeight="false" outlineLevel="0" collapsed="false">
      <c r="A68" s="167" t="n">
        <v>38749</v>
      </c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</row>
    <row r="69" customFormat="false" ht="12.75" hidden="false" customHeight="false" outlineLevel="0" collapsed="false">
      <c r="A69" s="167" t="n">
        <v>38777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</row>
    <row r="70" customFormat="false" ht="12.75" hidden="false" customHeight="false" outlineLevel="0" collapsed="false">
      <c r="A70" s="167" t="n">
        <v>38808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</row>
    <row r="71" customFormat="false" ht="12.75" hidden="false" customHeight="false" outlineLevel="0" collapsed="false">
      <c r="A71" s="167" t="n">
        <v>38838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</row>
    <row r="72" customFormat="false" ht="12.75" hidden="false" customHeight="false" outlineLevel="0" collapsed="false">
      <c r="A72" s="167" t="n">
        <v>38869</v>
      </c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</row>
    <row r="73" customFormat="false" ht="12.75" hidden="false" customHeight="false" outlineLevel="0" collapsed="false">
      <c r="A73" s="167" t="n">
        <v>38899</v>
      </c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</row>
    <row r="74" customFormat="false" ht="12.75" hidden="false" customHeight="false" outlineLevel="0" collapsed="false">
      <c r="A74" s="167" t="n">
        <v>38930</v>
      </c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</row>
    <row r="75" customFormat="false" ht="12.75" hidden="false" customHeight="false" outlineLevel="0" collapsed="false">
      <c r="A75" s="167" t="n">
        <v>38961</v>
      </c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</row>
    <row r="76" customFormat="false" ht="12.75" hidden="false" customHeight="false" outlineLevel="0" collapsed="false">
      <c r="A76" s="167" t="n">
        <v>38991</v>
      </c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</row>
    <row r="77" customFormat="false" ht="12.75" hidden="false" customHeight="false" outlineLevel="0" collapsed="false">
      <c r="A77" s="167" t="n">
        <v>39022</v>
      </c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</row>
    <row r="78" customFormat="false" ht="12.75" hidden="false" customHeight="false" outlineLevel="0" collapsed="false">
      <c r="A78" s="167" t="n">
        <v>39052</v>
      </c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</row>
    <row r="79" customFormat="false" ht="12.75" hidden="false" customHeight="false" outlineLevel="0" collapsed="false">
      <c r="A79" s="167" t="n">
        <v>39083</v>
      </c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</row>
    <row r="80" customFormat="false" ht="12.75" hidden="false" customHeight="false" outlineLevel="0" collapsed="false">
      <c r="A80" s="167" t="n">
        <v>39114</v>
      </c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</row>
    <row r="81" customFormat="false" ht="12.75" hidden="false" customHeight="false" outlineLevel="0" collapsed="false">
      <c r="A81" s="167" t="n">
        <v>39142</v>
      </c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</row>
    <row r="82" customFormat="false" ht="12.75" hidden="false" customHeight="false" outlineLevel="0" collapsed="false">
      <c r="A82" s="167" t="n">
        <v>39173</v>
      </c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</row>
    <row r="83" customFormat="false" ht="12.75" hidden="false" customHeight="false" outlineLevel="0" collapsed="false">
      <c r="A83" s="167" t="n">
        <v>39203</v>
      </c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</row>
    <row r="84" customFormat="false" ht="12.75" hidden="false" customHeight="false" outlineLevel="0" collapsed="false">
      <c r="A84" s="167" t="n">
        <v>39234</v>
      </c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</row>
    <row r="85" customFormat="false" ht="12.75" hidden="false" customHeight="false" outlineLevel="0" collapsed="false">
      <c r="A85" s="167" t="n">
        <v>39264</v>
      </c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</row>
    <row r="86" customFormat="false" ht="12.75" hidden="false" customHeight="false" outlineLevel="0" collapsed="false">
      <c r="A86" s="167" t="n">
        <v>39295</v>
      </c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</row>
    <row r="87" customFormat="false" ht="12.75" hidden="false" customHeight="false" outlineLevel="0" collapsed="false">
      <c r="A87" s="167" t="n">
        <v>39326</v>
      </c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</row>
    <row r="88" customFormat="false" ht="12.75" hidden="false" customHeight="false" outlineLevel="0" collapsed="false">
      <c r="A88" s="167" t="n">
        <v>39356</v>
      </c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</row>
    <row r="89" customFormat="false" ht="12.75" hidden="false" customHeight="false" outlineLevel="0" collapsed="false">
      <c r="A89" s="167" t="n">
        <v>39387</v>
      </c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</row>
    <row r="90" customFormat="false" ht="12.75" hidden="false" customHeight="false" outlineLevel="0" collapsed="false">
      <c r="A90" s="167" t="n">
        <v>39417</v>
      </c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</row>
    <row r="91" customFormat="false" ht="12.75" hidden="false" customHeight="false" outlineLevel="0" collapsed="false">
      <c r="A91" s="167" t="n">
        <v>39448</v>
      </c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</row>
    <row r="92" customFormat="false" ht="12.75" hidden="false" customHeight="false" outlineLevel="0" collapsed="false">
      <c r="A92" s="167" t="n">
        <v>39479</v>
      </c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</row>
    <row r="93" customFormat="false" ht="12.75" hidden="false" customHeight="false" outlineLevel="0" collapsed="false">
      <c r="A93" s="167" t="n">
        <v>39508</v>
      </c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</row>
    <row r="94" customFormat="false" ht="12.75" hidden="false" customHeight="false" outlineLevel="0" collapsed="false">
      <c r="A94" s="167" t="n">
        <v>39539</v>
      </c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</row>
    <row r="95" customFormat="false" ht="12.75" hidden="false" customHeight="false" outlineLevel="0" collapsed="false">
      <c r="A95" s="167" t="n">
        <v>39569</v>
      </c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</row>
    <row r="96" customFormat="false" ht="12.75" hidden="false" customHeight="false" outlineLevel="0" collapsed="false">
      <c r="A96" s="167" t="n">
        <v>39600</v>
      </c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</row>
    <row r="97" customFormat="false" ht="12.75" hidden="false" customHeight="false" outlineLevel="0" collapsed="false">
      <c r="A97" s="167" t="n">
        <v>39630</v>
      </c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</row>
    <row r="98" customFormat="false" ht="12.75" hidden="false" customHeight="false" outlineLevel="0" collapsed="false">
      <c r="A98" s="167" t="n">
        <v>39661</v>
      </c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</row>
    <row r="99" customFormat="false" ht="12.75" hidden="false" customHeight="false" outlineLevel="0" collapsed="false">
      <c r="A99" s="167" t="n">
        <v>39692</v>
      </c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</row>
    <row r="100" customFormat="false" ht="12.75" hidden="false" customHeight="false" outlineLevel="0" collapsed="false">
      <c r="A100" s="167" t="n">
        <v>39722</v>
      </c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</row>
    <row r="101" customFormat="false" ht="12.75" hidden="false" customHeight="false" outlineLevel="0" collapsed="false">
      <c r="A101" s="167" t="n">
        <v>39753</v>
      </c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</row>
    <row r="102" customFormat="false" ht="12.75" hidden="false" customHeight="false" outlineLevel="0" collapsed="false">
      <c r="A102" s="167" t="n">
        <v>39783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</row>
    <row r="103" customFormat="false" ht="12.75" hidden="false" customHeight="false" outlineLevel="0" collapsed="false">
      <c r="A103" s="167" t="n">
        <v>39814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</row>
    <row r="104" customFormat="false" ht="12.75" hidden="false" customHeight="false" outlineLevel="0" collapsed="false">
      <c r="A104" s="167" t="n">
        <v>39845</v>
      </c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</row>
    <row r="105" customFormat="false" ht="12.75" hidden="false" customHeight="false" outlineLevel="0" collapsed="false">
      <c r="A105" s="167" t="n">
        <v>39873</v>
      </c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</row>
    <row r="106" customFormat="false" ht="12.75" hidden="false" customHeight="false" outlineLevel="0" collapsed="false">
      <c r="A106" s="167" t="n">
        <v>39904</v>
      </c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</row>
    <row r="107" customFormat="false" ht="12.75" hidden="false" customHeight="false" outlineLevel="0" collapsed="false">
      <c r="A107" s="167" t="n">
        <v>39934</v>
      </c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</row>
    <row r="108" customFormat="false" ht="12.75" hidden="false" customHeight="false" outlineLevel="0" collapsed="false">
      <c r="A108" s="167" t="n">
        <v>39965</v>
      </c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</row>
    <row r="109" customFormat="false" ht="12.75" hidden="false" customHeight="false" outlineLevel="0" collapsed="false">
      <c r="A109" s="167" t="n">
        <v>39995</v>
      </c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</row>
    <row r="110" customFormat="false" ht="12.75" hidden="false" customHeight="false" outlineLevel="0" collapsed="false">
      <c r="A110" s="167" t="n">
        <v>40026</v>
      </c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</row>
    <row r="111" customFormat="false" ht="12.75" hidden="false" customHeight="false" outlineLevel="0" collapsed="false">
      <c r="A111" s="167" t="n">
        <v>40057</v>
      </c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</row>
    <row r="112" customFormat="false" ht="12.75" hidden="false" customHeight="false" outlineLevel="0" collapsed="false">
      <c r="A112" s="167" t="n">
        <v>40087</v>
      </c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</row>
    <row r="113" customFormat="false" ht="12.75" hidden="false" customHeight="false" outlineLevel="0" collapsed="false">
      <c r="A113" s="167" t="n">
        <v>40118</v>
      </c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</row>
    <row r="114" customFormat="false" ht="12.75" hidden="false" customHeight="false" outlineLevel="0" collapsed="false">
      <c r="A114" s="167" t="n">
        <v>40148</v>
      </c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</row>
    <row r="115" customFormat="false" ht="12.75" hidden="false" customHeight="false" outlineLevel="0" collapsed="false">
      <c r="A115" s="167" t="n">
        <v>40179</v>
      </c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</row>
    <row r="116" customFormat="false" ht="12.75" hidden="false" customHeight="false" outlineLevel="0" collapsed="false">
      <c r="A116" s="167" t="n">
        <v>40210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</row>
    <row r="117" customFormat="false" ht="12.75" hidden="false" customHeight="false" outlineLevel="0" collapsed="false">
      <c r="A117" s="167" t="n">
        <v>40238</v>
      </c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</row>
    <row r="118" customFormat="false" ht="12.75" hidden="false" customHeight="false" outlineLevel="0" collapsed="false">
      <c r="A118" s="167" t="n">
        <v>40269</v>
      </c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</row>
    <row r="119" customFormat="false" ht="12.75" hidden="false" customHeight="false" outlineLevel="0" collapsed="false">
      <c r="A119" s="167" t="n">
        <v>40299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</row>
    <row r="120" customFormat="false" ht="12.75" hidden="false" customHeight="false" outlineLevel="0" collapsed="false">
      <c r="A120" s="167" t="n">
        <v>40330</v>
      </c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</row>
    <row r="121" customFormat="false" ht="12.75" hidden="false" customHeight="false" outlineLevel="0" collapsed="false">
      <c r="A121" s="167" t="n">
        <v>40360</v>
      </c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</row>
    <row r="122" customFormat="false" ht="12.75" hidden="false" customHeight="false" outlineLevel="0" collapsed="false">
      <c r="A122" s="167" t="n">
        <v>40391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</row>
    <row r="123" customFormat="false" ht="12.75" hidden="false" customHeight="false" outlineLevel="0" collapsed="false">
      <c r="A123" s="167" t="n">
        <v>40422</v>
      </c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</row>
    <row r="124" customFormat="false" ht="12.75" hidden="false" customHeight="false" outlineLevel="0" collapsed="false">
      <c r="A124" s="167" t="n">
        <v>40452</v>
      </c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</row>
    <row r="125" customFormat="false" ht="12.75" hidden="false" customHeight="false" outlineLevel="0" collapsed="false">
      <c r="A125" s="167" t="n">
        <v>40483</v>
      </c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</row>
    <row r="126" customFormat="false" ht="12.75" hidden="false" customHeight="false" outlineLevel="0" collapsed="false">
      <c r="A126" s="167" t="n">
        <v>40513</v>
      </c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</row>
    <row r="127" customFormat="false" ht="12.75" hidden="false" customHeight="false" outlineLevel="0" collapsed="false">
      <c r="A127" s="167" t="n">
        <v>40544</v>
      </c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</row>
    <row r="128" customFormat="false" ht="12.75" hidden="false" customHeight="false" outlineLevel="0" collapsed="false">
      <c r="A128" s="167" t="n">
        <v>40575</v>
      </c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</row>
    <row r="129" customFormat="false" ht="12.75" hidden="false" customHeight="false" outlineLevel="0" collapsed="false">
      <c r="A129" s="167" t="n">
        <v>40603</v>
      </c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</row>
    <row r="130" customFormat="false" ht="12.75" hidden="false" customHeight="false" outlineLevel="0" collapsed="false">
      <c r="A130" s="167" t="n">
        <v>40634</v>
      </c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</row>
    <row r="131" customFormat="false" ht="12.75" hidden="false" customHeight="false" outlineLevel="0" collapsed="false">
      <c r="A131" s="167" t="n">
        <v>40664</v>
      </c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</row>
    <row r="132" customFormat="false" ht="12.75" hidden="false" customHeight="false" outlineLevel="0" collapsed="false">
      <c r="A132" s="167" t="n">
        <v>40695</v>
      </c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</row>
    <row r="133" customFormat="false" ht="12.75" hidden="false" customHeight="false" outlineLevel="0" collapsed="false">
      <c r="A133" s="167" t="n">
        <v>40725</v>
      </c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</row>
    <row r="134" customFormat="false" ht="12.75" hidden="false" customHeight="false" outlineLevel="0" collapsed="false">
      <c r="A134" s="167" t="n">
        <v>40756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</row>
    <row r="135" customFormat="false" ht="12.75" hidden="false" customHeight="false" outlineLevel="0" collapsed="false">
      <c r="A135" s="167" t="n">
        <v>40787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</row>
    <row r="136" customFormat="false" ht="12.75" hidden="false" customHeight="false" outlineLevel="0" collapsed="false">
      <c r="A136" s="167" t="n">
        <v>40817</v>
      </c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</row>
    <row r="137" customFormat="false" ht="12.75" hidden="false" customHeight="false" outlineLevel="0" collapsed="false">
      <c r="A137" s="167" t="n">
        <v>40848</v>
      </c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</row>
    <row r="138" customFormat="false" ht="12.75" hidden="false" customHeight="false" outlineLevel="0" collapsed="false">
      <c r="A138" s="167" t="n">
        <v>40878</v>
      </c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</row>
    <row r="139" customFormat="false" ht="12.75" hidden="false" customHeight="false" outlineLevel="0" collapsed="false">
      <c r="A139" s="167" t="n">
        <v>40909</v>
      </c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</row>
    <row r="140" customFormat="false" ht="12.75" hidden="false" customHeight="false" outlineLevel="0" collapsed="false">
      <c r="A140" s="167" t="n">
        <v>40940</v>
      </c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</row>
    <row r="141" customFormat="false" ht="12.75" hidden="false" customHeight="false" outlineLevel="0" collapsed="false">
      <c r="A141" s="167" t="n">
        <v>40969</v>
      </c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</row>
    <row r="142" customFormat="false" ht="12.75" hidden="false" customHeight="false" outlineLevel="0" collapsed="false">
      <c r="A142" s="167" t="n">
        <v>41000</v>
      </c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</row>
    <row r="143" customFormat="false" ht="12.75" hidden="false" customHeight="false" outlineLevel="0" collapsed="false">
      <c r="A143" s="167" t="n">
        <v>41030</v>
      </c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</row>
    <row r="144" customFormat="false" ht="12.75" hidden="false" customHeight="false" outlineLevel="0" collapsed="false">
      <c r="A144" s="167" t="n">
        <v>41061</v>
      </c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</row>
    <row r="145" customFormat="false" ht="12.75" hidden="false" customHeight="false" outlineLevel="0" collapsed="false">
      <c r="A145" s="167" t="n">
        <v>41091</v>
      </c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</row>
    <row r="146" customFormat="false" ht="12.75" hidden="false" customHeight="false" outlineLevel="0" collapsed="false">
      <c r="A146" s="167" t="n">
        <v>41122</v>
      </c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</row>
    <row r="147" customFormat="false" ht="12.75" hidden="false" customHeight="false" outlineLevel="0" collapsed="false">
      <c r="A147" s="167" t="n">
        <v>41153</v>
      </c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</row>
    <row r="148" customFormat="false" ht="12.75" hidden="false" customHeight="false" outlineLevel="0" collapsed="false">
      <c r="A148" s="167" t="n">
        <v>41183</v>
      </c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</row>
    <row r="149" customFormat="false" ht="12.75" hidden="false" customHeight="false" outlineLevel="0" collapsed="false">
      <c r="A149" s="167" t="n">
        <v>41214</v>
      </c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</row>
    <row r="150" customFormat="false" ht="12.75" hidden="false" customHeight="false" outlineLevel="0" collapsed="false">
      <c r="A150" s="167" t="n">
        <v>41244</v>
      </c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</row>
    <row r="151" customFormat="false" ht="12.75" hidden="false" customHeight="false" outlineLevel="0" collapsed="false">
      <c r="A151" s="167" t="n">
        <v>41275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</row>
    <row r="152" customFormat="false" ht="12.75" hidden="false" customHeight="false" outlineLevel="0" collapsed="false">
      <c r="A152" s="167" t="n">
        <v>41306</v>
      </c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</row>
    <row r="153" customFormat="false" ht="12.75" hidden="false" customHeight="false" outlineLevel="0" collapsed="false">
      <c r="A153" s="167" t="n">
        <v>41334</v>
      </c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</row>
    <row r="154" customFormat="false" ht="12.75" hidden="false" customHeight="false" outlineLevel="0" collapsed="false">
      <c r="A154" s="167" t="n">
        <v>41365</v>
      </c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</row>
    <row r="155" customFormat="false" ht="12.75" hidden="false" customHeight="false" outlineLevel="0" collapsed="false">
      <c r="A155" s="167" t="n">
        <v>41395</v>
      </c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</row>
    <row r="156" customFormat="false" ht="12.75" hidden="false" customHeight="false" outlineLevel="0" collapsed="false">
      <c r="A156" s="167" t="n">
        <v>41426</v>
      </c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</row>
    <row r="157" customFormat="false" ht="12.75" hidden="false" customHeight="false" outlineLevel="0" collapsed="false">
      <c r="A157" s="167" t="n">
        <v>41456</v>
      </c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</row>
    <row r="158" customFormat="false" ht="12.75" hidden="false" customHeight="false" outlineLevel="0" collapsed="false">
      <c r="A158" s="167" t="n">
        <v>41487</v>
      </c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</row>
    <row r="159" customFormat="false" ht="12.75" hidden="false" customHeight="false" outlineLevel="0" collapsed="false">
      <c r="A159" s="167" t="n">
        <v>41518</v>
      </c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</row>
    <row r="160" customFormat="false" ht="12.75" hidden="false" customHeight="false" outlineLevel="0" collapsed="false">
      <c r="A160" s="167" t="n">
        <v>41548</v>
      </c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</row>
    <row r="161" customFormat="false" ht="12.75" hidden="false" customHeight="false" outlineLevel="0" collapsed="false">
      <c r="A161" s="167" t="n">
        <v>41579</v>
      </c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</row>
    <row r="162" customFormat="false" ht="12.75" hidden="false" customHeight="false" outlineLevel="0" collapsed="false">
      <c r="A162" s="167" t="n">
        <v>41609</v>
      </c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</row>
    <row r="163" customFormat="false" ht="12.75" hidden="false" customHeight="false" outlineLevel="0" collapsed="false">
      <c r="A163" s="167" t="n">
        <v>41640</v>
      </c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</row>
    <row r="164" customFormat="false" ht="12.75" hidden="false" customHeight="false" outlineLevel="0" collapsed="false">
      <c r="A164" s="167" t="n">
        <v>41671</v>
      </c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</row>
    <row r="165" customFormat="false" ht="12.75" hidden="false" customHeight="false" outlineLevel="0" collapsed="false">
      <c r="A165" s="167" t="n">
        <v>41699</v>
      </c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</row>
    <row r="166" customFormat="false" ht="12.75" hidden="false" customHeight="false" outlineLevel="0" collapsed="false">
      <c r="A166" s="167" t="n">
        <v>41730</v>
      </c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</row>
    <row r="167" customFormat="false" ht="12.75" hidden="false" customHeight="false" outlineLevel="0" collapsed="false">
      <c r="A167" s="167" t="n">
        <v>41760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</row>
    <row r="168" customFormat="false" ht="12.75" hidden="false" customHeight="false" outlineLevel="0" collapsed="false">
      <c r="A168" s="167" t="n">
        <v>41791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</row>
    <row r="169" customFormat="false" ht="12.75" hidden="false" customHeight="false" outlineLevel="0" collapsed="false">
      <c r="A169" s="167" t="n">
        <v>41821</v>
      </c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</row>
    <row r="170" customFormat="false" ht="12.75" hidden="false" customHeight="false" outlineLevel="0" collapsed="false">
      <c r="A170" s="167" t="n">
        <v>41852</v>
      </c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</row>
    <row r="171" customFormat="false" ht="12.75" hidden="false" customHeight="false" outlineLevel="0" collapsed="false">
      <c r="A171" s="167" t="n">
        <v>41883</v>
      </c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</row>
    <row r="172" customFormat="false" ht="12.75" hidden="false" customHeight="false" outlineLevel="0" collapsed="false">
      <c r="A172" s="167" t="n">
        <v>41913</v>
      </c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</row>
    <row r="173" customFormat="false" ht="12.75" hidden="false" customHeight="false" outlineLevel="0" collapsed="false">
      <c r="A173" s="167" t="n">
        <v>41944</v>
      </c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</row>
    <row r="174" customFormat="false" ht="12.75" hidden="false" customHeight="false" outlineLevel="0" collapsed="false">
      <c r="A174" s="167" t="n">
        <v>41974</v>
      </c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</row>
    <row r="175" customFormat="false" ht="12.75" hidden="false" customHeight="false" outlineLevel="0" collapsed="false">
      <c r="A175" s="167" t="n">
        <v>42005</v>
      </c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</row>
    <row r="176" customFormat="false" ht="12.75" hidden="false" customHeight="false" outlineLevel="0" collapsed="false">
      <c r="A176" s="167" t="n">
        <v>42036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</row>
    <row r="177" customFormat="false" ht="12.75" hidden="false" customHeight="false" outlineLevel="0" collapsed="false">
      <c r="A177" s="167" t="n">
        <v>42064</v>
      </c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</row>
    <row r="178" customFormat="false" ht="12.75" hidden="false" customHeight="false" outlineLevel="0" collapsed="false">
      <c r="A178" s="167" t="n">
        <v>42095</v>
      </c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</row>
    <row r="179" customFormat="false" ht="12.75" hidden="false" customHeight="false" outlineLevel="0" collapsed="false">
      <c r="A179" s="167" t="n">
        <v>42125</v>
      </c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</row>
    <row r="180" customFormat="false" ht="12.75" hidden="false" customHeight="false" outlineLevel="0" collapsed="false">
      <c r="A180" s="167" t="n">
        <v>42156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</row>
    <row r="181" customFormat="false" ht="12.75" hidden="false" customHeight="false" outlineLevel="0" collapsed="false">
      <c r="A181" s="167" t="n">
        <v>42186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</row>
    <row r="182" customFormat="false" ht="12.75" hidden="false" customHeight="false" outlineLevel="0" collapsed="false">
      <c r="A182" s="167" t="n">
        <v>42217</v>
      </c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</row>
    <row r="183" customFormat="false" ht="12.75" hidden="false" customHeight="false" outlineLevel="0" collapsed="false">
      <c r="A183" s="167" t="n">
        <v>42248</v>
      </c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</row>
    <row r="184" customFormat="false" ht="12.75" hidden="false" customHeight="false" outlineLevel="0" collapsed="false">
      <c r="A184" s="167" t="n">
        <v>42278</v>
      </c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</row>
    <row r="185" customFormat="false" ht="12.75" hidden="false" customHeight="false" outlineLevel="0" collapsed="false">
      <c r="A185" s="167" t="n">
        <v>42309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</row>
    <row r="186" customFormat="false" ht="12.75" hidden="false" customHeight="false" outlineLevel="0" collapsed="false">
      <c r="A186" s="167" t="n">
        <v>42339</v>
      </c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</row>
    <row r="187" customFormat="false" ht="12.75" hidden="false" customHeight="false" outlineLevel="0" collapsed="false">
      <c r="A187" s="167" t="n">
        <v>42370</v>
      </c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</row>
    <row r="188" customFormat="false" ht="12.75" hidden="false" customHeight="false" outlineLevel="0" collapsed="false">
      <c r="A188" s="167" t="n">
        <v>42401</v>
      </c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</row>
    <row r="189" customFormat="false" ht="12.75" hidden="false" customHeight="false" outlineLevel="0" collapsed="false">
      <c r="A189" s="167" t="n">
        <v>42430</v>
      </c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</row>
    <row r="190" customFormat="false" ht="12.75" hidden="false" customHeight="false" outlineLevel="0" collapsed="false">
      <c r="A190" s="167" t="n">
        <v>42461</v>
      </c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</row>
    <row r="191" customFormat="false" ht="12.75" hidden="false" customHeight="false" outlineLevel="0" collapsed="false">
      <c r="A191" s="167" t="n">
        <v>42491</v>
      </c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</row>
    <row r="192" customFormat="false" ht="12.75" hidden="false" customHeight="false" outlineLevel="0" collapsed="false">
      <c r="A192" s="167" t="n">
        <v>42522</v>
      </c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</row>
    <row r="193" customFormat="false" ht="12.75" hidden="false" customHeight="false" outlineLevel="0" collapsed="false">
      <c r="A193" s="167" t="n">
        <v>42552</v>
      </c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</row>
    <row r="194" customFormat="false" ht="12.75" hidden="false" customHeight="false" outlineLevel="0" collapsed="false">
      <c r="A194" s="167" t="n">
        <v>42583</v>
      </c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</row>
    <row r="195" customFormat="false" ht="12.75" hidden="false" customHeight="false" outlineLevel="0" collapsed="false">
      <c r="A195" s="167" t="n">
        <v>42614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</row>
    <row r="196" customFormat="false" ht="12.75" hidden="false" customHeight="false" outlineLevel="0" collapsed="false">
      <c r="A196" s="167" t="n">
        <v>42644</v>
      </c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</row>
    <row r="197" customFormat="false" ht="12.75" hidden="false" customHeight="false" outlineLevel="0" collapsed="false">
      <c r="A197" s="167" t="n">
        <v>42675</v>
      </c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</row>
    <row r="198" customFormat="false" ht="12.75" hidden="false" customHeight="false" outlineLevel="0" collapsed="false">
      <c r="A198" s="167" t="n">
        <v>42705</v>
      </c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</row>
    <row r="199" customFormat="false" ht="12.75" hidden="false" customHeight="false" outlineLevel="0" collapsed="false">
      <c r="A199" s="167" t="n">
        <v>42736</v>
      </c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</row>
    <row r="200" customFormat="false" ht="12.75" hidden="false" customHeight="false" outlineLevel="0" collapsed="false">
      <c r="A200" s="167" t="n">
        <v>42767</v>
      </c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</row>
    <row r="201" customFormat="false" ht="12.75" hidden="false" customHeight="false" outlineLevel="0" collapsed="false">
      <c r="A201" s="167" t="n">
        <v>42795</v>
      </c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</row>
    <row r="202" customFormat="false" ht="12.75" hidden="false" customHeight="false" outlineLevel="0" collapsed="false">
      <c r="A202" s="167" t="n">
        <v>42826</v>
      </c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</row>
    <row r="203" customFormat="false" ht="12.75" hidden="false" customHeight="false" outlineLevel="0" collapsed="false">
      <c r="A203" s="167" t="n">
        <v>42856</v>
      </c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  <c r="AH203" s="169"/>
      <c r="AI203" s="169"/>
      <c r="AJ203" s="169"/>
      <c r="AK203" s="169"/>
      <c r="AL203" s="169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</row>
    <row r="204" customFormat="false" ht="12.75" hidden="false" customHeight="false" outlineLevel="0" collapsed="false">
      <c r="A204" s="167" t="n">
        <v>42887</v>
      </c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</row>
    <row r="205" customFormat="false" ht="12.75" hidden="false" customHeight="false" outlineLevel="0" collapsed="false">
      <c r="A205" s="167" t="n">
        <v>42917</v>
      </c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</row>
    <row r="206" customFormat="false" ht="12.75" hidden="false" customHeight="false" outlineLevel="0" collapsed="false">
      <c r="A206" s="167" t="n">
        <v>42948</v>
      </c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</row>
    <row r="207" customFormat="false" ht="12.75" hidden="false" customHeight="false" outlineLevel="0" collapsed="false">
      <c r="A207" s="167" t="n">
        <v>42979</v>
      </c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</row>
    <row r="208" customFormat="false" ht="12.75" hidden="false" customHeight="false" outlineLevel="0" collapsed="false">
      <c r="A208" s="167" t="n">
        <v>43009</v>
      </c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</row>
    <row r="209" customFormat="false" ht="12.75" hidden="false" customHeight="false" outlineLevel="0" collapsed="false">
      <c r="A209" s="167" t="n">
        <v>43040</v>
      </c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</row>
    <row r="210" customFormat="false" ht="12.75" hidden="false" customHeight="false" outlineLevel="0" collapsed="false">
      <c r="A210" s="167" t="n">
        <v>43070</v>
      </c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C1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7" activeCellId="0" sqref="I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6.7"/>
    <col collapsed="false" customWidth="true" hidden="false" outlineLevel="0" max="4" min="2" style="1" width="12.7"/>
    <col collapsed="false" customWidth="true" hidden="false" outlineLevel="0" max="5" min="5" style="1" width="10.13"/>
    <col collapsed="false" customWidth="true" hidden="false" outlineLevel="0" max="17" min="6" style="1" width="9.14"/>
    <col collapsed="false" customWidth="true" hidden="false" outlineLevel="0" max="18" min="18" style="1" width="10.13"/>
    <col collapsed="false" customWidth="true" hidden="false" outlineLevel="0" max="65" min="19" style="1" width="9.14"/>
  </cols>
  <sheetData>
    <row r="1" customFormat="false" ht="12.75" hidden="false" customHeight="false" outlineLevel="0" collapsed="false">
      <c r="B1" s="2" t="s">
        <v>7</v>
      </c>
      <c r="C1" s="2" t="s">
        <v>8</v>
      </c>
      <c r="D1" s="1" t="s">
        <v>204</v>
      </c>
      <c r="J1" s="1" t="n">
        <f aca="false">summerstrip</f>
        <v>5.3329</v>
      </c>
      <c r="K1" s="1" t="n">
        <f aca="false">winterstrip</f>
        <v>5.12898285714286</v>
      </c>
    </row>
    <row r="2" customFormat="false" ht="12.75" hidden="false" customHeight="false" outlineLevel="0" collapsed="false">
      <c r="A2" s="2" t="s">
        <v>145</v>
      </c>
      <c r="B2" s="170" t="n">
        <v>36951</v>
      </c>
      <c r="C2" s="170" t="n">
        <v>36951</v>
      </c>
      <c r="D2" s="170" t="n">
        <v>37073</v>
      </c>
      <c r="E2" s="2"/>
      <c r="F2" s="16" t="n">
        <f aca="false">SWAPTIONSWAP1</f>
        <v>4.39578638497653</v>
      </c>
      <c r="G2" s="16" t="n">
        <f aca="false">SWAPTIONSWAP2</f>
        <v>4.1689421875</v>
      </c>
      <c r="H2" s="16" t="n">
        <f aca="false">SWAPTIONSWAP3</f>
        <v>3.92091780821918</v>
      </c>
      <c r="I2" s="0"/>
      <c r="J2" s="0"/>
      <c r="K2" s="0"/>
      <c r="L2" s="0"/>
      <c r="M2" s="0"/>
      <c r="BV2" s="1"/>
      <c r="BW2" s="1"/>
      <c r="BX2" s="1"/>
      <c r="BY2" s="1"/>
      <c r="BZ2" s="1"/>
      <c r="CA2" s="1"/>
      <c r="CB2" s="1"/>
      <c r="CC2" s="1"/>
    </row>
    <row r="3" customFormat="false" ht="12.75" hidden="false" customHeight="false" outlineLevel="0" collapsed="false">
      <c r="A3" s="5" t="s">
        <v>146</v>
      </c>
      <c r="B3" s="170" t="n">
        <v>37347</v>
      </c>
      <c r="C3" s="170" t="n">
        <v>37561</v>
      </c>
      <c r="D3" s="170" t="n">
        <v>39295</v>
      </c>
      <c r="E3" s="2"/>
      <c r="F3" s="2"/>
      <c r="G3" s="2"/>
      <c r="H3" s="0"/>
      <c r="I3" s="0"/>
      <c r="J3" s="0"/>
      <c r="K3" s="0"/>
      <c r="L3" s="0"/>
      <c r="M3" s="0"/>
      <c r="O3" s="1" t="n">
        <f aca="false">IF(B$25=1,"ATM",B18)</f>
        <v>3.6</v>
      </c>
      <c r="P3" s="1" t="str">
        <f aca="false">IF(B$25=3,IF(B19=1,"CALL","PUT"),"STRADDLE")</f>
        <v>STRADDLE</v>
      </c>
      <c r="S3" s="9"/>
      <c r="T3" s="4"/>
      <c r="U3" s="10"/>
      <c r="V3" s="10"/>
      <c r="W3" s="10"/>
      <c r="X3" s="10"/>
      <c r="Y3" s="10"/>
      <c r="Z3" s="10"/>
      <c r="AA3" s="10"/>
      <c r="AB3" s="10"/>
      <c r="AC3" s="11"/>
      <c r="AD3" s="10"/>
      <c r="AE3" s="11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V3" s="1"/>
      <c r="BW3" s="1"/>
      <c r="BX3" s="1"/>
      <c r="BY3" s="1"/>
      <c r="BZ3" s="1"/>
      <c r="CA3" s="1"/>
      <c r="CB3" s="1"/>
      <c r="CC3" s="1"/>
    </row>
    <row r="4" customFormat="false" ht="12.75" hidden="false" customHeight="false" outlineLevel="0" collapsed="false">
      <c r="A4" s="12" t="s">
        <v>6</v>
      </c>
      <c r="B4" s="16" t="n">
        <f aca="false">B5+B6+B7</f>
        <v>4.38908450704225</v>
      </c>
      <c r="C4" s="16" t="n">
        <f aca="false">C5+C6+C7</f>
        <v>4.16810625</v>
      </c>
      <c r="D4" s="16" t="n">
        <f aca="false">D5+D6</f>
        <v>3.21</v>
      </c>
      <c r="E4" s="2"/>
      <c r="F4" s="2"/>
      <c r="G4" s="2"/>
      <c r="H4" s="0"/>
      <c r="I4" s="0"/>
      <c r="J4" s="0"/>
      <c r="K4" s="0"/>
      <c r="L4" s="0"/>
      <c r="M4" s="0"/>
      <c r="O4" s="1" t="n">
        <f aca="false">IF(B$25=1,"ATM",C18)</f>
        <v>3.8</v>
      </c>
      <c r="P4" s="1" t="str">
        <f aca="false">IF(B$25=3,IF(C19=1,"CALL","PUT"),"STRADDLE")</f>
        <v>STRADDLE</v>
      </c>
      <c r="S4" s="9"/>
      <c r="T4" s="4"/>
      <c r="U4" s="10"/>
      <c r="V4" s="10"/>
      <c r="W4" s="10"/>
      <c r="X4" s="10"/>
      <c r="Y4" s="10"/>
      <c r="Z4" s="10"/>
      <c r="AA4" s="10"/>
      <c r="AB4" s="10"/>
      <c r="AC4" s="11"/>
      <c r="AD4" s="10"/>
      <c r="AE4" s="11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V4" s="1"/>
      <c r="BW4" s="1"/>
      <c r="BX4" s="1"/>
      <c r="BY4" s="1"/>
      <c r="BZ4" s="1"/>
      <c r="CA4" s="1"/>
      <c r="CB4" s="1"/>
      <c r="CC4" s="1"/>
    </row>
    <row r="5" customFormat="false" ht="12.75" hidden="false" customHeight="false" outlineLevel="0" collapsed="false">
      <c r="A5" s="6" t="s">
        <v>147</v>
      </c>
      <c r="B5" s="16" t="n">
        <f aca="false">SWAPTIONSWAP1</f>
        <v>4.39578638497653</v>
      </c>
      <c r="C5" s="16" t="n">
        <f aca="false">SWAPTIONSWAP2</f>
        <v>4.1689421875</v>
      </c>
      <c r="D5" s="16" t="n">
        <v>3.21</v>
      </c>
      <c r="E5" s="2"/>
      <c r="F5" s="2"/>
      <c r="G5" s="2" t="s">
        <v>7</v>
      </c>
      <c r="H5" s="2" t="s">
        <v>8</v>
      </c>
      <c r="I5" s="1" t="s">
        <v>204</v>
      </c>
      <c r="J5" s="14"/>
      <c r="K5" s="14"/>
      <c r="L5" s="14"/>
      <c r="M5" s="14"/>
      <c r="S5" s="9"/>
      <c r="T5" s="4"/>
      <c r="U5" s="10"/>
      <c r="V5" s="10"/>
      <c r="W5" s="10"/>
      <c r="X5" s="10"/>
      <c r="Y5" s="10"/>
      <c r="Z5" s="10"/>
      <c r="AA5" s="10"/>
      <c r="AB5" s="10"/>
      <c r="AC5" s="11"/>
      <c r="AD5" s="10"/>
      <c r="AE5" s="11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V5" s="1"/>
      <c r="BW5" s="1"/>
      <c r="BX5" s="1"/>
      <c r="BY5" s="1"/>
      <c r="BZ5" s="1"/>
      <c r="CA5" s="1"/>
      <c r="CB5" s="1"/>
      <c r="CC5" s="1"/>
    </row>
    <row r="6" customFormat="false" ht="12.75" hidden="false" customHeight="false" outlineLevel="0" collapsed="false">
      <c r="A6" s="6" t="s">
        <v>205</v>
      </c>
      <c r="B6" s="16" t="n">
        <f aca="false">SWAPTIONBASIS1</f>
        <v>-0.0067018779342723</v>
      </c>
      <c r="C6" s="16" t="n">
        <f aca="false">SWAPTIONBASIS2</f>
        <v>-0.0008359375</v>
      </c>
      <c r="D6" s="16" t="n">
        <v>0</v>
      </c>
      <c r="E6" s="2"/>
      <c r="F6" s="4" t="s">
        <v>1</v>
      </c>
      <c r="G6" s="171" t="e">
        <f aca="true">bsd(1,B$19,B$4,B$18,B$16-TODAY(),B$13,B$22,0.1)</f>
        <v>#VALUE!</v>
      </c>
      <c r="H6" s="171" t="e">
        <f aca="true">bsd(1,C$19,C$4,C$18,C$16-TODAY(),C$13,C$22,0.1)</f>
        <v>#VALUE!</v>
      </c>
      <c r="I6" s="171" t="e">
        <f aca="true">bsd(1,D$19,D$4,D$18,D$16-TODAY(),D$13,D$22,0.1)</f>
        <v>#VALUE!</v>
      </c>
      <c r="J6" s="14"/>
      <c r="K6" s="14"/>
      <c r="L6" s="14"/>
      <c r="M6" s="14"/>
      <c r="S6" s="9"/>
      <c r="T6" s="4"/>
      <c r="U6" s="10"/>
      <c r="V6" s="10"/>
      <c r="W6" s="10"/>
      <c r="X6" s="10"/>
      <c r="Y6" s="10"/>
      <c r="Z6" s="10"/>
      <c r="AA6" s="10"/>
      <c r="AB6" s="10"/>
      <c r="AC6" s="11"/>
      <c r="AD6" s="10"/>
      <c r="AE6" s="11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V6" s="1"/>
      <c r="BW6" s="1"/>
      <c r="BX6" s="1"/>
      <c r="BY6" s="1"/>
      <c r="BZ6" s="1"/>
      <c r="CA6" s="1"/>
      <c r="CB6" s="1"/>
      <c r="CC6" s="1"/>
    </row>
    <row r="7" customFormat="false" ht="12.75" hidden="false" customHeight="false" outlineLevel="0" collapsed="false">
      <c r="A7" s="5" t="s">
        <v>149</v>
      </c>
      <c r="B7" s="102" t="n">
        <v>0</v>
      </c>
      <c r="C7" s="102" t="n">
        <v>0</v>
      </c>
      <c r="D7" s="102" t="n">
        <v>0</v>
      </c>
      <c r="E7" s="2"/>
      <c r="F7" s="4" t="s">
        <v>2</v>
      </c>
      <c r="G7" s="171" t="e">
        <f aca="true">bsd(2,B$19,B$4,B$18,B$16-TODAY(),B$13,B$22,0.1)</f>
        <v>#VALUE!</v>
      </c>
      <c r="H7" s="171" t="e">
        <f aca="true">bsd(2,C$19,C$4,C$18,C$16-TODAY(),C$13,C$22,0.1)</f>
        <v>#VALUE!</v>
      </c>
      <c r="I7" s="171" t="e">
        <f aca="true">bsd(2,D$19,D$4,D$18,D$16-TODAY(),D$13,D$22,0.1)</f>
        <v>#VALUE!</v>
      </c>
      <c r="J7" s="14"/>
      <c r="K7" s="14"/>
      <c r="L7" s="14"/>
      <c r="M7" s="14"/>
      <c r="S7" s="9"/>
      <c r="T7" s="4"/>
      <c r="U7" s="10"/>
      <c r="V7" s="10"/>
      <c r="W7" s="10"/>
      <c r="X7" s="10"/>
      <c r="Y7" s="10"/>
      <c r="Z7" s="10"/>
      <c r="AA7" s="10"/>
      <c r="AB7" s="10"/>
      <c r="AC7" s="11"/>
      <c r="AD7" s="10"/>
      <c r="AE7" s="11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V7" s="1"/>
      <c r="BW7" s="1"/>
      <c r="BX7" s="1"/>
      <c r="BY7" s="1"/>
      <c r="BZ7" s="1"/>
      <c r="CA7" s="1"/>
      <c r="CB7" s="1"/>
      <c r="CC7" s="1"/>
    </row>
    <row r="8" customFormat="false" ht="12.75" hidden="false" customHeight="false" outlineLevel="0" collapsed="false">
      <c r="A8" s="6" t="s">
        <v>206</v>
      </c>
      <c r="B8" s="68" t="n">
        <f aca="false">SWAPTIONVOL1</f>
        <v>12.4718309859155</v>
      </c>
      <c r="C8" s="68" t="n">
        <f aca="false">SWAPTIONVOL2</f>
        <v>15.9890625</v>
      </c>
      <c r="D8" s="68" t="n">
        <v>0.27</v>
      </c>
      <c r="E8" s="2"/>
      <c r="F8" s="4" t="s">
        <v>3</v>
      </c>
      <c r="G8" s="171" t="e">
        <f aca="true">bsd(3,B$19,B$4,B$18,B$16-TODAY(),B$13,B$22,0.1)</f>
        <v>#VALUE!</v>
      </c>
      <c r="H8" s="171" t="e">
        <f aca="true">bsd(3,C$19,C$4,C$18,C$16-TODAY(),C$13,C$22,0.1)</f>
        <v>#VALUE!</v>
      </c>
      <c r="I8" s="171" t="e">
        <f aca="true">bsd(3,D$19,D$4,D$18,D$16-TODAY(),D$13,D$22,0.1)</f>
        <v>#VALUE!</v>
      </c>
      <c r="J8" s="14"/>
      <c r="K8" s="14"/>
      <c r="L8" s="14"/>
      <c r="M8" s="14"/>
      <c r="S8" s="9"/>
      <c r="T8" s="4"/>
      <c r="U8" s="10"/>
      <c r="V8" s="10"/>
      <c r="W8" s="10"/>
      <c r="X8" s="10"/>
      <c r="Y8" s="10"/>
      <c r="Z8" s="10"/>
      <c r="AA8" s="10"/>
      <c r="AB8" s="10"/>
      <c r="AC8" s="11"/>
      <c r="AD8" s="10"/>
      <c r="AE8" s="11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V8" s="1"/>
      <c r="BW8" s="1"/>
      <c r="BX8" s="1"/>
      <c r="BY8" s="1"/>
      <c r="BZ8" s="1"/>
      <c r="CA8" s="1"/>
      <c r="CB8" s="1"/>
      <c r="CC8" s="1"/>
    </row>
    <row r="9" customFormat="false" ht="12.75" hidden="false" customHeight="false" outlineLevel="0" collapsed="false">
      <c r="A9" s="2" t="s">
        <v>11</v>
      </c>
      <c r="B9" s="19" t="n">
        <v>0</v>
      </c>
      <c r="C9" s="19" t="n">
        <v>0</v>
      </c>
      <c r="D9" s="19" t="n">
        <v>0</v>
      </c>
      <c r="E9" s="2"/>
      <c r="F9" s="4" t="s">
        <v>4</v>
      </c>
      <c r="G9" s="171" t="e">
        <f aca="true">bsd(5,B$19,B$4,B$18,B$16-TODAY(),B$13,B$22,0.1)</f>
        <v>#VALUE!</v>
      </c>
      <c r="H9" s="171" t="e">
        <f aca="true">bsd(5,C$19,C$4,C$18,C$16-TODAY(),C$13,C$22,0.1)</f>
        <v>#VALUE!</v>
      </c>
      <c r="I9" s="171" t="e">
        <f aca="true">bsd(5,D$19,D$4,D$18,D$16-TODAY(),D$13,D$22,0.1)</f>
        <v>#VALUE!</v>
      </c>
      <c r="J9" s="14"/>
      <c r="K9" s="14"/>
      <c r="L9" s="14"/>
      <c r="M9" s="14"/>
      <c r="S9" s="9"/>
      <c r="T9" s="4"/>
      <c r="U9" s="10"/>
      <c r="V9" s="10"/>
      <c r="W9" s="10"/>
      <c r="X9" s="10"/>
      <c r="Y9" s="10"/>
      <c r="Z9" s="10"/>
      <c r="AA9" s="10"/>
      <c r="AB9" s="10"/>
      <c r="AC9" s="11"/>
      <c r="AD9" s="10"/>
      <c r="AE9" s="11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V9" s="1"/>
      <c r="BW9" s="1"/>
      <c r="BX9" s="1"/>
      <c r="BY9" s="1"/>
      <c r="BZ9" s="1"/>
      <c r="CA9" s="1"/>
      <c r="CB9" s="1"/>
      <c r="CC9" s="1"/>
    </row>
    <row r="10" customFormat="false" ht="12.75" hidden="false" customHeight="false" outlineLevel="0" collapsed="false">
      <c r="A10" s="5" t="s">
        <v>207</v>
      </c>
      <c r="B10" s="106" t="n">
        <v>1</v>
      </c>
      <c r="C10" s="106" t="n">
        <v>1</v>
      </c>
      <c r="D10" s="106" t="n">
        <v>1</v>
      </c>
      <c r="E10" s="2"/>
      <c r="F10" s="4" t="s">
        <v>5</v>
      </c>
      <c r="G10" s="171" t="e">
        <f aca="true">bsd(4,B$19,B$4,B$18,B$16-TODAY(),B$13,B$22,0.1)</f>
        <v>#VALUE!</v>
      </c>
      <c r="H10" s="171" t="e">
        <f aca="true">bsd(4,C$19,C$4,C$18,C$16-TODAY(),C$13,C$22,0.1)</f>
        <v>#VALUE!</v>
      </c>
      <c r="I10" s="171" t="e">
        <f aca="true">bsd(4,D$19,D$4,D$18,D$16-TODAY(),D$13,D$22,0.1)</f>
        <v>#VALUE!</v>
      </c>
      <c r="J10" s="14"/>
      <c r="K10" s="14"/>
      <c r="L10" s="14"/>
      <c r="M10" s="14"/>
      <c r="S10" s="9"/>
      <c r="T10" s="4"/>
      <c r="U10" s="10"/>
      <c r="V10" s="10"/>
      <c r="W10" s="10"/>
      <c r="X10" s="10"/>
      <c r="Y10" s="10"/>
      <c r="Z10" s="10"/>
      <c r="AA10" s="10"/>
      <c r="AB10" s="10"/>
      <c r="AC10" s="11"/>
      <c r="AD10" s="10"/>
      <c r="AE10" s="11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V10" s="1"/>
      <c r="BW10" s="1"/>
      <c r="BX10" s="1"/>
      <c r="BY10" s="1"/>
      <c r="BZ10" s="1"/>
      <c r="CA10" s="1"/>
      <c r="CB10" s="1"/>
      <c r="CC10" s="1"/>
    </row>
    <row r="11" customFormat="false" ht="12.75" hidden="false" customHeight="false" outlineLevel="0" collapsed="false">
      <c r="A11" s="109" t="s">
        <v>208</v>
      </c>
      <c r="B11" s="172" t="n">
        <f aca="false">(B8+B9)*B10</f>
        <v>12.4718309859155</v>
      </c>
      <c r="C11" s="172" t="n">
        <f aca="false">(C8+C9)*C10</f>
        <v>15.9890625</v>
      </c>
      <c r="D11" s="172" t="n">
        <f aca="false">(D8+D9)*D10</f>
        <v>0.27</v>
      </c>
      <c r="E11" s="2"/>
      <c r="F11" s="2"/>
      <c r="G11" s="2"/>
      <c r="I11" s="14"/>
      <c r="J11" s="14"/>
      <c r="K11" s="14"/>
      <c r="L11" s="14"/>
      <c r="M11" s="14"/>
      <c r="S11" s="9"/>
      <c r="T11" s="4"/>
      <c r="U11" s="10"/>
      <c r="V11" s="10"/>
      <c r="W11" s="10"/>
      <c r="X11" s="10"/>
      <c r="Y11" s="10"/>
      <c r="Z11" s="10"/>
      <c r="AA11" s="10"/>
      <c r="AB11" s="10"/>
      <c r="AC11" s="11"/>
      <c r="AD11" s="10"/>
      <c r="AE11" s="11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V11" s="1"/>
      <c r="BW11" s="1"/>
      <c r="BX11" s="1"/>
      <c r="BY11" s="1"/>
      <c r="BZ11" s="1"/>
      <c r="CA11" s="1"/>
      <c r="CB11" s="1"/>
      <c r="CC11" s="1"/>
    </row>
    <row r="12" customFormat="false" ht="12.75" hidden="false" customHeight="false" outlineLevel="0" collapsed="false">
      <c r="A12" s="109" t="s">
        <v>209</v>
      </c>
      <c r="B12" s="172" t="n">
        <v>0.7</v>
      </c>
      <c r="C12" s="172" t="n">
        <v>0.7</v>
      </c>
      <c r="D12" s="172" t="n">
        <v>0.7</v>
      </c>
      <c r="E12" s="2"/>
      <c r="F12" s="2"/>
      <c r="G12" s="2"/>
      <c r="I12" s="14"/>
      <c r="J12" s="14"/>
      <c r="K12" s="14"/>
      <c r="L12" s="14"/>
      <c r="M12" s="14"/>
      <c r="S12" s="9"/>
      <c r="T12" s="4"/>
      <c r="U12" s="10"/>
      <c r="V12" s="10"/>
      <c r="W12" s="10"/>
      <c r="X12" s="10"/>
      <c r="Y12" s="10"/>
      <c r="Z12" s="10"/>
      <c r="AA12" s="10"/>
      <c r="AB12" s="10"/>
      <c r="AC12" s="11"/>
      <c r="AD12" s="10"/>
      <c r="AE12" s="11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V12" s="1"/>
      <c r="BW12" s="1"/>
      <c r="BX12" s="1"/>
      <c r="BY12" s="1"/>
      <c r="BZ12" s="1"/>
      <c r="CA12" s="1"/>
      <c r="CB12" s="1"/>
      <c r="CC12" s="1"/>
    </row>
    <row r="13" customFormat="false" ht="12.75" hidden="false" customHeight="false" outlineLevel="0" collapsed="false">
      <c r="A13" s="109" t="s">
        <v>210</v>
      </c>
      <c r="B13" s="172" t="n">
        <f aca="false">B12*B11</f>
        <v>8.73028169014084</v>
      </c>
      <c r="C13" s="172" t="n">
        <f aca="false">C12*C11</f>
        <v>11.19234375</v>
      </c>
      <c r="D13" s="172" t="n">
        <f aca="false">D12*D11</f>
        <v>0.189</v>
      </c>
      <c r="E13" s="2"/>
      <c r="F13" s="2"/>
      <c r="G13" s="2"/>
      <c r="I13" s="14"/>
      <c r="J13" s="14"/>
      <c r="K13" s="14"/>
      <c r="L13" s="14"/>
      <c r="M13" s="14"/>
      <c r="S13" s="9"/>
      <c r="T13" s="4"/>
      <c r="U13" s="10"/>
      <c r="V13" s="10"/>
      <c r="W13" s="10"/>
      <c r="X13" s="10"/>
      <c r="Y13" s="10"/>
      <c r="Z13" s="10"/>
      <c r="AA13" s="10"/>
      <c r="AB13" s="10"/>
      <c r="AC13" s="11"/>
      <c r="AD13" s="10"/>
      <c r="AE13" s="11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V13" s="1"/>
      <c r="BW13" s="1"/>
      <c r="BX13" s="1"/>
      <c r="BY13" s="1"/>
      <c r="BZ13" s="1"/>
      <c r="CA13" s="1"/>
      <c r="CB13" s="1"/>
      <c r="CC13" s="1"/>
    </row>
    <row r="14" customFormat="false" ht="12.75" hidden="false" customHeight="false" outlineLevel="0" collapsed="false">
      <c r="A14" s="6" t="s">
        <v>211</v>
      </c>
      <c r="B14" s="173" t="n">
        <f aca="false">VLOOKUP(B2,expiration,3,FALSE())</f>
        <v>36945</v>
      </c>
      <c r="C14" s="173" t="n">
        <f aca="false">VLOOKUP(C2,expiration,3,FALSE())</f>
        <v>36945</v>
      </c>
      <c r="D14" s="173" t="n">
        <f aca="false">VLOOKUP(D2,expiration,3,FALSE())</f>
        <v>37068</v>
      </c>
      <c r="E14" s="2"/>
      <c r="F14" s="2"/>
      <c r="G14" s="64" t="s">
        <v>31</v>
      </c>
      <c r="I14" s="14"/>
      <c r="J14" s="14"/>
      <c r="K14" s="14"/>
      <c r="L14" s="14"/>
      <c r="M14" s="14"/>
      <c r="S14" s="9"/>
      <c r="T14" s="4"/>
      <c r="U14" s="10"/>
      <c r="V14" s="10"/>
      <c r="W14" s="10"/>
      <c r="X14" s="10"/>
      <c r="Y14" s="10"/>
      <c r="Z14" s="10"/>
      <c r="AA14" s="10"/>
      <c r="AB14" s="10"/>
      <c r="AC14" s="11"/>
      <c r="AD14" s="10"/>
      <c r="AE14" s="11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V14" s="1"/>
      <c r="BW14" s="1"/>
      <c r="BX14" s="1"/>
      <c r="BY14" s="1"/>
      <c r="BZ14" s="1"/>
      <c r="CA14" s="1"/>
      <c r="CB14" s="1"/>
      <c r="CC14" s="1"/>
    </row>
    <row r="15" customFormat="false" ht="12.75" hidden="false" customHeight="false" outlineLevel="0" collapsed="false">
      <c r="A15" s="6" t="s">
        <v>212</v>
      </c>
      <c r="B15" s="173" t="n">
        <f aca="false">VLOOKUP(B2,expiration,2,FALSE())</f>
        <v>36948</v>
      </c>
      <c r="C15" s="173" t="n">
        <f aca="false">VLOOKUP(C2,expiration,2,FALSE())</f>
        <v>36948</v>
      </c>
      <c r="D15" s="173" t="n">
        <f aca="false">VLOOKUP(D2,expiration,2,FALSE())</f>
        <v>37069</v>
      </c>
      <c r="E15" s="2"/>
      <c r="F15" s="2"/>
      <c r="G15" s="64" t="s">
        <v>38</v>
      </c>
      <c r="I15" s="14"/>
      <c r="J15" s="14"/>
      <c r="K15" s="14"/>
      <c r="L15" s="14"/>
      <c r="M15" s="14"/>
      <c r="S15" s="9"/>
      <c r="T15" s="4"/>
      <c r="U15" s="10"/>
      <c r="V15" s="10"/>
      <c r="W15" s="10"/>
      <c r="X15" s="10"/>
      <c r="Y15" s="10"/>
      <c r="Z15" s="10"/>
      <c r="AA15" s="10"/>
      <c r="AB15" s="10"/>
      <c r="AC15" s="11"/>
      <c r="AD15" s="10"/>
      <c r="AE15" s="11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V15" s="1"/>
      <c r="BW15" s="1"/>
      <c r="BX15" s="1"/>
      <c r="BY15" s="1"/>
      <c r="BZ15" s="1"/>
      <c r="CA15" s="1"/>
      <c r="CB15" s="1"/>
      <c r="CC15" s="1"/>
    </row>
    <row r="16" customFormat="false" ht="12.75" hidden="false" customHeight="false" outlineLevel="0" collapsed="false">
      <c r="A16" s="6" t="s">
        <v>213</v>
      </c>
      <c r="B16" s="173" t="n">
        <v>36948</v>
      </c>
      <c r="C16" s="173" t="n">
        <v>36948</v>
      </c>
      <c r="D16" s="94" t="n">
        <v>37982</v>
      </c>
      <c r="E16" s="2"/>
      <c r="F16" s="2"/>
      <c r="G16" s="64" t="s">
        <v>42</v>
      </c>
      <c r="I16" s="14"/>
      <c r="J16" s="14"/>
      <c r="K16" s="14"/>
      <c r="L16" s="14"/>
      <c r="M16" s="14"/>
      <c r="S16" s="9"/>
      <c r="T16" s="4"/>
      <c r="U16" s="10"/>
      <c r="V16" s="10"/>
      <c r="W16" s="10"/>
      <c r="X16" s="10"/>
      <c r="Y16" s="10"/>
      <c r="Z16" s="10"/>
      <c r="AA16" s="10"/>
      <c r="AB16" s="10"/>
      <c r="AC16" s="11"/>
      <c r="AD16" s="10"/>
      <c r="AE16" s="11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V16" s="1"/>
      <c r="BW16" s="1"/>
      <c r="BX16" s="1"/>
      <c r="BY16" s="1"/>
      <c r="BZ16" s="1"/>
      <c r="CA16" s="1"/>
      <c r="CB16" s="1"/>
      <c r="CC16" s="1"/>
    </row>
    <row r="17" customFormat="false" ht="12.75" hidden="false" customHeight="false" outlineLevel="0" collapsed="false">
      <c r="A17" s="6"/>
      <c r="B17" s="68"/>
      <c r="C17" s="68"/>
      <c r="D17" s="68"/>
      <c r="E17" s="2"/>
      <c r="F17" s="2"/>
      <c r="G17" s="64" t="s">
        <v>47</v>
      </c>
      <c r="I17" s="14"/>
      <c r="J17" s="14"/>
      <c r="K17" s="14"/>
      <c r="L17" s="14"/>
      <c r="M17" s="14"/>
      <c r="S17" s="9"/>
      <c r="T17" s="4"/>
      <c r="U17" s="10"/>
      <c r="V17" s="10"/>
      <c r="W17" s="10"/>
      <c r="X17" s="10"/>
      <c r="Y17" s="10"/>
      <c r="Z17" s="10"/>
      <c r="AA17" s="10"/>
      <c r="AB17" s="10"/>
      <c r="AC17" s="11"/>
      <c r="AD17" s="10"/>
      <c r="AE17" s="11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V17" s="1"/>
      <c r="BW17" s="1"/>
      <c r="BX17" s="1"/>
      <c r="BY17" s="1"/>
      <c r="BZ17" s="1"/>
      <c r="CA17" s="1"/>
      <c r="CB17" s="1"/>
      <c r="CC17" s="1"/>
    </row>
    <row r="18" customFormat="false" ht="12.75" hidden="false" customHeight="false" outlineLevel="0" collapsed="false">
      <c r="A18" s="2" t="s">
        <v>9</v>
      </c>
      <c r="B18" s="13" t="n">
        <v>3.6</v>
      </c>
      <c r="C18" s="13" t="n">
        <v>3.8</v>
      </c>
      <c r="D18" s="174" t="n">
        <v>3.58</v>
      </c>
      <c r="E18" s="2" t="n">
        <v>-0.1</v>
      </c>
      <c r="F18" s="2"/>
      <c r="G18" s="64" t="s">
        <v>37</v>
      </c>
      <c r="I18" s="14"/>
      <c r="J18" s="14" t="n">
        <f aca="false">0.35*365</f>
        <v>127.75</v>
      </c>
      <c r="K18" s="14"/>
      <c r="L18" s="14"/>
      <c r="M18" s="14"/>
      <c r="S18" s="9"/>
      <c r="T18" s="4"/>
      <c r="U18" s="10"/>
      <c r="V18" s="10"/>
      <c r="W18" s="10"/>
      <c r="X18" s="10"/>
      <c r="Y18" s="10"/>
      <c r="Z18" s="10"/>
      <c r="AA18" s="10"/>
      <c r="AB18" s="10"/>
      <c r="AC18" s="11"/>
      <c r="AD18" s="10"/>
      <c r="AE18" s="11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V18" s="1"/>
      <c r="BW18" s="1"/>
      <c r="BX18" s="1"/>
      <c r="BY18" s="1"/>
      <c r="BZ18" s="1"/>
      <c r="CA18" s="1"/>
      <c r="CB18" s="1"/>
      <c r="CC18" s="1"/>
    </row>
    <row r="19" customFormat="false" ht="12.75" hidden="false" customHeight="false" outlineLevel="0" collapsed="false">
      <c r="A19" s="2" t="s">
        <v>10</v>
      </c>
      <c r="B19" s="17" t="n">
        <v>2</v>
      </c>
      <c r="C19" s="17" t="n">
        <v>2</v>
      </c>
      <c r="D19" s="17" t="n">
        <v>2</v>
      </c>
      <c r="E19" s="2" t="n">
        <v>1</v>
      </c>
      <c r="F19" s="2"/>
      <c r="G19" s="64" t="s">
        <v>52</v>
      </c>
      <c r="I19" s="14"/>
      <c r="J19" s="14"/>
      <c r="K19" s="14"/>
      <c r="L19" s="14"/>
      <c r="M19" s="14"/>
      <c r="S19" s="9"/>
      <c r="T19" s="4"/>
      <c r="U19" s="10"/>
      <c r="V19" s="10"/>
      <c r="W19" s="10"/>
      <c r="X19" s="10"/>
      <c r="Y19" s="10"/>
      <c r="Z19" s="10"/>
      <c r="AA19" s="10"/>
      <c r="AB19" s="10"/>
      <c r="AC19" s="11"/>
      <c r="AD19" s="10"/>
      <c r="AE19" s="11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V19" s="1"/>
      <c r="BW19" s="1"/>
      <c r="BX19" s="1"/>
      <c r="BY19" s="1"/>
      <c r="BZ19" s="1"/>
      <c r="CA19" s="1"/>
      <c r="CB19" s="1"/>
      <c r="CC19" s="1"/>
    </row>
    <row r="20" customFormat="false" ht="12.75" hidden="false" customHeight="false" outlineLevel="0" collapsed="false">
      <c r="A20" s="5" t="s">
        <v>138</v>
      </c>
      <c r="B20" s="102" t="n">
        <v>1</v>
      </c>
      <c r="C20" s="102" t="n">
        <v>1</v>
      </c>
      <c r="D20" s="102" t="n">
        <v>1</v>
      </c>
      <c r="E20" s="2"/>
      <c r="F20" s="2"/>
      <c r="G20" s="64" t="s">
        <v>75</v>
      </c>
      <c r="I20" s="14"/>
      <c r="J20" s="14"/>
      <c r="K20" s="14"/>
      <c r="L20" s="14"/>
      <c r="M20" s="14"/>
      <c r="S20" s="9"/>
      <c r="T20" s="4"/>
      <c r="U20" s="10"/>
      <c r="V20" s="10"/>
      <c r="W20" s="10"/>
      <c r="X20" s="10"/>
      <c r="Y20" s="10"/>
      <c r="Z20" s="10"/>
      <c r="AA20" s="10"/>
      <c r="AB20" s="10"/>
      <c r="AC20" s="11"/>
      <c r="AD20" s="10"/>
      <c r="AE20" s="11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V20" s="1"/>
      <c r="BW20" s="1"/>
      <c r="BX20" s="1"/>
      <c r="BY20" s="1"/>
      <c r="BZ20" s="1"/>
      <c r="CA20" s="1"/>
      <c r="CB20" s="1"/>
      <c r="CC20" s="1"/>
    </row>
    <row r="21" customFormat="false" ht="12.75" hidden="false" customHeight="false" outlineLevel="0" collapsed="false">
      <c r="A21" s="2" t="s">
        <v>141</v>
      </c>
      <c r="B21" s="64" t="s">
        <v>31</v>
      </c>
      <c r="C21" s="64" t="s">
        <v>31</v>
      </c>
      <c r="D21" s="64" t="s">
        <v>31</v>
      </c>
      <c r="E21" s="2"/>
      <c r="F21" s="2"/>
      <c r="G21" s="64" t="s">
        <v>58</v>
      </c>
      <c r="I21" s="14"/>
      <c r="J21" s="14"/>
      <c r="K21" s="14"/>
      <c r="L21" s="14"/>
      <c r="M21" s="14"/>
      <c r="S21" s="9"/>
      <c r="T21" s="4"/>
      <c r="U21" s="10"/>
      <c r="V21" s="10"/>
      <c r="W21" s="10"/>
      <c r="X21" s="10"/>
      <c r="Y21" s="10"/>
      <c r="Z21" s="10"/>
      <c r="AA21" s="10"/>
      <c r="AB21" s="10"/>
      <c r="AC21" s="11"/>
      <c r="AD21" s="10"/>
      <c r="AE21" s="11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V21" s="1"/>
      <c r="BW21" s="1"/>
      <c r="BX21" s="1"/>
      <c r="BY21" s="1"/>
      <c r="BZ21" s="1"/>
      <c r="CA21" s="1"/>
      <c r="CB21" s="1"/>
      <c r="CC21" s="1"/>
    </row>
    <row r="22" customFormat="false" ht="12.75" hidden="false" customHeight="false" outlineLevel="0" collapsed="false">
      <c r="A22" s="5" t="s">
        <v>214</v>
      </c>
      <c r="B22" s="4" t="n">
        <f aca="false">VLOOKUP(B2,STRADDLE,12,FALSE())</f>
        <v>0.068276029462339</v>
      </c>
      <c r="C22" s="4" t="n">
        <f aca="false">VLOOKUP(C2,STRADDLE,12,FALSE())</f>
        <v>0.068276029462339</v>
      </c>
      <c r="D22" s="4" t="n">
        <v>0.071</v>
      </c>
      <c r="E22" s="2"/>
      <c r="F22" s="2"/>
      <c r="G22" s="64" t="s">
        <v>35</v>
      </c>
      <c r="I22" s="14"/>
      <c r="J22" s="14"/>
      <c r="K22" s="14"/>
      <c r="L22" s="14"/>
      <c r="M22" s="14"/>
      <c r="S22" s="9"/>
      <c r="T22" s="4"/>
      <c r="U22" s="10"/>
      <c r="V22" s="10"/>
      <c r="W22" s="10"/>
      <c r="X22" s="10"/>
      <c r="Y22" s="10"/>
      <c r="Z22" s="10"/>
      <c r="AA22" s="10"/>
      <c r="AB22" s="10"/>
      <c r="AC22" s="11"/>
      <c r="AD22" s="10"/>
      <c r="AE22" s="11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V22" s="1"/>
      <c r="BW22" s="1"/>
      <c r="BX22" s="1"/>
      <c r="BY22" s="1"/>
      <c r="BZ22" s="1"/>
      <c r="CA22" s="1"/>
      <c r="CB22" s="1"/>
      <c r="CC22" s="1"/>
    </row>
    <row r="23" customFormat="false" ht="12.75" hidden="false" customHeight="false" outlineLevel="0" collapsed="false">
      <c r="A23" s="6"/>
      <c r="B23" s="16"/>
      <c r="C23" s="2"/>
      <c r="D23" s="2"/>
      <c r="E23" s="2"/>
      <c r="F23" s="2"/>
      <c r="G23" s="64" t="s">
        <v>98</v>
      </c>
      <c r="I23" s="14"/>
      <c r="J23" s="14"/>
      <c r="K23" s="14"/>
      <c r="L23" s="14"/>
      <c r="M23" s="14"/>
      <c r="S23" s="9"/>
      <c r="T23" s="4"/>
      <c r="U23" s="10"/>
      <c r="V23" s="10"/>
      <c r="W23" s="10"/>
      <c r="X23" s="10"/>
      <c r="Y23" s="10"/>
      <c r="Z23" s="10"/>
      <c r="AA23" s="10"/>
      <c r="AB23" s="10"/>
      <c r="AC23" s="11"/>
      <c r="AD23" s="10"/>
      <c r="AE23" s="11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V23" s="1"/>
      <c r="BW23" s="1"/>
      <c r="BX23" s="1"/>
      <c r="BY23" s="1"/>
      <c r="BZ23" s="1"/>
      <c r="CA23" s="1"/>
      <c r="CB23" s="1"/>
      <c r="CC23" s="1"/>
    </row>
    <row r="24" customFormat="false" ht="12.75" hidden="false" customHeight="false" outlineLevel="0" collapsed="false">
      <c r="A24" s="6"/>
      <c r="B24" s="16"/>
      <c r="C24" s="2"/>
      <c r="D24" s="2"/>
      <c r="E24" s="2"/>
      <c r="F24" s="2"/>
      <c r="G24" s="2"/>
      <c r="I24" s="14"/>
      <c r="J24" s="14"/>
      <c r="K24" s="14"/>
      <c r="L24" s="14"/>
      <c r="M24" s="14"/>
      <c r="S24" s="9"/>
      <c r="T24" s="4"/>
      <c r="U24" s="10"/>
      <c r="V24" s="10"/>
      <c r="W24" s="10"/>
      <c r="X24" s="10"/>
      <c r="Y24" s="10"/>
      <c r="Z24" s="10"/>
      <c r="AA24" s="10"/>
      <c r="AB24" s="10"/>
      <c r="AC24" s="11"/>
      <c r="AD24" s="10"/>
      <c r="AE24" s="11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V24" s="1"/>
      <c r="BW24" s="1"/>
      <c r="BX24" s="1"/>
      <c r="BY24" s="1"/>
      <c r="BZ24" s="1"/>
      <c r="CA24" s="1"/>
      <c r="CB24" s="1"/>
      <c r="CC24" s="1"/>
    </row>
    <row r="25" customFormat="false" ht="12.75" hidden="false" customHeight="false" outlineLevel="0" collapsed="false">
      <c r="A25" s="0"/>
      <c r="B25" s="48" t="n">
        <f aca="false">DATE(YEAR(B2),MONTH(B2)-1,1)</f>
        <v>36923</v>
      </c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S25" s="9"/>
      <c r="T25" s="4"/>
      <c r="U25" s="10"/>
      <c r="V25" s="10"/>
      <c r="W25" s="10"/>
      <c r="X25" s="10"/>
      <c r="Y25" s="10"/>
      <c r="Z25" s="10"/>
      <c r="AA25" s="10"/>
      <c r="AB25" s="10"/>
      <c r="AC25" s="11"/>
      <c r="AD25" s="10"/>
      <c r="AE25" s="11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V25" s="1"/>
      <c r="BW25" s="1"/>
      <c r="BX25" s="1"/>
      <c r="BY25" s="1"/>
      <c r="BZ25" s="1"/>
      <c r="CA25" s="1"/>
      <c r="CB25" s="1"/>
      <c r="CC25" s="1"/>
    </row>
    <row r="26" customFormat="false" ht="12.75" hidden="false" customHeight="false" outlineLevel="0" collapsed="false">
      <c r="A26" s="0"/>
      <c r="B26" s="0"/>
      <c r="C26" s="0"/>
      <c r="D26" s="0"/>
      <c r="E26" s="0"/>
      <c r="F26" s="0"/>
      <c r="G26" s="64" t="s">
        <v>64</v>
      </c>
      <c r="H26" s="0"/>
      <c r="I26" s="0"/>
      <c r="J26" s="0"/>
      <c r="K26" s="0"/>
      <c r="L26" s="0"/>
      <c r="M26" s="0"/>
      <c r="S26" s="9"/>
      <c r="T26" s="4"/>
      <c r="U26" s="10"/>
      <c r="V26" s="10"/>
      <c r="W26" s="10"/>
      <c r="X26" s="10"/>
      <c r="Y26" s="10"/>
      <c r="Z26" s="10"/>
      <c r="AA26" s="10"/>
      <c r="AB26" s="10"/>
      <c r="AC26" s="11"/>
      <c r="AD26" s="10"/>
      <c r="AE26" s="11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V26" s="1"/>
      <c r="BW26" s="1"/>
      <c r="BX26" s="1"/>
      <c r="BY26" s="1"/>
      <c r="BZ26" s="1"/>
      <c r="CA26" s="1"/>
      <c r="CB26" s="1"/>
      <c r="CC26" s="1"/>
    </row>
    <row r="27" customFormat="false" ht="12.75" hidden="false" customHeight="false" outlineLevel="0" collapsed="false">
      <c r="A27" s="0"/>
      <c r="B27" s="0"/>
      <c r="C27" s="0"/>
      <c r="D27" s="173" t="n">
        <v>36858</v>
      </c>
      <c r="E27" s="0"/>
      <c r="F27" s="0"/>
      <c r="G27" s="0"/>
      <c r="H27" s="0"/>
      <c r="I27" s="0"/>
      <c r="J27" s="0"/>
      <c r="K27" s="0"/>
      <c r="L27" s="0"/>
      <c r="M27" s="0"/>
      <c r="S27" s="9"/>
      <c r="T27" s="4"/>
      <c r="U27" s="10"/>
      <c r="V27" s="10"/>
      <c r="W27" s="10"/>
      <c r="X27" s="10"/>
      <c r="Y27" s="10"/>
      <c r="AA27" s="10"/>
      <c r="AB27" s="10"/>
      <c r="AC27" s="11"/>
      <c r="AD27" s="10"/>
      <c r="AE27" s="11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V27" s="18"/>
      <c r="BW27" s="18"/>
      <c r="BX27" s="1"/>
      <c r="BY27" s="1"/>
      <c r="BZ27" s="1"/>
      <c r="CA27" s="1"/>
      <c r="CB27" s="1"/>
      <c r="CC27" s="1"/>
    </row>
    <row r="28" customFormat="false" ht="12.75" hidden="false" customHeight="false" outlineLevel="0" collapsed="false">
      <c r="A28" s="0"/>
      <c r="B28" s="0"/>
      <c r="C28" s="0"/>
      <c r="D28" s="173" t="n">
        <v>36796</v>
      </c>
      <c r="E28" s="0"/>
      <c r="F28" s="0"/>
      <c r="G28" s="0"/>
      <c r="H28" s="0"/>
      <c r="I28" s="0"/>
      <c r="J28" s="0"/>
      <c r="K28" s="0"/>
      <c r="L28" s="0"/>
      <c r="M28" s="0"/>
      <c r="S28" s="9"/>
      <c r="T28" s="4"/>
      <c r="U28" s="10"/>
      <c r="V28" s="10"/>
      <c r="W28" s="10"/>
      <c r="X28" s="10"/>
      <c r="Y28" s="10"/>
      <c r="AA28" s="10"/>
      <c r="AB28" s="10"/>
      <c r="AC28" s="11"/>
      <c r="AD28" s="10"/>
      <c r="AE28" s="11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V28" s="18"/>
      <c r="BW28" s="18"/>
      <c r="BX28" s="1"/>
      <c r="BY28" s="1"/>
      <c r="BZ28" s="1"/>
      <c r="CA28" s="1"/>
      <c r="CB28" s="1"/>
      <c r="CC28" s="1"/>
    </row>
    <row r="29" customFormat="false" ht="12.75" hidden="false" customHeight="fals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0"/>
      <c r="K29" s="0"/>
      <c r="L29" s="0"/>
      <c r="M29" s="0"/>
      <c r="S29" s="9"/>
      <c r="T29" s="4"/>
      <c r="U29" s="10"/>
      <c r="V29" s="10"/>
      <c r="W29" s="10"/>
      <c r="X29" s="10"/>
      <c r="Y29" s="10"/>
      <c r="AA29" s="10"/>
      <c r="AB29" s="10"/>
      <c r="AC29" s="11"/>
      <c r="AD29" s="10"/>
      <c r="AE29" s="11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V29" s="18"/>
      <c r="BW29" s="18"/>
      <c r="BX29" s="1"/>
      <c r="BY29" s="1"/>
      <c r="BZ29" s="1"/>
      <c r="CA29" s="1"/>
      <c r="CB29" s="1"/>
      <c r="CC29" s="1"/>
    </row>
    <row r="30" customFormat="false" ht="12.75" hidden="false" customHeight="fals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S30" s="9"/>
      <c r="T30" s="4"/>
      <c r="U30" s="10"/>
      <c r="V30" s="10"/>
      <c r="W30" s="10"/>
      <c r="X30" s="10"/>
      <c r="Y30" s="10"/>
      <c r="AA30" s="10"/>
      <c r="AB30" s="10"/>
      <c r="AC30" s="11"/>
      <c r="AD30" s="10"/>
      <c r="AE30" s="11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V30" s="18"/>
      <c r="BW30" s="18"/>
      <c r="BX30" s="1"/>
      <c r="BY30" s="1"/>
      <c r="BZ30" s="1"/>
      <c r="CA30" s="1"/>
      <c r="CB30" s="1"/>
      <c r="CC30" s="1"/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S31" s="9"/>
      <c r="T31" s="4"/>
      <c r="U31" s="10"/>
      <c r="V31" s="10"/>
      <c r="W31" s="10"/>
      <c r="X31" s="10"/>
      <c r="Y31" s="10"/>
      <c r="AA31" s="10"/>
      <c r="AB31" s="10"/>
      <c r="AC31" s="11"/>
      <c r="AD31" s="10"/>
      <c r="AE31" s="11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V31" s="18"/>
      <c r="BW31" s="18"/>
      <c r="BX31" s="1"/>
      <c r="BY31" s="1"/>
      <c r="BZ31" s="1"/>
      <c r="CA31" s="1"/>
      <c r="CB31" s="1"/>
      <c r="CC31" s="1"/>
    </row>
    <row r="32" customFormat="false" ht="12.75" hidden="false" customHeight="false" outlineLevel="0" collapsed="false">
      <c r="A32" s="0"/>
      <c r="B32" s="0"/>
      <c r="C32" s="0"/>
      <c r="D32" s="0"/>
      <c r="E32" s="0"/>
      <c r="F32" s="0"/>
      <c r="G32" s="0"/>
      <c r="H32" s="0"/>
      <c r="I32" s="0"/>
      <c r="J32" s="0"/>
      <c r="K32" s="0"/>
      <c r="L32" s="0"/>
      <c r="M32" s="0"/>
      <c r="S32" s="9"/>
      <c r="T32" s="4"/>
      <c r="U32" s="10"/>
      <c r="V32" s="10"/>
      <c r="W32" s="10"/>
      <c r="X32" s="10"/>
      <c r="Y32" s="10"/>
      <c r="AA32" s="10"/>
      <c r="AB32" s="10"/>
      <c r="AC32" s="11"/>
      <c r="AD32" s="10"/>
      <c r="AE32" s="11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V32" s="18"/>
      <c r="BW32" s="18"/>
      <c r="BX32" s="1"/>
      <c r="BY32" s="1"/>
      <c r="BZ32" s="1"/>
      <c r="CA32" s="1"/>
      <c r="CB32" s="1"/>
      <c r="CC32" s="1"/>
    </row>
    <row r="33" customFormat="false" ht="12.75" hidden="false" customHeight="false" outlineLevel="0" collapsed="false">
      <c r="A33" s="0"/>
      <c r="B33" s="0"/>
      <c r="C33" s="0"/>
      <c r="D33" s="0"/>
      <c r="E33" s="0"/>
      <c r="F33" s="0"/>
      <c r="G33" s="0"/>
      <c r="H33" s="0"/>
      <c r="I33" s="0"/>
      <c r="J33" s="0"/>
      <c r="K33" s="0"/>
      <c r="L33" s="0"/>
      <c r="M33" s="0"/>
      <c r="S33" s="9"/>
      <c r="T33" s="4"/>
      <c r="U33" s="10"/>
      <c r="V33" s="10"/>
      <c r="W33" s="10"/>
      <c r="X33" s="10"/>
      <c r="Y33" s="10"/>
      <c r="AA33" s="10"/>
      <c r="AB33" s="10"/>
      <c r="AC33" s="11"/>
      <c r="AD33" s="10"/>
      <c r="AE33" s="11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I33" s="1" t="e">
        <f aca="false">BI39/AD41</f>
        <v>#REF!</v>
      </c>
      <c r="BV33" s="18"/>
      <c r="BW33" s="18"/>
      <c r="BX33" s="1"/>
      <c r="BY33" s="1"/>
      <c r="BZ33" s="1"/>
      <c r="CA33" s="1"/>
      <c r="CB33" s="1"/>
      <c r="CC33" s="1"/>
    </row>
    <row r="34" customFormat="false" ht="12.75" hidden="false" customHeight="false" outlineLevel="0" collapsed="false">
      <c r="A34" s="2"/>
      <c r="B34" s="2"/>
      <c r="C34" s="2"/>
      <c r="D34" s="2"/>
      <c r="E34" s="2"/>
      <c r="F34" s="2"/>
      <c r="G34" s="2"/>
      <c r="S34" s="27"/>
      <c r="T34" s="28"/>
      <c r="U34" s="10"/>
      <c r="V34" s="10"/>
      <c r="W34" s="10"/>
      <c r="X34" s="10"/>
      <c r="Y34" s="10"/>
      <c r="AA34" s="10"/>
      <c r="AB34" s="10"/>
      <c r="AC34" s="11"/>
      <c r="AD34" s="10"/>
      <c r="AE34" s="11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V34" s="18"/>
      <c r="BW34" s="18"/>
      <c r="BX34" s="1"/>
      <c r="BY34" s="1"/>
      <c r="BZ34" s="1"/>
      <c r="CA34" s="1"/>
      <c r="CB34" s="1"/>
      <c r="CC34" s="1"/>
    </row>
    <row r="35" customFormat="false" ht="12.75" hidden="false" customHeight="false" outlineLevel="0" collapsed="false">
      <c r="A35" s="2"/>
      <c r="B35" s="2" t="s">
        <v>7</v>
      </c>
      <c r="C35" s="2" t="s">
        <v>8</v>
      </c>
      <c r="D35" s="2"/>
      <c r="E35" s="2"/>
      <c r="F35" s="2"/>
      <c r="G35" s="2"/>
      <c r="I35" s="8"/>
      <c r="P35" s="14"/>
      <c r="S35" s="29"/>
      <c r="T35" s="28"/>
      <c r="U35" s="10"/>
      <c r="V35" s="10"/>
      <c r="W35" s="10"/>
      <c r="X35" s="10"/>
      <c r="Y35" s="10"/>
      <c r="AA35" s="10"/>
      <c r="AB35" s="10"/>
      <c r="AC35" s="11"/>
      <c r="AD35" s="10"/>
      <c r="AE35" s="11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V35" s="18"/>
      <c r="BW35" s="18"/>
      <c r="BX35" s="1"/>
      <c r="BY35" s="1"/>
      <c r="BZ35" s="1"/>
      <c r="CA35" s="1"/>
      <c r="CB35" s="1"/>
      <c r="CC35" s="1"/>
    </row>
    <row r="36" customFormat="false" ht="12.75" hidden="false" customHeight="false" outlineLevel="0" collapsed="false">
      <c r="D36" s="2"/>
      <c r="E36" s="2"/>
      <c r="F36" s="2"/>
      <c r="G36" s="2"/>
      <c r="S36" s="29"/>
      <c r="T36" s="28"/>
      <c r="U36" s="10"/>
      <c r="V36" s="10"/>
      <c r="W36" s="10"/>
      <c r="X36" s="10"/>
      <c r="Y36" s="10"/>
      <c r="AA36" s="10"/>
      <c r="AB36" s="10"/>
      <c r="AC36" s="11"/>
      <c r="AD36" s="10"/>
      <c r="AE36" s="11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V36" s="18"/>
      <c r="BW36" s="18"/>
      <c r="BX36" s="1"/>
      <c r="BY36" s="1"/>
      <c r="BZ36" s="1"/>
      <c r="CA36" s="1"/>
      <c r="CB36" s="1"/>
      <c r="CC36" s="1"/>
    </row>
    <row r="37" customFormat="false" ht="12.75" hidden="false" customHeight="false" outlineLevel="0" collapsed="false">
      <c r="D37" s="2"/>
      <c r="E37" s="2"/>
      <c r="F37" s="2"/>
      <c r="G37" s="2"/>
      <c r="Q37" s="29"/>
      <c r="R37" s="28"/>
      <c r="S37" s="10"/>
      <c r="T37" s="10"/>
      <c r="U37" s="10"/>
      <c r="V37" s="10"/>
      <c r="W37" s="10"/>
      <c r="Y37" s="10"/>
      <c r="Z37" s="10"/>
      <c r="AA37" s="11"/>
      <c r="AB37" s="10"/>
      <c r="AC37" s="11"/>
      <c r="AD37" s="10"/>
      <c r="BL37" s="0"/>
      <c r="BM37" s="0"/>
      <c r="BT37" s="18"/>
      <c r="BU37" s="18"/>
      <c r="BV37" s="1"/>
      <c r="BW37" s="1"/>
      <c r="BX37" s="1"/>
      <c r="BY37" s="1"/>
      <c r="BZ37" s="1"/>
      <c r="CA37" s="1"/>
    </row>
    <row r="38" customFormat="false" ht="12.75" hidden="false" customHeight="false" outlineLevel="0" collapsed="false">
      <c r="D38" s="2"/>
      <c r="E38" s="2"/>
      <c r="F38" s="2"/>
      <c r="G38" s="2"/>
      <c r="N38" s="124"/>
      <c r="Q38" s="29"/>
      <c r="R38" s="28"/>
      <c r="S38" s="10"/>
      <c r="T38" s="10"/>
      <c r="U38" s="10"/>
      <c r="V38" s="10"/>
      <c r="W38" s="10"/>
      <c r="Y38" s="10"/>
      <c r="Z38" s="10"/>
      <c r="AA38" s="11"/>
      <c r="AB38" s="10"/>
      <c r="AC38" s="11"/>
      <c r="AD38" s="10"/>
      <c r="BL38" s="0"/>
      <c r="BM38" s="0"/>
      <c r="BT38" s="18"/>
      <c r="BU38" s="18"/>
      <c r="BV38" s="1"/>
      <c r="BW38" s="1"/>
      <c r="BX38" s="1"/>
      <c r="BY38" s="1"/>
      <c r="BZ38" s="1"/>
      <c r="CA38" s="1"/>
    </row>
    <row r="39" customFormat="false" ht="12.75" hidden="false" customHeight="false" outlineLevel="0" collapsed="false">
      <c r="A39" s="124"/>
      <c r="C39" s="22"/>
      <c r="H39" s="124"/>
      <c r="I39" s="36"/>
      <c r="J39" s="36"/>
      <c r="K39" s="36"/>
      <c r="L39" s="129"/>
      <c r="M39" s="36"/>
      <c r="N39" s="36"/>
      <c r="O39" s="130"/>
      <c r="P39" s="30"/>
      <c r="Q39" s="32"/>
      <c r="R39" s="4" t="s">
        <v>7</v>
      </c>
      <c r="S39" s="10" t="s">
        <v>8</v>
      </c>
      <c r="T39" s="4" t="s">
        <v>7</v>
      </c>
      <c r="U39" s="10" t="s">
        <v>8</v>
      </c>
      <c r="V39" s="4" t="s">
        <v>7</v>
      </c>
      <c r="W39" s="10" t="s">
        <v>8</v>
      </c>
      <c r="X39" s="4" t="s">
        <v>7</v>
      </c>
      <c r="Y39" s="10" t="s">
        <v>8</v>
      </c>
      <c r="Z39" s="4" t="s">
        <v>7</v>
      </c>
      <c r="AA39" s="10" t="s">
        <v>8</v>
      </c>
      <c r="AB39" s="10"/>
      <c r="AC39" s="11"/>
      <c r="AD39" s="10"/>
      <c r="BH39" s="33" t="n">
        <f aca="false">SUM(BH44:BH67)</f>
        <v>1872.605</v>
      </c>
      <c r="BI39" s="33" t="e">
        <f aca="false">SUM(BI44:BI67)</f>
        <v>#REF!</v>
      </c>
      <c r="BJ39" s="33" t="e">
        <f aca="false">SUM(BJ44:BJ67)</f>
        <v>#VALUE!</v>
      </c>
      <c r="BK39" s="33" t="e">
        <f aca="false">SUM(BK44:BK67)</f>
        <v>#VALUE!</v>
      </c>
      <c r="BL39" s="33" t="e">
        <f aca="false">SUM(BL44:BL67)</f>
        <v>#VALUE!</v>
      </c>
      <c r="BM39" s="33" t="e">
        <f aca="false">SUM(BM44:BM67)</f>
        <v>#VALUE!</v>
      </c>
      <c r="BN39" s="33" t="e">
        <f aca="false">SUM(BN44:BN67)</f>
        <v>#VALUE!</v>
      </c>
      <c r="BP39" s="33"/>
      <c r="BQ39" s="33" t="e">
        <f aca="false">SUM(BQ44:BQ67)</f>
        <v>#VALUE!</v>
      </c>
      <c r="BR39" s="33" t="e">
        <f aca="false">SUM(BR44:BR67)</f>
        <v>#VALUE!</v>
      </c>
      <c r="BS39" s="33" t="e">
        <f aca="false">SUM(BS44:BS67)</f>
        <v>#VALUE!</v>
      </c>
      <c r="BT39" s="33" t="e">
        <f aca="false">SUM(BT44:BT67)</f>
        <v>#VALUE!</v>
      </c>
      <c r="BU39" s="33" t="e">
        <f aca="false">SUM(BU44:BU67)</f>
        <v>#VALUE!</v>
      </c>
      <c r="BV39" s="1"/>
      <c r="BW39" s="1"/>
      <c r="BX39" s="1"/>
      <c r="BY39" s="1"/>
      <c r="BZ39" s="1"/>
      <c r="CA39" s="1"/>
    </row>
    <row r="40" customFormat="false" ht="12.75" hidden="false" customHeight="false" outlineLevel="0" collapsed="false">
      <c r="B40" s="23"/>
      <c r="C40" s="23"/>
      <c r="D40" s="4"/>
      <c r="E40" s="4"/>
      <c r="F40" s="4"/>
      <c r="G40" s="4"/>
      <c r="H40" s="4"/>
      <c r="I40" s="4"/>
      <c r="J40" s="131"/>
      <c r="K40" s="131"/>
      <c r="M40" s="131"/>
      <c r="N40" s="131"/>
      <c r="R40" s="10" t="s">
        <v>15</v>
      </c>
      <c r="S40" s="10" t="s">
        <v>15</v>
      </c>
      <c r="T40" s="10" t="s">
        <v>2</v>
      </c>
      <c r="U40" s="10" t="s">
        <v>2</v>
      </c>
      <c r="V40" s="11" t="s">
        <v>3</v>
      </c>
      <c r="W40" s="11" t="s">
        <v>3</v>
      </c>
      <c r="X40" s="10" t="s">
        <v>5</v>
      </c>
      <c r="Y40" s="10" t="s">
        <v>5</v>
      </c>
      <c r="Z40" s="11" t="s">
        <v>4</v>
      </c>
      <c r="AA40" s="11" t="s">
        <v>4</v>
      </c>
      <c r="AB40" s="10"/>
      <c r="AC40" s="11"/>
      <c r="AD40" s="10"/>
      <c r="BL40" s="0"/>
      <c r="BM40" s="0"/>
      <c r="BP40" s="1"/>
      <c r="BQ40" s="1"/>
      <c r="BR40" s="1"/>
      <c r="BV40" s="1"/>
      <c r="BW40" s="1"/>
      <c r="BX40" s="1"/>
      <c r="BY40" s="1"/>
      <c r="BZ40" s="1"/>
      <c r="CA40" s="1"/>
    </row>
    <row r="41" customFormat="false" ht="12.75" hidden="false" customHeight="false" outlineLevel="0" collapsed="false">
      <c r="B41" s="24"/>
      <c r="C41" s="24"/>
      <c r="D41" s="34"/>
      <c r="E41" s="24"/>
      <c r="F41" s="34"/>
      <c r="G41" s="34"/>
      <c r="H41" s="24"/>
      <c r="I41" s="24"/>
      <c r="J41" s="132"/>
      <c r="K41" s="132"/>
      <c r="M41" s="127"/>
      <c r="N41" s="127"/>
      <c r="Q41" s="32"/>
      <c r="R41" s="10" t="n">
        <f aca="false">IF($B$25=3,$B$19,3)</f>
        <v>3</v>
      </c>
      <c r="S41" s="10" t="n">
        <f aca="false">IF($B$25=3,$C$19,3)</f>
        <v>3</v>
      </c>
      <c r="T41" s="10" t="n">
        <f aca="false">IF($B$25=3,$B$19,3)</f>
        <v>3</v>
      </c>
      <c r="U41" s="10" t="n">
        <f aca="false">IF($B$25=3,$C$19,3)</f>
        <v>3</v>
      </c>
      <c r="V41" s="10" t="n">
        <f aca="false">IF($B$25=3,$B$19,3)</f>
        <v>3</v>
      </c>
      <c r="W41" s="10" t="n">
        <f aca="false">IF($B$25=3,$C$19,3)</f>
        <v>3</v>
      </c>
      <c r="X41" s="10" t="n">
        <f aca="false">IF($B$25=3,$B$19,3)</f>
        <v>3</v>
      </c>
      <c r="Y41" s="10" t="n">
        <f aca="false">IF($B$25=3,$C$19,3)</f>
        <v>3</v>
      </c>
      <c r="Z41" s="10" t="n">
        <f aca="false">IF($B$25=3,$B$19,3)</f>
        <v>3</v>
      </c>
      <c r="AA41" s="10" t="n">
        <f aca="false">IF($B$25=3,$C$19,3)</f>
        <v>3</v>
      </c>
      <c r="AC41" s="11"/>
      <c r="AD41" s="35" t="n">
        <f aca="false">SUM(AD44:AD67)</f>
        <v>426</v>
      </c>
      <c r="AH41" s="1" t="n">
        <f aca="false">SUM(AH44:AH67)/AD41</f>
        <v>4.39578638497653</v>
      </c>
      <c r="AI41" s="1" t="n">
        <f aca="false">SUM(AI44:AI67)/AD41</f>
        <v>-0.0067018779342723</v>
      </c>
      <c r="AK41" s="4" t="n">
        <f aca="false">SUM(AK44:AK67)/AD41</f>
        <v>12.4718309859155</v>
      </c>
      <c r="AM41" s="11"/>
      <c r="AN41" s="35" t="n">
        <f aca="false">SUM(AN44:AN67)</f>
        <v>640</v>
      </c>
      <c r="AR41" s="1" t="n">
        <f aca="false">SUM(AR44:AR67)/AN41</f>
        <v>4.1689421875</v>
      </c>
      <c r="AS41" s="1" t="n">
        <f aca="false">SUM(AS44:AS67)/AN41</f>
        <v>-0.0008359375</v>
      </c>
      <c r="AU41" s="4" t="n">
        <f aca="false">SUM(AU44:AU67)/AN41</f>
        <v>15.9890625</v>
      </c>
      <c r="AW41" s="11"/>
      <c r="AX41" s="35" t="n">
        <f aca="false">SUM(AX44:AX67)</f>
        <v>730</v>
      </c>
      <c r="BB41" s="1" t="n">
        <f aca="false">SUM(BB44:BB67)/AX41</f>
        <v>3.92091780821918</v>
      </c>
      <c r="BC41" s="1" t="n">
        <f aca="false">SUM(BC44:BC67)/AX41</f>
        <v>-0.00704109589041096</v>
      </c>
      <c r="BE41" s="4" t="n">
        <f aca="false">SUM(BE44:BE67)/AX41</f>
        <v>21.4767123287671</v>
      </c>
      <c r="BF41" s="131"/>
      <c r="BG41" s="131"/>
      <c r="BL41" s="0"/>
      <c r="BM41" s="0"/>
      <c r="BP41" s="1"/>
      <c r="BQ41" s="1"/>
      <c r="BR41" s="1"/>
      <c r="BV41" s="4"/>
      <c r="BW41" s="4"/>
      <c r="BX41" s="4"/>
      <c r="BY41" s="4"/>
      <c r="BZ41" s="4"/>
      <c r="CA41" s="4"/>
    </row>
    <row r="42" customFormat="false" ht="13.5" hidden="false" customHeight="false" outlineLevel="0" collapsed="false">
      <c r="B42" s="36"/>
      <c r="C42" s="36"/>
      <c r="D42" s="36"/>
      <c r="E42" s="36"/>
      <c r="F42" s="36"/>
      <c r="G42" s="36"/>
      <c r="H42" s="129"/>
      <c r="I42" s="129"/>
      <c r="J42" s="129"/>
      <c r="K42" s="129"/>
      <c r="L42" s="129"/>
      <c r="M42" s="1" t="s">
        <v>152</v>
      </c>
      <c r="O42" s="10"/>
      <c r="P42" s="10"/>
      <c r="Q42" s="10"/>
      <c r="R42" s="1" t="n">
        <v>1</v>
      </c>
      <c r="S42" s="1" t="n">
        <v>1</v>
      </c>
      <c r="T42" s="1" t="n">
        <v>2</v>
      </c>
      <c r="U42" s="1" t="n">
        <v>2</v>
      </c>
      <c r="V42" s="1" t="n">
        <v>3</v>
      </c>
      <c r="W42" s="1" t="n">
        <v>3</v>
      </c>
      <c r="X42" s="1" t="n">
        <v>5</v>
      </c>
      <c r="Y42" s="1" t="n">
        <v>5</v>
      </c>
      <c r="Z42" s="1" t="n">
        <v>4</v>
      </c>
      <c r="AA42" s="1" t="n">
        <v>4</v>
      </c>
      <c r="BI42" s="23" t="s">
        <v>6</v>
      </c>
      <c r="BJ42" s="4" t="s">
        <v>1</v>
      </c>
      <c r="BK42" s="4" t="s">
        <v>2</v>
      </c>
      <c r="BL42" s="4" t="s">
        <v>3</v>
      </c>
      <c r="BM42" s="4" t="s">
        <v>4</v>
      </c>
      <c r="BN42" s="4" t="s">
        <v>5</v>
      </c>
      <c r="BP42" s="23"/>
      <c r="BQ42" s="4" t="s">
        <v>1</v>
      </c>
      <c r="BR42" s="4" t="s">
        <v>2</v>
      </c>
      <c r="BS42" s="4" t="s">
        <v>3</v>
      </c>
      <c r="BT42" s="4" t="s">
        <v>4</v>
      </c>
      <c r="BU42" s="4" t="s">
        <v>5</v>
      </c>
      <c r="BV42" s="10"/>
      <c r="BW42" s="10"/>
      <c r="BX42" s="11"/>
      <c r="BY42" s="1"/>
      <c r="BZ42" s="1"/>
      <c r="CA42" s="1"/>
    </row>
    <row r="43" customFormat="false" ht="14.25" hidden="false" customHeight="false" outlineLevel="0" collapsed="false">
      <c r="A43" s="37" t="s">
        <v>0</v>
      </c>
      <c r="B43" s="37" t="s">
        <v>16</v>
      </c>
      <c r="C43" s="37"/>
      <c r="D43" s="37" t="s">
        <v>215</v>
      </c>
      <c r="E43" s="37" t="s">
        <v>153</v>
      </c>
      <c r="F43" s="37" t="s">
        <v>17</v>
      </c>
      <c r="G43" s="37" t="s">
        <v>18</v>
      </c>
      <c r="H43" s="37" t="s">
        <v>155</v>
      </c>
      <c r="I43" s="37" t="s">
        <v>158</v>
      </c>
      <c r="J43" s="37" t="s">
        <v>159</v>
      </c>
      <c r="K43" s="37" t="s">
        <v>162</v>
      </c>
      <c r="L43" s="37" t="s">
        <v>163</v>
      </c>
      <c r="M43" s="37" t="s">
        <v>166</v>
      </c>
      <c r="N43" s="37" t="s">
        <v>166</v>
      </c>
      <c r="O43" s="37" t="s">
        <v>22</v>
      </c>
      <c r="P43" s="37" t="s">
        <v>21</v>
      </c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D43" s="1" t="s">
        <v>166</v>
      </c>
      <c r="AE43" s="1" t="s">
        <v>216</v>
      </c>
      <c r="AN43" s="1" t="s">
        <v>166</v>
      </c>
      <c r="AO43" s="1" t="s">
        <v>216</v>
      </c>
      <c r="AX43" s="1" t="s">
        <v>166</v>
      </c>
      <c r="AY43" s="1" t="s">
        <v>216</v>
      </c>
      <c r="BI43" s="11"/>
      <c r="BL43" s="0"/>
      <c r="BM43" s="0"/>
      <c r="BP43" s="11"/>
      <c r="BQ43" s="1"/>
      <c r="BR43" s="1"/>
      <c r="BV43" s="10"/>
      <c r="BW43" s="10"/>
      <c r="BX43" s="11"/>
      <c r="BY43" s="10"/>
      <c r="BZ43" s="1"/>
      <c r="CA43" s="11"/>
    </row>
    <row r="44" customFormat="false" ht="13.5" hidden="false" customHeight="false" outlineLevel="0" collapsed="false">
      <c r="A44" s="48" t="n">
        <f aca="false">$B2</f>
        <v>36951</v>
      </c>
      <c r="B44" s="40" t="n">
        <f aca="false">VLOOKUP(A44,STRADDLE,3,FALSE())</f>
        <v>4.855</v>
      </c>
      <c r="C44" s="40" t="n">
        <f aca="false">IF(B$20=1,VLOOKUP(A44,curvesettle,HLOOKUP($B$21,curvesettle,2,FALSE()),0),0)</f>
        <v>-0.03</v>
      </c>
      <c r="D44" s="175" t="n">
        <v>0</v>
      </c>
      <c r="E44" s="176" t="e">
        <f aca="false">D44+B44+C44+#REF!</f>
        <v>#REF!</v>
      </c>
      <c r="F44" s="41" t="n">
        <f aca="false">IF($B$25=1,$E44,$B$18)</f>
        <v>3.6</v>
      </c>
      <c r="G44" s="41" t="n">
        <f aca="false">IF($B$25=1,$E44,IF(B$25=2,B$18,C$18))</f>
        <v>3.8</v>
      </c>
      <c r="H44" s="4" t="n">
        <f aca="false">VLOOKUP(A44,STRADDLE,10,FALSE())</f>
        <v>6</v>
      </c>
      <c r="I44" s="4" t="e">
        <f aca="false">IF(#REF!=1,VLOOKUP($A44,SkewTable,HLOOKUP(ROUND(F44-$E44,1),SkewTable,2,FALSE()),FALSE())/100,0)</f>
        <v>#REF!</v>
      </c>
      <c r="J44" s="4" t="e">
        <f aca="false">IF(#REF!=1,VLOOKUP($A44,SkewTable,HLOOKUP(ROUND(G44-$E44,1),SkewTable,2,FALSE()),FALSE())/100,0)</f>
        <v>#REF!</v>
      </c>
      <c r="K44" s="4" t="e">
        <f aca="false">($H44+I44+#REF!)*#REF!</f>
        <v>#REF!</v>
      </c>
      <c r="L44" s="4" t="e">
        <f aca="false">($H44+J44+#REF!)*#REF!</f>
        <v>#REF!</v>
      </c>
      <c r="M44" s="176" t="n">
        <v>50</v>
      </c>
      <c r="N44" s="176"/>
      <c r="O44" s="136" t="e">
        <f aca="false">IF(B$20=1,VLOOKUP(A44,expiration,2,FALSE()),VLOOKUP(A44,expiration,3,FALSE()))-B$22+#REF!</f>
        <v>#REF!</v>
      </c>
      <c r="P44" s="4" t="n">
        <f aca="false">VLOOKUP($A44,STRADDLE,12,FALSE())</f>
        <v>0.068276029462339</v>
      </c>
      <c r="Q44" s="131"/>
      <c r="R44" s="44" t="e">
        <f aca="false">IF($AD44=0,0,bsd(R$42,R$41,$E44,$F44,$O44,$K44,$P44,0.1))</f>
        <v>#VALUE!</v>
      </c>
      <c r="S44" s="44" t="e">
        <f aca="false">IF($AD44=0,0,bsd(S$42,S$41,$E44,$G44,$O44,$L44,$P44,0.1))</f>
        <v>#VALUE!</v>
      </c>
      <c r="T44" s="44" t="e">
        <f aca="false">IF($AD44=0,0,bsd(T$42,T$41,$E44,$F44,$O44,$K44,$P44,0.1))</f>
        <v>#VALUE!</v>
      </c>
      <c r="U44" s="44" t="e">
        <f aca="false">IF($AD44=0,0,bsd(U$42,U$41,$E44,$G44,$O44,$L44,$P44,0.1))</f>
        <v>#VALUE!</v>
      </c>
      <c r="V44" s="44" t="e">
        <f aca="false">IF($AD44=0,0,bsd(V$42,V$41,$E44,$F44,$O44,$K44,$P44,0.1))</f>
        <v>#VALUE!</v>
      </c>
      <c r="W44" s="44" t="e">
        <f aca="false">IF($AD44=0,0,bsd(W$42,W$41,$E44,$G44,$O44,$L44,$P44,0.1))</f>
        <v>#VALUE!</v>
      </c>
      <c r="X44" s="44" t="e">
        <f aca="false">IF($AD44=0,0,bsd(X$42,X$41,$E44,$F44,$O44,$K44,$P44,0.1))</f>
        <v>#VALUE!</v>
      </c>
      <c r="Y44" s="44" t="e">
        <f aca="false">IF($AD44=0,0,bsd(Y$42,Y$41,$E44,$G44,$O44,$L44,$P44,0.1))</f>
        <v>#VALUE!</v>
      </c>
      <c r="Z44" s="44" t="e">
        <f aca="false">IF($AD44=0,0,bsd(Z$42,Z$41,$E44,$F44,$O44,$K44,$P44,0.1))</f>
        <v>#VALUE!</v>
      </c>
      <c r="AA44" s="44" t="e">
        <f aca="false">IF($AD44=0,0,bsd(AA$42,AA$41,$E44,$G44,$O44,$L44,$P44,0.1))</f>
        <v>#VALUE!</v>
      </c>
      <c r="AC44" s="48" t="n">
        <f aca="false">$B2</f>
        <v>36951</v>
      </c>
      <c r="AD44" s="9" t="n">
        <f aca="false">IF(AE44&gt;0,AC45-AC44,0)</f>
        <v>31</v>
      </c>
      <c r="AE44" s="48" t="n">
        <f aca="false">IF(AC44&lt;=$B$3,AC44,0)</f>
        <v>36951</v>
      </c>
      <c r="AF44" s="40" t="n">
        <f aca="false">VLOOKUP(AC44,STRADDLE,3,FALSE())</f>
        <v>4.855</v>
      </c>
      <c r="AG44" s="40" t="n">
        <f aca="false">IF($B$20=1,VLOOKUP(AC44,curvesettle,HLOOKUP($B$21,curvesettle,2,FALSE()),0),0)</f>
        <v>-0.03</v>
      </c>
      <c r="AH44" s="40" t="n">
        <f aca="false">AD44*AF44</f>
        <v>150.505</v>
      </c>
      <c r="AI44" s="40" t="n">
        <f aca="false">AD44*AG44</f>
        <v>-0.93</v>
      </c>
      <c r="AJ44" s="4" t="n">
        <f aca="false">(VLOOKUP(AC44,STRADDLE,10,FALSE())+$B$9)*$B$10</f>
        <v>6</v>
      </c>
      <c r="AK44" s="177" t="n">
        <f aca="false">AJ44*AD44</f>
        <v>186</v>
      </c>
      <c r="AL44" s="177"/>
      <c r="AM44" s="48" t="n">
        <f aca="false">$C2</f>
        <v>36951</v>
      </c>
      <c r="AN44" s="9" t="n">
        <f aca="false">IF(AO44&gt;0,AM45-AM44,0)</f>
        <v>31</v>
      </c>
      <c r="AO44" s="48" t="n">
        <f aca="false">IF(AM44&lt;=$C$3,AM44,0)</f>
        <v>36951</v>
      </c>
      <c r="AP44" s="40" t="n">
        <f aca="false">VLOOKUP(AM44,STRADDLE,3,FALSE())</f>
        <v>4.855</v>
      </c>
      <c r="AQ44" s="40" t="n">
        <f aca="false">IF($C$20=1,VLOOKUP(AM44,curvesettle,HLOOKUP($C$21,curvesettle,2,FALSE()),0),0)</f>
        <v>-0.03</v>
      </c>
      <c r="AR44" s="40" t="n">
        <f aca="false">AN44*AP44</f>
        <v>150.505</v>
      </c>
      <c r="AS44" s="40" t="n">
        <f aca="false">AN44*AQ44</f>
        <v>-0.93</v>
      </c>
      <c r="AT44" s="4" t="n">
        <f aca="false">(VLOOKUP(AM44,STRADDLE,10,FALSE())+$C$9)*$C$10</f>
        <v>6</v>
      </c>
      <c r="AU44" s="177" t="n">
        <f aca="false">AT44*AN44</f>
        <v>186</v>
      </c>
      <c r="AV44" s="40"/>
      <c r="AW44" s="48" t="n">
        <f aca="false">$D2</f>
        <v>37073</v>
      </c>
      <c r="AX44" s="9" t="n">
        <f aca="false">IF(AY44&gt;0,AW45-AW44,0)</f>
        <v>31</v>
      </c>
      <c r="AY44" s="48" t="n">
        <f aca="false">IF(AW44&lt;=$D$3,AW44,0)</f>
        <v>37073</v>
      </c>
      <c r="AZ44" s="40" t="n">
        <f aca="false">VLOOKUP(AW44,STRADDLE,3,FALSE())</f>
        <v>4.4</v>
      </c>
      <c r="BA44" s="40" t="n">
        <f aca="false">IF($D$20=1,VLOOKUP(AW44,curvesettle,HLOOKUP($D$21,curvesettle,2,FALSE()),0),0)</f>
        <v>0.03</v>
      </c>
      <c r="BB44" s="40" t="n">
        <f aca="false">AX44*AZ44</f>
        <v>136.4</v>
      </c>
      <c r="BC44" s="40" t="n">
        <f aca="false">AX44*BA44</f>
        <v>0.93</v>
      </c>
      <c r="BD44" s="4" t="n">
        <f aca="false">(VLOOKUP(AW44,STRADDLE,10,FALSE())+$D$9)*$D$10</f>
        <v>10</v>
      </c>
      <c r="BE44" s="177" t="n">
        <f aca="false">BD44*AX44</f>
        <v>310</v>
      </c>
      <c r="BF44" s="177"/>
      <c r="BG44" s="177"/>
      <c r="BH44" s="1" t="n">
        <f aca="false">AD44*B44</f>
        <v>150.505</v>
      </c>
      <c r="BI44" s="33" t="e">
        <f aca="false">AD44*E44</f>
        <v>#REF!</v>
      </c>
      <c r="BJ44" s="45" t="e">
        <f aca="false">$AD44*R44</f>
        <v>#VALUE!</v>
      </c>
      <c r="BK44" s="45" t="e">
        <f aca="false">$AD44*T44</f>
        <v>#VALUE!</v>
      </c>
      <c r="BL44" s="45" t="e">
        <f aca="false">$AD44*V44</f>
        <v>#VALUE!</v>
      </c>
      <c r="BM44" s="45" t="e">
        <f aca="false">$AD44*X44</f>
        <v>#VALUE!</v>
      </c>
      <c r="BN44" s="45" t="e">
        <f aca="false">$AD44*Z44</f>
        <v>#VALUE!</v>
      </c>
      <c r="BP44" s="33"/>
      <c r="BQ44" s="45" t="e">
        <f aca="false">$AD44*S44</f>
        <v>#VALUE!</v>
      </c>
      <c r="BR44" s="45" t="e">
        <f aca="false">$AD44*U44</f>
        <v>#VALUE!</v>
      </c>
      <c r="BS44" s="45" t="e">
        <f aca="false">$AD44*W44</f>
        <v>#VALUE!</v>
      </c>
      <c r="BT44" s="45" t="e">
        <f aca="false">$AD44*Y44</f>
        <v>#VALUE!</v>
      </c>
      <c r="BU44" s="45" t="e">
        <f aca="false">$AD44*AA44</f>
        <v>#VALUE!</v>
      </c>
      <c r="BV44" s="46"/>
      <c r="BW44" s="45"/>
      <c r="BX44" s="46"/>
      <c r="BY44" s="47"/>
      <c r="BZ44" s="47"/>
      <c r="CA44" s="47"/>
    </row>
    <row r="45" customFormat="false" ht="12.75" hidden="false" customHeight="false" outlineLevel="0" collapsed="false">
      <c r="A45" s="48" t="n">
        <f aca="false">DATE(YEAR(A44),MONTH(A44)+1,1)</f>
        <v>36982</v>
      </c>
      <c r="B45" s="40" t="n">
        <f aca="false">VLOOKUP(A45,STRADDLE,3,FALSE())</f>
        <v>4.55</v>
      </c>
      <c r="C45" s="40" t="n">
        <f aca="false">IF(B$20=1,VLOOKUP(A45,curvesettle,HLOOKUP($B$21,curvesettle,2,FALSE()),0),0)</f>
        <v>0.0125</v>
      </c>
      <c r="D45" s="175" t="n">
        <v>0</v>
      </c>
      <c r="E45" s="176" t="e">
        <f aca="false">D45+B45+C45+#REF!</f>
        <v>#REF!</v>
      </c>
      <c r="F45" s="41" t="n">
        <f aca="false">IF(B$25=1,E45,B$18)</f>
        <v>3.6</v>
      </c>
      <c r="G45" s="41" t="n">
        <f aca="false">IF($B$25=1,$E45,IF(B$25=2,B$18,C$18))</f>
        <v>3.8</v>
      </c>
      <c r="H45" s="4" t="n">
        <f aca="false">VLOOKUP(A45,STRADDLE,10,FALSE())</f>
        <v>7</v>
      </c>
      <c r="I45" s="4" t="e">
        <f aca="false">IF(#REF!=1,VLOOKUP($A45,SkewTable,HLOOKUP(ROUND(F45-$E45,1),SkewTable,2,FALSE()),FALSE())/100,0)</f>
        <v>#REF!</v>
      </c>
      <c r="J45" s="4" t="e">
        <f aca="false">IF(#REF!=1,VLOOKUP($A45,SkewTable,HLOOKUP(ROUND(G45-$E45,1),SkewTable,2,FALSE()),FALSE())/100,0)</f>
        <v>#REF!</v>
      </c>
      <c r="K45" s="4" t="e">
        <f aca="false">($H45+I45+#REF!)*#REF!</f>
        <v>#REF!</v>
      </c>
      <c r="L45" s="4" t="e">
        <f aca="false">($H45+J45+#REF!)*#REF!</f>
        <v>#REF!</v>
      </c>
      <c r="M45" s="176"/>
      <c r="N45" s="176"/>
      <c r="O45" s="136" t="e">
        <f aca="false">IF(B$20=1,VLOOKUP(A45,expiration,2,FALSE()),VLOOKUP(A45,expiration,3,FALSE()))-B$22+#REF!</f>
        <v>#REF!</v>
      </c>
      <c r="P45" s="4" t="n">
        <f aca="false">VLOOKUP($A45,STRADDLE,12,FALSE())</f>
        <v>0.068254674043478</v>
      </c>
      <c r="Q45" s="131"/>
      <c r="R45" s="44" t="e">
        <f aca="false">IF($AD45=0,0,bsd(R$42,R$41,$E45,$F45,$O45,$K45,$P45,0.1))</f>
        <v>#VALUE!</v>
      </c>
      <c r="S45" s="44" t="e">
        <f aca="false">IF($AD45=0,0,bsd(S$42,S$41,$E45,$G45,$O45,$L45,$P45,0.1))</f>
        <v>#VALUE!</v>
      </c>
      <c r="T45" s="44" t="e">
        <f aca="false">IF($AD45=0,0,bsd(T$42,T$41,$E45,$F45,$O45,$K45,$P45,0.1))</f>
        <v>#VALUE!</v>
      </c>
      <c r="U45" s="44" t="e">
        <f aca="false">IF($AD45=0,0,bsd(U$42,U$41,$E45,$G45,$O45,$L45,$P45,0.1))</f>
        <v>#VALUE!</v>
      </c>
      <c r="V45" s="44" t="e">
        <f aca="false">IF($AD45=0,0,bsd(V$42,V$41,$E45,$F45,$O45,$K45,$P45,0.1))</f>
        <v>#VALUE!</v>
      </c>
      <c r="W45" s="44" t="e">
        <f aca="false">IF($AD45=0,0,bsd(W$42,W$41,$E45,$G45,$O45,$L45,$P45,0.1))</f>
        <v>#VALUE!</v>
      </c>
      <c r="X45" s="44" t="e">
        <f aca="false">IF($AD45=0,0,bsd(X$42,X$41,$E45,$F45,$O45,$K45,$P45,0.1))</f>
        <v>#VALUE!</v>
      </c>
      <c r="Y45" s="44" t="e">
        <f aca="false">IF($AD45=0,0,bsd(Y$42,Y$41,$E45,$G45,$O45,$L45,$P45,0.1))</f>
        <v>#VALUE!</v>
      </c>
      <c r="Z45" s="44" t="e">
        <f aca="false">IF($AD45=0,0,bsd(Z$42,Z$41,$E45,$F45,$O45,$K45,$P45,0.1))</f>
        <v>#VALUE!</v>
      </c>
      <c r="AA45" s="44" t="e">
        <f aca="false">IF($AD45=0,0,bsd(AA$42,AA$41,$E45,$G45,$O45,$L45,$P45,0.1))</f>
        <v>#VALUE!</v>
      </c>
      <c r="AC45" s="48" t="n">
        <f aca="false">DATE(YEAR(AC44),MONTH(AC44)+1,1)</f>
        <v>36982</v>
      </c>
      <c r="AD45" s="9" t="n">
        <f aca="false">IF(AE45&gt;0,AC46-AC45,0)</f>
        <v>30</v>
      </c>
      <c r="AE45" s="48" t="n">
        <f aca="false">IF(AC45&lt;=B$3,AC45,0)</f>
        <v>36982</v>
      </c>
      <c r="AF45" s="40" t="n">
        <f aca="false">VLOOKUP(AC45,STRADDLE,3,FALSE())</f>
        <v>4.55</v>
      </c>
      <c r="AG45" s="40" t="n">
        <f aca="false">IF($B$20=1,VLOOKUP(AC45,curvesettle,HLOOKUP($B$21,curvesettle,2,FALSE()),0),0)</f>
        <v>0.0125</v>
      </c>
      <c r="AH45" s="40" t="n">
        <f aca="false">AD45*AF45</f>
        <v>136.5</v>
      </c>
      <c r="AI45" s="40" t="n">
        <f aca="false">AD45*AG45</f>
        <v>0.375</v>
      </c>
      <c r="AJ45" s="4" t="n">
        <f aca="false">(VLOOKUP(AC45,STRADDLE,10,FALSE())+$B$9)*$B$10</f>
        <v>7</v>
      </c>
      <c r="AK45" s="177" t="n">
        <f aca="false">AJ45*AD45</f>
        <v>210</v>
      </c>
      <c r="AL45" s="177"/>
      <c r="AM45" s="48" t="n">
        <f aca="false">DATE(YEAR(AM44),MONTH(AM44)+1,1)</f>
        <v>36982</v>
      </c>
      <c r="AN45" s="9" t="n">
        <f aca="false">IF(AO45&gt;0,AM46-AM45,0)</f>
        <v>30</v>
      </c>
      <c r="AO45" s="48" t="n">
        <f aca="false">IF(AM45&lt;=$C$3,AM45,0)</f>
        <v>36982</v>
      </c>
      <c r="AP45" s="40" t="n">
        <f aca="false">VLOOKUP(AM45,STRADDLE,3,FALSE())</f>
        <v>4.55</v>
      </c>
      <c r="AQ45" s="40" t="n">
        <f aca="false">IF($C$20=1,VLOOKUP(AM45,curvesettle,HLOOKUP($C$21,curvesettle,2,FALSE()),0),0)</f>
        <v>0.0125</v>
      </c>
      <c r="AR45" s="40" t="n">
        <f aca="false">AN45*AP45</f>
        <v>136.5</v>
      </c>
      <c r="AS45" s="40" t="n">
        <f aca="false">AN45*AQ45</f>
        <v>0.375</v>
      </c>
      <c r="AT45" s="4" t="n">
        <f aca="false">(VLOOKUP(AM45,STRADDLE,10,FALSE())+$C$9)*$C$10</f>
        <v>7</v>
      </c>
      <c r="AU45" s="177" t="n">
        <f aca="false">AT45*AN45</f>
        <v>210</v>
      </c>
      <c r="AV45" s="40"/>
      <c r="AW45" s="48" t="n">
        <f aca="false">DATE(YEAR(AW44),MONTH(AW44)+1,1)</f>
        <v>37104</v>
      </c>
      <c r="AX45" s="9" t="n">
        <f aca="false">IF(AY45&gt;0,AW46-AW45,0)</f>
        <v>31</v>
      </c>
      <c r="AY45" s="48" t="n">
        <f aca="false">IF(AW45&lt;=$D$3,AW45,0)</f>
        <v>37104</v>
      </c>
      <c r="AZ45" s="40" t="n">
        <f aca="false">VLOOKUP(AW45,STRADDLE,3,FALSE())</f>
        <v>4.39</v>
      </c>
      <c r="BA45" s="40" t="n">
        <f aca="false">IF($D$20=1,VLOOKUP(AW45,curvesettle,HLOOKUP($D$21,curvesettle,2,FALSE()),0),0)</f>
        <v>0.0325</v>
      </c>
      <c r="BB45" s="40" t="n">
        <f aca="false">AX45*AZ45</f>
        <v>136.09</v>
      </c>
      <c r="BC45" s="40" t="n">
        <f aca="false">AX45*BA45</f>
        <v>1.0075</v>
      </c>
      <c r="BD45" s="4" t="n">
        <f aca="false">(VLOOKUP(AW45,STRADDLE,10,FALSE())+$D$9)*$D$10</f>
        <v>11</v>
      </c>
      <c r="BE45" s="177" t="n">
        <f aca="false">BD45*AX45</f>
        <v>341</v>
      </c>
      <c r="BF45" s="177"/>
      <c r="BG45" s="177"/>
      <c r="BH45" s="1" t="n">
        <f aca="false">AD45*B45</f>
        <v>136.5</v>
      </c>
      <c r="BI45" s="33" t="e">
        <f aca="false">AD45*E45</f>
        <v>#REF!</v>
      </c>
      <c r="BJ45" s="45" t="e">
        <f aca="false">$AD45*R45</f>
        <v>#VALUE!</v>
      </c>
      <c r="BK45" s="45" t="e">
        <f aca="false">$AD45*T45</f>
        <v>#VALUE!</v>
      </c>
      <c r="BL45" s="45" t="e">
        <f aca="false">$AD45*V45</f>
        <v>#VALUE!</v>
      </c>
      <c r="BM45" s="45" t="e">
        <f aca="false">$AD45*X45</f>
        <v>#VALUE!</v>
      </c>
      <c r="BN45" s="45" t="e">
        <f aca="false">$AD45*Z45</f>
        <v>#VALUE!</v>
      </c>
      <c r="BP45" s="33"/>
      <c r="BQ45" s="45" t="e">
        <f aca="false">$AD45*S45</f>
        <v>#VALUE!</v>
      </c>
      <c r="BR45" s="45" t="e">
        <f aca="false">$AD45*U45</f>
        <v>#VALUE!</v>
      </c>
      <c r="BS45" s="45" t="e">
        <f aca="false">$AD45*W45</f>
        <v>#VALUE!</v>
      </c>
      <c r="BT45" s="45" t="e">
        <f aca="false">$AD45*Y45</f>
        <v>#VALUE!</v>
      </c>
      <c r="BU45" s="45" t="e">
        <f aca="false">$AD45*AA45</f>
        <v>#VALUE!</v>
      </c>
      <c r="BV45" s="46"/>
      <c r="BW45" s="45"/>
      <c r="BX45" s="46"/>
      <c r="BY45" s="47"/>
      <c r="BZ45" s="47"/>
      <c r="CA45" s="47"/>
    </row>
    <row r="46" customFormat="false" ht="12.75" hidden="false" customHeight="false" outlineLevel="0" collapsed="false">
      <c r="A46" s="48" t="n">
        <f aca="false">DATE(YEAR(A45),MONTH(A45)+1,1)</f>
        <v>37012</v>
      </c>
      <c r="B46" s="40" t="n">
        <f aca="false">VLOOKUP(A46,STRADDLE,3,FALSE())</f>
        <v>4.445</v>
      </c>
      <c r="C46" s="40" t="n">
        <f aca="false">IF(B$20=1,VLOOKUP(A46,curvesettle,HLOOKUP($B$21,curvesettle,2,FALSE()),0),0)</f>
        <v>0.015</v>
      </c>
      <c r="D46" s="175" t="n">
        <v>0</v>
      </c>
      <c r="E46" s="176" t="e">
        <f aca="false">D46+B46+C46+#REF!</f>
        <v>#REF!</v>
      </c>
      <c r="F46" s="41" t="n">
        <f aca="false">IF(B$25=1,E46,B$18)</f>
        <v>3.6</v>
      </c>
      <c r="G46" s="41" t="n">
        <f aca="false">IF($B$25=1,$E46,IF(B$25=2,B$18,C$18))</f>
        <v>3.8</v>
      </c>
      <c r="H46" s="4" t="n">
        <f aca="false">VLOOKUP(A46,STRADDLE,10,FALSE())</f>
        <v>8</v>
      </c>
      <c r="I46" s="4" t="e">
        <f aca="false">IF(#REF!=1,VLOOKUP($A46,SkewTable,HLOOKUP(ROUND(F46-$E46,1),SkewTable,2,FALSE()),FALSE())/100,0)</f>
        <v>#REF!</v>
      </c>
      <c r="J46" s="4" t="e">
        <f aca="false">IF(#REF!=1,VLOOKUP($A46,SkewTable,HLOOKUP(ROUND(G46-$E46,1),SkewTable,2,FALSE()),FALSE())/100,0)</f>
        <v>#REF!</v>
      </c>
      <c r="K46" s="4" t="e">
        <f aca="false">($H46+I46+#REF!)*#REF!</f>
        <v>#REF!</v>
      </c>
      <c r="L46" s="4" t="e">
        <f aca="false">($H46+J46+#REF!)*#REF!</f>
        <v>#REF!</v>
      </c>
      <c r="M46" s="176"/>
      <c r="N46" s="176"/>
      <c r="O46" s="136" t="e">
        <f aca="false">IF(B$20=1,VLOOKUP(A46,expiration,2,FALSE()),VLOOKUP(A46,expiration,3,FALSE()))-B$22+#REF!</f>
        <v>#REF!</v>
      </c>
      <c r="P46" s="4" t="n">
        <f aca="false">VLOOKUP($A46,STRADDLE,12,FALSE())</f>
        <v>0.068096132754615</v>
      </c>
      <c r="Q46" s="131"/>
      <c r="R46" s="44" t="e">
        <f aca="false">IF($AD46=0,0,bsd(R$42,R$41,$E46,$F46,$O46,$K46,$P46,0.1))</f>
        <v>#VALUE!</v>
      </c>
      <c r="S46" s="44" t="e">
        <f aca="false">IF($AD46=0,0,bsd(S$42,S$41,$E46,$G46,$O46,$L46,$P46,0.1))</f>
        <v>#VALUE!</v>
      </c>
      <c r="T46" s="44" t="e">
        <f aca="false">IF($AD46=0,0,bsd(T$42,T$41,$E46,$F46,$O46,$K46,$P46,0.1))</f>
        <v>#VALUE!</v>
      </c>
      <c r="U46" s="44" t="e">
        <f aca="false">IF($AD46=0,0,bsd(U$42,U$41,$E46,$G46,$O46,$L46,$P46,0.1))</f>
        <v>#VALUE!</v>
      </c>
      <c r="V46" s="44" t="e">
        <f aca="false">IF($AD46=0,0,bsd(V$42,V$41,$E46,$F46,$O46,$K46,$P46,0.1))</f>
        <v>#VALUE!</v>
      </c>
      <c r="W46" s="44" t="e">
        <f aca="false">IF($AD46=0,0,bsd(W$42,W$41,$E46,$G46,$O46,$L46,$P46,0.1))</f>
        <v>#VALUE!</v>
      </c>
      <c r="X46" s="44" t="e">
        <f aca="false">IF($AD46=0,0,bsd(X$42,X$41,$E46,$F46,$O46,$K46,$P46,0.1))</f>
        <v>#VALUE!</v>
      </c>
      <c r="Y46" s="44" t="e">
        <f aca="false">IF($AD46=0,0,bsd(Y$42,Y$41,$E46,$G46,$O46,$L46,$P46,0.1))</f>
        <v>#VALUE!</v>
      </c>
      <c r="Z46" s="44" t="e">
        <f aca="false">IF($AD46=0,0,bsd(Z$42,Z$41,$E46,$F46,$O46,$K46,$P46,0.1))</f>
        <v>#VALUE!</v>
      </c>
      <c r="AA46" s="44" t="e">
        <f aca="false">IF($AD46=0,0,bsd(AA$42,AA$41,$E46,$G46,$O46,$L46,$P46,0.1))</f>
        <v>#VALUE!</v>
      </c>
      <c r="AC46" s="48" t="n">
        <f aca="false">DATE(YEAR(AC45),MONTH(AC45)+1,1)</f>
        <v>37012</v>
      </c>
      <c r="AD46" s="9" t="n">
        <f aca="false">IF(AE46&gt;0,AC47-AC46,0)</f>
        <v>31</v>
      </c>
      <c r="AE46" s="48" t="n">
        <f aca="false">IF(AC46&lt;=B$3,AC46,0)</f>
        <v>37012</v>
      </c>
      <c r="AF46" s="40" t="n">
        <f aca="false">VLOOKUP(AC46,STRADDLE,3,FALSE())</f>
        <v>4.445</v>
      </c>
      <c r="AG46" s="40" t="n">
        <f aca="false">IF($B$20=1,VLOOKUP(AC46,curvesettle,HLOOKUP($B$21,curvesettle,2,FALSE()),0),0)</f>
        <v>0.015</v>
      </c>
      <c r="AH46" s="40" t="n">
        <f aca="false">AD46*AF46</f>
        <v>137.795</v>
      </c>
      <c r="AI46" s="40" t="n">
        <f aca="false">AD46*AG46</f>
        <v>0.465</v>
      </c>
      <c r="AJ46" s="4" t="n">
        <f aca="false">(VLOOKUP(AC46,STRADDLE,10,FALSE())+$B$9)*$B$10</f>
        <v>8</v>
      </c>
      <c r="AK46" s="177" t="n">
        <f aca="false">AJ46*AD46</f>
        <v>248</v>
      </c>
      <c r="AL46" s="177"/>
      <c r="AM46" s="48" t="n">
        <f aca="false">DATE(YEAR(AM45),MONTH(AM45)+1,1)</f>
        <v>37012</v>
      </c>
      <c r="AN46" s="9" t="n">
        <f aca="false">IF(AO46&gt;0,AM47-AM46,0)</f>
        <v>31</v>
      </c>
      <c r="AO46" s="48" t="n">
        <f aca="false">IF(AM46&lt;=$C$3,AM46,0)</f>
        <v>37012</v>
      </c>
      <c r="AP46" s="40" t="n">
        <f aca="false">VLOOKUP(AM46,STRADDLE,3,FALSE())</f>
        <v>4.445</v>
      </c>
      <c r="AQ46" s="40" t="n">
        <f aca="false">IF($C$20=1,VLOOKUP(AM46,curvesettle,HLOOKUP($C$21,curvesettle,2,FALSE()),0),0)</f>
        <v>0.015</v>
      </c>
      <c r="AR46" s="40" t="n">
        <f aca="false">AN46*AP46</f>
        <v>137.795</v>
      </c>
      <c r="AS46" s="40" t="n">
        <f aca="false">AN46*AQ46</f>
        <v>0.465</v>
      </c>
      <c r="AT46" s="4" t="n">
        <f aca="false">(VLOOKUP(AM46,STRADDLE,10,FALSE())+$C$9)*$C$10</f>
        <v>8</v>
      </c>
      <c r="AU46" s="177" t="n">
        <f aca="false">AT46*AN46</f>
        <v>248</v>
      </c>
      <c r="AV46" s="40"/>
      <c r="AW46" s="48" t="n">
        <f aca="false">DATE(YEAR(AW45),MONTH(AW45)+1,1)</f>
        <v>37135</v>
      </c>
      <c r="AX46" s="9" t="n">
        <f aca="false">IF(AY46&gt;0,AW47-AW46,0)</f>
        <v>30</v>
      </c>
      <c r="AY46" s="48" t="n">
        <f aca="false">IF(AW46&lt;=$D$3,AW46,0)</f>
        <v>37135</v>
      </c>
      <c r="AZ46" s="40" t="n">
        <f aca="false">VLOOKUP(AW46,STRADDLE,3,FALSE())</f>
        <v>4.37</v>
      </c>
      <c r="BA46" s="40" t="n">
        <f aca="false">IF($D$20=1,VLOOKUP(AW46,curvesettle,HLOOKUP($D$21,curvesettle,2,FALSE()),0),0)</f>
        <v>0.03</v>
      </c>
      <c r="BB46" s="40" t="n">
        <f aca="false">AX46*AZ46</f>
        <v>131.1</v>
      </c>
      <c r="BC46" s="40" t="n">
        <f aca="false">AX46*BA46</f>
        <v>0.9</v>
      </c>
      <c r="BD46" s="4" t="n">
        <f aca="false">(VLOOKUP(AW46,STRADDLE,10,FALSE())+$D$9)*$D$10</f>
        <v>12</v>
      </c>
      <c r="BE46" s="177" t="n">
        <f aca="false">BD46*AX46</f>
        <v>360</v>
      </c>
      <c r="BF46" s="177"/>
      <c r="BG46" s="177"/>
      <c r="BH46" s="1" t="n">
        <f aca="false">AD46*B46</f>
        <v>137.795</v>
      </c>
      <c r="BI46" s="33" t="e">
        <f aca="false">AD46*E46</f>
        <v>#REF!</v>
      </c>
      <c r="BJ46" s="45" t="e">
        <f aca="false">$AD46*R46</f>
        <v>#VALUE!</v>
      </c>
      <c r="BK46" s="45" t="e">
        <f aca="false">$AD46*T46</f>
        <v>#VALUE!</v>
      </c>
      <c r="BL46" s="45" t="e">
        <f aca="false">$AD46*V46</f>
        <v>#VALUE!</v>
      </c>
      <c r="BM46" s="45" t="e">
        <f aca="false">$AD46*X46</f>
        <v>#VALUE!</v>
      </c>
      <c r="BN46" s="45" t="e">
        <f aca="false">$AD46*Z46</f>
        <v>#VALUE!</v>
      </c>
      <c r="BP46" s="33"/>
      <c r="BQ46" s="45" t="e">
        <f aca="false">$AD46*S46</f>
        <v>#VALUE!</v>
      </c>
      <c r="BR46" s="45" t="e">
        <f aca="false">$AD46*U46</f>
        <v>#VALUE!</v>
      </c>
      <c r="BS46" s="45" t="e">
        <f aca="false">$AD46*W46</f>
        <v>#VALUE!</v>
      </c>
      <c r="BT46" s="45" t="e">
        <f aca="false">$AD46*Y46</f>
        <v>#VALUE!</v>
      </c>
      <c r="BU46" s="45" t="e">
        <f aca="false">$AD46*AA46</f>
        <v>#VALUE!</v>
      </c>
      <c r="BV46" s="46"/>
      <c r="BW46" s="45"/>
      <c r="BX46" s="46"/>
      <c r="BY46" s="47"/>
      <c r="BZ46" s="47"/>
      <c r="CA46" s="47"/>
    </row>
    <row r="47" customFormat="false" ht="12.75" hidden="false" customHeight="false" outlineLevel="0" collapsed="false">
      <c r="A47" s="48" t="n">
        <f aca="false">DATE(YEAR(A46),MONTH(A46)+1,1)</f>
        <v>37043</v>
      </c>
      <c r="B47" s="40" t="n">
        <f aca="false">VLOOKUP(A47,STRADDLE,3,FALSE())</f>
        <v>4.42</v>
      </c>
      <c r="C47" s="40" t="n">
        <f aca="false">IF(B$20=1,VLOOKUP(A47,curvesettle,HLOOKUP($B$21,curvesettle,2,FALSE()),0),0)</f>
        <v>0.025</v>
      </c>
      <c r="D47" s="175" t="n">
        <v>0</v>
      </c>
      <c r="E47" s="176" t="e">
        <f aca="false">D47+B47+C47+#REF!</f>
        <v>#REF!</v>
      </c>
      <c r="F47" s="41" t="n">
        <f aca="false">IF(B$25=1,E47,B$18)</f>
        <v>3.6</v>
      </c>
      <c r="G47" s="41" t="n">
        <f aca="false">IF($B$25=1,$E47,IF(B$25=2,B$18,C$18))</f>
        <v>3.8</v>
      </c>
      <c r="H47" s="4" t="n">
        <f aca="false">VLOOKUP(A47,STRADDLE,10,FALSE())</f>
        <v>9</v>
      </c>
      <c r="I47" s="4" t="e">
        <f aca="false">IF(#REF!=1,VLOOKUP($A47,SkewTable,HLOOKUP(ROUND(F47-$E47,1),SkewTable,2,FALSE()),FALSE())/100,0)</f>
        <v>#REF!</v>
      </c>
      <c r="J47" s="4" t="e">
        <f aca="false">IF(#REF!=1,VLOOKUP($A47,SkewTable,HLOOKUP(ROUND(G47-$E47,1),SkewTable,2,FALSE()),FALSE())/100,0)</f>
        <v>#REF!</v>
      </c>
      <c r="K47" s="4" t="e">
        <f aca="false">($H47+I47+#REF!)*#REF!</f>
        <v>#REF!</v>
      </c>
      <c r="L47" s="4" t="e">
        <f aca="false">($H47+J47+#REF!)*#REF!</f>
        <v>#REF!</v>
      </c>
      <c r="M47" s="176"/>
      <c r="N47" s="176"/>
      <c r="O47" s="136" t="e">
        <f aca="false">IF(B$20=1,VLOOKUP(A47,expiration,2,FALSE()),VLOOKUP(A47,expiration,3,FALSE()))-B$22+#REF!</f>
        <v>#REF!</v>
      </c>
      <c r="P47" s="4" t="n">
        <f aca="false">VLOOKUP($A47,STRADDLE,12,FALSE())</f>
        <v>0.067932306764864</v>
      </c>
      <c r="Q47" s="131"/>
      <c r="R47" s="44" t="e">
        <f aca="false">IF($AD47=0,0,bsd(R$42,R$41,$E47,$F47,$O47,$K47,$P47,0.1))</f>
        <v>#VALUE!</v>
      </c>
      <c r="S47" s="44" t="e">
        <f aca="false">IF($AD47=0,0,bsd(S$42,S$41,$E47,$G47,$O47,$L47,$P47,0.1))</f>
        <v>#VALUE!</v>
      </c>
      <c r="T47" s="44" t="e">
        <f aca="false">IF($AD47=0,0,bsd(T$42,T$41,$E47,$F47,$O47,$K47,$P47,0.1))</f>
        <v>#VALUE!</v>
      </c>
      <c r="U47" s="44" t="e">
        <f aca="false">IF($AD47=0,0,bsd(U$42,U$41,$E47,$G47,$O47,$L47,$P47,0.1))</f>
        <v>#VALUE!</v>
      </c>
      <c r="V47" s="44" t="e">
        <f aca="false">IF($AD47=0,0,bsd(V$42,V$41,$E47,$F47,$O47,$K47,$P47,0.1))</f>
        <v>#VALUE!</v>
      </c>
      <c r="W47" s="44" t="e">
        <f aca="false">IF($AD47=0,0,bsd(W$42,W$41,$E47,$G47,$O47,$L47,$P47,0.1))</f>
        <v>#VALUE!</v>
      </c>
      <c r="X47" s="44" t="e">
        <f aca="false">IF($AD47=0,0,bsd(X$42,X$41,$E47,$F47,$O47,$K47,$P47,0.1))</f>
        <v>#VALUE!</v>
      </c>
      <c r="Y47" s="44" t="e">
        <f aca="false">IF($AD47=0,0,bsd(Y$42,Y$41,$E47,$G47,$O47,$L47,$P47,0.1))</f>
        <v>#VALUE!</v>
      </c>
      <c r="Z47" s="44" t="e">
        <f aca="false">IF($AD47=0,0,bsd(Z$42,Z$41,$E47,$F47,$O47,$K47,$P47,0.1))</f>
        <v>#VALUE!</v>
      </c>
      <c r="AA47" s="44" t="e">
        <f aca="false">IF($AD47=0,0,bsd(AA$42,AA$41,$E47,$G47,$O47,$L47,$P47,0.1))</f>
        <v>#VALUE!</v>
      </c>
      <c r="AC47" s="48" t="n">
        <f aca="false">DATE(YEAR(AC46),MONTH(AC46)+1,1)</f>
        <v>37043</v>
      </c>
      <c r="AD47" s="9" t="n">
        <f aca="false">IF(AE47&gt;0,AC48-AC47,0)</f>
        <v>30</v>
      </c>
      <c r="AE47" s="48" t="n">
        <f aca="false">IF(AC47&lt;=B$3,AC47,0)</f>
        <v>37043</v>
      </c>
      <c r="AF47" s="40" t="n">
        <f aca="false">VLOOKUP(AC47,STRADDLE,3,FALSE())</f>
        <v>4.42</v>
      </c>
      <c r="AG47" s="40" t="n">
        <f aca="false">IF($B$20=1,VLOOKUP(AC47,curvesettle,HLOOKUP($B$21,curvesettle,2,FALSE()),0),0)</f>
        <v>0.025</v>
      </c>
      <c r="AH47" s="40" t="n">
        <f aca="false">AD47*AF47</f>
        <v>132.6</v>
      </c>
      <c r="AI47" s="40" t="n">
        <f aca="false">AD47*AG47</f>
        <v>0.75</v>
      </c>
      <c r="AJ47" s="4" t="n">
        <f aca="false">(VLOOKUP(AC47,STRADDLE,10,FALSE())+$B$9)*$B$10</f>
        <v>9</v>
      </c>
      <c r="AK47" s="177" t="n">
        <f aca="false">AJ47*AD47</f>
        <v>270</v>
      </c>
      <c r="AL47" s="177"/>
      <c r="AM47" s="48" t="n">
        <f aca="false">DATE(YEAR(AM46),MONTH(AM46)+1,1)</f>
        <v>37043</v>
      </c>
      <c r="AN47" s="9" t="n">
        <f aca="false">IF(AO47&gt;0,AM48-AM47,0)</f>
        <v>30</v>
      </c>
      <c r="AO47" s="48" t="n">
        <f aca="false">IF(AM47&lt;=$C$3,AM47,0)</f>
        <v>37043</v>
      </c>
      <c r="AP47" s="40" t="n">
        <f aca="false">VLOOKUP(AM47,STRADDLE,3,FALSE())</f>
        <v>4.42</v>
      </c>
      <c r="AQ47" s="40" t="n">
        <f aca="false">IF($C$20=1,VLOOKUP(AM47,curvesettle,HLOOKUP($C$21,curvesettle,2,FALSE()),0),0)</f>
        <v>0.025</v>
      </c>
      <c r="AR47" s="40" t="n">
        <f aca="false">AN47*AP47</f>
        <v>132.6</v>
      </c>
      <c r="AS47" s="40" t="n">
        <f aca="false">AN47*AQ47</f>
        <v>0.75</v>
      </c>
      <c r="AT47" s="4" t="n">
        <f aca="false">(VLOOKUP(AM47,STRADDLE,10,FALSE())+$C$9)*$C$10</f>
        <v>9</v>
      </c>
      <c r="AU47" s="177" t="n">
        <f aca="false">AT47*AN47</f>
        <v>270</v>
      </c>
      <c r="AV47" s="40"/>
      <c r="AW47" s="48" t="n">
        <f aca="false">DATE(YEAR(AW46),MONTH(AW46)+1,1)</f>
        <v>37165</v>
      </c>
      <c r="AX47" s="9" t="n">
        <f aca="false">IF(AY47&gt;0,AW48-AW47,0)</f>
        <v>31</v>
      </c>
      <c r="AY47" s="48" t="n">
        <f aca="false">IF(AW47&lt;=$D$3,AW47,0)</f>
        <v>37165</v>
      </c>
      <c r="AZ47" s="40" t="n">
        <f aca="false">VLOOKUP(AW47,STRADDLE,3,FALSE())</f>
        <v>4.36</v>
      </c>
      <c r="BA47" s="40" t="n">
        <f aca="false">IF($D$20=1,VLOOKUP(AW47,curvesettle,HLOOKUP($D$21,curvesettle,2,FALSE()),0),0)</f>
        <v>0.0125</v>
      </c>
      <c r="BB47" s="40" t="n">
        <f aca="false">AX47*AZ47</f>
        <v>135.16</v>
      </c>
      <c r="BC47" s="40" t="n">
        <f aca="false">AX47*BA47</f>
        <v>0.3875</v>
      </c>
      <c r="BD47" s="4" t="n">
        <f aca="false">(VLOOKUP(AW47,STRADDLE,10,FALSE())+$D$9)*$D$10</f>
        <v>13</v>
      </c>
      <c r="BE47" s="177" t="n">
        <f aca="false">BD47*AX47</f>
        <v>403</v>
      </c>
      <c r="BF47" s="177"/>
      <c r="BG47" s="177"/>
      <c r="BH47" s="1" t="n">
        <f aca="false">AD47*B47</f>
        <v>132.6</v>
      </c>
      <c r="BI47" s="33" t="e">
        <f aca="false">AD47*E47</f>
        <v>#REF!</v>
      </c>
      <c r="BJ47" s="45" t="e">
        <f aca="false">$AD47*R47</f>
        <v>#VALUE!</v>
      </c>
      <c r="BK47" s="45" t="e">
        <f aca="false">$AD47*T47</f>
        <v>#VALUE!</v>
      </c>
      <c r="BL47" s="45" t="e">
        <f aca="false">$AD47*V47</f>
        <v>#VALUE!</v>
      </c>
      <c r="BM47" s="45" t="e">
        <f aca="false">$AD47*X47</f>
        <v>#VALUE!</v>
      </c>
      <c r="BN47" s="45" t="e">
        <f aca="false">$AD47*Z47</f>
        <v>#VALUE!</v>
      </c>
      <c r="BP47" s="33"/>
      <c r="BQ47" s="45" t="e">
        <f aca="false">$AD47*S47</f>
        <v>#VALUE!</v>
      </c>
      <c r="BR47" s="45" t="e">
        <f aca="false">$AD47*U47</f>
        <v>#VALUE!</v>
      </c>
      <c r="BS47" s="45" t="e">
        <f aca="false">$AD47*W47</f>
        <v>#VALUE!</v>
      </c>
      <c r="BT47" s="45" t="e">
        <f aca="false">$AD47*Y47</f>
        <v>#VALUE!</v>
      </c>
      <c r="BU47" s="45" t="e">
        <f aca="false">$AD47*AA47</f>
        <v>#VALUE!</v>
      </c>
      <c r="BV47" s="46"/>
      <c r="BW47" s="45"/>
      <c r="BX47" s="46"/>
      <c r="BY47" s="47"/>
      <c r="BZ47" s="47"/>
      <c r="CA47" s="47"/>
    </row>
    <row r="48" customFormat="false" ht="12.75" hidden="false" customHeight="false" outlineLevel="0" collapsed="false">
      <c r="A48" s="48" t="n">
        <f aca="false">DATE(YEAR(A47),MONTH(A47)+1,1)</f>
        <v>37073</v>
      </c>
      <c r="B48" s="40" t="n">
        <f aca="false">VLOOKUP(A48,STRADDLE,3,FALSE())</f>
        <v>4.4</v>
      </c>
      <c r="C48" s="40" t="n">
        <f aca="false">IF(B$20=1,VLOOKUP(A48,curvesettle,HLOOKUP($B$21,curvesettle,2,FALSE()),0),0)</f>
        <v>0.03</v>
      </c>
      <c r="D48" s="175" t="n">
        <v>0</v>
      </c>
      <c r="E48" s="176" t="e">
        <f aca="false">D48+B48+C48+#REF!</f>
        <v>#REF!</v>
      </c>
      <c r="F48" s="41" t="n">
        <f aca="false">IF(B$25=1,E48,B$18)</f>
        <v>3.6</v>
      </c>
      <c r="G48" s="41" t="n">
        <f aca="false">IF($B$25=1,$E48,IF(B$25=2,B$18,C$18))</f>
        <v>3.8</v>
      </c>
      <c r="H48" s="4" t="n">
        <f aca="false">VLOOKUP(A48,STRADDLE,10,FALSE())</f>
        <v>10</v>
      </c>
      <c r="I48" s="4" t="e">
        <f aca="false">IF(#REF!=1,VLOOKUP($A48,SkewTable,HLOOKUP(ROUND(F48-$E48,1),SkewTable,2,FALSE()),FALSE())/100,0)</f>
        <v>#REF!</v>
      </c>
      <c r="J48" s="4" t="e">
        <f aca="false">IF(#REF!=1,VLOOKUP($A48,SkewTable,HLOOKUP(ROUND(G48-$E48,1),SkewTable,2,FALSE()),FALSE())/100,0)</f>
        <v>#REF!</v>
      </c>
      <c r="K48" s="4" t="e">
        <f aca="false">($H48+I48+#REF!)*#REF!</f>
        <v>#REF!</v>
      </c>
      <c r="L48" s="4" t="e">
        <f aca="false">($H48+J48+#REF!)*#REF!</f>
        <v>#REF!</v>
      </c>
      <c r="M48" s="176"/>
      <c r="N48" s="176"/>
      <c r="O48" s="136" t="e">
        <f aca="false">IF(B$20=1,VLOOKUP(A48,expiration,2,FALSE()),VLOOKUP(A48,expiration,3,FALSE()))-B$22+#REF!</f>
        <v>#REF!</v>
      </c>
      <c r="P48" s="4" t="n">
        <f aca="false">VLOOKUP($A48,STRADDLE,12,FALSE())</f>
        <v>0.067795554865608</v>
      </c>
      <c r="Q48" s="131"/>
      <c r="R48" s="44" t="e">
        <f aca="false">IF($AD48=0,0,bsd(R$42,R$41,$E48,$F48,$O48,$K48,$P48,0.1))</f>
        <v>#VALUE!</v>
      </c>
      <c r="S48" s="44" t="e">
        <f aca="false">IF($AD48=0,0,bsd(S$42,S$41,$E48,$G48,$O48,$L48,$P48,0.1))</f>
        <v>#VALUE!</v>
      </c>
      <c r="T48" s="44" t="e">
        <f aca="false">IF($AD48=0,0,bsd(T$42,T$41,$E48,$F48,$O48,$K48,$P48,0.1))</f>
        <v>#VALUE!</v>
      </c>
      <c r="U48" s="44" t="e">
        <f aca="false">IF($AD48=0,0,bsd(U$42,U$41,$E48,$G48,$O48,$L48,$P48,0.1))</f>
        <v>#VALUE!</v>
      </c>
      <c r="V48" s="44" t="e">
        <f aca="false">IF($AD48=0,0,bsd(V$42,V$41,$E48,$F48,$O48,$K48,$P48,0.1))</f>
        <v>#VALUE!</v>
      </c>
      <c r="W48" s="44" t="e">
        <f aca="false">IF($AD48=0,0,bsd(W$42,W$41,$E48,$G48,$O48,$L48,$P48,0.1))</f>
        <v>#VALUE!</v>
      </c>
      <c r="X48" s="44" t="e">
        <f aca="false">IF($AD48=0,0,bsd(X$42,X$41,$E48,$F48,$O48,$K48,$P48,0.1))</f>
        <v>#VALUE!</v>
      </c>
      <c r="Y48" s="44" t="e">
        <f aca="false">IF($AD48=0,0,bsd(Y$42,Y$41,$E48,$G48,$O48,$L48,$P48,0.1))</f>
        <v>#VALUE!</v>
      </c>
      <c r="Z48" s="44" t="e">
        <f aca="false">IF($AD48=0,0,bsd(Z$42,Z$41,$E48,$F48,$O48,$K48,$P48,0.1))</f>
        <v>#VALUE!</v>
      </c>
      <c r="AA48" s="44" t="e">
        <f aca="false">IF($AD48=0,0,bsd(AA$42,AA$41,$E48,$G48,$O48,$L48,$P48,0.1))</f>
        <v>#VALUE!</v>
      </c>
      <c r="AC48" s="48" t="n">
        <f aca="false">DATE(YEAR(AC47),MONTH(AC47)+1,1)</f>
        <v>37073</v>
      </c>
      <c r="AD48" s="9" t="n">
        <f aca="false">IF(AE48&gt;0,AC49-AC48,0)</f>
        <v>31</v>
      </c>
      <c r="AE48" s="48" t="n">
        <f aca="false">IF(AC48&lt;=B$3,AC48,0)</f>
        <v>37073</v>
      </c>
      <c r="AF48" s="40" t="n">
        <f aca="false">VLOOKUP(AC48,STRADDLE,3,FALSE())</f>
        <v>4.4</v>
      </c>
      <c r="AG48" s="40" t="n">
        <f aca="false">IF($B$20=1,VLOOKUP(AC48,curvesettle,HLOOKUP($B$21,curvesettle,2,FALSE()),0),0)</f>
        <v>0.03</v>
      </c>
      <c r="AH48" s="40" t="n">
        <f aca="false">AD48*AF48</f>
        <v>136.4</v>
      </c>
      <c r="AI48" s="40" t="n">
        <f aca="false">AD48*AG48</f>
        <v>0.93</v>
      </c>
      <c r="AJ48" s="4" t="n">
        <f aca="false">(VLOOKUP(AC48,STRADDLE,10,FALSE())+$B$9)*$B$10</f>
        <v>10</v>
      </c>
      <c r="AK48" s="177" t="n">
        <f aca="false">AJ48*AD48</f>
        <v>310</v>
      </c>
      <c r="AL48" s="177"/>
      <c r="AM48" s="48" t="n">
        <f aca="false">DATE(YEAR(AM47),MONTH(AM47)+1,1)</f>
        <v>37073</v>
      </c>
      <c r="AN48" s="9" t="n">
        <f aca="false">IF(AO48&gt;0,AM49-AM48,0)</f>
        <v>31</v>
      </c>
      <c r="AO48" s="48" t="n">
        <f aca="false">IF(AM48&lt;=$C$3,AM48,0)</f>
        <v>37073</v>
      </c>
      <c r="AP48" s="40" t="n">
        <f aca="false">VLOOKUP(AM48,STRADDLE,3,FALSE())</f>
        <v>4.4</v>
      </c>
      <c r="AQ48" s="40" t="n">
        <f aca="false">IF($C$20=1,VLOOKUP(AM48,curvesettle,HLOOKUP($C$21,curvesettle,2,FALSE()),0),0)</f>
        <v>0.03</v>
      </c>
      <c r="AR48" s="40" t="n">
        <f aca="false">AN48*AP48</f>
        <v>136.4</v>
      </c>
      <c r="AS48" s="40" t="n">
        <f aca="false">AN48*AQ48</f>
        <v>0.93</v>
      </c>
      <c r="AT48" s="4" t="n">
        <f aca="false">(VLOOKUP(AM48,STRADDLE,10,FALSE())+$C$9)*$C$10</f>
        <v>10</v>
      </c>
      <c r="AU48" s="177" t="n">
        <f aca="false">AT48*AN48</f>
        <v>310</v>
      </c>
      <c r="AV48" s="40"/>
      <c r="AW48" s="48" t="n">
        <f aca="false">DATE(YEAR(AW47),MONTH(AW47)+1,1)</f>
        <v>37196</v>
      </c>
      <c r="AX48" s="9" t="n">
        <f aca="false">IF(AY48&gt;0,AW49-AW48,0)</f>
        <v>30</v>
      </c>
      <c r="AY48" s="48" t="n">
        <f aca="false">IF(AW48&lt;=$D$3,AW48,0)</f>
        <v>37196</v>
      </c>
      <c r="AZ48" s="40" t="n">
        <f aca="false">VLOOKUP(AW48,STRADDLE,3,FALSE())</f>
        <v>4.465</v>
      </c>
      <c r="BA48" s="40" t="n">
        <f aca="false">IF($D$20=1,VLOOKUP(AW48,curvesettle,HLOOKUP($D$21,curvesettle,2,FALSE()),0),0)</f>
        <v>-0.0375</v>
      </c>
      <c r="BB48" s="40" t="n">
        <f aca="false">AX48*AZ48</f>
        <v>133.95</v>
      </c>
      <c r="BC48" s="40" t="n">
        <f aca="false">AX48*BA48</f>
        <v>-1.125</v>
      </c>
      <c r="BD48" s="4" t="n">
        <f aca="false">(VLOOKUP(AW48,STRADDLE,10,FALSE())+$D$9)*$D$10</f>
        <v>14</v>
      </c>
      <c r="BE48" s="177" t="n">
        <f aca="false">BD48*AX48</f>
        <v>420</v>
      </c>
      <c r="BF48" s="177"/>
      <c r="BG48" s="177"/>
      <c r="BH48" s="1" t="n">
        <f aca="false">AD48*B48</f>
        <v>136.4</v>
      </c>
      <c r="BI48" s="33" t="e">
        <f aca="false">AD48*E48</f>
        <v>#REF!</v>
      </c>
      <c r="BJ48" s="45" t="e">
        <f aca="false">$AD48*R48</f>
        <v>#VALUE!</v>
      </c>
      <c r="BK48" s="45" t="e">
        <f aca="false">$AD48*T48</f>
        <v>#VALUE!</v>
      </c>
      <c r="BL48" s="45" t="e">
        <f aca="false">$AD48*V48</f>
        <v>#VALUE!</v>
      </c>
      <c r="BM48" s="45" t="e">
        <f aca="false">$AD48*X48</f>
        <v>#VALUE!</v>
      </c>
      <c r="BN48" s="45" t="e">
        <f aca="false">$AD48*Z48</f>
        <v>#VALUE!</v>
      </c>
      <c r="BP48" s="33"/>
      <c r="BQ48" s="45" t="e">
        <f aca="false">$AD48*S48</f>
        <v>#VALUE!</v>
      </c>
      <c r="BR48" s="45" t="e">
        <f aca="false">$AD48*U48</f>
        <v>#VALUE!</v>
      </c>
      <c r="BS48" s="45" t="e">
        <f aca="false">$AD48*W48</f>
        <v>#VALUE!</v>
      </c>
      <c r="BT48" s="45" t="e">
        <f aca="false">$AD48*Y48</f>
        <v>#VALUE!</v>
      </c>
      <c r="BU48" s="45" t="e">
        <f aca="false">$AD48*AA48</f>
        <v>#VALUE!</v>
      </c>
      <c r="BV48" s="46"/>
      <c r="BW48" s="45"/>
      <c r="BX48" s="46"/>
      <c r="BY48" s="47"/>
      <c r="BZ48" s="47"/>
      <c r="CA48" s="47"/>
    </row>
    <row r="49" customFormat="false" ht="12.75" hidden="false" customHeight="false" outlineLevel="0" collapsed="false">
      <c r="A49" s="48" t="n">
        <f aca="false">DATE(YEAR(A48),MONTH(A48)+1,1)</f>
        <v>37104</v>
      </c>
      <c r="B49" s="40" t="n">
        <f aca="false">VLOOKUP(A49,STRADDLE,3,FALSE())</f>
        <v>4.39</v>
      </c>
      <c r="C49" s="40" t="n">
        <f aca="false">IF(B$20=1,VLOOKUP(A49,curvesettle,HLOOKUP($B$21,curvesettle,2,FALSE()),0),0)</f>
        <v>0.0325</v>
      </c>
      <c r="D49" s="175" t="n">
        <v>0</v>
      </c>
      <c r="E49" s="176" t="e">
        <f aca="false">D49+B49+C49+#REF!</f>
        <v>#REF!</v>
      </c>
      <c r="F49" s="41" t="n">
        <f aca="false">IF(B$25=1,E49,B$18)</f>
        <v>3.6</v>
      </c>
      <c r="G49" s="41" t="n">
        <f aca="false">IF($B$25=1,$E49,IF(B$25=2,B$18,C$18))</f>
        <v>3.8</v>
      </c>
      <c r="H49" s="4" t="n">
        <f aca="false">VLOOKUP(A49,STRADDLE,10,FALSE())</f>
        <v>11</v>
      </c>
      <c r="I49" s="4" t="e">
        <f aca="false">IF(#REF!=1,VLOOKUP($A49,SkewTable,HLOOKUP(ROUND(F49-$E49,1),SkewTable,2,FALSE()),FALSE())/100,0)</f>
        <v>#REF!</v>
      </c>
      <c r="J49" s="4" t="e">
        <f aca="false">IF(#REF!=1,VLOOKUP($A49,SkewTable,HLOOKUP(ROUND(G49-$E49,1),SkewTable,2,FALSE()),FALSE())/100,0)</f>
        <v>#REF!</v>
      </c>
      <c r="K49" s="4" t="e">
        <f aca="false">($H49+I49+#REF!)*#REF!</f>
        <v>#REF!</v>
      </c>
      <c r="L49" s="4" t="e">
        <f aca="false">($H49+J49+#REF!)*#REF!</f>
        <v>#REF!</v>
      </c>
      <c r="M49" s="176"/>
      <c r="N49" s="176"/>
      <c r="O49" s="136" t="e">
        <f aca="false">IF(B$20=1,VLOOKUP(A49,expiration,2,FALSE()),VLOOKUP(A49,expiration,3,FALSE()))-B$22+#REF!</f>
        <v>#REF!</v>
      </c>
      <c r="P49" s="4" t="n">
        <f aca="false">VLOOKUP($A49,STRADDLE,12,FALSE())</f>
        <v>0.067695044006758</v>
      </c>
      <c r="Q49" s="131"/>
      <c r="R49" s="44" t="e">
        <f aca="false">IF($AD49=0,0,bsd(R$42,R$41,$E49,$F49,$O49,$K49,$P49,0.1))</f>
        <v>#VALUE!</v>
      </c>
      <c r="S49" s="44" t="e">
        <f aca="false">IF($AD49=0,0,bsd(S$42,S$41,$E49,$G49,$O49,$L49,$P49,0.1))</f>
        <v>#VALUE!</v>
      </c>
      <c r="T49" s="44" t="e">
        <f aca="false">IF($AD49=0,0,bsd(T$42,T$41,$E49,$F49,$O49,$K49,$P49,0.1))</f>
        <v>#VALUE!</v>
      </c>
      <c r="U49" s="44" t="e">
        <f aca="false">IF($AD49=0,0,bsd(U$42,U$41,$E49,$G49,$O49,$L49,$P49,0.1))</f>
        <v>#VALUE!</v>
      </c>
      <c r="V49" s="44" t="e">
        <f aca="false">IF($AD49=0,0,bsd(V$42,V$41,$E49,$F49,$O49,$K49,$P49,0.1))</f>
        <v>#VALUE!</v>
      </c>
      <c r="W49" s="44" t="e">
        <f aca="false">IF($AD49=0,0,bsd(W$42,W$41,$E49,$G49,$O49,$L49,$P49,0.1))</f>
        <v>#VALUE!</v>
      </c>
      <c r="X49" s="44" t="e">
        <f aca="false">IF($AD49=0,0,bsd(X$42,X$41,$E49,$F49,$O49,$K49,$P49,0.1))</f>
        <v>#VALUE!</v>
      </c>
      <c r="Y49" s="44" t="e">
        <f aca="false">IF($AD49=0,0,bsd(Y$42,Y$41,$E49,$G49,$O49,$L49,$P49,0.1))</f>
        <v>#VALUE!</v>
      </c>
      <c r="Z49" s="44" t="e">
        <f aca="false">IF($AD49=0,0,bsd(Z$42,Z$41,$E49,$F49,$O49,$K49,$P49,0.1))</f>
        <v>#VALUE!</v>
      </c>
      <c r="AA49" s="44" t="e">
        <f aca="false">IF($AD49=0,0,bsd(AA$42,AA$41,$E49,$G49,$O49,$L49,$P49,0.1))</f>
        <v>#VALUE!</v>
      </c>
      <c r="AC49" s="48" t="n">
        <f aca="false">DATE(YEAR(AC48),MONTH(AC48)+1,1)</f>
        <v>37104</v>
      </c>
      <c r="AD49" s="9" t="n">
        <f aca="false">IF(AE49&gt;0,AC50-AC49,0)</f>
        <v>31</v>
      </c>
      <c r="AE49" s="48" t="n">
        <f aca="false">IF(AC49&lt;=B$3,AC49,0)</f>
        <v>37104</v>
      </c>
      <c r="AF49" s="40" t="n">
        <f aca="false">VLOOKUP(AC49,STRADDLE,3,FALSE())</f>
        <v>4.39</v>
      </c>
      <c r="AG49" s="40" t="n">
        <f aca="false">IF($B$20=1,VLOOKUP(AC49,curvesettle,HLOOKUP($B$21,curvesettle,2,FALSE()),0),0)</f>
        <v>0.0325</v>
      </c>
      <c r="AH49" s="40" t="n">
        <f aca="false">AD49*AF49</f>
        <v>136.09</v>
      </c>
      <c r="AI49" s="40" t="n">
        <f aca="false">AD49*AG49</f>
        <v>1.0075</v>
      </c>
      <c r="AJ49" s="4" t="n">
        <f aca="false">(VLOOKUP(AC49,STRADDLE,10,FALSE())+$B$9)*$B$10</f>
        <v>11</v>
      </c>
      <c r="AK49" s="177" t="n">
        <f aca="false">AJ49*AD49</f>
        <v>341</v>
      </c>
      <c r="AL49" s="177"/>
      <c r="AM49" s="48" t="n">
        <f aca="false">DATE(YEAR(AM48),MONTH(AM48)+1,1)</f>
        <v>37104</v>
      </c>
      <c r="AN49" s="9" t="n">
        <f aca="false">IF(AO49&gt;0,AM50-AM49,0)</f>
        <v>31</v>
      </c>
      <c r="AO49" s="48" t="n">
        <f aca="false">IF(AM49&lt;=$C$3,AM49,0)</f>
        <v>37104</v>
      </c>
      <c r="AP49" s="40" t="n">
        <f aca="false">VLOOKUP(AM49,STRADDLE,3,FALSE())</f>
        <v>4.39</v>
      </c>
      <c r="AQ49" s="40" t="n">
        <f aca="false">IF($C$20=1,VLOOKUP(AM49,curvesettle,HLOOKUP($C$21,curvesettle,2,FALSE()),0),0)</f>
        <v>0.0325</v>
      </c>
      <c r="AR49" s="40" t="n">
        <f aca="false">AN49*AP49</f>
        <v>136.09</v>
      </c>
      <c r="AS49" s="40" t="n">
        <f aca="false">AN49*AQ49</f>
        <v>1.0075</v>
      </c>
      <c r="AT49" s="4" t="n">
        <f aca="false">(VLOOKUP(AM49,STRADDLE,10,FALSE())+$C$9)*$C$10</f>
        <v>11</v>
      </c>
      <c r="AU49" s="177" t="n">
        <f aca="false">AT49*AN49</f>
        <v>341</v>
      </c>
      <c r="AV49" s="40"/>
      <c r="AW49" s="48" t="n">
        <f aca="false">DATE(YEAR(AW48),MONTH(AW48)+1,1)</f>
        <v>37226</v>
      </c>
      <c r="AX49" s="9" t="n">
        <f aca="false">IF(AY49&gt;0,AW50-AW49,0)</f>
        <v>31</v>
      </c>
      <c r="AY49" s="48" t="n">
        <f aca="false">IF(AW49&lt;=$D$3,AW49,0)</f>
        <v>37226</v>
      </c>
      <c r="AZ49" s="40" t="n">
        <f aca="false">VLOOKUP(AW49,STRADDLE,3,FALSE())</f>
        <v>4.56</v>
      </c>
      <c r="BA49" s="40" t="n">
        <f aca="false">IF($D$20=1,VLOOKUP(AW49,curvesettle,HLOOKUP($D$21,curvesettle,2,FALSE()),0),0)</f>
        <v>-0.06</v>
      </c>
      <c r="BB49" s="40" t="n">
        <f aca="false">AX49*AZ49</f>
        <v>141.36</v>
      </c>
      <c r="BC49" s="40" t="n">
        <f aca="false">AX49*BA49</f>
        <v>-1.86</v>
      </c>
      <c r="BD49" s="4" t="n">
        <f aca="false">(VLOOKUP(AW49,STRADDLE,10,FALSE())+$D$9)*$D$10</f>
        <v>15</v>
      </c>
      <c r="BE49" s="177" t="n">
        <f aca="false">BD49*AX49</f>
        <v>465</v>
      </c>
      <c r="BF49" s="177"/>
      <c r="BG49" s="177"/>
      <c r="BH49" s="1" t="n">
        <f aca="false">AD49*B49</f>
        <v>136.09</v>
      </c>
      <c r="BI49" s="33" t="e">
        <f aca="false">AD49*E49</f>
        <v>#REF!</v>
      </c>
      <c r="BJ49" s="45" t="e">
        <f aca="false">$AD49*R49</f>
        <v>#VALUE!</v>
      </c>
      <c r="BK49" s="45" t="e">
        <f aca="false">$AD49*T49</f>
        <v>#VALUE!</v>
      </c>
      <c r="BL49" s="45" t="e">
        <f aca="false">$AD49*V49</f>
        <v>#VALUE!</v>
      </c>
      <c r="BM49" s="45" t="e">
        <f aca="false">$AD49*X49</f>
        <v>#VALUE!</v>
      </c>
      <c r="BN49" s="45" t="e">
        <f aca="false">$AD49*Z49</f>
        <v>#VALUE!</v>
      </c>
      <c r="BP49" s="33"/>
      <c r="BQ49" s="45" t="e">
        <f aca="false">$AD49*S49</f>
        <v>#VALUE!</v>
      </c>
      <c r="BR49" s="45" t="e">
        <f aca="false">$AD49*U49</f>
        <v>#VALUE!</v>
      </c>
      <c r="BS49" s="45" t="e">
        <f aca="false">$AD49*W49</f>
        <v>#VALUE!</v>
      </c>
      <c r="BT49" s="45" t="e">
        <f aca="false">$AD49*Y49</f>
        <v>#VALUE!</v>
      </c>
      <c r="BU49" s="45" t="e">
        <f aca="false">$AD49*AA49</f>
        <v>#VALUE!</v>
      </c>
      <c r="BV49" s="46"/>
      <c r="BW49" s="45"/>
      <c r="BX49" s="46"/>
      <c r="BY49" s="47"/>
      <c r="BZ49" s="47"/>
      <c r="CA49" s="47"/>
    </row>
    <row r="50" customFormat="false" ht="12.75" hidden="false" customHeight="false" outlineLevel="0" collapsed="false">
      <c r="A50" s="48" t="n">
        <f aca="false">DATE(YEAR(A49),MONTH(A49)+1,1)</f>
        <v>37135</v>
      </c>
      <c r="B50" s="40" t="n">
        <f aca="false">VLOOKUP(A50,STRADDLE,3,FALSE())</f>
        <v>4.37</v>
      </c>
      <c r="C50" s="40" t="n">
        <f aca="false">IF(B$20=1,VLOOKUP(A50,curvesettle,HLOOKUP($B$21,curvesettle,2,FALSE()),0),0)</f>
        <v>0.03</v>
      </c>
      <c r="D50" s="175" t="n">
        <v>0</v>
      </c>
      <c r="E50" s="176" t="e">
        <f aca="false">D50+B50+C50+#REF!</f>
        <v>#REF!</v>
      </c>
      <c r="F50" s="41" t="n">
        <f aca="false">IF(B$25=1,E50,B$18)</f>
        <v>3.6</v>
      </c>
      <c r="G50" s="41" t="n">
        <f aca="false">IF($B$25=1,$E50,IF(B$25=2,B$18,C$18))</f>
        <v>3.8</v>
      </c>
      <c r="H50" s="4" t="n">
        <f aca="false">VLOOKUP(A50,STRADDLE,10,FALSE())</f>
        <v>12</v>
      </c>
      <c r="I50" s="4" t="e">
        <f aca="false">IF(#REF!=1,VLOOKUP($A50,SkewTable,HLOOKUP(ROUND(F50-$E50,1),SkewTable,2,FALSE()),FALSE())/100,0)</f>
        <v>#REF!</v>
      </c>
      <c r="J50" s="4" t="e">
        <f aca="false">IF(#REF!=1,VLOOKUP($A50,SkewTable,HLOOKUP(ROUND(G50-$E50,1),SkewTable,2,FALSE()),FALSE())/100,0)</f>
        <v>#REF!</v>
      </c>
      <c r="K50" s="4" t="e">
        <f aca="false">($H50+I50+#REF!)*#REF!</f>
        <v>#REF!</v>
      </c>
      <c r="L50" s="4" t="e">
        <f aca="false">($H50+J50+#REF!)*#REF!</f>
        <v>#REF!</v>
      </c>
      <c r="M50" s="176"/>
      <c r="N50" s="176"/>
      <c r="O50" s="136" t="e">
        <f aca="false">IF(B$20=1,VLOOKUP(A50,expiration,2,FALSE()),VLOOKUP(A50,expiration,3,FALSE()))-B$22+#REF!</f>
        <v>#REF!</v>
      </c>
      <c r="P50" s="4" t="n">
        <f aca="false">VLOOKUP($A50,STRADDLE,12,FALSE())</f>
        <v>0.067594533151252</v>
      </c>
      <c r="Q50" s="131"/>
      <c r="R50" s="44" t="e">
        <f aca="false">IF($AD50=0,0,bsd(R$42,R$41,$E50,$F50,$O50,$K50,$P50,0.1))</f>
        <v>#VALUE!</v>
      </c>
      <c r="S50" s="44" t="e">
        <f aca="false">IF($AD50=0,0,bsd(S$42,S$41,$E50,$G50,$O50,$L50,$P50,0.1))</f>
        <v>#VALUE!</v>
      </c>
      <c r="T50" s="44" t="e">
        <f aca="false">IF($AD50=0,0,bsd(T$42,T$41,$E50,$F50,$O50,$K50,$P50,0.1))</f>
        <v>#VALUE!</v>
      </c>
      <c r="U50" s="44" t="e">
        <f aca="false">IF($AD50=0,0,bsd(U$42,U$41,$E50,$G50,$O50,$L50,$P50,0.1))</f>
        <v>#VALUE!</v>
      </c>
      <c r="V50" s="44" t="e">
        <f aca="false">IF($AD50=0,0,bsd(V$42,V$41,$E50,$F50,$O50,$K50,$P50,0.1))</f>
        <v>#VALUE!</v>
      </c>
      <c r="W50" s="44" t="e">
        <f aca="false">IF($AD50=0,0,bsd(W$42,W$41,$E50,$G50,$O50,$L50,$P50,0.1))</f>
        <v>#VALUE!</v>
      </c>
      <c r="X50" s="44" t="e">
        <f aca="false">IF($AD50=0,0,bsd(X$42,X$41,$E50,$F50,$O50,$K50,$P50,0.1))</f>
        <v>#VALUE!</v>
      </c>
      <c r="Y50" s="44" t="e">
        <f aca="false">IF($AD50=0,0,bsd(Y$42,Y$41,$E50,$G50,$O50,$L50,$P50,0.1))</f>
        <v>#VALUE!</v>
      </c>
      <c r="Z50" s="44" t="e">
        <f aca="false">IF($AD50=0,0,bsd(Z$42,Z$41,$E50,$F50,$O50,$K50,$P50,0.1))</f>
        <v>#VALUE!</v>
      </c>
      <c r="AA50" s="44" t="e">
        <f aca="false">IF($AD50=0,0,bsd(AA$42,AA$41,$E50,$G50,$O50,$L50,$P50,0.1))</f>
        <v>#VALUE!</v>
      </c>
      <c r="AC50" s="48" t="n">
        <f aca="false">DATE(YEAR(AC49),MONTH(AC49)+1,1)</f>
        <v>37135</v>
      </c>
      <c r="AD50" s="9" t="n">
        <f aca="false">IF(AE50&gt;0,AC51-AC50,0)</f>
        <v>30</v>
      </c>
      <c r="AE50" s="48" t="n">
        <f aca="false">IF(AC50&lt;=B$3,AC50,0)</f>
        <v>37135</v>
      </c>
      <c r="AF50" s="40" t="n">
        <f aca="false">VLOOKUP(AC50,STRADDLE,3,FALSE())</f>
        <v>4.37</v>
      </c>
      <c r="AG50" s="40" t="n">
        <f aca="false">IF($B$20=1,VLOOKUP(AC50,curvesettle,HLOOKUP($B$21,curvesettle,2,FALSE()),0),0)</f>
        <v>0.03</v>
      </c>
      <c r="AH50" s="40" t="n">
        <f aca="false">AD50*AF50</f>
        <v>131.1</v>
      </c>
      <c r="AI50" s="40" t="n">
        <f aca="false">AD50*AG50</f>
        <v>0.9</v>
      </c>
      <c r="AJ50" s="4" t="n">
        <f aca="false">(VLOOKUP(AC50,STRADDLE,10,FALSE())+$B$9)*$B$10</f>
        <v>12</v>
      </c>
      <c r="AK50" s="177" t="n">
        <f aca="false">AJ50*AD50</f>
        <v>360</v>
      </c>
      <c r="AL50" s="177"/>
      <c r="AM50" s="48" t="n">
        <f aca="false">DATE(YEAR(AM49),MONTH(AM49)+1,1)</f>
        <v>37135</v>
      </c>
      <c r="AN50" s="9" t="n">
        <f aca="false">IF(AO50&gt;0,AM51-AM50,0)</f>
        <v>30</v>
      </c>
      <c r="AO50" s="48" t="n">
        <f aca="false">IF(AM50&lt;=$C$3,AM50,0)</f>
        <v>37135</v>
      </c>
      <c r="AP50" s="40" t="n">
        <f aca="false">VLOOKUP(AM50,STRADDLE,3,FALSE())</f>
        <v>4.37</v>
      </c>
      <c r="AQ50" s="40" t="n">
        <f aca="false">IF($C$20=1,VLOOKUP(AM50,curvesettle,HLOOKUP($C$21,curvesettle,2,FALSE()),0),0)</f>
        <v>0.03</v>
      </c>
      <c r="AR50" s="40" t="n">
        <f aca="false">AN50*AP50</f>
        <v>131.1</v>
      </c>
      <c r="AS50" s="40" t="n">
        <f aca="false">AN50*AQ50</f>
        <v>0.9</v>
      </c>
      <c r="AT50" s="4" t="n">
        <f aca="false">(VLOOKUP(AM50,STRADDLE,10,FALSE())+$C$9)*$C$10</f>
        <v>12</v>
      </c>
      <c r="AU50" s="177" t="n">
        <f aca="false">AT50*AN50</f>
        <v>360</v>
      </c>
      <c r="AV50" s="40"/>
      <c r="AW50" s="48" t="n">
        <f aca="false">DATE(YEAR(AW49),MONTH(AW49)+1,1)</f>
        <v>37257</v>
      </c>
      <c r="AX50" s="9" t="n">
        <f aca="false">IF(AY50&gt;0,AW51-AW50,0)</f>
        <v>31</v>
      </c>
      <c r="AY50" s="48" t="n">
        <f aca="false">IF(AW50&lt;=$D$3,AW50,0)</f>
        <v>37257</v>
      </c>
      <c r="AZ50" s="40" t="n">
        <f aca="false">VLOOKUP(AW50,STRADDLE,3,FALSE())</f>
        <v>4.525</v>
      </c>
      <c r="BA50" s="40" t="n">
        <f aca="false">IF($D$20=1,VLOOKUP(AW50,curvesettle,HLOOKUP($D$21,curvesettle,2,FALSE()),0),0)</f>
        <v>-0.0625</v>
      </c>
      <c r="BB50" s="40" t="n">
        <f aca="false">AX50*AZ50</f>
        <v>140.275</v>
      </c>
      <c r="BC50" s="40" t="n">
        <f aca="false">AX50*BA50</f>
        <v>-1.9375</v>
      </c>
      <c r="BD50" s="4" t="n">
        <f aca="false">(VLOOKUP(AW50,STRADDLE,10,FALSE())+$D$9)*$D$10</f>
        <v>16</v>
      </c>
      <c r="BE50" s="177" t="n">
        <f aca="false">BD50*AX50</f>
        <v>496</v>
      </c>
      <c r="BF50" s="177"/>
      <c r="BG50" s="177"/>
      <c r="BH50" s="1" t="n">
        <f aca="false">AD50*B50</f>
        <v>131.1</v>
      </c>
      <c r="BI50" s="33" t="e">
        <f aca="false">AD50*E50</f>
        <v>#REF!</v>
      </c>
      <c r="BJ50" s="45" t="e">
        <f aca="false">$AD50*R50</f>
        <v>#VALUE!</v>
      </c>
      <c r="BK50" s="45" t="e">
        <f aca="false">$AD50*T50</f>
        <v>#VALUE!</v>
      </c>
      <c r="BL50" s="45" t="e">
        <f aca="false">$AD50*V50</f>
        <v>#VALUE!</v>
      </c>
      <c r="BM50" s="45" t="e">
        <f aca="false">$AD50*X50</f>
        <v>#VALUE!</v>
      </c>
      <c r="BN50" s="45" t="e">
        <f aca="false">$AD50*Z50</f>
        <v>#VALUE!</v>
      </c>
      <c r="BP50" s="33"/>
      <c r="BQ50" s="45" t="e">
        <f aca="false">$AD50*S50</f>
        <v>#VALUE!</v>
      </c>
      <c r="BR50" s="45" t="e">
        <f aca="false">$AD50*U50</f>
        <v>#VALUE!</v>
      </c>
      <c r="BS50" s="45" t="e">
        <f aca="false">$AD50*W50</f>
        <v>#VALUE!</v>
      </c>
      <c r="BT50" s="45" t="e">
        <f aca="false">$AD50*Y50</f>
        <v>#VALUE!</v>
      </c>
      <c r="BU50" s="45" t="e">
        <f aca="false">$AD50*AA50</f>
        <v>#VALUE!</v>
      </c>
      <c r="BV50" s="46"/>
      <c r="BW50" s="45"/>
      <c r="BX50" s="46"/>
      <c r="BY50" s="47"/>
      <c r="BZ50" s="47"/>
      <c r="CA50" s="47"/>
    </row>
    <row r="51" customFormat="false" ht="12.75" hidden="false" customHeight="false" outlineLevel="0" collapsed="false">
      <c r="A51" s="48" t="n">
        <f aca="false">DATE(YEAR(A50),MONTH(A50)+1,1)</f>
        <v>37165</v>
      </c>
      <c r="B51" s="40" t="n">
        <f aca="false">VLOOKUP(A51,STRADDLE,3,FALSE())</f>
        <v>4.36</v>
      </c>
      <c r="C51" s="40" t="n">
        <f aca="false">IF(B$20=1,VLOOKUP(A51,curvesettle,HLOOKUP($B$21,curvesettle,2,FALSE()),0),0)</f>
        <v>0.0125</v>
      </c>
      <c r="D51" s="175" t="n">
        <v>0</v>
      </c>
      <c r="E51" s="176" t="e">
        <f aca="false">D51+B51+C51+#REF!</f>
        <v>#REF!</v>
      </c>
      <c r="F51" s="41" t="n">
        <f aca="false">IF(B$25=1,E51,B$18)</f>
        <v>3.6</v>
      </c>
      <c r="G51" s="41" t="n">
        <f aca="false">IF($B$25=1,$E51,IF(B$25=2,B$18,C$18))</f>
        <v>3.8</v>
      </c>
      <c r="H51" s="4" t="n">
        <f aca="false">VLOOKUP(A51,STRADDLE,10,FALSE())</f>
        <v>13</v>
      </c>
      <c r="I51" s="4" t="e">
        <f aca="false">IF(#REF!=1,VLOOKUP($A51,SkewTable,HLOOKUP(ROUND(F51-$E51,1),SkewTable,2,FALSE()),FALSE())/100,0)</f>
        <v>#REF!</v>
      </c>
      <c r="J51" s="4" t="e">
        <f aca="false">IF(#REF!=1,VLOOKUP($A51,SkewTable,HLOOKUP(ROUND(G51-$E51,1),SkewTable,2,FALSE()),FALSE())/100,0)</f>
        <v>#REF!</v>
      </c>
      <c r="K51" s="4" t="e">
        <f aca="false">($H51+I51+#REF!)*#REF!</f>
        <v>#REF!</v>
      </c>
      <c r="L51" s="4" t="e">
        <f aca="false">($H51+J51+#REF!)*#REF!</f>
        <v>#REF!</v>
      </c>
      <c r="M51" s="176"/>
      <c r="N51" s="176"/>
      <c r="O51" s="136" t="e">
        <f aca="false">IF(B$20=1,VLOOKUP(A51,expiration,2,FALSE()),VLOOKUP(A51,expiration,3,FALSE()))-B$22+#REF!</f>
        <v>#REF!</v>
      </c>
      <c r="P51" s="4" t="n">
        <f aca="false">VLOOKUP($A51,STRADDLE,12,FALSE())</f>
        <v>0.067509261584356</v>
      </c>
      <c r="Q51" s="131"/>
      <c r="R51" s="44" t="e">
        <f aca="false">IF($AD51=0,0,bsd(R$42,R$41,$E51,$F51,$O51,$K51,$P51,0.1))</f>
        <v>#VALUE!</v>
      </c>
      <c r="S51" s="44" t="e">
        <f aca="false">IF($AD51=0,0,bsd(S$42,S$41,$E51,$G51,$O51,$L51,$P51,0.1))</f>
        <v>#VALUE!</v>
      </c>
      <c r="T51" s="44" t="e">
        <f aca="false">IF($AD51=0,0,bsd(T$42,T$41,$E51,$F51,$O51,$K51,$P51,0.1))</f>
        <v>#VALUE!</v>
      </c>
      <c r="U51" s="44" t="e">
        <f aca="false">IF($AD51=0,0,bsd(U$42,U$41,$E51,$G51,$O51,$L51,$P51,0.1))</f>
        <v>#VALUE!</v>
      </c>
      <c r="V51" s="44" t="e">
        <f aca="false">IF($AD51=0,0,bsd(V$42,V$41,$E51,$F51,$O51,$K51,$P51,0.1))</f>
        <v>#VALUE!</v>
      </c>
      <c r="W51" s="44" t="e">
        <f aca="false">IF($AD51=0,0,bsd(W$42,W$41,$E51,$G51,$O51,$L51,$P51,0.1))</f>
        <v>#VALUE!</v>
      </c>
      <c r="X51" s="44" t="e">
        <f aca="false">IF($AD51=0,0,bsd(X$42,X$41,$E51,$F51,$O51,$K51,$P51,0.1))</f>
        <v>#VALUE!</v>
      </c>
      <c r="Y51" s="44" t="e">
        <f aca="false">IF($AD51=0,0,bsd(Y$42,Y$41,$E51,$G51,$O51,$L51,$P51,0.1))</f>
        <v>#VALUE!</v>
      </c>
      <c r="Z51" s="44" t="e">
        <f aca="false">IF($AD51=0,0,bsd(Z$42,Z$41,$E51,$F51,$O51,$K51,$P51,0.1))</f>
        <v>#VALUE!</v>
      </c>
      <c r="AA51" s="44" t="e">
        <f aca="false">IF($AD51=0,0,bsd(AA$42,AA$41,$E51,$G51,$O51,$L51,$P51,0.1))</f>
        <v>#VALUE!</v>
      </c>
      <c r="AC51" s="48" t="n">
        <f aca="false">DATE(YEAR(AC50),MONTH(AC50)+1,1)</f>
        <v>37165</v>
      </c>
      <c r="AD51" s="9" t="n">
        <f aca="false">IF(AE51&gt;0,AC52-AC51,0)</f>
        <v>31</v>
      </c>
      <c r="AE51" s="48" t="n">
        <f aca="false">IF(AC51&lt;=B$3,AC51,0)</f>
        <v>37165</v>
      </c>
      <c r="AF51" s="40" t="n">
        <f aca="false">VLOOKUP(AC51,STRADDLE,3,FALSE())</f>
        <v>4.36</v>
      </c>
      <c r="AG51" s="40" t="n">
        <f aca="false">IF($B$20=1,VLOOKUP(AC51,curvesettle,HLOOKUP($B$21,curvesettle,2,FALSE()),0),0)</f>
        <v>0.0125</v>
      </c>
      <c r="AH51" s="40" t="n">
        <f aca="false">AD51*AF51</f>
        <v>135.16</v>
      </c>
      <c r="AI51" s="40" t="n">
        <f aca="false">AD51*AG51</f>
        <v>0.3875</v>
      </c>
      <c r="AJ51" s="4" t="n">
        <f aca="false">(VLOOKUP(AC51,STRADDLE,10,FALSE())+$B$9)*$B$10</f>
        <v>13</v>
      </c>
      <c r="AK51" s="177" t="n">
        <f aca="false">AJ51*AD51</f>
        <v>403</v>
      </c>
      <c r="AL51" s="177"/>
      <c r="AM51" s="48" t="n">
        <f aca="false">DATE(YEAR(AM50),MONTH(AM50)+1,1)</f>
        <v>37165</v>
      </c>
      <c r="AN51" s="9" t="n">
        <f aca="false">IF(AO51&gt;0,AM52-AM51,0)</f>
        <v>31</v>
      </c>
      <c r="AO51" s="48" t="n">
        <f aca="false">IF(AM51&lt;=$C$3,AM51,0)</f>
        <v>37165</v>
      </c>
      <c r="AP51" s="40" t="n">
        <f aca="false">VLOOKUP(AM51,STRADDLE,3,FALSE())</f>
        <v>4.36</v>
      </c>
      <c r="AQ51" s="40" t="n">
        <f aca="false">IF($C$20=1,VLOOKUP(AM51,curvesettle,HLOOKUP($C$21,curvesettle,2,FALSE()),0),0)</f>
        <v>0.0125</v>
      </c>
      <c r="AR51" s="40" t="n">
        <f aca="false">AN51*AP51</f>
        <v>135.16</v>
      </c>
      <c r="AS51" s="40" t="n">
        <f aca="false">AN51*AQ51</f>
        <v>0.3875</v>
      </c>
      <c r="AT51" s="4" t="n">
        <f aca="false">(VLOOKUP(AM51,STRADDLE,10,FALSE())+$C$9)*$C$10</f>
        <v>13</v>
      </c>
      <c r="AU51" s="177" t="n">
        <f aca="false">AT51*AN51</f>
        <v>403</v>
      </c>
      <c r="AV51" s="40"/>
      <c r="AW51" s="48" t="n">
        <f aca="false">DATE(YEAR(AW50),MONTH(AW50)+1,1)</f>
        <v>37288</v>
      </c>
      <c r="AX51" s="9" t="n">
        <f aca="false">IF(AY51&gt;0,AW52-AW51,0)</f>
        <v>28</v>
      </c>
      <c r="AY51" s="48" t="n">
        <f aca="false">IF(AW51&lt;=$D$3,AW51,0)</f>
        <v>37288</v>
      </c>
      <c r="AZ51" s="40" t="n">
        <f aca="false">VLOOKUP(AW51,STRADDLE,3,FALSE())</f>
        <v>4.3</v>
      </c>
      <c r="BA51" s="40" t="n">
        <f aca="false">IF($D$20=1,VLOOKUP(AW51,curvesettle,HLOOKUP($D$21,curvesettle,2,FALSE()),0),0)</f>
        <v>-0.045</v>
      </c>
      <c r="BB51" s="40" t="n">
        <f aca="false">AX51*AZ51</f>
        <v>120.4</v>
      </c>
      <c r="BC51" s="40" t="n">
        <f aca="false">AX51*BA51</f>
        <v>-1.26</v>
      </c>
      <c r="BD51" s="4" t="n">
        <f aca="false">(VLOOKUP(AW51,STRADDLE,10,FALSE())+$D$9)*$D$10</f>
        <v>17</v>
      </c>
      <c r="BE51" s="177" t="n">
        <f aca="false">BD51*AX51</f>
        <v>476</v>
      </c>
      <c r="BF51" s="177"/>
      <c r="BG51" s="177"/>
      <c r="BH51" s="1" t="n">
        <f aca="false">AD51*B51</f>
        <v>135.16</v>
      </c>
      <c r="BI51" s="33" t="e">
        <f aca="false">AD51*E51</f>
        <v>#REF!</v>
      </c>
      <c r="BJ51" s="45" t="e">
        <f aca="false">$AD51*R51</f>
        <v>#VALUE!</v>
      </c>
      <c r="BK51" s="45" t="e">
        <f aca="false">$AD51*T51</f>
        <v>#VALUE!</v>
      </c>
      <c r="BL51" s="45" t="e">
        <f aca="false">$AD51*V51</f>
        <v>#VALUE!</v>
      </c>
      <c r="BM51" s="45" t="e">
        <f aca="false">$AD51*X51</f>
        <v>#VALUE!</v>
      </c>
      <c r="BN51" s="45" t="e">
        <f aca="false">$AD51*Z51</f>
        <v>#VALUE!</v>
      </c>
      <c r="BP51" s="33"/>
      <c r="BQ51" s="45" t="e">
        <f aca="false">$AD51*S51</f>
        <v>#VALUE!</v>
      </c>
      <c r="BR51" s="45" t="e">
        <f aca="false">$AD51*U51</f>
        <v>#VALUE!</v>
      </c>
      <c r="BS51" s="45" t="e">
        <f aca="false">$AD51*W51</f>
        <v>#VALUE!</v>
      </c>
      <c r="BT51" s="45" t="e">
        <f aca="false">$AD51*Y51</f>
        <v>#VALUE!</v>
      </c>
      <c r="BU51" s="45" t="e">
        <f aca="false">$AD51*AA51</f>
        <v>#VALUE!</v>
      </c>
      <c r="BV51" s="46"/>
      <c r="BW51" s="45"/>
      <c r="BX51" s="46"/>
      <c r="BY51" s="47"/>
      <c r="BZ51" s="47"/>
      <c r="CA51" s="47"/>
    </row>
    <row r="52" customFormat="false" ht="12.75" hidden="false" customHeight="false" outlineLevel="0" collapsed="false">
      <c r="A52" s="48" t="n">
        <f aca="false">DATE(YEAR(A51),MONTH(A51)+1,1)</f>
        <v>37196</v>
      </c>
      <c r="B52" s="40" t="n">
        <f aca="false">VLOOKUP(A52,STRADDLE,3,FALSE())</f>
        <v>4.465</v>
      </c>
      <c r="C52" s="40" t="n">
        <f aca="false">IF(B$20=1,VLOOKUP(A52,curvesettle,HLOOKUP($B$21,curvesettle,2,FALSE()),0),0)</f>
        <v>-0.0375</v>
      </c>
      <c r="D52" s="175" t="n">
        <v>0</v>
      </c>
      <c r="E52" s="176" t="e">
        <f aca="false">D52+B52+C52+#REF!</f>
        <v>#REF!</v>
      </c>
      <c r="F52" s="41" t="n">
        <f aca="false">IF(B$25=1,E52,B$18)</f>
        <v>3.6</v>
      </c>
      <c r="G52" s="41" t="n">
        <f aca="false">IF($B$25=1,$E52,IF(B$25=2,B$18,C$18))</f>
        <v>3.8</v>
      </c>
      <c r="H52" s="4" t="n">
        <f aca="false">VLOOKUP(A52,STRADDLE,10,FALSE())</f>
        <v>14</v>
      </c>
      <c r="I52" s="4" t="e">
        <f aca="false">IF(#REF!=1,VLOOKUP($A52,SkewTable,HLOOKUP(ROUND(F52-$E52,1),SkewTable,2,FALSE()),FALSE())/100,0)</f>
        <v>#REF!</v>
      </c>
      <c r="J52" s="4" t="e">
        <f aca="false">IF(#REF!=1,VLOOKUP($A52,SkewTable,HLOOKUP(ROUND(G52-$E52,1),SkewTable,2,FALSE()),FALSE())/100,0)</f>
        <v>#REF!</v>
      </c>
      <c r="K52" s="4" t="e">
        <f aca="false">($H52+I52+#REF!)*#REF!</f>
        <v>#REF!</v>
      </c>
      <c r="L52" s="4" t="e">
        <f aca="false">($H52+J52+#REF!)*#REF!</f>
        <v>#REF!</v>
      </c>
      <c r="M52" s="176"/>
      <c r="N52" s="176"/>
      <c r="O52" s="136" t="e">
        <f aca="false">IF(B$20=1,VLOOKUP(A52,expiration,2,FALSE()),VLOOKUP(A52,expiration,3,FALSE()))-B$22+#REF!</f>
        <v>#REF!</v>
      </c>
      <c r="P52" s="4" t="n">
        <f aca="false">VLOOKUP($A52,STRADDLE,12,FALSE())</f>
        <v>0.067440746905213</v>
      </c>
      <c r="Q52" s="131"/>
      <c r="R52" s="44" t="e">
        <f aca="false">IF($AD52=0,0,bsd(R$42,R$41,$E52,$F52,$O52,$K52,$P52,0.1))</f>
        <v>#VALUE!</v>
      </c>
      <c r="S52" s="44" t="e">
        <f aca="false">IF($AD52=0,0,bsd(S$42,S$41,$E52,$G52,$O52,$L52,$P52,0.1))</f>
        <v>#VALUE!</v>
      </c>
      <c r="T52" s="44" t="e">
        <f aca="false">IF($AD52=0,0,bsd(T$42,T$41,$E52,$F52,$O52,$K52,$P52,0.1))</f>
        <v>#VALUE!</v>
      </c>
      <c r="U52" s="44" t="e">
        <f aca="false">IF($AD52=0,0,bsd(U$42,U$41,$E52,$G52,$O52,$L52,$P52,0.1))</f>
        <v>#VALUE!</v>
      </c>
      <c r="V52" s="44" t="e">
        <f aca="false">IF($AD52=0,0,bsd(V$42,V$41,$E52,$F52,$O52,$K52,$P52,0.1))</f>
        <v>#VALUE!</v>
      </c>
      <c r="W52" s="44" t="e">
        <f aca="false">IF($AD52=0,0,bsd(W$42,W$41,$E52,$G52,$O52,$L52,$P52,0.1))</f>
        <v>#VALUE!</v>
      </c>
      <c r="X52" s="44" t="e">
        <f aca="false">IF($AD52=0,0,bsd(X$42,X$41,$E52,$F52,$O52,$K52,$P52,0.1))</f>
        <v>#VALUE!</v>
      </c>
      <c r="Y52" s="44" t="e">
        <f aca="false">IF($AD52=0,0,bsd(Y$42,Y$41,$E52,$G52,$O52,$L52,$P52,0.1))</f>
        <v>#VALUE!</v>
      </c>
      <c r="Z52" s="44" t="e">
        <f aca="false">IF($AD52=0,0,bsd(Z$42,Z$41,$E52,$F52,$O52,$K52,$P52,0.1))</f>
        <v>#VALUE!</v>
      </c>
      <c r="AA52" s="44" t="e">
        <f aca="false">IF($AD52=0,0,bsd(AA$42,AA$41,$E52,$G52,$O52,$L52,$P52,0.1))</f>
        <v>#VALUE!</v>
      </c>
      <c r="AC52" s="48" t="n">
        <f aca="false">DATE(YEAR(AC51),MONTH(AC51)+1,1)</f>
        <v>37196</v>
      </c>
      <c r="AD52" s="9" t="n">
        <f aca="false">IF(AE52&gt;0,AC53-AC52,0)</f>
        <v>30</v>
      </c>
      <c r="AE52" s="48" t="n">
        <f aca="false">IF(AC52&lt;=B$3,AC52,0)</f>
        <v>37196</v>
      </c>
      <c r="AF52" s="40" t="n">
        <f aca="false">VLOOKUP(AC52,STRADDLE,3,FALSE())</f>
        <v>4.465</v>
      </c>
      <c r="AG52" s="40" t="n">
        <f aca="false">IF($B$20=1,VLOOKUP(AC52,curvesettle,HLOOKUP($B$21,curvesettle,2,FALSE()),0),0)</f>
        <v>-0.0375</v>
      </c>
      <c r="AH52" s="40" t="n">
        <f aca="false">AD52*AF52</f>
        <v>133.95</v>
      </c>
      <c r="AI52" s="40" t="n">
        <f aca="false">AD52*AG52</f>
        <v>-1.125</v>
      </c>
      <c r="AJ52" s="4" t="n">
        <f aca="false">(VLOOKUP(AC52,STRADDLE,10,FALSE())+$B$9)*$B$10</f>
        <v>14</v>
      </c>
      <c r="AK52" s="177" t="n">
        <f aca="false">AJ52*AD52</f>
        <v>420</v>
      </c>
      <c r="AL52" s="177"/>
      <c r="AM52" s="48" t="n">
        <f aca="false">DATE(YEAR(AM51),MONTH(AM51)+1,1)</f>
        <v>37196</v>
      </c>
      <c r="AN52" s="9" t="n">
        <f aca="false">IF(AO52&gt;0,AM53-AM52,0)</f>
        <v>30</v>
      </c>
      <c r="AO52" s="48" t="n">
        <f aca="false">IF(AM52&lt;=$C$3,AM52,0)</f>
        <v>37196</v>
      </c>
      <c r="AP52" s="40" t="n">
        <f aca="false">VLOOKUP(AM52,STRADDLE,3,FALSE())</f>
        <v>4.465</v>
      </c>
      <c r="AQ52" s="40" t="n">
        <f aca="false">IF($C$20=1,VLOOKUP(AM52,curvesettle,HLOOKUP($C$21,curvesettle,2,FALSE()),0),0)</f>
        <v>-0.0375</v>
      </c>
      <c r="AR52" s="40" t="n">
        <f aca="false">AN52*AP52</f>
        <v>133.95</v>
      </c>
      <c r="AS52" s="40" t="n">
        <f aca="false">AN52*AQ52</f>
        <v>-1.125</v>
      </c>
      <c r="AT52" s="4" t="n">
        <f aca="false">(VLOOKUP(AM52,STRADDLE,10,FALSE())+$C$9)*$C$10</f>
        <v>14</v>
      </c>
      <c r="AU52" s="177" t="n">
        <f aca="false">AT52*AN52</f>
        <v>420</v>
      </c>
      <c r="AV52" s="40"/>
      <c r="AW52" s="48" t="n">
        <f aca="false">DATE(YEAR(AW51),MONTH(AW51)+1,1)</f>
        <v>37316</v>
      </c>
      <c r="AX52" s="9" t="n">
        <f aca="false">IF(AY52&gt;0,AW53-AW52,0)</f>
        <v>31</v>
      </c>
      <c r="AY52" s="48" t="n">
        <f aca="false">IF(AW52&lt;=$D$3,AW52,0)</f>
        <v>37316</v>
      </c>
      <c r="AZ52" s="40" t="n">
        <f aca="false">VLOOKUP(AW52,STRADDLE,3,FALSE())</f>
        <v>4.07</v>
      </c>
      <c r="BA52" s="40" t="n">
        <f aca="false">IF($D$20=1,VLOOKUP(AW52,curvesettle,HLOOKUP($D$21,curvesettle,2,FALSE()),0),0)</f>
        <v>-0.0325</v>
      </c>
      <c r="BB52" s="40" t="n">
        <f aca="false">AX52*AZ52</f>
        <v>126.17</v>
      </c>
      <c r="BC52" s="40" t="n">
        <f aca="false">AX52*BA52</f>
        <v>-1.0075</v>
      </c>
      <c r="BD52" s="4" t="n">
        <f aca="false">(VLOOKUP(AW52,STRADDLE,10,FALSE())+$D$9)*$D$10</f>
        <v>18</v>
      </c>
      <c r="BE52" s="177" t="n">
        <f aca="false">BD52*AX52</f>
        <v>558</v>
      </c>
      <c r="BF52" s="177"/>
      <c r="BG52" s="177"/>
      <c r="BH52" s="1" t="n">
        <f aca="false">AD52*B52</f>
        <v>133.95</v>
      </c>
      <c r="BI52" s="33" t="e">
        <f aca="false">AD52*E52</f>
        <v>#REF!</v>
      </c>
      <c r="BJ52" s="45" t="e">
        <f aca="false">$AD52*R52</f>
        <v>#VALUE!</v>
      </c>
      <c r="BK52" s="45" t="e">
        <f aca="false">$AD52*T52</f>
        <v>#VALUE!</v>
      </c>
      <c r="BL52" s="45" t="e">
        <f aca="false">$AD52*V52</f>
        <v>#VALUE!</v>
      </c>
      <c r="BM52" s="45" t="e">
        <f aca="false">$AD52*X52</f>
        <v>#VALUE!</v>
      </c>
      <c r="BN52" s="45" t="e">
        <f aca="false">$AD52*Z52</f>
        <v>#VALUE!</v>
      </c>
      <c r="BP52" s="33"/>
      <c r="BQ52" s="45" t="e">
        <f aca="false">$AD52*S52</f>
        <v>#VALUE!</v>
      </c>
      <c r="BR52" s="45" t="e">
        <f aca="false">$AD52*U52</f>
        <v>#VALUE!</v>
      </c>
      <c r="BS52" s="45" t="e">
        <f aca="false">$AD52*W52</f>
        <v>#VALUE!</v>
      </c>
      <c r="BT52" s="45" t="e">
        <f aca="false">$AD52*Y52</f>
        <v>#VALUE!</v>
      </c>
      <c r="BU52" s="45" t="e">
        <f aca="false">$AD52*AA52</f>
        <v>#VALUE!</v>
      </c>
      <c r="BV52" s="46"/>
      <c r="BW52" s="45"/>
      <c r="BX52" s="46"/>
      <c r="BY52" s="47"/>
      <c r="BZ52" s="47"/>
      <c r="CA52" s="47"/>
    </row>
    <row r="53" customFormat="false" ht="12.75" hidden="false" customHeight="false" outlineLevel="0" collapsed="false">
      <c r="A53" s="48" t="n">
        <f aca="false">DATE(YEAR(A52),MONTH(A52)+1,1)</f>
        <v>37226</v>
      </c>
      <c r="B53" s="40" t="n">
        <f aca="false">VLOOKUP(A53,STRADDLE,3,FALSE())</f>
        <v>4.56</v>
      </c>
      <c r="C53" s="40" t="n">
        <f aca="false">IF(B$20=1,VLOOKUP(A53,curvesettle,HLOOKUP($B$21,curvesettle,2,FALSE()),0),0)</f>
        <v>-0.06</v>
      </c>
      <c r="D53" s="175" t="n">
        <v>0</v>
      </c>
      <c r="E53" s="176" t="e">
        <f aca="false">D53+B53+C53+#REF!</f>
        <v>#REF!</v>
      </c>
      <c r="F53" s="41" t="n">
        <f aca="false">IF(B$25=1,E53,B$18)</f>
        <v>3.6</v>
      </c>
      <c r="G53" s="41" t="n">
        <f aca="false">IF($B$25=1,$E53,IF(B$25=2,B$18,C$18))</f>
        <v>3.8</v>
      </c>
      <c r="H53" s="4" t="n">
        <f aca="false">VLOOKUP(A53,STRADDLE,10,FALSE())</f>
        <v>15</v>
      </c>
      <c r="I53" s="4" t="e">
        <f aca="false">IF(#REF!=1,VLOOKUP($A53,SkewTable,HLOOKUP(ROUND(F53-$E53,1),SkewTable,2,FALSE()),FALSE())/100,0)</f>
        <v>#REF!</v>
      </c>
      <c r="J53" s="4" t="e">
        <f aca="false">IF(#REF!=1,VLOOKUP($A53,SkewTable,HLOOKUP(ROUND(G53-$E53,1),SkewTable,2,FALSE()),FALSE())/100,0)</f>
        <v>#REF!</v>
      </c>
      <c r="K53" s="4" t="e">
        <f aca="false">($H53+I53+#REF!)*#REF!</f>
        <v>#REF!</v>
      </c>
      <c r="L53" s="4" t="e">
        <f aca="false">($H53+J53+#REF!)*#REF!</f>
        <v>#REF!</v>
      </c>
      <c r="M53" s="176"/>
      <c r="N53" s="176"/>
      <c r="O53" s="136" t="e">
        <f aca="false">IF(B$20=1,VLOOKUP(A53,expiration,2,FALSE()),VLOOKUP(A53,expiration,3,FALSE()))-B$22+#REF!</f>
        <v>#REF!</v>
      </c>
      <c r="P53" s="4" t="n">
        <f aca="false">VLOOKUP($A53,STRADDLE,12,FALSE())</f>
        <v>0.06737444237849</v>
      </c>
      <c r="Q53" s="131"/>
      <c r="R53" s="44" t="e">
        <f aca="false">IF($AD53=0,0,bsd(R$42,R$41,$E53,$F53,$O53,$K53,$P53,0.1))</f>
        <v>#VALUE!</v>
      </c>
      <c r="S53" s="44" t="e">
        <f aca="false">IF($AD53=0,0,bsd(S$42,S$41,$E53,$G53,$O53,$L53,$P53,0.1))</f>
        <v>#VALUE!</v>
      </c>
      <c r="T53" s="44" t="e">
        <f aca="false">IF($AD53=0,0,bsd(T$42,T$41,$E53,$F53,$O53,$K53,$P53,0.1))</f>
        <v>#VALUE!</v>
      </c>
      <c r="U53" s="44" t="e">
        <f aca="false">IF($AD53=0,0,bsd(U$42,U$41,$E53,$G53,$O53,$L53,$P53,0.1))</f>
        <v>#VALUE!</v>
      </c>
      <c r="V53" s="44" t="e">
        <f aca="false">IF($AD53=0,0,bsd(V$42,V$41,$E53,$F53,$O53,$K53,$P53,0.1))</f>
        <v>#VALUE!</v>
      </c>
      <c r="W53" s="44" t="e">
        <f aca="false">IF($AD53=0,0,bsd(W$42,W$41,$E53,$G53,$O53,$L53,$P53,0.1))</f>
        <v>#VALUE!</v>
      </c>
      <c r="X53" s="44" t="e">
        <f aca="false">IF($AD53=0,0,bsd(X$42,X$41,$E53,$F53,$O53,$K53,$P53,0.1))</f>
        <v>#VALUE!</v>
      </c>
      <c r="Y53" s="44" t="e">
        <f aca="false">IF($AD53=0,0,bsd(Y$42,Y$41,$E53,$G53,$O53,$L53,$P53,0.1))</f>
        <v>#VALUE!</v>
      </c>
      <c r="Z53" s="44" t="e">
        <f aca="false">IF($AD53=0,0,bsd(Z$42,Z$41,$E53,$F53,$O53,$K53,$P53,0.1))</f>
        <v>#VALUE!</v>
      </c>
      <c r="AA53" s="44" t="e">
        <f aca="false">IF($AD53=0,0,bsd(AA$42,AA$41,$E53,$G53,$O53,$L53,$P53,0.1))</f>
        <v>#VALUE!</v>
      </c>
      <c r="AC53" s="48" t="n">
        <f aca="false">DATE(YEAR(AC52),MONTH(AC52)+1,1)</f>
        <v>37226</v>
      </c>
      <c r="AD53" s="9" t="n">
        <f aca="false">IF(AE53&gt;0,AC54-AC53,0)</f>
        <v>31</v>
      </c>
      <c r="AE53" s="48" t="n">
        <f aca="false">IF(AC53&lt;=B$3,AC53,0)</f>
        <v>37226</v>
      </c>
      <c r="AF53" s="40" t="n">
        <f aca="false">VLOOKUP(AC53,STRADDLE,3,FALSE())</f>
        <v>4.56</v>
      </c>
      <c r="AG53" s="40" t="n">
        <f aca="false">IF($B$20=1,VLOOKUP(AC53,curvesettle,HLOOKUP($B$21,curvesettle,2,FALSE()),0),0)</f>
        <v>-0.06</v>
      </c>
      <c r="AH53" s="40" t="n">
        <f aca="false">AD53*AF53</f>
        <v>141.36</v>
      </c>
      <c r="AI53" s="40" t="n">
        <f aca="false">AD53*AG53</f>
        <v>-1.86</v>
      </c>
      <c r="AJ53" s="4" t="n">
        <f aca="false">(VLOOKUP(AC53,STRADDLE,10,FALSE())+$B$9)*$B$10</f>
        <v>15</v>
      </c>
      <c r="AK53" s="177" t="n">
        <f aca="false">AJ53*AD53</f>
        <v>465</v>
      </c>
      <c r="AL53" s="177"/>
      <c r="AM53" s="48" t="n">
        <f aca="false">DATE(YEAR(AM52),MONTH(AM52)+1,1)</f>
        <v>37226</v>
      </c>
      <c r="AN53" s="9" t="n">
        <f aca="false">IF(AO53&gt;0,AM54-AM53,0)</f>
        <v>31</v>
      </c>
      <c r="AO53" s="48" t="n">
        <f aca="false">IF(AM53&lt;=$C$3,AM53,0)</f>
        <v>37226</v>
      </c>
      <c r="AP53" s="40" t="n">
        <f aca="false">VLOOKUP(AM53,STRADDLE,3,FALSE())</f>
        <v>4.56</v>
      </c>
      <c r="AQ53" s="40" t="n">
        <f aca="false">IF($C$20=1,VLOOKUP(AM53,curvesettle,HLOOKUP($C$21,curvesettle,2,FALSE()),0),0)</f>
        <v>-0.06</v>
      </c>
      <c r="AR53" s="40" t="n">
        <f aca="false">AN53*AP53</f>
        <v>141.36</v>
      </c>
      <c r="AS53" s="40" t="n">
        <f aca="false">AN53*AQ53</f>
        <v>-1.86</v>
      </c>
      <c r="AT53" s="4" t="n">
        <f aca="false">(VLOOKUP(AM53,STRADDLE,10,FALSE())+$C$9)*$C$10</f>
        <v>15</v>
      </c>
      <c r="AU53" s="177" t="n">
        <f aca="false">AT53*AN53</f>
        <v>465</v>
      </c>
      <c r="AV53" s="40"/>
      <c r="AW53" s="48" t="n">
        <f aca="false">DATE(YEAR(AW52),MONTH(AW52)+1,1)</f>
        <v>37347</v>
      </c>
      <c r="AX53" s="9" t="n">
        <f aca="false">IF(AY53&gt;0,AW54-AW53,0)</f>
        <v>30</v>
      </c>
      <c r="AY53" s="48" t="n">
        <f aca="false">IF(AW53&lt;=$D$3,AW53,0)</f>
        <v>37347</v>
      </c>
      <c r="AZ53" s="40" t="n">
        <f aca="false">VLOOKUP(AW53,STRADDLE,3,FALSE())</f>
        <v>3.81</v>
      </c>
      <c r="BA53" s="40" t="n">
        <f aca="false">IF($D$20=1,VLOOKUP(AW53,curvesettle,HLOOKUP($D$21,curvesettle,2,FALSE()),0),0)</f>
        <v>0.015</v>
      </c>
      <c r="BB53" s="40" t="n">
        <f aca="false">AX53*AZ53</f>
        <v>114.3</v>
      </c>
      <c r="BC53" s="40" t="n">
        <f aca="false">AX53*BA53</f>
        <v>0.45</v>
      </c>
      <c r="BD53" s="4" t="n">
        <f aca="false">(VLOOKUP(AW53,STRADDLE,10,FALSE())+$D$9)*$D$10</f>
        <v>19</v>
      </c>
      <c r="BE53" s="177" t="n">
        <f aca="false">BD53*AX53</f>
        <v>570</v>
      </c>
      <c r="BF53" s="177"/>
      <c r="BG53" s="177"/>
      <c r="BH53" s="1" t="n">
        <f aca="false">AD53*B53</f>
        <v>141.36</v>
      </c>
      <c r="BI53" s="33" t="e">
        <f aca="false">AD53*E53</f>
        <v>#REF!</v>
      </c>
      <c r="BJ53" s="45" t="e">
        <f aca="false">$AD53*R53</f>
        <v>#VALUE!</v>
      </c>
      <c r="BK53" s="45" t="e">
        <f aca="false">$AD53*T53</f>
        <v>#VALUE!</v>
      </c>
      <c r="BL53" s="45" t="e">
        <f aca="false">$AD53*V53</f>
        <v>#VALUE!</v>
      </c>
      <c r="BM53" s="45" t="e">
        <f aca="false">$AD53*X53</f>
        <v>#VALUE!</v>
      </c>
      <c r="BN53" s="45" t="e">
        <f aca="false">$AD53*Z53</f>
        <v>#VALUE!</v>
      </c>
      <c r="BP53" s="33"/>
      <c r="BQ53" s="45" t="e">
        <f aca="false">$AD53*S53</f>
        <v>#VALUE!</v>
      </c>
      <c r="BR53" s="45" t="e">
        <f aca="false">$AD53*U53</f>
        <v>#VALUE!</v>
      </c>
      <c r="BS53" s="45" t="e">
        <f aca="false">$AD53*W53</f>
        <v>#VALUE!</v>
      </c>
      <c r="BT53" s="45" t="e">
        <f aca="false">$AD53*Y53</f>
        <v>#VALUE!</v>
      </c>
      <c r="BU53" s="45" t="e">
        <f aca="false">$AD53*AA53</f>
        <v>#VALUE!</v>
      </c>
      <c r="BV53" s="46"/>
      <c r="BW53" s="45"/>
      <c r="BX53" s="46"/>
      <c r="BY53" s="47"/>
      <c r="BZ53" s="47"/>
      <c r="CA53" s="47"/>
    </row>
    <row r="54" customFormat="false" ht="12.75" hidden="false" customHeight="false" outlineLevel="0" collapsed="false">
      <c r="A54" s="48" t="n">
        <f aca="false">DATE(YEAR(A53),MONTH(A53)+1,1)</f>
        <v>37257</v>
      </c>
      <c r="B54" s="40" t="n">
        <f aca="false">VLOOKUP(A54,STRADDLE,3,FALSE())</f>
        <v>4.525</v>
      </c>
      <c r="C54" s="40" t="n">
        <f aca="false">IF(B$20=1,VLOOKUP(A54,curvesettle,HLOOKUP($B$21,curvesettle,2,FALSE()),0),0)</f>
        <v>-0.0625</v>
      </c>
      <c r="D54" s="175" t="n">
        <v>0</v>
      </c>
      <c r="E54" s="176" t="e">
        <f aca="false">D54+B54+C54+#REF!</f>
        <v>#REF!</v>
      </c>
      <c r="F54" s="41" t="n">
        <f aca="false">IF(B$25=1,E54,B$18)</f>
        <v>3.6</v>
      </c>
      <c r="G54" s="41" t="n">
        <f aca="false">IF($B$25=1,$E54,IF(B$25=2,B$18,C$18))</f>
        <v>3.8</v>
      </c>
      <c r="H54" s="4" t="n">
        <f aca="false">VLOOKUP(A54,STRADDLE,10,FALSE())</f>
        <v>16</v>
      </c>
      <c r="I54" s="4" t="e">
        <f aca="false">IF(#REF!=1,VLOOKUP($A54,SkewTable,HLOOKUP(ROUND(F54-$E54,1),SkewTable,2,FALSE()),FALSE())/100,0)</f>
        <v>#REF!</v>
      </c>
      <c r="J54" s="4" t="e">
        <f aca="false">IF(#REF!=1,VLOOKUP($A54,SkewTable,HLOOKUP(ROUND(G54-$E54,1),SkewTable,2,FALSE()),FALSE())/100,0)</f>
        <v>#REF!</v>
      </c>
      <c r="K54" s="4" t="e">
        <f aca="false">($H54+I54+#REF!)*#REF!</f>
        <v>#REF!</v>
      </c>
      <c r="L54" s="4" t="e">
        <f aca="false">($H54+J54+#REF!)*#REF!</f>
        <v>#REF!</v>
      </c>
      <c r="M54" s="176"/>
      <c r="N54" s="176"/>
      <c r="O54" s="136" t="e">
        <f aca="false">IF(B$20=1,VLOOKUP(A54,expiration,2,FALSE()),VLOOKUP(A54,expiration,3,FALSE()))-B$22+#REF!</f>
        <v>#REF!</v>
      </c>
      <c r="P54" s="4" t="n">
        <f aca="false">VLOOKUP($A54,STRADDLE,12,FALSE())</f>
        <v>0.067333198956693</v>
      </c>
      <c r="Q54" s="131"/>
      <c r="R54" s="44" t="e">
        <f aca="false">IF($AD54=0,0,bsd(R$42,R$41,$E54,$F54,$O54,$K54,$P54,0.1))</f>
        <v>#VALUE!</v>
      </c>
      <c r="S54" s="44" t="e">
        <f aca="false">IF($AD54=0,0,bsd(S$42,S$41,$E54,$G54,$O54,$L54,$P54,0.1))</f>
        <v>#VALUE!</v>
      </c>
      <c r="T54" s="44" t="e">
        <f aca="false">IF($AD54=0,0,bsd(T$42,T$41,$E54,$F54,$O54,$K54,$P54,0.1))</f>
        <v>#VALUE!</v>
      </c>
      <c r="U54" s="44" t="e">
        <f aca="false">IF($AD54=0,0,bsd(U$42,U$41,$E54,$G54,$O54,$L54,$P54,0.1))</f>
        <v>#VALUE!</v>
      </c>
      <c r="V54" s="44" t="e">
        <f aca="false">IF($AD54=0,0,bsd(V$42,V$41,$E54,$F54,$O54,$K54,$P54,0.1))</f>
        <v>#VALUE!</v>
      </c>
      <c r="W54" s="44" t="e">
        <f aca="false">IF($AD54=0,0,bsd(W$42,W$41,$E54,$G54,$O54,$L54,$P54,0.1))</f>
        <v>#VALUE!</v>
      </c>
      <c r="X54" s="44" t="e">
        <f aca="false">IF($AD54=0,0,bsd(X$42,X$41,$E54,$F54,$O54,$K54,$P54,0.1))</f>
        <v>#VALUE!</v>
      </c>
      <c r="Y54" s="44" t="e">
        <f aca="false">IF($AD54=0,0,bsd(Y$42,Y$41,$E54,$G54,$O54,$L54,$P54,0.1))</f>
        <v>#VALUE!</v>
      </c>
      <c r="Z54" s="44" t="e">
        <f aca="false">IF($AD54=0,0,bsd(Z$42,Z$41,$E54,$F54,$O54,$K54,$P54,0.1))</f>
        <v>#VALUE!</v>
      </c>
      <c r="AA54" s="44" t="e">
        <f aca="false">IF($AD54=0,0,bsd(AA$42,AA$41,$E54,$G54,$O54,$L54,$P54,0.1))</f>
        <v>#VALUE!</v>
      </c>
      <c r="AC54" s="48" t="n">
        <f aca="false">DATE(YEAR(AC53),MONTH(AC53)+1,1)</f>
        <v>37257</v>
      </c>
      <c r="AD54" s="9" t="n">
        <f aca="false">IF(AE54&gt;0,AC55-AC54,0)</f>
        <v>31</v>
      </c>
      <c r="AE54" s="48" t="n">
        <f aca="false">IF(AC54&lt;=B$3,AC54,0)</f>
        <v>37257</v>
      </c>
      <c r="AF54" s="40" t="n">
        <f aca="false">VLOOKUP(AC54,STRADDLE,3,FALSE())</f>
        <v>4.525</v>
      </c>
      <c r="AG54" s="40" t="n">
        <f aca="false">IF($B$20=1,VLOOKUP(AC54,curvesettle,HLOOKUP($B$21,curvesettle,2,FALSE()),0),0)</f>
        <v>-0.0625</v>
      </c>
      <c r="AH54" s="40" t="n">
        <f aca="false">AD54*AF54</f>
        <v>140.275</v>
      </c>
      <c r="AI54" s="40" t="n">
        <f aca="false">AD54*AG54</f>
        <v>-1.9375</v>
      </c>
      <c r="AJ54" s="4" t="n">
        <f aca="false">(VLOOKUP(AC54,STRADDLE,10,FALSE())+$B$9)*$B$10</f>
        <v>16</v>
      </c>
      <c r="AK54" s="177" t="n">
        <f aca="false">AJ54*AD54</f>
        <v>496</v>
      </c>
      <c r="AL54" s="177"/>
      <c r="AM54" s="48" t="n">
        <f aca="false">DATE(YEAR(AM53),MONTH(AM53)+1,1)</f>
        <v>37257</v>
      </c>
      <c r="AN54" s="9" t="n">
        <f aca="false">IF(AO54&gt;0,AM55-AM54,0)</f>
        <v>31</v>
      </c>
      <c r="AO54" s="48" t="n">
        <f aca="false">IF(AM54&lt;=$C$3,AM54,0)</f>
        <v>37257</v>
      </c>
      <c r="AP54" s="40" t="n">
        <f aca="false">VLOOKUP(AM54,STRADDLE,3,FALSE())</f>
        <v>4.525</v>
      </c>
      <c r="AQ54" s="40" t="n">
        <f aca="false">IF($C$20=1,VLOOKUP(AM54,curvesettle,HLOOKUP($C$21,curvesettle,2,FALSE()),0),0)</f>
        <v>-0.0625</v>
      </c>
      <c r="AR54" s="40" t="n">
        <f aca="false">AN54*AP54</f>
        <v>140.275</v>
      </c>
      <c r="AS54" s="40" t="n">
        <f aca="false">AN54*AQ54</f>
        <v>-1.9375</v>
      </c>
      <c r="AT54" s="4" t="n">
        <f aca="false">(VLOOKUP(AM54,STRADDLE,10,FALSE())+$C$9)*$C$10</f>
        <v>16</v>
      </c>
      <c r="AU54" s="177" t="n">
        <f aca="false">AT54*AN54</f>
        <v>496</v>
      </c>
      <c r="AV54" s="40"/>
      <c r="AW54" s="48" t="n">
        <f aca="false">DATE(YEAR(AW53),MONTH(AW53)+1,1)</f>
        <v>37377</v>
      </c>
      <c r="AX54" s="9" t="n">
        <f aca="false">IF(AY54&gt;0,AW55-AW54,0)</f>
        <v>31</v>
      </c>
      <c r="AY54" s="48" t="n">
        <f aca="false">IF(AW54&lt;=$D$3,AW54,0)</f>
        <v>37377</v>
      </c>
      <c r="AZ54" s="40" t="n">
        <f aca="false">VLOOKUP(AW54,STRADDLE,3,FALSE())</f>
        <v>3.71</v>
      </c>
      <c r="BA54" s="40" t="n">
        <f aca="false">IF($D$20=1,VLOOKUP(AW54,curvesettle,HLOOKUP($D$21,curvesettle,2,FALSE()),0),0)</f>
        <v>0.015</v>
      </c>
      <c r="BB54" s="40" t="n">
        <f aca="false">AX54*AZ54</f>
        <v>115.01</v>
      </c>
      <c r="BC54" s="40" t="n">
        <f aca="false">AX54*BA54</f>
        <v>0.465</v>
      </c>
      <c r="BD54" s="4" t="n">
        <f aca="false">(VLOOKUP(AW54,STRADDLE,10,FALSE())+$D$9)*$D$10</f>
        <v>20</v>
      </c>
      <c r="BE54" s="177" t="n">
        <f aca="false">BD54*AX54</f>
        <v>620</v>
      </c>
      <c r="BF54" s="177"/>
      <c r="BG54" s="177"/>
      <c r="BH54" s="1" t="n">
        <f aca="false">AD54*B54</f>
        <v>140.275</v>
      </c>
      <c r="BI54" s="33" t="e">
        <f aca="false">AD54*E54</f>
        <v>#REF!</v>
      </c>
      <c r="BJ54" s="45" t="e">
        <f aca="false">$AD54*R54</f>
        <v>#VALUE!</v>
      </c>
      <c r="BK54" s="45" t="e">
        <f aca="false">$AD54*T54</f>
        <v>#VALUE!</v>
      </c>
      <c r="BL54" s="45" t="e">
        <f aca="false">$AD54*V54</f>
        <v>#VALUE!</v>
      </c>
      <c r="BM54" s="45" t="e">
        <f aca="false">$AD54*X54</f>
        <v>#VALUE!</v>
      </c>
      <c r="BN54" s="45" t="e">
        <f aca="false">$AD54*Z54</f>
        <v>#VALUE!</v>
      </c>
      <c r="BP54" s="33"/>
      <c r="BQ54" s="45" t="e">
        <f aca="false">$AD54*S54</f>
        <v>#VALUE!</v>
      </c>
      <c r="BR54" s="45" t="e">
        <f aca="false">$AD54*U54</f>
        <v>#VALUE!</v>
      </c>
      <c r="BS54" s="45" t="e">
        <f aca="false">$AD54*W54</f>
        <v>#VALUE!</v>
      </c>
      <c r="BT54" s="45" t="e">
        <f aca="false">$AD54*Y54</f>
        <v>#VALUE!</v>
      </c>
      <c r="BU54" s="45" t="e">
        <f aca="false">$AD54*AA54</f>
        <v>#VALUE!</v>
      </c>
      <c r="BV54" s="46"/>
      <c r="BW54" s="45"/>
      <c r="BX54" s="46"/>
      <c r="BY54" s="47"/>
      <c r="BZ54" s="47"/>
      <c r="CA54" s="47"/>
    </row>
    <row r="55" customFormat="false" ht="12.75" hidden="false" customHeight="false" outlineLevel="0" collapsed="false">
      <c r="A55" s="48" t="n">
        <f aca="false">DATE(YEAR(A54),MONTH(A54)+1,1)</f>
        <v>37288</v>
      </c>
      <c r="B55" s="40" t="n">
        <f aca="false">VLOOKUP(A55,STRADDLE,3,FALSE())</f>
        <v>4.3</v>
      </c>
      <c r="C55" s="40" t="n">
        <f aca="false">IF(B$20=1,VLOOKUP(A55,curvesettle,HLOOKUP($B$21,curvesettle,2,FALSE()),0),0)</f>
        <v>-0.045</v>
      </c>
      <c r="D55" s="175" t="n">
        <v>0</v>
      </c>
      <c r="E55" s="176" t="e">
        <f aca="false">D55+B55+C55+#REF!</f>
        <v>#REF!</v>
      </c>
      <c r="F55" s="41" t="n">
        <f aca="false">IF(B$25=1,E55,B$18)</f>
        <v>3.6</v>
      </c>
      <c r="G55" s="41" t="n">
        <f aca="false">IF($B$25=1,$E55,IF(B$25=2,B$18,C$18))</f>
        <v>3.8</v>
      </c>
      <c r="H55" s="4" t="n">
        <f aca="false">VLOOKUP(A55,STRADDLE,10,FALSE())</f>
        <v>17</v>
      </c>
      <c r="I55" s="4" t="e">
        <f aca="false">IF(#REF!=1,VLOOKUP($A55,SkewTable,HLOOKUP(ROUND(F55-$E55,1),SkewTable,2,FALSE()),FALSE())/100,0)</f>
        <v>#REF!</v>
      </c>
      <c r="J55" s="4" t="e">
        <f aca="false">IF(#REF!=1,VLOOKUP($A55,SkewTable,HLOOKUP(ROUND(G55-$E55,1),SkewTable,2,FALSE()),FALSE())/100,0)</f>
        <v>#REF!</v>
      </c>
      <c r="K55" s="4" t="e">
        <f aca="false">($H55+I55+#REF!)*#REF!</f>
        <v>#REF!</v>
      </c>
      <c r="L55" s="4" t="e">
        <f aca="false">($H55+J55+#REF!)*#REF!</f>
        <v>#REF!</v>
      </c>
      <c r="M55" s="176"/>
      <c r="N55" s="176"/>
      <c r="O55" s="136" t="e">
        <f aca="false">IF(B$20=1,VLOOKUP(A55,expiration,2,FALSE()),VLOOKUP(A55,expiration,3,FALSE()))-B$22+#REF!</f>
        <v>#REF!</v>
      </c>
      <c r="P55" s="4" t="n">
        <f aca="false">VLOOKUP($A55,STRADDLE,12,FALSE())</f>
        <v>0.067329715733591</v>
      </c>
      <c r="Q55" s="131"/>
      <c r="R55" s="44" t="e">
        <f aca="false">IF($AD55=0,0,bsd(R$42,R$41,$E55,$F55,$O55,$K55,$P55,0.1))</f>
        <v>#VALUE!</v>
      </c>
      <c r="S55" s="44" t="e">
        <f aca="false">IF($AD55=0,0,bsd(S$42,S$41,$E55,$G55,$O55,$L55,$P55,0.1))</f>
        <v>#VALUE!</v>
      </c>
      <c r="T55" s="44" t="e">
        <f aca="false">IF($AD55=0,0,bsd(T$42,T$41,$E55,$F55,$O55,$K55,$P55,0.1))</f>
        <v>#VALUE!</v>
      </c>
      <c r="U55" s="44" t="e">
        <f aca="false">IF($AD55=0,0,bsd(U$42,U$41,$E55,$G55,$O55,$L55,$P55,0.1))</f>
        <v>#VALUE!</v>
      </c>
      <c r="V55" s="44" t="e">
        <f aca="false">IF($AD55=0,0,bsd(V$42,V$41,$E55,$F55,$O55,$K55,$P55,0.1))</f>
        <v>#VALUE!</v>
      </c>
      <c r="W55" s="44" t="e">
        <f aca="false">IF($AD55=0,0,bsd(W$42,W$41,$E55,$G55,$O55,$L55,$P55,0.1))</f>
        <v>#VALUE!</v>
      </c>
      <c r="X55" s="44" t="e">
        <f aca="false">IF($AD55=0,0,bsd(X$42,X$41,$E55,$F55,$O55,$K55,$P55,0.1))</f>
        <v>#VALUE!</v>
      </c>
      <c r="Y55" s="44" t="e">
        <f aca="false">IF($AD55=0,0,bsd(Y$42,Y$41,$E55,$G55,$O55,$L55,$P55,0.1))</f>
        <v>#VALUE!</v>
      </c>
      <c r="Z55" s="44" t="e">
        <f aca="false">IF($AD55=0,0,bsd(Z$42,Z$41,$E55,$F55,$O55,$K55,$P55,0.1))</f>
        <v>#VALUE!</v>
      </c>
      <c r="AA55" s="44" t="e">
        <f aca="false">IF($AD55=0,0,bsd(AA$42,AA$41,$E55,$G55,$O55,$L55,$P55,0.1))</f>
        <v>#VALUE!</v>
      </c>
      <c r="AC55" s="48" t="n">
        <f aca="false">DATE(YEAR(AC54),MONTH(AC54)+1,1)</f>
        <v>37288</v>
      </c>
      <c r="AD55" s="9" t="n">
        <f aca="false">IF(AE55&gt;0,AC56-AC55,0)</f>
        <v>28</v>
      </c>
      <c r="AE55" s="48" t="n">
        <f aca="false">IF(AC55&lt;=B$3,AC55,0)</f>
        <v>37288</v>
      </c>
      <c r="AF55" s="40" t="n">
        <f aca="false">VLOOKUP(AC55,STRADDLE,3,FALSE())</f>
        <v>4.3</v>
      </c>
      <c r="AG55" s="40" t="n">
        <f aca="false">IF($B$20=1,VLOOKUP(AC55,curvesettle,HLOOKUP($B$21,curvesettle,2,FALSE()),0),0)</f>
        <v>-0.045</v>
      </c>
      <c r="AH55" s="40" t="n">
        <f aca="false">AD55*AF55</f>
        <v>120.4</v>
      </c>
      <c r="AI55" s="40" t="n">
        <f aca="false">AD55*AG55</f>
        <v>-1.26</v>
      </c>
      <c r="AJ55" s="4" t="n">
        <f aca="false">(VLOOKUP(AC55,STRADDLE,10,FALSE())+$B$9)*$B$10</f>
        <v>17</v>
      </c>
      <c r="AK55" s="177" t="n">
        <f aca="false">AJ55*AD55</f>
        <v>476</v>
      </c>
      <c r="AL55" s="177"/>
      <c r="AM55" s="48" t="n">
        <f aca="false">DATE(YEAR(AM54),MONTH(AM54)+1,1)</f>
        <v>37288</v>
      </c>
      <c r="AN55" s="9" t="n">
        <f aca="false">IF(AO55&gt;0,AM56-AM55,0)</f>
        <v>28</v>
      </c>
      <c r="AO55" s="48" t="n">
        <f aca="false">IF(AM55&lt;=$C$3,AM55,0)</f>
        <v>37288</v>
      </c>
      <c r="AP55" s="40" t="n">
        <f aca="false">VLOOKUP(AM55,STRADDLE,3,FALSE())</f>
        <v>4.3</v>
      </c>
      <c r="AQ55" s="40" t="n">
        <f aca="false">IF($C$20=1,VLOOKUP(AM55,curvesettle,HLOOKUP($C$21,curvesettle,2,FALSE()),0),0)</f>
        <v>-0.045</v>
      </c>
      <c r="AR55" s="40" t="n">
        <f aca="false">AN55*AP55</f>
        <v>120.4</v>
      </c>
      <c r="AS55" s="40" t="n">
        <f aca="false">AN55*AQ55</f>
        <v>-1.26</v>
      </c>
      <c r="AT55" s="4" t="n">
        <f aca="false">(VLOOKUP(AM55,STRADDLE,10,FALSE())+$C$9)*$C$10</f>
        <v>17</v>
      </c>
      <c r="AU55" s="177" t="n">
        <f aca="false">AT55*AN55</f>
        <v>476</v>
      </c>
      <c r="AV55" s="40"/>
      <c r="AW55" s="48" t="n">
        <f aca="false">DATE(YEAR(AW54),MONTH(AW54)+1,1)</f>
        <v>37408</v>
      </c>
      <c r="AX55" s="9" t="n">
        <f aca="false">IF(AY55&gt;0,AW56-AW55,0)</f>
        <v>30</v>
      </c>
      <c r="AY55" s="48" t="n">
        <f aca="false">IF(AW55&lt;=$D$3,AW55,0)</f>
        <v>37408</v>
      </c>
      <c r="AZ55" s="40" t="n">
        <f aca="false">VLOOKUP(AW55,STRADDLE,3,FALSE())</f>
        <v>3.69</v>
      </c>
      <c r="BA55" s="40" t="n">
        <f aca="false">IF($D$20=1,VLOOKUP(AW55,curvesettle,HLOOKUP($D$21,curvesettle,2,FALSE()),0),0)</f>
        <v>0.02</v>
      </c>
      <c r="BB55" s="40" t="n">
        <f aca="false">AX55*AZ55</f>
        <v>110.7</v>
      </c>
      <c r="BC55" s="40" t="n">
        <f aca="false">AX55*BA55</f>
        <v>0.6</v>
      </c>
      <c r="BD55" s="4" t="n">
        <f aca="false">(VLOOKUP(AW55,STRADDLE,10,FALSE())+$D$9)*$D$10</f>
        <v>21</v>
      </c>
      <c r="BE55" s="177" t="n">
        <f aca="false">BD55*AX55</f>
        <v>630</v>
      </c>
      <c r="BF55" s="177"/>
      <c r="BG55" s="177"/>
      <c r="BH55" s="1" t="n">
        <f aca="false">AD55*B55</f>
        <v>120.4</v>
      </c>
      <c r="BI55" s="33" t="e">
        <f aca="false">AD55*E55</f>
        <v>#REF!</v>
      </c>
      <c r="BJ55" s="45" t="e">
        <f aca="false">$AD55*R55</f>
        <v>#VALUE!</v>
      </c>
      <c r="BK55" s="45" t="e">
        <f aca="false">$AD55*T55</f>
        <v>#VALUE!</v>
      </c>
      <c r="BL55" s="45" t="e">
        <f aca="false">$AD55*V55</f>
        <v>#VALUE!</v>
      </c>
      <c r="BM55" s="45" t="e">
        <f aca="false">$AD55*X55</f>
        <v>#VALUE!</v>
      </c>
      <c r="BN55" s="45" t="e">
        <f aca="false">$AD55*Z55</f>
        <v>#VALUE!</v>
      </c>
      <c r="BP55" s="33"/>
      <c r="BQ55" s="45" t="e">
        <f aca="false">$AD55*S55</f>
        <v>#VALUE!</v>
      </c>
      <c r="BR55" s="45" t="e">
        <f aca="false">$AD55*U55</f>
        <v>#VALUE!</v>
      </c>
      <c r="BS55" s="45" t="e">
        <f aca="false">$AD55*W55</f>
        <v>#VALUE!</v>
      </c>
      <c r="BT55" s="45" t="e">
        <f aca="false">$AD55*Y55</f>
        <v>#VALUE!</v>
      </c>
      <c r="BU55" s="45" t="e">
        <f aca="false">$AD55*AA55</f>
        <v>#VALUE!</v>
      </c>
      <c r="BV55" s="46"/>
      <c r="BW55" s="45"/>
      <c r="BX55" s="46"/>
      <c r="BY55" s="47"/>
      <c r="BZ55" s="47"/>
      <c r="CA55" s="47"/>
    </row>
    <row r="56" customFormat="false" ht="12.75" hidden="false" customHeight="false" outlineLevel="0" collapsed="false">
      <c r="A56" s="48" t="n">
        <f aca="false">DATE(YEAR(A55),MONTH(A55)+1,1)</f>
        <v>37316</v>
      </c>
      <c r="B56" s="40" t="n">
        <f aca="false">VLOOKUP(A56,STRADDLE,3,FALSE())</f>
        <v>4.07</v>
      </c>
      <c r="C56" s="40" t="n">
        <f aca="false">IF(B$20=1,VLOOKUP(A56,curvesettle,HLOOKUP($B$21,curvesettle,2,FALSE()),0),0)</f>
        <v>-0.0325</v>
      </c>
      <c r="D56" s="175" t="n">
        <v>0</v>
      </c>
      <c r="E56" s="176" t="e">
        <f aca="false">D56+B56+C56+#REF!</f>
        <v>#REF!</v>
      </c>
      <c r="F56" s="41" t="n">
        <f aca="false">IF(B$25=1,E56,B$18)</f>
        <v>3.6</v>
      </c>
      <c r="G56" s="41" t="n">
        <f aca="false">IF($B$25=1,$E56,IF(B$25=2,B$18,C$18))</f>
        <v>3.8</v>
      </c>
      <c r="H56" s="4" t="n">
        <f aca="false">VLOOKUP(A56,STRADDLE,10,FALSE())</f>
        <v>18</v>
      </c>
      <c r="I56" s="4" t="e">
        <f aca="false">IF(#REF!=1,VLOOKUP($A56,SkewTable,HLOOKUP(ROUND(F56-$E56,1),SkewTable,2,FALSE()),FALSE())/100,0)</f>
        <v>#REF!</v>
      </c>
      <c r="J56" s="4" t="e">
        <f aca="false">IF(#REF!=1,VLOOKUP($A56,SkewTable,HLOOKUP(ROUND(G56-$E56,1),SkewTable,2,FALSE()),FALSE())/100,0)</f>
        <v>#REF!</v>
      </c>
      <c r="K56" s="4" t="e">
        <f aca="false">($H56+I56+#REF!)*#REF!</f>
        <v>#REF!</v>
      </c>
      <c r="L56" s="4" t="e">
        <f aca="false">($H56+J56+#REF!)*#REF!</f>
        <v>#REF!</v>
      </c>
      <c r="M56" s="176"/>
      <c r="N56" s="176"/>
      <c r="O56" s="136" t="e">
        <f aca="false">IF(B$20=1,VLOOKUP(A56,expiration,2,FALSE()),VLOOKUP(A56,expiration,3,FALSE()))-B$22+#REF!</f>
        <v>#REF!</v>
      </c>
      <c r="P56" s="4" t="n">
        <f aca="false">VLOOKUP($A56,STRADDLE,12,FALSE())</f>
        <v>0.067326569596599</v>
      </c>
      <c r="Q56" s="131"/>
      <c r="R56" s="44" t="e">
        <f aca="false">IF($AD56=0,0,bsd(R$42,R$41,$E56,$F56,$O56,$K56,$P56,0.1))</f>
        <v>#VALUE!</v>
      </c>
      <c r="S56" s="44" t="e">
        <f aca="false">IF($AD56=0,0,bsd(S$42,S$41,$E56,$G56,$O56,$L56,$P56,0.1))</f>
        <v>#VALUE!</v>
      </c>
      <c r="T56" s="44" t="e">
        <f aca="false">IF($AD56=0,0,bsd(T$42,T$41,$E56,$F56,$O56,$K56,$P56,0.1))</f>
        <v>#VALUE!</v>
      </c>
      <c r="U56" s="44" t="e">
        <f aca="false">IF($AD56=0,0,bsd(U$42,U$41,$E56,$G56,$O56,$L56,$P56,0.1))</f>
        <v>#VALUE!</v>
      </c>
      <c r="V56" s="44" t="e">
        <f aca="false">IF($AD56=0,0,bsd(V$42,V$41,$E56,$F56,$O56,$K56,$P56,0.1))</f>
        <v>#VALUE!</v>
      </c>
      <c r="W56" s="44" t="e">
        <f aca="false">IF($AD56=0,0,bsd(W$42,W$41,$E56,$G56,$O56,$L56,$P56,0.1))</f>
        <v>#VALUE!</v>
      </c>
      <c r="X56" s="44" t="e">
        <f aca="false">IF($AD56=0,0,bsd(X$42,X$41,$E56,$F56,$O56,$K56,$P56,0.1))</f>
        <v>#VALUE!</v>
      </c>
      <c r="Y56" s="44" t="e">
        <f aca="false">IF($AD56=0,0,bsd(Y$42,Y$41,$E56,$G56,$O56,$L56,$P56,0.1))</f>
        <v>#VALUE!</v>
      </c>
      <c r="Z56" s="44" t="e">
        <f aca="false">IF($AD56=0,0,bsd(Z$42,Z$41,$E56,$F56,$O56,$K56,$P56,0.1))</f>
        <v>#VALUE!</v>
      </c>
      <c r="AA56" s="44" t="e">
        <f aca="false">IF($AD56=0,0,bsd(AA$42,AA$41,$E56,$G56,$O56,$L56,$P56,0.1))</f>
        <v>#VALUE!</v>
      </c>
      <c r="AC56" s="48" t="n">
        <f aca="false">DATE(YEAR(AC55),MONTH(AC55)+1,1)</f>
        <v>37316</v>
      </c>
      <c r="AD56" s="9" t="n">
        <f aca="false">IF(AE56&gt;0,AC57-AC56,0)</f>
        <v>31</v>
      </c>
      <c r="AE56" s="48" t="n">
        <f aca="false">IF(AC56&lt;=B$3,AC56,0)</f>
        <v>37316</v>
      </c>
      <c r="AF56" s="40" t="n">
        <f aca="false">VLOOKUP(AC56,STRADDLE,3,FALSE())</f>
        <v>4.07</v>
      </c>
      <c r="AG56" s="40" t="n">
        <f aca="false">IF($B$20=1,VLOOKUP(AC56,curvesettle,HLOOKUP($B$21,curvesettle,2,FALSE()),0),0)</f>
        <v>-0.0325</v>
      </c>
      <c r="AH56" s="40" t="n">
        <f aca="false">AD56*AF56</f>
        <v>126.17</v>
      </c>
      <c r="AI56" s="40" t="n">
        <f aca="false">AD56*AG56</f>
        <v>-1.0075</v>
      </c>
      <c r="AJ56" s="4" t="n">
        <f aca="false">(VLOOKUP(AC56,STRADDLE,10,FALSE())+$B$9)*$B$10</f>
        <v>18</v>
      </c>
      <c r="AK56" s="177" t="n">
        <f aca="false">AJ56*AD56</f>
        <v>558</v>
      </c>
      <c r="AL56" s="177"/>
      <c r="AM56" s="48" t="n">
        <f aca="false">DATE(YEAR(AM55),MONTH(AM55)+1,1)</f>
        <v>37316</v>
      </c>
      <c r="AN56" s="9" t="n">
        <f aca="false">IF(AO56&gt;0,AM57-AM56,0)</f>
        <v>31</v>
      </c>
      <c r="AO56" s="48" t="n">
        <f aca="false">IF(AM56&lt;=$C$3,AM56,0)</f>
        <v>37316</v>
      </c>
      <c r="AP56" s="40" t="n">
        <f aca="false">VLOOKUP(AM56,STRADDLE,3,FALSE())</f>
        <v>4.07</v>
      </c>
      <c r="AQ56" s="40" t="n">
        <f aca="false">IF($C$20=1,VLOOKUP(AM56,curvesettle,HLOOKUP($C$21,curvesettle,2,FALSE()),0),0)</f>
        <v>-0.0325</v>
      </c>
      <c r="AR56" s="40" t="n">
        <f aca="false">AN56*AP56</f>
        <v>126.17</v>
      </c>
      <c r="AS56" s="40" t="n">
        <f aca="false">AN56*AQ56</f>
        <v>-1.0075</v>
      </c>
      <c r="AT56" s="4" t="n">
        <f aca="false">(VLOOKUP(AM56,STRADDLE,10,FALSE())+$C$9)*$C$10</f>
        <v>18</v>
      </c>
      <c r="AU56" s="177" t="n">
        <f aca="false">AT56*AN56</f>
        <v>558</v>
      </c>
      <c r="AV56" s="40"/>
      <c r="AW56" s="48" t="n">
        <f aca="false">DATE(YEAR(AW55),MONTH(AW55)+1,1)</f>
        <v>37438</v>
      </c>
      <c r="AX56" s="9" t="n">
        <f aca="false">IF(AY56&gt;0,AW57-AW56,0)</f>
        <v>31</v>
      </c>
      <c r="AY56" s="48" t="n">
        <f aca="false">IF(AW56&lt;=$D$3,AW56,0)</f>
        <v>37438</v>
      </c>
      <c r="AZ56" s="40" t="n">
        <f aca="false">VLOOKUP(AW56,STRADDLE,3,FALSE())</f>
        <v>3.7</v>
      </c>
      <c r="BA56" s="40" t="n">
        <f aca="false">IF($D$20=1,VLOOKUP(AW56,curvesettle,HLOOKUP($D$21,curvesettle,2,FALSE()),0),0)</f>
        <v>0.0225</v>
      </c>
      <c r="BB56" s="40" t="n">
        <f aca="false">AX56*AZ56</f>
        <v>114.7</v>
      </c>
      <c r="BC56" s="40" t="n">
        <f aca="false">AX56*BA56</f>
        <v>0.6975</v>
      </c>
      <c r="BD56" s="4" t="n">
        <f aca="false">(VLOOKUP(AW56,STRADDLE,10,FALSE())+$D$9)*$D$10</f>
        <v>22</v>
      </c>
      <c r="BE56" s="177" t="n">
        <f aca="false">BD56*AX56</f>
        <v>682</v>
      </c>
      <c r="BF56" s="177"/>
      <c r="BG56" s="177"/>
      <c r="BH56" s="1" t="n">
        <f aca="false">AD56*B56</f>
        <v>126.17</v>
      </c>
      <c r="BI56" s="33" t="e">
        <f aca="false">AD56*E56</f>
        <v>#REF!</v>
      </c>
      <c r="BJ56" s="45" t="e">
        <f aca="false">$AD56*R56</f>
        <v>#VALUE!</v>
      </c>
      <c r="BK56" s="45" t="e">
        <f aca="false">$AD56*T56</f>
        <v>#VALUE!</v>
      </c>
      <c r="BL56" s="45" t="e">
        <f aca="false">$AD56*V56</f>
        <v>#VALUE!</v>
      </c>
      <c r="BM56" s="45" t="e">
        <f aca="false">$AD56*X56</f>
        <v>#VALUE!</v>
      </c>
      <c r="BN56" s="45" t="e">
        <f aca="false">$AD56*Z56</f>
        <v>#VALUE!</v>
      </c>
      <c r="BP56" s="33"/>
      <c r="BQ56" s="45" t="e">
        <f aca="false">$AD56*S56</f>
        <v>#VALUE!</v>
      </c>
      <c r="BR56" s="45" t="e">
        <f aca="false">$AD56*U56</f>
        <v>#VALUE!</v>
      </c>
      <c r="BS56" s="45" t="e">
        <f aca="false">$AD56*W56</f>
        <v>#VALUE!</v>
      </c>
      <c r="BT56" s="45" t="e">
        <f aca="false">$AD56*Y56</f>
        <v>#VALUE!</v>
      </c>
      <c r="BU56" s="45" t="e">
        <f aca="false">$AD56*AA56</f>
        <v>#VALUE!</v>
      </c>
      <c r="BV56" s="46"/>
      <c r="BW56" s="45"/>
      <c r="BX56" s="46"/>
      <c r="BY56" s="47"/>
      <c r="BZ56" s="47"/>
      <c r="CA56" s="47"/>
    </row>
    <row r="57" customFormat="false" ht="12.75" hidden="false" customHeight="false" outlineLevel="0" collapsed="false">
      <c r="A57" s="48" t="n">
        <f aca="false">DATE(YEAR(A56),MONTH(A56)+1,1)</f>
        <v>37347</v>
      </c>
      <c r="B57" s="40" t="n">
        <f aca="false">VLOOKUP(A57,STRADDLE,3,FALSE())</f>
        <v>3.81</v>
      </c>
      <c r="C57" s="40" t="n">
        <f aca="false">IF(B$20=1,VLOOKUP(A57,curvesettle,HLOOKUP($B$21,curvesettle,2,FALSE()),0),0)</f>
        <v>0.015</v>
      </c>
      <c r="D57" s="175" t="n">
        <v>0</v>
      </c>
      <c r="E57" s="176" t="e">
        <f aca="false">D57+B57+C57+#REF!</f>
        <v>#REF!</v>
      </c>
      <c r="F57" s="41" t="n">
        <f aca="false">IF(B$25=1,E57,B$18)</f>
        <v>3.6</v>
      </c>
      <c r="G57" s="41" t="n">
        <f aca="false">IF($B$25=1,$E57,IF(B$25=2,B$18,C$18))</f>
        <v>3.8</v>
      </c>
      <c r="H57" s="4" t="n">
        <f aca="false">VLOOKUP(A57,STRADDLE,10,FALSE())</f>
        <v>19</v>
      </c>
      <c r="I57" s="4" t="e">
        <f aca="false">IF(#REF!=1,VLOOKUP($A57,SkewTable,HLOOKUP(ROUND(F57-$E57,1),SkewTable,2,FALSE()),FALSE())/100,0)</f>
        <v>#REF!</v>
      </c>
      <c r="J57" s="4" t="e">
        <f aca="false">IF(#REF!=1,VLOOKUP($A57,SkewTable,HLOOKUP(ROUND(G57-$E57,1),SkewTable,2,FALSE()),FALSE())/100,0)</f>
        <v>#REF!</v>
      </c>
      <c r="K57" s="4" t="e">
        <f aca="false">($H57+I57+#REF!)*#REF!</f>
        <v>#REF!</v>
      </c>
      <c r="L57" s="4" t="e">
        <f aca="false">($H57+J57+#REF!)*#REF!</f>
        <v>#REF!</v>
      </c>
      <c r="M57" s="176"/>
      <c r="N57" s="176"/>
      <c r="O57" s="136" t="e">
        <f aca="false">IF(B$20=1,VLOOKUP(A57,expiration,2,FALSE()),VLOOKUP(A57,expiration,3,FALSE()))-B$22+#REF!</f>
        <v>#REF!</v>
      </c>
      <c r="P57" s="4" t="n">
        <f aca="false">VLOOKUP($A57,STRADDLE,12,FALSE())</f>
        <v>0.067312742785332</v>
      </c>
      <c r="Q57" s="131"/>
      <c r="R57" s="44" t="e">
        <f aca="false">IF($AD57=0,0,bsd(R$42,R$41,$E57,$F57,$O57,$K57,$P57,0.1))</f>
        <v>#VALUE!</v>
      </c>
      <c r="S57" s="44" t="e">
        <f aca="false">IF($AD57=0,0,bsd(S$42,S$41,$E57,$G57,$O57,$L57,$P57,0.1))</f>
        <v>#VALUE!</v>
      </c>
      <c r="T57" s="44" t="e">
        <f aca="false">IF($AD57=0,0,bsd(T$42,T$41,$E57,$F57,$O57,$K57,$P57,0.1))</f>
        <v>#VALUE!</v>
      </c>
      <c r="U57" s="44" t="e">
        <f aca="false">IF($AD57=0,0,bsd(U$42,U$41,$E57,$G57,$O57,$L57,$P57,0.1))</f>
        <v>#VALUE!</v>
      </c>
      <c r="V57" s="44" t="e">
        <f aca="false">IF($AD57=0,0,bsd(V$42,V$41,$E57,$F57,$O57,$K57,$P57,0.1))</f>
        <v>#VALUE!</v>
      </c>
      <c r="W57" s="44" t="e">
        <f aca="false">IF($AD57=0,0,bsd(W$42,W$41,$E57,$G57,$O57,$L57,$P57,0.1))</f>
        <v>#VALUE!</v>
      </c>
      <c r="X57" s="44" t="e">
        <f aca="false">IF($AD57=0,0,bsd(X$42,X$41,$E57,$F57,$O57,$K57,$P57,0.1))</f>
        <v>#VALUE!</v>
      </c>
      <c r="Y57" s="44" t="e">
        <f aca="false">IF($AD57=0,0,bsd(Y$42,Y$41,$E57,$G57,$O57,$L57,$P57,0.1))</f>
        <v>#VALUE!</v>
      </c>
      <c r="Z57" s="44" t="e">
        <f aca="false">IF($AD57=0,0,bsd(Z$42,Z$41,$E57,$F57,$O57,$K57,$P57,0.1))</f>
        <v>#VALUE!</v>
      </c>
      <c r="AA57" s="44" t="e">
        <f aca="false">IF($AD57=0,0,bsd(AA$42,AA$41,$E57,$G57,$O57,$L57,$P57,0.1))</f>
        <v>#VALUE!</v>
      </c>
      <c r="AC57" s="48" t="n">
        <f aca="false">DATE(YEAR(AC56),MONTH(AC56)+1,1)</f>
        <v>37347</v>
      </c>
      <c r="AD57" s="9" t="n">
        <f aca="false">IF(AE57&gt;0,AC58-AC57,0)</f>
        <v>30</v>
      </c>
      <c r="AE57" s="48" t="n">
        <f aca="false">IF(AC57&lt;=B$3,AC57,0)</f>
        <v>37347</v>
      </c>
      <c r="AF57" s="40" t="n">
        <f aca="false">VLOOKUP(AC57,STRADDLE,3,FALSE())</f>
        <v>3.81</v>
      </c>
      <c r="AG57" s="40" t="n">
        <f aca="false">IF($B$20=1,VLOOKUP(AC57,curvesettle,HLOOKUP($B$21,curvesettle,2,FALSE()),0),0)</f>
        <v>0.015</v>
      </c>
      <c r="AH57" s="40" t="n">
        <f aca="false">AD57*AF57</f>
        <v>114.3</v>
      </c>
      <c r="AI57" s="40" t="n">
        <f aca="false">AD57*AG57</f>
        <v>0.45</v>
      </c>
      <c r="AJ57" s="4" t="n">
        <f aca="false">(VLOOKUP(AC57,STRADDLE,10,FALSE())+$B$9)*$B$10</f>
        <v>19</v>
      </c>
      <c r="AK57" s="177" t="n">
        <f aca="false">AJ57*AD57</f>
        <v>570</v>
      </c>
      <c r="AL57" s="177"/>
      <c r="AM57" s="48" t="n">
        <f aca="false">DATE(YEAR(AM56),MONTH(AM56)+1,1)</f>
        <v>37347</v>
      </c>
      <c r="AN57" s="9" t="n">
        <f aca="false">IF(AO57&gt;0,AM58-AM57,0)</f>
        <v>30</v>
      </c>
      <c r="AO57" s="48" t="n">
        <f aca="false">IF(AM57&lt;=$C$3,AM57,0)</f>
        <v>37347</v>
      </c>
      <c r="AP57" s="40" t="n">
        <f aca="false">VLOOKUP(AM57,STRADDLE,3,FALSE())</f>
        <v>3.81</v>
      </c>
      <c r="AQ57" s="40" t="n">
        <f aca="false">IF($C$20=1,VLOOKUP(AM57,curvesettle,HLOOKUP($C$21,curvesettle,2,FALSE()),0),0)</f>
        <v>0.015</v>
      </c>
      <c r="AR57" s="40" t="n">
        <f aca="false">AN57*AP57</f>
        <v>114.3</v>
      </c>
      <c r="AS57" s="40" t="n">
        <f aca="false">AN57*AQ57</f>
        <v>0.45</v>
      </c>
      <c r="AT57" s="4" t="n">
        <f aca="false">(VLOOKUP(AM57,STRADDLE,10,FALSE())+$C$9)*$C$10</f>
        <v>19</v>
      </c>
      <c r="AU57" s="177" t="n">
        <f aca="false">AT57*AN57</f>
        <v>570</v>
      </c>
      <c r="AV57" s="40"/>
      <c r="AW57" s="48" t="n">
        <f aca="false">DATE(YEAR(AW56),MONTH(AW56)+1,1)</f>
        <v>37469</v>
      </c>
      <c r="AX57" s="9" t="n">
        <f aca="false">IF(AY57&gt;0,AW58-AW57,0)</f>
        <v>31</v>
      </c>
      <c r="AY57" s="48" t="n">
        <f aca="false">IF(AW57&lt;=$D$3,AW57,0)</f>
        <v>37469</v>
      </c>
      <c r="AZ57" s="40" t="n">
        <f aca="false">VLOOKUP(AW57,STRADDLE,3,FALSE())</f>
        <v>3.71</v>
      </c>
      <c r="BA57" s="40" t="n">
        <f aca="false">IF($D$20=1,VLOOKUP(AW57,curvesettle,HLOOKUP($D$21,curvesettle,2,FALSE()),0),0)</f>
        <v>0.025</v>
      </c>
      <c r="BB57" s="40" t="n">
        <f aca="false">AX57*AZ57</f>
        <v>115.01</v>
      </c>
      <c r="BC57" s="40" t="n">
        <f aca="false">AX57*BA57</f>
        <v>0.775</v>
      </c>
      <c r="BD57" s="4" t="n">
        <f aca="false">(VLOOKUP(AW57,STRADDLE,10,FALSE())+$D$9)*$D$10</f>
        <v>23</v>
      </c>
      <c r="BE57" s="177" t="n">
        <f aca="false">BD57*AX57</f>
        <v>713</v>
      </c>
      <c r="BF57" s="177"/>
      <c r="BG57" s="177"/>
      <c r="BH57" s="1" t="n">
        <f aca="false">AD57*B57</f>
        <v>114.3</v>
      </c>
      <c r="BI57" s="33" t="e">
        <f aca="false">AD57*E57</f>
        <v>#REF!</v>
      </c>
      <c r="BJ57" s="45" t="e">
        <f aca="false">$AD57*R57</f>
        <v>#VALUE!</v>
      </c>
      <c r="BK57" s="45" t="e">
        <f aca="false">$AD57*T57</f>
        <v>#VALUE!</v>
      </c>
      <c r="BL57" s="45" t="e">
        <f aca="false">$AD57*V57</f>
        <v>#VALUE!</v>
      </c>
      <c r="BM57" s="45" t="e">
        <f aca="false">$AD57*X57</f>
        <v>#VALUE!</v>
      </c>
      <c r="BN57" s="45" t="e">
        <f aca="false">$AD57*Z57</f>
        <v>#VALUE!</v>
      </c>
      <c r="BP57" s="33"/>
      <c r="BQ57" s="45" t="e">
        <f aca="false">$AD57*S57</f>
        <v>#VALUE!</v>
      </c>
      <c r="BR57" s="45" t="e">
        <f aca="false">$AD57*U57</f>
        <v>#VALUE!</v>
      </c>
      <c r="BS57" s="45" t="e">
        <f aca="false">$AD57*W57</f>
        <v>#VALUE!</v>
      </c>
      <c r="BT57" s="45" t="e">
        <f aca="false">$AD57*Y57</f>
        <v>#VALUE!</v>
      </c>
      <c r="BU57" s="45" t="e">
        <f aca="false">$AD57*AA57</f>
        <v>#VALUE!</v>
      </c>
      <c r="BV57" s="46"/>
      <c r="BW57" s="45"/>
      <c r="BX57" s="46"/>
      <c r="BY57" s="47"/>
      <c r="BZ57" s="47"/>
      <c r="CA57" s="47"/>
    </row>
    <row r="58" customFormat="false" ht="12.75" hidden="false" customHeight="false" outlineLevel="0" collapsed="false">
      <c r="A58" s="48" t="n">
        <f aca="false">DATE(YEAR(A57),MONTH(A57)+1,1)</f>
        <v>37377</v>
      </c>
      <c r="B58" s="40" t="n">
        <f aca="false">VLOOKUP(A58,STRADDLE,3,FALSE())</f>
        <v>3.71</v>
      </c>
      <c r="C58" s="40" t="n">
        <f aca="false">IF(B$20=1,VLOOKUP(A58,curvesettle,HLOOKUP($B$21,curvesettle,2,FALSE()),0),0)</f>
        <v>0.015</v>
      </c>
      <c r="D58" s="175" t="n">
        <v>0</v>
      </c>
      <c r="E58" s="176" t="e">
        <f aca="false">D58+B58+C58+#REF!</f>
        <v>#REF!</v>
      </c>
      <c r="F58" s="41" t="n">
        <f aca="false">IF(B$25=1,E58,B$18)</f>
        <v>3.6</v>
      </c>
      <c r="G58" s="41" t="n">
        <f aca="false">IF($B$25=1,$E58,IF(B$25=2,B$18,C$18))</f>
        <v>3.8</v>
      </c>
      <c r="H58" s="4" t="n">
        <f aca="false">VLOOKUP(A58,STRADDLE,10,FALSE())</f>
        <v>20</v>
      </c>
      <c r="I58" s="4" t="e">
        <f aca="false">IF(#REF!=1,VLOOKUP($A58,SkewTable,HLOOKUP(ROUND(F58-$E58,1),SkewTable,2,FALSE()),FALSE())/100,0)</f>
        <v>#REF!</v>
      </c>
      <c r="J58" s="4" t="e">
        <f aca="false">IF(#REF!=1,VLOOKUP($A58,SkewTable,HLOOKUP(ROUND(G58-$E58,1),SkewTable,2,FALSE()),FALSE())/100,0)</f>
        <v>#REF!</v>
      </c>
      <c r="K58" s="4" t="e">
        <f aca="false">($H58+I58+#REF!)*#REF!</f>
        <v>#REF!</v>
      </c>
      <c r="L58" s="4" t="e">
        <f aca="false">($H58+J58+#REF!)*#REF!</f>
        <v>#REF!</v>
      </c>
      <c r="M58" s="176"/>
      <c r="N58" s="176"/>
      <c r="O58" s="136" t="e">
        <f aca="false">IF(B$20=1,VLOOKUP(A58,expiration,2,FALSE()),VLOOKUP(A58,expiration,3,FALSE()))-B$22+#REF!</f>
        <v>#REF!</v>
      </c>
      <c r="P58" s="4" t="n">
        <f aca="false">VLOOKUP($A58,STRADDLE,12,FALSE())</f>
        <v>0.067283554328081</v>
      </c>
      <c r="Q58" s="131"/>
      <c r="R58" s="44" t="n">
        <f aca="false">IF($AD58=0,0,bsd(R$42,R$41,$E58,$F58,$O58,$K58,$P58,0.1))</f>
        <v>0</v>
      </c>
      <c r="S58" s="44" t="n">
        <f aca="false">IF($AD58=0,0,bsd(S$42,S$41,$E58,$G58,$O58,$L58,$P58,0.1))</f>
        <v>0</v>
      </c>
      <c r="T58" s="44" t="n">
        <f aca="false">IF($AD58=0,0,bsd(T$42,T$41,$E58,$F58,$O58,$K58,$P58,0.1))</f>
        <v>0</v>
      </c>
      <c r="U58" s="44" t="n">
        <f aca="false">IF($AD58=0,0,bsd(U$42,U$41,$E58,$G58,$O58,$L58,$P58,0.1))</f>
        <v>0</v>
      </c>
      <c r="V58" s="44" t="n">
        <f aca="false">IF($AD58=0,0,bsd(V$42,V$41,$E58,$F58,$O58,$K58,$P58,0.1))</f>
        <v>0</v>
      </c>
      <c r="W58" s="44" t="n">
        <f aca="false">IF($AD58=0,0,bsd(W$42,W$41,$E58,$G58,$O58,$L58,$P58,0.1))</f>
        <v>0</v>
      </c>
      <c r="X58" s="44" t="n">
        <f aca="false">IF($AD58=0,0,bsd(X$42,X$41,$E58,$F58,$O58,$K58,$P58,0.1))</f>
        <v>0</v>
      </c>
      <c r="Y58" s="44" t="n">
        <f aca="false">IF($AD58=0,0,bsd(Y$42,Y$41,$E58,$G58,$O58,$L58,$P58,0.1))</f>
        <v>0</v>
      </c>
      <c r="Z58" s="44" t="n">
        <f aca="false">IF($AD58=0,0,bsd(Z$42,Z$41,$E58,$F58,$O58,$K58,$P58,0.1))</f>
        <v>0</v>
      </c>
      <c r="AA58" s="44" t="n">
        <f aca="false">IF($AD58=0,0,bsd(AA$42,AA$41,$E58,$G58,$O58,$L58,$P58,0.1))</f>
        <v>0</v>
      </c>
      <c r="AC58" s="48" t="n">
        <f aca="false">DATE(YEAR(AC57),MONTH(AC57)+1,1)</f>
        <v>37377</v>
      </c>
      <c r="AD58" s="9" t="n">
        <f aca="false">IF(AE58&gt;0,AC59-AC58,0)</f>
        <v>0</v>
      </c>
      <c r="AE58" s="48" t="n">
        <f aca="false">IF(AC58&lt;=B$3,AC58,0)</f>
        <v>0</v>
      </c>
      <c r="AF58" s="40" t="n">
        <f aca="false">VLOOKUP(AC58,STRADDLE,3,FALSE())</f>
        <v>3.71</v>
      </c>
      <c r="AG58" s="40" t="n">
        <f aca="false">IF($B$20=1,VLOOKUP(AC58,curvesettle,HLOOKUP($B$21,curvesettle,2,FALSE()),0),0)</f>
        <v>0.015</v>
      </c>
      <c r="AH58" s="40" t="n">
        <f aca="false">AD58*AF58</f>
        <v>0</v>
      </c>
      <c r="AI58" s="40" t="n">
        <f aca="false">AD58*AG58</f>
        <v>0</v>
      </c>
      <c r="AJ58" s="4" t="n">
        <f aca="false">(VLOOKUP(AC58,STRADDLE,10,FALSE())+$B$9)*$B$10</f>
        <v>20</v>
      </c>
      <c r="AK58" s="177" t="n">
        <f aca="false">AJ58*AD58</f>
        <v>0</v>
      </c>
      <c r="AL58" s="177"/>
      <c r="AM58" s="48" t="n">
        <f aca="false">DATE(YEAR(AM57),MONTH(AM57)+1,1)</f>
        <v>37377</v>
      </c>
      <c r="AN58" s="9" t="n">
        <f aca="false">IF(AO58&gt;0,AM59-AM58,0)</f>
        <v>31</v>
      </c>
      <c r="AO58" s="48" t="n">
        <f aca="false">IF(AM58&lt;=$C$3,AM58,0)</f>
        <v>37377</v>
      </c>
      <c r="AP58" s="40" t="n">
        <f aca="false">VLOOKUP(AM58,STRADDLE,3,FALSE())</f>
        <v>3.71</v>
      </c>
      <c r="AQ58" s="40" t="n">
        <f aca="false">IF($C$20=1,VLOOKUP(AM58,curvesettle,HLOOKUP($C$21,curvesettle,2,FALSE()),0),0)</f>
        <v>0.015</v>
      </c>
      <c r="AR58" s="40" t="n">
        <f aca="false">AN58*AP58</f>
        <v>115.01</v>
      </c>
      <c r="AS58" s="40" t="n">
        <f aca="false">AN58*AQ58</f>
        <v>0.465</v>
      </c>
      <c r="AT58" s="4" t="n">
        <f aca="false">(VLOOKUP(AM58,STRADDLE,10,FALSE())+$C$9)*$C$10</f>
        <v>20</v>
      </c>
      <c r="AU58" s="177" t="n">
        <f aca="false">AT58*AN58</f>
        <v>620</v>
      </c>
      <c r="AV58" s="40"/>
      <c r="AW58" s="48" t="n">
        <f aca="false">DATE(YEAR(AW57),MONTH(AW57)+1,1)</f>
        <v>37500</v>
      </c>
      <c r="AX58" s="9" t="n">
        <f aca="false">IF(AY58&gt;0,AW59-AW58,0)</f>
        <v>30</v>
      </c>
      <c r="AY58" s="48" t="n">
        <f aca="false">IF(AW58&lt;=$D$3,AW58,0)</f>
        <v>37500</v>
      </c>
      <c r="AZ58" s="40" t="n">
        <f aca="false">VLOOKUP(AW58,STRADDLE,3,FALSE())</f>
        <v>3.705</v>
      </c>
      <c r="BA58" s="40" t="n">
        <f aca="false">IF($D$20=1,VLOOKUP(AW58,curvesettle,HLOOKUP($D$21,curvesettle,2,FALSE()),0),0)</f>
        <v>0.0175</v>
      </c>
      <c r="BB58" s="40" t="n">
        <f aca="false">AX58*AZ58</f>
        <v>111.15</v>
      </c>
      <c r="BC58" s="40" t="n">
        <f aca="false">AX58*BA58</f>
        <v>0.525</v>
      </c>
      <c r="BD58" s="4" t="n">
        <f aca="false">(VLOOKUP(AW58,STRADDLE,10,FALSE())+$D$9)*$D$10</f>
        <v>24</v>
      </c>
      <c r="BE58" s="177" t="n">
        <f aca="false">BD58*AX58</f>
        <v>720</v>
      </c>
      <c r="BF58" s="177"/>
      <c r="BG58" s="177"/>
      <c r="BH58" s="1" t="n">
        <f aca="false">AD58*B58</f>
        <v>0</v>
      </c>
      <c r="BI58" s="33" t="e">
        <f aca="false">AD58*E58</f>
        <v>#REF!</v>
      </c>
      <c r="BJ58" s="45" t="n">
        <f aca="false">$AD58*R58</f>
        <v>0</v>
      </c>
      <c r="BK58" s="45" t="n">
        <f aca="false">$AD58*T58</f>
        <v>0</v>
      </c>
      <c r="BL58" s="45" t="n">
        <f aca="false">$AD58*V58</f>
        <v>0</v>
      </c>
      <c r="BM58" s="45" t="n">
        <f aca="false">$AD58*X58</f>
        <v>0</v>
      </c>
      <c r="BN58" s="45" t="n">
        <f aca="false">$AD58*Z58</f>
        <v>0</v>
      </c>
      <c r="BP58" s="33"/>
      <c r="BQ58" s="45" t="n">
        <f aca="false">$AD58*S58</f>
        <v>0</v>
      </c>
      <c r="BR58" s="45" t="n">
        <f aca="false">$AD58*U58</f>
        <v>0</v>
      </c>
      <c r="BS58" s="45" t="n">
        <f aca="false">$AD58*W58</f>
        <v>0</v>
      </c>
      <c r="BT58" s="45" t="n">
        <f aca="false">$AD58*Y58</f>
        <v>0</v>
      </c>
      <c r="BU58" s="45" t="n">
        <f aca="false">$AD58*AA58</f>
        <v>0</v>
      </c>
      <c r="BV58" s="46"/>
      <c r="BW58" s="45"/>
      <c r="BX58" s="46"/>
      <c r="BY58" s="47"/>
      <c r="BZ58" s="47"/>
      <c r="CA58" s="47"/>
    </row>
    <row r="59" customFormat="false" ht="12.75" hidden="false" customHeight="false" outlineLevel="0" collapsed="false">
      <c r="A59" s="48" t="n">
        <f aca="false">DATE(YEAR(A58),MONTH(A58)+1,1)</f>
        <v>37408</v>
      </c>
      <c r="B59" s="40" t="n">
        <f aca="false">VLOOKUP(A59,STRADDLE,3,FALSE())</f>
        <v>3.69</v>
      </c>
      <c r="C59" s="40" t="n">
        <f aca="false">IF(B$20=1,VLOOKUP(A59,curvesettle,HLOOKUP($B$21,curvesettle,2,FALSE()),0),0)</f>
        <v>0.02</v>
      </c>
      <c r="D59" s="175" t="n">
        <v>0</v>
      </c>
      <c r="E59" s="176" t="e">
        <f aca="false">D59+B59+C59+#REF!</f>
        <v>#REF!</v>
      </c>
      <c r="F59" s="41" t="n">
        <f aca="false">IF(B$25=1,E59,B$18)</f>
        <v>3.6</v>
      </c>
      <c r="G59" s="41" t="n">
        <f aca="false">IF($B$25=1,$E59,IF(B$25=2,B$18,C$18))</f>
        <v>3.8</v>
      </c>
      <c r="H59" s="4" t="n">
        <f aca="false">VLOOKUP(A59,STRADDLE,10,FALSE())</f>
        <v>21</v>
      </c>
      <c r="I59" s="4" t="e">
        <f aca="false">IF(#REF!=1,VLOOKUP($A59,SkewTable,HLOOKUP(ROUND(F59-$E59,1),SkewTable,2,FALSE()),FALSE())/100,0)</f>
        <v>#REF!</v>
      </c>
      <c r="J59" s="4" t="e">
        <f aca="false">IF(#REF!=1,VLOOKUP($A59,SkewTable,HLOOKUP(ROUND(G59-$E59,1),SkewTable,2,FALSE()),FALSE())/100,0)</f>
        <v>#REF!</v>
      </c>
      <c r="K59" s="4" t="e">
        <f aca="false">($H59+I59+#REF!)*#REF!</f>
        <v>#REF!</v>
      </c>
      <c r="L59" s="4" t="e">
        <f aca="false">($H59+J59+#REF!)*#REF!</f>
        <v>#REF!</v>
      </c>
      <c r="M59" s="176"/>
      <c r="N59" s="176"/>
      <c r="O59" s="136" t="e">
        <f aca="false">IF(B$20=1,VLOOKUP(A59,expiration,2,FALSE()),VLOOKUP(A59,expiration,3,FALSE()))-B$22+#REF!</f>
        <v>#REF!</v>
      </c>
      <c r="P59" s="4" t="n">
        <f aca="false">VLOOKUP($A59,STRADDLE,12,FALSE())</f>
        <v>0.067253392922551</v>
      </c>
      <c r="Q59" s="131"/>
      <c r="R59" s="44" t="n">
        <f aca="false">IF($AD59=0,0,bsd(R$42,R$41,$E59,$F59,$O59,$K59,$P59,0.1))</f>
        <v>0</v>
      </c>
      <c r="S59" s="44" t="n">
        <f aca="false">IF($AD59=0,0,bsd(S$42,S$41,$E59,$G59,$O59,$L59,$P59,0.1))</f>
        <v>0</v>
      </c>
      <c r="T59" s="44" t="n">
        <f aca="false">IF($AD59=0,0,bsd(T$42,T$41,$E59,$F59,$O59,$K59,$P59,0.1))</f>
        <v>0</v>
      </c>
      <c r="U59" s="44" t="n">
        <f aca="false">IF($AD59=0,0,bsd(U$42,U$41,$E59,$G59,$O59,$L59,$P59,0.1))</f>
        <v>0</v>
      </c>
      <c r="V59" s="44" t="n">
        <f aca="false">IF($AD59=0,0,bsd(V$42,V$41,$E59,$F59,$O59,$K59,$P59,0.1))</f>
        <v>0</v>
      </c>
      <c r="W59" s="44" t="n">
        <f aca="false">IF($AD59=0,0,bsd(W$42,W$41,$E59,$G59,$O59,$L59,$P59,0.1))</f>
        <v>0</v>
      </c>
      <c r="X59" s="44" t="n">
        <f aca="false">IF($AD59=0,0,bsd(X$42,X$41,$E59,$F59,$O59,$K59,$P59,0.1))</f>
        <v>0</v>
      </c>
      <c r="Y59" s="44" t="n">
        <f aca="false">IF($AD59=0,0,bsd(Y$42,Y$41,$E59,$G59,$O59,$L59,$P59,0.1))</f>
        <v>0</v>
      </c>
      <c r="Z59" s="44" t="n">
        <f aca="false">IF($AD59=0,0,bsd(Z$42,Z$41,$E59,$F59,$O59,$K59,$P59,0.1))</f>
        <v>0</v>
      </c>
      <c r="AA59" s="44" t="n">
        <f aca="false">IF($AD59=0,0,bsd(AA$42,AA$41,$E59,$G59,$O59,$L59,$P59,0.1))</f>
        <v>0</v>
      </c>
      <c r="AC59" s="48" t="n">
        <f aca="false">DATE(YEAR(AC58),MONTH(AC58)+1,1)</f>
        <v>37408</v>
      </c>
      <c r="AD59" s="9" t="n">
        <f aca="false">IF(AE59&gt;0,AC60-AC59,0)</f>
        <v>0</v>
      </c>
      <c r="AE59" s="48" t="n">
        <f aca="false">IF(AC59&lt;=B$3,AC59,0)</f>
        <v>0</v>
      </c>
      <c r="AF59" s="40" t="n">
        <f aca="false">VLOOKUP(AC59,STRADDLE,3,FALSE())</f>
        <v>3.69</v>
      </c>
      <c r="AG59" s="40" t="n">
        <f aca="false">IF($B$20=1,VLOOKUP(AC59,curvesettle,HLOOKUP($B$21,curvesettle,2,FALSE()),0),0)</f>
        <v>0.02</v>
      </c>
      <c r="AH59" s="40" t="n">
        <f aca="false">AD59*AF59</f>
        <v>0</v>
      </c>
      <c r="AI59" s="40" t="n">
        <f aca="false">AD59*AG59</f>
        <v>0</v>
      </c>
      <c r="AJ59" s="4" t="n">
        <f aca="false">(VLOOKUP(AC59,STRADDLE,10,FALSE())+$B$9)*$B$10</f>
        <v>21</v>
      </c>
      <c r="AK59" s="177" t="n">
        <f aca="false">AJ59*AD59</f>
        <v>0</v>
      </c>
      <c r="AL59" s="177"/>
      <c r="AM59" s="48" t="n">
        <f aca="false">DATE(YEAR(AM58),MONTH(AM58)+1,1)</f>
        <v>37408</v>
      </c>
      <c r="AN59" s="9" t="n">
        <f aca="false">IF(AO59&gt;0,AM60-AM59,0)</f>
        <v>30</v>
      </c>
      <c r="AO59" s="48" t="n">
        <f aca="false">IF(AM59&lt;=$C$3,AM59,0)</f>
        <v>37408</v>
      </c>
      <c r="AP59" s="40" t="n">
        <f aca="false">VLOOKUP(AM59,STRADDLE,3,FALSE())</f>
        <v>3.69</v>
      </c>
      <c r="AQ59" s="40" t="n">
        <f aca="false">IF($C$20=1,VLOOKUP(AM59,curvesettle,HLOOKUP($C$21,curvesettle,2,FALSE()),0),0)</f>
        <v>0.02</v>
      </c>
      <c r="AR59" s="40" t="n">
        <f aca="false">AN59*AP59</f>
        <v>110.7</v>
      </c>
      <c r="AS59" s="40" t="n">
        <f aca="false">AN59*AQ59</f>
        <v>0.6</v>
      </c>
      <c r="AT59" s="4" t="n">
        <f aca="false">(VLOOKUP(AM59,STRADDLE,10,FALSE())+$C$9)*$C$10</f>
        <v>21</v>
      </c>
      <c r="AU59" s="177" t="n">
        <f aca="false">AT59*AN59</f>
        <v>630</v>
      </c>
      <c r="AV59" s="40"/>
      <c r="AW59" s="48" t="n">
        <f aca="false">DATE(YEAR(AW58),MONTH(AW58)+1,1)</f>
        <v>37530</v>
      </c>
      <c r="AX59" s="9" t="n">
        <f aca="false">IF(AY59&gt;0,AW60-AW59,0)</f>
        <v>31</v>
      </c>
      <c r="AY59" s="48" t="n">
        <f aca="false">IF(AW59&lt;=$D$3,AW59,0)</f>
        <v>37530</v>
      </c>
      <c r="AZ59" s="40" t="n">
        <f aca="false">VLOOKUP(AW59,STRADDLE,3,FALSE())</f>
        <v>3.708</v>
      </c>
      <c r="BA59" s="40" t="n">
        <f aca="false">IF($D$20=1,VLOOKUP(AW59,curvesettle,HLOOKUP($D$21,curvesettle,2,FALSE()),0),0)</f>
        <v>0.0075</v>
      </c>
      <c r="BB59" s="40" t="n">
        <f aca="false">AX59*AZ59</f>
        <v>114.948</v>
      </c>
      <c r="BC59" s="40" t="n">
        <f aca="false">AX59*BA59</f>
        <v>0.2325</v>
      </c>
      <c r="BD59" s="4" t="n">
        <f aca="false">(VLOOKUP(AW59,STRADDLE,10,FALSE())+$D$9)*$D$10</f>
        <v>25</v>
      </c>
      <c r="BE59" s="177" t="n">
        <f aca="false">BD59*AX59</f>
        <v>775</v>
      </c>
      <c r="BF59" s="177"/>
      <c r="BG59" s="177"/>
      <c r="BH59" s="1" t="n">
        <f aca="false">AD59*B59</f>
        <v>0</v>
      </c>
      <c r="BI59" s="33" t="e">
        <f aca="false">AD59*E59</f>
        <v>#REF!</v>
      </c>
      <c r="BJ59" s="45" t="n">
        <f aca="false">$AD59*R59</f>
        <v>0</v>
      </c>
      <c r="BK59" s="45" t="n">
        <f aca="false">$AD59*T59</f>
        <v>0</v>
      </c>
      <c r="BL59" s="45" t="n">
        <f aca="false">$AD59*V59</f>
        <v>0</v>
      </c>
      <c r="BM59" s="45" t="n">
        <f aca="false">$AD59*X59</f>
        <v>0</v>
      </c>
      <c r="BN59" s="45" t="n">
        <f aca="false">$AD59*Z59</f>
        <v>0</v>
      </c>
      <c r="BP59" s="33"/>
      <c r="BQ59" s="45" t="n">
        <f aca="false">$AD59*S59</f>
        <v>0</v>
      </c>
      <c r="BR59" s="45" t="n">
        <f aca="false">$AD59*U59</f>
        <v>0</v>
      </c>
      <c r="BS59" s="45" t="n">
        <f aca="false">$AD59*W59</f>
        <v>0</v>
      </c>
      <c r="BT59" s="45" t="n">
        <f aca="false">$AD59*Y59</f>
        <v>0</v>
      </c>
      <c r="BU59" s="45" t="n">
        <f aca="false">$AD59*AA59</f>
        <v>0</v>
      </c>
      <c r="BV59" s="46"/>
      <c r="BW59" s="45"/>
      <c r="BX59" s="46"/>
      <c r="BY59" s="47"/>
      <c r="BZ59" s="47"/>
      <c r="CA59" s="47"/>
    </row>
    <row r="60" customFormat="false" ht="12.75" hidden="false" customHeight="false" outlineLevel="0" collapsed="false">
      <c r="A60" s="48" t="n">
        <f aca="false">DATE(YEAR(A59),MONTH(A59)+1,1)</f>
        <v>37438</v>
      </c>
      <c r="B60" s="40" t="n">
        <f aca="false">VLOOKUP(A60,STRADDLE,3,FALSE())</f>
        <v>3.7</v>
      </c>
      <c r="C60" s="40" t="n">
        <f aca="false">IF(B$20=1,VLOOKUP(A60,curvesettle,HLOOKUP($B$21,curvesettle,2,FALSE()),0),0)</f>
        <v>0.0225</v>
      </c>
      <c r="D60" s="175" t="n">
        <v>0</v>
      </c>
      <c r="E60" s="176" t="e">
        <f aca="false">D60+B60+C60+#REF!</f>
        <v>#REF!</v>
      </c>
      <c r="F60" s="41" t="n">
        <f aca="false">IF(B$25=1,E60,B$18)</f>
        <v>3.6</v>
      </c>
      <c r="G60" s="41" t="n">
        <f aca="false">IF($B$25=1,$E60,IF(B$25=2,B$18,C$18))</f>
        <v>3.8</v>
      </c>
      <c r="H60" s="4" t="n">
        <f aca="false">VLOOKUP(A60,STRADDLE,10,FALSE())</f>
        <v>22</v>
      </c>
      <c r="I60" s="4" t="e">
        <f aca="false">IF(#REF!=1,VLOOKUP($A60,SkewTable,HLOOKUP(ROUND(F60-$E60,1),SkewTable,2,FALSE()),FALSE())/100,0)</f>
        <v>#REF!</v>
      </c>
      <c r="J60" s="4" t="e">
        <f aca="false">IF(#REF!=1,VLOOKUP($A60,SkewTable,HLOOKUP(ROUND(G60-$E60,1),SkewTable,2,FALSE()),FALSE())/100,0)</f>
        <v>#REF!</v>
      </c>
      <c r="K60" s="4" t="e">
        <f aca="false">($H60+I60+#REF!)*#REF!</f>
        <v>#REF!</v>
      </c>
      <c r="L60" s="4" t="e">
        <f aca="false">($H60+J60+#REF!)*#REF!</f>
        <v>#REF!</v>
      </c>
      <c r="M60" s="176"/>
      <c r="N60" s="176"/>
      <c r="O60" s="136" t="e">
        <f aca="false">IF(B$20=1,VLOOKUP(A60,expiration,2,FALSE()),VLOOKUP(A60,expiration,3,FALSE()))-B$22+#REF!</f>
        <v>#REF!</v>
      </c>
      <c r="P60" s="4" t="n">
        <f aca="false">VLOOKUP($A60,STRADDLE,12,FALSE())</f>
        <v>0.067230480386273</v>
      </c>
      <c r="Q60" s="131"/>
      <c r="R60" s="44" t="n">
        <f aca="false">IF($AD60=0,0,bsd(R$42,R$41,$E60,$F60,$O60,$K60,$P60,0.1))</f>
        <v>0</v>
      </c>
      <c r="S60" s="44" t="n">
        <f aca="false">IF($AD60=0,0,bsd(S$42,S$41,$E60,$G60,$O60,$L60,$P60,0.1))</f>
        <v>0</v>
      </c>
      <c r="T60" s="44" t="n">
        <f aca="false">IF($AD60=0,0,bsd(T$42,T$41,$E60,$F60,$O60,$K60,$P60,0.1))</f>
        <v>0</v>
      </c>
      <c r="U60" s="44" t="n">
        <f aca="false">IF($AD60=0,0,bsd(U$42,U$41,$E60,$G60,$O60,$L60,$P60,0.1))</f>
        <v>0</v>
      </c>
      <c r="V60" s="44" t="n">
        <f aca="false">IF($AD60=0,0,bsd(V$42,V$41,$E60,$F60,$O60,$K60,$P60,0.1))</f>
        <v>0</v>
      </c>
      <c r="W60" s="44" t="n">
        <f aca="false">IF($AD60=0,0,bsd(W$42,W$41,$E60,$G60,$O60,$L60,$P60,0.1))</f>
        <v>0</v>
      </c>
      <c r="X60" s="44" t="n">
        <f aca="false">IF($AD60=0,0,bsd(X$42,X$41,$E60,$F60,$O60,$K60,$P60,0.1))</f>
        <v>0</v>
      </c>
      <c r="Y60" s="44" t="n">
        <f aca="false">IF($AD60=0,0,bsd(Y$42,Y$41,$E60,$G60,$O60,$L60,$P60,0.1))</f>
        <v>0</v>
      </c>
      <c r="Z60" s="44" t="n">
        <f aca="false">IF($AD60=0,0,bsd(Z$42,Z$41,$E60,$F60,$O60,$K60,$P60,0.1))</f>
        <v>0</v>
      </c>
      <c r="AA60" s="44" t="n">
        <f aca="false">IF($AD60=0,0,bsd(AA$42,AA$41,$E60,$G60,$O60,$L60,$P60,0.1))</f>
        <v>0</v>
      </c>
      <c r="AC60" s="48" t="n">
        <f aca="false">DATE(YEAR(AC59),MONTH(AC59)+1,1)</f>
        <v>37438</v>
      </c>
      <c r="AD60" s="9" t="n">
        <f aca="false">IF(AE60&gt;0,AC61-AC60,0)</f>
        <v>0</v>
      </c>
      <c r="AE60" s="48" t="n">
        <f aca="false">IF(AC60&lt;=B$3,AC60,0)</f>
        <v>0</v>
      </c>
      <c r="AF60" s="40" t="n">
        <f aca="false">VLOOKUP(AC60,STRADDLE,3,FALSE())</f>
        <v>3.7</v>
      </c>
      <c r="AG60" s="40" t="n">
        <f aca="false">IF($B$20=1,VLOOKUP(AC60,curvesettle,HLOOKUP($B$21,curvesettle,2,FALSE()),0),0)</f>
        <v>0.0225</v>
      </c>
      <c r="AH60" s="40" t="n">
        <f aca="false">AD60*AF60</f>
        <v>0</v>
      </c>
      <c r="AI60" s="40" t="n">
        <f aca="false">AD60*AG60</f>
        <v>0</v>
      </c>
      <c r="AJ60" s="4" t="n">
        <f aca="false">(VLOOKUP(AC60,STRADDLE,10,FALSE())+$B$9)*$B$10</f>
        <v>22</v>
      </c>
      <c r="AK60" s="177" t="n">
        <f aca="false">AJ60*AD60</f>
        <v>0</v>
      </c>
      <c r="AL60" s="177"/>
      <c r="AM60" s="48" t="n">
        <f aca="false">DATE(YEAR(AM59),MONTH(AM59)+1,1)</f>
        <v>37438</v>
      </c>
      <c r="AN60" s="9" t="n">
        <f aca="false">IF(AO60&gt;0,AM61-AM60,0)</f>
        <v>31</v>
      </c>
      <c r="AO60" s="48" t="n">
        <f aca="false">IF(AM60&lt;=$C$3,AM60,0)</f>
        <v>37438</v>
      </c>
      <c r="AP60" s="40" t="n">
        <f aca="false">VLOOKUP(AM60,STRADDLE,3,FALSE())</f>
        <v>3.7</v>
      </c>
      <c r="AQ60" s="40" t="n">
        <f aca="false">IF($C$20=1,VLOOKUP(AM60,curvesettle,HLOOKUP($C$21,curvesettle,2,FALSE()),0),0)</f>
        <v>0.0225</v>
      </c>
      <c r="AR60" s="40" t="n">
        <f aca="false">AN60*AP60</f>
        <v>114.7</v>
      </c>
      <c r="AS60" s="40" t="n">
        <f aca="false">AN60*AQ60</f>
        <v>0.6975</v>
      </c>
      <c r="AT60" s="4" t="n">
        <f aca="false">(VLOOKUP(AM60,STRADDLE,10,FALSE())+$C$9)*$C$10</f>
        <v>22</v>
      </c>
      <c r="AU60" s="177" t="n">
        <f aca="false">AT60*AN60</f>
        <v>682</v>
      </c>
      <c r="AV60" s="40"/>
      <c r="AW60" s="48" t="n">
        <f aca="false">DATE(YEAR(AW59),MONTH(AW59)+1,1)</f>
        <v>37561</v>
      </c>
      <c r="AX60" s="9" t="n">
        <f aca="false">IF(AY60&gt;0,AW61-AW60,0)</f>
        <v>30</v>
      </c>
      <c r="AY60" s="48" t="n">
        <f aca="false">IF(AW60&lt;=$D$3,AW60,0)</f>
        <v>37561</v>
      </c>
      <c r="AZ60" s="40" t="n">
        <f aca="false">VLOOKUP(AW60,STRADDLE,3,FALSE())</f>
        <v>3.8</v>
      </c>
      <c r="BA60" s="40" t="n">
        <f aca="false">IF($D$20=1,VLOOKUP(AW60,curvesettle,HLOOKUP($D$21,curvesettle,2,FALSE()),0),0)</f>
        <v>-0.0325</v>
      </c>
      <c r="BB60" s="40" t="n">
        <f aca="false">AX60*AZ60</f>
        <v>114</v>
      </c>
      <c r="BC60" s="40" t="n">
        <f aca="false">AX60*BA60</f>
        <v>-0.975</v>
      </c>
      <c r="BD60" s="4" t="n">
        <f aca="false">(VLOOKUP(AW60,STRADDLE,10,FALSE())+$D$9)*$D$10</f>
        <v>26</v>
      </c>
      <c r="BE60" s="177" t="n">
        <f aca="false">BD60*AX60</f>
        <v>780</v>
      </c>
      <c r="BF60" s="177"/>
      <c r="BG60" s="177"/>
      <c r="BH60" s="1" t="n">
        <f aca="false">AD60*B60</f>
        <v>0</v>
      </c>
      <c r="BI60" s="33" t="e">
        <f aca="false">AD60*E60</f>
        <v>#REF!</v>
      </c>
      <c r="BJ60" s="45" t="n">
        <f aca="false">$AD60*R60</f>
        <v>0</v>
      </c>
      <c r="BK60" s="45" t="n">
        <f aca="false">$AD60*T60</f>
        <v>0</v>
      </c>
      <c r="BL60" s="45" t="n">
        <f aca="false">$AD60*V60</f>
        <v>0</v>
      </c>
      <c r="BM60" s="45" t="n">
        <f aca="false">$AD60*X60</f>
        <v>0</v>
      </c>
      <c r="BN60" s="45" t="n">
        <f aca="false">$AD60*Z60</f>
        <v>0</v>
      </c>
      <c r="BP60" s="33"/>
      <c r="BQ60" s="45" t="n">
        <f aca="false">$AD60*S60</f>
        <v>0</v>
      </c>
      <c r="BR60" s="45" t="n">
        <f aca="false">$AD60*U60</f>
        <v>0</v>
      </c>
      <c r="BS60" s="45" t="n">
        <f aca="false">$AD60*W60</f>
        <v>0</v>
      </c>
      <c r="BT60" s="45" t="n">
        <f aca="false">$AD60*Y60</f>
        <v>0</v>
      </c>
      <c r="BU60" s="45" t="n">
        <f aca="false">$AD60*AA60</f>
        <v>0</v>
      </c>
      <c r="BV60" s="46"/>
      <c r="BW60" s="45"/>
      <c r="BX60" s="46"/>
      <c r="BY60" s="47"/>
      <c r="BZ60" s="47"/>
      <c r="CA60" s="47"/>
    </row>
    <row r="61" customFormat="false" ht="12.75" hidden="false" customHeight="false" outlineLevel="0" collapsed="false">
      <c r="A61" s="48" t="n">
        <f aca="false">DATE(YEAR(A60),MONTH(A60)+1,1)</f>
        <v>37469</v>
      </c>
      <c r="B61" s="40" t="n">
        <f aca="false">VLOOKUP(A61,STRADDLE,3,FALSE())</f>
        <v>3.71</v>
      </c>
      <c r="C61" s="40" t="n">
        <f aca="false">IF(B$20=1,VLOOKUP(A61,curvesettle,HLOOKUP($B$21,curvesettle,2,FALSE()),0),0)</f>
        <v>0.025</v>
      </c>
      <c r="D61" s="175" t="n">
        <v>0</v>
      </c>
      <c r="E61" s="176" t="e">
        <f aca="false">D61+B61+C61+#REF!</f>
        <v>#REF!</v>
      </c>
      <c r="F61" s="41" t="n">
        <f aca="false">IF(B$25=1,E61,B$18)</f>
        <v>3.6</v>
      </c>
      <c r="G61" s="41" t="n">
        <f aca="false">IF($B$25=1,$E61,IF(B$25=2,B$18,C$18))</f>
        <v>3.8</v>
      </c>
      <c r="H61" s="4" t="n">
        <f aca="false">VLOOKUP(A61,STRADDLE,10,FALSE())</f>
        <v>23</v>
      </c>
      <c r="I61" s="4" t="e">
        <f aca="false">IF(#REF!=1,VLOOKUP($A61,SkewTable,HLOOKUP(ROUND(F61-$E61,1),SkewTable,2,FALSE()),FALSE())/100,0)</f>
        <v>#REF!</v>
      </c>
      <c r="J61" s="4" t="e">
        <f aca="false">IF(#REF!=1,VLOOKUP($A61,SkewTable,HLOOKUP(ROUND(G61-$E61,1),SkewTable,2,FALSE()),FALSE())/100,0)</f>
        <v>#REF!</v>
      </c>
      <c r="K61" s="4" t="e">
        <f aca="false">($H61+I61+#REF!)*#REF!</f>
        <v>#REF!</v>
      </c>
      <c r="L61" s="4" t="e">
        <f aca="false">($H61+J61+#REF!)*#REF!</f>
        <v>#REF!</v>
      </c>
      <c r="M61" s="176"/>
      <c r="N61" s="176"/>
      <c r="O61" s="136" t="e">
        <f aca="false">IF(B$20=1,VLOOKUP(A61,expiration,2,FALSE()),VLOOKUP(A61,expiration,3,FALSE()))-B$22+#REF!</f>
        <v>#REF!</v>
      </c>
      <c r="P61" s="4" t="n">
        <f aca="false">VLOOKUP($A61,STRADDLE,12,FALSE())</f>
        <v>0.067217129309422</v>
      </c>
      <c r="Q61" s="131"/>
      <c r="R61" s="44" t="n">
        <f aca="false">IF($AD61=0,0,bsd(R$42,R$41,$E61,$F61,$O61,$K61,$P61,0.1))</f>
        <v>0</v>
      </c>
      <c r="S61" s="44" t="n">
        <f aca="false">IF($AD61=0,0,bsd(S$42,S$41,$E61,$G61,$O61,$L61,$P61,0.1))</f>
        <v>0</v>
      </c>
      <c r="T61" s="44" t="n">
        <f aca="false">IF($AD61=0,0,bsd(T$42,T$41,$E61,$F61,$O61,$K61,$P61,0.1))</f>
        <v>0</v>
      </c>
      <c r="U61" s="44" t="n">
        <f aca="false">IF($AD61=0,0,bsd(U$42,U$41,$E61,$G61,$O61,$L61,$P61,0.1))</f>
        <v>0</v>
      </c>
      <c r="V61" s="44" t="n">
        <f aca="false">IF($AD61=0,0,bsd(V$42,V$41,$E61,$F61,$O61,$K61,$P61,0.1))</f>
        <v>0</v>
      </c>
      <c r="W61" s="44" t="n">
        <f aca="false">IF($AD61=0,0,bsd(W$42,W$41,$E61,$G61,$O61,$L61,$P61,0.1))</f>
        <v>0</v>
      </c>
      <c r="X61" s="44" t="n">
        <f aca="false">IF($AD61=0,0,bsd(X$42,X$41,$E61,$F61,$O61,$K61,$P61,0.1))</f>
        <v>0</v>
      </c>
      <c r="Y61" s="44" t="n">
        <f aca="false">IF($AD61=0,0,bsd(Y$42,Y$41,$E61,$G61,$O61,$L61,$P61,0.1))</f>
        <v>0</v>
      </c>
      <c r="Z61" s="44" t="n">
        <f aca="false">IF($AD61=0,0,bsd(Z$42,Z$41,$E61,$F61,$O61,$K61,$P61,0.1))</f>
        <v>0</v>
      </c>
      <c r="AA61" s="44" t="n">
        <f aca="false">IF($AD61=0,0,bsd(AA$42,AA$41,$E61,$G61,$O61,$L61,$P61,0.1))</f>
        <v>0</v>
      </c>
      <c r="AC61" s="48" t="n">
        <f aca="false">DATE(YEAR(AC60),MONTH(AC60)+1,1)</f>
        <v>37469</v>
      </c>
      <c r="AD61" s="9" t="n">
        <f aca="false">IF(AE61&gt;0,AC62-AC61,0)</f>
        <v>0</v>
      </c>
      <c r="AE61" s="48" t="n">
        <f aca="false">IF(AC61&lt;=B$3,AC61,0)</f>
        <v>0</v>
      </c>
      <c r="AF61" s="40" t="n">
        <f aca="false">VLOOKUP(AC61,STRADDLE,3,FALSE())</f>
        <v>3.71</v>
      </c>
      <c r="AG61" s="40" t="n">
        <f aca="false">IF($B$20=1,VLOOKUP(AC61,curvesettle,HLOOKUP($B$21,curvesettle,2,FALSE()),0),0)</f>
        <v>0.025</v>
      </c>
      <c r="AH61" s="40" t="n">
        <f aca="false">AD61*AF61</f>
        <v>0</v>
      </c>
      <c r="AI61" s="40" t="n">
        <f aca="false">AD61*AG61</f>
        <v>0</v>
      </c>
      <c r="AJ61" s="4" t="n">
        <f aca="false">(VLOOKUP(AC61,STRADDLE,10,FALSE())+$B$9)*$B$10</f>
        <v>23</v>
      </c>
      <c r="AK61" s="177" t="n">
        <f aca="false">AJ61*AD61</f>
        <v>0</v>
      </c>
      <c r="AL61" s="177"/>
      <c r="AM61" s="48" t="n">
        <f aca="false">DATE(YEAR(AM60),MONTH(AM60)+1,1)</f>
        <v>37469</v>
      </c>
      <c r="AN61" s="9" t="n">
        <f aca="false">IF(AO61&gt;0,AM62-AM61,0)</f>
        <v>31</v>
      </c>
      <c r="AO61" s="48" t="n">
        <f aca="false">IF(AM61&lt;=$C$3,AM61,0)</f>
        <v>37469</v>
      </c>
      <c r="AP61" s="40" t="n">
        <f aca="false">VLOOKUP(AM61,STRADDLE,3,FALSE())</f>
        <v>3.71</v>
      </c>
      <c r="AQ61" s="40" t="n">
        <f aca="false">IF($C$20=1,VLOOKUP(AM61,curvesettle,HLOOKUP($C$21,curvesettle,2,FALSE()),0),0)</f>
        <v>0.025</v>
      </c>
      <c r="AR61" s="40" t="n">
        <f aca="false">AN61*AP61</f>
        <v>115.01</v>
      </c>
      <c r="AS61" s="40" t="n">
        <f aca="false">AN61*AQ61</f>
        <v>0.775</v>
      </c>
      <c r="AT61" s="4" t="n">
        <f aca="false">(VLOOKUP(AM61,STRADDLE,10,FALSE())+$C$9)*$C$10</f>
        <v>23</v>
      </c>
      <c r="AU61" s="177" t="n">
        <f aca="false">AT61*AN61</f>
        <v>713</v>
      </c>
      <c r="AV61" s="40"/>
      <c r="AW61" s="48" t="n">
        <f aca="false">DATE(YEAR(AW60),MONTH(AW60)+1,1)</f>
        <v>37591</v>
      </c>
      <c r="AX61" s="9" t="n">
        <f aca="false">IF(AY61&gt;0,AW62-AW61,0)</f>
        <v>31</v>
      </c>
      <c r="AY61" s="48" t="n">
        <f aca="false">IF(AW61&lt;=$D$3,AW61,0)</f>
        <v>37591</v>
      </c>
      <c r="AZ61" s="40" t="n">
        <f aca="false">VLOOKUP(AW61,STRADDLE,3,FALSE())</f>
        <v>3.876</v>
      </c>
      <c r="BA61" s="40" t="n">
        <f aca="false">IF($D$20=1,VLOOKUP(AW61,curvesettle,HLOOKUP($D$21,curvesettle,2,FALSE()),0),0)</f>
        <v>-0.055</v>
      </c>
      <c r="BB61" s="40" t="n">
        <f aca="false">AX61*AZ61</f>
        <v>120.156</v>
      </c>
      <c r="BC61" s="40" t="n">
        <f aca="false">AX61*BA61</f>
        <v>-1.705</v>
      </c>
      <c r="BD61" s="4" t="n">
        <f aca="false">(VLOOKUP(AW61,STRADDLE,10,FALSE())+$D$9)*$D$10</f>
        <v>27</v>
      </c>
      <c r="BE61" s="177" t="n">
        <f aca="false">BD61*AX61</f>
        <v>837</v>
      </c>
      <c r="BF61" s="177"/>
      <c r="BG61" s="177"/>
      <c r="BH61" s="1" t="n">
        <f aca="false">AD61*B61</f>
        <v>0</v>
      </c>
      <c r="BI61" s="33" t="e">
        <f aca="false">AD61*E61</f>
        <v>#REF!</v>
      </c>
      <c r="BJ61" s="45" t="n">
        <f aca="false">$AD61*R61</f>
        <v>0</v>
      </c>
      <c r="BK61" s="45" t="n">
        <f aca="false">$AD61*T61</f>
        <v>0</v>
      </c>
      <c r="BL61" s="45" t="n">
        <f aca="false">$AD61*V61</f>
        <v>0</v>
      </c>
      <c r="BM61" s="45" t="n">
        <f aca="false">$AD61*X61</f>
        <v>0</v>
      </c>
      <c r="BN61" s="45" t="n">
        <f aca="false">$AD61*Z61</f>
        <v>0</v>
      </c>
      <c r="BP61" s="33"/>
      <c r="BQ61" s="45" t="n">
        <f aca="false">$AD61*S61</f>
        <v>0</v>
      </c>
      <c r="BR61" s="45" t="n">
        <f aca="false">$AD61*U61</f>
        <v>0</v>
      </c>
      <c r="BS61" s="45" t="n">
        <f aca="false">$AD61*W61</f>
        <v>0</v>
      </c>
      <c r="BT61" s="45" t="n">
        <f aca="false">$AD61*Y61</f>
        <v>0</v>
      </c>
      <c r="BU61" s="45" t="n">
        <f aca="false">$AD61*AA61</f>
        <v>0</v>
      </c>
      <c r="BV61" s="46"/>
      <c r="BW61" s="45"/>
      <c r="BX61" s="46"/>
      <c r="BY61" s="47"/>
      <c r="BZ61" s="47"/>
      <c r="CA61" s="47"/>
    </row>
    <row r="62" customFormat="false" ht="12.75" hidden="false" customHeight="false" outlineLevel="0" collapsed="false">
      <c r="A62" s="48" t="n">
        <f aca="false">DATE(YEAR(A61),MONTH(A61)+1,1)</f>
        <v>37500</v>
      </c>
      <c r="B62" s="40" t="n">
        <f aca="false">VLOOKUP(A62,STRADDLE,3,FALSE())</f>
        <v>3.705</v>
      </c>
      <c r="C62" s="40" t="n">
        <f aca="false">IF(B$20=1,VLOOKUP(A62,curvesettle,HLOOKUP($B$21,curvesettle,2,FALSE()),0),0)</f>
        <v>0.0175</v>
      </c>
      <c r="D62" s="175" t="n">
        <v>0</v>
      </c>
      <c r="E62" s="176" t="e">
        <f aca="false">D62+B62+C62+#REF!</f>
        <v>#REF!</v>
      </c>
      <c r="F62" s="41" t="n">
        <f aca="false">IF(B$25=1,E62,B$18)</f>
        <v>3.6</v>
      </c>
      <c r="G62" s="41" t="n">
        <f aca="false">IF($B$25=1,$E62,IF(B$25=2,B$18,C$18))</f>
        <v>3.8</v>
      </c>
      <c r="H62" s="4" t="n">
        <f aca="false">VLOOKUP(A62,STRADDLE,10,FALSE())</f>
        <v>24</v>
      </c>
      <c r="I62" s="4" t="e">
        <f aca="false">IF(#REF!=1,VLOOKUP($A62,SkewTable,HLOOKUP(ROUND(F62-$E62,1),SkewTable,2,FALSE()),FALSE())/100,0)</f>
        <v>#REF!</v>
      </c>
      <c r="J62" s="4" t="e">
        <f aca="false">IF(#REF!=1,VLOOKUP($A62,SkewTable,HLOOKUP(ROUND(G62-$E62,1),SkewTable,2,FALSE()),FALSE())/100,0)</f>
        <v>#REF!</v>
      </c>
      <c r="K62" s="4" t="e">
        <f aca="false">($H62+I62+#REF!)*#REF!</f>
        <v>#REF!</v>
      </c>
      <c r="L62" s="4" t="e">
        <f aca="false">($H62+J62+#REF!)*#REF!</f>
        <v>#REF!</v>
      </c>
      <c r="M62" s="176"/>
      <c r="N62" s="176"/>
      <c r="O62" s="136" t="e">
        <f aca="false">IF(B$20=1,VLOOKUP(A62,expiration,2,FALSE()),VLOOKUP(A62,expiration,3,FALSE()))-B$22+#REF!</f>
        <v>#REF!</v>
      </c>
      <c r="P62" s="4" t="n">
        <f aca="false">VLOOKUP($A62,STRADDLE,12,FALSE())</f>
        <v>0.06720377823263</v>
      </c>
      <c r="Q62" s="131"/>
      <c r="R62" s="44" t="n">
        <f aca="false">IF($AD62=0,0,bsd(R$42,R$41,$E62,$F62,$O62,$K62,$P62,0.1))</f>
        <v>0</v>
      </c>
      <c r="S62" s="44" t="n">
        <f aca="false">IF($AD62=0,0,bsd(S$42,S$41,$E62,$G62,$O62,$L62,$P62,0.1))</f>
        <v>0</v>
      </c>
      <c r="T62" s="44" t="n">
        <f aca="false">IF($AD62=0,0,bsd(T$42,T$41,$E62,$F62,$O62,$K62,$P62,0.1))</f>
        <v>0</v>
      </c>
      <c r="U62" s="44" t="n">
        <f aca="false">IF($AD62=0,0,bsd(U$42,U$41,$E62,$G62,$O62,$L62,$P62,0.1))</f>
        <v>0</v>
      </c>
      <c r="V62" s="44" t="n">
        <f aca="false">IF($AD62=0,0,bsd(V$42,V$41,$E62,$F62,$O62,$K62,$P62,0.1))</f>
        <v>0</v>
      </c>
      <c r="W62" s="44" t="n">
        <f aca="false">IF($AD62=0,0,bsd(W$42,W$41,$E62,$G62,$O62,$L62,$P62,0.1))</f>
        <v>0</v>
      </c>
      <c r="X62" s="44" t="n">
        <f aca="false">IF($AD62=0,0,bsd(X$42,X$41,$E62,$F62,$O62,$K62,$P62,0.1))</f>
        <v>0</v>
      </c>
      <c r="Y62" s="44" t="n">
        <f aca="false">IF($AD62=0,0,bsd(Y$42,Y$41,$E62,$G62,$O62,$L62,$P62,0.1))</f>
        <v>0</v>
      </c>
      <c r="Z62" s="44" t="n">
        <f aca="false">IF($AD62=0,0,bsd(Z$42,Z$41,$E62,$F62,$O62,$K62,$P62,0.1))</f>
        <v>0</v>
      </c>
      <c r="AA62" s="44" t="n">
        <f aca="false">IF($AD62=0,0,bsd(AA$42,AA$41,$E62,$G62,$O62,$L62,$P62,0.1))</f>
        <v>0</v>
      </c>
      <c r="AC62" s="48" t="n">
        <f aca="false">DATE(YEAR(AC61),MONTH(AC61)+1,1)</f>
        <v>37500</v>
      </c>
      <c r="AD62" s="9" t="n">
        <f aca="false">IF(AE62&gt;0,AC63-AC62,0)</f>
        <v>0</v>
      </c>
      <c r="AE62" s="48" t="n">
        <f aca="false">IF(AC62&lt;=B$3,AC62,0)</f>
        <v>0</v>
      </c>
      <c r="AF62" s="40" t="n">
        <f aca="false">VLOOKUP(AC62,STRADDLE,3,FALSE())</f>
        <v>3.705</v>
      </c>
      <c r="AG62" s="40" t="n">
        <f aca="false">IF($B$20=1,VLOOKUP(AC62,curvesettle,HLOOKUP($B$21,curvesettle,2,FALSE()),0),0)</f>
        <v>0.0175</v>
      </c>
      <c r="AH62" s="40" t="n">
        <f aca="false">AD62*AF62</f>
        <v>0</v>
      </c>
      <c r="AI62" s="40" t="n">
        <f aca="false">AD62*AG62</f>
        <v>0</v>
      </c>
      <c r="AJ62" s="4" t="n">
        <f aca="false">(VLOOKUP(AC62,STRADDLE,10,FALSE())+$B$9)*$B$10</f>
        <v>24</v>
      </c>
      <c r="AK62" s="177" t="n">
        <f aca="false">AJ62*AD62</f>
        <v>0</v>
      </c>
      <c r="AL62" s="177"/>
      <c r="AM62" s="48" t="n">
        <f aca="false">DATE(YEAR(AM61),MONTH(AM61)+1,1)</f>
        <v>37500</v>
      </c>
      <c r="AN62" s="9" t="n">
        <f aca="false">IF(AO62&gt;0,AM63-AM62,0)</f>
        <v>30</v>
      </c>
      <c r="AO62" s="48" t="n">
        <f aca="false">IF(AM62&lt;=$C$3,AM62,0)</f>
        <v>37500</v>
      </c>
      <c r="AP62" s="40" t="n">
        <f aca="false">VLOOKUP(AM62,STRADDLE,3,FALSE())</f>
        <v>3.705</v>
      </c>
      <c r="AQ62" s="40" t="n">
        <f aca="false">IF($C$20=1,VLOOKUP(AM62,curvesettle,HLOOKUP($C$21,curvesettle,2,FALSE()),0),0)</f>
        <v>0.0175</v>
      </c>
      <c r="AR62" s="40" t="n">
        <f aca="false">AN62*AP62</f>
        <v>111.15</v>
      </c>
      <c r="AS62" s="40" t="n">
        <f aca="false">AN62*AQ62</f>
        <v>0.525</v>
      </c>
      <c r="AT62" s="4" t="n">
        <f aca="false">(VLOOKUP(AM62,STRADDLE,10,FALSE())+$C$9)*$C$10</f>
        <v>24</v>
      </c>
      <c r="AU62" s="177" t="n">
        <f aca="false">AT62*AN62</f>
        <v>720</v>
      </c>
      <c r="AV62" s="40"/>
      <c r="AW62" s="48" t="n">
        <f aca="false">DATE(YEAR(AW61),MONTH(AW61)+1,1)</f>
        <v>37622</v>
      </c>
      <c r="AX62" s="9" t="n">
        <f aca="false">IF(AY62&gt;0,AW63-AW62,0)</f>
        <v>31</v>
      </c>
      <c r="AY62" s="48" t="n">
        <f aca="false">IF(AW62&lt;=$D$3,AW62,0)</f>
        <v>37622</v>
      </c>
      <c r="AZ62" s="40" t="n">
        <f aca="false">VLOOKUP(AW62,STRADDLE,3,FALSE())</f>
        <v>3.857</v>
      </c>
      <c r="BA62" s="40" t="n">
        <f aca="false">IF($D$20=1,VLOOKUP(AW62,curvesettle,HLOOKUP($D$21,curvesettle,2,FALSE()),0),0)</f>
        <v>-0.0575</v>
      </c>
      <c r="BB62" s="40" t="n">
        <f aca="false">AX62*AZ62</f>
        <v>119.567</v>
      </c>
      <c r="BC62" s="40" t="n">
        <f aca="false">AX62*BA62</f>
        <v>-1.7825</v>
      </c>
      <c r="BD62" s="4" t="n">
        <f aca="false">(VLOOKUP(AW62,STRADDLE,10,FALSE())+$D$9)*$D$10</f>
        <v>28</v>
      </c>
      <c r="BE62" s="177" t="n">
        <f aca="false">BD62*AX62</f>
        <v>868</v>
      </c>
      <c r="BF62" s="177"/>
      <c r="BG62" s="177"/>
      <c r="BH62" s="1" t="n">
        <f aca="false">AD62*B62</f>
        <v>0</v>
      </c>
      <c r="BI62" s="33" t="e">
        <f aca="false">AD62*E62</f>
        <v>#REF!</v>
      </c>
      <c r="BJ62" s="45" t="n">
        <f aca="false">$AD62*R62</f>
        <v>0</v>
      </c>
      <c r="BK62" s="45" t="n">
        <f aca="false">$AD62*T62</f>
        <v>0</v>
      </c>
      <c r="BL62" s="45" t="n">
        <f aca="false">$AD62*V62</f>
        <v>0</v>
      </c>
      <c r="BM62" s="45" t="n">
        <f aca="false">$AD62*X62</f>
        <v>0</v>
      </c>
      <c r="BN62" s="45" t="n">
        <f aca="false">$AD62*Z62</f>
        <v>0</v>
      </c>
      <c r="BP62" s="33"/>
      <c r="BQ62" s="45" t="n">
        <f aca="false">$AD62*S62</f>
        <v>0</v>
      </c>
      <c r="BR62" s="45" t="n">
        <f aca="false">$AD62*U62</f>
        <v>0</v>
      </c>
      <c r="BS62" s="45" t="n">
        <f aca="false">$AD62*W62</f>
        <v>0</v>
      </c>
      <c r="BT62" s="45" t="n">
        <f aca="false">$AD62*Y62</f>
        <v>0</v>
      </c>
      <c r="BU62" s="45" t="n">
        <f aca="false">$AD62*AA62</f>
        <v>0</v>
      </c>
      <c r="BV62" s="46"/>
      <c r="BW62" s="45"/>
      <c r="BX62" s="46"/>
      <c r="BY62" s="47"/>
      <c r="BZ62" s="47"/>
      <c r="CA62" s="47"/>
    </row>
    <row r="63" customFormat="false" ht="12.75" hidden="false" customHeight="false" outlineLevel="0" collapsed="false">
      <c r="A63" s="48" t="n">
        <f aca="false">DATE(YEAR(A62),MONTH(A62)+1,1)</f>
        <v>37530</v>
      </c>
      <c r="B63" s="40" t="n">
        <f aca="false">VLOOKUP(A63,STRADDLE,3,FALSE())</f>
        <v>3.708</v>
      </c>
      <c r="C63" s="40" t="n">
        <f aca="false">IF(B$20=1,VLOOKUP(A63,curvesettle,HLOOKUP($B$21,curvesettle,2,FALSE()),0),0)</f>
        <v>0.0075</v>
      </c>
      <c r="D63" s="175" t="n">
        <v>0</v>
      </c>
      <c r="E63" s="176" t="e">
        <f aca="false">D63+B63+C63+#REF!</f>
        <v>#REF!</v>
      </c>
      <c r="F63" s="41" t="n">
        <f aca="false">IF(B$25=1,E63,B$18)</f>
        <v>3.6</v>
      </c>
      <c r="G63" s="41" t="n">
        <f aca="false">IF($B$25=1,$E63,IF(B$25=2,B$18,C$18))</f>
        <v>3.8</v>
      </c>
      <c r="H63" s="4" t="n">
        <f aca="false">VLOOKUP(A63,STRADDLE,10,FALSE())</f>
        <v>25</v>
      </c>
      <c r="I63" s="4" t="e">
        <f aca="false">IF(#REF!=1,VLOOKUP($A63,SkewTable,HLOOKUP(ROUND(F63-$E63,1),SkewTable,2,FALSE()),FALSE())/100,0)</f>
        <v>#REF!</v>
      </c>
      <c r="J63" s="4" t="e">
        <f aca="false">IF(#REF!=1,VLOOKUP($A63,SkewTable,HLOOKUP(ROUND(G63-$E63,1),SkewTable,2,FALSE()),FALSE())/100,0)</f>
        <v>#REF!</v>
      </c>
      <c r="K63" s="4" t="e">
        <f aca="false">($H63+I63+#REF!)*#REF!</f>
        <v>#REF!</v>
      </c>
      <c r="L63" s="4" t="e">
        <f aca="false">($H63+J63+#REF!)*#REF!</f>
        <v>#REF!</v>
      </c>
      <c r="M63" s="176"/>
      <c r="N63" s="176"/>
      <c r="O63" s="136" t="e">
        <f aca="false">IF(B$20=1,VLOOKUP(A63,expiration,2,FALSE()),VLOOKUP(A63,expiration,3,FALSE()))-B$22+#REF!</f>
        <v>#REF!</v>
      </c>
      <c r="P63" s="4" t="n">
        <f aca="false">VLOOKUP($A63,STRADDLE,12,FALSE())</f>
        <v>0.067194524564304</v>
      </c>
      <c r="Q63" s="131"/>
      <c r="R63" s="44" t="n">
        <f aca="false">IF($AD63=0,0,bsd(R$42,R$41,$E63,$F63,$O63,$K63,$P63,0.1))</f>
        <v>0</v>
      </c>
      <c r="S63" s="44" t="n">
        <f aca="false">IF($AD63=0,0,bsd(S$42,S$41,$E63,$G63,$O63,$L63,$P63,0.1))</f>
        <v>0</v>
      </c>
      <c r="T63" s="44" t="n">
        <f aca="false">IF($AD63=0,0,bsd(T$42,T$41,$E63,$F63,$O63,$K63,$P63,0.1))</f>
        <v>0</v>
      </c>
      <c r="U63" s="44" t="n">
        <f aca="false">IF($AD63=0,0,bsd(U$42,U$41,$E63,$G63,$O63,$L63,$P63,0.1))</f>
        <v>0</v>
      </c>
      <c r="V63" s="44" t="n">
        <f aca="false">IF($AD63=0,0,bsd(V$42,V$41,$E63,$F63,$O63,$K63,$P63,0.1))</f>
        <v>0</v>
      </c>
      <c r="W63" s="44" t="n">
        <f aca="false">IF($AD63=0,0,bsd(W$42,W$41,$E63,$G63,$O63,$L63,$P63,0.1))</f>
        <v>0</v>
      </c>
      <c r="X63" s="44" t="n">
        <f aca="false">IF($AD63=0,0,bsd(X$42,X$41,$E63,$F63,$O63,$K63,$P63,0.1))</f>
        <v>0</v>
      </c>
      <c r="Y63" s="44" t="n">
        <f aca="false">IF($AD63=0,0,bsd(Y$42,Y$41,$E63,$G63,$O63,$L63,$P63,0.1))</f>
        <v>0</v>
      </c>
      <c r="Z63" s="44" t="n">
        <f aca="false">IF($AD63=0,0,bsd(Z$42,Z$41,$E63,$F63,$O63,$K63,$P63,0.1))</f>
        <v>0</v>
      </c>
      <c r="AA63" s="44" t="n">
        <f aca="false">IF($AD63=0,0,bsd(AA$42,AA$41,$E63,$G63,$O63,$L63,$P63,0.1))</f>
        <v>0</v>
      </c>
      <c r="AC63" s="48" t="n">
        <f aca="false">DATE(YEAR(AC62),MONTH(AC62)+1,1)</f>
        <v>37530</v>
      </c>
      <c r="AD63" s="9" t="n">
        <f aca="false">IF(AE63&gt;0,AC64-AC63,0)</f>
        <v>0</v>
      </c>
      <c r="AE63" s="48" t="n">
        <f aca="false">IF(AC63&lt;=B$3,AC63,0)</f>
        <v>0</v>
      </c>
      <c r="AF63" s="40" t="n">
        <f aca="false">VLOOKUP(AC63,STRADDLE,3,FALSE())</f>
        <v>3.708</v>
      </c>
      <c r="AG63" s="40" t="n">
        <f aca="false">IF($B$20=1,VLOOKUP(AC63,curvesettle,HLOOKUP($B$21,curvesettle,2,FALSE()),0),0)</f>
        <v>0.0075</v>
      </c>
      <c r="AH63" s="40" t="n">
        <f aca="false">AD63*AF63</f>
        <v>0</v>
      </c>
      <c r="AI63" s="40" t="n">
        <f aca="false">AD63*AG63</f>
        <v>0</v>
      </c>
      <c r="AJ63" s="4" t="n">
        <f aca="false">(VLOOKUP(AC63,STRADDLE,10,FALSE())+$B$9)*$B$10</f>
        <v>25</v>
      </c>
      <c r="AK63" s="177" t="n">
        <f aca="false">AJ63*AD63</f>
        <v>0</v>
      </c>
      <c r="AL63" s="177"/>
      <c r="AM63" s="48" t="n">
        <f aca="false">DATE(YEAR(AM62),MONTH(AM62)+1,1)</f>
        <v>37530</v>
      </c>
      <c r="AN63" s="9" t="n">
        <f aca="false">IF(AO63&gt;0,AM64-AM63,0)</f>
        <v>31</v>
      </c>
      <c r="AO63" s="48" t="n">
        <f aca="false">IF(AM63&lt;=$C$3,AM63,0)</f>
        <v>37530</v>
      </c>
      <c r="AP63" s="40" t="n">
        <f aca="false">VLOOKUP(AM63,STRADDLE,3,FALSE())</f>
        <v>3.708</v>
      </c>
      <c r="AQ63" s="40" t="n">
        <f aca="false">IF($C$20=1,VLOOKUP(AM63,curvesettle,HLOOKUP($C$21,curvesettle,2,FALSE()),0),0)</f>
        <v>0.0075</v>
      </c>
      <c r="AR63" s="40" t="n">
        <f aca="false">AN63*AP63</f>
        <v>114.948</v>
      </c>
      <c r="AS63" s="40" t="n">
        <f aca="false">AN63*AQ63</f>
        <v>0.2325</v>
      </c>
      <c r="AT63" s="4" t="n">
        <f aca="false">(VLOOKUP(AM63,STRADDLE,10,FALSE())+$C$9)*$C$10</f>
        <v>25</v>
      </c>
      <c r="AU63" s="177" t="n">
        <f aca="false">AT63*AN63</f>
        <v>775</v>
      </c>
      <c r="AV63" s="40"/>
      <c r="AW63" s="48" t="n">
        <f aca="false">DATE(YEAR(AW62),MONTH(AW62)+1,1)</f>
        <v>37653</v>
      </c>
      <c r="AX63" s="9" t="n">
        <f aca="false">IF(AY63&gt;0,AW64-AW63,0)</f>
        <v>28</v>
      </c>
      <c r="AY63" s="48" t="n">
        <f aca="false">IF(AW63&lt;=$D$3,AW63,0)</f>
        <v>37653</v>
      </c>
      <c r="AZ63" s="40" t="n">
        <f aca="false">VLOOKUP(AW63,STRADDLE,3,FALSE())</f>
        <v>3.695</v>
      </c>
      <c r="BA63" s="40" t="n">
        <f aca="false">IF($D$20=1,VLOOKUP(AW63,curvesettle,HLOOKUP($D$21,curvesettle,2,FALSE()),0),0)</f>
        <v>-0.04</v>
      </c>
      <c r="BB63" s="40" t="n">
        <f aca="false">AX63*AZ63</f>
        <v>103.46</v>
      </c>
      <c r="BC63" s="40" t="n">
        <f aca="false">AX63*BA63</f>
        <v>-1.12</v>
      </c>
      <c r="BD63" s="4" t="n">
        <f aca="false">(VLOOKUP(AW63,STRADDLE,10,FALSE())+$D$9)*$D$10</f>
        <v>29</v>
      </c>
      <c r="BE63" s="177" t="n">
        <f aca="false">BD63*AX63</f>
        <v>812</v>
      </c>
      <c r="BF63" s="177"/>
      <c r="BG63" s="177"/>
      <c r="BH63" s="1" t="n">
        <f aca="false">AD63*B63</f>
        <v>0</v>
      </c>
      <c r="BI63" s="33" t="e">
        <f aca="false">AD63*E63</f>
        <v>#REF!</v>
      </c>
      <c r="BJ63" s="45" t="n">
        <f aca="false">$AD63*R63</f>
        <v>0</v>
      </c>
      <c r="BK63" s="45" t="n">
        <f aca="false">$AD63*T63</f>
        <v>0</v>
      </c>
      <c r="BL63" s="45" t="n">
        <f aca="false">$AD63*V63</f>
        <v>0</v>
      </c>
      <c r="BM63" s="45" t="n">
        <f aca="false">$AD63*X63</f>
        <v>0</v>
      </c>
      <c r="BN63" s="45" t="n">
        <f aca="false">$AD63*Z63</f>
        <v>0</v>
      </c>
      <c r="BP63" s="33"/>
      <c r="BQ63" s="45" t="n">
        <f aca="false">$AD63*S63</f>
        <v>0</v>
      </c>
      <c r="BR63" s="45" t="n">
        <f aca="false">$AD63*U63</f>
        <v>0</v>
      </c>
      <c r="BS63" s="45" t="n">
        <f aca="false">$AD63*W63</f>
        <v>0</v>
      </c>
      <c r="BT63" s="45" t="n">
        <f aca="false">$AD63*Y63</f>
        <v>0</v>
      </c>
      <c r="BU63" s="45" t="n">
        <f aca="false">$AD63*AA63</f>
        <v>0</v>
      </c>
      <c r="BV63" s="46"/>
      <c r="BW63" s="45"/>
      <c r="BX63" s="46"/>
      <c r="BY63" s="47"/>
      <c r="BZ63" s="47"/>
      <c r="CA63" s="47"/>
    </row>
    <row r="64" customFormat="false" ht="12.75" hidden="false" customHeight="false" outlineLevel="0" collapsed="false">
      <c r="A64" s="48" t="n">
        <f aca="false">DATE(YEAR(A63),MONTH(A63)+1,1)</f>
        <v>37561</v>
      </c>
      <c r="B64" s="40" t="n">
        <f aca="false">VLOOKUP(A64,STRADDLE,3,FALSE())</f>
        <v>3.8</v>
      </c>
      <c r="C64" s="40" t="n">
        <f aca="false">IF(B$20=1,VLOOKUP(A64,curvesettle,HLOOKUP($B$21,curvesettle,2,FALSE()),0),0)</f>
        <v>-0.0325</v>
      </c>
      <c r="D64" s="175" t="n">
        <v>0</v>
      </c>
      <c r="E64" s="176" t="e">
        <f aca="false">D64+B64+C64+#REF!</f>
        <v>#REF!</v>
      </c>
      <c r="F64" s="41" t="n">
        <f aca="false">IF(B$25=1,E64,B$18)</f>
        <v>3.6</v>
      </c>
      <c r="G64" s="41" t="n">
        <f aca="false">IF($B$25=1,$E64,IF(B$25=2,B$18,C$18))</f>
        <v>3.8</v>
      </c>
      <c r="H64" s="4" t="n">
        <f aca="false">VLOOKUP(A64,STRADDLE,10,FALSE())</f>
        <v>26</v>
      </c>
      <c r="I64" s="4" t="e">
        <f aca="false">IF(#REF!=1,VLOOKUP($A64,SkewTable,HLOOKUP(ROUND(F64-$E64,1),SkewTable,2,FALSE()),FALSE())/100,0)</f>
        <v>#REF!</v>
      </c>
      <c r="J64" s="4" t="e">
        <f aca="false">IF(#REF!=1,VLOOKUP($A64,SkewTable,HLOOKUP(ROUND(G64-$E64,1),SkewTable,2,FALSE()),FALSE())/100,0)</f>
        <v>#REF!</v>
      </c>
      <c r="K64" s="4" t="e">
        <f aca="false">($H64+I64+#REF!)*#REF!</f>
        <v>#REF!</v>
      </c>
      <c r="L64" s="4" t="e">
        <f aca="false">($H64+J64+#REF!)*#REF!</f>
        <v>#REF!</v>
      </c>
      <c r="M64" s="176"/>
      <c r="N64" s="176"/>
      <c r="O64" s="136" t="e">
        <f aca="false">IF(B$20=1,VLOOKUP(A64,expiration,2,FALSE()),VLOOKUP(A64,expiration,3,FALSE()))-B$22+#REF!</f>
        <v>#REF!</v>
      </c>
      <c r="P64" s="4" t="n">
        <f aca="false">VLOOKUP($A64,STRADDLE,12,FALSE())</f>
        <v>0.067190222129849</v>
      </c>
      <c r="Q64" s="131"/>
      <c r="R64" s="44" t="n">
        <f aca="false">IF($AD64=0,0,bsd(R$42,R$41,$E64,$F64,$O64,$K64,$P64,0.1))</f>
        <v>0</v>
      </c>
      <c r="S64" s="44" t="n">
        <f aca="false">IF($AD64=0,0,bsd(S$42,S$41,$E64,$G64,$O64,$L64,$P64,0.1))</f>
        <v>0</v>
      </c>
      <c r="T64" s="44" t="n">
        <f aca="false">IF($AD64=0,0,bsd(T$42,T$41,$E64,$F64,$O64,$K64,$P64,0.1))</f>
        <v>0</v>
      </c>
      <c r="U64" s="44" t="n">
        <f aca="false">IF($AD64=0,0,bsd(U$42,U$41,$E64,$G64,$O64,$L64,$P64,0.1))</f>
        <v>0</v>
      </c>
      <c r="V64" s="44" t="n">
        <f aca="false">IF($AD64=0,0,bsd(V$42,V$41,$E64,$F64,$O64,$K64,$P64,0.1))</f>
        <v>0</v>
      </c>
      <c r="W64" s="44" t="n">
        <f aca="false">IF($AD64=0,0,bsd(W$42,W$41,$E64,$G64,$O64,$L64,$P64,0.1))</f>
        <v>0</v>
      </c>
      <c r="X64" s="44" t="n">
        <f aca="false">IF($AD64=0,0,bsd(X$42,X$41,$E64,$F64,$O64,$K64,$P64,0.1))</f>
        <v>0</v>
      </c>
      <c r="Y64" s="44" t="n">
        <f aca="false">IF($AD64=0,0,bsd(Y$42,Y$41,$E64,$G64,$O64,$L64,$P64,0.1))</f>
        <v>0</v>
      </c>
      <c r="Z64" s="44" t="n">
        <f aca="false">IF($AD64=0,0,bsd(Z$42,Z$41,$E64,$F64,$O64,$K64,$P64,0.1))</f>
        <v>0</v>
      </c>
      <c r="AA64" s="44" t="n">
        <f aca="false">IF($AD64=0,0,bsd(AA$42,AA$41,$E64,$G64,$O64,$L64,$P64,0.1))</f>
        <v>0</v>
      </c>
      <c r="AC64" s="48" t="n">
        <f aca="false">DATE(YEAR(AC63),MONTH(AC63)+1,1)</f>
        <v>37561</v>
      </c>
      <c r="AD64" s="9" t="n">
        <f aca="false">IF(AE64&gt;0,AC65-AC64,0)</f>
        <v>0</v>
      </c>
      <c r="AE64" s="48" t="n">
        <f aca="false">IF(AC64&lt;=B$3,AC64,0)</f>
        <v>0</v>
      </c>
      <c r="AF64" s="40" t="n">
        <f aca="false">VLOOKUP(AC64,STRADDLE,3,FALSE())</f>
        <v>3.8</v>
      </c>
      <c r="AG64" s="40" t="n">
        <f aca="false">IF($B$20=1,VLOOKUP(AC64,curvesettle,HLOOKUP($B$21,curvesettle,2,FALSE()),0),0)</f>
        <v>-0.0325</v>
      </c>
      <c r="AH64" s="40" t="n">
        <f aca="false">AD64*AF64</f>
        <v>0</v>
      </c>
      <c r="AI64" s="40" t="n">
        <f aca="false">AD64*AG64</f>
        <v>-0</v>
      </c>
      <c r="AJ64" s="4" t="n">
        <f aca="false">(VLOOKUP(AC64,STRADDLE,10,FALSE())+$B$9)*$B$10</f>
        <v>26</v>
      </c>
      <c r="AK64" s="177" t="n">
        <f aca="false">AJ64*AD64</f>
        <v>0</v>
      </c>
      <c r="AL64" s="177"/>
      <c r="AM64" s="48" t="n">
        <f aca="false">DATE(YEAR(AM63),MONTH(AM63)+1,1)</f>
        <v>37561</v>
      </c>
      <c r="AN64" s="9" t="n">
        <f aca="false">IF(AO64&gt;0,AM65-AM64,0)</f>
        <v>30</v>
      </c>
      <c r="AO64" s="48" t="n">
        <f aca="false">IF(AM64&lt;=$C$3,AM64,0)</f>
        <v>37561</v>
      </c>
      <c r="AP64" s="40" t="n">
        <f aca="false">VLOOKUP(AM64,STRADDLE,3,FALSE())</f>
        <v>3.8</v>
      </c>
      <c r="AQ64" s="40" t="n">
        <f aca="false">IF($C$20=1,VLOOKUP(AM64,curvesettle,HLOOKUP($C$21,curvesettle,2,FALSE()),0),0)</f>
        <v>-0.0325</v>
      </c>
      <c r="AR64" s="40" t="n">
        <f aca="false">AN64*AP64</f>
        <v>114</v>
      </c>
      <c r="AS64" s="40" t="n">
        <f aca="false">AN64*AQ64</f>
        <v>-0.975</v>
      </c>
      <c r="AT64" s="4" t="n">
        <f aca="false">(VLOOKUP(AM64,STRADDLE,10,FALSE())+$C$9)*$C$10</f>
        <v>26</v>
      </c>
      <c r="AU64" s="177" t="n">
        <f aca="false">AT64*AN64</f>
        <v>780</v>
      </c>
      <c r="AV64" s="40"/>
      <c r="AW64" s="48" t="n">
        <f aca="false">DATE(YEAR(AW63),MONTH(AW63)+1,1)</f>
        <v>37681</v>
      </c>
      <c r="AX64" s="9" t="n">
        <f aca="false">IF(AY64&gt;0,AW65-AW64,0)</f>
        <v>31</v>
      </c>
      <c r="AY64" s="48" t="n">
        <f aca="false">IF(AW64&lt;=$D$3,AW64,0)</f>
        <v>37681</v>
      </c>
      <c r="AZ64" s="40" t="n">
        <f aca="false">VLOOKUP(AW64,STRADDLE,3,FALSE())</f>
        <v>3.512</v>
      </c>
      <c r="BA64" s="40" t="n">
        <f aca="false">IF($D$20=1,VLOOKUP(AW64,curvesettle,HLOOKUP($D$21,curvesettle,2,FALSE()),0),0)</f>
        <v>-0.0275</v>
      </c>
      <c r="BB64" s="40" t="n">
        <f aca="false">AX64*AZ64</f>
        <v>108.872</v>
      </c>
      <c r="BC64" s="40" t="n">
        <f aca="false">AX64*BA64</f>
        <v>-0.8525</v>
      </c>
      <c r="BD64" s="4" t="n">
        <f aca="false">(VLOOKUP(AW64,STRADDLE,10,FALSE())+$D$9)*$D$10</f>
        <v>30</v>
      </c>
      <c r="BE64" s="177" t="n">
        <f aca="false">BD64*AX64</f>
        <v>930</v>
      </c>
      <c r="BF64" s="177"/>
      <c r="BG64" s="177"/>
      <c r="BH64" s="1" t="n">
        <f aca="false">AD64*B64</f>
        <v>0</v>
      </c>
      <c r="BI64" s="33" t="e">
        <f aca="false">AD64*E64</f>
        <v>#REF!</v>
      </c>
      <c r="BJ64" s="45" t="n">
        <f aca="false">$AD64*R64</f>
        <v>0</v>
      </c>
      <c r="BK64" s="45" t="n">
        <f aca="false">$AD64*T64</f>
        <v>0</v>
      </c>
      <c r="BL64" s="45" t="n">
        <f aca="false">$AD64*V64</f>
        <v>0</v>
      </c>
      <c r="BM64" s="45" t="n">
        <f aca="false">$AD64*X64</f>
        <v>0</v>
      </c>
      <c r="BN64" s="45" t="n">
        <f aca="false">$AD64*Z64</f>
        <v>0</v>
      </c>
      <c r="BP64" s="33"/>
      <c r="BQ64" s="45" t="n">
        <f aca="false">$AD64*S64</f>
        <v>0</v>
      </c>
      <c r="BR64" s="45" t="n">
        <f aca="false">$AD64*U64</f>
        <v>0</v>
      </c>
      <c r="BS64" s="45" t="n">
        <f aca="false">$AD64*W64</f>
        <v>0</v>
      </c>
      <c r="BT64" s="45" t="n">
        <f aca="false">$AD64*Y64</f>
        <v>0</v>
      </c>
      <c r="BU64" s="45" t="n">
        <f aca="false">$AD64*AA64</f>
        <v>0</v>
      </c>
      <c r="BV64" s="46"/>
      <c r="BW64" s="45"/>
      <c r="BX64" s="46"/>
      <c r="BY64" s="47"/>
      <c r="BZ64" s="47"/>
      <c r="CA64" s="47"/>
    </row>
    <row r="65" customFormat="false" ht="12.75" hidden="false" customHeight="false" outlineLevel="0" collapsed="false">
      <c r="A65" s="48" t="n">
        <f aca="false">DATE(YEAR(A64),MONTH(A64)+1,1)</f>
        <v>37591</v>
      </c>
      <c r="B65" s="40" t="n">
        <f aca="false">VLOOKUP(A65,STRADDLE,3,FALSE())</f>
        <v>3.876</v>
      </c>
      <c r="C65" s="40" t="n">
        <f aca="false">IF(B$20=1,VLOOKUP(A65,curvesettle,HLOOKUP($B$21,curvesettle,2,FALSE()),0),0)</f>
        <v>-0.055</v>
      </c>
      <c r="D65" s="175" t="n">
        <v>0</v>
      </c>
      <c r="E65" s="176" t="e">
        <f aca="false">D65+B65+C65+#REF!</f>
        <v>#REF!</v>
      </c>
      <c r="F65" s="41" t="n">
        <f aca="false">IF(B$25=1,E65,B$18)</f>
        <v>3.6</v>
      </c>
      <c r="G65" s="41" t="n">
        <f aca="false">IF($B$25=1,$E65,IF(B$25=2,B$18,C$18))</f>
        <v>3.8</v>
      </c>
      <c r="H65" s="4" t="n">
        <f aca="false">VLOOKUP(A65,STRADDLE,10,FALSE())</f>
        <v>27</v>
      </c>
      <c r="I65" s="4" t="e">
        <f aca="false">IF(#REF!=1,VLOOKUP($A65,SkewTable,HLOOKUP(ROUND(F65-$E65,1),SkewTable,2,FALSE()),FALSE())/100,0)</f>
        <v>#REF!</v>
      </c>
      <c r="J65" s="4" t="e">
        <f aca="false">IF(#REF!=1,VLOOKUP($A65,SkewTable,HLOOKUP(ROUND(G65-$E65,1),SkewTable,2,FALSE()),FALSE())/100,0)</f>
        <v>#REF!</v>
      </c>
      <c r="K65" s="4" t="e">
        <f aca="false">($H65+I65+#REF!)*#REF!</f>
        <v>#REF!</v>
      </c>
      <c r="L65" s="4" t="e">
        <f aca="false">($H65+J65+#REF!)*#REF!</f>
        <v>#REF!</v>
      </c>
      <c r="M65" s="176"/>
      <c r="N65" s="176"/>
      <c r="O65" s="136" t="e">
        <f aca="false">IF(B$20=1,VLOOKUP(A65,expiration,2,FALSE()),VLOOKUP(A65,expiration,3,FALSE()))-B$22+#REF!</f>
        <v>#REF!</v>
      </c>
      <c r="P65" s="4" t="n">
        <f aca="false">VLOOKUP($A65,STRADDLE,12,FALSE())</f>
        <v>0.067186058483608</v>
      </c>
      <c r="Q65" s="131"/>
      <c r="R65" s="44" t="n">
        <f aca="false">IF($AD65=0,0,bsd(R$42,R$41,$E65,$F65,$O65,$K65,$P65,0.1))</f>
        <v>0</v>
      </c>
      <c r="S65" s="44" t="n">
        <f aca="false">IF($AD65=0,0,bsd(S$42,S$41,$E65,$G65,$O65,$L65,$P65,0.1))</f>
        <v>0</v>
      </c>
      <c r="T65" s="44" t="n">
        <f aca="false">IF($AD65=0,0,bsd(T$42,T$41,$E65,$F65,$O65,$K65,$P65,0.1))</f>
        <v>0</v>
      </c>
      <c r="U65" s="44" t="n">
        <f aca="false">IF($AD65=0,0,bsd(U$42,U$41,$E65,$G65,$O65,$L65,$P65,0.1))</f>
        <v>0</v>
      </c>
      <c r="V65" s="44" t="n">
        <f aca="false">IF($AD65=0,0,bsd(V$42,V$41,$E65,$F65,$O65,$K65,$P65,0.1))</f>
        <v>0</v>
      </c>
      <c r="W65" s="44" t="n">
        <f aca="false">IF($AD65=0,0,bsd(W$42,W$41,$E65,$G65,$O65,$L65,$P65,0.1))</f>
        <v>0</v>
      </c>
      <c r="X65" s="44" t="n">
        <f aca="false">IF($AD65=0,0,bsd(X$42,X$41,$E65,$F65,$O65,$K65,$P65,0.1))</f>
        <v>0</v>
      </c>
      <c r="Y65" s="44" t="n">
        <f aca="false">IF($AD65=0,0,bsd(Y$42,Y$41,$E65,$G65,$O65,$L65,$P65,0.1))</f>
        <v>0</v>
      </c>
      <c r="Z65" s="44" t="n">
        <f aca="false">IF($AD65=0,0,bsd(Z$42,Z$41,$E65,$F65,$O65,$K65,$P65,0.1))</f>
        <v>0</v>
      </c>
      <c r="AA65" s="44" t="n">
        <f aca="false">IF($AD65=0,0,bsd(AA$42,AA$41,$E65,$G65,$O65,$L65,$P65,0.1))</f>
        <v>0</v>
      </c>
      <c r="AC65" s="48" t="n">
        <f aca="false">DATE(YEAR(AC64),MONTH(AC64)+1,1)</f>
        <v>37591</v>
      </c>
      <c r="AD65" s="9" t="n">
        <f aca="false">IF(AE65&gt;0,AC66-AC65,0)</f>
        <v>0</v>
      </c>
      <c r="AE65" s="48" t="n">
        <f aca="false">IF(AC65&lt;=B$3,AC65,0)</f>
        <v>0</v>
      </c>
      <c r="AF65" s="40" t="n">
        <f aca="false">VLOOKUP(AC65,STRADDLE,3,FALSE())</f>
        <v>3.876</v>
      </c>
      <c r="AG65" s="40" t="n">
        <f aca="false">IF($B$20=1,VLOOKUP(AC65,curvesettle,HLOOKUP($B$21,curvesettle,2,FALSE()),0),0)</f>
        <v>-0.055</v>
      </c>
      <c r="AH65" s="40" t="n">
        <f aca="false">AD65*AF65</f>
        <v>0</v>
      </c>
      <c r="AI65" s="40" t="n">
        <f aca="false">AD65*AG65</f>
        <v>-0</v>
      </c>
      <c r="AJ65" s="4" t="n">
        <f aca="false">(VLOOKUP(AC65,STRADDLE,10,FALSE())+$B$9)*$B$10</f>
        <v>27</v>
      </c>
      <c r="AK65" s="177" t="n">
        <f aca="false">AJ65*AD65</f>
        <v>0</v>
      </c>
      <c r="AL65" s="177"/>
      <c r="AM65" s="48" t="n">
        <f aca="false">DATE(YEAR(AM64),MONTH(AM64)+1,1)</f>
        <v>37591</v>
      </c>
      <c r="AN65" s="9" t="n">
        <f aca="false">IF(AO65&gt;0,AM66-AM65,0)</f>
        <v>0</v>
      </c>
      <c r="AO65" s="48" t="n">
        <f aca="false">IF(AM65&lt;=$C$3,AM65,0)</f>
        <v>0</v>
      </c>
      <c r="AP65" s="40" t="n">
        <f aca="false">VLOOKUP(AM65,STRADDLE,3,FALSE())</f>
        <v>3.876</v>
      </c>
      <c r="AQ65" s="40" t="n">
        <f aca="false">IF($C$20=1,VLOOKUP(AM65,curvesettle,HLOOKUP($C$21,curvesettle,2,FALSE()),0),0)</f>
        <v>-0.055</v>
      </c>
      <c r="AR65" s="40" t="n">
        <f aca="false">AN65*AP65</f>
        <v>0</v>
      </c>
      <c r="AS65" s="40" t="n">
        <f aca="false">AN65*AQ65</f>
        <v>-0</v>
      </c>
      <c r="AT65" s="4" t="n">
        <f aca="false">(VLOOKUP(AM65,STRADDLE,10,FALSE())+$C$9)*$C$10</f>
        <v>27</v>
      </c>
      <c r="AU65" s="177" t="n">
        <f aca="false">AT65*AN65</f>
        <v>0</v>
      </c>
      <c r="AV65" s="40"/>
      <c r="AW65" s="48" t="n">
        <f aca="false">DATE(YEAR(AW64),MONTH(AW64)+1,1)</f>
        <v>37712</v>
      </c>
      <c r="AX65" s="9" t="n">
        <f aca="false">IF(AY65&gt;0,AW66-AW65,0)</f>
        <v>30</v>
      </c>
      <c r="AY65" s="48" t="n">
        <f aca="false">IF(AW65&lt;=$D$3,AW65,0)</f>
        <v>37712</v>
      </c>
      <c r="AZ65" s="40" t="n">
        <f aca="false">VLOOKUP(AW65,STRADDLE,3,FALSE())</f>
        <v>3.322</v>
      </c>
      <c r="BA65" s="40" t="n">
        <f aca="false">IF($D$20=1,VLOOKUP(AW65,curvesettle,HLOOKUP($D$21,curvesettle,2,FALSE()),0),0)</f>
        <v>0.015</v>
      </c>
      <c r="BB65" s="40" t="n">
        <f aca="false">AX65*AZ65</f>
        <v>99.66</v>
      </c>
      <c r="BC65" s="40" t="n">
        <f aca="false">AX65*BA65</f>
        <v>0.45</v>
      </c>
      <c r="BD65" s="4" t="n">
        <f aca="false">(VLOOKUP(AW65,STRADDLE,10,FALSE())+$D$9)*$D$10</f>
        <v>31</v>
      </c>
      <c r="BE65" s="177" t="n">
        <f aca="false">BD65*AX65</f>
        <v>930</v>
      </c>
      <c r="BF65" s="177"/>
      <c r="BG65" s="177"/>
      <c r="BH65" s="1" t="n">
        <f aca="false">AD65*B65</f>
        <v>0</v>
      </c>
      <c r="BI65" s="33" t="e">
        <f aca="false">AD65*E65</f>
        <v>#REF!</v>
      </c>
      <c r="BJ65" s="45" t="n">
        <f aca="false">$AD65*R65</f>
        <v>0</v>
      </c>
      <c r="BK65" s="45" t="n">
        <f aca="false">$AD65*T65</f>
        <v>0</v>
      </c>
      <c r="BL65" s="45" t="n">
        <f aca="false">$AD65*V65</f>
        <v>0</v>
      </c>
      <c r="BM65" s="45" t="n">
        <f aca="false">$AD65*X65</f>
        <v>0</v>
      </c>
      <c r="BN65" s="45" t="n">
        <f aca="false">$AD65*Z65</f>
        <v>0</v>
      </c>
      <c r="BP65" s="33"/>
      <c r="BQ65" s="45" t="n">
        <f aca="false">$AD65*S65</f>
        <v>0</v>
      </c>
      <c r="BR65" s="45" t="n">
        <f aca="false">$AD65*U65</f>
        <v>0</v>
      </c>
      <c r="BS65" s="45" t="n">
        <f aca="false">$AD65*W65</f>
        <v>0</v>
      </c>
      <c r="BT65" s="45" t="n">
        <f aca="false">$AD65*Y65</f>
        <v>0</v>
      </c>
      <c r="BU65" s="45" t="n">
        <f aca="false">$AD65*AA65</f>
        <v>0</v>
      </c>
      <c r="BV65" s="46"/>
      <c r="BW65" s="45"/>
      <c r="BX65" s="46"/>
      <c r="BY65" s="47"/>
      <c r="BZ65" s="47"/>
      <c r="CA65" s="47"/>
    </row>
    <row r="66" customFormat="false" ht="12.75" hidden="false" customHeight="false" outlineLevel="0" collapsed="false">
      <c r="A66" s="48" t="n">
        <f aca="false">DATE(YEAR(A65),MONTH(A65)+1,1)</f>
        <v>37622</v>
      </c>
      <c r="B66" s="40" t="n">
        <f aca="false">VLOOKUP(A66,STRADDLE,3,FALSE())</f>
        <v>3.857</v>
      </c>
      <c r="C66" s="40" t="n">
        <f aca="false">IF(B$20=1,VLOOKUP(A66,curvesettle,HLOOKUP($B$21,curvesettle,2,FALSE()),0),0)</f>
        <v>-0.0575</v>
      </c>
      <c r="D66" s="175" t="n">
        <v>0</v>
      </c>
      <c r="E66" s="176" t="e">
        <f aca="false">D66+B66+C66+#REF!</f>
        <v>#REF!</v>
      </c>
      <c r="F66" s="41" t="n">
        <f aca="false">IF(B$25=1,E66,B$18)</f>
        <v>3.6</v>
      </c>
      <c r="G66" s="41" t="n">
        <f aca="false">IF($B$25=1,$E66,IF(B$25=2,B$18,C$18))</f>
        <v>3.8</v>
      </c>
      <c r="H66" s="4" t="n">
        <f aca="false">VLOOKUP(A66,STRADDLE,10,FALSE())</f>
        <v>28</v>
      </c>
      <c r="I66" s="4" t="e">
        <f aca="false">IF(#REF!=1,VLOOKUP($A66,SkewTable,HLOOKUP(ROUND(F66-$E66,1),SkewTable,2,FALSE()),FALSE())/100,0)</f>
        <v>#REF!</v>
      </c>
      <c r="J66" s="4" t="e">
        <f aca="false">IF(#REF!=1,VLOOKUP($A66,SkewTable,HLOOKUP(ROUND(G66-$E66,1),SkewTable,2,FALSE()),FALSE())/100,0)</f>
        <v>#REF!</v>
      </c>
      <c r="K66" s="4" t="e">
        <f aca="false">($H66+I66+#REF!)*#REF!</f>
        <v>#REF!</v>
      </c>
      <c r="L66" s="4" t="e">
        <f aca="false">($H66+J66+#REF!)*#REF!</f>
        <v>#REF!</v>
      </c>
      <c r="M66" s="176"/>
      <c r="N66" s="176"/>
      <c r="O66" s="136" t="e">
        <f aca="false">IF(B$20=1,VLOOKUP(A66,expiration,2,FALSE()),VLOOKUP(A66,expiration,3,FALSE()))-B$22+#REF!</f>
        <v>#REF!</v>
      </c>
      <c r="P66" s="4" t="n">
        <f aca="false">VLOOKUP($A66,STRADDLE,12,FALSE())</f>
        <v>0.067193160128611</v>
      </c>
      <c r="Q66" s="131"/>
      <c r="R66" s="44" t="n">
        <f aca="false">IF($AD66=0,0,bsd(R$42,R$41,$E66,$F66,$O66,$K66,$P66,0.1))</f>
        <v>0</v>
      </c>
      <c r="S66" s="44" t="n">
        <f aca="false">IF($AD66=0,0,bsd(S$42,S$41,$E66,$G66,$O66,$L66,$P66,0.1))</f>
        <v>0</v>
      </c>
      <c r="T66" s="44" t="n">
        <f aca="false">IF($AD66=0,0,bsd(T$42,T$41,$E66,$F66,$O66,$K66,$P66,0.1))</f>
        <v>0</v>
      </c>
      <c r="U66" s="44" t="n">
        <f aca="false">IF($AD66=0,0,bsd(U$42,U$41,$E66,$G66,$O66,$L66,$P66,0.1))</f>
        <v>0</v>
      </c>
      <c r="V66" s="44" t="n">
        <f aca="false">IF($AD66=0,0,bsd(V$42,V$41,$E66,$F66,$O66,$K66,$P66,0.1))</f>
        <v>0</v>
      </c>
      <c r="W66" s="44" t="n">
        <f aca="false">IF($AD66=0,0,bsd(W$42,W$41,$E66,$G66,$O66,$L66,$P66,0.1))</f>
        <v>0</v>
      </c>
      <c r="X66" s="44" t="n">
        <f aca="false">IF($AD66=0,0,bsd(X$42,X$41,$E66,$F66,$O66,$K66,$P66,0.1))</f>
        <v>0</v>
      </c>
      <c r="Y66" s="44" t="n">
        <f aca="false">IF($AD66=0,0,bsd(Y$42,Y$41,$E66,$G66,$O66,$L66,$P66,0.1))</f>
        <v>0</v>
      </c>
      <c r="Z66" s="44" t="n">
        <f aca="false">IF($AD66=0,0,bsd(Z$42,Z$41,$E66,$F66,$O66,$K66,$P66,0.1))</f>
        <v>0</v>
      </c>
      <c r="AA66" s="44" t="n">
        <f aca="false">IF($AD66=0,0,bsd(AA$42,AA$41,$E66,$G66,$O66,$L66,$P66,0.1))</f>
        <v>0</v>
      </c>
      <c r="AC66" s="48" t="n">
        <f aca="false">DATE(YEAR(AC65),MONTH(AC65)+1,1)</f>
        <v>37622</v>
      </c>
      <c r="AD66" s="9" t="n">
        <f aca="false">IF(AE66&gt;0,AC67-AC66,0)</f>
        <v>0</v>
      </c>
      <c r="AE66" s="48" t="n">
        <f aca="false">IF(AC66&lt;=B$3,AC66,0)</f>
        <v>0</v>
      </c>
      <c r="AF66" s="40" t="n">
        <f aca="false">VLOOKUP(AC66,STRADDLE,3,FALSE())</f>
        <v>3.857</v>
      </c>
      <c r="AG66" s="40" t="n">
        <f aca="false">IF($B$20=1,VLOOKUP(AC66,curvesettle,HLOOKUP($B$21,curvesettle,2,FALSE()),0),0)</f>
        <v>-0.0575</v>
      </c>
      <c r="AH66" s="40" t="n">
        <f aca="false">AD66*AF66</f>
        <v>0</v>
      </c>
      <c r="AI66" s="40" t="n">
        <f aca="false">AD66*AG66</f>
        <v>-0</v>
      </c>
      <c r="AJ66" s="4" t="n">
        <f aca="false">(VLOOKUP(AC66,STRADDLE,10,FALSE())+$B$9)*$B$10</f>
        <v>28</v>
      </c>
      <c r="AK66" s="177" t="n">
        <f aca="false">AJ66*AD66</f>
        <v>0</v>
      </c>
      <c r="AL66" s="177"/>
      <c r="AM66" s="48" t="n">
        <f aca="false">DATE(YEAR(AM65),MONTH(AM65)+1,1)</f>
        <v>37622</v>
      </c>
      <c r="AN66" s="9" t="n">
        <f aca="false">IF(AO66&gt;0,AM67-AM66,0)</f>
        <v>0</v>
      </c>
      <c r="AO66" s="48" t="n">
        <f aca="false">IF(AM66&lt;=$C$3,AM66,0)</f>
        <v>0</v>
      </c>
      <c r="AP66" s="40" t="n">
        <f aca="false">VLOOKUP(AM66,STRADDLE,3,FALSE())</f>
        <v>3.857</v>
      </c>
      <c r="AQ66" s="40" t="n">
        <f aca="false">IF($C$20=1,VLOOKUP(AM66,curvesettle,HLOOKUP($C$21,curvesettle,2,FALSE()),0),0)</f>
        <v>-0.0575</v>
      </c>
      <c r="AR66" s="40" t="n">
        <f aca="false">AN66*AP66</f>
        <v>0</v>
      </c>
      <c r="AS66" s="40" t="n">
        <f aca="false">AN66*AQ66</f>
        <v>-0</v>
      </c>
      <c r="AT66" s="4" t="n">
        <f aca="false">(VLOOKUP(AM66,STRADDLE,10,FALSE())+$C$9)*$C$10</f>
        <v>28</v>
      </c>
      <c r="AU66" s="177" t="n">
        <f aca="false">AT66*AN66</f>
        <v>0</v>
      </c>
      <c r="AV66" s="40"/>
      <c r="AW66" s="48" t="n">
        <f aca="false">DATE(YEAR(AW65),MONTH(AW65)+1,1)</f>
        <v>37742</v>
      </c>
      <c r="AX66" s="9" t="n">
        <f aca="false">IF(AY66&gt;0,AW67-AW66,0)</f>
        <v>31</v>
      </c>
      <c r="AY66" s="48" t="n">
        <f aca="false">IF(AW66&lt;=$D$3,AW66,0)</f>
        <v>37742</v>
      </c>
      <c r="AZ66" s="40" t="n">
        <f aca="false">VLOOKUP(AW66,STRADDLE,3,FALSE())</f>
        <v>3.272</v>
      </c>
      <c r="BA66" s="40" t="n">
        <f aca="false">IF($D$20=1,VLOOKUP(AW66,curvesettle,HLOOKUP($D$21,curvesettle,2,FALSE()),0),0)</f>
        <v>0.015</v>
      </c>
      <c r="BB66" s="40" t="n">
        <f aca="false">AX66*AZ66</f>
        <v>101.432</v>
      </c>
      <c r="BC66" s="40" t="n">
        <f aca="false">AX66*BA66</f>
        <v>0.465</v>
      </c>
      <c r="BD66" s="4" t="n">
        <f aca="false">(VLOOKUP(AW66,STRADDLE,10,FALSE())+$D$9)*$D$10</f>
        <v>32</v>
      </c>
      <c r="BE66" s="177" t="n">
        <f aca="false">BD66*AX66</f>
        <v>992</v>
      </c>
      <c r="BF66" s="177"/>
      <c r="BG66" s="177"/>
      <c r="BH66" s="1" t="n">
        <f aca="false">AD66*B66</f>
        <v>0</v>
      </c>
      <c r="BI66" s="33" t="e">
        <f aca="false">AD66*E66</f>
        <v>#REF!</v>
      </c>
      <c r="BJ66" s="45" t="n">
        <f aca="false">$AD66*R66</f>
        <v>0</v>
      </c>
      <c r="BK66" s="45" t="n">
        <f aca="false">$AD66*T66</f>
        <v>0</v>
      </c>
      <c r="BL66" s="45" t="n">
        <f aca="false">$AD66*V66</f>
        <v>0</v>
      </c>
      <c r="BM66" s="45" t="n">
        <f aca="false">$AD66*X66</f>
        <v>0</v>
      </c>
      <c r="BN66" s="45" t="n">
        <f aca="false">$AD66*Z66</f>
        <v>0</v>
      </c>
      <c r="BP66" s="33"/>
      <c r="BQ66" s="45" t="n">
        <f aca="false">$AD66*S66</f>
        <v>0</v>
      </c>
      <c r="BR66" s="45" t="n">
        <f aca="false">$AD66*U66</f>
        <v>0</v>
      </c>
      <c r="BS66" s="45" t="n">
        <f aca="false">$AD66*W66</f>
        <v>0</v>
      </c>
      <c r="BT66" s="45" t="n">
        <f aca="false">$AD66*Y66</f>
        <v>0</v>
      </c>
      <c r="BU66" s="45" t="n">
        <f aca="false">$AD66*AA66</f>
        <v>0</v>
      </c>
      <c r="BV66" s="46"/>
      <c r="BW66" s="45"/>
      <c r="BX66" s="46"/>
      <c r="BY66" s="47"/>
      <c r="BZ66" s="47"/>
      <c r="CA66" s="47"/>
    </row>
    <row r="67" customFormat="false" ht="12.75" hidden="false" customHeight="false" outlineLevel="0" collapsed="false">
      <c r="A67" s="48" t="n">
        <f aca="false">DATE(YEAR(A66),MONTH(A66)+1,1)</f>
        <v>37653</v>
      </c>
      <c r="B67" s="40" t="n">
        <f aca="false">VLOOKUP(A67,STRADDLE,3,FALSE())</f>
        <v>3.695</v>
      </c>
      <c r="C67" s="40" t="n">
        <f aca="false">IF(B$20=1,VLOOKUP(A67,curvesettle,HLOOKUP($B$21,curvesettle,2,FALSE()),0),0)</f>
        <v>-0.04</v>
      </c>
      <c r="D67" s="175" t="n">
        <v>0</v>
      </c>
      <c r="E67" s="176" t="e">
        <f aca="false">D67+B67+C67+#REF!</f>
        <v>#REF!</v>
      </c>
      <c r="F67" s="41" t="n">
        <f aca="false">IF(B$25=1,E67,B$18)</f>
        <v>3.6</v>
      </c>
      <c r="G67" s="41" t="n">
        <f aca="false">IF($B$25=1,$E67,IF(B$25=2,B$18,C$18))</f>
        <v>3.8</v>
      </c>
      <c r="H67" s="4" t="n">
        <f aca="false">VLOOKUP(A67,STRADDLE,10,FALSE())</f>
        <v>29</v>
      </c>
      <c r="I67" s="4" t="e">
        <f aca="false">IF(#REF!=1,VLOOKUP($A67,SkewTable,HLOOKUP(ROUND(F67-$E67,1),SkewTable,2,FALSE()),FALSE())/100,0)</f>
        <v>#REF!</v>
      </c>
      <c r="J67" s="4" t="e">
        <f aca="false">IF(#REF!=1,VLOOKUP($A67,SkewTable,HLOOKUP(ROUND(G67-$E67,1),SkewTable,2,FALSE()),FALSE())/100,0)</f>
        <v>#REF!</v>
      </c>
      <c r="K67" s="4" t="e">
        <f aca="false">($H67+I67+#REF!)*#REF!</f>
        <v>#REF!</v>
      </c>
      <c r="L67" s="4" t="e">
        <f aca="false">($H67+J67+#REF!)*#REF!</f>
        <v>#REF!</v>
      </c>
      <c r="M67" s="176"/>
      <c r="N67" s="176"/>
      <c r="O67" s="136" t="e">
        <f aca="false">IF(B$20=1,VLOOKUP(A67,expiration,2,FALSE()),VLOOKUP(A67,expiration,3,FALSE()))-B$22+#REF!</f>
        <v>#REF!</v>
      </c>
      <c r="P67" s="4" t="n">
        <f aca="false">VLOOKUP($A67,STRADDLE,12,FALSE())</f>
        <v>0.067214109584478</v>
      </c>
      <c r="Q67" s="131"/>
      <c r="R67" s="44" t="n">
        <f aca="false">IF($AD67=0,0,bsd(R$42,R$41,$E67,$F67,$O67,$K67,$P67,0.1))</f>
        <v>0</v>
      </c>
      <c r="S67" s="44" t="n">
        <f aca="false">IF($AD67=0,0,bsd(S$42,S$41,$E67,$G67,$O67,$L67,$P67,0.1))</f>
        <v>0</v>
      </c>
      <c r="T67" s="44" t="n">
        <f aca="false">IF($AD67=0,0,bsd(T$42,T$41,$E67,$F67,$O67,$K67,$P67,0.1))</f>
        <v>0</v>
      </c>
      <c r="U67" s="44" t="n">
        <f aca="false">IF($AD67=0,0,bsd(U$42,U$41,$E67,$G67,$O67,$L67,$P67,0.1))</f>
        <v>0</v>
      </c>
      <c r="V67" s="44" t="n">
        <f aca="false">IF($AD67=0,0,bsd(V$42,V$41,$E67,$F67,$O67,$K67,$P67,0.1))</f>
        <v>0</v>
      </c>
      <c r="W67" s="44" t="n">
        <f aca="false">IF($AD67=0,0,bsd(W$42,W$41,$E67,$G67,$O67,$L67,$P67,0.1))</f>
        <v>0</v>
      </c>
      <c r="X67" s="44" t="n">
        <f aca="false">IF($AD67=0,0,bsd(X$42,X$41,$E67,$F67,$O67,$K67,$P67,0.1))</f>
        <v>0</v>
      </c>
      <c r="Y67" s="44" t="n">
        <f aca="false">IF($AD67=0,0,bsd(Y$42,Y$41,$E67,$G67,$O67,$L67,$P67,0.1))</f>
        <v>0</v>
      </c>
      <c r="Z67" s="44" t="n">
        <f aca="false">IF($AD67=0,0,bsd(Z$42,Z$41,$E67,$F67,$O67,$K67,$P67,0.1))</f>
        <v>0</v>
      </c>
      <c r="AA67" s="44" t="n">
        <f aca="false">IF($AD67=0,0,bsd(AA$42,AA$41,$E67,$G67,$O67,$L67,$P67,0.1))</f>
        <v>0</v>
      </c>
      <c r="AC67" s="48" t="n">
        <f aca="false">DATE(YEAR(AC66),MONTH(AC66)+1,1)</f>
        <v>37653</v>
      </c>
      <c r="AD67" s="9" t="n">
        <f aca="false">IF(AE67&gt;0,AC68-AC67,0)</f>
        <v>0</v>
      </c>
      <c r="AE67" s="48" t="n">
        <f aca="false">IF(AC67&lt;=B$3,AC67,0)</f>
        <v>0</v>
      </c>
      <c r="AF67" s="40" t="n">
        <f aca="false">VLOOKUP(AC67,STRADDLE,3,FALSE())</f>
        <v>3.695</v>
      </c>
      <c r="AG67" s="40" t="n">
        <f aca="false">IF($B$20=1,VLOOKUP(AC67,curvesettle,HLOOKUP($B$21,curvesettle,2,FALSE()),0),0)</f>
        <v>-0.04</v>
      </c>
      <c r="AH67" s="40" t="n">
        <f aca="false">AD67*AF67</f>
        <v>0</v>
      </c>
      <c r="AI67" s="40" t="n">
        <f aca="false">AD67*AG67</f>
        <v>-0</v>
      </c>
      <c r="AJ67" s="4" t="n">
        <f aca="false">(VLOOKUP(AC67,STRADDLE,10,FALSE())+$B$9)*$B$10</f>
        <v>29</v>
      </c>
      <c r="AK67" s="177" t="n">
        <f aca="false">AJ67*AD67</f>
        <v>0</v>
      </c>
      <c r="AL67" s="177"/>
      <c r="AM67" s="48" t="n">
        <f aca="false">DATE(YEAR(AM66),MONTH(AM66)+1,1)</f>
        <v>37653</v>
      </c>
      <c r="AN67" s="9" t="n">
        <f aca="false">IF(AO67&gt;0,AM68-AM67,0)</f>
        <v>0</v>
      </c>
      <c r="AO67" s="48" t="n">
        <f aca="false">IF(AM67&lt;=$C$3,AM67,0)</f>
        <v>0</v>
      </c>
      <c r="AP67" s="40" t="n">
        <f aca="false">VLOOKUP(AM67,STRADDLE,3,FALSE())</f>
        <v>3.695</v>
      </c>
      <c r="AQ67" s="40" t="n">
        <f aca="false">IF($C$20=1,VLOOKUP(AM67,curvesettle,HLOOKUP($C$21,curvesettle,2,FALSE()),0),0)</f>
        <v>-0.04</v>
      </c>
      <c r="AR67" s="40" t="n">
        <f aca="false">AN67*AP67</f>
        <v>0</v>
      </c>
      <c r="AS67" s="40" t="n">
        <f aca="false">AN67*AQ67</f>
        <v>-0</v>
      </c>
      <c r="AT67" s="4" t="n">
        <f aca="false">(VLOOKUP(AM67,STRADDLE,10,FALSE())+$C$9)*$C$10</f>
        <v>29</v>
      </c>
      <c r="AU67" s="177" t="n">
        <f aca="false">AT67*AN67</f>
        <v>0</v>
      </c>
      <c r="AV67" s="40"/>
      <c r="AW67" s="48" t="n">
        <f aca="false">DATE(YEAR(AW66),MONTH(AW66)+1,1)</f>
        <v>37773</v>
      </c>
      <c r="AX67" s="9" t="n">
        <f aca="false">IF(AY67&gt;0,AW68-AW67,0)</f>
        <v>30</v>
      </c>
      <c r="AY67" s="48" t="n">
        <f aca="false">IF(AW67&lt;=$D$3,AW67,0)</f>
        <v>37773</v>
      </c>
      <c r="AZ67" s="40" t="n">
        <f aca="false">VLOOKUP(AW67,STRADDLE,3,FALSE())</f>
        <v>3.28</v>
      </c>
      <c r="BA67" s="40" t="n">
        <f aca="false">IF($D$20=1,VLOOKUP(AW67,curvesettle,HLOOKUP($D$21,curvesettle,2,FALSE()),0),0)</f>
        <v>0.02</v>
      </c>
      <c r="BB67" s="40" t="n">
        <f aca="false">AX67*AZ67</f>
        <v>98.4</v>
      </c>
      <c r="BC67" s="40" t="n">
        <f aca="false">AX67*BA67</f>
        <v>0.6</v>
      </c>
      <c r="BD67" s="4" t="n">
        <f aca="false">(VLOOKUP(AW67,STRADDLE,10,FALSE())+$D$9)*$D$10</f>
        <v>33</v>
      </c>
      <c r="BE67" s="177" t="n">
        <f aca="false">BD67*AX67</f>
        <v>990</v>
      </c>
      <c r="BF67" s="177"/>
      <c r="BG67" s="177"/>
      <c r="BH67" s="1" t="n">
        <f aca="false">AD67*B67</f>
        <v>0</v>
      </c>
      <c r="BI67" s="33" t="e">
        <f aca="false">AD67*E67</f>
        <v>#REF!</v>
      </c>
      <c r="BJ67" s="45" t="n">
        <f aca="false">$AD67*R67</f>
        <v>0</v>
      </c>
      <c r="BK67" s="45" t="n">
        <f aca="false">$AD67*T67</f>
        <v>0</v>
      </c>
      <c r="BL67" s="45" t="n">
        <f aca="false">$AD67*V67</f>
        <v>0</v>
      </c>
      <c r="BM67" s="45" t="n">
        <f aca="false">$AD67*X67</f>
        <v>0</v>
      </c>
      <c r="BN67" s="45" t="n">
        <f aca="false">$AD67*Z67</f>
        <v>0</v>
      </c>
      <c r="BP67" s="33"/>
      <c r="BQ67" s="45" t="n">
        <f aca="false">$AD67*S67</f>
        <v>0</v>
      </c>
      <c r="BR67" s="45" t="n">
        <f aca="false">$AD67*U67</f>
        <v>0</v>
      </c>
      <c r="BS67" s="45" t="n">
        <f aca="false">$AD67*W67</f>
        <v>0</v>
      </c>
      <c r="BT67" s="45" t="n">
        <f aca="false">$AD67*Y67</f>
        <v>0</v>
      </c>
      <c r="BU67" s="45" t="n">
        <f aca="false">$AD67*AA67</f>
        <v>0</v>
      </c>
      <c r="BV67" s="46"/>
      <c r="BW67" s="45"/>
      <c r="BX67" s="46"/>
      <c r="BY67" s="47"/>
      <c r="BZ67" s="47"/>
      <c r="CA67" s="47"/>
    </row>
    <row r="68" customFormat="false" ht="12.75" hidden="false" customHeight="false" outlineLevel="0" collapsed="false">
      <c r="A68" s="48" t="n">
        <f aca="false">DATE(YEAR(A67),MONTH(A67)+1,1)</f>
        <v>37681</v>
      </c>
      <c r="B68" s="49"/>
      <c r="C68" s="50"/>
      <c r="E68" s="46"/>
      <c r="F68" s="46"/>
      <c r="G68" s="46"/>
      <c r="H68" s="133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48" t="n">
        <f aca="false">DATE(YEAR(AC67),MONTH(AC67)+1,1)</f>
        <v>37681</v>
      </c>
      <c r="AD68" s="10"/>
      <c r="AE68" s="11"/>
      <c r="AF68" s="10"/>
      <c r="AG68" s="10"/>
      <c r="AH68" s="10"/>
      <c r="AI68" s="10"/>
      <c r="AJ68" s="10"/>
      <c r="AK68" s="10"/>
      <c r="AL68" s="10"/>
      <c r="AM68" s="48" t="n">
        <f aca="false">DATE(YEAR(AM67),MONTH(AM67)+1,1)</f>
        <v>37681</v>
      </c>
      <c r="AN68" s="10"/>
      <c r="AO68" s="11"/>
      <c r="AP68" s="10"/>
      <c r="AQ68" s="10"/>
      <c r="AR68" s="10"/>
      <c r="AS68" s="10"/>
      <c r="AT68" s="10"/>
      <c r="AU68" s="10"/>
      <c r="AV68" s="10"/>
      <c r="AW68" s="48" t="n">
        <f aca="false">DATE(YEAR(AW67),MONTH(AW67)+1,1)</f>
        <v>37803</v>
      </c>
      <c r="AX68" s="10"/>
      <c r="AY68" s="11"/>
      <c r="AZ68" s="10"/>
      <c r="BA68" s="10"/>
      <c r="BB68" s="10"/>
      <c r="BC68" s="10"/>
      <c r="BD68" s="10"/>
      <c r="BE68" s="10"/>
      <c r="BF68" s="10"/>
      <c r="BG68" s="10"/>
    </row>
    <row r="69" customFormat="false" ht="12.75" hidden="false" customHeight="false" outlineLevel="0" collapsed="false">
      <c r="A69" s="51"/>
      <c r="B69" s="49"/>
      <c r="C69" s="50"/>
      <c r="E69" s="46"/>
      <c r="F69" s="46"/>
      <c r="G69" s="46"/>
      <c r="H69" s="133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1"/>
      <c r="AD69" s="10"/>
      <c r="AE69" s="11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</row>
    <row r="70" customFormat="false" ht="12.75" hidden="false" customHeight="false" outlineLevel="0" collapsed="false">
      <c r="A70" s="51"/>
      <c r="B70" s="49"/>
      <c r="C70" s="50"/>
      <c r="E70" s="46"/>
      <c r="F70" s="46"/>
      <c r="G70" s="46"/>
      <c r="H70" s="133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1"/>
      <c r="AD70" s="10"/>
      <c r="AE70" s="11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</row>
    <row r="71" customFormat="false" ht="12.75" hidden="false" customHeight="false" outlineLevel="0" collapsed="false">
      <c r="A71" s="51"/>
      <c r="B71" s="49"/>
      <c r="C71" s="50"/>
      <c r="E71" s="46"/>
      <c r="F71" s="46"/>
      <c r="G71" s="46"/>
      <c r="H71" s="133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1"/>
      <c r="AD71" s="10"/>
      <c r="AE71" s="11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</row>
    <row r="72" customFormat="false" ht="12.75" hidden="false" customHeight="false" outlineLevel="0" collapsed="false">
      <c r="A72" s="51"/>
      <c r="B72" s="49"/>
      <c r="C72" s="50"/>
      <c r="E72" s="46"/>
      <c r="F72" s="46"/>
      <c r="G72" s="46"/>
      <c r="H72" s="133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1"/>
      <c r="AD72" s="10"/>
      <c r="AE72" s="11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</row>
    <row r="73" customFormat="false" ht="12.75" hidden="false" customHeight="false" outlineLevel="0" collapsed="false">
      <c r="A73" s="51"/>
      <c r="B73" s="49"/>
      <c r="C73" s="50"/>
      <c r="E73" s="46"/>
      <c r="F73" s="46"/>
      <c r="G73" s="46"/>
      <c r="H73" s="133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1"/>
      <c r="AD73" s="10"/>
      <c r="AE73" s="11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</row>
    <row r="74" customFormat="false" ht="12.75" hidden="false" customHeight="false" outlineLevel="0" collapsed="false">
      <c r="A74" s="51"/>
      <c r="B74" s="49"/>
      <c r="C74" s="50"/>
      <c r="E74" s="46"/>
      <c r="F74" s="46"/>
      <c r="G74" s="46"/>
      <c r="H74" s="133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1"/>
      <c r="AD74" s="10"/>
      <c r="AE74" s="11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</row>
    <row r="75" customFormat="false" ht="12.75" hidden="false" customHeight="false" outlineLevel="0" collapsed="false">
      <c r="A75" s="51"/>
      <c r="B75" s="49"/>
      <c r="C75" s="50"/>
      <c r="E75" s="46"/>
      <c r="F75" s="46"/>
      <c r="G75" s="46"/>
      <c r="H75" s="133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1"/>
      <c r="AD75" s="10"/>
      <c r="AE75" s="11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</row>
    <row r="76" customFormat="false" ht="12.75" hidden="false" customHeight="false" outlineLevel="0" collapsed="false">
      <c r="A76" s="51"/>
      <c r="B76" s="49"/>
      <c r="C76" s="50"/>
      <c r="E76" s="46"/>
      <c r="F76" s="46"/>
      <c r="G76" s="46"/>
      <c r="H76" s="133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1"/>
      <c r="AD76" s="10"/>
      <c r="AE76" s="11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</row>
    <row r="77" customFormat="false" ht="12.75" hidden="false" customHeight="false" outlineLevel="0" collapsed="false">
      <c r="A77" s="51"/>
      <c r="B77" s="49"/>
      <c r="C77" s="50"/>
      <c r="E77" s="46"/>
      <c r="F77" s="46"/>
      <c r="G77" s="46"/>
      <c r="H77" s="133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 t="s">
        <v>23</v>
      </c>
      <c r="W77" s="10"/>
      <c r="X77" s="10"/>
      <c r="Y77" s="10"/>
      <c r="Z77" s="10"/>
      <c r="AA77" s="10"/>
      <c r="AB77" s="10"/>
      <c r="AC77" s="11"/>
      <c r="AD77" s="10"/>
      <c r="AE77" s="11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</row>
    <row r="78" customFormat="false" ht="12.75" hidden="false" customHeight="false" outlineLevel="0" collapsed="false">
      <c r="A78" s="51"/>
      <c r="B78" s="49"/>
      <c r="C78" s="50"/>
      <c r="E78" s="46"/>
      <c r="F78" s="46"/>
      <c r="G78" s="46"/>
      <c r="H78" s="133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 t="s">
        <v>24</v>
      </c>
      <c r="W78" s="10"/>
      <c r="X78" s="10"/>
      <c r="Y78" s="10"/>
      <c r="Z78" s="10"/>
      <c r="AA78" s="10"/>
      <c r="AB78" s="10"/>
      <c r="AC78" s="11"/>
      <c r="AD78" s="10"/>
      <c r="AE78" s="11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</row>
    <row r="79" customFormat="false" ht="12.75" hidden="false" customHeight="false" outlineLevel="0" collapsed="false">
      <c r="A79" s="52"/>
      <c r="E79" s="22"/>
      <c r="F79" s="22"/>
      <c r="G79" s="22"/>
      <c r="H79" s="133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1"/>
      <c r="AD79" s="10"/>
      <c r="AE79" s="11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</row>
    <row r="80" customFormat="false" ht="12.75" hidden="false" customHeight="false" outlineLevel="0" collapsed="false">
      <c r="A80" s="51"/>
      <c r="B80" s="49"/>
      <c r="C80" s="50"/>
      <c r="E80" s="46"/>
      <c r="F80" s="46"/>
      <c r="G80" s="46"/>
      <c r="H80" s="133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1"/>
      <c r="AD80" s="10"/>
      <c r="AE80" s="11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</row>
    <row r="81" customFormat="false" ht="12.75" hidden="false" customHeight="false" outlineLevel="0" collapsed="false">
      <c r="B81" s="51"/>
      <c r="C81" s="53"/>
      <c r="D81" s="54"/>
      <c r="E81" s="55"/>
      <c r="F81" s="55"/>
      <c r="G81" s="55"/>
      <c r="H81" s="46"/>
      <c r="I81" s="137"/>
      <c r="J81" s="137"/>
      <c r="K81" s="137"/>
      <c r="L81" s="137"/>
      <c r="M81" s="137"/>
      <c r="N81" s="10"/>
      <c r="O81" s="55"/>
      <c r="P81" s="55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1"/>
      <c r="AD81" s="10"/>
      <c r="AE81" s="11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</row>
    <row r="82" customFormat="false" ht="12.75" hidden="false" customHeight="false" outlineLevel="0" collapsed="false">
      <c r="B82" s="51"/>
      <c r="C82" s="53"/>
      <c r="D82" s="54"/>
      <c r="E82" s="55"/>
      <c r="F82" s="55"/>
      <c r="G82" s="55"/>
      <c r="H82" s="46"/>
      <c r="I82" s="137"/>
      <c r="J82" s="137"/>
      <c r="K82" s="137"/>
      <c r="L82" s="137"/>
      <c r="M82" s="137"/>
      <c r="N82" s="10"/>
      <c r="O82" s="55"/>
      <c r="P82" s="55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1"/>
      <c r="AD82" s="10"/>
      <c r="AE82" s="11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</row>
    <row r="83" customFormat="false" ht="12.75" hidden="false" customHeight="false" outlineLevel="0" collapsed="false">
      <c r="B83" s="51"/>
      <c r="C83" s="53"/>
      <c r="D83" s="54"/>
      <c r="E83" s="55"/>
      <c r="F83" s="55"/>
      <c r="G83" s="55"/>
      <c r="H83" s="46"/>
      <c r="I83" s="137"/>
      <c r="J83" s="137"/>
      <c r="K83" s="137"/>
      <c r="L83" s="137"/>
      <c r="M83" s="137"/>
      <c r="N83" s="10"/>
      <c r="O83" s="55"/>
      <c r="P83" s="55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1"/>
      <c r="AD83" s="10"/>
      <c r="AE83" s="11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</row>
    <row r="84" customFormat="false" ht="12.75" hidden="false" customHeight="false" outlineLevel="0" collapsed="false">
      <c r="B84" s="51"/>
      <c r="C84" s="53"/>
      <c r="D84" s="54"/>
      <c r="E84" s="55"/>
      <c r="F84" s="55"/>
      <c r="G84" s="55"/>
      <c r="H84" s="46"/>
      <c r="I84" s="137"/>
      <c r="J84" s="137"/>
      <c r="K84" s="137"/>
      <c r="L84" s="137"/>
      <c r="M84" s="137"/>
      <c r="N84" s="10"/>
      <c r="O84" s="55"/>
      <c r="P84" s="55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1"/>
      <c r="AD84" s="10"/>
      <c r="AE84" s="11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</row>
    <row r="85" customFormat="false" ht="12.75" hidden="false" customHeight="false" outlineLevel="0" collapsed="false">
      <c r="B85" s="51"/>
      <c r="C85" s="53"/>
      <c r="D85" s="54"/>
      <c r="E85" s="55"/>
      <c r="F85" s="55"/>
      <c r="G85" s="55"/>
      <c r="H85" s="46"/>
      <c r="I85" s="137"/>
      <c r="J85" s="137"/>
      <c r="K85" s="137"/>
      <c r="L85" s="137"/>
      <c r="M85" s="137"/>
      <c r="N85" s="10"/>
      <c r="O85" s="55"/>
      <c r="P85" s="55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1"/>
      <c r="AD85" s="10"/>
      <c r="AE85" s="11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</row>
    <row r="86" customFormat="false" ht="12.75" hidden="false" customHeight="false" outlineLevel="0" collapsed="false">
      <c r="B86" s="51"/>
      <c r="C86" s="53"/>
      <c r="D86" s="54"/>
      <c r="E86" s="55"/>
      <c r="F86" s="55"/>
      <c r="G86" s="55"/>
      <c r="H86" s="46"/>
      <c r="I86" s="137"/>
      <c r="J86" s="137"/>
      <c r="K86" s="137"/>
      <c r="L86" s="137"/>
      <c r="M86" s="137"/>
      <c r="N86" s="10"/>
      <c r="O86" s="55"/>
      <c r="P86" s="55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1"/>
      <c r="AD86" s="10"/>
      <c r="AE86" s="11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</row>
    <row r="87" customFormat="false" ht="12.75" hidden="false" customHeight="false" outlineLevel="0" collapsed="false">
      <c r="B87" s="51"/>
      <c r="C87" s="53"/>
      <c r="D87" s="54"/>
      <c r="E87" s="55"/>
      <c r="F87" s="55"/>
      <c r="G87" s="55"/>
      <c r="H87" s="46"/>
      <c r="I87" s="137"/>
      <c r="J87" s="137"/>
      <c r="K87" s="137"/>
      <c r="L87" s="137"/>
      <c r="M87" s="137"/>
      <c r="N87" s="10"/>
      <c r="O87" s="55"/>
      <c r="P87" s="55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1"/>
      <c r="AD87" s="10"/>
      <c r="AE87" s="11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</row>
    <row r="88" customFormat="false" ht="12.75" hidden="false" customHeight="false" outlineLevel="0" collapsed="false">
      <c r="B88" s="51"/>
      <c r="C88" s="53"/>
      <c r="D88" s="54"/>
      <c r="E88" s="55"/>
      <c r="F88" s="55"/>
      <c r="G88" s="55"/>
      <c r="H88" s="46"/>
      <c r="I88" s="137"/>
      <c r="J88" s="137"/>
      <c r="K88" s="137"/>
      <c r="L88" s="137"/>
      <c r="M88" s="137"/>
      <c r="N88" s="10"/>
      <c r="O88" s="55"/>
      <c r="P88" s="55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1"/>
      <c r="AD88" s="10"/>
      <c r="AE88" s="11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</row>
    <row r="89" customFormat="false" ht="12.75" hidden="false" customHeight="false" outlineLevel="0" collapsed="false">
      <c r="B89" s="51"/>
      <c r="C89" s="53"/>
      <c r="D89" s="54"/>
      <c r="E89" s="55"/>
      <c r="F89" s="55"/>
      <c r="G89" s="55"/>
      <c r="H89" s="46"/>
      <c r="I89" s="137"/>
      <c r="J89" s="137"/>
      <c r="K89" s="137"/>
      <c r="L89" s="137"/>
      <c r="M89" s="137"/>
      <c r="N89" s="10"/>
      <c r="O89" s="55"/>
      <c r="P89" s="55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1"/>
      <c r="AD89" s="10"/>
      <c r="AE89" s="11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</row>
    <row r="90" customFormat="false" ht="12.75" hidden="false" customHeight="false" outlineLevel="0" collapsed="false">
      <c r="B90" s="51"/>
      <c r="C90" s="53"/>
      <c r="D90" s="54"/>
      <c r="E90" s="55"/>
      <c r="F90" s="55"/>
      <c r="G90" s="55"/>
      <c r="H90" s="46"/>
      <c r="I90" s="137"/>
      <c r="J90" s="137"/>
      <c r="K90" s="137"/>
      <c r="L90" s="137"/>
      <c r="M90" s="137"/>
      <c r="N90" s="10"/>
      <c r="O90" s="55"/>
      <c r="P90" s="55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1"/>
      <c r="AD90" s="10"/>
      <c r="AE90" s="11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</row>
    <row r="91" customFormat="false" ht="12.75" hidden="false" customHeight="false" outlineLevel="0" collapsed="false">
      <c r="B91" s="51"/>
      <c r="C91" s="53"/>
      <c r="D91" s="54"/>
      <c r="E91" s="55"/>
      <c r="F91" s="55"/>
      <c r="G91" s="55"/>
      <c r="H91" s="46"/>
      <c r="I91" s="137"/>
      <c r="J91" s="137"/>
      <c r="K91" s="137"/>
      <c r="L91" s="137"/>
      <c r="M91" s="137"/>
      <c r="N91" s="10"/>
      <c r="O91" s="55"/>
      <c r="P91" s="55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1"/>
      <c r="AD91" s="10"/>
      <c r="AE91" s="11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</row>
    <row r="92" customFormat="false" ht="12.75" hidden="false" customHeight="false" outlineLevel="0" collapsed="false">
      <c r="B92" s="51"/>
      <c r="C92" s="53"/>
      <c r="D92" s="54"/>
      <c r="E92" s="55"/>
      <c r="F92" s="55"/>
      <c r="G92" s="55"/>
      <c r="H92" s="46"/>
      <c r="I92" s="137"/>
      <c r="J92" s="137"/>
      <c r="K92" s="137"/>
      <c r="L92" s="137"/>
      <c r="M92" s="137"/>
      <c r="N92" s="10"/>
      <c r="O92" s="55"/>
      <c r="P92" s="55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1"/>
      <c r="AD92" s="10"/>
      <c r="AE92" s="11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</row>
    <row r="93" customFormat="false" ht="13.5" hidden="false" customHeight="false" outlineLevel="0" collapsed="false">
      <c r="B93" s="51"/>
      <c r="C93" s="53"/>
      <c r="D93" s="56"/>
      <c r="E93" s="55"/>
      <c r="F93" s="55"/>
      <c r="G93" s="55"/>
      <c r="H93" s="46"/>
      <c r="I93" s="137"/>
      <c r="J93" s="137"/>
      <c r="K93" s="137"/>
      <c r="L93" s="137"/>
      <c r="M93" s="137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1"/>
      <c r="AD93" s="10"/>
      <c r="AE93" s="11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</row>
    <row r="94" customFormat="false" ht="12.75" hidden="false" customHeight="false" outlineLevel="0" collapsed="false">
      <c r="B94" s="51"/>
      <c r="C94" s="53"/>
      <c r="D94" s="57"/>
      <c r="E94" s="55"/>
      <c r="F94" s="55"/>
      <c r="G94" s="55"/>
      <c r="H94" s="46"/>
      <c r="I94" s="137"/>
      <c r="J94" s="137"/>
      <c r="K94" s="137"/>
      <c r="L94" s="137"/>
      <c r="M94" s="137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1"/>
      <c r="AD94" s="10"/>
      <c r="AE94" s="11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</row>
    <row r="95" customFormat="false" ht="13.5" hidden="false" customHeight="false" outlineLevel="0" collapsed="false">
      <c r="B95" s="51"/>
      <c r="C95" s="53"/>
      <c r="D95" s="58"/>
      <c r="E95" s="55"/>
      <c r="F95" s="55"/>
      <c r="G95" s="55"/>
      <c r="H95" s="46"/>
      <c r="I95" s="137"/>
      <c r="J95" s="137"/>
      <c r="K95" s="137"/>
      <c r="L95" s="137"/>
      <c r="M95" s="137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1"/>
      <c r="AD95" s="10"/>
      <c r="AE95" s="11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</row>
    <row r="96" customFormat="false" ht="13.5" hidden="false" customHeight="false" outlineLevel="0" collapsed="false">
      <c r="B96" s="51"/>
      <c r="C96" s="53"/>
      <c r="D96" s="58"/>
      <c r="E96" s="55"/>
      <c r="F96" s="55"/>
      <c r="G96" s="55"/>
      <c r="H96" s="46"/>
      <c r="I96" s="137"/>
      <c r="J96" s="137"/>
      <c r="K96" s="137"/>
      <c r="L96" s="137"/>
      <c r="M96" s="137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1"/>
      <c r="AD96" s="10"/>
      <c r="AE96" s="11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</row>
    <row r="97" customFormat="false" ht="12.75" hidden="false" customHeight="false" outlineLevel="0" collapsed="false">
      <c r="B97" s="51"/>
      <c r="C97" s="53"/>
      <c r="D97" s="59"/>
      <c r="E97" s="55"/>
      <c r="F97" s="55"/>
      <c r="G97" s="55"/>
      <c r="H97" s="46"/>
      <c r="I97" s="137"/>
      <c r="J97" s="137"/>
      <c r="K97" s="137"/>
      <c r="L97" s="137"/>
      <c r="M97" s="137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1"/>
      <c r="AD97" s="10"/>
      <c r="AE97" s="11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</row>
    <row r="98" customFormat="false" ht="12.75" hidden="false" customHeight="false" outlineLevel="0" collapsed="false">
      <c r="B98" s="51"/>
      <c r="C98" s="53"/>
      <c r="D98" s="59"/>
      <c r="E98" s="55"/>
      <c r="F98" s="55"/>
      <c r="G98" s="55"/>
      <c r="H98" s="46"/>
      <c r="I98" s="137"/>
      <c r="J98" s="137"/>
      <c r="K98" s="137"/>
      <c r="L98" s="137"/>
      <c r="M98" s="137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1"/>
      <c r="AD98" s="10"/>
      <c r="AE98" s="11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</row>
    <row r="99" customFormat="false" ht="12.75" hidden="false" customHeight="false" outlineLevel="0" collapsed="false">
      <c r="B99" s="51"/>
      <c r="C99" s="53"/>
      <c r="D99" s="59"/>
      <c r="E99" s="55"/>
      <c r="F99" s="55"/>
      <c r="G99" s="55"/>
      <c r="H99" s="46"/>
      <c r="I99" s="137"/>
      <c r="J99" s="137"/>
      <c r="K99" s="137"/>
      <c r="L99" s="137"/>
      <c r="M99" s="137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1"/>
      <c r="AD99" s="10"/>
      <c r="AE99" s="11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</row>
    <row r="100" customFormat="false" ht="12.75" hidden="false" customHeight="false" outlineLevel="0" collapsed="false">
      <c r="B100" s="51"/>
      <c r="C100" s="53"/>
      <c r="D100" s="59"/>
      <c r="E100" s="55"/>
      <c r="F100" s="55"/>
      <c r="G100" s="55"/>
      <c r="H100" s="46"/>
      <c r="I100" s="137"/>
      <c r="J100" s="137"/>
      <c r="K100" s="137"/>
      <c r="L100" s="137"/>
      <c r="M100" s="137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1"/>
      <c r="AD100" s="10"/>
      <c r="AE100" s="11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</row>
    <row r="101" customFormat="false" ht="12.75" hidden="false" customHeight="false" outlineLevel="0" collapsed="false">
      <c r="B101" s="51"/>
      <c r="C101" s="53"/>
      <c r="D101" s="59"/>
      <c r="E101" s="55"/>
      <c r="F101" s="55"/>
      <c r="G101" s="55"/>
      <c r="H101" s="46"/>
      <c r="I101" s="137"/>
      <c r="J101" s="137"/>
      <c r="K101" s="137"/>
      <c r="L101" s="137"/>
      <c r="M101" s="137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1"/>
      <c r="AD101" s="10"/>
      <c r="AE101" s="11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</row>
    <row r="102" customFormat="false" ht="12.75" hidden="false" customHeight="false" outlineLevel="0" collapsed="false">
      <c r="B102" s="51"/>
      <c r="C102" s="53"/>
      <c r="D102" s="59"/>
      <c r="E102" s="55"/>
      <c r="F102" s="55"/>
      <c r="G102" s="55"/>
      <c r="H102" s="46"/>
      <c r="I102" s="137"/>
      <c r="J102" s="137"/>
      <c r="K102" s="137"/>
      <c r="L102" s="137"/>
      <c r="M102" s="137"/>
      <c r="N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1"/>
      <c r="AD102" s="10"/>
      <c r="AE102" s="11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</row>
    <row r="103" customFormat="false" ht="12.75" hidden="false" customHeight="false" outlineLevel="0" collapsed="false">
      <c r="B103" s="51"/>
      <c r="C103" s="53"/>
      <c r="D103" s="59"/>
      <c r="E103" s="55"/>
      <c r="F103" s="55"/>
      <c r="G103" s="55"/>
      <c r="H103" s="46"/>
      <c r="I103" s="137"/>
      <c r="J103" s="137"/>
      <c r="K103" s="137"/>
      <c r="L103" s="137"/>
      <c r="M103" s="137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1"/>
      <c r="AD103" s="10"/>
      <c r="AE103" s="11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</row>
    <row r="104" customFormat="false" ht="12.75" hidden="false" customHeight="false" outlineLevel="0" collapsed="false">
      <c r="B104" s="51"/>
      <c r="C104" s="53"/>
      <c r="D104" s="59"/>
      <c r="E104" s="55"/>
      <c r="F104" s="55"/>
      <c r="G104" s="55"/>
      <c r="H104" s="46"/>
      <c r="I104" s="137"/>
      <c r="J104" s="137"/>
      <c r="K104" s="137"/>
      <c r="L104" s="137"/>
      <c r="M104" s="137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1"/>
      <c r="AD104" s="10"/>
      <c r="AE104" s="11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</row>
    <row r="105" customFormat="false" ht="12.75" hidden="false" customHeight="false" outlineLevel="0" collapsed="false">
      <c r="B105" s="51"/>
      <c r="C105" s="53"/>
      <c r="D105" s="59"/>
      <c r="E105" s="55"/>
      <c r="F105" s="55"/>
      <c r="G105" s="55"/>
      <c r="H105" s="46"/>
      <c r="I105" s="137"/>
      <c r="J105" s="137"/>
      <c r="K105" s="137"/>
      <c r="L105" s="137"/>
      <c r="M105" s="137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1"/>
      <c r="AD105" s="10"/>
      <c r="AE105" s="11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</row>
    <row r="106" customFormat="false" ht="12.75" hidden="false" customHeight="false" outlineLevel="0" collapsed="false">
      <c r="B106" s="51"/>
      <c r="C106" s="53"/>
      <c r="D106" s="59"/>
      <c r="E106" s="55"/>
      <c r="F106" s="55"/>
      <c r="G106" s="55"/>
      <c r="H106" s="46"/>
      <c r="I106" s="137"/>
      <c r="J106" s="137"/>
      <c r="K106" s="137"/>
      <c r="L106" s="137"/>
      <c r="M106" s="137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1"/>
      <c r="AD106" s="10"/>
      <c r="AE106" s="11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</row>
    <row r="107" customFormat="false" ht="12.75" hidden="false" customHeight="false" outlineLevel="0" collapsed="false">
      <c r="B107" s="51"/>
      <c r="C107" s="53"/>
      <c r="D107" s="59"/>
      <c r="E107" s="55"/>
      <c r="F107" s="55"/>
      <c r="G107" s="55"/>
      <c r="H107" s="46"/>
      <c r="I107" s="137"/>
      <c r="J107" s="137"/>
      <c r="K107" s="137"/>
      <c r="L107" s="137"/>
      <c r="M107" s="137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1"/>
      <c r="AD107" s="10"/>
      <c r="AE107" s="11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</row>
    <row r="108" customFormat="false" ht="12.75" hidden="false" customHeight="false" outlineLevel="0" collapsed="false">
      <c r="B108" s="51"/>
      <c r="C108" s="53"/>
      <c r="D108" s="59"/>
      <c r="E108" s="55"/>
      <c r="F108" s="55"/>
      <c r="G108" s="55"/>
      <c r="H108" s="46"/>
      <c r="I108" s="137"/>
      <c r="J108" s="137"/>
      <c r="K108" s="137"/>
      <c r="L108" s="137"/>
      <c r="M108" s="137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1"/>
      <c r="AD108" s="10"/>
      <c r="AE108" s="11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</row>
    <row r="109" customFormat="false" ht="12.75" hidden="false" customHeight="false" outlineLevel="0" collapsed="false">
      <c r="B109" s="51"/>
      <c r="C109" s="53"/>
      <c r="D109" s="59"/>
      <c r="E109" s="55"/>
      <c r="F109" s="55"/>
      <c r="G109" s="55"/>
      <c r="H109" s="46"/>
      <c r="I109" s="137"/>
      <c r="J109" s="137"/>
      <c r="K109" s="137"/>
      <c r="L109" s="137"/>
      <c r="M109" s="137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1"/>
      <c r="AD109" s="10"/>
      <c r="AE109" s="11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</row>
    <row r="110" customFormat="false" ht="12.75" hidden="false" customHeight="false" outlineLevel="0" collapsed="false">
      <c r="B110" s="51"/>
      <c r="C110" s="53"/>
      <c r="D110" s="59"/>
      <c r="E110" s="55"/>
      <c r="F110" s="55"/>
      <c r="G110" s="55"/>
      <c r="H110" s="46"/>
      <c r="I110" s="137"/>
      <c r="J110" s="137"/>
      <c r="K110" s="137"/>
      <c r="L110" s="137"/>
      <c r="M110" s="137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1"/>
      <c r="AD110" s="10"/>
      <c r="AE110" s="11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</row>
    <row r="111" customFormat="false" ht="12.75" hidden="false" customHeight="false" outlineLevel="0" collapsed="false">
      <c r="B111" s="51"/>
      <c r="C111" s="53"/>
      <c r="D111" s="59"/>
      <c r="E111" s="55"/>
      <c r="F111" s="55"/>
      <c r="G111" s="55"/>
      <c r="H111" s="46"/>
      <c r="I111" s="137"/>
      <c r="J111" s="137"/>
      <c r="K111" s="137"/>
      <c r="L111" s="137"/>
      <c r="M111" s="137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1"/>
      <c r="AD111" s="10"/>
      <c r="AE111" s="11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</row>
    <row r="112" customFormat="false" ht="12.75" hidden="false" customHeight="false" outlineLevel="0" collapsed="false">
      <c r="B112" s="51"/>
      <c r="C112" s="53"/>
      <c r="D112" s="59"/>
      <c r="E112" s="55"/>
      <c r="F112" s="55"/>
      <c r="G112" s="55"/>
      <c r="H112" s="46"/>
      <c r="I112" s="137"/>
      <c r="J112" s="137"/>
      <c r="K112" s="137"/>
      <c r="L112" s="137"/>
      <c r="M112" s="137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1"/>
      <c r="AD112" s="10"/>
      <c r="AE112" s="11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</row>
    <row r="113" customFormat="false" ht="12.75" hidden="false" customHeight="false" outlineLevel="0" collapsed="false">
      <c r="B113" s="51"/>
      <c r="C113" s="53"/>
      <c r="D113" s="59"/>
      <c r="E113" s="55"/>
      <c r="F113" s="55"/>
      <c r="G113" s="55"/>
      <c r="H113" s="46"/>
      <c r="I113" s="137"/>
      <c r="J113" s="137"/>
      <c r="K113" s="137"/>
      <c r="L113" s="137"/>
      <c r="M113" s="137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1"/>
      <c r="AD113" s="10"/>
      <c r="AE113" s="11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</row>
    <row r="114" customFormat="false" ht="12.75" hidden="false" customHeight="false" outlineLevel="0" collapsed="false">
      <c r="B114" s="51"/>
      <c r="C114" s="53"/>
      <c r="D114" s="59"/>
      <c r="E114" s="55"/>
      <c r="F114" s="55"/>
      <c r="G114" s="55"/>
      <c r="H114" s="46"/>
      <c r="I114" s="137"/>
      <c r="J114" s="137"/>
      <c r="K114" s="137"/>
      <c r="L114" s="137"/>
      <c r="M114" s="137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1"/>
      <c r="AD114" s="10"/>
      <c r="AE114" s="11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</row>
    <row r="115" customFormat="false" ht="12.75" hidden="false" customHeight="false" outlineLevel="0" collapsed="false">
      <c r="B115" s="51"/>
      <c r="C115" s="53"/>
      <c r="D115" s="59"/>
      <c r="E115" s="55"/>
      <c r="F115" s="55"/>
      <c r="G115" s="55"/>
      <c r="H115" s="46"/>
      <c r="I115" s="137"/>
      <c r="J115" s="137"/>
      <c r="K115" s="137"/>
      <c r="L115" s="137"/>
      <c r="M115" s="137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1"/>
      <c r="AD115" s="10"/>
      <c r="AE115" s="11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</row>
    <row r="116" customFormat="false" ht="12.75" hidden="false" customHeight="false" outlineLevel="0" collapsed="false">
      <c r="B116" s="51"/>
      <c r="C116" s="53"/>
      <c r="D116" s="59"/>
      <c r="E116" s="55"/>
      <c r="F116" s="55"/>
      <c r="G116" s="55"/>
      <c r="H116" s="46"/>
      <c r="I116" s="137"/>
      <c r="J116" s="137"/>
      <c r="K116" s="137"/>
      <c r="L116" s="137"/>
      <c r="M116" s="137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1"/>
      <c r="AD116" s="10"/>
      <c r="AE116" s="11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</row>
    <row r="117" customFormat="false" ht="12.75" hidden="false" customHeight="false" outlineLevel="0" collapsed="false">
      <c r="B117" s="51"/>
      <c r="C117" s="53"/>
      <c r="D117" s="59"/>
      <c r="E117" s="55"/>
      <c r="F117" s="55"/>
      <c r="G117" s="55"/>
      <c r="H117" s="46"/>
      <c r="I117" s="137"/>
      <c r="J117" s="137"/>
      <c r="K117" s="137"/>
      <c r="L117" s="137"/>
      <c r="M117" s="137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1"/>
      <c r="AD117" s="10"/>
      <c r="AE117" s="11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</row>
    <row r="118" customFormat="false" ht="12.75" hidden="false" customHeight="false" outlineLevel="0" collapsed="false">
      <c r="B118" s="51"/>
      <c r="C118" s="53"/>
      <c r="D118" s="59"/>
      <c r="E118" s="55"/>
      <c r="F118" s="55"/>
      <c r="G118" s="55"/>
      <c r="H118" s="46"/>
      <c r="I118" s="137"/>
      <c r="J118" s="137"/>
      <c r="K118" s="137"/>
      <c r="L118" s="137"/>
      <c r="M118" s="137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1"/>
      <c r="AD118" s="10"/>
      <c r="AE118" s="11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</row>
    <row r="119" customFormat="false" ht="12.75" hidden="false" customHeight="false" outlineLevel="0" collapsed="false">
      <c r="B119" s="51"/>
      <c r="C119" s="53"/>
      <c r="D119" s="59"/>
      <c r="E119" s="55"/>
      <c r="F119" s="55"/>
      <c r="G119" s="55"/>
      <c r="H119" s="46"/>
      <c r="I119" s="137"/>
      <c r="J119" s="137"/>
      <c r="K119" s="137"/>
      <c r="L119" s="137"/>
      <c r="M119" s="137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1"/>
      <c r="AD119" s="10"/>
      <c r="AE119" s="11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</row>
    <row r="120" customFormat="false" ht="12.75" hidden="false" customHeight="false" outlineLevel="0" collapsed="false">
      <c r="B120" s="51"/>
      <c r="C120" s="53"/>
      <c r="D120" s="59"/>
      <c r="E120" s="55"/>
      <c r="F120" s="55"/>
      <c r="G120" s="55"/>
      <c r="H120" s="46"/>
      <c r="I120" s="137"/>
      <c r="J120" s="137"/>
      <c r="K120" s="137"/>
      <c r="L120" s="137"/>
      <c r="M120" s="137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1"/>
      <c r="AD120" s="10"/>
      <c r="AE120" s="11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</row>
    <row r="121" customFormat="false" ht="12.75" hidden="false" customHeight="false" outlineLevel="0" collapsed="false">
      <c r="B121" s="51"/>
      <c r="C121" s="53"/>
      <c r="D121" s="59"/>
      <c r="E121" s="55"/>
      <c r="F121" s="55"/>
      <c r="G121" s="55"/>
      <c r="H121" s="46"/>
      <c r="I121" s="137"/>
      <c r="J121" s="137"/>
      <c r="K121" s="137"/>
      <c r="L121" s="137"/>
      <c r="M121" s="137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1"/>
      <c r="AD121" s="10"/>
      <c r="AE121" s="11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</row>
    <row r="122" customFormat="false" ht="12.75" hidden="false" customHeight="false" outlineLevel="0" collapsed="false">
      <c r="B122" s="51"/>
      <c r="C122" s="53"/>
      <c r="D122" s="59"/>
      <c r="E122" s="55"/>
      <c r="F122" s="55"/>
      <c r="G122" s="55"/>
      <c r="H122" s="46"/>
      <c r="I122" s="137"/>
      <c r="J122" s="137"/>
      <c r="K122" s="137"/>
      <c r="L122" s="137"/>
      <c r="M122" s="137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1"/>
      <c r="AD122" s="10"/>
      <c r="AE122" s="11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</row>
    <row r="123" customFormat="false" ht="12.75" hidden="false" customHeight="false" outlineLevel="0" collapsed="false">
      <c r="B123" s="51"/>
      <c r="C123" s="53"/>
      <c r="D123" s="59"/>
      <c r="E123" s="55"/>
      <c r="F123" s="55"/>
      <c r="G123" s="55"/>
      <c r="H123" s="46"/>
      <c r="I123" s="137"/>
      <c r="J123" s="137"/>
      <c r="K123" s="137"/>
      <c r="L123" s="137"/>
      <c r="M123" s="137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1"/>
      <c r="AD123" s="10"/>
      <c r="AE123" s="11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</row>
    <row r="124" customFormat="false" ht="12.75" hidden="false" customHeight="false" outlineLevel="0" collapsed="false">
      <c r="B124" s="51"/>
      <c r="C124" s="53"/>
      <c r="D124" s="59"/>
      <c r="E124" s="55"/>
      <c r="F124" s="55"/>
      <c r="G124" s="55"/>
      <c r="H124" s="46"/>
      <c r="I124" s="137"/>
      <c r="J124" s="137"/>
      <c r="K124" s="137"/>
      <c r="L124" s="137"/>
      <c r="M124" s="137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1"/>
      <c r="AD124" s="10"/>
      <c r="AE124" s="11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</row>
    <row r="125" customFormat="false" ht="12.75" hidden="false" customHeight="false" outlineLevel="0" collapsed="false">
      <c r="B125" s="51"/>
      <c r="C125" s="53"/>
      <c r="D125" s="59"/>
      <c r="E125" s="55"/>
      <c r="F125" s="55"/>
      <c r="G125" s="55"/>
      <c r="H125" s="46"/>
      <c r="I125" s="137"/>
      <c r="J125" s="137"/>
      <c r="K125" s="137"/>
      <c r="L125" s="137"/>
      <c r="M125" s="137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1"/>
      <c r="AD125" s="10"/>
      <c r="AE125" s="11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</row>
    <row r="126" customFormat="false" ht="12.75" hidden="false" customHeight="false" outlineLevel="0" collapsed="false">
      <c r="B126" s="51"/>
      <c r="C126" s="53"/>
      <c r="D126" s="59"/>
      <c r="E126" s="55"/>
      <c r="F126" s="55"/>
      <c r="G126" s="55"/>
      <c r="H126" s="46"/>
      <c r="I126" s="137"/>
      <c r="J126" s="137"/>
      <c r="K126" s="137"/>
      <c r="L126" s="137"/>
      <c r="M126" s="137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1"/>
      <c r="AD126" s="10"/>
      <c r="AE126" s="11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</row>
    <row r="127" customFormat="false" ht="12.75" hidden="false" customHeight="false" outlineLevel="0" collapsed="false">
      <c r="B127" s="60"/>
      <c r="C127" s="59"/>
      <c r="D127" s="59"/>
      <c r="E127" s="55"/>
      <c r="F127" s="55"/>
      <c r="G127" s="55"/>
      <c r="H127" s="46"/>
      <c r="I127" s="137"/>
      <c r="J127" s="137"/>
      <c r="K127" s="137"/>
      <c r="L127" s="137"/>
      <c r="M127" s="137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1"/>
      <c r="AD127" s="10"/>
      <c r="AE127" s="11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</row>
    <row r="128" customFormat="false" ht="12.75" hidden="false" customHeight="false" outlineLevel="0" collapsed="false">
      <c r="B128" s="60"/>
      <c r="C128" s="59"/>
      <c r="D128" s="59"/>
      <c r="E128" s="55"/>
      <c r="F128" s="55"/>
      <c r="G128" s="55"/>
      <c r="H128" s="46"/>
      <c r="I128" s="137"/>
      <c r="J128" s="137"/>
      <c r="K128" s="137"/>
      <c r="L128" s="137"/>
      <c r="M128" s="137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1"/>
      <c r="AD128" s="10"/>
      <c r="AE128" s="11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</row>
    <row r="129" customFormat="false" ht="12.75" hidden="false" customHeight="false" outlineLevel="0" collapsed="false">
      <c r="B129" s="60"/>
      <c r="C129" s="59"/>
      <c r="D129" s="59"/>
      <c r="E129" s="55"/>
      <c r="F129" s="55"/>
      <c r="G129" s="55"/>
      <c r="H129" s="46"/>
      <c r="I129" s="137"/>
      <c r="J129" s="137"/>
      <c r="K129" s="137"/>
      <c r="L129" s="137"/>
      <c r="M129" s="137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1"/>
      <c r="AD129" s="10"/>
      <c r="AE129" s="11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</row>
    <row r="130" customFormat="false" ht="12.75" hidden="false" customHeight="false" outlineLevel="0" collapsed="false">
      <c r="B130" s="60"/>
      <c r="C130" s="59"/>
      <c r="D130" s="59"/>
      <c r="E130" s="55"/>
      <c r="F130" s="55"/>
      <c r="G130" s="55"/>
      <c r="H130" s="46"/>
      <c r="I130" s="137"/>
      <c r="J130" s="137"/>
      <c r="K130" s="137"/>
      <c r="L130" s="137"/>
      <c r="M130" s="137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1"/>
      <c r="AD130" s="10"/>
      <c r="AE130" s="11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</row>
    <row r="131" customFormat="false" ht="12.75" hidden="false" customHeight="false" outlineLevel="0" collapsed="false">
      <c r="B131" s="60"/>
      <c r="C131" s="59"/>
      <c r="D131" s="59"/>
      <c r="E131" s="55"/>
      <c r="F131" s="55"/>
      <c r="G131" s="55"/>
      <c r="H131" s="46"/>
      <c r="I131" s="137"/>
      <c r="J131" s="137"/>
      <c r="K131" s="137"/>
      <c r="L131" s="137"/>
      <c r="M131" s="137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1"/>
      <c r="AD131" s="10"/>
      <c r="AE131" s="11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</row>
    <row r="132" customFormat="false" ht="12.75" hidden="false" customHeight="false" outlineLevel="0" collapsed="false">
      <c r="B132" s="60"/>
      <c r="C132" s="59"/>
      <c r="D132" s="59"/>
      <c r="E132" s="55"/>
      <c r="F132" s="55"/>
      <c r="G132" s="55"/>
      <c r="H132" s="46"/>
      <c r="I132" s="137"/>
      <c r="J132" s="137"/>
      <c r="K132" s="137"/>
      <c r="L132" s="137"/>
      <c r="M132" s="137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1"/>
      <c r="AD132" s="10"/>
      <c r="AE132" s="11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</row>
    <row r="133" customFormat="false" ht="12.75" hidden="false" customHeight="false" outlineLevel="0" collapsed="false">
      <c r="B133" s="60"/>
      <c r="C133" s="59"/>
      <c r="D133" s="59"/>
      <c r="E133" s="55"/>
      <c r="F133" s="55"/>
      <c r="G133" s="55"/>
      <c r="H133" s="46"/>
      <c r="I133" s="137"/>
      <c r="J133" s="137"/>
      <c r="K133" s="137"/>
      <c r="L133" s="137"/>
      <c r="M133" s="137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1"/>
      <c r="AD133" s="10"/>
      <c r="AE133" s="11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</row>
    <row r="134" customFormat="false" ht="12.75" hidden="false" customHeight="false" outlineLevel="0" collapsed="false">
      <c r="B134" s="60"/>
      <c r="C134" s="59"/>
      <c r="D134" s="59"/>
      <c r="E134" s="55"/>
      <c r="F134" s="55"/>
      <c r="G134" s="55"/>
      <c r="H134" s="46"/>
      <c r="I134" s="137"/>
      <c r="J134" s="137"/>
      <c r="K134" s="137"/>
      <c r="L134" s="137"/>
      <c r="M134" s="137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1"/>
      <c r="AD134" s="10"/>
      <c r="AE134" s="11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</row>
    <row r="135" customFormat="false" ht="12.75" hidden="false" customHeight="false" outlineLevel="0" collapsed="false">
      <c r="B135" s="60"/>
      <c r="C135" s="59"/>
      <c r="D135" s="59"/>
      <c r="E135" s="55"/>
      <c r="F135" s="55"/>
      <c r="G135" s="55"/>
      <c r="H135" s="46"/>
      <c r="I135" s="137"/>
      <c r="J135" s="137"/>
      <c r="K135" s="137"/>
      <c r="L135" s="137"/>
      <c r="M135" s="137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1"/>
      <c r="AD135" s="10"/>
      <c r="AE135" s="11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</row>
    <row r="136" customFormat="false" ht="12.75" hidden="false" customHeight="false" outlineLevel="0" collapsed="false">
      <c r="B136" s="60"/>
      <c r="C136" s="59"/>
      <c r="D136" s="59"/>
      <c r="E136" s="55"/>
      <c r="F136" s="55"/>
      <c r="G136" s="55"/>
      <c r="H136" s="46"/>
      <c r="I136" s="137"/>
      <c r="J136" s="137"/>
      <c r="K136" s="137"/>
      <c r="L136" s="137"/>
      <c r="M136" s="137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1"/>
      <c r="AD136" s="10"/>
      <c r="AE136" s="11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</row>
    <row r="137" customFormat="false" ht="12.75" hidden="false" customHeight="false" outlineLevel="0" collapsed="false">
      <c r="B137" s="60"/>
      <c r="C137" s="59"/>
      <c r="D137" s="59"/>
      <c r="E137" s="55"/>
      <c r="F137" s="55"/>
      <c r="G137" s="55"/>
      <c r="H137" s="46"/>
      <c r="I137" s="137"/>
      <c r="J137" s="137"/>
      <c r="K137" s="137"/>
      <c r="L137" s="137"/>
      <c r="M137" s="137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1"/>
      <c r="AD137" s="10"/>
      <c r="AE137" s="11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</row>
    <row r="138" customFormat="false" ht="12.75" hidden="false" customHeight="false" outlineLevel="0" collapsed="false">
      <c r="B138" s="60"/>
      <c r="C138" s="59"/>
      <c r="D138" s="59"/>
      <c r="E138" s="55"/>
      <c r="F138" s="55"/>
      <c r="G138" s="55"/>
      <c r="H138" s="46"/>
      <c r="I138" s="137"/>
      <c r="J138" s="137"/>
      <c r="K138" s="137"/>
      <c r="L138" s="137"/>
      <c r="M138" s="137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1"/>
      <c r="AD138" s="10"/>
      <c r="AE138" s="11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</row>
    <row r="139" customFormat="false" ht="12.75" hidden="false" customHeight="false" outlineLevel="0" collapsed="false">
      <c r="B139" s="60"/>
      <c r="C139" s="59"/>
      <c r="D139" s="59"/>
      <c r="E139" s="55"/>
      <c r="F139" s="55"/>
      <c r="G139" s="55"/>
      <c r="H139" s="46"/>
      <c r="I139" s="137"/>
      <c r="J139" s="137"/>
      <c r="K139" s="137"/>
      <c r="L139" s="137"/>
      <c r="M139" s="137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1"/>
      <c r="AD139" s="10"/>
      <c r="AE139" s="11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D1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8" activeCellId="0" sqref="B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2.7"/>
    <col collapsed="false" customWidth="true" hidden="false" outlineLevel="0" max="2" min="2" style="1" width="9.56"/>
    <col collapsed="false" customWidth="true" hidden="false" outlineLevel="0" max="4" min="3" style="1" width="9.14"/>
    <col collapsed="false" customWidth="true" hidden="false" outlineLevel="0" max="5" min="5" style="1" width="10.13"/>
    <col collapsed="false" customWidth="true" hidden="false" outlineLevel="0" max="10" min="6" style="1" width="9.14"/>
    <col collapsed="false" customWidth="true" hidden="false" outlineLevel="0" max="11" min="11" style="1" width="10.41"/>
    <col collapsed="false" customWidth="true" hidden="false" outlineLevel="0" max="13" min="12" style="1" width="9.14"/>
    <col collapsed="false" customWidth="true" hidden="false" outlineLevel="0" max="14" min="14" style="1" width="10.13"/>
    <col collapsed="false" customWidth="true" hidden="false" outlineLevel="0" max="30" min="15" style="1" width="9.99"/>
    <col collapsed="false" customWidth="true" hidden="false" outlineLevel="0" max="49" min="31" style="1" width="9.14"/>
    <col collapsed="false" customWidth="true" hidden="false" outlineLevel="0" max="60" min="51" style="1" width="9.14"/>
    <col collapsed="false" customWidth="true" hidden="false" outlineLevel="0" max="71" min="62" style="1" width="9.14"/>
    <col collapsed="false" customWidth="true" hidden="false" outlineLevel="0" max="82" min="73" style="1" width="9.14"/>
  </cols>
  <sheetData>
    <row r="1" customFormat="false" ht="12.75" hidden="false" customHeight="false" outlineLevel="0" collapsed="false">
      <c r="A1" s="5"/>
      <c r="B1" s="102"/>
      <c r="C1" s="4"/>
      <c r="D1" s="2" t="s">
        <v>134</v>
      </c>
      <c r="E1" s="16" t="n">
        <f aca="false">summerstrip</f>
        <v>5.3329</v>
      </c>
      <c r="F1" s="2"/>
      <c r="G1" s="103" t="s">
        <v>4</v>
      </c>
      <c r="I1" s="0"/>
      <c r="J1" s="0"/>
      <c r="K1" s="0" t="s">
        <v>168</v>
      </c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</row>
    <row r="2" customFormat="false" ht="12.75" hidden="false" customHeight="false" outlineLevel="0" collapsed="false">
      <c r="A2" s="5" t="s">
        <v>136</v>
      </c>
      <c r="B2" s="104" t="n">
        <f aca="true">TODAY()</f>
        <v>45926</v>
      </c>
      <c r="C2" s="4"/>
      <c r="D2" s="2" t="s">
        <v>137</v>
      </c>
      <c r="E2" s="16" t="n">
        <f aca="false">winterstrip</f>
        <v>5.12898285714286</v>
      </c>
      <c r="F2" s="2"/>
      <c r="G2" s="2"/>
      <c r="I2" s="0"/>
      <c r="J2" s="0"/>
      <c r="L2" s="0" t="s">
        <v>169</v>
      </c>
      <c r="M2" s="0" t="s">
        <v>170</v>
      </c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K2" s="10"/>
      <c r="AL2" s="10"/>
      <c r="AM2" s="11"/>
      <c r="AN2" s="10"/>
      <c r="AO2" s="11"/>
      <c r="AY2" s="10"/>
      <c r="AZ2" s="11"/>
      <c r="BJ2" s="10"/>
      <c r="BK2" s="11"/>
      <c r="BU2" s="10"/>
      <c r="BV2" s="11"/>
    </row>
    <row r="3" customFormat="false" ht="12.75" hidden="false" customHeight="false" outlineLevel="0" collapsed="false">
      <c r="A3" s="5"/>
      <c r="B3" s="102"/>
      <c r="D3" s="2" t="s">
        <v>127</v>
      </c>
      <c r="E3" s="16" t="n">
        <f aca="false">aproct</f>
        <v>4.44436734693878</v>
      </c>
      <c r="F3" s="64" t="s">
        <v>31</v>
      </c>
      <c r="G3" s="2"/>
      <c r="I3" s="0"/>
      <c r="J3" s="0"/>
      <c r="K3" s="1" t="n">
        <v>-1</v>
      </c>
      <c r="L3" s="142" t="e">
        <f aca="false">B21</f>
        <v>#VALUE!</v>
      </c>
      <c r="M3" s="142" t="e">
        <f aca="false">B22</f>
        <v>#VALUE!</v>
      </c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K3" s="10"/>
      <c r="AL3" s="10"/>
      <c r="AM3" s="11"/>
      <c r="AN3" s="10"/>
      <c r="AO3" s="11"/>
      <c r="AY3" s="10"/>
      <c r="AZ3" s="11"/>
      <c r="BJ3" s="10"/>
      <c r="BK3" s="11"/>
      <c r="BU3" s="10"/>
      <c r="BV3" s="11"/>
    </row>
    <row r="4" customFormat="false" ht="12.75" hidden="false" customHeight="false" outlineLevel="0" collapsed="false">
      <c r="A4" s="2" t="s">
        <v>141</v>
      </c>
      <c r="B4" s="64" t="s">
        <v>35</v>
      </c>
      <c r="D4" s="64" t="s">
        <v>75</v>
      </c>
      <c r="E4" s="2"/>
      <c r="F4" s="64" t="s">
        <v>31</v>
      </c>
      <c r="H4" s="64" t="s">
        <v>31</v>
      </c>
      <c r="I4" s="14"/>
      <c r="J4" s="15"/>
      <c r="K4" s="1" t="n">
        <v>1</v>
      </c>
      <c r="L4" s="142" t="e">
        <f aca="false">D21</f>
        <v>#VALUE!</v>
      </c>
      <c r="M4" s="142" t="e">
        <f aca="false">D22</f>
        <v>#VALUE!</v>
      </c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4"/>
      <c r="AF4" s="14"/>
      <c r="AG4" s="14"/>
      <c r="AK4" s="10"/>
      <c r="AL4" s="10"/>
      <c r="AM4" s="11"/>
      <c r="AN4" s="10"/>
      <c r="AO4" s="11"/>
      <c r="AY4" s="10"/>
      <c r="AZ4" s="11"/>
      <c r="BJ4" s="10"/>
      <c r="BK4" s="11"/>
      <c r="BU4" s="10"/>
      <c r="BV4" s="11"/>
    </row>
    <row r="5" customFormat="false" ht="12.75" hidden="false" customHeight="false" outlineLevel="0" collapsed="false">
      <c r="A5" s="2"/>
      <c r="B5" s="2" t="s">
        <v>7</v>
      </c>
      <c r="D5" s="2" t="s">
        <v>8</v>
      </c>
      <c r="F5" s="2" t="s">
        <v>143</v>
      </c>
      <c r="H5" s="2" t="s">
        <v>144</v>
      </c>
      <c r="K5" s="1" t="n">
        <v>1</v>
      </c>
      <c r="L5" s="142" t="e">
        <f aca="false">F21</f>
        <v>#VALUE!</v>
      </c>
      <c r="M5" s="142" t="e">
        <f aca="false">F22</f>
        <v>#VALUE!</v>
      </c>
      <c r="AK5" s="10"/>
      <c r="AL5" s="10"/>
      <c r="AM5" s="11"/>
      <c r="AN5" s="10"/>
      <c r="AO5" s="11"/>
      <c r="AY5" s="10"/>
      <c r="AZ5" s="11"/>
      <c r="BJ5" s="10"/>
      <c r="BK5" s="11"/>
      <c r="BU5" s="10"/>
      <c r="BV5" s="11"/>
    </row>
    <row r="6" customFormat="false" ht="12.75" hidden="false" customHeight="false" outlineLevel="0" collapsed="false">
      <c r="A6" s="2" t="s">
        <v>145</v>
      </c>
      <c r="B6" s="70" t="n">
        <v>36831</v>
      </c>
      <c r="C6" s="143"/>
      <c r="D6" s="70" t="n">
        <v>36831</v>
      </c>
      <c r="E6" s="143"/>
      <c r="F6" s="70" t="n">
        <v>36831</v>
      </c>
      <c r="G6" s="143"/>
      <c r="H6" s="70" t="n">
        <v>36861</v>
      </c>
      <c r="K6" s="1" t="n">
        <v>-1</v>
      </c>
      <c r="L6" s="142" t="e">
        <f aca="false">H21</f>
        <v>#VALUE!</v>
      </c>
      <c r="M6" s="142" t="e">
        <f aca="false">H22</f>
        <v>#VALUE!</v>
      </c>
      <c r="AK6" s="10"/>
      <c r="AL6" s="10"/>
      <c r="AM6" s="11"/>
      <c r="AN6" s="10"/>
      <c r="AO6" s="11"/>
      <c r="AY6" s="10"/>
      <c r="AZ6" s="11"/>
      <c r="BJ6" s="10"/>
      <c r="BK6" s="11"/>
      <c r="BU6" s="10"/>
      <c r="BV6" s="11"/>
    </row>
    <row r="7" customFormat="false" ht="12.75" hidden="false" customHeight="false" outlineLevel="0" collapsed="false">
      <c r="A7" s="5" t="s">
        <v>146</v>
      </c>
      <c r="B7" s="70" t="n">
        <v>36831</v>
      </c>
      <c r="C7" s="143"/>
      <c r="D7" s="70" t="n">
        <v>36951</v>
      </c>
      <c r="E7" s="143"/>
      <c r="F7" s="70" t="n">
        <v>36831</v>
      </c>
      <c r="G7" s="143"/>
      <c r="H7" s="70" t="n">
        <v>36861</v>
      </c>
      <c r="J7" s="108"/>
      <c r="L7" s="107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F7" s="64" t="s">
        <v>31</v>
      </c>
      <c r="AG7" s="64"/>
      <c r="AK7" s="10"/>
      <c r="AL7" s="10"/>
      <c r="AM7" s="11"/>
      <c r="AN7" s="10"/>
      <c r="AO7" s="11"/>
      <c r="AY7" s="10"/>
      <c r="AZ7" s="11"/>
      <c r="BJ7" s="10"/>
      <c r="BK7" s="11"/>
      <c r="BU7" s="10"/>
      <c r="BV7" s="11"/>
    </row>
    <row r="8" customFormat="false" ht="12.75" hidden="false" customHeight="false" outlineLevel="0" collapsed="false">
      <c r="I8" s="111"/>
      <c r="K8" s="64"/>
      <c r="L8" s="1" t="e">
        <f aca="false">(L3*$K3)+(L4*$K4)+(L5*$K5)+(L6*$K6)</f>
        <v>#VALUE!</v>
      </c>
      <c r="M8" s="1" t="e">
        <f aca="false">(M3*$K3)+(M4*$K4)+(M5*$K5)+(M6*$K6)</f>
        <v>#VALUE!</v>
      </c>
      <c r="AF8" s="64"/>
      <c r="AG8" s="64"/>
      <c r="AK8" s="10"/>
      <c r="AL8" s="10"/>
      <c r="AM8" s="11"/>
      <c r="AN8" s="10"/>
      <c r="AO8" s="11"/>
      <c r="AY8" s="10"/>
      <c r="AZ8" s="11"/>
      <c r="BJ8" s="10"/>
      <c r="BK8" s="11"/>
      <c r="BU8" s="10"/>
      <c r="BV8" s="11"/>
    </row>
    <row r="9" customFormat="false" ht="12.75" hidden="false" customHeight="false" outlineLevel="0" collapsed="false">
      <c r="A9" s="109" t="s">
        <v>147</v>
      </c>
      <c r="B9" s="110" t="n">
        <f aca="false">AP24</f>
        <v>5.4258</v>
      </c>
      <c r="C9" s="111"/>
      <c r="D9" s="110" t="n">
        <f aca="false">BA24</f>
        <v>5.80147549668874</v>
      </c>
      <c r="E9" s="111"/>
      <c r="F9" s="110" t="n">
        <f aca="false">BL24</f>
        <v>5.4358</v>
      </c>
      <c r="G9" s="111"/>
      <c r="H9" s="110" t="n">
        <f aca="false">BW24</f>
        <v>5.5368</v>
      </c>
      <c r="I9" s="111"/>
      <c r="AF9" s="64" t="s">
        <v>38</v>
      </c>
      <c r="AG9" s="64"/>
      <c r="AK9" s="10"/>
      <c r="AL9" s="10"/>
      <c r="AM9" s="11"/>
      <c r="AN9" s="10"/>
      <c r="AO9" s="11"/>
      <c r="AY9" s="10"/>
      <c r="AZ9" s="11"/>
      <c r="BJ9" s="10"/>
      <c r="BK9" s="11"/>
      <c r="BU9" s="10"/>
      <c r="BV9" s="11"/>
    </row>
    <row r="10" customFormat="false" ht="12.75" hidden="false" customHeight="false" outlineLevel="0" collapsed="false">
      <c r="A10" s="109" t="s">
        <v>16</v>
      </c>
      <c r="B10" s="110" t="n">
        <f aca="false">AQ24</f>
        <v>6.3158</v>
      </c>
      <c r="C10" s="111"/>
      <c r="D10" s="110" t="n">
        <f aca="false">BB24</f>
        <v>6.04170728476821</v>
      </c>
      <c r="E10" s="111"/>
      <c r="F10" s="110" t="n">
        <f aca="false">BM24</f>
        <v>5.4083</v>
      </c>
      <c r="G10" s="111"/>
      <c r="H10" s="110" t="n">
        <f aca="false">BX24</f>
        <v>5.4768</v>
      </c>
      <c r="I10" s="111"/>
      <c r="K10" s="64"/>
      <c r="M10" s="64"/>
      <c r="N10" s="144"/>
      <c r="O10" s="6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G10" s="64"/>
      <c r="AK10" s="10"/>
      <c r="AL10" s="10"/>
      <c r="AM10" s="11"/>
      <c r="AN10" s="10"/>
      <c r="AO10" s="11"/>
      <c r="AY10" s="10"/>
      <c r="AZ10" s="11"/>
      <c r="BJ10" s="10"/>
      <c r="BK10" s="11"/>
      <c r="BU10" s="10"/>
      <c r="BV10" s="11"/>
    </row>
    <row r="11" customFormat="false" ht="12.75" hidden="false" customHeight="false" outlineLevel="0" collapsed="false">
      <c r="A11" s="109" t="s">
        <v>51</v>
      </c>
      <c r="B11" s="110" t="n">
        <f aca="false">B10-B9</f>
        <v>0.89</v>
      </c>
      <c r="C11" s="110"/>
      <c r="D11" s="110" t="n">
        <f aca="false">D10-D9</f>
        <v>0.240231788079471</v>
      </c>
      <c r="E11" s="110"/>
      <c r="F11" s="110" t="n">
        <f aca="false">F10-F9</f>
        <v>-0.0274999999999999</v>
      </c>
      <c r="G11" s="110"/>
      <c r="H11" s="110" t="n">
        <f aca="false">H10-H9</f>
        <v>-0.0599999999999996</v>
      </c>
      <c r="I11" s="111"/>
      <c r="AF11" s="64"/>
      <c r="AG11" s="64"/>
      <c r="AK11" s="10"/>
      <c r="AL11" s="10"/>
      <c r="AM11" s="11"/>
      <c r="AN11" s="10"/>
      <c r="AO11" s="11"/>
      <c r="AY11" s="10"/>
      <c r="AZ11" s="11"/>
      <c r="BJ11" s="10"/>
      <c r="BK11" s="11"/>
      <c r="BU11" s="10"/>
      <c r="BV11" s="11"/>
    </row>
    <row r="12" customFormat="false" ht="12.75" hidden="false" customHeight="false" outlineLevel="0" collapsed="false">
      <c r="A12" s="109"/>
      <c r="B12" s="110"/>
      <c r="C12" s="111"/>
      <c r="D12" s="110"/>
      <c r="E12" s="111"/>
      <c r="F12" s="110"/>
      <c r="G12" s="111"/>
      <c r="H12" s="110"/>
      <c r="I12" s="111"/>
      <c r="K12" s="64"/>
      <c r="L12" s="64" t="s">
        <v>31</v>
      </c>
      <c r="M12" s="6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F12" s="64"/>
      <c r="AG12" s="64"/>
      <c r="AK12" s="10"/>
      <c r="AL12" s="10"/>
      <c r="AM12" s="11"/>
      <c r="AN12" s="10"/>
      <c r="AO12" s="11"/>
      <c r="AY12" s="10"/>
      <c r="AZ12" s="11"/>
      <c r="BJ12" s="10"/>
      <c r="BK12" s="11"/>
      <c r="BU12" s="10"/>
      <c r="BV12" s="11"/>
    </row>
    <row r="13" customFormat="false" ht="12.75" hidden="false" customHeight="false" outlineLevel="0" collapsed="false">
      <c r="A13" s="109" t="s">
        <v>148</v>
      </c>
      <c r="B13" s="145" t="n">
        <v>0</v>
      </c>
      <c r="C13" s="146"/>
      <c r="D13" s="145" t="n">
        <v>0.5</v>
      </c>
      <c r="E13" s="146"/>
      <c r="F13" s="145" t="n">
        <v>0.01</v>
      </c>
      <c r="G13" s="146"/>
      <c r="H13" s="145" t="n">
        <v>0.01</v>
      </c>
      <c r="I13" s="111"/>
      <c r="K13" s="64"/>
      <c r="L13" s="64" t="s">
        <v>91</v>
      </c>
      <c r="M13" s="64"/>
      <c r="N13" s="144"/>
      <c r="O13" s="6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G13" s="64"/>
      <c r="AK13" s="10"/>
      <c r="AL13" s="10"/>
      <c r="AM13" s="11"/>
      <c r="AN13" s="10"/>
      <c r="AO13" s="11"/>
      <c r="AY13" s="10"/>
      <c r="AZ13" s="11"/>
      <c r="BJ13" s="10"/>
      <c r="BK13" s="11"/>
      <c r="BU13" s="10"/>
      <c r="BV13" s="11"/>
    </row>
    <row r="14" customFormat="false" ht="12.75" hidden="false" customHeight="false" outlineLevel="0" collapsed="false">
      <c r="A14" s="109" t="s">
        <v>149</v>
      </c>
      <c r="B14" s="145" t="n">
        <v>0</v>
      </c>
      <c r="C14" s="146"/>
      <c r="D14" s="145" t="n">
        <v>0</v>
      </c>
      <c r="E14" s="146"/>
      <c r="F14" s="145" t="n">
        <v>0</v>
      </c>
      <c r="G14" s="146"/>
      <c r="H14" s="145" t="n">
        <v>0</v>
      </c>
      <c r="I14" s="114"/>
      <c r="J14" s="10"/>
      <c r="K14" s="64"/>
      <c r="L14" s="64" t="s">
        <v>31</v>
      </c>
      <c r="M14" s="64"/>
      <c r="N14" s="10"/>
      <c r="O14" s="64"/>
      <c r="AG14" s="64"/>
      <c r="AJ14" s="14"/>
      <c r="AK14" s="10"/>
      <c r="AL14" s="10"/>
      <c r="AM14" s="11"/>
      <c r="AN14" s="10"/>
      <c r="AO14" s="11"/>
      <c r="AY14" s="10"/>
      <c r="AZ14" s="11"/>
      <c r="BJ14" s="10"/>
      <c r="BK14" s="11"/>
      <c r="BU14" s="10"/>
      <c r="BV14" s="11"/>
    </row>
    <row r="15" customFormat="false" ht="12.75" hidden="false" customHeight="false" outlineLevel="0" collapsed="false">
      <c r="A15" s="62" t="s">
        <v>11</v>
      </c>
      <c r="B15" s="147" t="n">
        <v>0</v>
      </c>
      <c r="C15" s="147"/>
      <c r="D15" s="147" t="n">
        <v>0.01</v>
      </c>
      <c r="E15" s="147"/>
      <c r="F15" s="147" t="n">
        <v>0.01</v>
      </c>
      <c r="G15" s="147"/>
      <c r="H15" s="147" t="n">
        <v>0.01</v>
      </c>
      <c r="I15" s="119"/>
      <c r="J15" s="10"/>
      <c r="K15" s="10"/>
      <c r="L15" s="64" t="s">
        <v>38</v>
      </c>
      <c r="M15" s="64"/>
      <c r="N15" s="10"/>
      <c r="O15" s="64"/>
      <c r="AG15" s="64"/>
      <c r="AJ15" s="14"/>
      <c r="AK15" s="10"/>
      <c r="AL15" s="10"/>
      <c r="AM15" s="11"/>
      <c r="AN15" s="10"/>
      <c r="AO15" s="11"/>
      <c r="AY15" s="10"/>
      <c r="AZ15" s="11"/>
      <c r="BJ15" s="10"/>
      <c r="BK15" s="11"/>
      <c r="BU15" s="10"/>
      <c r="BV15" s="11"/>
    </row>
    <row r="16" customFormat="false" ht="12.75" hidden="false" customHeight="false" outlineLevel="0" collapsed="false">
      <c r="A16" s="61" t="s">
        <v>150</v>
      </c>
      <c r="B16" s="77" t="n">
        <v>1</v>
      </c>
      <c r="C16" s="148"/>
      <c r="D16" s="149" t="n">
        <v>1</v>
      </c>
      <c r="E16" s="149"/>
      <c r="F16" s="149" t="n">
        <v>1</v>
      </c>
      <c r="G16" s="149"/>
      <c r="H16" s="149" t="n">
        <v>1</v>
      </c>
      <c r="I16" s="111"/>
      <c r="L16" s="64" t="s">
        <v>42</v>
      </c>
      <c r="AF16" s="64"/>
      <c r="AG16" s="64"/>
      <c r="AK16" s="10"/>
      <c r="AL16" s="10"/>
      <c r="AM16" s="11"/>
      <c r="AN16" s="10"/>
      <c r="AO16" s="11"/>
      <c r="AY16" s="10"/>
      <c r="AZ16" s="11"/>
      <c r="BJ16" s="10"/>
      <c r="BK16" s="11"/>
      <c r="BU16" s="10"/>
      <c r="BV16" s="11"/>
    </row>
    <row r="17" customFormat="false" ht="12.75" hidden="false" customHeight="false" outlineLevel="0" collapsed="false">
      <c r="A17" s="109"/>
      <c r="B17" s="145"/>
      <c r="C17" s="146"/>
      <c r="D17" s="145"/>
      <c r="E17" s="146"/>
      <c r="F17" s="145"/>
      <c r="G17" s="146"/>
      <c r="H17" s="145"/>
      <c r="I17" s="114"/>
      <c r="L17" s="64" t="s">
        <v>47</v>
      </c>
      <c r="M17" s="64"/>
      <c r="N17" s="144"/>
      <c r="O17" s="6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G17" s="64"/>
      <c r="AK17" s="10"/>
      <c r="AL17" s="10"/>
      <c r="AM17" s="11"/>
      <c r="AN17" s="10"/>
      <c r="AO17" s="11"/>
      <c r="AY17" s="10"/>
      <c r="AZ17" s="11"/>
      <c r="BJ17" s="10"/>
      <c r="BK17" s="11"/>
      <c r="BU17" s="10"/>
      <c r="BV17" s="11"/>
    </row>
    <row r="18" customFormat="false" ht="12.75" hidden="false" customHeight="false" outlineLevel="0" collapsed="false">
      <c r="A18" s="62" t="s">
        <v>9</v>
      </c>
      <c r="B18" s="178" t="n">
        <v>5.05</v>
      </c>
      <c r="C18" s="149"/>
      <c r="D18" s="178" t="n">
        <v>5.1</v>
      </c>
      <c r="E18" s="178" t="n">
        <f aca="false">E10-0.01</f>
        <v>-0.01</v>
      </c>
      <c r="F18" s="178" t="n">
        <f aca="false">F10-0.01</f>
        <v>5.3983</v>
      </c>
      <c r="G18" s="178" t="n">
        <f aca="false">G10-0.01</f>
        <v>-0.01</v>
      </c>
      <c r="H18" s="178" t="n">
        <f aca="false">H10-0.01</f>
        <v>5.4668</v>
      </c>
      <c r="I18" s="114"/>
      <c r="J18" s="10"/>
      <c r="K18" s="64"/>
      <c r="L18" s="64" t="s">
        <v>37</v>
      </c>
      <c r="M18" s="64"/>
      <c r="N18" s="10"/>
      <c r="O18" s="64"/>
      <c r="AG18" s="64"/>
      <c r="AK18" s="10"/>
      <c r="AL18" s="10"/>
      <c r="AM18" s="11"/>
      <c r="AN18" s="10"/>
      <c r="AO18" s="11"/>
      <c r="AY18" s="10"/>
      <c r="AZ18" s="11"/>
      <c r="BJ18" s="10"/>
      <c r="BK18" s="11"/>
      <c r="BU18" s="10"/>
      <c r="BV18" s="11"/>
    </row>
    <row r="19" customFormat="false" ht="12.75" hidden="false" customHeight="false" outlineLevel="0" collapsed="false">
      <c r="A19" s="62" t="s">
        <v>10</v>
      </c>
      <c r="B19" s="151" t="n">
        <v>3</v>
      </c>
      <c r="C19" s="149"/>
      <c r="D19" s="151" t="n">
        <v>3</v>
      </c>
      <c r="E19" s="149"/>
      <c r="F19" s="151" t="n">
        <v>1</v>
      </c>
      <c r="G19" s="149"/>
      <c r="H19" s="151" t="n">
        <v>1</v>
      </c>
      <c r="L19" s="64" t="s">
        <v>52</v>
      </c>
    </row>
    <row r="20" customFormat="false" ht="12.75" hidden="false" customHeight="false" outlineLevel="0" collapsed="false">
      <c r="A20" s="1" t="s">
        <v>171</v>
      </c>
      <c r="L20" s="64" t="s">
        <v>75</v>
      </c>
    </row>
    <row r="21" customFormat="false" ht="12.75" hidden="false" customHeight="false" outlineLevel="0" collapsed="false">
      <c r="A21" s="62" t="s">
        <v>1</v>
      </c>
      <c r="B21" s="120" t="e">
        <f aca="false">AU24</f>
        <v>#VALUE!</v>
      </c>
      <c r="C21" s="114"/>
      <c r="D21" s="120" t="e">
        <f aca="false">BF24</f>
        <v>#VALUE!</v>
      </c>
      <c r="E21" s="114"/>
      <c r="F21" s="120" t="e">
        <f aca="false">BQ24</f>
        <v>#VALUE!</v>
      </c>
      <c r="G21" s="114"/>
      <c r="H21" s="120" t="e">
        <f aca="false">CB24</f>
        <v>#VALUE!</v>
      </c>
      <c r="L21" s="64" t="s">
        <v>58</v>
      </c>
    </row>
    <row r="22" customFormat="false" ht="12.75" hidden="false" customHeight="false" outlineLevel="0" collapsed="false">
      <c r="A22" s="62" t="s">
        <v>2</v>
      </c>
      <c r="B22" s="120" t="e">
        <f aca="false">AV24</f>
        <v>#VALUE!</v>
      </c>
      <c r="C22" s="114"/>
      <c r="D22" s="120" t="e">
        <f aca="false">BG24</f>
        <v>#VALUE!</v>
      </c>
      <c r="E22" s="114"/>
      <c r="F22" s="120" t="e">
        <f aca="false">BR24</f>
        <v>#VALUE!</v>
      </c>
      <c r="G22" s="114"/>
      <c r="H22" s="120" t="e">
        <f aca="false">CC24</f>
        <v>#VALUE!</v>
      </c>
      <c r="L22" s="64" t="s">
        <v>35</v>
      </c>
    </row>
    <row r="23" customFormat="false" ht="12.75" hidden="false" customHeight="false" outlineLevel="0" collapsed="false">
      <c r="A23" s="62" t="str">
        <f aca="false">G1</f>
        <v>VEGA</v>
      </c>
      <c r="B23" s="120" t="e">
        <f aca="false">AW24</f>
        <v>#VALUE!</v>
      </c>
      <c r="C23" s="114"/>
      <c r="D23" s="120" t="e">
        <f aca="false">BH24</f>
        <v>#VALUE!</v>
      </c>
      <c r="E23" s="114"/>
      <c r="F23" s="120" t="e">
        <f aca="false">BS24</f>
        <v>#VALUE!</v>
      </c>
      <c r="G23" s="114"/>
      <c r="H23" s="120" t="e">
        <f aca="false">CD24</f>
        <v>#VALUE!</v>
      </c>
      <c r="L23" s="64" t="s">
        <v>32</v>
      </c>
    </row>
    <row r="24" customFormat="false" ht="12.75" hidden="false" customHeight="false" outlineLevel="0" collapsed="false">
      <c r="A24" s="10"/>
      <c r="B24" s="121"/>
      <c r="C24" s="10"/>
      <c r="D24" s="121"/>
      <c r="E24" s="10"/>
      <c r="F24" s="121"/>
      <c r="G24" s="10"/>
      <c r="H24" s="10"/>
      <c r="I24" s="10"/>
      <c r="J24" s="10"/>
      <c r="K24" s="64"/>
      <c r="L24" s="64" t="s">
        <v>36</v>
      </c>
      <c r="M24" s="10"/>
      <c r="N24" s="10"/>
      <c r="O24" s="64"/>
      <c r="AG24" s="64"/>
      <c r="AK24" s="10"/>
      <c r="AL24" s="10"/>
      <c r="AM24" s="11"/>
      <c r="AN24" s="10"/>
      <c r="AP24" s="1" t="n">
        <f aca="false">AP26/AN28</f>
        <v>5.4258</v>
      </c>
      <c r="AQ24" s="1" t="n">
        <f aca="false">AQ26/AN28</f>
        <v>6.3158</v>
      </c>
      <c r="AU24" s="123" t="e">
        <f aca="false">AU26/AN28</f>
        <v>#VALUE!</v>
      </c>
      <c r="AV24" s="123" t="e">
        <f aca="false">AV26/AN28</f>
        <v>#VALUE!</v>
      </c>
      <c r="AW24" s="123" t="e">
        <f aca="false">AW26/AN28</f>
        <v>#VALUE!</v>
      </c>
      <c r="AY24" s="10"/>
      <c r="BA24" s="1" t="n">
        <f aca="false">BA26/AY28</f>
        <v>5.80147549668874</v>
      </c>
      <c r="BB24" s="1" t="n">
        <f aca="false">BB26/AY28</f>
        <v>6.04170728476821</v>
      </c>
      <c r="BF24" s="123" t="e">
        <f aca="false">BF26/AY28</f>
        <v>#VALUE!</v>
      </c>
      <c r="BG24" s="123" t="e">
        <f aca="false">BG26/AY28</f>
        <v>#VALUE!</v>
      </c>
      <c r="BH24" s="123" t="e">
        <f aca="false">BH26/AY28</f>
        <v>#VALUE!</v>
      </c>
      <c r="BJ24" s="10"/>
      <c r="BL24" s="1" t="n">
        <f aca="false">BL26/BJ28</f>
        <v>5.4358</v>
      </c>
      <c r="BM24" s="1" t="n">
        <f aca="false">BM26/BJ28</f>
        <v>5.4083</v>
      </c>
      <c r="BQ24" s="123" t="e">
        <f aca="false">BQ26/BJ28</f>
        <v>#VALUE!</v>
      </c>
      <c r="BR24" s="123" t="e">
        <f aca="false">BR26/BJ28</f>
        <v>#VALUE!</v>
      </c>
      <c r="BS24" s="123" t="e">
        <f aca="false">BS26/BJ28</f>
        <v>#VALUE!</v>
      </c>
      <c r="BU24" s="10"/>
      <c r="BW24" s="1" t="n">
        <f aca="false">BW26/BU28</f>
        <v>5.5368</v>
      </c>
      <c r="BX24" s="1" t="n">
        <f aca="false">BX26/BU28</f>
        <v>5.4768</v>
      </c>
      <c r="CB24" s="123" t="e">
        <f aca="false">CB26/BU28</f>
        <v>#VALUE!</v>
      </c>
      <c r="CC24" s="123" t="e">
        <f aca="false">CC26/BU28</f>
        <v>#VALUE!</v>
      </c>
      <c r="CD24" s="123" t="e">
        <f aca="false">CD26/BU28</f>
        <v>#VALUE!</v>
      </c>
    </row>
    <row r="25" customFormat="false" ht="12.75" hidden="false" customHeight="false" outlineLevel="0" collapsed="false">
      <c r="A25" s="10"/>
      <c r="B25" s="121" t="e">
        <f aca="false">B21-D21</f>
        <v>#VALUE!</v>
      </c>
      <c r="C25" s="10"/>
      <c r="D25" s="10"/>
      <c r="E25" s="10"/>
      <c r="F25" s="121" t="e">
        <f aca="false">F21-H21</f>
        <v>#VALUE!</v>
      </c>
      <c r="G25" s="10"/>
      <c r="H25" s="10"/>
      <c r="I25" s="10"/>
      <c r="J25" s="10"/>
      <c r="K25" s="64"/>
      <c r="L25" s="10"/>
      <c r="M25" s="10"/>
      <c r="N25" s="10"/>
      <c r="O25" s="64"/>
      <c r="AG25" s="64"/>
      <c r="AH25" s="124"/>
      <c r="AK25" s="10"/>
      <c r="AL25" s="10"/>
      <c r="AM25" s="11"/>
      <c r="AN25" s="10"/>
      <c r="AO25" s="125" t="n">
        <f aca="false">B6</f>
        <v>36831</v>
      </c>
      <c r="AW25" s="0"/>
      <c r="AY25" s="10"/>
      <c r="AZ25" s="125" t="n">
        <f aca="false">D6</f>
        <v>36831</v>
      </c>
      <c r="BH25" s="0"/>
      <c r="BJ25" s="10"/>
      <c r="BK25" s="125" t="n">
        <f aca="false">F6</f>
        <v>36831</v>
      </c>
      <c r="BS25" s="0"/>
      <c r="BU25" s="10"/>
      <c r="BV25" s="125" t="n">
        <f aca="false">H6</f>
        <v>36861</v>
      </c>
      <c r="CD25" s="0"/>
    </row>
    <row r="26" customFormat="false" ht="12.75" hidden="false" customHeight="false" outlineLevel="0" collapsed="false">
      <c r="A26" s="10"/>
      <c r="B26" s="152"/>
      <c r="C26" s="10"/>
      <c r="D26" s="152"/>
      <c r="E26" s="10"/>
      <c r="F26" s="10"/>
      <c r="G26" s="10"/>
      <c r="H26" s="10"/>
      <c r="I26" s="10"/>
      <c r="J26" s="127"/>
      <c r="K26" s="127"/>
      <c r="L26" s="127"/>
      <c r="M26" s="127"/>
      <c r="N26" s="127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9"/>
      <c r="AF26" s="36"/>
      <c r="AG26" s="36"/>
      <c r="AH26" s="36"/>
      <c r="AI26" s="130"/>
      <c r="AJ26" s="30"/>
      <c r="AK26" s="10"/>
      <c r="AL26" s="10"/>
      <c r="AM26" s="11"/>
      <c r="AN26" s="10" t="s">
        <v>27</v>
      </c>
      <c r="AO26" s="125" t="n">
        <f aca="false">B7</f>
        <v>36831</v>
      </c>
      <c r="AP26" s="33" t="n">
        <f aca="false">SUM(AP31:AP108)</f>
        <v>162.774</v>
      </c>
      <c r="AQ26" s="33" t="n">
        <f aca="false">SUM(AQ31:AQ108)</f>
        <v>189.474</v>
      </c>
      <c r="AR26" s="33"/>
      <c r="AS26" s="33"/>
      <c r="AT26" s="33"/>
      <c r="AU26" s="33" t="e">
        <f aca="false">SUM(AU31:AU108)</f>
        <v>#VALUE!</v>
      </c>
      <c r="AV26" s="33" t="e">
        <f aca="false">SUM(AV31:AV108)</f>
        <v>#VALUE!</v>
      </c>
      <c r="AW26" s="33" t="e">
        <f aca="false">SUM(AW31:AW108)</f>
        <v>#VALUE!</v>
      </c>
      <c r="AY26" s="10" t="s">
        <v>28</v>
      </c>
      <c r="AZ26" s="125" t="n">
        <f aca="false">D7</f>
        <v>36951</v>
      </c>
      <c r="BA26" s="33" t="n">
        <f aca="false">SUM(BA31:BA108)</f>
        <v>876.0228</v>
      </c>
      <c r="BB26" s="33" t="n">
        <f aca="false">SUM(BB31:BB108)</f>
        <v>912.2978</v>
      </c>
      <c r="BC26" s="33"/>
      <c r="BD26" s="33"/>
      <c r="BE26" s="33"/>
      <c r="BF26" s="33" t="e">
        <f aca="false">SUM(BF31:BF108)</f>
        <v>#VALUE!</v>
      </c>
      <c r="BG26" s="33" t="e">
        <f aca="false">SUM(BG31:BG108)</f>
        <v>#VALUE!</v>
      </c>
      <c r="BH26" s="33" t="e">
        <f aca="false">SUM(BH31:BH108)</f>
        <v>#VALUE!</v>
      </c>
      <c r="BJ26" s="10" t="s">
        <v>29</v>
      </c>
      <c r="BK26" s="125" t="n">
        <f aca="false">F7</f>
        <v>36831</v>
      </c>
      <c r="BL26" s="33" t="n">
        <f aca="false">SUM(BL31:BL108)</f>
        <v>163.074</v>
      </c>
      <c r="BM26" s="33" t="n">
        <f aca="false">SUM(BM31:BM108)</f>
        <v>162.249</v>
      </c>
      <c r="BN26" s="33"/>
      <c r="BO26" s="33"/>
      <c r="BP26" s="33"/>
      <c r="BQ26" s="33" t="e">
        <f aca="false">SUM(BQ31:BQ108)</f>
        <v>#VALUE!</v>
      </c>
      <c r="BR26" s="33" t="e">
        <f aca="false">SUM(BR31:BR108)</f>
        <v>#VALUE!</v>
      </c>
      <c r="BS26" s="33" t="e">
        <f aca="false">SUM(BS31:BS108)</f>
        <v>#VALUE!</v>
      </c>
      <c r="BU26" s="10" t="s">
        <v>30</v>
      </c>
      <c r="BV26" s="125" t="n">
        <f aca="false">H7</f>
        <v>36861</v>
      </c>
      <c r="BW26" s="33" t="n">
        <f aca="false">SUM(BW31:BW108)</f>
        <v>171.6408</v>
      </c>
      <c r="BX26" s="33" t="n">
        <f aca="false">SUM(BX31:BX108)</f>
        <v>169.7808</v>
      </c>
      <c r="BY26" s="33"/>
      <c r="BZ26" s="33"/>
      <c r="CA26" s="33"/>
      <c r="CB26" s="33" t="e">
        <f aca="false">SUM(CB31:CB108)</f>
        <v>#VALUE!</v>
      </c>
      <c r="CC26" s="33" t="e">
        <f aca="false">SUM(CC31:CC108)</f>
        <v>#VALUE!</v>
      </c>
      <c r="CD26" s="33" t="e">
        <f aca="false">SUM(CD31:CD108)</f>
        <v>#VALUE!</v>
      </c>
    </row>
    <row r="27" customFormat="false" ht="12.75" hidden="false" customHeight="false" outlineLevel="0" collapsed="false">
      <c r="A27" s="10"/>
      <c r="B27" s="144"/>
      <c r="C27" s="10"/>
      <c r="D27" s="2" t="s">
        <v>7</v>
      </c>
      <c r="E27" s="10"/>
      <c r="F27" s="144"/>
      <c r="G27" s="10"/>
      <c r="H27" s="144"/>
      <c r="I27" s="10"/>
      <c r="J27" s="131"/>
      <c r="K27" s="2" t="s">
        <v>8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F27" s="131"/>
      <c r="AG27" s="131"/>
      <c r="AH27" s="131"/>
      <c r="AK27" s="10"/>
      <c r="AL27" s="10"/>
      <c r="AM27" s="11"/>
      <c r="AN27" s="10"/>
      <c r="AR27" s="1" t="s">
        <v>10</v>
      </c>
      <c r="AS27" s="1" t="n">
        <f aca="false">IF(B19=4,3,B19)</f>
        <v>3</v>
      </c>
      <c r="AW27" s="0"/>
      <c r="AY27" s="10"/>
      <c r="BC27" s="1" t="s">
        <v>10</v>
      </c>
      <c r="BD27" s="1" t="n">
        <f aca="false">IF(D19=4,3,D19)</f>
        <v>3</v>
      </c>
      <c r="BH27" s="0"/>
      <c r="BJ27" s="10"/>
      <c r="BN27" s="1" t="s">
        <v>10</v>
      </c>
      <c r="BO27" s="1" t="n">
        <f aca="false">IF(F19=4,3,F19)</f>
        <v>1</v>
      </c>
      <c r="BS27" s="0"/>
      <c r="BU27" s="10"/>
      <c r="BY27" s="1" t="s">
        <v>10</v>
      </c>
      <c r="BZ27" s="1" t="n">
        <f aca="false">IF(H19=4,3,H19)</f>
        <v>1</v>
      </c>
      <c r="CD27" s="0"/>
    </row>
    <row r="28" customFormat="false" ht="12.75" hidden="false" customHeight="false" outlineLevel="0" collapsed="false">
      <c r="A28" s="10"/>
      <c r="B28" s="132"/>
      <c r="C28" s="132"/>
      <c r="D28" s="64" t="str">
        <f aca="false">B4</f>
        <v>IF-TRANSCO/Z6</v>
      </c>
      <c r="K28" s="64" t="str">
        <f aca="false">D4</f>
        <v>NGI-SOCAL</v>
      </c>
      <c r="Q28" s="32"/>
      <c r="R28" s="64" t="str">
        <f aca="false">F4</f>
        <v>IF-HPL/SHPCHAN</v>
      </c>
      <c r="Y28" s="64" t="str">
        <f aca="false">H4</f>
        <v>IF-HPL/SHPCHAN</v>
      </c>
      <c r="AF28" s="127"/>
      <c r="AG28" s="127"/>
      <c r="AH28" s="127"/>
      <c r="AM28" s="11"/>
      <c r="AN28" s="35" t="n">
        <f aca="false">SUM(AN31:AN108)</f>
        <v>30</v>
      </c>
      <c r="AR28" s="1" t="s">
        <v>151</v>
      </c>
      <c r="AS28" s="1" t="n">
        <f aca="false">IF($G$1="GAMMA",3,IF($G$1="THETA",4,5))</f>
        <v>5</v>
      </c>
      <c r="AW28" s="0"/>
      <c r="AY28" s="35" t="n">
        <f aca="false">SUM(AY31:AY108)</f>
        <v>151</v>
      </c>
      <c r="BC28" s="1" t="s">
        <v>151</v>
      </c>
      <c r="BD28" s="1" t="n">
        <f aca="false">IF($G$1="GAMMA",3,IF($G$1="THETA",4,5))</f>
        <v>5</v>
      </c>
      <c r="BH28" s="0"/>
      <c r="BJ28" s="35" t="n">
        <f aca="false">SUM(BJ31:BJ108)</f>
        <v>30</v>
      </c>
      <c r="BN28" s="1" t="s">
        <v>151</v>
      </c>
      <c r="BO28" s="1" t="n">
        <f aca="false">IF($G$1="GAMMA",3,IF($G$1="THETA",4,5))</f>
        <v>5</v>
      </c>
      <c r="BS28" s="0"/>
      <c r="BU28" s="35" t="n">
        <f aca="false">SUM(BU31:BU108)</f>
        <v>31</v>
      </c>
      <c r="BY28" s="1" t="s">
        <v>151</v>
      </c>
      <c r="BZ28" s="1" t="n">
        <f aca="false">IF($G$1="GAMMA",3,IF($G$1="THETA",4,5))</f>
        <v>5</v>
      </c>
      <c r="CD28" s="0"/>
    </row>
    <row r="29" customFormat="false" ht="13.5" hidden="false" customHeight="false" outlineLevel="0" collapsed="false">
      <c r="B29" s="134"/>
      <c r="C29" s="13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29"/>
      <c r="AF29" s="1" t="s">
        <v>152</v>
      </c>
      <c r="AI29" s="10"/>
      <c r="AJ29" s="10"/>
      <c r="AL29" s="10"/>
      <c r="AO29" s="1" t="s">
        <v>153</v>
      </c>
      <c r="AP29" s="23" t="s">
        <v>6</v>
      </c>
      <c r="AQ29" s="23" t="s">
        <v>154</v>
      </c>
      <c r="AR29" s="23" t="s">
        <v>1</v>
      </c>
      <c r="AS29" s="23" t="s">
        <v>2</v>
      </c>
      <c r="AT29" s="23" t="str">
        <f aca="false">$G1</f>
        <v>VEGA</v>
      </c>
      <c r="AU29" s="4" t="s">
        <v>1</v>
      </c>
      <c r="AV29" s="4" t="s">
        <v>2</v>
      </c>
      <c r="AW29" s="4" t="str">
        <f aca="false">AT29</f>
        <v>VEGA</v>
      </c>
      <c r="AZ29" s="1" t="s">
        <v>153</v>
      </c>
      <c r="BA29" s="23" t="s">
        <v>6</v>
      </c>
      <c r="BB29" s="23" t="s">
        <v>154</v>
      </c>
      <c r="BC29" s="23" t="s">
        <v>1</v>
      </c>
      <c r="BD29" s="23" t="s">
        <v>2</v>
      </c>
      <c r="BE29" s="23" t="str">
        <f aca="false">$G1</f>
        <v>VEGA</v>
      </c>
      <c r="BF29" s="4" t="s">
        <v>1</v>
      </c>
      <c r="BG29" s="4" t="s">
        <v>2</v>
      </c>
      <c r="BH29" s="4" t="str">
        <f aca="false">BE29</f>
        <v>VEGA</v>
      </c>
      <c r="BK29" s="1" t="s">
        <v>153</v>
      </c>
      <c r="BL29" s="23" t="s">
        <v>6</v>
      </c>
      <c r="BM29" s="23" t="s">
        <v>154</v>
      </c>
      <c r="BN29" s="23" t="s">
        <v>1</v>
      </c>
      <c r="BO29" s="23" t="s">
        <v>2</v>
      </c>
      <c r="BP29" s="23" t="str">
        <f aca="false">$G1</f>
        <v>VEGA</v>
      </c>
      <c r="BQ29" s="4" t="s">
        <v>1</v>
      </c>
      <c r="BR29" s="4" t="s">
        <v>2</v>
      </c>
      <c r="BS29" s="4" t="str">
        <f aca="false">BP29</f>
        <v>VEGA</v>
      </c>
      <c r="BV29" s="1" t="s">
        <v>153</v>
      </c>
      <c r="BW29" s="23" t="s">
        <v>6</v>
      </c>
      <c r="BX29" s="23" t="s">
        <v>154</v>
      </c>
      <c r="BY29" s="23" t="s">
        <v>1</v>
      </c>
      <c r="BZ29" s="23" t="s">
        <v>2</v>
      </c>
      <c r="CA29" s="23" t="str">
        <f aca="false">$G1</f>
        <v>VEGA</v>
      </c>
      <c r="CB29" s="4" t="s">
        <v>1</v>
      </c>
      <c r="CC29" s="4" t="s">
        <v>2</v>
      </c>
      <c r="CD29" s="4" t="str">
        <f aca="false">CA29</f>
        <v>VEGA</v>
      </c>
    </row>
    <row r="30" customFormat="false" ht="14.25" hidden="false" customHeight="false" outlineLevel="0" collapsed="false">
      <c r="A30" s="37" t="s">
        <v>0</v>
      </c>
      <c r="B30" s="37" t="s">
        <v>49</v>
      </c>
      <c r="C30" s="37" t="s">
        <v>155</v>
      </c>
      <c r="D30" s="37" t="s">
        <v>51</v>
      </c>
      <c r="E30" s="37" t="s">
        <v>11</v>
      </c>
      <c r="F30" s="37" t="s">
        <v>22</v>
      </c>
      <c r="G30" s="37" t="s">
        <v>162</v>
      </c>
      <c r="H30" s="37" t="s">
        <v>158</v>
      </c>
      <c r="I30" s="37" t="s">
        <v>17</v>
      </c>
      <c r="K30" s="37" t="s">
        <v>51</v>
      </c>
      <c r="L30" s="37" t="s">
        <v>11</v>
      </c>
      <c r="M30" s="37" t="s">
        <v>22</v>
      </c>
      <c r="N30" s="37" t="s">
        <v>163</v>
      </c>
      <c r="O30" s="37" t="s">
        <v>159</v>
      </c>
      <c r="P30" s="37" t="s">
        <v>18</v>
      </c>
      <c r="R30" s="37" t="s">
        <v>51</v>
      </c>
      <c r="S30" s="37" t="s">
        <v>11</v>
      </c>
      <c r="T30" s="37" t="s">
        <v>22</v>
      </c>
      <c r="U30" s="37" t="s">
        <v>164</v>
      </c>
      <c r="V30" s="37" t="s">
        <v>160</v>
      </c>
      <c r="W30" s="37" t="s">
        <v>156</v>
      </c>
      <c r="X30" s="38"/>
      <c r="Y30" s="37" t="s">
        <v>51</v>
      </c>
      <c r="Z30" s="37" t="s">
        <v>11</v>
      </c>
      <c r="AA30" s="37" t="s">
        <v>22</v>
      </c>
      <c r="AB30" s="37" t="s">
        <v>165</v>
      </c>
      <c r="AC30" s="37" t="s">
        <v>161</v>
      </c>
      <c r="AD30" s="37" t="s">
        <v>157</v>
      </c>
      <c r="AF30" s="1" t="s">
        <v>172</v>
      </c>
      <c r="AG30" s="37" t="s">
        <v>173</v>
      </c>
      <c r="AH30" s="37" t="s">
        <v>21</v>
      </c>
      <c r="AI30" s="10"/>
      <c r="AL30" s="38"/>
      <c r="AN30" s="1" t="s">
        <v>166</v>
      </c>
      <c r="AQ30" s="11"/>
      <c r="AR30" s="10"/>
      <c r="AS30" s="10"/>
      <c r="AT30" s="10"/>
      <c r="AW30" s="0" t="s">
        <v>167</v>
      </c>
      <c r="AY30" s="1" t="s">
        <v>166</v>
      </c>
      <c r="BB30" s="11"/>
      <c r="BC30" s="10"/>
      <c r="BD30" s="10"/>
      <c r="BE30" s="10"/>
      <c r="BH30" s="0" t="s">
        <v>167</v>
      </c>
      <c r="BJ30" s="1" t="s">
        <v>166</v>
      </c>
      <c r="BM30" s="11"/>
      <c r="BN30" s="10"/>
      <c r="BO30" s="10"/>
      <c r="BP30" s="10"/>
      <c r="BS30" s="0" t="s">
        <v>167</v>
      </c>
      <c r="BU30" s="1" t="s">
        <v>166</v>
      </c>
      <c r="BX30" s="11"/>
      <c r="BY30" s="10"/>
      <c r="BZ30" s="10"/>
      <c r="CA30" s="10"/>
      <c r="CD30" s="0" t="s">
        <v>167</v>
      </c>
    </row>
    <row r="31" customFormat="false" ht="13.5" hidden="false" customHeight="false" outlineLevel="0" collapsed="false">
      <c r="A31" s="48" t="n">
        <v>36800</v>
      </c>
      <c r="B31" s="40" t="n">
        <f aca="false">VLOOKUP(A31,STRADDLE,5,FALSE())</f>
        <v>5.24</v>
      </c>
      <c r="C31" s="4" t="n">
        <f aca="false">VLOOKUP(A31,STRADDLE,8,FALSE())</f>
        <v>0.48</v>
      </c>
      <c r="D31" s="40" t="n">
        <f aca="false">IF(D$28="nymex",0,VLOOKUP($A31,curvesettle,HLOOKUP(D$28,curvesettle,2,FALSE())))</f>
        <v>0.48</v>
      </c>
      <c r="E31" s="131" t="n">
        <f aca="false">IF(ISNUMBER(VLOOKUP($A31,VOLCURVES,HLOOKUP(D$28,VOLCURVES,2,FALSE()),FALSE())),VLOOKUP($A31,VOLCURVES,HLOOKUP(D$28,VOLCURVES,2,FALSE()),FALSE()),1)</f>
        <v>0.98</v>
      </c>
      <c r="F31" s="136" t="n">
        <f aca="false">IF(D$28="NYMEX",$AG31,$AF31)</f>
        <v>-9130</v>
      </c>
      <c r="G31" s="4" t="e">
        <f aca="false">(($C31+H31)*$E31)+B$15</f>
        <v>#DIV/0!</v>
      </c>
      <c r="H31" s="4" t="e">
        <f aca="false">IF($B$16=1,VLOOKUP($A31,SkewTable,HLOOKUP(ROUND(I31-AO31,1),SkewTable,2,FALSE()),FALSE())/100,0)</f>
        <v>#DIV/0!</v>
      </c>
      <c r="I31" s="41" t="n">
        <f aca="false">IF($B$19=4,$AO31,$B$18)</f>
        <v>5.05</v>
      </c>
      <c r="K31" s="40" t="n">
        <f aca="false">IF(K$28="nymex",0,VLOOKUP($A31,curvesettle,HLOOKUP(K$28,curvesettle,2,FALSE())))</f>
        <v>0.6975</v>
      </c>
      <c r="L31" s="131" t="n">
        <f aca="false">IF(ISNUMBER(VLOOKUP($A31,VOLCURVES,HLOOKUP(K$28,VOLCURVES,2,FALSE()),FALSE())),VLOOKUP($A31,VOLCURVES,HLOOKUP(K$28,VOLCURVES,2,FALSE()),FALSE()),1)</f>
        <v>0.94</v>
      </c>
      <c r="M31" s="136" t="n">
        <f aca="false">IF(K$28="NYMEX",$AG31,$AF31)</f>
        <v>-9130</v>
      </c>
      <c r="N31" s="153" t="e">
        <f aca="false">(($C31+O31)*$L31)+D$15</f>
        <v>#DIV/0!</v>
      </c>
      <c r="O31" s="4" t="e">
        <f aca="false">IF($D$16=1,VLOOKUP($A31,SkewTable,HLOOKUP(ROUND(P31-AZ31,1),SkewTable,2,FALSE()),FALSE())/100,0)</f>
        <v>#DIV/0!</v>
      </c>
      <c r="P31" s="41" t="n">
        <f aca="false">IF($D$19=4,$AZ31,$D$18)</f>
        <v>5.1</v>
      </c>
      <c r="R31" s="40" t="n">
        <f aca="false">IF(R$28="nymex",0,VLOOKUP($A31,curvesettle,HLOOKUP(R$28,curvesettle,2,FALSE())))</f>
        <v>-0.0025</v>
      </c>
      <c r="S31" s="131" t="n">
        <f aca="false">IF(ISNUMBER(VLOOKUP($A31,VOLCURVES,HLOOKUP(R$28,VOLCURVES,2,FALSE()),FALSE())),VLOOKUP($A31,VOLCURVES,HLOOKUP(R$28,VOLCURVES,2,FALSE()),FALSE()),1)</f>
        <v>1</v>
      </c>
      <c r="T31" s="136" t="n">
        <f aca="false">IF(R$28="NYMEX",$AG31,$AF31)</f>
        <v>-9130</v>
      </c>
      <c r="U31" s="153" t="e">
        <f aca="false">(($C31+V31)*$S31)+F$15</f>
        <v>#DIV/0!</v>
      </c>
      <c r="V31" s="4" t="e">
        <f aca="false">IF($F$16=1,VLOOKUP($A31,SkewTable,HLOOKUP(ROUND(W31-BK31,1),SkewTable,2,FALSE()),FALSE())/100,0)</f>
        <v>#DIV/0!</v>
      </c>
      <c r="W31" s="41" t="n">
        <f aca="false">IF($F$19=4,$BK31,$F$18)</f>
        <v>5.3983</v>
      </c>
      <c r="X31" s="136"/>
      <c r="Y31" s="40" t="n">
        <f aca="false">IF(Y$28="nymex",0,VLOOKUP($A31,curvesettle,HLOOKUP(Y$28,curvesettle,2,FALSE())))</f>
        <v>-0.0025</v>
      </c>
      <c r="Z31" s="131" t="n">
        <f aca="false">IF(ISNUMBER(VLOOKUP($A31,VOLCURVES,HLOOKUP(Y$28,VOLCURVES,2,FALSE()),FALSE())),VLOOKUP($A31,VOLCURVES,HLOOKUP(Y$28,VOLCURVES,2,FALSE()),FALSE()),1)</f>
        <v>1</v>
      </c>
      <c r="AA31" s="136" t="n">
        <f aca="false">IF(Y$28="NYMEX",$AG31,$AF31)</f>
        <v>-9130</v>
      </c>
      <c r="AB31" s="4" t="e">
        <f aca="false">(($C31+AC31)*$Z31)+H$15</f>
        <v>#DIV/0!</v>
      </c>
      <c r="AC31" s="4" t="e">
        <f aca="false">IF($H$16=1,VLOOKUP($A31,SkewTable,HLOOKUP(ROUND(AD31-BV31,1),SkewTable,2,FALSE()),FALSE())/100,0)</f>
        <v>#DIV/0!</v>
      </c>
      <c r="AD31" s="41" t="n">
        <f aca="false">IF($H$19=4,$BV31,$H$18)</f>
        <v>5.4668</v>
      </c>
      <c r="AF31" s="136" t="n">
        <f aca="false">VLOOKUP($A31,expiration,2,FALSE())-$B$2</f>
        <v>-9130</v>
      </c>
      <c r="AG31" s="136" t="n">
        <f aca="false">VLOOKUP($A31,expiration,3,FALSE())-$B$2</f>
        <v>-9131</v>
      </c>
      <c r="AH31" s="4" t="n">
        <f aca="false">VLOOKUP($A31,STRADDLE,12,FALSE())</f>
        <v>0.067720515824946</v>
      </c>
      <c r="AI31" s="43" t="n">
        <f aca="false">A32-A31</f>
        <v>31</v>
      </c>
      <c r="AL31" s="136"/>
      <c r="AM31" s="9"/>
      <c r="AN31" s="9" t="n">
        <f aca="false">IF($A31&gt;=AO$25,IF($A31&lt;=AO$26,$AI31,0),0)</f>
        <v>0</v>
      </c>
      <c r="AO31" s="9" t="e">
        <f aca="false">AQ31/AN31</f>
        <v>#DIV/0!</v>
      </c>
      <c r="AP31" s="1" t="n">
        <f aca="false">AN31*($B31+B$13)</f>
        <v>0</v>
      </c>
      <c r="AQ31" s="33" t="n">
        <f aca="false">IF(ISNUMBER(((AP31/AN31)+B$14+$D31)*AN31),((AP31/AN31)+B$14+$D31)*AN31,0)</f>
        <v>0</v>
      </c>
      <c r="AR31" s="44" t="n">
        <f aca="false">IF(AN31=0,0,bsd(1,AS$27,AO31,$I31,$F31,$G31,$AH31,0.1))</f>
        <v>0</v>
      </c>
      <c r="AS31" s="44" t="n">
        <f aca="false">IF(AN31=0,0,bsd(2,AS$27,AO31,$I31,$F31,$G31,$AH31,0.1))</f>
        <v>0</v>
      </c>
      <c r="AT31" s="44" t="n">
        <f aca="false">IF(AN31=0,0,bsd(AS$28,AS$27,AO31,$I31,$F31,$G31,$AH31,0.1))</f>
        <v>0</v>
      </c>
      <c r="AU31" s="45" t="n">
        <f aca="false">AN31*AR31</f>
        <v>0</v>
      </c>
      <c r="AV31" s="45" t="n">
        <f aca="false">AN31*AS31</f>
        <v>0</v>
      </c>
      <c r="AW31" s="45" t="n">
        <f aca="false">AN31*AT31</f>
        <v>0</v>
      </c>
      <c r="AY31" s="9" t="n">
        <f aca="false">IF($A31&gt;=AZ$25,IF($A31&lt;=AZ$26,$AI31,0),0)</f>
        <v>0</v>
      </c>
      <c r="AZ31" s="9" t="e">
        <f aca="false">BB31/AY31</f>
        <v>#DIV/0!</v>
      </c>
      <c r="BA31" s="1" t="n">
        <f aca="false">AY31*($B31+D$13)</f>
        <v>0</v>
      </c>
      <c r="BB31" s="33" t="n">
        <f aca="false">IF(ISNUMBER(((BA31/AY31)+D$14+$K31)*AY31),((BA31/AY31)+D$14+$K31)*AY31,0)</f>
        <v>0</v>
      </c>
      <c r="BC31" s="44" t="n">
        <f aca="false">IF(AY31=0,0,bsd(1,BD$27,AZ31,$P31,$M31,$N31,$AH31,0.1))</f>
        <v>0</v>
      </c>
      <c r="BD31" s="44" t="n">
        <f aca="false">IF(AY31=0,0,bsd(2,BD$27,AZ31,$P31,$M31,$N31,$AH31,0.1))</f>
        <v>0</v>
      </c>
      <c r="BE31" s="44" t="n">
        <f aca="false">IF(AY31=0,0,bsd(BD$28,BD$27,AZ31,$P31,$M31,$N31,$AH31,0.1))</f>
        <v>0</v>
      </c>
      <c r="BF31" s="45" t="n">
        <f aca="false">AY31*BC31</f>
        <v>0</v>
      </c>
      <c r="BG31" s="45" t="n">
        <f aca="false">AY31*BD31</f>
        <v>0</v>
      </c>
      <c r="BH31" s="45" t="n">
        <f aca="false">AY31*BE31</f>
        <v>0</v>
      </c>
      <c r="BJ31" s="9" t="n">
        <f aca="false">IF($A31&gt;=BK$25,IF($A31&lt;=BK$26,$AI31,0),0)</f>
        <v>0</v>
      </c>
      <c r="BK31" s="9" t="e">
        <f aca="false">BM31/BJ31</f>
        <v>#DIV/0!</v>
      </c>
      <c r="BL31" s="1" t="n">
        <f aca="false">BJ31*($B31+F$13)</f>
        <v>0</v>
      </c>
      <c r="BM31" s="33" t="n">
        <f aca="false">IF(ISNUMBER(((BL31/BJ31)+F$14+$R31)*BJ31),((BL31/BJ31)+F$14+$R31)*BJ31,0)</f>
        <v>0</v>
      </c>
      <c r="BN31" s="44" t="n">
        <f aca="false">IF(BJ31=0,0,bsd(1,BO$27,BK31,$W31,$T31,$U31,$AH31,0.1))</f>
        <v>0</v>
      </c>
      <c r="BO31" s="44" t="n">
        <f aca="false">IF(BJ31=0,0,bsd(2,BO$27,BK31,$W31,$T31,$U31,$AH31,0.1))</f>
        <v>0</v>
      </c>
      <c r="BP31" s="44" t="n">
        <f aca="false">IF(BJ31=0,0,bsd(BO$28,BO$27,BK31,$W31,$T31,$U31,$AH31,0.1))</f>
        <v>0</v>
      </c>
      <c r="BQ31" s="45" t="n">
        <f aca="false">BJ31*BN31</f>
        <v>0</v>
      </c>
      <c r="BR31" s="45" t="n">
        <f aca="false">BJ31*BO31</f>
        <v>0</v>
      </c>
      <c r="BS31" s="45" t="n">
        <f aca="false">BJ31*BP31</f>
        <v>0</v>
      </c>
      <c r="BU31" s="9" t="n">
        <f aca="false">IF($A31&gt;=BV$25,IF($A31&lt;=BV$26,$AI31,0),0)</f>
        <v>0</v>
      </c>
      <c r="BV31" s="9" t="e">
        <f aca="false">BX31/BU31</f>
        <v>#DIV/0!</v>
      </c>
      <c r="BW31" s="1" t="n">
        <f aca="false">BU31*($B31+H$13)</f>
        <v>0</v>
      </c>
      <c r="BX31" s="33" t="n">
        <f aca="false">IF(ISNUMBER(((BW31/BU31)+H$14+$Y31)*BU31),((BW31/BU31)+H$14+$Y31)*BU31,0)</f>
        <v>0</v>
      </c>
      <c r="BY31" s="44" t="n">
        <f aca="false">IF(BU31=0,0,bsd(1,BZ$27,BV31,$AD31,$AA31,$AB31,$AH31,0.1))</f>
        <v>0</v>
      </c>
      <c r="BZ31" s="44" t="n">
        <f aca="false">IF(BU31=0,0,bsd(2,BZ$27,BV31,$AD31,$AA31,$AB31,$AH31,0.1))</f>
        <v>0</v>
      </c>
      <c r="CA31" s="44" t="n">
        <f aca="false">IF(BU31=0,0,bsd(BZ$28,BZ$27,BV31,$AD31,$AA31,$AB31,$AH31,0.1))</f>
        <v>0</v>
      </c>
      <c r="CB31" s="45" t="n">
        <f aca="false">BU31*BY31</f>
        <v>0</v>
      </c>
      <c r="CC31" s="45" t="n">
        <f aca="false">BU31*BZ31</f>
        <v>0</v>
      </c>
      <c r="CD31" s="45" t="n">
        <f aca="false">BU31*CA31</f>
        <v>0</v>
      </c>
    </row>
    <row r="32" customFormat="false" ht="12.75" hidden="false" customHeight="false" outlineLevel="0" collapsed="false">
      <c r="A32" s="48" t="n">
        <f aca="false">DATE(YEAR(A31),MONTH(A31)+1,1)</f>
        <v>36831</v>
      </c>
      <c r="B32" s="40" t="n">
        <f aca="false">VLOOKUP(A32,STRADDLE,5,FALSE())</f>
        <v>5.4258</v>
      </c>
      <c r="C32" s="4" t="n">
        <f aca="false">VLOOKUP(A32,STRADDLE,8,FALSE())</f>
        <v>0.52</v>
      </c>
      <c r="D32" s="40" t="n">
        <f aca="false">IF(D$28="nymex",0,VLOOKUP($A32,curvesettle,HLOOKUP(D$28,curvesettle,2,FALSE())))</f>
        <v>0.89</v>
      </c>
      <c r="E32" s="131" t="n">
        <f aca="false">IF(ISNUMBER(VLOOKUP($A32,VOLCURVES,HLOOKUP(D$28,VOLCURVES,2,FALSE()),FALSE())),VLOOKUP($A32,VOLCURVES,HLOOKUP(D$28,VOLCURVES,2,FALSE()),FALSE()),1)</f>
        <v>1.05</v>
      </c>
      <c r="F32" s="136" t="n">
        <f aca="false">IF(D$28="NYMEX",$AG32,$AF32)</f>
        <v>-9100</v>
      </c>
      <c r="G32" s="4" t="n">
        <f aca="false">(($C32+H32)*$E32)+B$15</f>
        <v>0.513629156059688</v>
      </c>
      <c r="H32" s="4" t="n">
        <f aca="false">IF($B$16=1,VLOOKUP($A32,SkewTable,HLOOKUP(ROUND(I32-AO32,1),SkewTable,2,FALSE()),FALSE())/100,0)</f>
        <v>-0.03082937518125</v>
      </c>
      <c r="I32" s="41" t="n">
        <f aca="false">IF($B$19=4,$AO32,$B$18)</f>
        <v>5.05</v>
      </c>
      <c r="K32" s="40" t="n">
        <f aca="false">IF(K$28="nymex",0,VLOOKUP($A32,curvesettle,HLOOKUP(K$28,curvesettle,2,FALSE())))</f>
        <v>0.55</v>
      </c>
      <c r="L32" s="131" t="n">
        <f aca="false">IF(ISNUMBER(VLOOKUP($A32,VOLCURVES,HLOOKUP(K$28,VOLCURVES,2,FALSE()),FALSE())),VLOOKUP($A32,VOLCURVES,HLOOKUP(K$28,VOLCURVES,2,FALSE()),FALSE()),1)</f>
        <v>0.97</v>
      </c>
      <c r="M32" s="136" t="n">
        <f aca="false">IF(K$28="NYMEX",$AG32,$AF32)</f>
        <v>-9100</v>
      </c>
      <c r="N32" s="153" t="n">
        <f aca="false">(($C32+O32)*$L32)+D$15</f>
        <v>0.483760702233359</v>
      </c>
      <c r="O32" s="4" t="n">
        <f aca="false">IF($D$16=1,VLOOKUP($A32,SkewTable,HLOOKUP(ROUND(P32-AZ32,1),SkewTable,2,FALSE()),FALSE())/100,0)</f>
        <v>-0.0315869049140625</v>
      </c>
      <c r="P32" s="41" t="n">
        <f aca="false">IF($D$19=4,$AZ32,$D$18)</f>
        <v>5.1</v>
      </c>
      <c r="R32" s="40" t="n">
        <f aca="false">IF(R$28="nymex",0,VLOOKUP($A32,curvesettle,HLOOKUP(R$28,curvesettle,2,FALSE())))</f>
        <v>-0.0275</v>
      </c>
      <c r="S32" s="131" t="n">
        <f aca="false">IF(ISNUMBER(VLOOKUP($A32,VOLCURVES,HLOOKUP(R$28,VOLCURVES,2,FALSE()),FALSE())),VLOOKUP($A32,VOLCURVES,HLOOKUP(R$28,VOLCURVES,2,FALSE()),FALSE()),1)</f>
        <v>1</v>
      </c>
      <c r="T32" s="136" t="n">
        <f aca="false">IF(R$28="NYMEX",$AG32,$AF32)</f>
        <v>-9100</v>
      </c>
      <c r="U32" s="153" t="n">
        <f aca="false">(($C32+V32)*$S32)+F$15</f>
        <v>0.53</v>
      </c>
      <c r="V32" s="4" t="n">
        <f aca="false">IF($F$16=1,VLOOKUP($A32,SkewTable,HLOOKUP(ROUND(W32-BK32,1),SkewTable,2,FALSE()),FALSE())/100,0)</f>
        <v>0</v>
      </c>
      <c r="W32" s="41" t="n">
        <f aca="false">IF($F$19=4,$BK32,$F$18)</f>
        <v>5.3983</v>
      </c>
      <c r="X32" s="136"/>
      <c r="Y32" s="40" t="n">
        <f aca="false">IF(Y$28="nymex",0,VLOOKUP($A32,curvesettle,HLOOKUP(Y$28,curvesettle,2,FALSE())))</f>
        <v>-0.0275</v>
      </c>
      <c r="Z32" s="131" t="n">
        <f aca="false">IF(ISNUMBER(VLOOKUP($A32,VOLCURVES,HLOOKUP(Y$28,VOLCURVES,2,FALSE()),FALSE())),VLOOKUP($A32,VOLCURVES,HLOOKUP(Y$28,VOLCURVES,2,FALSE()),FALSE()),1)</f>
        <v>1</v>
      </c>
      <c r="AA32" s="136" t="n">
        <f aca="false">IF(Y$28="NYMEX",$AG32,$AF32)</f>
        <v>-9100</v>
      </c>
      <c r="AB32" s="4" t="e">
        <f aca="false">(($C32+AC32)*$Z32)+H$15</f>
        <v>#DIV/0!</v>
      </c>
      <c r="AC32" s="4" t="e">
        <f aca="false">IF($H$16=1,VLOOKUP($A32,SkewTable,HLOOKUP(ROUND(AD32-BV32,1),SkewTable,2,FALSE()),FALSE())/100,0)</f>
        <v>#DIV/0!</v>
      </c>
      <c r="AD32" s="41" t="n">
        <f aca="false">IF($H$19=4,$BV32,$H$18)</f>
        <v>5.4668</v>
      </c>
      <c r="AF32" s="136" t="n">
        <f aca="false">VLOOKUP($A32,expiration,2,FALSE())-$B$2</f>
        <v>-9100</v>
      </c>
      <c r="AG32" s="136" t="n">
        <f aca="false">VLOOKUP($A32,expiration,3,FALSE())-$B$2</f>
        <v>-9101</v>
      </c>
      <c r="AH32" s="4" t="n">
        <f aca="false">VLOOKUP($A32,STRADDLE,12,FALSE())</f>
        <v>0.068087889350767</v>
      </c>
      <c r="AI32" s="43" t="n">
        <f aca="false">A33-A32</f>
        <v>30</v>
      </c>
      <c r="AL32" s="136"/>
      <c r="AM32" s="9"/>
      <c r="AN32" s="9" t="n">
        <f aca="false">IF($A32&gt;=AO$25,IF($A32&lt;=AO$26,$AI32,0),0)</f>
        <v>30</v>
      </c>
      <c r="AO32" s="9" t="n">
        <f aca="false">AQ32/AN32</f>
        <v>6.3158</v>
      </c>
      <c r="AP32" s="1" t="n">
        <f aca="false">AN32*($B32+B$13)</f>
        <v>162.774</v>
      </c>
      <c r="AQ32" s="33" t="n">
        <f aca="false">IF(ISNUMBER(((AP32/AN32)+B$14+$D32)*AN32),((AP32/AN32)+B$14+$D32)*AN32,0)</f>
        <v>189.474</v>
      </c>
      <c r="AR32" s="44" t="e">
        <f aca="false">IF(AN32=0,0,bsd(1,AS$27,AO32,$I32,$F32,$G32,$AH32,0.1))</f>
        <v>#VALUE!</v>
      </c>
      <c r="AS32" s="44" t="e">
        <f aca="false">IF(AN32=0,0,bsd(2,AS$27,AO32,$I32,$F32,$G32,$AH32,0.1))</f>
        <v>#VALUE!</v>
      </c>
      <c r="AT32" s="44" t="e">
        <f aca="false">IF(AN32=0,0,bsd(AS$28,AS$27,AO32,$I32,$F32,$G32,$AH32,0.1))</f>
        <v>#VALUE!</v>
      </c>
      <c r="AU32" s="45" t="e">
        <f aca="false">AN32*AR32</f>
        <v>#VALUE!</v>
      </c>
      <c r="AV32" s="45" t="e">
        <f aca="false">AN32*AS32</f>
        <v>#VALUE!</v>
      </c>
      <c r="AW32" s="45" t="e">
        <f aca="false">AN32*AT32</f>
        <v>#VALUE!</v>
      </c>
      <c r="AY32" s="9" t="n">
        <f aca="false">IF($A32&gt;=AZ$25,IF($A32&lt;=AZ$26,$AI32,0),0)</f>
        <v>30</v>
      </c>
      <c r="AZ32" s="9" t="n">
        <f aca="false">BB32/AY32</f>
        <v>6.4758</v>
      </c>
      <c r="BA32" s="1" t="n">
        <f aca="false">AY32*($B32+D$13)</f>
        <v>177.774</v>
      </c>
      <c r="BB32" s="33" t="n">
        <f aca="false">IF(ISNUMBER(((BA32/AY32)+D$14+$K32)*AY32),((BA32/AY32)+D$14+$K32)*AY32,0)</f>
        <v>194.274</v>
      </c>
      <c r="BC32" s="44" t="e">
        <f aca="false">IF(AY32=0,0,bsd(1,BD$27,AZ32,$P32,$M32,$N32,$AH32,0.1))</f>
        <v>#VALUE!</v>
      </c>
      <c r="BD32" s="44" t="e">
        <f aca="false">IF(AY32=0,0,bsd(2,BD$27,AZ32,$P32,$M32,$N32,$AH32,0.1))</f>
        <v>#VALUE!</v>
      </c>
      <c r="BE32" s="44" t="e">
        <f aca="false">IF(AY32=0,0,bsd(BD$28,BD$27,AZ32,$P32,$M32,$N32,$AH32,0.1))</f>
        <v>#VALUE!</v>
      </c>
      <c r="BF32" s="45" t="e">
        <f aca="false">AY32*BC32</f>
        <v>#VALUE!</v>
      </c>
      <c r="BG32" s="45" t="e">
        <f aca="false">AY32*BD32</f>
        <v>#VALUE!</v>
      </c>
      <c r="BH32" s="45" t="e">
        <f aca="false">AY32*BE32</f>
        <v>#VALUE!</v>
      </c>
      <c r="BJ32" s="9" t="n">
        <f aca="false">IF($A32&gt;=BK$25,IF($A32&lt;=BK$26,$AI32,0),0)</f>
        <v>30</v>
      </c>
      <c r="BK32" s="9" t="n">
        <f aca="false">BM32/BJ32</f>
        <v>5.4083</v>
      </c>
      <c r="BL32" s="1" t="n">
        <f aca="false">BJ32*($B32+F$13)</f>
        <v>163.074</v>
      </c>
      <c r="BM32" s="33" t="n">
        <f aca="false">IF(ISNUMBER(((BL32/BJ32)+F$14+$R32)*BJ32),((BL32/BJ32)+F$14+$R32)*BJ32,0)</f>
        <v>162.249</v>
      </c>
      <c r="BN32" s="44" t="e">
        <f aca="false">IF(BJ32=0,0,bsd(1,BO$27,BK32,$W32,$T32,$U32,$AH32,0.1))</f>
        <v>#VALUE!</v>
      </c>
      <c r="BO32" s="44" t="e">
        <f aca="false">IF(BJ32=0,0,bsd(2,BO$27,BK32,$W32,$T32,$U32,$AH32,0.1))</f>
        <v>#VALUE!</v>
      </c>
      <c r="BP32" s="44" t="e">
        <f aca="false">IF(BJ32=0,0,bsd(BO$28,BO$27,BK32,$W32,$T32,$U32,$AH32,0.1))</f>
        <v>#VALUE!</v>
      </c>
      <c r="BQ32" s="45" t="e">
        <f aca="false">BJ32*BN32</f>
        <v>#VALUE!</v>
      </c>
      <c r="BR32" s="45" t="e">
        <f aca="false">BJ32*BO32</f>
        <v>#VALUE!</v>
      </c>
      <c r="BS32" s="45" t="e">
        <f aca="false">BJ32*BP32</f>
        <v>#VALUE!</v>
      </c>
      <c r="BU32" s="9" t="n">
        <f aca="false">IF($A32&gt;=BV$25,IF($A32&lt;=BV$26,$AI32,0),0)</f>
        <v>0</v>
      </c>
      <c r="BV32" s="9" t="e">
        <f aca="false">BX32/BU32</f>
        <v>#DIV/0!</v>
      </c>
      <c r="BW32" s="1" t="n">
        <f aca="false">BU32*($B32+H$13)</f>
        <v>0</v>
      </c>
      <c r="BX32" s="33" t="n">
        <f aca="false">IF(ISNUMBER(((BW32/BU32)+H$14+$Y32)*BU32),((BW32/BU32)+H$14+$Y32)*BU32,0)</f>
        <v>0</v>
      </c>
      <c r="BY32" s="44" t="n">
        <f aca="false">IF(BU32=0,0,bsd(1,BZ$27,BV32,$AD32,$AA32,$AB32,$AH32,0.1))</f>
        <v>0</v>
      </c>
      <c r="BZ32" s="44" t="n">
        <f aca="false">IF(BU32=0,0,bsd(2,BZ$27,BV32,$AD32,$AA32,$AB32,$AH32,0.1))</f>
        <v>0</v>
      </c>
      <c r="CA32" s="44" t="n">
        <f aca="false">IF(BU32=0,0,bsd(BZ$28,BZ$27,BV32,$AD32,$AA32,$AB32,$AH32,0.1))</f>
        <v>0</v>
      </c>
      <c r="CB32" s="45" t="n">
        <f aca="false">BU32*BY32</f>
        <v>0</v>
      </c>
      <c r="CC32" s="45" t="n">
        <f aca="false">BU32*BZ32</f>
        <v>0</v>
      </c>
      <c r="CD32" s="45" t="n">
        <f aca="false">BU32*CA32</f>
        <v>0</v>
      </c>
    </row>
    <row r="33" customFormat="false" ht="12.75" hidden="false" customHeight="false" outlineLevel="0" collapsed="false">
      <c r="A33" s="48" t="n">
        <f aca="false">DATE(YEAR(A32),MONTH(A32)+1,1)</f>
        <v>36861</v>
      </c>
      <c r="B33" s="40" t="n">
        <f aca="false">VLOOKUP(A33,STRADDLE,5,FALSE())</f>
        <v>5.5268</v>
      </c>
      <c r="C33" s="4" t="n">
        <f aca="false">VLOOKUP(A33,STRADDLE,8,FALSE())</f>
        <v>0.5725</v>
      </c>
      <c r="D33" s="40" t="n">
        <f aca="false">IF(D$28="nymex",0,VLOOKUP($A33,curvesettle,HLOOKUP(D$28,curvesettle,2,FALSE())))</f>
        <v>1.86</v>
      </c>
      <c r="E33" s="131" t="n">
        <f aca="false">IF(ISNUMBER(VLOOKUP($A33,VOLCURVES,HLOOKUP(D$28,VOLCURVES,2,FALSE()),FALSE())),VLOOKUP($A33,VOLCURVES,HLOOKUP(D$28,VOLCURVES,2,FALSE()),FALSE()),1)</f>
        <v>1.3</v>
      </c>
      <c r="F33" s="136" t="n">
        <f aca="false">IF(D$28="NYMEX",$AG33,$AF33)</f>
        <v>-9068</v>
      </c>
      <c r="G33" s="4" t="e">
        <f aca="false">(($C33+H33)*$E33)+B$15</f>
        <v>#DIV/0!</v>
      </c>
      <c r="H33" s="4" t="e">
        <f aca="false">IF($B$16=1,VLOOKUP($A33,SkewTable,HLOOKUP(ROUND(I33-AO33,1),SkewTable,2,FALSE()),FALSE())/100,0)</f>
        <v>#DIV/0!</v>
      </c>
      <c r="I33" s="41" t="n">
        <f aca="false">IF($B$19=4,$AO33,$B$18)</f>
        <v>5.05</v>
      </c>
      <c r="K33" s="40" t="n">
        <f aca="false">IF(K$28="nymex",0,VLOOKUP($A33,curvesettle,HLOOKUP(K$28,curvesettle,2,FALSE())))</f>
        <v>0.27</v>
      </c>
      <c r="L33" s="131" t="n">
        <f aca="false">IF(ISNUMBER(VLOOKUP($A33,VOLCURVES,HLOOKUP(K$28,VOLCURVES,2,FALSE()),FALSE())),VLOOKUP($A33,VOLCURVES,HLOOKUP(K$28,VOLCURVES,2,FALSE()),FALSE()),1)</f>
        <v>0.97</v>
      </c>
      <c r="M33" s="136" t="n">
        <f aca="false">IF(K$28="NYMEX",$AG33,$AF33)</f>
        <v>-9068</v>
      </c>
      <c r="N33" s="153" t="n">
        <f aca="false">(($C33+O33)*$L33)+D$15</f>
        <v>0.536155309915016</v>
      </c>
      <c r="O33" s="4" t="n">
        <f aca="false">IF($D$16=1,VLOOKUP($A33,SkewTable,HLOOKUP(ROUND(P33-AZ33,1),SkewTable,2,FALSE()),FALSE())/100,0)</f>
        <v>-0.0300718454484375</v>
      </c>
      <c r="P33" s="41" t="n">
        <f aca="false">IF($D$19=4,$AZ33,$D$18)</f>
        <v>5.1</v>
      </c>
      <c r="R33" s="40" t="n">
        <f aca="false">IF(R$28="nymex",0,VLOOKUP($A33,curvesettle,HLOOKUP(R$28,curvesettle,2,FALSE())))</f>
        <v>-0.06</v>
      </c>
      <c r="S33" s="131" t="n">
        <f aca="false">IF(ISNUMBER(VLOOKUP($A33,VOLCURVES,HLOOKUP(R$28,VOLCURVES,2,FALSE()),FALSE())),VLOOKUP($A33,VOLCURVES,HLOOKUP(R$28,VOLCURVES,2,FALSE()),FALSE()),1)</f>
        <v>1</v>
      </c>
      <c r="T33" s="136" t="n">
        <f aca="false">IF(R$28="NYMEX",$AG33,$AF33)</f>
        <v>-9068</v>
      </c>
      <c r="U33" s="153" t="e">
        <f aca="false">(($C33+V33)*$S33)+F$15</f>
        <v>#DIV/0!</v>
      </c>
      <c r="V33" s="4" t="e">
        <f aca="false">IF($F$16=1,VLOOKUP($A33,SkewTable,HLOOKUP(ROUND(W33-BK33,1),SkewTable,2,FALSE()),FALSE())/100,0)</f>
        <v>#DIV/0!</v>
      </c>
      <c r="W33" s="41" t="n">
        <f aca="false">IF($F$19=4,$BK33,$F$18)</f>
        <v>5.3983</v>
      </c>
      <c r="X33" s="136"/>
      <c r="Y33" s="40" t="n">
        <f aca="false">IF(Y$28="nymex",0,VLOOKUP($A33,curvesettle,HLOOKUP(Y$28,curvesettle,2,FALSE())))</f>
        <v>-0.06</v>
      </c>
      <c r="Z33" s="131" t="n">
        <f aca="false">IF(ISNUMBER(VLOOKUP($A33,VOLCURVES,HLOOKUP(Y$28,VOLCURVES,2,FALSE()),FALSE())),VLOOKUP($A33,VOLCURVES,HLOOKUP(Y$28,VOLCURVES,2,FALSE()),FALSE()),1)</f>
        <v>1</v>
      </c>
      <c r="AA33" s="136" t="n">
        <f aca="false">IF(Y$28="NYMEX",$AG33,$AF33)</f>
        <v>-9068</v>
      </c>
      <c r="AB33" s="4" t="n">
        <f aca="false">(($C33+AC33)*$Z33)+H$15</f>
        <v>0.5825</v>
      </c>
      <c r="AC33" s="4" t="n">
        <f aca="false">IF($H$16=1,VLOOKUP($A33,SkewTable,HLOOKUP(ROUND(AD33-BV33,1),SkewTable,2,FALSE()),FALSE())/100,0)</f>
        <v>0</v>
      </c>
      <c r="AD33" s="41" t="n">
        <f aca="false">IF($H$19=4,$BV33,$H$18)</f>
        <v>5.4668</v>
      </c>
      <c r="AF33" s="136" t="n">
        <f aca="false">VLOOKUP($A33,expiration,2,FALSE())-$B$2</f>
        <v>-9068</v>
      </c>
      <c r="AG33" s="136" t="n">
        <f aca="false">VLOOKUP($A33,expiration,3,FALSE())-$B$2</f>
        <v>-9069</v>
      </c>
      <c r="AH33" s="4" t="n">
        <f aca="false">VLOOKUP($A33,STRADDLE,12,FALSE())</f>
        <v>0.068102551581873</v>
      </c>
      <c r="AI33" s="43" t="n">
        <f aca="false">A34-A33</f>
        <v>31</v>
      </c>
      <c r="AL33" s="136"/>
      <c r="AM33" s="9"/>
      <c r="AN33" s="9" t="n">
        <f aca="false">IF($A33&gt;=AO$25,IF($A33&lt;=AO$26,$AI33,0),0)</f>
        <v>0</v>
      </c>
      <c r="AO33" s="9" t="e">
        <f aca="false">AQ33/AN33</f>
        <v>#DIV/0!</v>
      </c>
      <c r="AP33" s="1" t="n">
        <f aca="false">AN33*($B33+B$13)</f>
        <v>0</v>
      </c>
      <c r="AQ33" s="33" t="n">
        <f aca="false">IF(ISNUMBER(((AP33/AN33)+B$14+$D33)*AN33),((AP33/AN33)+B$14+$D33)*AN33,0)</f>
        <v>0</v>
      </c>
      <c r="AR33" s="44" t="n">
        <f aca="false">IF(AN33=0,0,bsd(1,AS$27,AO33,$I33,$F33,$G33,$AH33,0.1))</f>
        <v>0</v>
      </c>
      <c r="AS33" s="44" t="n">
        <f aca="false">IF(AN33=0,0,bsd(2,AS$27,AO33,$I33,$F33,$G33,$AH33,0.1))</f>
        <v>0</v>
      </c>
      <c r="AT33" s="44" t="n">
        <f aca="false">IF(AN33=0,0,bsd(AS$28,AS$27,AO33,$I33,$F33,$G33,$AH33,0.1))</f>
        <v>0</v>
      </c>
      <c r="AU33" s="45" t="n">
        <f aca="false">AN33*AR33</f>
        <v>0</v>
      </c>
      <c r="AV33" s="45" t="n">
        <f aca="false">AN33*AS33</f>
        <v>0</v>
      </c>
      <c r="AW33" s="45" t="n">
        <f aca="false">AN33*AT33</f>
        <v>0</v>
      </c>
      <c r="AY33" s="9" t="n">
        <f aca="false">IF($A33&gt;=AZ$25,IF($A33&lt;=AZ$26,$AI33,0),0)</f>
        <v>31</v>
      </c>
      <c r="AZ33" s="9" t="n">
        <f aca="false">BB33/AY33</f>
        <v>6.2968</v>
      </c>
      <c r="BA33" s="1" t="n">
        <f aca="false">AY33*($B33+D$13)</f>
        <v>186.8308</v>
      </c>
      <c r="BB33" s="33" t="n">
        <f aca="false">IF(ISNUMBER(((BA33/AY33)+D$14+$K33)*AY33),((BA33/AY33)+D$14+$K33)*AY33,0)</f>
        <v>195.2008</v>
      </c>
      <c r="BC33" s="44" t="e">
        <f aca="false">IF(AY33=0,0,bsd(1,BD$27,AZ33,$P33,$M33,$N33,$AH33,0.1))</f>
        <v>#VALUE!</v>
      </c>
      <c r="BD33" s="44" t="e">
        <f aca="false">IF(AY33=0,0,bsd(2,BD$27,AZ33,$P33,$M33,$N33,$AH33,0.1))</f>
        <v>#VALUE!</v>
      </c>
      <c r="BE33" s="44" t="e">
        <f aca="false">IF(AY33=0,0,bsd(BD$28,BD$27,AZ33,$P33,$M33,$N33,$AH33,0.1))</f>
        <v>#VALUE!</v>
      </c>
      <c r="BF33" s="45" t="e">
        <f aca="false">AY33*BC33</f>
        <v>#VALUE!</v>
      </c>
      <c r="BG33" s="45" t="e">
        <f aca="false">AY33*BD33</f>
        <v>#VALUE!</v>
      </c>
      <c r="BH33" s="45" t="e">
        <f aca="false">AY33*BE33</f>
        <v>#VALUE!</v>
      </c>
      <c r="BJ33" s="9" t="n">
        <f aca="false">IF($A33&gt;=BK$25,IF($A33&lt;=BK$26,$AI33,0),0)</f>
        <v>0</v>
      </c>
      <c r="BK33" s="9" t="e">
        <f aca="false">BM33/BJ33</f>
        <v>#DIV/0!</v>
      </c>
      <c r="BL33" s="1" t="n">
        <f aca="false">BJ33*($B33+F$13)</f>
        <v>0</v>
      </c>
      <c r="BM33" s="33" t="n">
        <f aca="false">IF(ISNUMBER(((BL33/BJ33)+F$14+$R33)*BJ33),((BL33/BJ33)+F$14+$R33)*BJ33,0)</f>
        <v>0</v>
      </c>
      <c r="BN33" s="44" t="n">
        <f aca="false">IF(BJ33=0,0,bsd(1,BO$27,BK33,$W33,$T33,$U33,$AH33,0.1))</f>
        <v>0</v>
      </c>
      <c r="BO33" s="44" t="n">
        <f aca="false">IF(BJ33=0,0,bsd(2,BO$27,BK33,$W33,$T33,$U33,$AH33,0.1))</f>
        <v>0</v>
      </c>
      <c r="BP33" s="44" t="n">
        <f aca="false">IF(BJ33=0,0,bsd(BO$28,BO$27,BK33,$W33,$T33,$U33,$AH33,0.1))</f>
        <v>0</v>
      </c>
      <c r="BQ33" s="45" t="n">
        <f aca="false">BJ33*BN33</f>
        <v>0</v>
      </c>
      <c r="BR33" s="45" t="n">
        <f aca="false">BJ33*BO33</f>
        <v>0</v>
      </c>
      <c r="BS33" s="45" t="n">
        <f aca="false">BJ33*BP33</f>
        <v>0</v>
      </c>
      <c r="BU33" s="9" t="n">
        <f aca="false">IF($A33&gt;=BV$25,IF($A33&lt;=BV$26,$AI33,0),0)</f>
        <v>31</v>
      </c>
      <c r="BV33" s="9" t="n">
        <f aca="false">BX33/BU33</f>
        <v>5.4768</v>
      </c>
      <c r="BW33" s="1" t="n">
        <f aca="false">BU33*($B33+H$13)</f>
        <v>171.6408</v>
      </c>
      <c r="BX33" s="33" t="n">
        <f aca="false">IF(ISNUMBER(((BW33/BU33)+H$14+$Y33)*BU33),((BW33/BU33)+H$14+$Y33)*BU33,0)</f>
        <v>169.7808</v>
      </c>
      <c r="BY33" s="44" t="e">
        <f aca="false">IF(BU33=0,0,bsd(1,BZ$27,BV33,$AD33,$AA33,$AB33,$AH33,0.1))</f>
        <v>#VALUE!</v>
      </c>
      <c r="BZ33" s="44" t="e">
        <f aca="false">IF(BU33=0,0,bsd(2,BZ$27,BV33,$AD33,$AA33,$AB33,$AH33,0.1))</f>
        <v>#VALUE!</v>
      </c>
      <c r="CA33" s="44" t="e">
        <f aca="false">IF(BU33=0,0,bsd(BZ$28,BZ$27,BV33,$AD33,$AA33,$AB33,$AH33,0.1))</f>
        <v>#VALUE!</v>
      </c>
      <c r="CB33" s="45" t="e">
        <f aca="false">BU33*BY33</f>
        <v>#VALUE!</v>
      </c>
      <c r="CC33" s="45" t="e">
        <f aca="false">BU33*BZ33</f>
        <v>#VALUE!</v>
      </c>
      <c r="CD33" s="45" t="e">
        <f aca="false">BU33*CA33</f>
        <v>#VALUE!</v>
      </c>
    </row>
    <row r="34" customFormat="false" ht="12.75" hidden="false" customHeight="false" outlineLevel="0" collapsed="false">
      <c r="A34" s="48" t="n">
        <f aca="false">DATE(YEAR(A33),MONTH(A33)+1,1)</f>
        <v>36892</v>
      </c>
      <c r="B34" s="40" t="n">
        <f aca="false">VLOOKUP(A34,STRADDLE,5,FALSE())</f>
        <v>5.4768</v>
      </c>
      <c r="C34" s="4" t="n">
        <f aca="false">VLOOKUP(A34,STRADDLE,8,FALSE())</f>
        <v>0.6075</v>
      </c>
      <c r="D34" s="40" t="n">
        <f aca="false">IF(D$28="nymex",0,VLOOKUP($A34,curvesettle,HLOOKUP(D$28,curvesettle,2,FALSE())))</f>
        <v>2.61</v>
      </c>
      <c r="E34" s="131" t="n">
        <f aca="false">IF(ISNUMBER(VLOOKUP($A34,VOLCURVES,HLOOKUP(D$28,VOLCURVES,2,FALSE()),FALSE())),VLOOKUP($A34,VOLCURVES,HLOOKUP(D$28,VOLCURVES,2,FALSE()),FALSE()),1)</f>
        <v>1.3</v>
      </c>
      <c r="F34" s="136" t="n">
        <f aca="false">IF(D$28="NYMEX",$AG34,$AF34)</f>
        <v>-9039</v>
      </c>
      <c r="G34" s="4" t="e">
        <f aca="false">(($C34+H34)*$E34)+B$15</f>
        <v>#DIV/0!</v>
      </c>
      <c r="H34" s="4" t="e">
        <f aca="false">IF($B$16=1,VLOOKUP($A34,SkewTable,HLOOKUP(ROUND(I34-AO34,1),SkewTable,2,FALSE()),FALSE())/100,0)</f>
        <v>#DIV/0!</v>
      </c>
      <c r="I34" s="41" t="n">
        <f aca="false">IF($B$19=4,$AO34,$B$18)</f>
        <v>5.05</v>
      </c>
      <c r="K34" s="40" t="n">
        <f aca="false">IF(K$28="nymex",0,VLOOKUP($A34,curvesettle,HLOOKUP(K$28,curvesettle,2,FALSE())))</f>
        <v>0.17</v>
      </c>
      <c r="L34" s="131" t="n">
        <f aca="false">IF(ISNUMBER(VLOOKUP($A34,VOLCURVES,HLOOKUP(K$28,VOLCURVES,2,FALSE()),FALSE())),VLOOKUP($A34,VOLCURVES,HLOOKUP(K$28,VOLCURVES,2,FALSE()),FALSE()),1)</f>
        <v>0.97</v>
      </c>
      <c r="M34" s="136" t="n">
        <f aca="false">IF(K$28="NYMEX",$AG34,$AF34)</f>
        <v>-9039</v>
      </c>
      <c r="N34" s="153" t="n">
        <f aca="false">(($C34+O34)*$L34)+D$15</f>
        <v>0.571574917596672</v>
      </c>
      <c r="O34" s="4" t="n">
        <f aca="false">IF($D$16=1,VLOOKUP($A34,SkewTable,HLOOKUP(ROUND(P34-AZ34,1),SkewTable,2,FALSE()),FALSE())/100,0)</f>
        <v>-0.0285567859828125</v>
      </c>
      <c r="P34" s="41" t="n">
        <f aca="false">IF($D$19=4,$AZ34,$D$18)</f>
        <v>5.1</v>
      </c>
      <c r="R34" s="40" t="n">
        <f aca="false">IF(R$28="nymex",0,VLOOKUP($A34,curvesettle,HLOOKUP(R$28,curvesettle,2,FALSE())))</f>
        <v>-0.065</v>
      </c>
      <c r="S34" s="131" t="n">
        <f aca="false">IF(ISNUMBER(VLOOKUP($A34,VOLCURVES,HLOOKUP(R$28,VOLCURVES,2,FALSE()),FALSE())),VLOOKUP($A34,VOLCURVES,HLOOKUP(R$28,VOLCURVES,2,FALSE()),FALSE()),1)</f>
        <v>1</v>
      </c>
      <c r="T34" s="136" t="n">
        <f aca="false">IF(R$28="NYMEX",$AG34,$AF34)</f>
        <v>-9039</v>
      </c>
      <c r="U34" s="153" t="e">
        <f aca="false">(($C34+V34)*$S34)+F$15</f>
        <v>#DIV/0!</v>
      </c>
      <c r="V34" s="4" t="e">
        <f aca="false">IF($F$16=1,VLOOKUP($A34,SkewTable,HLOOKUP(ROUND(W34-BK34,1),SkewTable,2,FALSE()),FALSE())/100,0)</f>
        <v>#DIV/0!</v>
      </c>
      <c r="W34" s="41" t="n">
        <f aca="false">IF($F$19=4,$BK34,$F$18)</f>
        <v>5.3983</v>
      </c>
      <c r="X34" s="136"/>
      <c r="Y34" s="40" t="n">
        <f aca="false">IF(Y$28="nymex",0,VLOOKUP($A34,curvesettle,HLOOKUP(Y$28,curvesettle,2,FALSE())))</f>
        <v>-0.065</v>
      </c>
      <c r="Z34" s="131" t="n">
        <f aca="false">IF(ISNUMBER(VLOOKUP($A34,VOLCURVES,HLOOKUP(Y$28,VOLCURVES,2,FALSE()),FALSE())),VLOOKUP($A34,VOLCURVES,HLOOKUP(Y$28,VOLCURVES,2,FALSE()),FALSE()),1)</f>
        <v>1</v>
      </c>
      <c r="AA34" s="136" t="n">
        <f aca="false">IF(Y$28="NYMEX",$AG34,$AF34)</f>
        <v>-9039</v>
      </c>
      <c r="AB34" s="4" t="e">
        <f aca="false">(($C34+AC34)*$Z34)+H$15</f>
        <v>#DIV/0!</v>
      </c>
      <c r="AC34" s="4" t="e">
        <f aca="false">IF($H$16=1,VLOOKUP($A34,SkewTable,HLOOKUP(ROUND(AD34-BV34,1),SkewTable,2,FALSE()),FALSE())/100,0)</f>
        <v>#DIV/0!</v>
      </c>
      <c r="AD34" s="41" t="n">
        <f aca="false">IF($H$19=4,$BV34,$H$18)</f>
        <v>5.4668</v>
      </c>
      <c r="AF34" s="136" t="n">
        <f aca="false">VLOOKUP($A34,expiration,2,FALSE())-$B$2</f>
        <v>-9039</v>
      </c>
      <c r="AG34" s="136" t="n">
        <f aca="false">VLOOKUP($A34,expiration,3,FALSE())-$B$2</f>
        <v>-9040</v>
      </c>
      <c r="AH34" s="4" t="n">
        <f aca="false">VLOOKUP($A34,STRADDLE,12,FALSE())</f>
        <v>0.068146567086238</v>
      </c>
      <c r="AI34" s="43" t="n">
        <f aca="false">A35-A34</f>
        <v>31</v>
      </c>
      <c r="AL34" s="136"/>
      <c r="AM34" s="9"/>
      <c r="AN34" s="9" t="n">
        <f aca="false">IF($A34&gt;=AO$25,IF($A34&lt;=AO$26,$AI34,0),0)</f>
        <v>0</v>
      </c>
      <c r="AO34" s="9" t="e">
        <f aca="false">AQ34/AN34</f>
        <v>#DIV/0!</v>
      </c>
      <c r="AP34" s="1" t="n">
        <f aca="false">AN34*($B34+B$13)</f>
        <v>0</v>
      </c>
      <c r="AQ34" s="33" t="n">
        <f aca="false">IF(ISNUMBER(((AP34/AN34)+B$14+$D34)*AN34),((AP34/AN34)+B$14+$D34)*AN34,0)</f>
        <v>0</v>
      </c>
      <c r="AR34" s="44" t="n">
        <f aca="false">IF(AN34=0,0,bsd(1,AS$27,AO34,$I34,$F34,$G34,$AH34,0.1))</f>
        <v>0</v>
      </c>
      <c r="AS34" s="44" t="n">
        <f aca="false">IF(AN34=0,0,bsd(2,AS$27,AO34,$I34,$F34,$G34,$AH34,0.1))</f>
        <v>0</v>
      </c>
      <c r="AT34" s="44" t="n">
        <f aca="false">IF(AN34=0,0,bsd(AS$28,AS$27,AO34,$I34,$F34,$G34,$AH34,0.1))</f>
        <v>0</v>
      </c>
      <c r="AU34" s="45" t="n">
        <f aca="false">AN34*AR34</f>
        <v>0</v>
      </c>
      <c r="AV34" s="45" t="n">
        <f aca="false">AN34*AS34</f>
        <v>0</v>
      </c>
      <c r="AW34" s="45" t="n">
        <f aca="false">AN34*AT34</f>
        <v>0</v>
      </c>
      <c r="AY34" s="9" t="n">
        <f aca="false">IF($A34&gt;=AZ$25,IF($A34&lt;=AZ$26,$AI34,0),0)</f>
        <v>31</v>
      </c>
      <c r="AZ34" s="9" t="n">
        <f aca="false">BB34/AY34</f>
        <v>6.1468</v>
      </c>
      <c r="BA34" s="1" t="n">
        <f aca="false">AY34*($B34+D$13)</f>
        <v>185.2808</v>
      </c>
      <c r="BB34" s="33" t="n">
        <f aca="false">IF(ISNUMBER(((BA34/AY34)+D$14+$K34)*AY34),((BA34/AY34)+D$14+$K34)*AY34,0)</f>
        <v>190.5508</v>
      </c>
      <c r="BC34" s="44" t="e">
        <f aca="false">IF(AY34=0,0,bsd(1,BD$27,AZ34,$P34,$M34,$N34,$AH34,0.1))</f>
        <v>#VALUE!</v>
      </c>
      <c r="BD34" s="44" t="e">
        <f aca="false">IF(AY34=0,0,bsd(2,BD$27,AZ34,$P34,$M34,$N34,$AH34,0.1))</f>
        <v>#VALUE!</v>
      </c>
      <c r="BE34" s="44" t="e">
        <f aca="false">IF(AY34=0,0,bsd(BD$28,BD$27,AZ34,$P34,$M34,$N34,$AH34,0.1))</f>
        <v>#VALUE!</v>
      </c>
      <c r="BF34" s="45" t="e">
        <f aca="false">AY34*BC34</f>
        <v>#VALUE!</v>
      </c>
      <c r="BG34" s="45" t="e">
        <f aca="false">AY34*BD34</f>
        <v>#VALUE!</v>
      </c>
      <c r="BH34" s="45" t="e">
        <f aca="false">AY34*BE34</f>
        <v>#VALUE!</v>
      </c>
      <c r="BJ34" s="9" t="n">
        <f aca="false">IF($A34&gt;=BK$25,IF($A34&lt;=BK$26,$AI34,0),0)</f>
        <v>0</v>
      </c>
      <c r="BK34" s="9" t="e">
        <f aca="false">BM34/BJ34</f>
        <v>#DIV/0!</v>
      </c>
      <c r="BL34" s="1" t="n">
        <f aca="false">BJ34*($B34+F$13)</f>
        <v>0</v>
      </c>
      <c r="BM34" s="33" t="n">
        <f aca="false">IF(ISNUMBER(((BL34/BJ34)+F$14+$R34)*BJ34),((BL34/BJ34)+F$14+$R34)*BJ34,0)</f>
        <v>0</v>
      </c>
      <c r="BN34" s="44" t="n">
        <f aca="false">IF(BJ34=0,0,bsd(1,BO$27,BK34,$W34,$T34,$U34,$AH34,0.1))</f>
        <v>0</v>
      </c>
      <c r="BO34" s="44" t="n">
        <f aca="false">IF(BJ34=0,0,bsd(2,BO$27,BK34,$W34,$T34,$U34,$AH34,0.1))</f>
        <v>0</v>
      </c>
      <c r="BP34" s="44" t="n">
        <f aca="false">IF(BJ34=0,0,bsd(BO$28,BO$27,BK34,$W34,$T34,$U34,$AH34,0.1))</f>
        <v>0</v>
      </c>
      <c r="BQ34" s="45" t="n">
        <f aca="false">BJ34*BN34</f>
        <v>0</v>
      </c>
      <c r="BR34" s="45" t="n">
        <f aca="false">BJ34*BO34</f>
        <v>0</v>
      </c>
      <c r="BS34" s="45" t="n">
        <f aca="false">BJ34*BP34</f>
        <v>0</v>
      </c>
      <c r="BU34" s="9" t="n">
        <f aca="false">IF($A34&gt;=BV$25,IF($A34&lt;=BV$26,$AI34,0),0)</f>
        <v>0</v>
      </c>
      <c r="BV34" s="9" t="e">
        <f aca="false">BX34/BU34</f>
        <v>#DIV/0!</v>
      </c>
      <c r="BW34" s="1" t="n">
        <f aca="false">BU34*($B34+H$13)</f>
        <v>0</v>
      </c>
      <c r="BX34" s="33" t="n">
        <f aca="false">IF(ISNUMBER(((BW34/BU34)+H$14+$Y34)*BU34),((BW34/BU34)+H$14+$Y34)*BU34,0)</f>
        <v>0</v>
      </c>
      <c r="BY34" s="44" t="n">
        <f aca="false">IF(BU34=0,0,bsd(1,BZ$27,BV34,$AD34,$AA34,$AB34,$AH34,0.1))</f>
        <v>0</v>
      </c>
      <c r="BZ34" s="44" t="n">
        <f aca="false">IF(BU34=0,0,bsd(2,BZ$27,BV34,$AD34,$AA34,$AB34,$AH34,0.1))</f>
        <v>0</v>
      </c>
      <c r="CA34" s="44" t="n">
        <f aca="false">IF(BU34=0,0,bsd(BZ$28,BZ$27,BV34,$AD34,$AA34,$AB34,$AH34,0.1))</f>
        <v>0</v>
      </c>
      <c r="CB34" s="45" t="n">
        <f aca="false">BU34*BY34</f>
        <v>0</v>
      </c>
      <c r="CC34" s="45" t="n">
        <f aca="false">BU34*BZ34</f>
        <v>0</v>
      </c>
      <c r="CD34" s="45" t="n">
        <f aca="false">BU34*CA34</f>
        <v>0</v>
      </c>
    </row>
    <row r="35" customFormat="false" ht="12.75" hidden="false" customHeight="false" outlineLevel="0" collapsed="false">
      <c r="A35" s="48" t="n">
        <f aca="false">DATE(YEAR(A34),MONTH(A34)+1,1)</f>
        <v>36923</v>
      </c>
      <c r="B35" s="40" t="n">
        <f aca="false">VLOOKUP(A35,STRADDLE,5,FALSE())</f>
        <v>5.1838</v>
      </c>
      <c r="C35" s="4" t="n">
        <f aca="false">VLOOKUP(A35,STRADDLE,8,FALSE())</f>
        <v>0.5975</v>
      </c>
      <c r="D35" s="40" t="n">
        <f aca="false">IF(D$28="nymex",0,VLOOKUP($A35,curvesettle,HLOOKUP(D$28,curvesettle,2,FALSE())))</f>
        <v>2.6</v>
      </c>
      <c r="E35" s="131" t="n">
        <f aca="false">IF(ISNUMBER(VLOOKUP($A35,VOLCURVES,HLOOKUP(D$28,VOLCURVES,2,FALSE()),FALSE())),VLOOKUP($A35,VOLCURVES,HLOOKUP(D$28,VOLCURVES,2,FALSE()),FALSE()),1)</f>
        <v>1.3</v>
      </c>
      <c r="F35" s="136" t="n">
        <f aca="false">IF(D$28="NYMEX",$AG35,$AF35)</f>
        <v>-9006</v>
      </c>
      <c r="G35" s="4" t="e">
        <f aca="false">(($C35+H35)*$E35)+B$15</f>
        <v>#DIV/0!</v>
      </c>
      <c r="H35" s="4" t="e">
        <f aca="false">IF($B$16=1,VLOOKUP($A35,SkewTable,HLOOKUP(ROUND(I35-AO35,1),SkewTable,2,FALSE()),FALSE())/100,0)</f>
        <v>#DIV/0!</v>
      </c>
      <c r="I35" s="41" t="n">
        <f aca="false">IF($B$19=4,$AO35,$B$18)</f>
        <v>5.05</v>
      </c>
      <c r="K35" s="40" t="n">
        <f aca="false">IF(K$28="nymex",0,VLOOKUP($A35,curvesettle,HLOOKUP(K$28,curvesettle,2,FALSE())))</f>
        <v>0.125</v>
      </c>
      <c r="L35" s="131" t="n">
        <f aca="false">IF(ISNUMBER(VLOOKUP($A35,VOLCURVES,HLOOKUP(K$28,VOLCURVES,2,FALSE()),FALSE())),VLOOKUP($A35,VOLCURVES,HLOOKUP(K$28,VOLCURVES,2,FALSE()),FALSE()),1)</f>
        <v>0.97</v>
      </c>
      <c r="M35" s="136" t="n">
        <f aca="false">IF(K$28="NYMEX",$AG35,$AF35)</f>
        <v>-9006</v>
      </c>
      <c r="N35" s="153" t="n">
        <f aca="false">(($C35+O35)*$L35)+D$15</f>
        <v>0.564003375</v>
      </c>
      <c r="O35" s="4" t="n">
        <f aca="false">IF($D$16=1,VLOOKUP($A35,SkewTable,HLOOKUP(ROUND(P35-AZ35,1),SkewTable,2,FALSE()),FALSE())/100,0)</f>
        <v>-0.0263625</v>
      </c>
      <c r="P35" s="41" t="n">
        <f aca="false">IF($D$19=4,$AZ35,$D$18)</f>
        <v>5.1</v>
      </c>
      <c r="R35" s="40" t="n">
        <f aca="false">IF(R$28="nymex",0,VLOOKUP($A35,curvesettle,HLOOKUP(R$28,curvesettle,2,FALSE())))</f>
        <v>-0.0475</v>
      </c>
      <c r="S35" s="131" t="n">
        <f aca="false">IF(ISNUMBER(VLOOKUP($A35,VOLCURVES,HLOOKUP(R$28,VOLCURVES,2,FALSE()),FALSE())),VLOOKUP($A35,VOLCURVES,HLOOKUP(R$28,VOLCURVES,2,FALSE()),FALSE()),1)</f>
        <v>1</v>
      </c>
      <c r="T35" s="136" t="n">
        <f aca="false">IF(R$28="NYMEX",$AG35,$AF35)</f>
        <v>-9006</v>
      </c>
      <c r="U35" s="153" t="e">
        <f aca="false">(($C35+V35)*$S35)+F$15</f>
        <v>#DIV/0!</v>
      </c>
      <c r="V35" s="4" t="e">
        <f aca="false">IF($F$16=1,VLOOKUP($A35,SkewTable,HLOOKUP(ROUND(W35-BK35,1),SkewTable,2,FALSE()),FALSE())/100,0)</f>
        <v>#DIV/0!</v>
      </c>
      <c r="W35" s="41" t="n">
        <f aca="false">IF($F$19=4,$BK35,$F$18)</f>
        <v>5.3983</v>
      </c>
      <c r="X35" s="136"/>
      <c r="Y35" s="40" t="n">
        <f aca="false">IF(Y$28="nymex",0,VLOOKUP($A35,curvesettle,HLOOKUP(Y$28,curvesettle,2,FALSE())))</f>
        <v>-0.0475</v>
      </c>
      <c r="Z35" s="131" t="n">
        <f aca="false">IF(ISNUMBER(VLOOKUP($A35,VOLCURVES,HLOOKUP(Y$28,VOLCURVES,2,FALSE()),FALSE())),VLOOKUP($A35,VOLCURVES,HLOOKUP(Y$28,VOLCURVES,2,FALSE()),FALSE()),1)</f>
        <v>1</v>
      </c>
      <c r="AA35" s="136" t="n">
        <f aca="false">IF(Y$28="NYMEX",$AG35,$AF35)</f>
        <v>-9006</v>
      </c>
      <c r="AB35" s="4" t="e">
        <f aca="false">(($C35+AC35)*$Z35)+H$15</f>
        <v>#DIV/0!</v>
      </c>
      <c r="AC35" s="4" t="e">
        <f aca="false">IF($H$16=1,VLOOKUP($A35,SkewTable,HLOOKUP(ROUND(AD35-BV35,1),SkewTable,2,FALSE()),FALSE())/100,0)</f>
        <v>#DIV/0!</v>
      </c>
      <c r="AD35" s="41" t="n">
        <f aca="false">IF($H$19=4,$BV35,$H$18)</f>
        <v>5.4668</v>
      </c>
      <c r="AF35" s="136" t="n">
        <f aca="false">VLOOKUP($A35,expiration,2,FALSE())-$B$2</f>
        <v>-9006</v>
      </c>
      <c r="AG35" s="136" t="n">
        <f aca="false">VLOOKUP($A35,expiration,3,FALSE())-$B$2</f>
        <v>-9009</v>
      </c>
      <c r="AH35" s="4" t="n">
        <f aca="false">VLOOKUP($A35,STRADDLE,12,FALSE())</f>
        <v>0.068214589689939</v>
      </c>
      <c r="AI35" s="43" t="n">
        <f aca="false">A36-A35</f>
        <v>28</v>
      </c>
      <c r="AL35" s="136"/>
      <c r="AM35" s="9"/>
      <c r="AN35" s="9" t="n">
        <f aca="false">IF($A35&gt;=AO$25,IF($A35&lt;=AO$26,$AI35,0),0)</f>
        <v>0</v>
      </c>
      <c r="AO35" s="9" t="e">
        <f aca="false">AQ35/AN35</f>
        <v>#DIV/0!</v>
      </c>
      <c r="AP35" s="1" t="n">
        <f aca="false">AN35*($B35+B$13)</f>
        <v>0</v>
      </c>
      <c r="AQ35" s="33" t="n">
        <f aca="false">IF(ISNUMBER(((AP35/AN35)+B$14+$D35)*AN35),((AP35/AN35)+B$14+$D35)*AN35,0)</f>
        <v>0</v>
      </c>
      <c r="AR35" s="44" t="n">
        <f aca="false">IF(AN35=0,0,bsd(1,AS$27,AO35,$I35,$F35,$G35,$AH35,0.1))</f>
        <v>0</v>
      </c>
      <c r="AS35" s="44" t="n">
        <f aca="false">IF(AN35=0,0,bsd(2,AS$27,AO35,$I35,$F35,$G35,$AH35,0.1))</f>
        <v>0</v>
      </c>
      <c r="AT35" s="44" t="n">
        <f aca="false">IF(AN35=0,0,bsd(AS$28,AS$27,AO35,$I35,$F35,$G35,$AH35,0.1))</f>
        <v>0</v>
      </c>
      <c r="AU35" s="45" t="n">
        <f aca="false">AN35*AR35</f>
        <v>0</v>
      </c>
      <c r="AV35" s="45" t="n">
        <f aca="false">AN35*AS35</f>
        <v>0</v>
      </c>
      <c r="AW35" s="45" t="n">
        <f aca="false">AN35*AT35</f>
        <v>0</v>
      </c>
      <c r="AY35" s="9" t="n">
        <f aca="false">IF($A35&gt;=AZ$25,IF($A35&lt;=AZ$26,$AI35,0),0)</f>
        <v>28</v>
      </c>
      <c r="AZ35" s="9" t="n">
        <f aca="false">BB35/AY35</f>
        <v>5.8088</v>
      </c>
      <c r="BA35" s="1" t="n">
        <f aca="false">AY35*($B35+D$13)</f>
        <v>159.1464</v>
      </c>
      <c r="BB35" s="33" t="n">
        <f aca="false">IF(ISNUMBER(((BA35/AY35)+D$14+$K35)*AY35),((BA35/AY35)+D$14+$K35)*AY35,0)</f>
        <v>162.6464</v>
      </c>
      <c r="BC35" s="44" t="e">
        <f aca="false">IF(AY35=0,0,bsd(1,BD$27,AZ35,$P35,$M35,$N35,$AH35,0.1))</f>
        <v>#VALUE!</v>
      </c>
      <c r="BD35" s="44" t="e">
        <f aca="false">IF(AY35=0,0,bsd(2,BD$27,AZ35,$P35,$M35,$N35,$AH35,0.1))</f>
        <v>#VALUE!</v>
      </c>
      <c r="BE35" s="44" t="e">
        <f aca="false">IF(AY35=0,0,bsd(BD$28,BD$27,AZ35,$P35,$M35,$N35,$AH35,0.1))</f>
        <v>#VALUE!</v>
      </c>
      <c r="BF35" s="45" t="e">
        <f aca="false">AY35*BC35</f>
        <v>#VALUE!</v>
      </c>
      <c r="BG35" s="45" t="e">
        <f aca="false">AY35*BD35</f>
        <v>#VALUE!</v>
      </c>
      <c r="BH35" s="45" t="e">
        <f aca="false">AY35*BE35</f>
        <v>#VALUE!</v>
      </c>
      <c r="BJ35" s="9" t="n">
        <f aca="false">IF($A35&gt;=BK$25,IF($A35&lt;=BK$26,$AI35,0),0)</f>
        <v>0</v>
      </c>
      <c r="BK35" s="9" t="e">
        <f aca="false">BM35/BJ35</f>
        <v>#DIV/0!</v>
      </c>
      <c r="BL35" s="1" t="n">
        <f aca="false">BJ35*($B35+F$13)</f>
        <v>0</v>
      </c>
      <c r="BM35" s="33" t="n">
        <f aca="false">IF(ISNUMBER(((BL35/BJ35)+F$14+$R35)*BJ35),((BL35/BJ35)+F$14+$R35)*BJ35,0)</f>
        <v>0</v>
      </c>
      <c r="BN35" s="44" t="n">
        <f aca="false">IF(BJ35=0,0,bsd(1,BO$27,BK35,$W35,$T35,$U35,$AH35,0.1))</f>
        <v>0</v>
      </c>
      <c r="BO35" s="44" t="n">
        <f aca="false">IF(BJ35=0,0,bsd(2,BO$27,BK35,$W35,$T35,$U35,$AH35,0.1))</f>
        <v>0</v>
      </c>
      <c r="BP35" s="44" t="n">
        <f aca="false">IF(BJ35=0,0,bsd(BO$28,BO$27,BK35,$W35,$T35,$U35,$AH35,0.1))</f>
        <v>0</v>
      </c>
      <c r="BQ35" s="45" t="n">
        <f aca="false">BJ35*BN35</f>
        <v>0</v>
      </c>
      <c r="BR35" s="45" t="n">
        <f aca="false">BJ35*BO35</f>
        <v>0</v>
      </c>
      <c r="BS35" s="45" t="n">
        <f aca="false">BJ35*BP35</f>
        <v>0</v>
      </c>
      <c r="BU35" s="9" t="n">
        <f aca="false">IF($A35&gt;=BV$25,IF($A35&lt;=BV$26,$AI35,0),0)</f>
        <v>0</v>
      </c>
      <c r="BV35" s="9" t="e">
        <f aca="false">BX35/BU35</f>
        <v>#DIV/0!</v>
      </c>
      <c r="BW35" s="1" t="n">
        <f aca="false">BU35*($B35+H$13)</f>
        <v>0</v>
      </c>
      <c r="BX35" s="33" t="n">
        <f aca="false">IF(ISNUMBER(((BW35/BU35)+H$14+$Y35)*BU35),((BW35/BU35)+H$14+$Y35)*BU35,0)</f>
        <v>0</v>
      </c>
      <c r="BY35" s="44" t="n">
        <f aca="false">IF(BU35=0,0,bsd(1,BZ$27,BV35,$AD35,$AA35,$AB35,$AH35,0.1))</f>
        <v>0</v>
      </c>
      <c r="BZ35" s="44" t="n">
        <f aca="false">IF(BU35=0,0,bsd(2,BZ$27,BV35,$AD35,$AA35,$AB35,$AH35,0.1))</f>
        <v>0</v>
      </c>
      <c r="CA35" s="44" t="n">
        <f aca="false">IF(BU35=0,0,bsd(BZ$28,BZ$27,BV35,$AD35,$AA35,$AB35,$AH35,0.1))</f>
        <v>0</v>
      </c>
      <c r="CB35" s="45" t="n">
        <f aca="false">BU35*BY35</f>
        <v>0</v>
      </c>
      <c r="CC35" s="45" t="n">
        <f aca="false">BU35*BZ35</f>
        <v>0</v>
      </c>
      <c r="CD35" s="45" t="n">
        <f aca="false">BU35*CA35</f>
        <v>0</v>
      </c>
    </row>
    <row r="36" customFormat="false" ht="12.75" hidden="false" customHeight="false" outlineLevel="0" collapsed="false">
      <c r="A36" s="48" t="n">
        <f aca="false">DATE(YEAR(A35),MONTH(A35)+1,1)</f>
        <v>36951</v>
      </c>
      <c r="B36" s="40" t="n">
        <f aca="false">VLOOKUP(A36,STRADDLE,5,FALSE())</f>
        <v>4.8868</v>
      </c>
      <c r="C36" s="4" t="n">
        <f aca="false">VLOOKUP(A36,STRADDLE,8,FALSE())</f>
        <v>0.5375</v>
      </c>
      <c r="D36" s="40" t="n">
        <f aca="false">IF(D$28="nymex",0,VLOOKUP($A36,curvesettle,HLOOKUP(D$28,curvesettle,2,FALSE())))</f>
        <v>1.34</v>
      </c>
      <c r="E36" s="131" t="n">
        <f aca="false">IF(ISNUMBER(VLOOKUP($A36,VOLCURVES,HLOOKUP(D$28,VOLCURVES,2,FALSE()),FALSE())),VLOOKUP($A36,VOLCURVES,HLOOKUP(D$28,VOLCURVES,2,FALSE()),FALSE()),1)</f>
        <v>1.2</v>
      </c>
      <c r="F36" s="136" t="n">
        <f aca="false">IF(D$28="NYMEX",$AG36,$AF36)</f>
        <v>-8978</v>
      </c>
      <c r="G36" s="4" t="e">
        <f aca="false">(($C36+H36)*$E36)+B$15</f>
        <v>#DIV/0!</v>
      </c>
      <c r="H36" s="4" t="e">
        <f aca="false">IF($B$16=1,VLOOKUP($A36,SkewTable,HLOOKUP(ROUND(I36-AO36,1),SkewTable,2,FALSE()),FALSE())/100,0)</f>
        <v>#DIV/0!</v>
      </c>
      <c r="I36" s="41" t="n">
        <f aca="false">IF($B$19=4,$AO36,$B$18)</f>
        <v>5.05</v>
      </c>
      <c r="J36" s="123" t="n">
        <f aca="false">ROUND(I36-B36,1)</f>
        <v>0.2</v>
      </c>
      <c r="K36" s="40" t="n">
        <f aca="false">IF(K$28="nymex",0,VLOOKUP($A36,curvesettle,HLOOKUP(K$28,curvesettle,2,FALSE())))</f>
        <v>0.085</v>
      </c>
      <c r="L36" s="131" t="n">
        <f aca="false">IF(ISNUMBER(VLOOKUP($A36,VOLCURVES,HLOOKUP(K$28,VOLCURVES,2,FALSE()),FALSE())),VLOOKUP($A36,VOLCURVES,HLOOKUP(K$28,VOLCURVES,2,FALSE()),FALSE()),1)</f>
        <v>0.97</v>
      </c>
      <c r="M36" s="136" t="n">
        <f aca="false">IF(K$28="NYMEX",$AG36,$AF36)</f>
        <v>-8978</v>
      </c>
      <c r="N36" s="153" t="n">
        <f aca="false">(($C36+O36)*$L36)+D$15</f>
        <v>0.511975</v>
      </c>
      <c r="O36" s="4" t="n">
        <f aca="false">IF($D$16=1,VLOOKUP($A36,SkewTable,HLOOKUP(ROUND(P36-AZ36,1),SkewTable,2,FALSE()),FALSE())/100,0)</f>
        <v>-0.02</v>
      </c>
      <c r="P36" s="41" t="n">
        <f aca="false">IF($D$19=4,$AZ36,$D$18)</f>
        <v>5.1</v>
      </c>
      <c r="R36" s="40" t="n">
        <f aca="false">IF(R$28="nymex",0,VLOOKUP($A36,curvesettle,HLOOKUP(R$28,curvesettle,2,FALSE())))</f>
        <v>-0.03</v>
      </c>
      <c r="S36" s="131" t="n">
        <f aca="false">IF(ISNUMBER(VLOOKUP($A36,VOLCURVES,HLOOKUP(R$28,VOLCURVES,2,FALSE()),FALSE())),VLOOKUP($A36,VOLCURVES,HLOOKUP(R$28,VOLCURVES,2,FALSE()),FALSE()),1)</f>
        <v>1</v>
      </c>
      <c r="T36" s="136" t="n">
        <f aca="false">IF(R$28="NYMEX",$AG36,$AF36)</f>
        <v>-8978</v>
      </c>
      <c r="U36" s="153" t="e">
        <f aca="false">(($C36+V36)*$S36)+F$15</f>
        <v>#DIV/0!</v>
      </c>
      <c r="V36" s="4" t="e">
        <f aca="false">IF($F$16=1,VLOOKUP($A36,SkewTable,HLOOKUP(ROUND(W36-BK36,1),SkewTable,2,FALSE()),FALSE())/100,0)</f>
        <v>#DIV/0!</v>
      </c>
      <c r="W36" s="41" t="n">
        <f aca="false">IF($F$19=4,$BK36,$F$18)</f>
        <v>5.3983</v>
      </c>
      <c r="X36" s="136"/>
      <c r="Y36" s="40" t="n">
        <f aca="false">IF(Y$28="nymex",0,VLOOKUP($A36,curvesettle,HLOOKUP(Y$28,curvesettle,2,FALSE())))</f>
        <v>-0.03</v>
      </c>
      <c r="Z36" s="131" t="n">
        <f aca="false">IF(ISNUMBER(VLOOKUP($A36,VOLCURVES,HLOOKUP(Y$28,VOLCURVES,2,FALSE()),FALSE())),VLOOKUP($A36,VOLCURVES,HLOOKUP(Y$28,VOLCURVES,2,FALSE()),FALSE()),1)</f>
        <v>1</v>
      </c>
      <c r="AA36" s="136" t="n">
        <f aca="false">IF(Y$28="NYMEX",$AG36,$AF36)</f>
        <v>-8978</v>
      </c>
      <c r="AB36" s="4" t="e">
        <f aca="false">(($C36+AC36)*$Z36)+H$15</f>
        <v>#DIV/0!</v>
      </c>
      <c r="AC36" s="4" t="e">
        <f aca="false">IF($H$16=1,VLOOKUP($A36,SkewTable,HLOOKUP(ROUND(AD36-BV36,1),SkewTable,2,FALSE()),FALSE())/100,0)</f>
        <v>#DIV/0!</v>
      </c>
      <c r="AD36" s="41" t="n">
        <f aca="false">IF($H$19=4,$BV36,$H$18)</f>
        <v>5.4668</v>
      </c>
      <c r="AF36" s="136" t="n">
        <f aca="false">VLOOKUP($A36,expiration,2,FALSE())-$B$2</f>
        <v>-8978</v>
      </c>
      <c r="AG36" s="136" t="n">
        <f aca="false">VLOOKUP($A36,expiration,3,FALSE())-$B$2</f>
        <v>-8981</v>
      </c>
      <c r="AH36" s="4" t="n">
        <f aca="false">VLOOKUP($A36,STRADDLE,12,FALSE())</f>
        <v>0.068276029462339</v>
      </c>
      <c r="AI36" s="43" t="n">
        <f aca="false">A37-A36</f>
        <v>31</v>
      </c>
      <c r="AL36" s="136"/>
      <c r="AM36" s="9"/>
      <c r="AN36" s="9" t="n">
        <f aca="false">IF($A36&gt;=AO$25,IF($A36&lt;=AO$26,$AI36,0),0)</f>
        <v>0</v>
      </c>
      <c r="AO36" s="9" t="e">
        <f aca="false">AQ36/AN36</f>
        <v>#DIV/0!</v>
      </c>
      <c r="AP36" s="1" t="n">
        <f aca="false">AN36*($B36+B$13)</f>
        <v>0</v>
      </c>
      <c r="AQ36" s="33" t="n">
        <f aca="false">IF(ISNUMBER(((AP36/AN36)+B$14+$D36)*AN36),((AP36/AN36)+B$14+$D36)*AN36,0)</f>
        <v>0</v>
      </c>
      <c r="AR36" s="44" t="n">
        <f aca="false">IF(AN36=0,0,bsd(1,AS$27,AO36,$I36,$F36,$G36,$AH36,0.1))</f>
        <v>0</v>
      </c>
      <c r="AS36" s="44" t="n">
        <f aca="false">IF(AN36=0,0,bsd(2,AS$27,AO36,$I36,$F36,$G36,$AH36,0.1))</f>
        <v>0</v>
      </c>
      <c r="AT36" s="44" t="n">
        <f aca="false">IF(AN36=0,0,bsd(AS$28,AS$27,AO36,$I36,$F36,$G36,$AH36,0.1))</f>
        <v>0</v>
      </c>
      <c r="AU36" s="45" t="n">
        <f aca="false">AN36*AR36</f>
        <v>0</v>
      </c>
      <c r="AV36" s="45" t="n">
        <f aca="false">AN36*AS36</f>
        <v>0</v>
      </c>
      <c r="AW36" s="45" t="n">
        <f aca="false">AN36*AT36</f>
        <v>0</v>
      </c>
      <c r="AY36" s="9" t="n">
        <f aca="false">IF($A36&gt;=AZ$25,IF($A36&lt;=AZ$26,$AI36,0),0)</f>
        <v>31</v>
      </c>
      <c r="AZ36" s="9" t="n">
        <f aca="false">BB36/AY36</f>
        <v>5.4718</v>
      </c>
      <c r="BA36" s="1" t="n">
        <f aca="false">AY36*($B36+D$13)</f>
        <v>166.9908</v>
      </c>
      <c r="BB36" s="33" t="n">
        <f aca="false">IF(ISNUMBER(((BA36/AY36)+D$14+$K36)*AY36),((BA36/AY36)+D$14+$K36)*AY36,0)</f>
        <v>169.6258</v>
      </c>
      <c r="BC36" s="44" t="e">
        <f aca="false">IF(AY36=0,0,bsd(1,BD$27,AZ36,$P36,$M36,$N36,$AH36,0.1))</f>
        <v>#VALUE!</v>
      </c>
      <c r="BD36" s="44" t="e">
        <f aca="false">IF(AY36=0,0,bsd(2,BD$27,AZ36,$P36,$M36,$N36,$AH36,0.1))</f>
        <v>#VALUE!</v>
      </c>
      <c r="BE36" s="44" t="e">
        <f aca="false">IF(AY36=0,0,bsd(BD$28,BD$27,AZ36,$P36,$M36,$N36,$AH36,0.1))</f>
        <v>#VALUE!</v>
      </c>
      <c r="BF36" s="45" t="e">
        <f aca="false">AY36*BC36</f>
        <v>#VALUE!</v>
      </c>
      <c r="BG36" s="45" t="e">
        <f aca="false">AY36*BD36</f>
        <v>#VALUE!</v>
      </c>
      <c r="BH36" s="45" t="e">
        <f aca="false">AY36*BE36</f>
        <v>#VALUE!</v>
      </c>
      <c r="BJ36" s="9" t="n">
        <f aca="false">IF($A36&gt;=BK$25,IF($A36&lt;=BK$26,$AI36,0),0)</f>
        <v>0</v>
      </c>
      <c r="BK36" s="9" t="e">
        <f aca="false">BM36/BJ36</f>
        <v>#DIV/0!</v>
      </c>
      <c r="BL36" s="1" t="n">
        <f aca="false">BJ36*($B36+F$13)</f>
        <v>0</v>
      </c>
      <c r="BM36" s="33" t="n">
        <f aca="false">IF(ISNUMBER(((BL36/BJ36)+F$14+$R36)*BJ36),((BL36/BJ36)+F$14+$R36)*BJ36,0)</f>
        <v>0</v>
      </c>
      <c r="BN36" s="44" t="n">
        <f aca="false">IF(BJ36=0,0,bsd(1,BO$27,BK36,$W36,$T36,$U36,$AH36,0.1))</f>
        <v>0</v>
      </c>
      <c r="BO36" s="44" t="n">
        <f aca="false">IF(BJ36=0,0,bsd(2,BO$27,BK36,$W36,$T36,$U36,$AH36,0.1))</f>
        <v>0</v>
      </c>
      <c r="BP36" s="44" t="n">
        <f aca="false">IF(BJ36=0,0,bsd(BO$28,BO$27,BK36,$W36,$T36,$U36,$AH36,0.1))</f>
        <v>0</v>
      </c>
      <c r="BQ36" s="45" t="n">
        <f aca="false">BJ36*BN36</f>
        <v>0</v>
      </c>
      <c r="BR36" s="45" t="n">
        <f aca="false">BJ36*BO36</f>
        <v>0</v>
      </c>
      <c r="BS36" s="45" t="n">
        <f aca="false">BJ36*BP36</f>
        <v>0</v>
      </c>
      <c r="BU36" s="9" t="n">
        <f aca="false">IF($A36&gt;=BV$25,IF($A36&lt;=BV$26,$AI36,0),0)</f>
        <v>0</v>
      </c>
      <c r="BV36" s="9" t="e">
        <f aca="false">BX36/BU36</f>
        <v>#DIV/0!</v>
      </c>
      <c r="BW36" s="1" t="n">
        <f aca="false">BU36*($B36+H$13)</f>
        <v>0</v>
      </c>
      <c r="BX36" s="33" t="n">
        <f aca="false">IF(ISNUMBER(((BW36/BU36)+H$14+$Y36)*BU36),((BW36/BU36)+H$14+$Y36)*BU36,0)</f>
        <v>0</v>
      </c>
      <c r="BY36" s="44" t="n">
        <f aca="false">IF(BU36=0,0,bsd(1,BZ$27,BV36,$AD36,$AA36,$AB36,$AH36,0.1))</f>
        <v>0</v>
      </c>
      <c r="BZ36" s="44" t="n">
        <f aca="false">IF(BU36=0,0,bsd(2,BZ$27,BV36,$AD36,$AA36,$AB36,$AH36,0.1))</f>
        <v>0</v>
      </c>
      <c r="CA36" s="44" t="n">
        <f aca="false">IF(BU36=0,0,bsd(BZ$28,BZ$27,BV36,$AD36,$AA36,$AB36,$AH36,0.1))</f>
        <v>0</v>
      </c>
      <c r="CB36" s="45" t="n">
        <f aca="false">BU36*BY36</f>
        <v>0</v>
      </c>
      <c r="CC36" s="45" t="n">
        <f aca="false">BU36*BZ36</f>
        <v>0</v>
      </c>
      <c r="CD36" s="45" t="n">
        <f aca="false">BU36*CA36</f>
        <v>0</v>
      </c>
    </row>
    <row r="37" customFormat="false" ht="12.75" hidden="false" customHeight="false" outlineLevel="0" collapsed="false">
      <c r="A37" s="48" t="n">
        <f aca="false">DATE(YEAR(A36),MONTH(A36)+1,1)</f>
        <v>36982</v>
      </c>
      <c r="B37" s="40" t="n">
        <f aca="false">VLOOKUP(A37,STRADDLE,5,FALSE())</f>
        <v>4.57071428571429</v>
      </c>
      <c r="C37" s="4" t="n">
        <f aca="false">VLOOKUP(A37,STRADDLE,8,FALSE())</f>
        <v>0.435</v>
      </c>
      <c r="D37" s="40" t="n">
        <f aca="false">IF(D$28="nymex",0,VLOOKUP($A37,curvesettle,HLOOKUP(D$28,curvesettle,2,FALSE())))</f>
        <v>0.52</v>
      </c>
      <c r="E37" s="131" t="n">
        <f aca="false">IF(ISNUMBER(VLOOKUP($A37,VOLCURVES,HLOOKUP(D$28,VOLCURVES,2,FALSE()),FALSE())),VLOOKUP($A37,VOLCURVES,HLOOKUP(D$28,VOLCURVES,2,FALSE()),FALSE()),1)</f>
        <v>0.98</v>
      </c>
      <c r="F37" s="136" t="n">
        <f aca="false">IF(D$28="NYMEX",$AG37,$AF37)</f>
        <v>-8948</v>
      </c>
      <c r="G37" s="4" t="e">
        <f aca="false">(($C37+H37)*$E37)+B$15</f>
        <v>#DIV/0!</v>
      </c>
      <c r="H37" s="4" t="e">
        <f aca="false">IF($B$16=1,VLOOKUP($A37,SkewTable,HLOOKUP(ROUND(I37-AO37,1),SkewTable,2,FALSE()),FALSE())/100,0)</f>
        <v>#DIV/0!</v>
      </c>
      <c r="I37" s="41" t="n">
        <f aca="false">IF($B$19=4,$AO37,$B$18)</f>
        <v>5.05</v>
      </c>
      <c r="K37" s="40" t="n">
        <f aca="false">IF(K$28="nymex",0,VLOOKUP($A37,curvesettle,HLOOKUP(K$28,curvesettle,2,FALSE())))</f>
        <v>-0.055</v>
      </c>
      <c r="L37" s="131" t="n">
        <f aca="false">IF(ISNUMBER(VLOOKUP($A37,VOLCURVES,HLOOKUP(K$28,VOLCURVES,2,FALSE()),FALSE())),VLOOKUP($A37,VOLCURVES,HLOOKUP(K$28,VOLCURVES,2,FALSE()),FALSE()),1)</f>
        <v>1</v>
      </c>
      <c r="M37" s="136" t="n">
        <f aca="false">IF(K$28="NYMEX",$AG37,$AF37)</f>
        <v>-8948</v>
      </c>
      <c r="N37" s="153" t="e">
        <f aca="false">(($C37+O37)*$L37)+D$15</f>
        <v>#DIV/0!</v>
      </c>
      <c r="O37" s="4" t="e">
        <f aca="false">IF($D$16=1,VLOOKUP($A37,SkewTable,HLOOKUP(ROUND(P37-AZ37,1),SkewTable,2,FALSE()),FALSE())/100,0)</f>
        <v>#DIV/0!</v>
      </c>
      <c r="P37" s="41" t="n">
        <f aca="false">IF($D$19=4,$AZ37,$D$18)</f>
        <v>5.1</v>
      </c>
      <c r="R37" s="40" t="n">
        <f aca="false">IF(R$28="nymex",0,VLOOKUP($A37,curvesettle,HLOOKUP(R$28,curvesettle,2,FALSE())))</f>
        <v>0.0125</v>
      </c>
      <c r="S37" s="131" t="n">
        <f aca="false">IF(ISNUMBER(VLOOKUP($A37,VOLCURVES,HLOOKUP(R$28,VOLCURVES,2,FALSE()),FALSE())),VLOOKUP($A37,VOLCURVES,HLOOKUP(R$28,VOLCURVES,2,FALSE()),FALSE()),1)</f>
        <v>1</v>
      </c>
      <c r="T37" s="136" t="n">
        <f aca="false">IF(R$28="NYMEX",$AG37,$AF37)</f>
        <v>-8948</v>
      </c>
      <c r="U37" s="153" t="e">
        <f aca="false">(($C37+V37)*$S37)+F$15</f>
        <v>#DIV/0!</v>
      </c>
      <c r="V37" s="4" t="e">
        <f aca="false">IF($F$16=1,VLOOKUP($A37,SkewTable,HLOOKUP(ROUND(W37-BK37,1),SkewTable,2,FALSE()),FALSE())/100,0)</f>
        <v>#DIV/0!</v>
      </c>
      <c r="W37" s="41" t="n">
        <f aca="false">IF($F$19=4,$BK37,$F$18)</f>
        <v>5.3983</v>
      </c>
      <c r="X37" s="136"/>
      <c r="Y37" s="40" t="n">
        <f aca="false">IF(Y$28="nymex",0,VLOOKUP($A37,curvesettle,HLOOKUP(Y$28,curvesettle,2,FALSE())))</f>
        <v>0.0125</v>
      </c>
      <c r="Z37" s="131" t="n">
        <f aca="false">IF(ISNUMBER(VLOOKUP($A37,VOLCURVES,HLOOKUP(Y$28,VOLCURVES,2,FALSE()),FALSE())),VLOOKUP($A37,VOLCURVES,HLOOKUP(Y$28,VOLCURVES,2,FALSE()),FALSE()),1)</f>
        <v>1</v>
      </c>
      <c r="AA37" s="136" t="n">
        <f aca="false">IF(Y$28="NYMEX",$AG37,$AF37)</f>
        <v>-8948</v>
      </c>
      <c r="AB37" s="4" t="e">
        <f aca="false">(($C37+AC37)*$Z37)+H$15</f>
        <v>#DIV/0!</v>
      </c>
      <c r="AC37" s="4" t="e">
        <f aca="false">IF($H$16=1,VLOOKUP($A37,SkewTable,HLOOKUP(ROUND(AD37-BV37,1),SkewTable,2,FALSE()),FALSE())/100,0)</f>
        <v>#DIV/0!</v>
      </c>
      <c r="AD37" s="41" t="n">
        <f aca="false">IF($H$19=4,$BV37,$H$18)</f>
        <v>5.4668</v>
      </c>
      <c r="AF37" s="136" t="n">
        <f aca="false">VLOOKUP($A37,expiration,2,FALSE())-$B$2</f>
        <v>-8948</v>
      </c>
      <c r="AG37" s="136" t="n">
        <f aca="false">VLOOKUP($A37,expiration,3,FALSE())-$B$2</f>
        <v>-8949</v>
      </c>
      <c r="AH37" s="4" t="n">
        <f aca="false">VLOOKUP($A37,STRADDLE,12,FALSE())</f>
        <v>0.068254674043478</v>
      </c>
      <c r="AI37" s="43" t="n">
        <f aca="false">A38-A37</f>
        <v>30</v>
      </c>
      <c r="AL37" s="136"/>
      <c r="AM37" s="9"/>
      <c r="AN37" s="9" t="n">
        <f aca="false">IF($A37&gt;=AO$25,IF($A37&lt;=AO$26,$AI37,0),0)</f>
        <v>0</v>
      </c>
      <c r="AO37" s="9" t="e">
        <f aca="false">AQ37/AN37</f>
        <v>#DIV/0!</v>
      </c>
      <c r="AP37" s="1" t="n">
        <f aca="false">AN37*($B37+B$13)</f>
        <v>0</v>
      </c>
      <c r="AQ37" s="33" t="n">
        <f aca="false">IF(ISNUMBER(((AP37/AN37)+B$14+$D37)*AN37),((AP37/AN37)+B$14+$D37)*AN37,0)</f>
        <v>0</v>
      </c>
      <c r="AR37" s="44" t="n">
        <f aca="false">IF(AN37=0,0,bsd(1,AS$27,AO37,$I37,$F37,$G37,$AH37,0.1))</f>
        <v>0</v>
      </c>
      <c r="AS37" s="44" t="n">
        <f aca="false">IF(AN37=0,0,bsd(2,AS$27,AO37,$I37,$F37,$G37,$AH37,0.1))</f>
        <v>0</v>
      </c>
      <c r="AT37" s="44" t="n">
        <f aca="false">IF(AN37=0,0,bsd(AS$28,AS$27,AO37,$I37,$F37,$G37,$AH37,0.1))</f>
        <v>0</v>
      </c>
      <c r="AU37" s="45" t="n">
        <f aca="false">AN37*AR37</f>
        <v>0</v>
      </c>
      <c r="AV37" s="45" t="n">
        <f aca="false">AN37*AS37</f>
        <v>0</v>
      </c>
      <c r="AW37" s="45" t="n">
        <f aca="false">AN37*AT37</f>
        <v>0</v>
      </c>
      <c r="AY37" s="9" t="n">
        <f aca="false">IF($A37&gt;=AZ$25,IF($A37&lt;=AZ$26,$AI37,0),0)</f>
        <v>0</v>
      </c>
      <c r="AZ37" s="9" t="e">
        <f aca="false">BB37/AY37</f>
        <v>#DIV/0!</v>
      </c>
      <c r="BA37" s="1" t="n">
        <f aca="false">AY37*($B37+D$13)</f>
        <v>0</v>
      </c>
      <c r="BB37" s="33" t="n">
        <f aca="false">IF(ISNUMBER(((BA37/AY37)+D$14+$K37)*AY37),((BA37/AY37)+D$14+$K37)*AY37,0)</f>
        <v>0</v>
      </c>
      <c r="BC37" s="44" t="n">
        <f aca="false">IF(AY37=0,0,bsd(1,BD$27,AZ37,$P37,$M37,$N37,$AH37,0.1))</f>
        <v>0</v>
      </c>
      <c r="BD37" s="44" t="n">
        <f aca="false">IF(AY37=0,0,bsd(2,BD$27,AZ37,$P37,$M37,$N37,$AH37,0.1))</f>
        <v>0</v>
      </c>
      <c r="BE37" s="44" t="n">
        <f aca="false">IF(AY37=0,0,bsd(BD$28,BD$27,AZ37,$P37,$M37,$N37,$AH37,0.1))</f>
        <v>0</v>
      </c>
      <c r="BF37" s="45" t="n">
        <f aca="false">AY37*BC37</f>
        <v>0</v>
      </c>
      <c r="BG37" s="45" t="n">
        <f aca="false">AY37*BD37</f>
        <v>0</v>
      </c>
      <c r="BH37" s="45" t="n">
        <f aca="false">AY37*BE37</f>
        <v>0</v>
      </c>
      <c r="BJ37" s="9" t="n">
        <f aca="false">IF($A37&gt;=BK$25,IF($A37&lt;=BK$26,$AI37,0),0)</f>
        <v>0</v>
      </c>
      <c r="BK37" s="9" t="e">
        <f aca="false">BM37/BJ37</f>
        <v>#DIV/0!</v>
      </c>
      <c r="BL37" s="1" t="n">
        <f aca="false">BJ37*($B37+F$13)</f>
        <v>0</v>
      </c>
      <c r="BM37" s="33" t="n">
        <f aca="false">IF(ISNUMBER(((BL37/BJ37)+F$14+$R37)*BJ37),((BL37/BJ37)+F$14+$R37)*BJ37,0)</f>
        <v>0</v>
      </c>
      <c r="BN37" s="44" t="n">
        <f aca="false">IF(BJ37=0,0,bsd(1,BO$27,BK37,$W37,$T37,$U37,$AH37,0.1))</f>
        <v>0</v>
      </c>
      <c r="BO37" s="44" t="n">
        <f aca="false">IF(BJ37=0,0,bsd(2,BO$27,BK37,$W37,$T37,$U37,$AH37,0.1))</f>
        <v>0</v>
      </c>
      <c r="BP37" s="44" t="n">
        <f aca="false">IF(BJ37=0,0,bsd(BO$28,BO$27,BK37,$W37,$T37,$U37,$AH37,0.1))</f>
        <v>0</v>
      </c>
      <c r="BQ37" s="45" t="n">
        <f aca="false">BJ37*BN37</f>
        <v>0</v>
      </c>
      <c r="BR37" s="45" t="n">
        <f aca="false">BJ37*BO37</f>
        <v>0</v>
      </c>
      <c r="BS37" s="45" t="n">
        <f aca="false">BJ37*BP37</f>
        <v>0</v>
      </c>
      <c r="BU37" s="9" t="n">
        <f aca="false">IF($A37&gt;=BV$25,IF($A37&lt;=BV$26,$AI37,0),0)</f>
        <v>0</v>
      </c>
      <c r="BV37" s="9" t="e">
        <f aca="false">BX37/BU37</f>
        <v>#DIV/0!</v>
      </c>
      <c r="BW37" s="1" t="n">
        <f aca="false">BU37*($B37+H$13)</f>
        <v>0</v>
      </c>
      <c r="BX37" s="33" t="n">
        <f aca="false">IF(ISNUMBER(((BW37/BU37)+H$14+$Y37)*BU37),((BW37/BU37)+H$14+$Y37)*BU37,0)</f>
        <v>0</v>
      </c>
      <c r="BY37" s="44" t="n">
        <f aca="false">IF(BU37=0,0,bsd(1,BZ$27,BV37,$AD37,$AA37,$AB37,$AH37,0.1))</f>
        <v>0</v>
      </c>
      <c r="BZ37" s="44" t="n">
        <f aca="false">IF(BU37=0,0,bsd(2,BZ$27,BV37,$AD37,$AA37,$AB37,$AH37,0.1))</f>
        <v>0</v>
      </c>
      <c r="CA37" s="44" t="n">
        <f aca="false">IF(BU37=0,0,bsd(BZ$28,BZ$27,BV37,$AD37,$AA37,$AB37,$AH37,0.1))</f>
        <v>0</v>
      </c>
      <c r="CB37" s="45" t="n">
        <f aca="false">BU37*BY37</f>
        <v>0</v>
      </c>
      <c r="CC37" s="45" t="n">
        <f aca="false">BU37*BZ37</f>
        <v>0</v>
      </c>
      <c r="CD37" s="45" t="n">
        <f aca="false">BU37*CA37</f>
        <v>0</v>
      </c>
    </row>
    <row r="38" customFormat="false" ht="12.75" hidden="false" customHeight="false" outlineLevel="0" collapsed="false">
      <c r="A38" s="48" t="n">
        <f aca="false">DATE(YEAR(A37),MONTH(A37)+1,1)</f>
        <v>37012</v>
      </c>
      <c r="B38" s="40" t="n">
        <f aca="false">VLOOKUP(A38,STRADDLE,5,FALSE())</f>
        <v>4.46571428571429</v>
      </c>
      <c r="C38" s="4" t="n">
        <f aca="false">VLOOKUP(A38,STRADDLE,8,FALSE())</f>
        <v>0.3975</v>
      </c>
      <c r="D38" s="40" t="n">
        <f aca="false">IF(D$28="nymex",0,VLOOKUP($A38,curvesettle,HLOOKUP(D$28,curvesettle,2,FALSE())))</f>
        <v>0.405</v>
      </c>
      <c r="E38" s="131" t="n">
        <f aca="false">IF(ISNUMBER(VLOOKUP($A38,VOLCURVES,HLOOKUP(D$28,VOLCURVES,2,FALSE()),FALSE())),VLOOKUP($A38,VOLCURVES,HLOOKUP(D$28,VOLCURVES,2,FALSE()),FALSE()),1)</f>
        <v>0.98</v>
      </c>
      <c r="F38" s="136" t="n">
        <f aca="false">IF(D$28="NYMEX",$AG38,$AF38)</f>
        <v>-8919</v>
      </c>
      <c r="G38" s="4" t="e">
        <f aca="false">(($C38+H38)*$E38)+B$15</f>
        <v>#DIV/0!</v>
      </c>
      <c r="H38" s="4" t="e">
        <f aca="false">IF($B$16=1,VLOOKUP($A38,SkewTable,HLOOKUP(ROUND(I38-AO38,1),SkewTable,2,FALSE()),FALSE())/100,0)</f>
        <v>#DIV/0!</v>
      </c>
      <c r="I38" s="41" t="n">
        <f aca="false">IF($B$19=4,$AO38,$B$18)</f>
        <v>5.05</v>
      </c>
      <c r="K38" s="40" t="n">
        <f aca="false">IF(K$28="nymex",0,VLOOKUP($A38,curvesettle,HLOOKUP(K$28,curvesettle,2,FALSE())))</f>
        <v>-0.04</v>
      </c>
      <c r="L38" s="131" t="n">
        <f aca="false">IF(ISNUMBER(VLOOKUP($A38,VOLCURVES,HLOOKUP(K$28,VOLCURVES,2,FALSE()),FALSE())),VLOOKUP($A38,VOLCURVES,HLOOKUP(K$28,VOLCURVES,2,FALSE()),FALSE()),1)</f>
        <v>1</v>
      </c>
      <c r="M38" s="136" t="n">
        <f aca="false">IF(K$28="NYMEX",$AG38,$AF38)</f>
        <v>-8919</v>
      </c>
      <c r="N38" s="153" t="e">
        <f aca="false">(($C38+O38)*$L38)+D$15</f>
        <v>#DIV/0!</v>
      </c>
      <c r="O38" s="4" t="e">
        <f aca="false">IF($D$16=1,VLOOKUP($A38,SkewTable,HLOOKUP(ROUND(P38-AZ38,1),SkewTable,2,FALSE()),FALSE())/100,0)</f>
        <v>#DIV/0!</v>
      </c>
      <c r="P38" s="41" t="n">
        <f aca="false">IF($D$19=4,$AZ38,$D$18)</f>
        <v>5.1</v>
      </c>
      <c r="R38" s="40" t="n">
        <f aca="false">IF(R$28="nymex",0,VLOOKUP($A38,curvesettle,HLOOKUP(R$28,curvesettle,2,FALSE())))</f>
        <v>0.015</v>
      </c>
      <c r="S38" s="131" t="n">
        <f aca="false">IF(ISNUMBER(VLOOKUP($A38,VOLCURVES,HLOOKUP(R$28,VOLCURVES,2,FALSE()),FALSE())),VLOOKUP($A38,VOLCURVES,HLOOKUP(R$28,VOLCURVES,2,FALSE()),FALSE()),1)</f>
        <v>1</v>
      </c>
      <c r="T38" s="136" t="n">
        <f aca="false">IF(R$28="NYMEX",$AG38,$AF38)</f>
        <v>-8919</v>
      </c>
      <c r="U38" s="153" t="e">
        <f aca="false">(($C38+V38)*$S38)+F$15</f>
        <v>#DIV/0!</v>
      </c>
      <c r="V38" s="4" t="e">
        <f aca="false">IF($F$16=1,VLOOKUP($A38,SkewTable,HLOOKUP(ROUND(W38-BK38,1),SkewTable,2,FALSE()),FALSE())/100,0)</f>
        <v>#DIV/0!</v>
      </c>
      <c r="W38" s="41" t="n">
        <f aca="false">IF($F$19=4,$BK38,$F$18)</f>
        <v>5.3983</v>
      </c>
      <c r="X38" s="136"/>
      <c r="Y38" s="40" t="n">
        <f aca="false">IF(Y$28="nymex",0,VLOOKUP($A38,curvesettle,HLOOKUP(Y$28,curvesettle,2,FALSE())))</f>
        <v>0.015</v>
      </c>
      <c r="Z38" s="131" t="n">
        <f aca="false">IF(ISNUMBER(VLOOKUP($A38,VOLCURVES,HLOOKUP(Y$28,VOLCURVES,2,FALSE()),FALSE())),VLOOKUP($A38,VOLCURVES,HLOOKUP(Y$28,VOLCURVES,2,FALSE()),FALSE()),1)</f>
        <v>1</v>
      </c>
      <c r="AA38" s="136" t="n">
        <f aca="false">IF(Y$28="NYMEX",$AG38,$AF38)</f>
        <v>-8919</v>
      </c>
      <c r="AB38" s="4" t="e">
        <f aca="false">(($C38+AC38)*$Z38)+H$15</f>
        <v>#DIV/0!</v>
      </c>
      <c r="AC38" s="4" t="e">
        <f aca="false">IF($H$16=1,VLOOKUP($A38,SkewTable,HLOOKUP(ROUND(AD38-BV38,1),SkewTable,2,FALSE()),FALSE())/100,0)</f>
        <v>#DIV/0!</v>
      </c>
      <c r="AD38" s="41" t="n">
        <f aca="false">IF($H$19=4,$BV38,$H$18)</f>
        <v>5.4668</v>
      </c>
      <c r="AF38" s="136" t="n">
        <f aca="false">VLOOKUP($A38,expiration,2,FALSE())-$B$2</f>
        <v>-8919</v>
      </c>
      <c r="AG38" s="136" t="n">
        <f aca="false">VLOOKUP($A38,expiration,3,FALSE())-$B$2</f>
        <v>-8920</v>
      </c>
      <c r="AH38" s="4" t="n">
        <f aca="false">VLOOKUP($A38,STRADDLE,12,FALSE())</f>
        <v>0.068096132754615</v>
      </c>
      <c r="AI38" s="43" t="n">
        <f aca="false">A39-A38</f>
        <v>31</v>
      </c>
      <c r="AL38" s="136"/>
      <c r="AM38" s="9"/>
      <c r="AN38" s="9" t="n">
        <f aca="false">IF($A38&gt;=AO$25,IF($A38&lt;=AO$26,$AI38,0),0)</f>
        <v>0</v>
      </c>
      <c r="AO38" s="9" t="e">
        <f aca="false">AQ38/AN38</f>
        <v>#DIV/0!</v>
      </c>
      <c r="AP38" s="1" t="n">
        <f aca="false">AN38*($B38+B$13)</f>
        <v>0</v>
      </c>
      <c r="AQ38" s="33" t="n">
        <f aca="false">IF(ISNUMBER(((AP38/AN38)+B$14+$D38)*AN38),((AP38/AN38)+B$14+$D38)*AN38,0)</f>
        <v>0</v>
      </c>
      <c r="AR38" s="44" t="n">
        <f aca="false">IF(AN38=0,0,bsd(1,AS$27,AO38,$I38,$F38,$G38,$AH38,0.1))</f>
        <v>0</v>
      </c>
      <c r="AS38" s="44" t="n">
        <f aca="false">IF(AN38=0,0,bsd(2,AS$27,AO38,$I38,$F38,$G38,$AH38,0.1))</f>
        <v>0</v>
      </c>
      <c r="AT38" s="44" t="n">
        <f aca="false">IF(AN38=0,0,bsd(AS$28,AS$27,AO38,$I38,$F38,$G38,$AH38,0.1))</f>
        <v>0</v>
      </c>
      <c r="AU38" s="45" t="n">
        <f aca="false">AN38*AR38</f>
        <v>0</v>
      </c>
      <c r="AV38" s="45" t="n">
        <f aca="false">AN38*AS38</f>
        <v>0</v>
      </c>
      <c r="AW38" s="45" t="n">
        <f aca="false">AN38*AT38</f>
        <v>0</v>
      </c>
      <c r="AY38" s="9" t="n">
        <f aca="false">IF($A38&gt;=AZ$25,IF($A38&lt;=AZ$26,$AI38,0),0)</f>
        <v>0</v>
      </c>
      <c r="AZ38" s="9" t="e">
        <f aca="false">BB38/AY38</f>
        <v>#DIV/0!</v>
      </c>
      <c r="BA38" s="1" t="n">
        <f aca="false">AY38*($B38+D$13)</f>
        <v>0</v>
      </c>
      <c r="BB38" s="33" t="n">
        <f aca="false">IF(ISNUMBER(((BA38/AY38)+D$14+$K38)*AY38),((BA38/AY38)+D$14+$K38)*AY38,0)</f>
        <v>0</v>
      </c>
      <c r="BC38" s="44" t="n">
        <f aca="false">IF(AY38=0,0,bsd(1,BD$27,AZ38,$P38,$M38,$N38,$AH38,0.1))</f>
        <v>0</v>
      </c>
      <c r="BD38" s="44" t="n">
        <f aca="false">IF(AY38=0,0,bsd(2,BD$27,AZ38,$P38,$M38,$N38,$AH38,0.1))</f>
        <v>0</v>
      </c>
      <c r="BE38" s="44" t="n">
        <f aca="false">IF(AY38=0,0,bsd(BD$28,BD$27,AZ38,$P38,$M38,$N38,$AH38,0.1))</f>
        <v>0</v>
      </c>
      <c r="BF38" s="45" t="n">
        <f aca="false">AY38*BC38</f>
        <v>0</v>
      </c>
      <c r="BG38" s="45" t="n">
        <f aca="false">AY38*BD38</f>
        <v>0</v>
      </c>
      <c r="BH38" s="45" t="n">
        <f aca="false">AY38*BE38</f>
        <v>0</v>
      </c>
      <c r="BJ38" s="9" t="n">
        <f aca="false">IF($A38&gt;=BK$25,IF($A38&lt;=BK$26,$AI38,0),0)</f>
        <v>0</v>
      </c>
      <c r="BK38" s="9" t="e">
        <f aca="false">BM38/BJ38</f>
        <v>#DIV/0!</v>
      </c>
      <c r="BL38" s="1" t="n">
        <f aca="false">BJ38*($B38+F$13)</f>
        <v>0</v>
      </c>
      <c r="BM38" s="33" t="n">
        <f aca="false">IF(ISNUMBER(((BL38/BJ38)+F$14+$R38)*BJ38),((BL38/BJ38)+F$14+$R38)*BJ38,0)</f>
        <v>0</v>
      </c>
      <c r="BN38" s="44" t="n">
        <f aca="false">IF(BJ38=0,0,bsd(1,BO$27,BK38,$W38,$T38,$U38,$AH38,0.1))</f>
        <v>0</v>
      </c>
      <c r="BO38" s="44" t="n">
        <f aca="false">IF(BJ38=0,0,bsd(2,BO$27,BK38,$W38,$T38,$U38,$AH38,0.1))</f>
        <v>0</v>
      </c>
      <c r="BP38" s="44" t="n">
        <f aca="false">IF(BJ38=0,0,bsd(BO$28,BO$27,BK38,$W38,$T38,$U38,$AH38,0.1))</f>
        <v>0</v>
      </c>
      <c r="BQ38" s="45" t="n">
        <f aca="false">BJ38*BN38</f>
        <v>0</v>
      </c>
      <c r="BR38" s="45" t="n">
        <f aca="false">BJ38*BO38</f>
        <v>0</v>
      </c>
      <c r="BS38" s="45" t="n">
        <f aca="false">BJ38*BP38</f>
        <v>0</v>
      </c>
      <c r="BU38" s="9" t="n">
        <f aca="false">IF($A38&gt;=BV$25,IF($A38&lt;=BV$26,$AI38,0),0)</f>
        <v>0</v>
      </c>
      <c r="BV38" s="9" t="e">
        <f aca="false">BX38/BU38</f>
        <v>#DIV/0!</v>
      </c>
      <c r="BW38" s="1" t="n">
        <f aca="false">BU38*($B38+H$13)</f>
        <v>0</v>
      </c>
      <c r="BX38" s="33" t="n">
        <f aca="false">IF(ISNUMBER(((BW38/BU38)+H$14+$Y38)*BU38),((BW38/BU38)+H$14+$Y38)*BU38,0)</f>
        <v>0</v>
      </c>
      <c r="BY38" s="44" t="n">
        <f aca="false">IF(BU38=0,0,bsd(1,BZ$27,BV38,$AD38,$AA38,$AB38,$AH38,0.1))</f>
        <v>0</v>
      </c>
      <c r="BZ38" s="44" t="n">
        <f aca="false">IF(BU38=0,0,bsd(2,BZ$27,BV38,$AD38,$AA38,$AB38,$AH38,0.1))</f>
        <v>0</v>
      </c>
      <c r="CA38" s="44" t="n">
        <f aca="false">IF(BU38=0,0,bsd(BZ$28,BZ$27,BV38,$AD38,$AA38,$AB38,$AH38,0.1))</f>
        <v>0</v>
      </c>
      <c r="CB38" s="45" t="n">
        <f aca="false">BU38*BY38</f>
        <v>0</v>
      </c>
      <c r="CC38" s="45" t="n">
        <f aca="false">BU38*BZ38</f>
        <v>0</v>
      </c>
      <c r="CD38" s="45" t="n">
        <f aca="false">BU38*CA38</f>
        <v>0</v>
      </c>
    </row>
    <row r="39" customFormat="false" ht="12.75" hidden="false" customHeight="false" outlineLevel="0" collapsed="false">
      <c r="A39" s="48" t="n">
        <f aca="false">DATE(YEAR(A38),MONTH(A38)+1,1)</f>
        <v>37043</v>
      </c>
      <c r="B39" s="40" t="n">
        <f aca="false">VLOOKUP(A39,STRADDLE,5,FALSE())</f>
        <v>4.44071428571429</v>
      </c>
      <c r="C39" s="4" t="n">
        <f aca="false">VLOOKUP(A39,STRADDLE,8,FALSE())</f>
        <v>0.3925</v>
      </c>
      <c r="D39" s="40" t="n">
        <f aca="false">IF(D$28="nymex",0,VLOOKUP($A39,curvesettle,HLOOKUP(D$28,curvesettle,2,FALSE())))</f>
        <v>0.395</v>
      </c>
      <c r="E39" s="131" t="n">
        <f aca="false">IF(ISNUMBER(VLOOKUP($A39,VOLCURVES,HLOOKUP(D$28,VOLCURVES,2,FALSE()),FALSE())),VLOOKUP($A39,VOLCURVES,HLOOKUP(D$28,VOLCURVES,2,FALSE()),FALSE()),1)</f>
        <v>0.98</v>
      </c>
      <c r="F39" s="136" t="n">
        <f aca="false">IF(D$28="NYMEX",$AG39,$AF39)</f>
        <v>-8886</v>
      </c>
      <c r="G39" s="4" t="e">
        <f aca="false">(($C39+H39)*$E39)+B$15</f>
        <v>#DIV/0!</v>
      </c>
      <c r="H39" s="4" t="e">
        <f aca="false">IF($B$16=1,VLOOKUP($A39,SkewTable,HLOOKUP(ROUND(I39-AO39,1),SkewTable,2,FALSE()),FALSE())/100,0)</f>
        <v>#DIV/0!</v>
      </c>
      <c r="I39" s="41" t="n">
        <f aca="false">IF($B$19=4,$AO39,$B$18)</f>
        <v>5.05</v>
      </c>
      <c r="K39" s="40" t="n">
        <f aca="false">IF(K$28="nymex",0,VLOOKUP($A39,curvesettle,HLOOKUP(K$28,curvesettle,2,FALSE())))</f>
        <v>0.12</v>
      </c>
      <c r="L39" s="131" t="n">
        <f aca="false">IF(ISNUMBER(VLOOKUP($A39,VOLCURVES,HLOOKUP(K$28,VOLCURVES,2,FALSE()),FALSE())),VLOOKUP($A39,VOLCURVES,HLOOKUP(K$28,VOLCURVES,2,FALSE()),FALSE()),1)</f>
        <v>1</v>
      </c>
      <c r="M39" s="136" t="n">
        <f aca="false">IF(K$28="NYMEX",$AG39,$AF39)</f>
        <v>-8886</v>
      </c>
      <c r="N39" s="153" t="e">
        <f aca="false">(($C39+O39)*$L39)+D$15</f>
        <v>#DIV/0!</v>
      </c>
      <c r="O39" s="4" t="e">
        <f aca="false">IF($D$16=1,VLOOKUP($A39,SkewTable,HLOOKUP(ROUND(P39-AZ39,1),SkewTable,2,FALSE()),FALSE())/100,0)</f>
        <v>#DIV/0!</v>
      </c>
      <c r="P39" s="41" t="n">
        <f aca="false">IF($D$19=4,$AZ39,$D$18)</f>
        <v>5.1</v>
      </c>
      <c r="R39" s="40" t="n">
        <f aca="false">IF(R$28="nymex",0,VLOOKUP($A39,curvesettle,HLOOKUP(R$28,curvesettle,2,FALSE())))</f>
        <v>0.025</v>
      </c>
      <c r="S39" s="131" t="n">
        <f aca="false">IF(ISNUMBER(VLOOKUP($A39,VOLCURVES,HLOOKUP(R$28,VOLCURVES,2,FALSE()),FALSE())),VLOOKUP($A39,VOLCURVES,HLOOKUP(R$28,VOLCURVES,2,FALSE()),FALSE()),1)</f>
        <v>1</v>
      </c>
      <c r="T39" s="136" t="n">
        <f aca="false">IF(R$28="NYMEX",$AG39,$AF39)</f>
        <v>-8886</v>
      </c>
      <c r="U39" s="153" t="e">
        <f aca="false">(($C39+V39)*$S39)+F$15</f>
        <v>#DIV/0!</v>
      </c>
      <c r="V39" s="4" t="e">
        <f aca="false">IF($F$16=1,VLOOKUP($A39,SkewTable,HLOOKUP(ROUND(W39-BK39,1),SkewTable,2,FALSE()),FALSE())/100,0)</f>
        <v>#DIV/0!</v>
      </c>
      <c r="W39" s="41" t="n">
        <f aca="false">IF($F$19=4,$BK39,$F$18)</f>
        <v>5.3983</v>
      </c>
      <c r="X39" s="136"/>
      <c r="Y39" s="40" t="n">
        <f aca="false">IF(Y$28="nymex",0,VLOOKUP($A39,curvesettle,HLOOKUP(Y$28,curvesettle,2,FALSE())))</f>
        <v>0.025</v>
      </c>
      <c r="Z39" s="131" t="n">
        <f aca="false">IF(ISNUMBER(VLOOKUP($A39,VOLCURVES,HLOOKUP(Y$28,VOLCURVES,2,FALSE()),FALSE())),VLOOKUP($A39,VOLCURVES,HLOOKUP(Y$28,VOLCURVES,2,FALSE()),FALSE()),1)</f>
        <v>1</v>
      </c>
      <c r="AA39" s="136" t="n">
        <f aca="false">IF(Y$28="NYMEX",$AG39,$AF39)</f>
        <v>-8886</v>
      </c>
      <c r="AB39" s="4" t="e">
        <f aca="false">(($C39+AC39)*$Z39)+H$15</f>
        <v>#DIV/0!</v>
      </c>
      <c r="AC39" s="4" t="e">
        <f aca="false">IF($H$16=1,VLOOKUP($A39,SkewTable,HLOOKUP(ROUND(AD39-BV39,1),SkewTable,2,FALSE()),FALSE())/100,0)</f>
        <v>#DIV/0!</v>
      </c>
      <c r="AD39" s="41" t="n">
        <f aca="false">IF($H$19=4,$BV39,$H$18)</f>
        <v>5.4668</v>
      </c>
      <c r="AF39" s="136" t="n">
        <f aca="false">VLOOKUP($A39,expiration,2,FALSE())-$B$2</f>
        <v>-8886</v>
      </c>
      <c r="AG39" s="136" t="n">
        <f aca="false">VLOOKUP($A39,expiration,3,FALSE())-$B$2</f>
        <v>-8890</v>
      </c>
      <c r="AH39" s="4" t="n">
        <f aca="false">VLOOKUP($A39,STRADDLE,12,FALSE())</f>
        <v>0.067932306764864</v>
      </c>
      <c r="AI39" s="43" t="n">
        <f aca="false">A40-A39</f>
        <v>30</v>
      </c>
      <c r="AL39" s="136"/>
      <c r="AM39" s="9"/>
      <c r="AN39" s="9" t="n">
        <f aca="false">IF($A39&gt;=AO$25,IF($A39&lt;=AO$26,$AI39,0),0)</f>
        <v>0</v>
      </c>
      <c r="AO39" s="9" t="e">
        <f aca="false">AQ39/AN39</f>
        <v>#DIV/0!</v>
      </c>
      <c r="AP39" s="1" t="n">
        <f aca="false">AN39*($B39+B$13)</f>
        <v>0</v>
      </c>
      <c r="AQ39" s="33" t="n">
        <f aca="false">IF(ISNUMBER(((AP39/AN39)+B$14+$D39)*AN39),((AP39/AN39)+B$14+$D39)*AN39,0)</f>
        <v>0</v>
      </c>
      <c r="AR39" s="44" t="n">
        <f aca="false">IF(AN39=0,0,bsd(1,AS$27,AO39,$I39,$F39,$G39,$AH39,0.1))</f>
        <v>0</v>
      </c>
      <c r="AS39" s="44" t="n">
        <f aca="false">IF(AN39=0,0,bsd(2,AS$27,AO39,$I39,$F39,$G39,$AH39,0.1))</f>
        <v>0</v>
      </c>
      <c r="AT39" s="44" t="n">
        <f aca="false">IF(AN39=0,0,bsd(AS$28,AS$27,AO39,$I39,$F39,$G39,$AH39,0.1))</f>
        <v>0</v>
      </c>
      <c r="AU39" s="45" t="n">
        <f aca="false">AN39*AR39</f>
        <v>0</v>
      </c>
      <c r="AV39" s="45" t="n">
        <f aca="false">AN39*AS39</f>
        <v>0</v>
      </c>
      <c r="AW39" s="45" t="n">
        <f aca="false">AN39*AT39</f>
        <v>0</v>
      </c>
      <c r="AY39" s="9" t="n">
        <f aca="false">IF($A39&gt;=AZ$25,IF($A39&lt;=AZ$26,$AI39,0),0)</f>
        <v>0</v>
      </c>
      <c r="AZ39" s="9" t="e">
        <f aca="false">BB39/AY39</f>
        <v>#DIV/0!</v>
      </c>
      <c r="BA39" s="1" t="n">
        <f aca="false">AY39*($B39+D$13)</f>
        <v>0</v>
      </c>
      <c r="BB39" s="33" t="n">
        <f aca="false">IF(ISNUMBER(((BA39/AY39)+D$14+$K39)*AY39),((BA39/AY39)+D$14+$K39)*AY39,0)</f>
        <v>0</v>
      </c>
      <c r="BC39" s="44" t="n">
        <f aca="false">IF(AY39=0,0,bsd(1,BD$27,AZ39,$P39,$M39,$N39,$AH39,0.1))</f>
        <v>0</v>
      </c>
      <c r="BD39" s="44" t="n">
        <f aca="false">IF(AY39=0,0,bsd(2,BD$27,AZ39,$P39,$M39,$N39,$AH39,0.1))</f>
        <v>0</v>
      </c>
      <c r="BE39" s="44" t="n">
        <f aca="false">IF(AY39=0,0,bsd(BD$28,BD$27,AZ39,$P39,$M39,$N39,$AH39,0.1))</f>
        <v>0</v>
      </c>
      <c r="BF39" s="45" t="n">
        <f aca="false">AY39*BC39</f>
        <v>0</v>
      </c>
      <c r="BG39" s="45" t="n">
        <f aca="false">AY39*BD39</f>
        <v>0</v>
      </c>
      <c r="BH39" s="45" t="n">
        <f aca="false">AY39*BE39</f>
        <v>0</v>
      </c>
      <c r="BJ39" s="9" t="n">
        <f aca="false">IF($A39&gt;=BK$25,IF($A39&lt;=BK$26,$AI39,0),0)</f>
        <v>0</v>
      </c>
      <c r="BK39" s="9" t="e">
        <f aca="false">BM39/BJ39</f>
        <v>#DIV/0!</v>
      </c>
      <c r="BL39" s="1" t="n">
        <f aca="false">BJ39*($B39+F$13)</f>
        <v>0</v>
      </c>
      <c r="BM39" s="33" t="n">
        <f aca="false">IF(ISNUMBER(((BL39/BJ39)+F$14+$R39)*BJ39),((BL39/BJ39)+F$14+$R39)*BJ39,0)</f>
        <v>0</v>
      </c>
      <c r="BN39" s="44" t="n">
        <f aca="false">IF(BJ39=0,0,bsd(1,BO$27,BK39,$W39,$T39,$U39,$AH39,0.1))</f>
        <v>0</v>
      </c>
      <c r="BO39" s="44" t="n">
        <f aca="false">IF(BJ39=0,0,bsd(2,BO$27,BK39,$W39,$T39,$U39,$AH39,0.1))</f>
        <v>0</v>
      </c>
      <c r="BP39" s="44" t="n">
        <f aca="false">IF(BJ39=0,0,bsd(BO$28,BO$27,BK39,$W39,$T39,$U39,$AH39,0.1))</f>
        <v>0</v>
      </c>
      <c r="BQ39" s="45" t="n">
        <f aca="false">BJ39*BN39</f>
        <v>0</v>
      </c>
      <c r="BR39" s="45" t="n">
        <f aca="false">BJ39*BO39</f>
        <v>0</v>
      </c>
      <c r="BS39" s="45" t="n">
        <f aca="false">BJ39*BP39</f>
        <v>0</v>
      </c>
      <c r="BU39" s="9" t="n">
        <f aca="false">IF($A39&gt;=BV$25,IF($A39&lt;=BV$26,$AI39,0),0)</f>
        <v>0</v>
      </c>
      <c r="BV39" s="9" t="e">
        <f aca="false">BX39/BU39</f>
        <v>#DIV/0!</v>
      </c>
      <c r="BW39" s="1" t="n">
        <f aca="false">BU39*($B39+H$13)</f>
        <v>0</v>
      </c>
      <c r="BX39" s="33" t="n">
        <f aca="false">IF(ISNUMBER(((BW39/BU39)+H$14+$Y39)*BU39),((BW39/BU39)+H$14+$Y39)*BU39,0)</f>
        <v>0</v>
      </c>
      <c r="BY39" s="44" t="n">
        <f aca="false">IF(BU39=0,0,bsd(1,BZ$27,BV39,$AD39,$AA39,$AB39,$AH39,0.1))</f>
        <v>0</v>
      </c>
      <c r="BZ39" s="44" t="n">
        <f aca="false">IF(BU39=0,0,bsd(2,BZ$27,BV39,$AD39,$AA39,$AB39,$AH39,0.1))</f>
        <v>0</v>
      </c>
      <c r="CA39" s="44" t="n">
        <f aca="false">IF(BU39=0,0,bsd(BZ$28,BZ$27,BV39,$AD39,$AA39,$AB39,$AH39,0.1))</f>
        <v>0</v>
      </c>
      <c r="CB39" s="45" t="n">
        <f aca="false">BU39*BY39</f>
        <v>0</v>
      </c>
      <c r="CC39" s="45" t="n">
        <f aca="false">BU39*BZ39</f>
        <v>0</v>
      </c>
      <c r="CD39" s="45" t="n">
        <f aca="false">BU39*CA39</f>
        <v>0</v>
      </c>
    </row>
    <row r="40" customFormat="false" ht="12.75" hidden="false" customHeight="false" outlineLevel="0" collapsed="false">
      <c r="A40" s="48" t="n">
        <f aca="false">DATE(YEAR(A39),MONTH(A39)+1,1)</f>
        <v>37073</v>
      </c>
      <c r="B40" s="40" t="n">
        <f aca="false">VLOOKUP(A40,STRADDLE,5,FALSE())</f>
        <v>4.42071428571429</v>
      </c>
      <c r="C40" s="4" t="n">
        <f aca="false">VLOOKUP(A40,STRADDLE,8,FALSE())</f>
        <v>0.3925</v>
      </c>
      <c r="D40" s="40" t="n">
        <f aca="false">IF(D$28="nymex",0,VLOOKUP($A40,curvesettle,HLOOKUP(D$28,curvesettle,2,FALSE())))</f>
        <v>0.46</v>
      </c>
      <c r="E40" s="131" t="n">
        <f aca="false">IF(ISNUMBER(VLOOKUP($A40,VOLCURVES,HLOOKUP(D$28,VOLCURVES,2,FALSE()),FALSE())),VLOOKUP($A40,VOLCURVES,HLOOKUP(D$28,VOLCURVES,2,FALSE()),FALSE()),1)</f>
        <v>0.98</v>
      </c>
      <c r="F40" s="136" t="n">
        <f aca="false">IF(D$28="NYMEX",$AG40,$AF40)</f>
        <v>-8857</v>
      </c>
      <c r="G40" s="4" t="e">
        <f aca="false">(($C40+H40)*$E40)+B$15</f>
        <v>#DIV/0!</v>
      </c>
      <c r="H40" s="4" t="e">
        <f aca="false">IF($B$16=1,VLOOKUP($A40,SkewTable,HLOOKUP(ROUND(I40-AO40,1),SkewTable,2,FALSE()),FALSE())/100,0)</f>
        <v>#DIV/0!</v>
      </c>
      <c r="I40" s="41" t="n">
        <f aca="false">IF($B$19=4,$AO40,$B$18)</f>
        <v>5.05</v>
      </c>
      <c r="K40" s="40" t="n">
        <f aca="false">IF(K$28="nymex",0,VLOOKUP($A40,curvesettle,HLOOKUP(K$28,curvesettle,2,FALSE())))</f>
        <v>0.5925</v>
      </c>
      <c r="L40" s="131" t="n">
        <f aca="false">IF(ISNUMBER(VLOOKUP($A40,VOLCURVES,HLOOKUP(K$28,VOLCURVES,2,FALSE()),FALSE())),VLOOKUP($A40,VOLCURVES,HLOOKUP(K$28,VOLCURVES,2,FALSE()),FALSE()),1)</f>
        <v>1</v>
      </c>
      <c r="M40" s="136" t="n">
        <f aca="false">IF(K$28="NYMEX",$AG40,$AF40)</f>
        <v>-8857</v>
      </c>
      <c r="N40" s="153" t="e">
        <f aca="false">(($C40+O40)*$L40)+D$15</f>
        <v>#DIV/0!</v>
      </c>
      <c r="O40" s="4" t="e">
        <f aca="false">IF($D$16=1,VLOOKUP($A40,SkewTable,HLOOKUP(ROUND(P40-AZ40,1),SkewTable,2,FALSE()),FALSE())/100,0)</f>
        <v>#DIV/0!</v>
      </c>
      <c r="P40" s="41" t="n">
        <f aca="false">IF($D$19=4,$AZ40,$D$18)</f>
        <v>5.1</v>
      </c>
      <c r="R40" s="40" t="n">
        <f aca="false">IF(R$28="nymex",0,VLOOKUP($A40,curvesettle,HLOOKUP(R$28,curvesettle,2,FALSE())))</f>
        <v>0.03</v>
      </c>
      <c r="S40" s="131" t="n">
        <f aca="false">IF(ISNUMBER(VLOOKUP($A40,VOLCURVES,HLOOKUP(R$28,VOLCURVES,2,FALSE()),FALSE())),VLOOKUP($A40,VOLCURVES,HLOOKUP(R$28,VOLCURVES,2,FALSE()),FALSE()),1)</f>
        <v>1</v>
      </c>
      <c r="T40" s="136" t="n">
        <f aca="false">IF(R$28="NYMEX",$AG40,$AF40)</f>
        <v>-8857</v>
      </c>
      <c r="U40" s="153" t="e">
        <f aca="false">(($C40+V40)*$S40)+F$15</f>
        <v>#DIV/0!</v>
      </c>
      <c r="V40" s="4" t="e">
        <f aca="false">IF($F$16=1,VLOOKUP($A40,SkewTable,HLOOKUP(ROUND(W40-BK40,1),SkewTable,2,FALSE()),FALSE())/100,0)</f>
        <v>#DIV/0!</v>
      </c>
      <c r="W40" s="41" t="n">
        <f aca="false">IF($F$19=4,$BK40,$F$18)</f>
        <v>5.3983</v>
      </c>
      <c r="X40" s="136"/>
      <c r="Y40" s="40" t="n">
        <f aca="false">IF(Y$28="nymex",0,VLOOKUP($A40,curvesettle,HLOOKUP(Y$28,curvesettle,2,FALSE())))</f>
        <v>0.03</v>
      </c>
      <c r="Z40" s="131" t="n">
        <f aca="false">IF(ISNUMBER(VLOOKUP($A40,VOLCURVES,HLOOKUP(Y$28,VOLCURVES,2,FALSE()),FALSE())),VLOOKUP($A40,VOLCURVES,HLOOKUP(Y$28,VOLCURVES,2,FALSE()),FALSE()),1)</f>
        <v>1</v>
      </c>
      <c r="AA40" s="136" t="n">
        <f aca="false">IF(Y$28="NYMEX",$AG40,$AF40)</f>
        <v>-8857</v>
      </c>
      <c r="AB40" s="4" t="e">
        <f aca="false">(($C40+AC40)*$Z40)+H$15</f>
        <v>#DIV/0!</v>
      </c>
      <c r="AC40" s="4" t="e">
        <f aca="false">IF($H$16=1,VLOOKUP($A40,SkewTable,HLOOKUP(ROUND(AD40-BV40,1),SkewTable,2,FALSE()),FALSE())/100,0)</f>
        <v>#DIV/0!</v>
      </c>
      <c r="AD40" s="41" t="n">
        <f aca="false">IF($H$19=4,$BV40,$H$18)</f>
        <v>5.4668</v>
      </c>
      <c r="AF40" s="136" t="n">
        <f aca="false">VLOOKUP($A40,expiration,2,FALSE())-$B$2</f>
        <v>-8857</v>
      </c>
      <c r="AG40" s="136" t="n">
        <f aca="false">VLOOKUP($A40,expiration,3,FALSE())-$B$2</f>
        <v>-8858</v>
      </c>
      <c r="AH40" s="4" t="n">
        <f aca="false">VLOOKUP($A40,STRADDLE,12,FALSE())</f>
        <v>0.067795554865608</v>
      </c>
      <c r="AI40" s="43" t="n">
        <f aca="false">A41-A40</f>
        <v>31</v>
      </c>
      <c r="AL40" s="136"/>
      <c r="AM40" s="9"/>
      <c r="AN40" s="9" t="n">
        <f aca="false">IF($A40&gt;=AO$25,IF($A40&lt;=AO$26,$AI40,0),0)</f>
        <v>0</v>
      </c>
      <c r="AO40" s="9" t="e">
        <f aca="false">AQ40/AN40</f>
        <v>#DIV/0!</v>
      </c>
      <c r="AP40" s="1" t="n">
        <f aca="false">AN40*($B40+B$13)</f>
        <v>0</v>
      </c>
      <c r="AQ40" s="33" t="n">
        <f aca="false">IF(ISNUMBER(((AP40/AN40)+B$14+$D40)*AN40),((AP40/AN40)+B$14+$D40)*AN40,0)</f>
        <v>0</v>
      </c>
      <c r="AR40" s="44" t="n">
        <f aca="false">IF(AN40=0,0,bsd(1,AS$27,AO40,$I40,$F40,$G40,$AH40,0.1))</f>
        <v>0</v>
      </c>
      <c r="AS40" s="44" t="n">
        <f aca="false">IF(AN40=0,0,bsd(2,AS$27,AO40,$I40,$F40,$G40,$AH40,0.1))</f>
        <v>0</v>
      </c>
      <c r="AT40" s="44" t="n">
        <f aca="false">IF(AN40=0,0,bsd(AS$28,AS$27,AO40,$I40,$F40,$G40,$AH40,0.1))</f>
        <v>0</v>
      </c>
      <c r="AU40" s="45" t="n">
        <f aca="false">AN40*AR40</f>
        <v>0</v>
      </c>
      <c r="AV40" s="45" t="n">
        <f aca="false">AN40*AS40</f>
        <v>0</v>
      </c>
      <c r="AW40" s="45" t="n">
        <f aca="false">AN40*AT40</f>
        <v>0</v>
      </c>
      <c r="AY40" s="9" t="n">
        <f aca="false">IF($A40&gt;=AZ$25,IF($A40&lt;=AZ$26,$AI40,0),0)</f>
        <v>0</v>
      </c>
      <c r="AZ40" s="9" t="e">
        <f aca="false">BB40/AY40</f>
        <v>#DIV/0!</v>
      </c>
      <c r="BA40" s="1" t="n">
        <f aca="false">AY40*($B40+D$13)</f>
        <v>0</v>
      </c>
      <c r="BB40" s="33" t="n">
        <f aca="false">IF(ISNUMBER(((BA40/AY40)+D$14+$K40)*AY40),((BA40/AY40)+D$14+$K40)*AY40,0)</f>
        <v>0</v>
      </c>
      <c r="BC40" s="44" t="n">
        <f aca="false">IF(AY40=0,0,bsd(1,BD$27,AZ40,$P40,$M40,$N40,$AH40,0.1))</f>
        <v>0</v>
      </c>
      <c r="BD40" s="44" t="n">
        <f aca="false">IF(AY40=0,0,bsd(2,BD$27,AZ40,$P40,$M40,$N40,$AH40,0.1))</f>
        <v>0</v>
      </c>
      <c r="BE40" s="44" t="n">
        <f aca="false">IF(AY40=0,0,bsd(BD$28,BD$27,AZ40,$P40,$M40,$N40,$AH40,0.1))</f>
        <v>0</v>
      </c>
      <c r="BF40" s="45" t="n">
        <f aca="false">AY40*BC40</f>
        <v>0</v>
      </c>
      <c r="BG40" s="45" t="n">
        <f aca="false">AY40*BD40</f>
        <v>0</v>
      </c>
      <c r="BH40" s="45" t="n">
        <f aca="false">AY40*BE40</f>
        <v>0</v>
      </c>
      <c r="BJ40" s="9" t="n">
        <f aca="false">IF($A40&gt;=BK$25,IF($A40&lt;=BK$26,$AI40,0),0)</f>
        <v>0</v>
      </c>
      <c r="BK40" s="9" t="e">
        <f aca="false">BM40/BJ40</f>
        <v>#DIV/0!</v>
      </c>
      <c r="BL40" s="1" t="n">
        <f aca="false">BJ40*($B40+F$13)</f>
        <v>0</v>
      </c>
      <c r="BM40" s="33" t="n">
        <f aca="false">IF(ISNUMBER(((BL40/BJ40)+F$14+$R40)*BJ40),((BL40/BJ40)+F$14+$R40)*BJ40,0)</f>
        <v>0</v>
      </c>
      <c r="BN40" s="44" t="n">
        <f aca="false">IF(BJ40=0,0,bsd(1,BO$27,BK40,$W40,$T40,$U40,$AH40,0.1))</f>
        <v>0</v>
      </c>
      <c r="BO40" s="44" t="n">
        <f aca="false">IF(BJ40=0,0,bsd(2,BO$27,BK40,$W40,$T40,$U40,$AH40,0.1))</f>
        <v>0</v>
      </c>
      <c r="BP40" s="44" t="n">
        <f aca="false">IF(BJ40=0,0,bsd(BO$28,BO$27,BK40,$W40,$T40,$U40,$AH40,0.1))</f>
        <v>0</v>
      </c>
      <c r="BQ40" s="45" t="n">
        <f aca="false">BJ40*BN40</f>
        <v>0</v>
      </c>
      <c r="BR40" s="45" t="n">
        <f aca="false">BJ40*BO40</f>
        <v>0</v>
      </c>
      <c r="BS40" s="45" t="n">
        <f aca="false">BJ40*BP40</f>
        <v>0</v>
      </c>
      <c r="BU40" s="9" t="n">
        <f aca="false">IF($A40&gt;=BV$25,IF($A40&lt;=BV$26,$AI40,0),0)</f>
        <v>0</v>
      </c>
      <c r="BV40" s="9" t="e">
        <f aca="false">BX40/BU40</f>
        <v>#DIV/0!</v>
      </c>
      <c r="BW40" s="1" t="n">
        <f aca="false">BU40*($B40+H$13)</f>
        <v>0</v>
      </c>
      <c r="BX40" s="33" t="n">
        <f aca="false">IF(ISNUMBER(((BW40/BU40)+H$14+$Y40)*BU40),((BW40/BU40)+H$14+$Y40)*BU40,0)</f>
        <v>0</v>
      </c>
      <c r="BY40" s="44" t="n">
        <f aca="false">IF(BU40=0,0,bsd(1,BZ$27,BV40,$AD40,$AA40,$AB40,$AH40,0.1))</f>
        <v>0</v>
      </c>
      <c r="BZ40" s="44" t="n">
        <f aca="false">IF(BU40=0,0,bsd(2,BZ$27,BV40,$AD40,$AA40,$AB40,$AH40,0.1))</f>
        <v>0</v>
      </c>
      <c r="CA40" s="44" t="n">
        <f aca="false">IF(BU40=0,0,bsd(BZ$28,BZ$27,BV40,$AD40,$AA40,$AB40,$AH40,0.1))</f>
        <v>0</v>
      </c>
      <c r="CB40" s="45" t="n">
        <f aca="false">BU40*BY40</f>
        <v>0</v>
      </c>
      <c r="CC40" s="45" t="n">
        <f aca="false">BU40*BZ40</f>
        <v>0</v>
      </c>
      <c r="CD40" s="45" t="n">
        <f aca="false">BU40*CA40</f>
        <v>0</v>
      </c>
    </row>
    <row r="41" customFormat="false" ht="12.75" hidden="false" customHeight="false" outlineLevel="0" collapsed="false">
      <c r="A41" s="48" t="n">
        <f aca="false">DATE(YEAR(A40),MONTH(A40)+1,1)</f>
        <v>37104</v>
      </c>
      <c r="B41" s="40" t="n">
        <f aca="false">VLOOKUP(A41,STRADDLE,5,FALSE())</f>
        <v>4.41071428571429</v>
      </c>
      <c r="C41" s="4" t="n">
        <f aca="false">VLOOKUP(A41,STRADDLE,8,FALSE())</f>
        <v>0.3925</v>
      </c>
      <c r="D41" s="40" t="n">
        <f aca="false">IF(D$28="nymex",0,VLOOKUP($A41,curvesettle,HLOOKUP(D$28,curvesettle,2,FALSE())))</f>
        <v>0.46</v>
      </c>
      <c r="E41" s="131" t="n">
        <f aca="false">IF(ISNUMBER(VLOOKUP($A41,VOLCURVES,HLOOKUP(D$28,VOLCURVES,2,FALSE()),FALSE())),VLOOKUP($A41,VOLCURVES,HLOOKUP(D$28,VOLCURVES,2,FALSE()),FALSE()),1)</f>
        <v>0.98</v>
      </c>
      <c r="F41" s="136" t="n">
        <f aca="false">IF(D$28="NYMEX",$AG41,$AF41)</f>
        <v>-8827</v>
      </c>
      <c r="G41" s="4" t="e">
        <f aca="false">(($C41+H41)*$E41)+B$15</f>
        <v>#DIV/0!</v>
      </c>
      <c r="H41" s="4" t="e">
        <f aca="false">IF($B$16=1,VLOOKUP($A41,SkewTable,HLOOKUP(ROUND(I41-AO41,1),SkewTable,2,FALSE()),FALSE())/100,0)</f>
        <v>#DIV/0!</v>
      </c>
      <c r="I41" s="41" t="n">
        <f aca="false">IF($B$19=4,$AO41,$B$18)</f>
        <v>5.05</v>
      </c>
      <c r="K41" s="40" t="n">
        <f aca="false">IF(K$28="nymex",0,VLOOKUP($A41,curvesettle,HLOOKUP(K$28,curvesettle,2,FALSE())))</f>
        <v>0.7075</v>
      </c>
      <c r="L41" s="131" t="n">
        <f aca="false">IF(ISNUMBER(VLOOKUP($A41,VOLCURVES,HLOOKUP(K$28,VOLCURVES,2,FALSE()),FALSE())),VLOOKUP($A41,VOLCURVES,HLOOKUP(K$28,VOLCURVES,2,FALSE()),FALSE()),1)</f>
        <v>1</v>
      </c>
      <c r="M41" s="136" t="n">
        <f aca="false">IF(K$28="NYMEX",$AG41,$AF41)</f>
        <v>-8827</v>
      </c>
      <c r="N41" s="153" t="e">
        <f aca="false">(($C41+O41)*$L41)+D$15</f>
        <v>#DIV/0!</v>
      </c>
      <c r="O41" s="4" t="e">
        <f aca="false">IF($D$16=1,VLOOKUP($A41,SkewTable,HLOOKUP(ROUND(P41-AZ41,1),SkewTable,2,FALSE()),FALSE())/100,0)</f>
        <v>#DIV/0!</v>
      </c>
      <c r="P41" s="41" t="n">
        <f aca="false">IF($D$19=4,$AZ41,$D$18)</f>
        <v>5.1</v>
      </c>
      <c r="R41" s="40" t="n">
        <f aca="false">IF(R$28="nymex",0,VLOOKUP($A41,curvesettle,HLOOKUP(R$28,curvesettle,2,FALSE())))</f>
        <v>0.0325</v>
      </c>
      <c r="S41" s="131" t="n">
        <f aca="false">IF(ISNUMBER(VLOOKUP($A41,VOLCURVES,HLOOKUP(R$28,VOLCURVES,2,FALSE()),FALSE())),VLOOKUP($A41,VOLCURVES,HLOOKUP(R$28,VOLCURVES,2,FALSE()),FALSE()),1)</f>
        <v>1</v>
      </c>
      <c r="T41" s="136" t="n">
        <f aca="false">IF(R$28="NYMEX",$AG41,$AF41)</f>
        <v>-8827</v>
      </c>
      <c r="U41" s="153" t="e">
        <f aca="false">(($C41+V41)*$S41)+F$15</f>
        <v>#DIV/0!</v>
      </c>
      <c r="V41" s="4" t="e">
        <f aca="false">IF($F$16=1,VLOOKUP($A41,SkewTable,HLOOKUP(ROUND(W41-BK41,1),SkewTable,2,FALSE()),FALSE())/100,0)</f>
        <v>#DIV/0!</v>
      </c>
      <c r="W41" s="41" t="n">
        <f aca="false">IF($F$19=4,$BK41,$F$18)</f>
        <v>5.3983</v>
      </c>
      <c r="X41" s="136"/>
      <c r="Y41" s="40" t="n">
        <f aca="false">IF(Y$28="nymex",0,VLOOKUP($A41,curvesettle,HLOOKUP(Y$28,curvesettle,2,FALSE())))</f>
        <v>0.0325</v>
      </c>
      <c r="Z41" s="131" t="n">
        <f aca="false">IF(ISNUMBER(VLOOKUP($A41,VOLCURVES,HLOOKUP(Y$28,VOLCURVES,2,FALSE()),FALSE())),VLOOKUP($A41,VOLCURVES,HLOOKUP(Y$28,VOLCURVES,2,FALSE()),FALSE()),1)</f>
        <v>1</v>
      </c>
      <c r="AA41" s="136" t="n">
        <f aca="false">IF(Y$28="NYMEX",$AG41,$AF41)</f>
        <v>-8827</v>
      </c>
      <c r="AB41" s="4" t="e">
        <f aca="false">(($C41+AC41)*$Z41)+H$15</f>
        <v>#DIV/0!</v>
      </c>
      <c r="AC41" s="4" t="e">
        <f aca="false">IF($H$16=1,VLOOKUP($A41,SkewTable,HLOOKUP(ROUND(AD41-BV41,1),SkewTable,2,FALSE()),FALSE())/100,0)</f>
        <v>#DIV/0!</v>
      </c>
      <c r="AD41" s="41" t="n">
        <f aca="false">IF($H$19=4,$BV41,$H$18)</f>
        <v>5.4668</v>
      </c>
      <c r="AF41" s="136" t="n">
        <f aca="false">VLOOKUP($A41,expiration,2,FALSE())-$B$2</f>
        <v>-8827</v>
      </c>
      <c r="AG41" s="136" t="n">
        <f aca="false">VLOOKUP($A41,expiration,3,FALSE())-$B$2</f>
        <v>-8828</v>
      </c>
      <c r="AH41" s="4" t="n">
        <f aca="false">VLOOKUP($A41,STRADDLE,12,FALSE())</f>
        <v>0.067695044006758</v>
      </c>
      <c r="AI41" s="43" t="n">
        <f aca="false">A42-A41</f>
        <v>31</v>
      </c>
      <c r="AL41" s="136"/>
      <c r="AM41" s="9"/>
      <c r="AN41" s="9" t="n">
        <f aca="false">IF($A41&gt;=AO$25,IF($A41&lt;=AO$26,$AI41,0),0)</f>
        <v>0</v>
      </c>
      <c r="AO41" s="9" t="e">
        <f aca="false">AQ41/AN41</f>
        <v>#DIV/0!</v>
      </c>
      <c r="AP41" s="1" t="n">
        <f aca="false">AN41*($B41+B$13)</f>
        <v>0</v>
      </c>
      <c r="AQ41" s="33" t="n">
        <f aca="false">IF(ISNUMBER(((AP41/AN41)+B$14+$D41)*AN41),((AP41/AN41)+B$14+$D41)*AN41,0)</f>
        <v>0</v>
      </c>
      <c r="AR41" s="44" t="n">
        <f aca="false">IF(AN41=0,0,bsd(1,AS$27,AO41,$I41,$F41,$G41,$AH41,0.1))</f>
        <v>0</v>
      </c>
      <c r="AS41" s="44" t="n">
        <f aca="false">IF(AN41=0,0,bsd(2,AS$27,AO41,$I41,$F41,$G41,$AH41,0.1))</f>
        <v>0</v>
      </c>
      <c r="AT41" s="44" t="n">
        <f aca="false">IF(AN41=0,0,bsd(AS$28,AS$27,AO41,$I41,$F41,$G41,$AH41,0.1))</f>
        <v>0</v>
      </c>
      <c r="AU41" s="45" t="n">
        <f aca="false">AN41*AR41</f>
        <v>0</v>
      </c>
      <c r="AV41" s="45" t="n">
        <f aca="false">AN41*AS41</f>
        <v>0</v>
      </c>
      <c r="AW41" s="45" t="n">
        <f aca="false">AN41*AT41</f>
        <v>0</v>
      </c>
      <c r="AY41" s="9" t="n">
        <f aca="false">IF($A41&gt;=AZ$25,IF($A41&lt;=AZ$26,$AI41,0),0)</f>
        <v>0</v>
      </c>
      <c r="AZ41" s="9" t="e">
        <f aca="false">BB41/AY41</f>
        <v>#DIV/0!</v>
      </c>
      <c r="BA41" s="1" t="n">
        <f aca="false">AY41*($B41+D$13)</f>
        <v>0</v>
      </c>
      <c r="BB41" s="33" t="n">
        <f aca="false">IF(ISNUMBER(((BA41/AY41)+D$14+$K41)*AY41),((BA41/AY41)+D$14+$K41)*AY41,0)</f>
        <v>0</v>
      </c>
      <c r="BC41" s="44" t="n">
        <f aca="false">IF(AY41=0,0,bsd(1,BD$27,AZ41,$P41,$M41,$N41,$AH41,0.1))</f>
        <v>0</v>
      </c>
      <c r="BD41" s="44" t="n">
        <f aca="false">IF(AY41=0,0,bsd(2,BD$27,AZ41,$P41,$M41,$N41,$AH41,0.1))</f>
        <v>0</v>
      </c>
      <c r="BE41" s="44" t="n">
        <f aca="false">IF(AY41=0,0,bsd(BD$28,BD$27,AZ41,$P41,$M41,$N41,$AH41,0.1))</f>
        <v>0</v>
      </c>
      <c r="BF41" s="45" t="n">
        <f aca="false">AY41*BC41</f>
        <v>0</v>
      </c>
      <c r="BG41" s="45" t="n">
        <f aca="false">AY41*BD41</f>
        <v>0</v>
      </c>
      <c r="BH41" s="45" t="n">
        <f aca="false">AY41*BE41</f>
        <v>0</v>
      </c>
      <c r="BJ41" s="9" t="n">
        <f aca="false">IF($A41&gt;=BK$25,IF($A41&lt;=BK$26,$AI41,0),0)</f>
        <v>0</v>
      </c>
      <c r="BK41" s="9" t="e">
        <f aca="false">BM41/BJ41</f>
        <v>#DIV/0!</v>
      </c>
      <c r="BL41" s="1" t="n">
        <f aca="false">BJ41*($B41+F$13)</f>
        <v>0</v>
      </c>
      <c r="BM41" s="33" t="n">
        <f aca="false">IF(ISNUMBER(((BL41/BJ41)+F$14+$R41)*BJ41),((BL41/BJ41)+F$14+$R41)*BJ41,0)</f>
        <v>0</v>
      </c>
      <c r="BN41" s="44" t="n">
        <f aca="false">IF(BJ41=0,0,bsd(1,BO$27,BK41,$W41,$T41,$U41,$AH41,0.1))</f>
        <v>0</v>
      </c>
      <c r="BO41" s="44" t="n">
        <f aca="false">IF(BJ41=0,0,bsd(2,BO$27,BK41,$W41,$T41,$U41,$AH41,0.1))</f>
        <v>0</v>
      </c>
      <c r="BP41" s="44" t="n">
        <f aca="false">IF(BJ41=0,0,bsd(BO$28,BO$27,BK41,$W41,$T41,$U41,$AH41,0.1))</f>
        <v>0</v>
      </c>
      <c r="BQ41" s="45" t="n">
        <f aca="false">BJ41*BN41</f>
        <v>0</v>
      </c>
      <c r="BR41" s="45" t="n">
        <f aca="false">BJ41*BO41</f>
        <v>0</v>
      </c>
      <c r="BS41" s="45" t="n">
        <f aca="false">BJ41*BP41</f>
        <v>0</v>
      </c>
      <c r="BU41" s="9" t="n">
        <f aca="false">IF($A41&gt;=BV$25,IF($A41&lt;=BV$26,$AI41,0),0)</f>
        <v>0</v>
      </c>
      <c r="BV41" s="9" t="e">
        <f aca="false">BX41/BU41</f>
        <v>#DIV/0!</v>
      </c>
      <c r="BW41" s="1" t="n">
        <f aca="false">BU41*($B41+H$13)</f>
        <v>0</v>
      </c>
      <c r="BX41" s="33" t="n">
        <f aca="false">IF(ISNUMBER(((BW41/BU41)+H$14+$Y41)*BU41),((BW41/BU41)+H$14+$Y41)*BU41,0)</f>
        <v>0</v>
      </c>
      <c r="BY41" s="44" t="n">
        <f aca="false">IF(BU41=0,0,bsd(1,BZ$27,BV41,$AD41,$AA41,$AB41,$AH41,0.1))</f>
        <v>0</v>
      </c>
      <c r="BZ41" s="44" t="n">
        <f aca="false">IF(BU41=0,0,bsd(2,BZ$27,BV41,$AD41,$AA41,$AB41,$AH41,0.1))</f>
        <v>0</v>
      </c>
      <c r="CA41" s="44" t="n">
        <f aca="false">IF(BU41=0,0,bsd(BZ$28,BZ$27,BV41,$AD41,$AA41,$AB41,$AH41,0.1))</f>
        <v>0</v>
      </c>
      <c r="CB41" s="45" t="n">
        <f aca="false">BU41*BY41</f>
        <v>0</v>
      </c>
      <c r="CC41" s="45" t="n">
        <f aca="false">BU41*BZ41</f>
        <v>0</v>
      </c>
      <c r="CD41" s="45" t="n">
        <f aca="false">BU41*CA41</f>
        <v>0</v>
      </c>
    </row>
    <row r="42" customFormat="false" ht="12.75" hidden="false" customHeight="false" outlineLevel="0" collapsed="false">
      <c r="A42" s="48" t="n">
        <f aca="false">DATE(YEAR(A41),MONTH(A41)+1,1)</f>
        <v>37135</v>
      </c>
      <c r="B42" s="40" t="n">
        <f aca="false">VLOOKUP(A42,STRADDLE,5,FALSE())</f>
        <v>4.39071428571429</v>
      </c>
      <c r="C42" s="4" t="n">
        <f aca="false">VLOOKUP(A42,STRADDLE,8,FALSE())</f>
        <v>0.395</v>
      </c>
      <c r="D42" s="40" t="n">
        <f aca="false">IF(D$28="nymex",0,VLOOKUP($A42,curvesettle,HLOOKUP(D$28,curvesettle,2,FALSE())))</f>
        <v>0.395</v>
      </c>
      <c r="E42" s="131" t="n">
        <f aca="false">IF(ISNUMBER(VLOOKUP($A42,VOLCURVES,HLOOKUP(D$28,VOLCURVES,2,FALSE()),FALSE())),VLOOKUP($A42,VOLCURVES,HLOOKUP(D$28,VOLCURVES,2,FALSE()),FALSE()),1)</f>
        <v>0.98</v>
      </c>
      <c r="F42" s="136" t="n">
        <f aca="false">IF(D$28="NYMEX",$AG42,$AF42)</f>
        <v>-8794</v>
      </c>
      <c r="G42" s="4" t="e">
        <f aca="false">(($C42+H42)*$E42)+B$15</f>
        <v>#DIV/0!</v>
      </c>
      <c r="H42" s="4" t="e">
        <f aca="false">IF($B$16=1,VLOOKUP($A42,SkewTable,HLOOKUP(ROUND(I42-AO42,1),SkewTable,2,FALSE()),FALSE())/100,0)</f>
        <v>#DIV/0!</v>
      </c>
      <c r="I42" s="41" t="n">
        <f aca="false">IF($B$19=4,$AO42,$B$18)</f>
        <v>5.05</v>
      </c>
      <c r="K42" s="40" t="n">
        <f aca="false">IF(K$28="nymex",0,VLOOKUP($A42,curvesettle,HLOOKUP(K$28,curvesettle,2,FALSE())))</f>
        <v>0.6875</v>
      </c>
      <c r="L42" s="131" t="n">
        <f aca="false">IF(ISNUMBER(VLOOKUP($A42,VOLCURVES,HLOOKUP(K$28,VOLCURVES,2,FALSE()),FALSE())),VLOOKUP($A42,VOLCURVES,HLOOKUP(K$28,VOLCURVES,2,FALSE()),FALSE()),1)</f>
        <v>1</v>
      </c>
      <c r="M42" s="136" t="n">
        <f aca="false">IF(K$28="NYMEX",$AG42,$AF42)</f>
        <v>-8794</v>
      </c>
      <c r="N42" s="153" t="e">
        <f aca="false">(($C42+O42)*$L42)+D$15</f>
        <v>#DIV/0!</v>
      </c>
      <c r="O42" s="4" t="e">
        <f aca="false">IF($D$16=1,VLOOKUP($A42,SkewTable,HLOOKUP(ROUND(P42-AZ42,1),SkewTable,2,FALSE()),FALSE())/100,0)</f>
        <v>#DIV/0!</v>
      </c>
      <c r="P42" s="41" t="n">
        <f aca="false">IF($D$19=4,$AZ42,$D$18)</f>
        <v>5.1</v>
      </c>
      <c r="R42" s="40" t="n">
        <f aca="false">IF(R$28="nymex",0,VLOOKUP($A42,curvesettle,HLOOKUP(R$28,curvesettle,2,FALSE())))</f>
        <v>0.03</v>
      </c>
      <c r="S42" s="131" t="n">
        <f aca="false">IF(ISNUMBER(VLOOKUP($A42,VOLCURVES,HLOOKUP(R$28,VOLCURVES,2,FALSE()),FALSE())),VLOOKUP($A42,VOLCURVES,HLOOKUP(R$28,VOLCURVES,2,FALSE()),FALSE()),1)</f>
        <v>1</v>
      </c>
      <c r="T42" s="136" t="n">
        <f aca="false">IF(R$28="NYMEX",$AG42,$AF42)</f>
        <v>-8794</v>
      </c>
      <c r="U42" s="153" t="e">
        <f aca="false">(($C42+V42)*$S42)+F$15</f>
        <v>#DIV/0!</v>
      </c>
      <c r="V42" s="4" t="e">
        <f aca="false">IF($F$16=1,VLOOKUP($A42,SkewTable,HLOOKUP(ROUND(W42-BK42,1),SkewTable,2,FALSE()),FALSE())/100,0)</f>
        <v>#DIV/0!</v>
      </c>
      <c r="W42" s="41" t="n">
        <f aca="false">IF($F$19=4,$BK42,$F$18)</f>
        <v>5.3983</v>
      </c>
      <c r="X42" s="136"/>
      <c r="Y42" s="40" t="n">
        <f aca="false">IF(Y$28="nymex",0,VLOOKUP($A42,curvesettle,HLOOKUP(Y$28,curvesettle,2,FALSE())))</f>
        <v>0.03</v>
      </c>
      <c r="Z42" s="131" t="n">
        <f aca="false">IF(ISNUMBER(VLOOKUP($A42,VOLCURVES,HLOOKUP(Y$28,VOLCURVES,2,FALSE()),FALSE())),VLOOKUP($A42,VOLCURVES,HLOOKUP(Y$28,VOLCURVES,2,FALSE()),FALSE()),1)</f>
        <v>1</v>
      </c>
      <c r="AA42" s="136" t="n">
        <f aca="false">IF(Y$28="NYMEX",$AG42,$AF42)</f>
        <v>-8794</v>
      </c>
      <c r="AB42" s="4" t="e">
        <f aca="false">(($C42+AC42)*$Z42)+H$15</f>
        <v>#DIV/0!</v>
      </c>
      <c r="AC42" s="4" t="e">
        <f aca="false">IF($H$16=1,VLOOKUP($A42,SkewTable,HLOOKUP(ROUND(AD42-BV42,1),SkewTable,2,FALSE()),FALSE())/100,0)</f>
        <v>#DIV/0!</v>
      </c>
      <c r="AD42" s="41" t="n">
        <f aca="false">IF($H$19=4,$BV42,$H$18)</f>
        <v>5.4668</v>
      </c>
      <c r="AF42" s="136" t="n">
        <f aca="false">VLOOKUP($A42,expiration,2,FALSE())-$B$2</f>
        <v>-8794</v>
      </c>
      <c r="AG42" s="136" t="n">
        <f aca="false">VLOOKUP($A42,expiration,3,FALSE())-$B$2</f>
        <v>-8795</v>
      </c>
      <c r="AH42" s="4" t="n">
        <f aca="false">VLOOKUP($A42,STRADDLE,12,FALSE())</f>
        <v>0.067594533151252</v>
      </c>
      <c r="AI42" s="43" t="n">
        <f aca="false">A43-A42</f>
        <v>30</v>
      </c>
      <c r="AL42" s="136"/>
      <c r="AM42" s="9"/>
      <c r="AN42" s="9" t="n">
        <f aca="false">IF($A42&gt;=AO$25,IF($A42&lt;=AO$26,$AI42,0),0)</f>
        <v>0</v>
      </c>
      <c r="AO42" s="9" t="e">
        <f aca="false">AQ42/AN42</f>
        <v>#DIV/0!</v>
      </c>
      <c r="AP42" s="1" t="n">
        <f aca="false">AN42*($B42+B$13)</f>
        <v>0</v>
      </c>
      <c r="AQ42" s="33" t="n">
        <f aca="false">IF(ISNUMBER(((AP42/AN42)+B$14+$D42)*AN42),((AP42/AN42)+B$14+$D42)*AN42,0)</f>
        <v>0</v>
      </c>
      <c r="AR42" s="44" t="n">
        <f aca="false">IF(AN42=0,0,bsd(1,AS$27,AO42,$I42,$F42,$G42,$AH42,0.1))</f>
        <v>0</v>
      </c>
      <c r="AS42" s="44" t="n">
        <f aca="false">IF(AN42=0,0,bsd(2,AS$27,AO42,$I42,$F42,$G42,$AH42,0.1))</f>
        <v>0</v>
      </c>
      <c r="AT42" s="44" t="n">
        <f aca="false">IF(AN42=0,0,bsd(AS$28,AS$27,AO42,$I42,$F42,$G42,$AH42,0.1))</f>
        <v>0</v>
      </c>
      <c r="AU42" s="45" t="n">
        <f aca="false">AN42*AR42</f>
        <v>0</v>
      </c>
      <c r="AV42" s="45" t="n">
        <f aca="false">AN42*AS42</f>
        <v>0</v>
      </c>
      <c r="AW42" s="45" t="n">
        <f aca="false">AN42*AT42</f>
        <v>0</v>
      </c>
      <c r="AY42" s="9" t="n">
        <f aca="false">IF($A42&gt;=AZ$25,IF($A42&lt;=AZ$26,$AI42,0),0)</f>
        <v>0</v>
      </c>
      <c r="AZ42" s="9" t="e">
        <f aca="false">BB42/AY42</f>
        <v>#DIV/0!</v>
      </c>
      <c r="BA42" s="1" t="n">
        <f aca="false">AY42*($B42+D$13)</f>
        <v>0</v>
      </c>
      <c r="BB42" s="33" t="n">
        <f aca="false">IF(ISNUMBER(((BA42/AY42)+D$14+$K42)*AY42),((BA42/AY42)+D$14+$K42)*AY42,0)</f>
        <v>0</v>
      </c>
      <c r="BC42" s="44" t="n">
        <f aca="false">IF(AY42=0,0,bsd(1,BD$27,AZ42,$P42,$M42,$N42,$AH42,0.1))</f>
        <v>0</v>
      </c>
      <c r="BD42" s="44" t="n">
        <f aca="false">IF(AY42=0,0,bsd(2,BD$27,AZ42,$P42,$M42,$N42,$AH42,0.1))</f>
        <v>0</v>
      </c>
      <c r="BE42" s="44" t="n">
        <f aca="false">IF(AY42=0,0,bsd(BD$28,BD$27,AZ42,$P42,$M42,$N42,$AH42,0.1))</f>
        <v>0</v>
      </c>
      <c r="BF42" s="45" t="n">
        <f aca="false">AY42*BC42</f>
        <v>0</v>
      </c>
      <c r="BG42" s="45" t="n">
        <f aca="false">AY42*BD42</f>
        <v>0</v>
      </c>
      <c r="BH42" s="45" t="n">
        <f aca="false">AY42*BE42</f>
        <v>0</v>
      </c>
      <c r="BJ42" s="9" t="n">
        <f aca="false">IF($A42&gt;=BK$25,IF($A42&lt;=BK$26,$AI42,0),0)</f>
        <v>0</v>
      </c>
      <c r="BK42" s="9" t="e">
        <f aca="false">BM42/BJ42</f>
        <v>#DIV/0!</v>
      </c>
      <c r="BL42" s="1" t="n">
        <f aca="false">BJ42*($B42+F$13)</f>
        <v>0</v>
      </c>
      <c r="BM42" s="33" t="n">
        <f aca="false">IF(ISNUMBER(((BL42/BJ42)+F$14+$R42)*BJ42),((BL42/BJ42)+F$14+$R42)*BJ42,0)</f>
        <v>0</v>
      </c>
      <c r="BN42" s="44" t="n">
        <f aca="false">IF(BJ42=0,0,bsd(1,BO$27,BK42,$W42,$T42,$U42,$AH42,0.1))</f>
        <v>0</v>
      </c>
      <c r="BO42" s="44" t="n">
        <f aca="false">IF(BJ42=0,0,bsd(2,BO$27,BK42,$W42,$T42,$U42,$AH42,0.1))</f>
        <v>0</v>
      </c>
      <c r="BP42" s="44" t="n">
        <f aca="false">IF(BJ42=0,0,bsd(BO$28,BO$27,BK42,$W42,$T42,$U42,$AH42,0.1))</f>
        <v>0</v>
      </c>
      <c r="BQ42" s="45" t="n">
        <f aca="false">BJ42*BN42</f>
        <v>0</v>
      </c>
      <c r="BR42" s="45" t="n">
        <f aca="false">BJ42*BO42</f>
        <v>0</v>
      </c>
      <c r="BS42" s="45" t="n">
        <f aca="false">BJ42*BP42</f>
        <v>0</v>
      </c>
      <c r="BU42" s="9" t="n">
        <f aca="false">IF($A42&gt;=BV$25,IF($A42&lt;=BV$26,$AI42,0),0)</f>
        <v>0</v>
      </c>
      <c r="BV42" s="9" t="e">
        <f aca="false">BX42/BU42</f>
        <v>#DIV/0!</v>
      </c>
      <c r="BW42" s="1" t="n">
        <f aca="false">BU42*($B42+H$13)</f>
        <v>0</v>
      </c>
      <c r="BX42" s="33" t="n">
        <f aca="false">IF(ISNUMBER(((BW42/BU42)+H$14+$Y42)*BU42),((BW42/BU42)+H$14+$Y42)*BU42,0)</f>
        <v>0</v>
      </c>
      <c r="BY42" s="44" t="n">
        <f aca="false">IF(BU42=0,0,bsd(1,BZ$27,BV42,$AD42,$AA42,$AB42,$AH42,0.1))</f>
        <v>0</v>
      </c>
      <c r="BZ42" s="44" t="n">
        <f aca="false">IF(BU42=0,0,bsd(2,BZ$27,BV42,$AD42,$AA42,$AB42,$AH42,0.1))</f>
        <v>0</v>
      </c>
      <c r="CA42" s="44" t="n">
        <f aca="false">IF(BU42=0,0,bsd(BZ$28,BZ$27,BV42,$AD42,$AA42,$AB42,$AH42,0.1))</f>
        <v>0</v>
      </c>
      <c r="CB42" s="45" t="n">
        <f aca="false">BU42*BY42</f>
        <v>0</v>
      </c>
      <c r="CC42" s="45" t="n">
        <f aca="false">BU42*BZ42</f>
        <v>0</v>
      </c>
      <c r="CD42" s="45" t="n">
        <f aca="false">BU42*CA42</f>
        <v>0</v>
      </c>
    </row>
    <row r="43" customFormat="false" ht="12.75" hidden="false" customHeight="false" outlineLevel="0" collapsed="false">
      <c r="A43" s="48" t="n">
        <f aca="false">DATE(YEAR(A42),MONTH(A42)+1,1)</f>
        <v>37165</v>
      </c>
      <c r="B43" s="40" t="n">
        <f aca="false">VLOOKUP(A43,STRADDLE,5,FALSE())</f>
        <v>4.38071428571429</v>
      </c>
      <c r="C43" s="4" t="n">
        <f aca="false">VLOOKUP(A43,STRADDLE,8,FALSE())</f>
        <v>0.4025</v>
      </c>
      <c r="D43" s="40" t="n">
        <f aca="false">IF(D$28="nymex",0,VLOOKUP($A43,curvesettle,HLOOKUP(D$28,curvesettle,2,FALSE())))</f>
        <v>0.461</v>
      </c>
      <c r="E43" s="131" t="n">
        <f aca="false">IF(ISNUMBER(VLOOKUP($A43,VOLCURVES,HLOOKUP(D$28,VOLCURVES,2,FALSE()),FALSE())),VLOOKUP($A43,VOLCURVES,HLOOKUP(D$28,VOLCURVES,2,FALSE()),FALSE()),1)</f>
        <v>0.98</v>
      </c>
      <c r="F43" s="136" t="n">
        <f aca="false">IF(D$28="NYMEX",$AG43,$AF43)</f>
        <v>-8766</v>
      </c>
      <c r="G43" s="4" t="e">
        <f aca="false">(($C43+H43)*$E43)+B$15</f>
        <v>#DIV/0!</v>
      </c>
      <c r="H43" s="4" t="e">
        <f aca="false">IF($B$16=1,VLOOKUP($A43,SkewTable,HLOOKUP(ROUND(I43-AO43,1),SkewTable,2,FALSE()),FALSE())/100,0)</f>
        <v>#DIV/0!</v>
      </c>
      <c r="I43" s="41" t="n">
        <f aca="false">IF($B$19=4,$AO43,$B$18)</f>
        <v>5.05</v>
      </c>
      <c r="K43" s="40" t="n">
        <f aca="false">IF(K$28="nymex",0,VLOOKUP($A43,curvesettle,HLOOKUP(K$28,curvesettle,2,FALSE())))</f>
        <v>0.1225</v>
      </c>
      <c r="L43" s="131" t="n">
        <f aca="false">IF(ISNUMBER(VLOOKUP($A43,VOLCURVES,HLOOKUP(K$28,VOLCURVES,2,FALSE()),FALSE())),VLOOKUP($A43,VOLCURVES,HLOOKUP(K$28,VOLCURVES,2,FALSE()),FALSE()),1)</f>
        <v>1</v>
      </c>
      <c r="M43" s="136" t="n">
        <f aca="false">IF(K$28="NYMEX",$AG43,$AF43)</f>
        <v>-8766</v>
      </c>
      <c r="N43" s="153" t="e">
        <f aca="false">(($C43+O43)*$L43)+D$15</f>
        <v>#DIV/0!</v>
      </c>
      <c r="O43" s="4" t="e">
        <f aca="false">IF($D$16=1,VLOOKUP($A43,SkewTable,HLOOKUP(ROUND(P43-AZ43,1),SkewTable,2,FALSE()),FALSE())/100,0)</f>
        <v>#DIV/0!</v>
      </c>
      <c r="P43" s="41" t="n">
        <f aca="false">IF($D$19=4,$AZ43,$D$18)</f>
        <v>5.1</v>
      </c>
      <c r="R43" s="40" t="n">
        <f aca="false">IF(R$28="nymex",0,VLOOKUP($A43,curvesettle,HLOOKUP(R$28,curvesettle,2,FALSE())))</f>
        <v>0.0125</v>
      </c>
      <c r="S43" s="131" t="n">
        <f aca="false">IF(ISNUMBER(VLOOKUP($A43,VOLCURVES,HLOOKUP(R$28,VOLCURVES,2,FALSE()),FALSE())),VLOOKUP($A43,VOLCURVES,HLOOKUP(R$28,VOLCURVES,2,FALSE()),FALSE()),1)</f>
        <v>1</v>
      </c>
      <c r="T43" s="136" t="n">
        <f aca="false">IF(R$28="NYMEX",$AG43,$AF43)</f>
        <v>-8766</v>
      </c>
      <c r="U43" s="153" t="e">
        <f aca="false">(($C43+V43)*$S43)+F$15</f>
        <v>#DIV/0!</v>
      </c>
      <c r="V43" s="4" t="e">
        <f aca="false">IF($F$16=1,VLOOKUP($A43,SkewTable,HLOOKUP(ROUND(W43-BK43,1),SkewTable,2,FALSE()),FALSE())/100,0)</f>
        <v>#DIV/0!</v>
      </c>
      <c r="W43" s="41" t="n">
        <f aca="false">IF($F$19=4,$BK43,$F$18)</f>
        <v>5.3983</v>
      </c>
      <c r="X43" s="136"/>
      <c r="Y43" s="40" t="n">
        <f aca="false">IF(Y$28="nymex",0,VLOOKUP($A43,curvesettle,HLOOKUP(Y$28,curvesettle,2,FALSE())))</f>
        <v>0.0125</v>
      </c>
      <c r="Z43" s="131" t="n">
        <f aca="false">IF(ISNUMBER(VLOOKUP($A43,VOLCURVES,HLOOKUP(Y$28,VOLCURVES,2,FALSE()),FALSE())),VLOOKUP($A43,VOLCURVES,HLOOKUP(Y$28,VOLCURVES,2,FALSE()),FALSE()),1)</f>
        <v>1</v>
      </c>
      <c r="AA43" s="136" t="n">
        <f aca="false">IF(Y$28="NYMEX",$AG43,$AF43)</f>
        <v>-8766</v>
      </c>
      <c r="AB43" s="4" t="e">
        <f aca="false">(($C43+AC43)*$Z43)+H$15</f>
        <v>#DIV/0!</v>
      </c>
      <c r="AC43" s="4" t="e">
        <f aca="false">IF($H$16=1,VLOOKUP($A43,SkewTable,HLOOKUP(ROUND(AD43-BV43,1),SkewTable,2,FALSE()),FALSE())/100,0)</f>
        <v>#DIV/0!</v>
      </c>
      <c r="AD43" s="41" t="n">
        <f aca="false">IF($H$19=4,$BV43,$H$18)</f>
        <v>5.4668</v>
      </c>
      <c r="AF43" s="136" t="n">
        <f aca="false">VLOOKUP($A43,expiration,2,FALSE())-$B$2</f>
        <v>-8766</v>
      </c>
      <c r="AG43" s="136" t="n">
        <f aca="false">VLOOKUP($A43,expiration,3,FALSE())-$B$2</f>
        <v>-8767</v>
      </c>
      <c r="AH43" s="4" t="n">
        <f aca="false">VLOOKUP($A43,STRADDLE,12,FALSE())</f>
        <v>0.067509261584356</v>
      </c>
      <c r="AI43" s="43" t="n">
        <f aca="false">A44-A43</f>
        <v>31</v>
      </c>
      <c r="AL43" s="136"/>
      <c r="AM43" s="9"/>
      <c r="AN43" s="9" t="n">
        <f aca="false">IF($A43&gt;=AO$25,IF($A43&lt;=AO$26,$AI43,0),0)</f>
        <v>0</v>
      </c>
      <c r="AO43" s="9" t="e">
        <f aca="false">AQ43/AN43</f>
        <v>#DIV/0!</v>
      </c>
      <c r="AP43" s="1" t="n">
        <f aca="false">AN43*($B43+B$13)</f>
        <v>0</v>
      </c>
      <c r="AQ43" s="33" t="n">
        <f aca="false">IF(ISNUMBER(((AP43/AN43)+B$14+$D43)*AN43),((AP43/AN43)+B$14+$D43)*AN43,0)</f>
        <v>0</v>
      </c>
      <c r="AR43" s="44" t="n">
        <f aca="false">IF(AN43=0,0,bsd(1,AS$27,AO43,$I43,$F43,$G43,$AH43,0.1))</f>
        <v>0</v>
      </c>
      <c r="AS43" s="44" t="n">
        <f aca="false">IF(AN43=0,0,bsd(2,AS$27,AO43,$I43,$F43,$G43,$AH43,0.1))</f>
        <v>0</v>
      </c>
      <c r="AT43" s="44" t="n">
        <f aca="false">IF(AN43=0,0,bsd(AS$28,AS$27,AO43,$I43,$F43,$G43,$AH43,0.1))</f>
        <v>0</v>
      </c>
      <c r="AU43" s="45" t="n">
        <f aca="false">AN43*AR43</f>
        <v>0</v>
      </c>
      <c r="AV43" s="45" t="n">
        <f aca="false">AN43*AS43</f>
        <v>0</v>
      </c>
      <c r="AW43" s="45" t="n">
        <f aca="false">AN43*AT43</f>
        <v>0</v>
      </c>
      <c r="AY43" s="9" t="n">
        <f aca="false">IF($A43&gt;=AZ$25,IF($A43&lt;=AZ$26,$AI43,0),0)</f>
        <v>0</v>
      </c>
      <c r="AZ43" s="9" t="e">
        <f aca="false">BB43/AY43</f>
        <v>#DIV/0!</v>
      </c>
      <c r="BA43" s="1" t="n">
        <f aca="false">AY43*($B43+D$13)</f>
        <v>0</v>
      </c>
      <c r="BB43" s="33" t="n">
        <f aca="false">IF(ISNUMBER(((BA43/AY43)+D$14+$K43)*AY43),((BA43/AY43)+D$14+$K43)*AY43,0)</f>
        <v>0</v>
      </c>
      <c r="BC43" s="44" t="n">
        <f aca="false">IF(AY43=0,0,bsd(1,BD$27,AZ43,$P43,$M43,$N43,$AH43,0.1))</f>
        <v>0</v>
      </c>
      <c r="BD43" s="44" t="n">
        <f aca="false">IF(AY43=0,0,bsd(2,BD$27,AZ43,$P43,$M43,$N43,$AH43,0.1))</f>
        <v>0</v>
      </c>
      <c r="BE43" s="44" t="n">
        <f aca="false">IF(AY43=0,0,bsd(BD$28,BD$27,AZ43,$P43,$M43,$N43,$AH43,0.1))</f>
        <v>0</v>
      </c>
      <c r="BF43" s="45" t="n">
        <f aca="false">AY43*BC43</f>
        <v>0</v>
      </c>
      <c r="BG43" s="45" t="n">
        <f aca="false">AY43*BD43</f>
        <v>0</v>
      </c>
      <c r="BH43" s="45" t="n">
        <f aca="false">AY43*BE43</f>
        <v>0</v>
      </c>
      <c r="BJ43" s="9" t="n">
        <f aca="false">IF($A43&gt;=BK$25,IF($A43&lt;=BK$26,$AI43,0),0)</f>
        <v>0</v>
      </c>
      <c r="BK43" s="9" t="e">
        <f aca="false">BM43/BJ43</f>
        <v>#DIV/0!</v>
      </c>
      <c r="BL43" s="1" t="n">
        <f aca="false">BJ43*($B43+F$13)</f>
        <v>0</v>
      </c>
      <c r="BM43" s="33" t="n">
        <f aca="false">IF(ISNUMBER(((BL43/BJ43)+F$14+$R43)*BJ43),((BL43/BJ43)+F$14+$R43)*BJ43,0)</f>
        <v>0</v>
      </c>
      <c r="BN43" s="44" t="n">
        <f aca="false">IF(BJ43=0,0,bsd(1,BO$27,BK43,$W43,$T43,$U43,$AH43,0.1))</f>
        <v>0</v>
      </c>
      <c r="BO43" s="44" t="n">
        <f aca="false">IF(BJ43=0,0,bsd(2,BO$27,BK43,$W43,$T43,$U43,$AH43,0.1))</f>
        <v>0</v>
      </c>
      <c r="BP43" s="44" t="n">
        <f aca="false">IF(BJ43=0,0,bsd(BO$28,BO$27,BK43,$W43,$T43,$U43,$AH43,0.1))</f>
        <v>0</v>
      </c>
      <c r="BQ43" s="45" t="n">
        <f aca="false">BJ43*BN43</f>
        <v>0</v>
      </c>
      <c r="BR43" s="45" t="n">
        <f aca="false">BJ43*BO43</f>
        <v>0</v>
      </c>
      <c r="BS43" s="45" t="n">
        <f aca="false">BJ43*BP43</f>
        <v>0</v>
      </c>
      <c r="BU43" s="9" t="n">
        <f aca="false">IF($A43&gt;=BV$25,IF($A43&lt;=BV$26,$AI43,0),0)</f>
        <v>0</v>
      </c>
      <c r="BV43" s="9" t="e">
        <f aca="false">BX43/BU43</f>
        <v>#DIV/0!</v>
      </c>
      <c r="BW43" s="1" t="n">
        <f aca="false">BU43*($B43+H$13)</f>
        <v>0</v>
      </c>
      <c r="BX43" s="33" t="n">
        <f aca="false">IF(ISNUMBER(((BW43/BU43)+H$14+$Y43)*BU43),((BW43/BU43)+H$14+$Y43)*BU43,0)</f>
        <v>0</v>
      </c>
      <c r="BY43" s="44" t="n">
        <f aca="false">IF(BU43=0,0,bsd(1,BZ$27,BV43,$AD43,$AA43,$AB43,$AH43,0.1))</f>
        <v>0</v>
      </c>
      <c r="BZ43" s="44" t="n">
        <f aca="false">IF(BU43=0,0,bsd(2,BZ$27,BV43,$AD43,$AA43,$AB43,$AH43,0.1))</f>
        <v>0</v>
      </c>
      <c r="CA43" s="44" t="n">
        <f aca="false">IF(BU43=0,0,bsd(BZ$28,BZ$27,BV43,$AD43,$AA43,$AB43,$AH43,0.1))</f>
        <v>0</v>
      </c>
      <c r="CB43" s="45" t="n">
        <f aca="false">BU43*BY43</f>
        <v>0</v>
      </c>
      <c r="CC43" s="45" t="n">
        <f aca="false">BU43*BZ43</f>
        <v>0</v>
      </c>
      <c r="CD43" s="45" t="n">
        <f aca="false">BU43*CA43</f>
        <v>0</v>
      </c>
    </row>
    <row r="44" customFormat="false" ht="12.75" hidden="false" customHeight="false" outlineLevel="0" collapsed="false">
      <c r="A44" s="48" t="n">
        <f aca="false">DATE(YEAR(A43),MONTH(A43)+1,1)</f>
        <v>37196</v>
      </c>
      <c r="B44" s="40" t="n">
        <f aca="false">VLOOKUP(A44,STRADDLE,5,FALSE())</f>
        <v>4.486</v>
      </c>
      <c r="C44" s="4" t="n">
        <f aca="false">VLOOKUP(A44,STRADDLE,8,FALSE())</f>
        <v>0.4075</v>
      </c>
      <c r="D44" s="40" t="n">
        <f aca="false">IF(D$28="nymex",0,VLOOKUP($A44,curvesettle,HLOOKUP(D$28,curvesettle,2,FALSE())))</f>
        <v>1.19</v>
      </c>
      <c r="E44" s="131" t="n">
        <f aca="false">IF(ISNUMBER(VLOOKUP($A44,VOLCURVES,HLOOKUP(D$28,VOLCURVES,2,FALSE()),FALSE())),VLOOKUP($A44,VOLCURVES,HLOOKUP(D$28,VOLCURVES,2,FALSE()),FALSE()),1)</f>
        <v>1.1</v>
      </c>
      <c r="F44" s="136" t="n">
        <f aca="false">IF(D$28="NYMEX",$AG44,$AF44)</f>
        <v>-8733</v>
      </c>
      <c r="G44" s="4" t="e">
        <f aca="false">(($C44+H44)*$E44)+B$15</f>
        <v>#DIV/0!</v>
      </c>
      <c r="H44" s="4" t="e">
        <f aca="false">IF($B$16=1,VLOOKUP($A44,SkewTable,HLOOKUP(ROUND(I44-AO44,1),SkewTable,2,FALSE()),FALSE())/100,0)</f>
        <v>#DIV/0!</v>
      </c>
      <c r="I44" s="41" t="n">
        <f aca="false">IF($B$19=4,$AO44,$B$18)</f>
        <v>5.05</v>
      </c>
      <c r="K44" s="40" t="n">
        <f aca="false">IF(K$28="nymex",0,VLOOKUP($A44,curvesettle,HLOOKUP(K$28,curvesettle,2,FALSE())))</f>
        <v>0.22</v>
      </c>
      <c r="L44" s="131" t="n">
        <f aca="false">IF(ISNUMBER(VLOOKUP($A44,VOLCURVES,HLOOKUP(K$28,VOLCURVES,2,FALSE()),FALSE())),VLOOKUP($A44,VOLCURVES,HLOOKUP(K$28,VOLCURVES,2,FALSE()),FALSE()),1)</f>
        <v>1</v>
      </c>
      <c r="M44" s="136" t="n">
        <f aca="false">IF(K$28="NYMEX",$AG44,$AF44)</f>
        <v>-8733</v>
      </c>
      <c r="N44" s="153" t="e">
        <f aca="false">(($C44+O44)*$L44)+D$15</f>
        <v>#DIV/0!</v>
      </c>
      <c r="O44" s="4" t="e">
        <f aca="false">IF($D$16=1,VLOOKUP($A44,SkewTable,HLOOKUP(ROUND(P44-AZ44,1),SkewTable,2,FALSE()),FALSE())/100,0)</f>
        <v>#DIV/0!</v>
      </c>
      <c r="P44" s="41" t="n">
        <f aca="false">IF($D$19=4,$AZ44,$D$18)</f>
        <v>5.1</v>
      </c>
      <c r="R44" s="40" t="n">
        <f aca="false">IF(R$28="nymex",0,VLOOKUP($A44,curvesettle,HLOOKUP(R$28,curvesettle,2,FALSE())))</f>
        <v>-0.0375</v>
      </c>
      <c r="S44" s="131" t="n">
        <f aca="false">IF(ISNUMBER(VLOOKUP($A44,VOLCURVES,HLOOKUP(R$28,VOLCURVES,2,FALSE()),FALSE())),VLOOKUP($A44,VOLCURVES,HLOOKUP(R$28,VOLCURVES,2,FALSE()),FALSE()),1)</f>
        <v>1</v>
      </c>
      <c r="T44" s="136" t="n">
        <f aca="false">IF(R$28="NYMEX",$AG44,$AF44)</f>
        <v>-8733</v>
      </c>
      <c r="U44" s="153" t="e">
        <f aca="false">(($C44+V44)*$S44)+F$15</f>
        <v>#DIV/0!</v>
      </c>
      <c r="V44" s="4" t="e">
        <f aca="false">IF($F$16=1,VLOOKUP($A44,SkewTable,HLOOKUP(ROUND(W44-BK44,1),SkewTable,2,FALSE()),FALSE())/100,0)</f>
        <v>#DIV/0!</v>
      </c>
      <c r="W44" s="41" t="n">
        <f aca="false">IF($F$19=4,$BK44,$F$18)</f>
        <v>5.3983</v>
      </c>
      <c r="X44" s="136"/>
      <c r="Y44" s="40" t="n">
        <f aca="false">IF(Y$28="nymex",0,VLOOKUP($A44,curvesettle,HLOOKUP(Y$28,curvesettle,2,FALSE())))</f>
        <v>-0.0375</v>
      </c>
      <c r="Z44" s="131" t="n">
        <f aca="false">IF(ISNUMBER(VLOOKUP($A44,VOLCURVES,HLOOKUP(Y$28,VOLCURVES,2,FALSE()),FALSE())),VLOOKUP($A44,VOLCURVES,HLOOKUP(Y$28,VOLCURVES,2,FALSE()),FALSE()),1)</f>
        <v>1</v>
      </c>
      <c r="AA44" s="136" t="n">
        <f aca="false">IF(Y$28="NYMEX",$AG44,$AF44)</f>
        <v>-8733</v>
      </c>
      <c r="AB44" s="4" t="e">
        <f aca="false">(($C44+AC44)*$Z44)+H$15</f>
        <v>#DIV/0!</v>
      </c>
      <c r="AC44" s="4" t="e">
        <f aca="false">IF($H$16=1,VLOOKUP($A44,SkewTable,HLOOKUP(ROUND(AD44-BV44,1),SkewTable,2,FALSE()),FALSE())/100,0)</f>
        <v>#DIV/0!</v>
      </c>
      <c r="AD44" s="41" t="n">
        <f aca="false">IF($H$19=4,$BV44,$H$18)</f>
        <v>5.4668</v>
      </c>
      <c r="AF44" s="136" t="n">
        <f aca="false">VLOOKUP($A44,expiration,2,FALSE())-$B$2</f>
        <v>-8733</v>
      </c>
      <c r="AG44" s="136" t="n">
        <f aca="false">VLOOKUP($A44,expiration,3,FALSE())-$B$2</f>
        <v>-8736</v>
      </c>
      <c r="AH44" s="4" t="n">
        <f aca="false">VLOOKUP($A44,STRADDLE,12,FALSE())</f>
        <v>0.067440746905213</v>
      </c>
      <c r="AI44" s="43" t="n">
        <f aca="false">A45-A44</f>
        <v>30</v>
      </c>
      <c r="AL44" s="136"/>
      <c r="AM44" s="9"/>
      <c r="AN44" s="9" t="n">
        <f aca="false">IF($A44&gt;=AO$25,IF($A44&lt;=AO$26,$AI44,0),0)</f>
        <v>0</v>
      </c>
      <c r="AO44" s="9" t="e">
        <f aca="false">AQ44/AN44</f>
        <v>#DIV/0!</v>
      </c>
      <c r="AP44" s="1" t="n">
        <f aca="false">AN44*($B44+B$13)</f>
        <v>0</v>
      </c>
      <c r="AQ44" s="33" t="n">
        <f aca="false">IF(ISNUMBER(((AP44/AN44)+B$14+$D44)*AN44),((AP44/AN44)+B$14+$D44)*AN44,0)</f>
        <v>0</v>
      </c>
      <c r="AR44" s="44" t="n">
        <f aca="false">IF(AN44=0,0,bsd(1,AS$27,AO44,$I44,$F44,$G44,$AH44,0.1))</f>
        <v>0</v>
      </c>
      <c r="AS44" s="44" t="n">
        <f aca="false">IF(AN44=0,0,bsd(2,AS$27,AO44,$I44,$F44,$G44,$AH44,0.1))</f>
        <v>0</v>
      </c>
      <c r="AT44" s="44" t="n">
        <f aca="false">IF(AN44=0,0,bsd(AS$28,AS$27,AO44,$I44,$F44,$G44,$AH44,0.1))</f>
        <v>0</v>
      </c>
      <c r="AU44" s="45" t="n">
        <f aca="false">AN44*AR44</f>
        <v>0</v>
      </c>
      <c r="AV44" s="45" t="n">
        <f aca="false">AN44*AS44</f>
        <v>0</v>
      </c>
      <c r="AW44" s="45" t="n">
        <f aca="false">AN44*AT44</f>
        <v>0</v>
      </c>
      <c r="AY44" s="9" t="n">
        <f aca="false">IF($A44&gt;=AZ$25,IF($A44&lt;=AZ$26,$AI44,0),0)</f>
        <v>0</v>
      </c>
      <c r="AZ44" s="9" t="e">
        <f aca="false">BB44/AY44</f>
        <v>#DIV/0!</v>
      </c>
      <c r="BA44" s="1" t="n">
        <f aca="false">AY44*($B44+D$13)</f>
        <v>0</v>
      </c>
      <c r="BB44" s="33" t="n">
        <f aca="false">IF(ISNUMBER(((BA44/AY44)+D$14+$K44)*AY44),((BA44/AY44)+D$14+$K44)*AY44,0)</f>
        <v>0</v>
      </c>
      <c r="BC44" s="44" t="n">
        <f aca="false">IF(AY44=0,0,bsd(1,BD$27,AZ44,$P44,$M44,$N44,$AH44,0.1))</f>
        <v>0</v>
      </c>
      <c r="BD44" s="44" t="n">
        <f aca="false">IF(AY44=0,0,bsd(2,BD$27,AZ44,$P44,$M44,$N44,$AH44,0.1))</f>
        <v>0</v>
      </c>
      <c r="BE44" s="44" t="n">
        <f aca="false">IF(AY44=0,0,bsd(BD$28,BD$27,AZ44,$P44,$M44,$N44,$AH44,0.1))</f>
        <v>0</v>
      </c>
      <c r="BF44" s="45" t="n">
        <f aca="false">AY44*BC44</f>
        <v>0</v>
      </c>
      <c r="BG44" s="45" t="n">
        <f aca="false">AY44*BD44</f>
        <v>0</v>
      </c>
      <c r="BH44" s="45" t="n">
        <f aca="false">AY44*BE44</f>
        <v>0</v>
      </c>
      <c r="BJ44" s="9" t="n">
        <f aca="false">IF($A44&gt;=BK$25,IF($A44&lt;=BK$26,$AI44,0),0)</f>
        <v>0</v>
      </c>
      <c r="BK44" s="9" t="e">
        <f aca="false">BM44/BJ44</f>
        <v>#DIV/0!</v>
      </c>
      <c r="BL44" s="1" t="n">
        <f aca="false">BJ44*($B44+F$13)</f>
        <v>0</v>
      </c>
      <c r="BM44" s="33" t="n">
        <f aca="false">IF(ISNUMBER(((BL44/BJ44)+F$14+$R44)*BJ44),((BL44/BJ44)+F$14+$R44)*BJ44,0)</f>
        <v>0</v>
      </c>
      <c r="BN44" s="44" t="n">
        <f aca="false">IF(BJ44=0,0,bsd(1,BO$27,BK44,$W44,$T44,$U44,$AH44,0.1))</f>
        <v>0</v>
      </c>
      <c r="BO44" s="44" t="n">
        <f aca="false">IF(BJ44=0,0,bsd(2,BO$27,BK44,$W44,$T44,$U44,$AH44,0.1))</f>
        <v>0</v>
      </c>
      <c r="BP44" s="44" t="n">
        <f aca="false">IF(BJ44=0,0,bsd(BO$28,BO$27,BK44,$W44,$T44,$U44,$AH44,0.1))</f>
        <v>0</v>
      </c>
      <c r="BQ44" s="45" t="n">
        <f aca="false">BJ44*BN44</f>
        <v>0</v>
      </c>
      <c r="BR44" s="45" t="n">
        <f aca="false">BJ44*BO44</f>
        <v>0</v>
      </c>
      <c r="BS44" s="45" t="n">
        <f aca="false">BJ44*BP44</f>
        <v>0</v>
      </c>
      <c r="BU44" s="9" t="n">
        <f aca="false">IF($A44&gt;=BV$25,IF($A44&lt;=BV$26,$AI44,0),0)</f>
        <v>0</v>
      </c>
      <c r="BV44" s="9" t="e">
        <f aca="false">BX44/BU44</f>
        <v>#DIV/0!</v>
      </c>
      <c r="BW44" s="1" t="n">
        <f aca="false">BU44*($B44+H$13)</f>
        <v>0</v>
      </c>
      <c r="BX44" s="33" t="n">
        <f aca="false">IF(ISNUMBER(((BW44/BU44)+H$14+$Y44)*BU44),((BW44/BU44)+H$14+$Y44)*BU44,0)</f>
        <v>0</v>
      </c>
      <c r="BY44" s="44" t="n">
        <f aca="false">IF(BU44=0,0,bsd(1,BZ$27,BV44,$AD44,$AA44,$AB44,$AH44,0.1))</f>
        <v>0</v>
      </c>
      <c r="BZ44" s="44" t="n">
        <f aca="false">IF(BU44=0,0,bsd(2,BZ$27,BV44,$AD44,$AA44,$AB44,$AH44,0.1))</f>
        <v>0</v>
      </c>
      <c r="CA44" s="44" t="n">
        <f aca="false">IF(BU44=0,0,bsd(BZ$28,BZ$27,BV44,$AD44,$AA44,$AB44,$AH44,0.1))</f>
        <v>0</v>
      </c>
      <c r="CB44" s="45" t="n">
        <f aca="false">BU44*BY44</f>
        <v>0</v>
      </c>
      <c r="CC44" s="45" t="n">
        <f aca="false">BU44*BZ44</f>
        <v>0</v>
      </c>
      <c r="CD44" s="45" t="n">
        <f aca="false">BU44*CA44</f>
        <v>0</v>
      </c>
    </row>
    <row r="45" customFormat="false" ht="12.75" hidden="false" customHeight="false" outlineLevel="0" collapsed="false">
      <c r="A45" s="48" t="n">
        <f aca="false">DATE(YEAR(A44),MONTH(A44)+1,1)</f>
        <v>37226</v>
      </c>
      <c r="B45" s="40" t="n">
        <f aca="false">VLOOKUP(A45,STRADDLE,5,FALSE())</f>
        <v>4.581</v>
      </c>
      <c r="C45" s="4" t="n">
        <f aca="false">VLOOKUP(A45,STRADDLE,8,FALSE())</f>
        <v>0.4125</v>
      </c>
      <c r="D45" s="40" t="n">
        <f aca="false">IF(D$28="nymex",0,VLOOKUP($A45,curvesettle,HLOOKUP(D$28,curvesettle,2,FALSE())))</f>
        <v>1.61</v>
      </c>
      <c r="E45" s="131" t="n">
        <f aca="false">IF(ISNUMBER(VLOOKUP($A45,VOLCURVES,HLOOKUP(D$28,VOLCURVES,2,FALSE()),FALSE())),VLOOKUP($A45,VOLCURVES,HLOOKUP(D$28,VOLCURVES,2,FALSE()),FALSE()),1)</f>
        <v>1.1</v>
      </c>
      <c r="F45" s="136" t="n">
        <f aca="false">IF(D$28="NYMEX",$AG45,$AF45)</f>
        <v>-8703</v>
      </c>
      <c r="G45" s="4" t="e">
        <f aca="false">(($C45+H45)*$E45)+B$15</f>
        <v>#DIV/0!</v>
      </c>
      <c r="H45" s="4" t="e">
        <f aca="false">IF($B$16=1,VLOOKUP($A45,SkewTable,HLOOKUP(ROUND(I45-AO45,1),SkewTable,2,FALSE()),FALSE())/100,0)</f>
        <v>#DIV/0!</v>
      </c>
      <c r="I45" s="41" t="n">
        <f aca="false">IF($B$19=4,$AO45,$B$18)</f>
        <v>5.05</v>
      </c>
      <c r="K45" s="40" t="n">
        <f aca="false">IF(K$28="nymex",0,VLOOKUP($A45,curvesettle,HLOOKUP(K$28,curvesettle,2,FALSE())))</f>
        <v>0.22</v>
      </c>
      <c r="L45" s="131" t="n">
        <f aca="false">IF(ISNUMBER(VLOOKUP($A45,VOLCURVES,HLOOKUP(K$28,VOLCURVES,2,FALSE()),FALSE())),VLOOKUP($A45,VOLCURVES,HLOOKUP(K$28,VOLCURVES,2,FALSE()),FALSE()),1)</f>
        <v>1</v>
      </c>
      <c r="M45" s="136" t="n">
        <f aca="false">IF(K$28="NYMEX",$AG45,$AF45)</f>
        <v>-8703</v>
      </c>
      <c r="N45" s="153" t="e">
        <f aca="false">(($C45+O45)*$L45)+D$15</f>
        <v>#DIV/0!</v>
      </c>
      <c r="O45" s="4" t="e">
        <f aca="false">IF($D$16=1,VLOOKUP($A45,SkewTable,HLOOKUP(ROUND(P45-AZ45,1),SkewTable,2,FALSE()),FALSE())/100,0)</f>
        <v>#DIV/0!</v>
      </c>
      <c r="P45" s="41" t="n">
        <f aca="false">IF($D$19=4,$AZ45,$D$18)</f>
        <v>5.1</v>
      </c>
      <c r="R45" s="40" t="n">
        <f aca="false">IF(R$28="nymex",0,VLOOKUP($A45,curvesettle,HLOOKUP(R$28,curvesettle,2,FALSE())))</f>
        <v>-0.06</v>
      </c>
      <c r="S45" s="131" t="n">
        <f aca="false">IF(ISNUMBER(VLOOKUP($A45,VOLCURVES,HLOOKUP(R$28,VOLCURVES,2,FALSE()),FALSE())),VLOOKUP($A45,VOLCURVES,HLOOKUP(R$28,VOLCURVES,2,FALSE()),FALSE()),1)</f>
        <v>1</v>
      </c>
      <c r="T45" s="136" t="n">
        <f aca="false">IF(R$28="NYMEX",$AG45,$AF45)</f>
        <v>-8703</v>
      </c>
      <c r="U45" s="153" t="e">
        <f aca="false">(($C45+V45)*$S45)+F$15</f>
        <v>#DIV/0!</v>
      </c>
      <c r="V45" s="4" t="e">
        <f aca="false">IF($F$16=1,VLOOKUP($A45,SkewTable,HLOOKUP(ROUND(W45-BK45,1),SkewTable,2,FALSE()),FALSE())/100,0)</f>
        <v>#DIV/0!</v>
      </c>
      <c r="W45" s="41" t="n">
        <f aca="false">IF($F$19=4,$BK45,$F$18)</f>
        <v>5.3983</v>
      </c>
      <c r="X45" s="136"/>
      <c r="Y45" s="40" t="n">
        <f aca="false">IF(Y$28="nymex",0,VLOOKUP($A45,curvesettle,HLOOKUP(Y$28,curvesettle,2,FALSE())))</f>
        <v>-0.06</v>
      </c>
      <c r="Z45" s="131" t="n">
        <f aca="false">IF(ISNUMBER(VLOOKUP($A45,VOLCURVES,HLOOKUP(Y$28,VOLCURVES,2,FALSE()),FALSE())),VLOOKUP($A45,VOLCURVES,HLOOKUP(Y$28,VOLCURVES,2,FALSE()),FALSE()),1)</f>
        <v>1</v>
      </c>
      <c r="AA45" s="136" t="n">
        <f aca="false">IF(Y$28="NYMEX",$AG45,$AF45)</f>
        <v>-8703</v>
      </c>
      <c r="AB45" s="4" t="e">
        <f aca="false">(($C45+AC45)*$Z45)+H$15</f>
        <v>#DIV/0!</v>
      </c>
      <c r="AC45" s="4" t="e">
        <f aca="false">IF($H$16=1,VLOOKUP($A45,SkewTable,HLOOKUP(ROUND(AD45-BV45,1),SkewTable,2,FALSE()),FALSE())/100,0)</f>
        <v>#DIV/0!</v>
      </c>
      <c r="AD45" s="41" t="n">
        <f aca="false">IF($H$19=4,$BV45,$H$18)</f>
        <v>5.4668</v>
      </c>
      <c r="AF45" s="136" t="n">
        <f aca="false">VLOOKUP($A45,expiration,2,FALSE())-$B$2</f>
        <v>-8703</v>
      </c>
      <c r="AG45" s="136" t="n">
        <f aca="false">VLOOKUP($A45,expiration,3,FALSE())-$B$2</f>
        <v>-8704</v>
      </c>
      <c r="AH45" s="4" t="n">
        <f aca="false">VLOOKUP($A45,STRADDLE,12,FALSE())</f>
        <v>0.06737444237849</v>
      </c>
      <c r="AI45" s="43" t="n">
        <f aca="false">A46-A45</f>
        <v>31</v>
      </c>
      <c r="AL45" s="136"/>
      <c r="AM45" s="9"/>
      <c r="AN45" s="9" t="n">
        <f aca="false">IF($A45&gt;=AO$25,IF($A45&lt;=AO$26,$AI45,0),0)</f>
        <v>0</v>
      </c>
      <c r="AO45" s="9" t="e">
        <f aca="false">AQ45/AN45</f>
        <v>#DIV/0!</v>
      </c>
      <c r="AP45" s="1" t="n">
        <f aca="false">AN45*($B45+B$13)</f>
        <v>0</v>
      </c>
      <c r="AQ45" s="33" t="n">
        <f aca="false">IF(ISNUMBER(((AP45/AN45)+B$14+$D45)*AN45),((AP45/AN45)+B$14+$D45)*AN45,0)</f>
        <v>0</v>
      </c>
      <c r="AR45" s="44" t="n">
        <f aca="false">IF(AN45=0,0,bsd(1,AS$27,AO45,$I45,$F45,$G45,$AH45,0.1))</f>
        <v>0</v>
      </c>
      <c r="AS45" s="44" t="n">
        <f aca="false">IF(AN45=0,0,bsd(2,AS$27,AO45,$I45,$F45,$G45,$AH45,0.1))</f>
        <v>0</v>
      </c>
      <c r="AT45" s="44" t="n">
        <f aca="false">IF(AN45=0,0,bsd(AS$28,AS$27,AO45,$I45,$F45,$G45,$AH45,0.1))</f>
        <v>0</v>
      </c>
      <c r="AU45" s="45" t="n">
        <f aca="false">AN45*AR45</f>
        <v>0</v>
      </c>
      <c r="AV45" s="45" t="n">
        <f aca="false">AN45*AS45</f>
        <v>0</v>
      </c>
      <c r="AW45" s="45" t="n">
        <f aca="false">AN45*AT45</f>
        <v>0</v>
      </c>
      <c r="AY45" s="9" t="n">
        <f aca="false">IF($A45&gt;=AZ$25,IF($A45&lt;=AZ$26,$AI45,0),0)</f>
        <v>0</v>
      </c>
      <c r="AZ45" s="9" t="e">
        <f aca="false">BB45/AY45</f>
        <v>#DIV/0!</v>
      </c>
      <c r="BA45" s="1" t="n">
        <f aca="false">AY45*($B45+D$13)</f>
        <v>0</v>
      </c>
      <c r="BB45" s="33" t="n">
        <f aca="false">IF(ISNUMBER(((BA45/AY45)+D$14+$K45)*AY45),((BA45/AY45)+D$14+$K45)*AY45,0)</f>
        <v>0</v>
      </c>
      <c r="BC45" s="44" t="n">
        <f aca="false">IF(AY45=0,0,bsd(1,BD$27,AZ45,$P45,$M45,$N45,$AH45,0.1))</f>
        <v>0</v>
      </c>
      <c r="BD45" s="44" t="n">
        <f aca="false">IF(AY45=0,0,bsd(2,BD$27,AZ45,$P45,$M45,$N45,$AH45,0.1))</f>
        <v>0</v>
      </c>
      <c r="BE45" s="44" t="n">
        <f aca="false">IF(AY45=0,0,bsd(BD$28,BD$27,AZ45,$P45,$M45,$N45,$AH45,0.1))</f>
        <v>0</v>
      </c>
      <c r="BF45" s="45" t="n">
        <f aca="false">AY45*BC45</f>
        <v>0</v>
      </c>
      <c r="BG45" s="45" t="n">
        <f aca="false">AY45*BD45</f>
        <v>0</v>
      </c>
      <c r="BH45" s="45" t="n">
        <f aca="false">AY45*BE45</f>
        <v>0</v>
      </c>
      <c r="BJ45" s="9" t="n">
        <f aca="false">IF($A45&gt;=BK$25,IF($A45&lt;=BK$26,$AI45,0),0)</f>
        <v>0</v>
      </c>
      <c r="BK45" s="9" t="e">
        <f aca="false">BM45/BJ45</f>
        <v>#DIV/0!</v>
      </c>
      <c r="BL45" s="1" t="n">
        <f aca="false">BJ45*($B45+F$13)</f>
        <v>0</v>
      </c>
      <c r="BM45" s="33" t="n">
        <f aca="false">IF(ISNUMBER(((BL45/BJ45)+F$14+$R45)*BJ45),((BL45/BJ45)+F$14+$R45)*BJ45,0)</f>
        <v>0</v>
      </c>
      <c r="BN45" s="44" t="n">
        <f aca="false">IF(BJ45=0,0,bsd(1,BO$27,BK45,$W45,$T45,$U45,$AH45,0.1))</f>
        <v>0</v>
      </c>
      <c r="BO45" s="44" t="n">
        <f aca="false">IF(BJ45=0,0,bsd(2,BO$27,BK45,$W45,$T45,$U45,$AH45,0.1))</f>
        <v>0</v>
      </c>
      <c r="BP45" s="44" t="n">
        <f aca="false">IF(BJ45=0,0,bsd(BO$28,BO$27,BK45,$W45,$T45,$U45,$AH45,0.1))</f>
        <v>0</v>
      </c>
      <c r="BQ45" s="45" t="n">
        <f aca="false">BJ45*BN45</f>
        <v>0</v>
      </c>
      <c r="BR45" s="45" t="n">
        <f aca="false">BJ45*BO45</f>
        <v>0</v>
      </c>
      <c r="BS45" s="45" t="n">
        <f aca="false">BJ45*BP45</f>
        <v>0</v>
      </c>
      <c r="BU45" s="9" t="n">
        <f aca="false">IF($A45&gt;=BV$25,IF($A45&lt;=BV$26,$AI45,0),0)</f>
        <v>0</v>
      </c>
      <c r="BV45" s="9" t="e">
        <f aca="false">BX45/BU45</f>
        <v>#DIV/0!</v>
      </c>
      <c r="BW45" s="1" t="n">
        <f aca="false">BU45*($B45+H$13)</f>
        <v>0</v>
      </c>
      <c r="BX45" s="33" t="n">
        <f aca="false">IF(ISNUMBER(((BW45/BU45)+H$14+$Y45)*BU45),((BW45/BU45)+H$14+$Y45)*BU45,0)</f>
        <v>0</v>
      </c>
      <c r="BY45" s="44" t="n">
        <f aca="false">IF(BU45=0,0,bsd(1,BZ$27,BV45,$AD45,$AA45,$AB45,$AH45,0.1))</f>
        <v>0</v>
      </c>
      <c r="BZ45" s="44" t="n">
        <f aca="false">IF(BU45=0,0,bsd(2,BZ$27,BV45,$AD45,$AA45,$AB45,$AH45,0.1))</f>
        <v>0</v>
      </c>
      <c r="CA45" s="44" t="n">
        <f aca="false">IF(BU45=0,0,bsd(BZ$28,BZ$27,BV45,$AD45,$AA45,$AB45,$AH45,0.1))</f>
        <v>0</v>
      </c>
      <c r="CB45" s="45" t="n">
        <f aca="false">BU45*BY45</f>
        <v>0</v>
      </c>
      <c r="CC45" s="45" t="n">
        <f aca="false">BU45*BZ45</f>
        <v>0</v>
      </c>
      <c r="CD45" s="45" t="n">
        <f aca="false">BU45*CA45</f>
        <v>0</v>
      </c>
    </row>
    <row r="46" customFormat="false" ht="12.75" hidden="false" customHeight="false" outlineLevel="0" collapsed="false">
      <c r="A46" s="48" t="n">
        <f aca="false">DATE(YEAR(A45),MONTH(A45)+1,1)</f>
        <v>37257</v>
      </c>
      <c r="B46" s="40" t="n">
        <f aca="false">VLOOKUP(A46,STRADDLE,5,FALSE())</f>
        <v>4.546</v>
      </c>
      <c r="C46" s="4" t="n">
        <f aca="false">VLOOKUP(A46,STRADDLE,8,FALSE())</f>
        <v>0.4175</v>
      </c>
      <c r="D46" s="40" t="n">
        <f aca="false">IF(D$28="nymex",0,VLOOKUP($A46,curvesettle,HLOOKUP(D$28,curvesettle,2,FALSE())))</f>
        <v>1.87</v>
      </c>
      <c r="E46" s="131" t="n">
        <f aca="false">IF(ISNUMBER(VLOOKUP($A46,VOLCURVES,HLOOKUP(D$28,VOLCURVES,2,FALSE()),FALSE())),VLOOKUP($A46,VOLCURVES,HLOOKUP(D$28,VOLCURVES,2,FALSE()),FALSE()),1)</f>
        <v>1.1</v>
      </c>
      <c r="F46" s="136" t="n">
        <f aca="false">IF(D$28="NYMEX",$AG46,$AF46)</f>
        <v>-8674</v>
      </c>
      <c r="G46" s="4" t="e">
        <f aca="false">(($C46+H46)*$E46)+B$15</f>
        <v>#DIV/0!</v>
      </c>
      <c r="H46" s="4" t="e">
        <f aca="false">IF($B$16=1,VLOOKUP($A46,SkewTable,HLOOKUP(ROUND(I46-AO46,1),SkewTable,2,FALSE()),FALSE())/100,0)</f>
        <v>#DIV/0!</v>
      </c>
      <c r="I46" s="41" t="n">
        <f aca="false">IF($B$19=4,$AO46,$B$18)</f>
        <v>5.05</v>
      </c>
      <c r="K46" s="40" t="n">
        <f aca="false">IF(K$28="nymex",0,VLOOKUP($A46,curvesettle,HLOOKUP(K$28,curvesettle,2,FALSE())))</f>
        <v>0.22</v>
      </c>
      <c r="L46" s="131" t="n">
        <f aca="false">IF(ISNUMBER(VLOOKUP($A46,VOLCURVES,HLOOKUP(K$28,VOLCURVES,2,FALSE()),FALSE())),VLOOKUP($A46,VOLCURVES,HLOOKUP(K$28,VOLCURVES,2,FALSE()),FALSE()),1)</f>
        <v>1</v>
      </c>
      <c r="M46" s="136" t="n">
        <f aca="false">IF(K$28="NYMEX",$AG46,$AF46)</f>
        <v>-8674</v>
      </c>
      <c r="N46" s="153" t="e">
        <f aca="false">(($C46+O46)*$L46)+D$15</f>
        <v>#DIV/0!</v>
      </c>
      <c r="O46" s="4" t="e">
        <f aca="false">IF($D$16=1,VLOOKUP($A46,SkewTable,HLOOKUP(ROUND(P46-AZ46,1),SkewTable,2,FALSE()),FALSE())/100,0)</f>
        <v>#DIV/0!</v>
      </c>
      <c r="P46" s="41" t="n">
        <f aca="false">IF($D$19=4,$AZ46,$D$18)</f>
        <v>5.1</v>
      </c>
      <c r="R46" s="40" t="n">
        <f aca="false">IF(R$28="nymex",0,VLOOKUP($A46,curvesettle,HLOOKUP(R$28,curvesettle,2,FALSE())))</f>
        <v>-0.0625</v>
      </c>
      <c r="S46" s="131" t="n">
        <f aca="false">IF(ISNUMBER(VLOOKUP($A46,VOLCURVES,HLOOKUP(R$28,VOLCURVES,2,FALSE()),FALSE())),VLOOKUP($A46,VOLCURVES,HLOOKUP(R$28,VOLCURVES,2,FALSE()),FALSE()),1)</f>
        <v>1</v>
      </c>
      <c r="T46" s="136" t="n">
        <f aca="false">IF(R$28="NYMEX",$AG46,$AF46)</f>
        <v>-8674</v>
      </c>
      <c r="U46" s="153" t="e">
        <f aca="false">(($C46+V46)*$S46)+F$15</f>
        <v>#DIV/0!</v>
      </c>
      <c r="V46" s="4" t="e">
        <f aca="false">IF($F$16=1,VLOOKUP($A46,SkewTable,HLOOKUP(ROUND(W46-BK46,1),SkewTable,2,FALSE()),FALSE())/100,0)</f>
        <v>#DIV/0!</v>
      </c>
      <c r="W46" s="41" t="n">
        <f aca="false">IF($F$19=4,$BK46,$F$18)</f>
        <v>5.3983</v>
      </c>
      <c r="X46" s="136"/>
      <c r="Y46" s="40" t="n">
        <f aca="false">IF(Y$28="nymex",0,VLOOKUP($A46,curvesettle,HLOOKUP(Y$28,curvesettle,2,FALSE())))</f>
        <v>-0.0625</v>
      </c>
      <c r="Z46" s="131" t="n">
        <f aca="false">IF(ISNUMBER(VLOOKUP($A46,VOLCURVES,HLOOKUP(Y$28,VOLCURVES,2,FALSE()),FALSE())),VLOOKUP($A46,VOLCURVES,HLOOKUP(Y$28,VOLCURVES,2,FALSE()),FALSE()),1)</f>
        <v>1</v>
      </c>
      <c r="AA46" s="136" t="n">
        <f aca="false">IF(Y$28="NYMEX",$AG46,$AF46)</f>
        <v>-8674</v>
      </c>
      <c r="AB46" s="4" t="e">
        <f aca="false">(($C46+AC46)*$Z46)+H$15</f>
        <v>#DIV/0!</v>
      </c>
      <c r="AC46" s="4" t="e">
        <f aca="false">IF($H$16=1,VLOOKUP($A46,SkewTable,HLOOKUP(ROUND(AD46-BV46,1),SkewTable,2,FALSE()),FALSE())/100,0)</f>
        <v>#DIV/0!</v>
      </c>
      <c r="AD46" s="41" t="n">
        <f aca="false">IF($H$19=4,$BV46,$H$18)</f>
        <v>5.4668</v>
      </c>
      <c r="AF46" s="136" t="n">
        <f aca="false">VLOOKUP($A46,expiration,2,FALSE())-$B$2</f>
        <v>-8674</v>
      </c>
      <c r="AG46" s="136" t="n">
        <f aca="false">VLOOKUP($A46,expiration,3,FALSE())-$B$2</f>
        <v>-8675</v>
      </c>
      <c r="AH46" s="4" t="n">
        <f aca="false">VLOOKUP($A46,STRADDLE,12,FALSE())</f>
        <v>0.067333198956693</v>
      </c>
      <c r="AI46" s="43" t="n">
        <f aca="false">A47-A46</f>
        <v>31</v>
      </c>
      <c r="AL46" s="136"/>
      <c r="AM46" s="9"/>
      <c r="AN46" s="9" t="n">
        <f aca="false">IF($A46&gt;=AO$25,IF($A46&lt;=AO$26,$AI46,0),0)</f>
        <v>0</v>
      </c>
      <c r="AO46" s="9" t="e">
        <f aca="false">AQ46/AN46</f>
        <v>#DIV/0!</v>
      </c>
      <c r="AP46" s="1" t="n">
        <f aca="false">AN46*($B46+B$13)</f>
        <v>0</v>
      </c>
      <c r="AQ46" s="33" t="n">
        <f aca="false">IF(ISNUMBER(((AP46/AN46)+B$14+$D46)*AN46),((AP46/AN46)+B$14+$D46)*AN46,0)</f>
        <v>0</v>
      </c>
      <c r="AR46" s="44" t="n">
        <f aca="false">IF(AN46=0,0,bsd(1,AS$27,AO46,$I46,$F46,$G46,$AH46,0.1))</f>
        <v>0</v>
      </c>
      <c r="AS46" s="44" t="n">
        <f aca="false">IF(AN46=0,0,bsd(2,AS$27,AO46,$I46,$F46,$G46,$AH46,0.1))</f>
        <v>0</v>
      </c>
      <c r="AT46" s="44" t="n">
        <f aca="false">IF(AN46=0,0,bsd(AS$28,AS$27,AO46,$I46,$F46,$G46,$AH46,0.1))</f>
        <v>0</v>
      </c>
      <c r="AU46" s="45" t="n">
        <f aca="false">AN46*AR46</f>
        <v>0</v>
      </c>
      <c r="AV46" s="45" t="n">
        <f aca="false">AN46*AS46</f>
        <v>0</v>
      </c>
      <c r="AW46" s="45" t="n">
        <f aca="false">AN46*AT46</f>
        <v>0</v>
      </c>
      <c r="AY46" s="9" t="n">
        <f aca="false">IF($A46&gt;=AZ$25,IF($A46&lt;=AZ$26,$AI46,0),0)</f>
        <v>0</v>
      </c>
      <c r="AZ46" s="9" t="e">
        <f aca="false">BB46/AY46</f>
        <v>#DIV/0!</v>
      </c>
      <c r="BA46" s="1" t="n">
        <f aca="false">AY46*($B46+D$13)</f>
        <v>0</v>
      </c>
      <c r="BB46" s="33" t="n">
        <f aca="false">IF(ISNUMBER(((BA46/AY46)+D$14+$K46)*AY46),((BA46/AY46)+D$14+$K46)*AY46,0)</f>
        <v>0</v>
      </c>
      <c r="BC46" s="44" t="n">
        <f aca="false">IF(AY46=0,0,bsd(1,BD$27,AZ46,$P46,$M46,$N46,$AH46,0.1))</f>
        <v>0</v>
      </c>
      <c r="BD46" s="44" t="n">
        <f aca="false">IF(AY46=0,0,bsd(2,BD$27,AZ46,$P46,$M46,$N46,$AH46,0.1))</f>
        <v>0</v>
      </c>
      <c r="BE46" s="44" t="n">
        <f aca="false">IF(AY46=0,0,bsd(BD$28,BD$27,AZ46,$P46,$M46,$N46,$AH46,0.1))</f>
        <v>0</v>
      </c>
      <c r="BF46" s="45" t="n">
        <f aca="false">AY46*BC46</f>
        <v>0</v>
      </c>
      <c r="BG46" s="45" t="n">
        <f aca="false">AY46*BD46</f>
        <v>0</v>
      </c>
      <c r="BH46" s="45" t="n">
        <f aca="false">AY46*BE46</f>
        <v>0</v>
      </c>
      <c r="BJ46" s="9" t="n">
        <f aca="false">IF($A46&gt;=BK$25,IF($A46&lt;=BK$26,$AI46,0),0)</f>
        <v>0</v>
      </c>
      <c r="BK46" s="9" t="e">
        <f aca="false">BM46/BJ46</f>
        <v>#DIV/0!</v>
      </c>
      <c r="BL46" s="1" t="n">
        <f aca="false">BJ46*($B46+F$13)</f>
        <v>0</v>
      </c>
      <c r="BM46" s="33" t="n">
        <f aca="false">IF(ISNUMBER(((BL46/BJ46)+F$14+$R46)*BJ46),((BL46/BJ46)+F$14+$R46)*BJ46,0)</f>
        <v>0</v>
      </c>
      <c r="BN46" s="44" t="n">
        <f aca="false">IF(BJ46=0,0,bsd(1,BO$27,BK46,$W46,$T46,$U46,$AH46,0.1))</f>
        <v>0</v>
      </c>
      <c r="BO46" s="44" t="n">
        <f aca="false">IF(BJ46=0,0,bsd(2,BO$27,BK46,$W46,$T46,$U46,$AH46,0.1))</f>
        <v>0</v>
      </c>
      <c r="BP46" s="44" t="n">
        <f aca="false">IF(BJ46=0,0,bsd(BO$28,BO$27,BK46,$W46,$T46,$U46,$AH46,0.1))</f>
        <v>0</v>
      </c>
      <c r="BQ46" s="45" t="n">
        <f aca="false">BJ46*BN46</f>
        <v>0</v>
      </c>
      <c r="BR46" s="45" t="n">
        <f aca="false">BJ46*BO46</f>
        <v>0</v>
      </c>
      <c r="BS46" s="45" t="n">
        <f aca="false">BJ46*BP46</f>
        <v>0</v>
      </c>
      <c r="BU46" s="9" t="n">
        <f aca="false">IF($A46&gt;=BV$25,IF($A46&lt;=BV$26,$AI46,0),0)</f>
        <v>0</v>
      </c>
      <c r="BV46" s="9" t="e">
        <f aca="false">BX46/BU46</f>
        <v>#DIV/0!</v>
      </c>
      <c r="BW46" s="1" t="n">
        <f aca="false">BU46*($B46+H$13)</f>
        <v>0</v>
      </c>
      <c r="BX46" s="33" t="n">
        <f aca="false">IF(ISNUMBER(((BW46/BU46)+H$14+$Y46)*BU46),((BW46/BU46)+H$14+$Y46)*BU46,0)</f>
        <v>0</v>
      </c>
      <c r="BY46" s="44" t="n">
        <f aca="false">IF(BU46=0,0,bsd(1,BZ$27,BV46,$AD46,$AA46,$AB46,$AH46,0.1))</f>
        <v>0</v>
      </c>
      <c r="BZ46" s="44" t="n">
        <f aca="false">IF(BU46=0,0,bsd(2,BZ$27,BV46,$AD46,$AA46,$AB46,$AH46,0.1))</f>
        <v>0</v>
      </c>
      <c r="CA46" s="44" t="n">
        <f aca="false">IF(BU46=0,0,bsd(BZ$28,BZ$27,BV46,$AD46,$AA46,$AB46,$AH46,0.1))</f>
        <v>0</v>
      </c>
      <c r="CB46" s="45" t="n">
        <f aca="false">BU46*BY46</f>
        <v>0</v>
      </c>
      <c r="CC46" s="45" t="n">
        <f aca="false">BU46*BZ46</f>
        <v>0</v>
      </c>
      <c r="CD46" s="45" t="n">
        <f aca="false">BU46*CA46</f>
        <v>0</v>
      </c>
    </row>
    <row r="47" customFormat="false" ht="12.75" hidden="false" customHeight="false" outlineLevel="0" collapsed="false">
      <c r="A47" s="48" t="n">
        <f aca="false">DATE(YEAR(A46),MONTH(A46)+1,1)</f>
        <v>37288</v>
      </c>
      <c r="B47" s="40" t="n">
        <f aca="false">VLOOKUP(A47,STRADDLE,5,FALSE())</f>
        <v>4.321</v>
      </c>
      <c r="C47" s="4" t="n">
        <f aca="false">VLOOKUP(A47,STRADDLE,8,FALSE())</f>
        <v>0.4075</v>
      </c>
      <c r="D47" s="40" t="n">
        <f aca="false">IF(D$28="nymex",0,VLOOKUP($A47,curvesettle,HLOOKUP(D$28,curvesettle,2,FALSE())))</f>
        <v>1.86</v>
      </c>
      <c r="E47" s="131" t="n">
        <f aca="false">IF(ISNUMBER(VLOOKUP($A47,VOLCURVES,HLOOKUP(D$28,VOLCURVES,2,FALSE()),FALSE())),VLOOKUP($A47,VOLCURVES,HLOOKUP(D$28,VOLCURVES,2,FALSE()),FALSE()),1)</f>
        <v>1.1</v>
      </c>
      <c r="F47" s="136" t="n">
        <f aca="false">IF(D$28="NYMEX",$AG47,$AF47)</f>
        <v>-8641</v>
      </c>
      <c r="G47" s="4" t="e">
        <f aca="false">(($C47+H47)*$E47)+B$15</f>
        <v>#DIV/0!</v>
      </c>
      <c r="H47" s="4" t="e">
        <f aca="false">IF($B$16=1,VLOOKUP($A47,SkewTable,HLOOKUP(ROUND(I47-AO47,1),SkewTable,2,FALSE()),FALSE())/100,0)</f>
        <v>#DIV/0!</v>
      </c>
      <c r="I47" s="41" t="n">
        <f aca="false">IF($B$19=4,$AO47,$B$18)</f>
        <v>5.05</v>
      </c>
      <c r="K47" s="40" t="n">
        <f aca="false">IF(K$28="nymex",0,VLOOKUP($A47,curvesettle,HLOOKUP(K$28,curvesettle,2,FALSE())))</f>
        <v>0.22</v>
      </c>
      <c r="L47" s="131" t="n">
        <f aca="false">IF(ISNUMBER(VLOOKUP($A47,VOLCURVES,HLOOKUP(K$28,VOLCURVES,2,FALSE()),FALSE())),VLOOKUP($A47,VOLCURVES,HLOOKUP(K$28,VOLCURVES,2,FALSE()),FALSE()),1)</f>
        <v>1</v>
      </c>
      <c r="M47" s="136" t="n">
        <f aca="false">IF(K$28="NYMEX",$AG47,$AF47)</f>
        <v>-8641</v>
      </c>
      <c r="N47" s="153" t="e">
        <f aca="false">(($C47+O47)*$L47)+D$15</f>
        <v>#DIV/0!</v>
      </c>
      <c r="O47" s="4" t="e">
        <f aca="false">IF($D$16=1,VLOOKUP($A47,SkewTable,HLOOKUP(ROUND(P47-AZ47,1),SkewTable,2,FALSE()),FALSE())/100,0)</f>
        <v>#DIV/0!</v>
      </c>
      <c r="P47" s="41" t="n">
        <f aca="false">IF($D$19=4,$AZ47,$D$18)</f>
        <v>5.1</v>
      </c>
      <c r="R47" s="40" t="n">
        <f aca="false">IF(R$28="nymex",0,VLOOKUP($A47,curvesettle,HLOOKUP(R$28,curvesettle,2,FALSE())))</f>
        <v>-0.045</v>
      </c>
      <c r="S47" s="131" t="n">
        <f aca="false">IF(ISNUMBER(VLOOKUP($A47,VOLCURVES,HLOOKUP(R$28,VOLCURVES,2,FALSE()),FALSE())),VLOOKUP($A47,VOLCURVES,HLOOKUP(R$28,VOLCURVES,2,FALSE()),FALSE()),1)</f>
        <v>1</v>
      </c>
      <c r="T47" s="136" t="n">
        <f aca="false">IF(R$28="NYMEX",$AG47,$AF47)</f>
        <v>-8641</v>
      </c>
      <c r="U47" s="153" t="e">
        <f aca="false">(($C47+V47)*$S47)+F$15</f>
        <v>#DIV/0!</v>
      </c>
      <c r="V47" s="4" t="e">
        <f aca="false">IF($F$16=1,VLOOKUP($A47,SkewTable,HLOOKUP(ROUND(W47-BK47,1),SkewTable,2,FALSE()),FALSE())/100,0)</f>
        <v>#DIV/0!</v>
      </c>
      <c r="W47" s="41" t="n">
        <f aca="false">IF($F$19=4,$BK47,$F$18)</f>
        <v>5.3983</v>
      </c>
      <c r="X47" s="136"/>
      <c r="Y47" s="40" t="n">
        <f aca="false">IF(Y$28="nymex",0,VLOOKUP($A47,curvesettle,HLOOKUP(Y$28,curvesettle,2,FALSE())))</f>
        <v>-0.045</v>
      </c>
      <c r="Z47" s="131" t="n">
        <f aca="false">IF(ISNUMBER(VLOOKUP($A47,VOLCURVES,HLOOKUP(Y$28,VOLCURVES,2,FALSE()),FALSE())),VLOOKUP($A47,VOLCURVES,HLOOKUP(Y$28,VOLCURVES,2,FALSE()),FALSE()),1)</f>
        <v>1</v>
      </c>
      <c r="AA47" s="136" t="n">
        <f aca="false">IF(Y$28="NYMEX",$AG47,$AF47)</f>
        <v>-8641</v>
      </c>
      <c r="AB47" s="4" t="e">
        <f aca="false">(($C47+AC47)*$Z47)+H$15</f>
        <v>#DIV/0!</v>
      </c>
      <c r="AC47" s="4" t="e">
        <f aca="false">IF($H$16=1,VLOOKUP($A47,SkewTable,HLOOKUP(ROUND(AD47-BV47,1),SkewTable,2,FALSE()),FALSE())/100,0)</f>
        <v>#DIV/0!</v>
      </c>
      <c r="AD47" s="41" t="n">
        <f aca="false">IF($H$19=4,$BV47,$H$18)</f>
        <v>5.4668</v>
      </c>
      <c r="AF47" s="136" t="n">
        <f aca="false">VLOOKUP($A47,expiration,2,FALSE())-$B$2</f>
        <v>-8641</v>
      </c>
      <c r="AG47" s="136" t="n">
        <f aca="false">VLOOKUP($A47,expiration,3,FALSE())-$B$2</f>
        <v>-8642</v>
      </c>
      <c r="AH47" s="4" t="n">
        <f aca="false">VLOOKUP($A47,STRADDLE,12,FALSE())</f>
        <v>0.067329715733591</v>
      </c>
      <c r="AI47" s="43" t="n">
        <f aca="false">A48-A47</f>
        <v>28</v>
      </c>
      <c r="AL47" s="136"/>
      <c r="AM47" s="9"/>
      <c r="AN47" s="9" t="n">
        <f aca="false">IF($A47&gt;=AO$25,IF($A47&lt;=AO$26,$AI47,0),0)</f>
        <v>0</v>
      </c>
      <c r="AO47" s="9" t="e">
        <f aca="false">AQ47/AN47</f>
        <v>#DIV/0!</v>
      </c>
      <c r="AP47" s="1" t="n">
        <f aca="false">AN47*($B47+B$13)</f>
        <v>0</v>
      </c>
      <c r="AQ47" s="33" t="n">
        <f aca="false">IF(ISNUMBER(((AP47/AN47)+B$14+$D47)*AN47),((AP47/AN47)+B$14+$D47)*AN47,0)</f>
        <v>0</v>
      </c>
      <c r="AR47" s="44" t="n">
        <f aca="false">IF(AN47=0,0,bsd(1,AS$27,AO47,$I47,$F47,$G47,$AH47,0.1))</f>
        <v>0</v>
      </c>
      <c r="AS47" s="44" t="n">
        <f aca="false">IF(AN47=0,0,bsd(2,AS$27,AO47,$I47,$F47,$G47,$AH47,0.1))</f>
        <v>0</v>
      </c>
      <c r="AT47" s="44" t="n">
        <f aca="false">IF(AN47=0,0,bsd(AS$28,AS$27,AO47,$I47,$F47,$G47,$AH47,0.1))</f>
        <v>0</v>
      </c>
      <c r="AU47" s="45" t="n">
        <f aca="false">AN47*AR47</f>
        <v>0</v>
      </c>
      <c r="AV47" s="45" t="n">
        <f aca="false">AN47*AS47</f>
        <v>0</v>
      </c>
      <c r="AW47" s="45" t="n">
        <f aca="false">AN47*AT47</f>
        <v>0</v>
      </c>
      <c r="AY47" s="9" t="n">
        <f aca="false">IF($A47&gt;=AZ$25,IF($A47&lt;=AZ$26,$AI47,0),0)</f>
        <v>0</v>
      </c>
      <c r="AZ47" s="9" t="e">
        <f aca="false">BB47/AY47</f>
        <v>#DIV/0!</v>
      </c>
      <c r="BA47" s="1" t="n">
        <f aca="false">AY47*($B47+D$13)</f>
        <v>0</v>
      </c>
      <c r="BB47" s="33" t="n">
        <f aca="false">IF(ISNUMBER(((BA47/AY47)+D$14+$K47)*AY47),((BA47/AY47)+D$14+$K47)*AY47,0)</f>
        <v>0</v>
      </c>
      <c r="BC47" s="44" t="n">
        <f aca="false">IF(AY47=0,0,bsd(1,BD$27,AZ47,$P47,$M47,$N47,$AH47,0.1))</f>
        <v>0</v>
      </c>
      <c r="BD47" s="44" t="n">
        <f aca="false">IF(AY47=0,0,bsd(2,BD$27,AZ47,$P47,$M47,$N47,$AH47,0.1))</f>
        <v>0</v>
      </c>
      <c r="BE47" s="44" t="n">
        <f aca="false">IF(AY47=0,0,bsd(BD$28,BD$27,AZ47,$P47,$M47,$N47,$AH47,0.1))</f>
        <v>0</v>
      </c>
      <c r="BF47" s="45" t="n">
        <f aca="false">AY47*BC47</f>
        <v>0</v>
      </c>
      <c r="BG47" s="45" t="n">
        <f aca="false">AY47*BD47</f>
        <v>0</v>
      </c>
      <c r="BH47" s="45" t="n">
        <f aca="false">AY47*BE47</f>
        <v>0</v>
      </c>
      <c r="BJ47" s="9" t="n">
        <f aca="false">IF($A47&gt;=BK$25,IF($A47&lt;=BK$26,$AI47,0),0)</f>
        <v>0</v>
      </c>
      <c r="BK47" s="9" t="e">
        <f aca="false">BM47/BJ47</f>
        <v>#DIV/0!</v>
      </c>
      <c r="BL47" s="1" t="n">
        <f aca="false">BJ47*($B47+F$13)</f>
        <v>0</v>
      </c>
      <c r="BM47" s="33" t="n">
        <f aca="false">IF(ISNUMBER(((BL47/BJ47)+F$14+$R47)*BJ47),((BL47/BJ47)+F$14+$R47)*BJ47,0)</f>
        <v>0</v>
      </c>
      <c r="BN47" s="44" t="n">
        <f aca="false">IF(BJ47=0,0,bsd(1,BO$27,BK47,$W47,$T47,$U47,$AH47,0.1))</f>
        <v>0</v>
      </c>
      <c r="BO47" s="44" t="n">
        <f aca="false">IF(BJ47=0,0,bsd(2,BO$27,BK47,$W47,$T47,$U47,$AH47,0.1))</f>
        <v>0</v>
      </c>
      <c r="BP47" s="44" t="n">
        <f aca="false">IF(BJ47=0,0,bsd(BO$28,BO$27,BK47,$W47,$T47,$U47,$AH47,0.1))</f>
        <v>0</v>
      </c>
      <c r="BQ47" s="45" t="n">
        <f aca="false">BJ47*BN47</f>
        <v>0</v>
      </c>
      <c r="BR47" s="45" t="n">
        <f aca="false">BJ47*BO47</f>
        <v>0</v>
      </c>
      <c r="BS47" s="45" t="n">
        <f aca="false">BJ47*BP47</f>
        <v>0</v>
      </c>
      <c r="BU47" s="9" t="n">
        <f aca="false">IF($A47&gt;=BV$25,IF($A47&lt;=BV$26,$AI47,0),0)</f>
        <v>0</v>
      </c>
      <c r="BV47" s="9" t="e">
        <f aca="false">BX47/BU47</f>
        <v>#DIV/0!</v>
      </c>
      <c r="BW47" s="1" t="n">
        <f aca="false">BU47*($B47+H$13)</f>
        <v>0</v>
      </c>
      <c r="BX47" s="33" t="n">
        <f aca="false">IF(ISNUMBER(((BW47/BU47)+H$14+$Y47)*BU47),((BW47/BU47)+H$14+$Y47)*BU47,0)</f>
        <v>0</v>
      </c>
      <c r="BY47" s="44" t="n">
        <f aca="false">IF(BU47=0,0,bsd(1,BZ$27,BV47,$AD47,$AA47,$AB47,$AH47,0.1))</f>
        <v>0</v>
      </c>
      <c r="BZ47" s="44" t="n">
        <f aca="false">IF(BU47=0,0,bsd(2,BZ$27,BV47,$AD47,$AA47,$AB47,$AH47,0.1))</f>
        <v>0</v>
      </c>
      <c r="CA47" s="44" t="n">
        <f aca="false">IF(BU47=0,0,bsd(BZ$28,BZ$27,BV47,$AD47,$AA47,$AB47,$AH47,0.1))</f>
        <v>0</v>
      </c>
      <c r="CB47" s="45" t="n">
        <f aca="false">BU47*BY47</f>
        <v>0</v>
      </c>
      <c r="CC47" s="45" t="n">
        <f aca="false">BU47*BZ47</f>
        <v>0</v>
      </c>
      <c r="CD47" s="45" t="n">
        <f aca="false">BU47*CA47</f>
        <v>0</v>
      </c>
    </row>
    <row r="48" customFormat="false" ht="12.75" hidden="false" customHeight="false" outlineLevel="0" collapsed="false">
      <c r="A48" s="48" t="n">
        <f aca="false">DATE(YEAR(A47),MONTH(A47)+1,1)</f>
        <v>37316</v>
      </c>
      <c r="B48" s="40" t="n">
        <f aca="false">VLOOKUP(A48,STRADDLE,5,FALSE())</f>
        <v>4.091</v>
      </c>
      <c r="C48" s="4" t="n">
        <f aca="false">VLOOKUP(A48,STRADDLE,8,FALSE())</f>
        <v>0.3675</v>
      </c>
      <c r="D48" s="40" t="n">
        <f aca="false">IF(D$28="nymex",0,VLOOKUP($A48,curvesettle,HLOOKUP(D$28,curvesettle,2,FALSE())))</f>
        <v>1.29</v>
      </c>
      <c r="E48" s="131" t="n">
        <f aca="false">IF(ISNUMBER(VLOOKUP($A48,VOLCURVES,HLOOKUP(D$28,VOLCURVES,2,FALSE()),FALSE())),VLOOKUP($A48,VOLCURVES,HLOOKUP(D$28,VOLCURVES,2,FALSE()),FALSE()),1)</f>
        <v>1.1</v>
      </c>
      <c r="F48" s="136" t="n">
        <f aca="false">IF(D$28="NYMEX",$AG48,$AF48)</f>
        <v>-8613</v>
      </c>
      <c r="G48" s="4" t="e">
        <f aca="false">(($C48+H48)*$E48)+B$15</f>
        <v>#DIV/0!</v>
      </c>
      <c r="H48" s="4" t="e">
        <f aca="false">IF($B$16=1,VLOOKUP($A48,SkewTable,HLOOKUP(ROUND(I48-AO48,1),SkewTable,2,FALSE()),FALSE())/100,0)</f>
        <v>#DIV/0!</v>
      </c>
      <c r="I48" s="41" t="n">
        <f aca="false">IF($B$19=4,$AO48,$B$18)</f>
        <v>5.05</v>
      </c>
      <c r="K48" s="40" t="n">
        <f aca="false">IF(K$28="nymex",0,VLOOKUP($A48,curvesettle,HLOOKUP(K$28,curvesettle,2,FALSE())))</f>
        <v>0.22</v>
      </c>
      <c r="L48" s="131" t="n">
        <f aca="false">IF(ISNUMBER(VLOOKUP($A48,VOLCURVES,HLOOKUP(K$28,VOLCURVES,2,FALSE()),FALSE())),VLOOKUP($A48,VOLCURVES,HLOOKUP(K$28,VOLCURVES,2,FALSE()),FALSE()),1)</f>
        <v>1</v>
      </c>
      <c r="M48" s="136" t="n">
        <f aca="false">IF(K$28="NYMEX",$AG48,$AF48)</f>
        <v>-8613</v>
      </c>
      <c r="N48" s="153" t="e">
        <f aca="false">(($C48+O48)*$L48)+D$15</f>
        <v>#DIV/0!</v>
      </c>
      <c r="O48" s="4" t="e">
        <f aca="false">IF($D$16=1,VLOOKUP($A48,SkewTable,HLOOKUP(ROUND(P48-AZ48,1),SkewTable,2,FALSE()),FALSE())/100,0)</f>
        <v>#DIV/0!</v>
      </c>
      <c r="P48" s="41" t="n">
        <f aca="false">IF($D$19=4,$AZ48,$D$18)</f>
        <v>5.1</v>
      </c>
      <c r="R48" s="40" t="n">
        <f aca="false">IF(R$28="nymex",0,VLOOKUP($A48,curvesettle,HLOOKUP(R$28,curvesettle,2,FALSE())))</f>
        <v>-0.0325</v>
      </c>
      <c r="S48" s="131" t="n">
        <f aca="false">IF(ISNUMBER(VLOOKUP($A48,VOLCURVES,HLOOKUP(R$28,VOLCURVES,2,FALSE()),FALSE())),VLOOKUP($A48,VOLCURVES,HLOOKUP(R$28,VOLCURVES,2,FALSE()),FALSE()),1)</f>
        <v>1</v>
      </c>
      <c r="T48" s="136" t="n">
        <f aca="false">IF(R$28="NYMEX",$AG48,$AF48)</f>
        <v>-8613</v>
      </c>
      <c r="U48" s="153" t="e">
        <f aca="false">(($C48+V48)*$S48)+F$15</f>
        <v>#DIV/0!</v>
      </c>
      <c r="V48" s="4" t="e">
        <f aca="false">IF($F$16=1,VLOOKUP($A48,SkewTable,HLOOKUP(ROUND(W48-BK48,1),SkewTable,2,FALSE()),FALSE())/100,0)</f>
        <v>#DIV/0!</v>
      </c>
      <c r="W48" s="41" t="n">
        <f aca="false">IF($F$19=4,$BK48,$F$18)</f>
        <v>5.3983</v>
      </c>
      <c r="X48" s="136"/>
      <c r="Y48" s="40" t="n">
        <f aca="false">IF(Y$28="nymex",0,VLOOKUP($A48,curvesettle,HLOOKUP(Y$28,curvesettle,2,FALSE())))</f>
        <v>-0.0325</v>
      </c>
      <c r="Z48" s="131" t="n">
        <f aca="false">IF(ISNUMBER(VLOOKUP($A48,VOLCURVES,HLOOKUP(Y$28,VOLCURVES,2,FALSE()),FALSE())),VLOOKUP($A48,VOLCURVES,HLOOKUP(Y$28,VOLCURVES,2,FALSE()),FALSE()),1)</f>
        <v>1</v>
      </c>
      <c r="AA48" s="136" t="n">
        <f aca="false">IF(Y$28="NYMEX",$AG48,$AF48)</f>
        <v>-8613</v>
      </c>
      <c r="AB48" s="4" t="e">
        <f aca="false">(($C48+AC48)*$Z48)+H$15</f>
        <v>#DIV/0!</v>
      </c>
      <c r="AC48" s="4" t="e">
        <f aca="false">IF($H$16=1,VLOOKUP($A48,SkewTable,HLOOKUP(ROUND(AD48-BV48,1),SkewTable,2,FALSE()),FALSE())/100,0)</f>
        <v>#DIV/0!</v>
      </c>
      <c r="AD48" s="41" t="n">
        <f aca="false">IF($H$19=4,$BV48,$H$18)</f>
        <v>5.4668</v>
      </c>
      <c r="AF48" s="136" t="n">
        <f aca="false">VLOOKUP($A48,expiration,2,FALSE())-$B$2</f>
        <v>-8613</v>
      </c>
      <c r="AG48" s="136" t="n">
        <f aca="false">VLOOKUP($A48,expiration,3,FALSE())-$B$2</f>
        <v>-8614</v>
      </c>
      <c r="AH48" s="4" t="n">
        <f aca="false">VLOOKUP($A48,STRADDLE,12,FALSE())</f>
        <v>0.067326569596599</v>
      </c>
      <c r="AI48" s="43" t="n">
        <f aca="false">A49-A48</f>
        <v>31</v>
      </c>
      <c r="AL48" s="136"/>
      <c r="AM48" s="9"/>
      <c r="AN48" s="9" t="n">
        <f aca="false">IF($A48&gt;=AO$25,IF($A48&lt;=AO$26,$AI48,0),0)</f>
        <v>0</v>
      </c>
      <c r="AO48" s="9" t="e">
        <f aca="false">AQ48/AN48</f>
        <v>#DIV/0!</v>
      </c>
      <c r="AP48" s="1" t="n">
        <f aca="false">AN48*($B48+B$13)</f>
        <v>0</v>
      </c>
      <c r="AQ48" s="33" t="n">
        <f aca="false">IF(ISNUMBER(((AP48/AN48)+B$14+$D48)*AN48),((AP48/AN48)+B$14+$D48)*AN48,0)</f>
        <v>0</v>
      </c>
      <c r="AR48" s="44" t="n">
        <f aca="false">IF(AN48=0,0,bsd(1,AS$27,AO48,$I48,$F48,$G48,$AH48,0.1))</f>
        <v>0</v>
      </c>
      <c r="AS48" s="44" t="n">
        <f aca="false">IF(AN48=0,0,bsd(2,AS$27,AO48,$I48,$F48,$G48,$AH48,0.1))</f>
        <v>0</v>
      </c>
      <c r="AT48" s="44" t="n">
        <f aca="false">IF(AN48=0,0,bsd(AS$28,AS$27,AO48,$I48,$F48,$G48,$AH48,0.1))</f>
        <v>0</v>
      </c>
      <c r="AU48" s="45" t="n">
        <f aca="false">AN48*AR48</f>
        <v>0</v>
      </c>
      <c r="AV48" s="45" t="n">
        <f aca="false">AN48*AS48</f>
        <v>0</v>
      </c>
      <c r="AW48" s="45" t="n">
        <f aca="false">AN48*AT48</f>
        <v>0</v>
      </c>
      <c r="AY48" s="9" t="n">
        <f aca="false">IF($A48&gt;=AZ$25,IF($A48&lt;=AZ$26,$AI48,0),0)</f>
        <v>0</v>
      </c>
      <c r="AZ48" s="9" t="e">
        <f aca="false">BB48/AY48</f>
        <v>#DIV/0!</v>
      </c>
      <c r="BA48" s="1" t="n">
        <f aca="false">AY48*($B48+D$13)</f>
        <v>0</v>
      </c>
      <c r="BB48" s="33" t="n">
        <f aca="false">IF(ISNUMBER(((BA48/AY48)+D$14+$K48)*AY48),((BA48/AY48)+D$14+$K48)*AY48,0)</f>
        <v>0</v>
      </c>
      <c r="BC48" s="44" t="n">
        <f aca="false">IF(AY48=0,0,bsd(1,BD$27,AZ48,$P48,$M48,$N48,$AH48,0.1))</f>
        <v>0</v>
      </c>
      <c r="BD48" s="44" t="n">
        <f aca="false">IF(AY48=0,0,bsd(2,BD$27,AZ48,$P48,$M48,$N48,$AH48,0.1))</f>
        <v>0</v>
      </c>
      <c r="BE48" s="44" t="n">
        <f aca="false">IF(AY48=0,0,bsd(BD$28,BD$27,AZ48,$P48,$M48,$N48,$AH48,0.1))</f>
        <v>0</v>
      </c>
      <c r="BF48" s="45" t="n">
        <f aca="false">AY48*BC48</f>
        <v>0</v>
      </c>
      <c r="BG48" s="45" t="n">
        <f aca="false">AY48*BD48</f>
        <v>0</v>
      </c>
      <c r="BH48" s="45" t="n">
        <f aca="false">AY48*BE48</f>
        <v>0</v>
      </c>
      <c r="BJ48" s="9" t="n">
        <f aca="false">IF($A48&gt;=BK$25,IF($A48&lt;=BK$26,$AI48,0),0)</f>
        <v>0</v>
      </c>
      <c r="BK48" s="9" t="e">
        <f aca="false">BM48/BJ48</f>
        <v>#DIV/0!</v>
      </c>
      <c r="BL48" s="1" t="n">
        <f aca="false">BJ48*($B48+F$13)</f>
        <v>0</v>
      </c>
      <c r="BM48" s="33" t="n">
        <f aca="false">IF(ISNUMBER(((BL48/BJ48)+F$14+$R48)*BJ48),((BL48/BJ48)+F$14+$R48)*BJ48,0)</f>
        <v>0</v>
      </c>
      <c r="BN48" s="44" t="n">
        <f aca="false">IF(BJ48=0,0,bsd(1,BO$27,BK48,$W48,$T48,$U48,$AH48,0.1))</f>
        <v>0</v>
      </c>
      <c r="BO48" s="44" t="n">
        <f aca="false">IF(BJ48=0,0,bsd(2,BO$27,BK48,$W48,$T48,$U48,$AH48,0.1))</f>
        <v>0</v>
      </c>
      <c r="BP48" s="44" t="n">
        <f aca="false">IF(BJ48=0,0,bsd(BO$28,BO$27,BK48,$W48,$T48,$U48,$AH48,0.1))</f>
        <v>0</v>
      </c>
      <c r="BQ48" s="45" t="n">
        <f aca="false">BJ48*BN48</f>
        <v>0</v>
      </c>
      <c r="BR48" s="45" t="n">
        <f aca="false">BJ48*BO48</f>
        <v>0</v>
      </c>
      <c r="BS48" s="45" t="n">
        <f aca="false">BJ48*BP48</f>
        <v>0</v>
      </c>
      <c r="BU48" s="9" t="n">
        <f aca="false">IF($A48&gt;=BV$25,IF($A48&lt;=BV$26,$AI48,0),0)</f>
        <v>0</v>
      </c>
      <c r="BV48" s="9" t="e">
        <f aca="false">BX48/BU48</f>
        <v>#DIV/0!</v>
      </c>
      <c r="BW48" s="1" t="n">
        <f aca="false">BU48*($B48+H$13)</f>
        <v>0</v>
      </c>
      <c r="BX48" s="33" t="n">
        <f aca="false">IF(ISNUMBER(((BW48/BU48)+H$14+$Y48)*BU48),((BW48/BU48)+H$14+$Y48)*BU48,0)</f>
        <v>0</v>
      </c>
      <c r="BY48" s="44" t="n">
        <f aca="false">IF(BU48=0,0,bsd(1,BZ$27,BV48,$AD48,$AA48,$AB48,$AH48,0.1))</f>
        <v>0</v>
      </c>
      <c r="BZ48" s="44" t="n">
        <f aca="false">IF(BU48=0,0,bsd(2,BZ$27,BV48,$AD48,$AA48,$AB48,$AH48,0.1))</f>
        <v>0</v>
      </c>
      <c r="CA48" s="44" t="n">
        <f aca="false">IF(BU48=0,0,bsd(BZ$28,BZ$27,BV48,$AD48,$AA48,$AB48,$AH48,0.1))</f>
        <v>0</v>
      </c>
      <c r="CB48" s="45" t="n">
        <f aca="false">BU48*BY48</f>
        <v>0</v>
      </c>
      <c r="CC48" s="45" t="n">
        <f aca="false">BU48*BZ48</f>
        <v>0</v>
      </c>
      <c r="CD48" s="45" t="n">
        <f aca="false">BU48*CA48</f>
        <v>0</v>
      </c>
    </row>
    <row r="49" customFormat="false" ht="12.75" hidden="false" customHeight="false" outlineLevel="0" collapsed="false">
      <c r="A49" s="48" t="n">
        <f aca="false">DATE(YEAR(A48),MONTH(A48)+1,1)</f>
        <v>37347</v>
      </c>
      <c r="B49" s="40" t="n">
        <f aca="false">VLOOKUP(A49,STRADDLE,5,FALSE())</f>
        <v>3.81</v>
      </c>
      <c r="C49" s="4" t="n">
        <f aca="false">VLOOKUP(A49,STRADDLE,8,FALSE())</f>
        <v>0.3075</v>
      </c>
      <c r="D49" s="40" t="n">
        <f aca="false">IF(D$28="nymex",0,VLOOKUP($A49,curvesettle,HLOOKUP(D$28,curvesettle,2,FALSE())))</f>
        <v>0.45</v>
      </c>
      <c r="E49" s="131" t="n">
        <f aca="false">IF(ISNUMBER(VLOOKUP($A49,VOLCURVES,HLOOKUP(D$28,VOLCURVES,2,FALSE()),FALSE())),VLOOKUP($A49,VOLCURVES,HLOOKUP(D$28,VOLCURVES,2,FALSE()),FALSE()),1)</f>
        <v>0.98</v>
      </c>
      <c r="F49" s="136" t="n">
        <f aca="false">IF(D$28="NYMEX",$AG49,$AF49)</f>
        <v>-8585</v>
      </c>
      <c r="G49" s="4" t="e">
        <f aca="false">(($C49+H49)*$E49)+B$15</f>
        <v>#DIV/0!</v>
      </c>
      <c r="H49" s="4" t="e">
        <f aca="false">IF($B$16=1,VLOOKUP($A49,SkewTable,HLOOKUP(ROUND(I49-AO49,1),SkewTable,2,FALSE()),FALSE())/100,0)</f>
        <v>#DIV/0!</v>
      </c>
      <c r="I49" s="41" t="n">
        <f aca="false">IF($B$19=4,$AO49,$B$18)</f>
        <v>5.05</v>
      </c>
      <c r="K49" s="40" t="n">
        <f aca="false">IF(K$28="nymex",0,VLOOKUP($A49,curvesettle,HLOOKUP(K$28,curvesettle,2,FALSE())))</f>
        <v>0.37</v>
      </c>
      <c r="L49" s="131" t="n">
        <f aca="false">IF(ISNUMBER(VLOOKUP($A49,VOLCURVES,HLOOKUP(K$28,VOLCURVES,2,FALSE()),FALSE())),VLOOKUP($A49,VOLCURVES,HLOOKUP(K$28,VOLCURVES,2,FALSE()),FALSE()),1)</f>
        <v>1</v>
      </c>
      <c r="M49" s="136" t="n">
        <f aca="false">IF(K$28="NYMEX",$AG49,$AF49)</f>
        <v>-8585</v>
      </c>
      <c r="N49" s="153" t="e">
        <f aca="false">(($C49+O49)*$L49)+D$15</f>
        <v>#DIV/0!</v>
      </c>
      <c r="O49" s="4" t="e">
        <f aca="false">IF($D$16=1,VLOOKUP($A49,SkewTable,HLOOKUP(ROUND(P49-AZ49,1),SkewTable,2,FALSE()),FALSE())/100,0)</f>
        <v>#DIV/0!</v>
      </c>
      <c r="P49" s="41" t="n">
        <f aca="false">IF($D$19=4,$AZ49,$D$18)</f>
        <v>5.1</v>
      </c>
      <c r="R49" s="40" t="n">
        <f aca="false">IF(R$28="nymex",0,VLOOKUP($A49,curvesettle,HLOOKUP(R$28,curvesettle,2,FALSE())))</f>
        <v>0.015</v>
      </c>
      <c r="S49" s="131" t="n">
        <f aca="false">IF(ISNUMBER(VLOOKUP($A49,VOLCURVES,HLOOKUP(R$28,VOLCURVES,2,FALSE()),FALSE())),VLOOKUP($A49,VOLCURVES,HLOOKUP(R$28,VOLCURVES,2,FALSE()),FALSE()),1)</f>
        <v>1</v>
      </c>
      <c r="T49" s="136" t="n">
        <f aca="false">IF(R$28="NYMEX",$AG49,$AF49)</f>
        <v>-8585</v>
      </c>
      <c r="U49" s="153" t="e">
        <f aca="false">(($C49+V49)*$S49)+F$15</f>
        <v>#DIV/0!</v>
      </c>
      <c r="V49" s="4" t="e">
        <f aca="false">IF($F$16=1,VLOOKUP($A49,SkewTable,HLOOKUP(ROUND(W49-BK49,1),SkewTable,2,FALSE()),FALSE())/100,0)</f>
        <v>#DIV/0!</v>
      </c>
      <c r="W49" s="41" t="n">
        <f aca="false">IF($F$19=4,$BK49,$F$18)</f>
        <v>5.3983</v>
      </c>
      <c r="X49" s="136"/>
      <c r="Y49" s="40" t="n">
        <f aca="false">IF(Y$28="nymex",0,VLOOKUP($A49,curvesettle,HLOOKUP(Y$28,curvesettle,2,FALSE())))</f>
        <v>0.015</v>
      </c>
      <c r="Z49" s="131" t="n">
        <f aca="false">IF(ISNUMBER(VLOOKUP($A49,VOLCURVES,HLOOKUP(Y$28,VOLCURVES,2,FALSE()),FALSE())),VLOOKUP($A49,VOLCURVES,HLOOKUP(Y$28,VOLCURVES,2,FALSE()),FALSE()),1)</f>
        <v>1</v>
      </c>
      <c r="AA49" s="136" t="n">
        <f aca="false">IF(Y$28="NYMEX",$AG49,$AF49)</f>
        <v>-8585</v>
      </c>
      <c r="AB49" s="4" t="e">
        <f aca="false">(($C49+AC49)*$Z49)+H$15</f>
        <v>#DIV/0!</v>
      </c>
      <c r="AC49" s="4" t="e">
        <f aca="false">IF($H$16=1,VLOOKUP($A49,SkewTable,HLOOKUP(ROUND(AD49-BV49,1),SkewTable,2,FALSE()),FALSE())/100,0)</f>
        <v>#DIV/0!</v>
      </c>
      <c r="AD49" s="41" t="n">
        <f aca="false">IF($H$19=4,$BV49,$H$18)</f>
        <v>5.4668</v>
      </c>
      <c r="AF49" s="136" t="n">
        <f aca="false">VLOOKUP($A49,expiration,2,FALSE())-$B$2</f>
        <v>-8585</v>
      </c>
      <c r="AG49" s="136" t="n">
        <f aca="false">VLOOKUP($A49,expiration,3,FALSE())-$B$2</f>
        <v>-8586</v>
      </c>
      <c r="AH49" s="4" t="n">
        <f aca="false">VLOOKUP($A49,STRADDLE,12,FALSE())</f>
        <v>0.067312742785332</v>
      </c>
      <c r="AI49" s="43" t="n">
        <f aca="false">A50-A49</f>
        <v>30</v>
      </c>
      <c r="AL49" s="136"/>
      <c r="AM49" s="9"/>
      <c r="AN49" s="9" t="n">
        <f aca="false">IF($A49&gt;=AO$25,IF($A49&lt;=AO$26,$AI49,0),0)</f>
        <v>0</v>
      </c>
      <c r="AO49" s="9" t="e">
        <f aca="false">AQ49/AN49</f>
        <v>#DIV/0!</v>
      </c>
      <c r="AP49" s="1" t="n">
        <f aca="false">AN49*($B49+B$13)</f>
        <v>0</v>
      </c>
      <c r="AQ49" s="33" t="n">
        <f aca="false">IF(ISNUMBER(((AP49/AN49)+B$14+$D49)*AN49),((AP49/AN49)+B$14+$D49)*AN49,0)</f>
        <v>0</v>
      </c>
      <c r="AR49" s="44" t="n">
        <f aca="false">IF(AN49=0,0,bsd(1,AS$27,AO49,$I49,$F49,$G49,$AH49,0.1))</f>
        <v>0</v>
      </c>
      <c r="AS49" s="44" t="n">
        <f aca="false">IF(AN49=0,0,bsd(2,AS$27,AO49,$I49,$F49,$G49,$AH49,0.1))</f>
        <v>0</v>
      </c>
      <c r="AT49" s="44" t="n">
        <f aca="false">IF(AN49=0,0,bsd(AS$28,AS$27,AO49,$I49,$F49,$G49,$AH49,0.1))</f>
        <v>0</v>
      </c>
      <c r="AU49" s="45" t="n">
        <f aca="false">AN49*AR49</f>
        <v>0</v>
      </c>
      <c r="AV49" s="45" t="n">
        <f aca="false">AN49*AS49</f>
        <v>0</v>
      </c>
      <c r="AW49" s="45" t="n">
        <f aca="false">AN49*AT49</f>
        <v>0</v>
      </c>
      <c r="AY49" s="9" t="n">
        <f aca="false">IF($A49&gt;=AZ$25,IF($A49&lt;=AZ$26,$AI49,0),0)</f>
        <v>0</v>
      </c>
      <c r="AZ49" s="9" t="e">
        <f aca="false">BB49/AY49</f>
        <v>#DIV/0!</v>
      </c>
      <c r="BA49" s="1" t="n">
        <f aca="false">AY49*($B49+D$13)</f>
        <v>0</v>
      </c>
      <c r="BB49" s="33" t="n">
        <f aca="false">IF(ISNUMBER(((BA49/AY49)+D$14+$K49)*AY49),((BA49/AY49)+D$14+$K49)*AY49,0)</f>
        <v>0</v>
      </c>
      <c r="BC49" s="44" t="n">
        <f aca="false">IF(AY49=0,0,bsd(1,BD$27,AZ49,$P49,$M49,$N49,$AH49,0.1))</f>
        <v>0</v>
      </c>
      <c r="BD49" s="44" t="n">
        <f aca="false">IF(AY49=0,0,bsd(2,BD$27,AZ49,$P49,$M49,$N49,$AH49,0.1))</f>
        <v>0</v>
      </c>
      <c r="BE49" s="44" t="n">
        <f aca="false">IF(AY49=0,0,bsd(BD$28,BD$27,AZ49,$P49,$M49,$N49,$AH49,0.1))</f>
        <v>0</v>
      </c>
      <c r="BF49" s="45" t="n">
        <f aca="false">AY49*BC49</f>
        <v>0</v>
      </c>
      <c r="BG49" s="45" t="n">
        <f aca="false">AY49*BD49</f>
        <v>0</v>
      </c>
      <c r="BH49" s="45" t="n">
        <f aca="false">AY49*BE49</f>
        <v>0</v>
      </c>
      <c r="BJ49" s="9" t="n">
        <f aca="false">IF($A49&gt;=BK$25,IF($A49&lt;=BK$26,$AI49,0),0)</f>
        <v>0</v>
      </c>
      <c r="BK49" s="9" t="e">
        <f aca="false">BM49/BJ49</f>
        <v>#DIV/0!</v>
      </c>
      <c r="BL49" s="1" t="n">
        <f aca="false">BJ49*($B49+F$13)</f>
        <v>0</v>
      </c>
      <c r="BM49" s="33" t="n">
        <f aca="false">IF(ISNUMBER(((BL49/BJ49)+F$14+$R49)*BJ49),((BL49/BJ49)+F$14+$R49)*BJ49,0)</f>
        <v>0</v>
      </c>
      <c r="BN49" s="44" t="n">
        <f aca="false">IF(BJ49=0,0,bsd(1,BO$27,BK49,$W49,$T49,$U49,$AH49,0.1))</f>
        <v>0</v>
      </c>
      <c r="BO49" s="44" t="n">
        <f aca="false">IF(BJ49=0,0,bsd(2,BO$27,BK49,$W49,$T49,$U49,$AH49,0.1))</f>
        <v>0</v>
      </c>
      <c r="BP49" s="44" t="n">
        <f aca="false">IF(BJ49=0,0,bsd(BO$28,BO$27,BK49,$W49,$T49,$U49,$AH49,0.1))</f>
        <v>0</v>
      </c>
      <c r="BQ49" s="45" t="n">
        <f aca="false">BJ49*BN49</f>
        <v>0</v>
      </c>
      <c r="BR49" s="45" t="n">
        <f aca="false">BJ49*BO49</f>
        <v>0</v>
      </c>
      <c r="BS49" s="45" t="n">
        <f aca="false">BJ49*BP49</f>
        <v>0</v>
      </c>
      <c r="BU49" s="9" t="n">
        <f aca="false">IF($A49&gt;=BV$25,IF($A49&lt;=BV$26,$AI49,0),0)</f>
        <v>0</v>
      </c>
      <c r="BV49" s="9" t="e">
        <f aca="false">BX49/BU49</f>
        <v>#DIV/0!</v>
      </c>
      <c r="BW49" s="1" t="n">
        <f aca="false">BU49*($B49+H$13)</f>
        <v>0</v>
      </c>
      <c r="BX49" s="33" t="n">
        <f aca="false">IF(ISNUMBER(((BW49/BU49)+H$14+$Y49)*BU49),((BW49/BU49)+H$14+$Y49)*BU49,0)</f>
        <v>0</v>
      </c>
      <c r="BY49" s="44" t="n">
        <f aca="false">IF(BU49=0,0,bsd(1,BZ$27,BV49,$AD49,$AA49,$AB49,$AH49,0.1))</f>
        <v>0</v>
      </c>
      <c r="BZ49" s="44" t="n">
        <f aca="false">IF(BU49=0,0,bsd(2,BZ$27,BV49,$AD49,$AA49,$AB49,$AH49,0.1))</f>
        <v>0</v>
      </c>
      <c r="CA49" s="44" t="n">
        <f aca="false">IF(BU49=0,0,bsd(BZ$28,BZ$27,BV49,$AD49,$AA49,$AB49,$AH49,0.1))</f>
        <v>0</v>
      </c>
      <c r="CB49" s="45" t="n">
        <f aca="false">BU49*BY49</f>
        <v>0</v>
      </c>
      <c r="CC49" s="45" t="n">
        <f aca="false">BU49*BZ49</f>
        <v>0</v>
      </c>
      <c r="CD49" s="45" t="n">
        <f aca="false">BU49*CA49</f>
        <v>0</v>
      </c>
    </row>
    <row r="50" customFormat="false" ht="12.75" hidden="false" customHeight="false" outlineLevel="0" collapsed="false">
      <c r="A50" s="48" t="n">
        <f aca="false">DATE(YEAR(A49),MONTH(A49)+1,1)</f>
        <v>37377</v>
      </c>
      <c r="B50" s="40" t="n">
        <f aca="false">VLOOKUP(A50,STRADDLE,5,FALSE())</f>
        <v>3.71</v>
      </c>
      <c r="C50" s="4" t="n">
        <f aca="false">VLOOKUP(A50,STRADDLE,8,FALSE())</f>
        <v>0.2925</v>
      </c>
      <c r="D50" s="40" t="n">
        <f aca="false">IF(D$28="nymex",0,VLOOKUP($A50,curvesettle,HLOOKUP(D$28,curvesettle,2,FALSE())))</f>
        <v>0.405</v>
      </c>
      <c r="E50" s="131" t="n">
        <f aca="false">IF(ISNUMBER(VLOOKUP($A50,VOLCURVES,HLOOKUP(D$28,VOLCURVES,2,FALSE()),FALSE())),VLOOKUP($A50,VOLCURVES,HLOOKUP(D$28,VOLCURVES,2,FALSE()),FALSE()),1)</f>
        <v>0.98</v>
      </c>
      <c r="F50" s="136" t="n">
        <f aca="false">IF(D$28="NYMEX",$AG50,$AF50)</f>
        <v>-8554</v>
      </c>
      <c r="G50" s="4" t="e">
        <f aca="false">(($C50+H50)*$E50)+B$15</f>
        <v>#DIV/0!</v>
      </c>
      <c r="H50" s="4" t="e">
        <f aca="false">IF($B$16=1,VLOOKUP($A50,SkewTable,HLOOKUP(ROUND(I50-AO50,1),SkewTable,2,FALSE()),FALSE())/100,0)</f>
        <v>#DIV/0!</v>
      </c>
      <c r="I50" s="41" t="n">
        <f aca="false">IF($B$19=4,$AO50,$B$18)</f>
        <v>5.05</v>
      </c>
      <c r="K50" s="40" t="n">
        <f aca="false">IF(K$28="nymex",0,VLOOKUP($A50,curvesettle,HLOOKUP(K$28,curvesettle,2,FALSE())))</f>
        <v>0.37</v>
      </c>
      <c r="L50" s="131" t="n">
        <f aca="false">IF(ISNUMBER(VLOOKUP($A50,VOLCURVES,HLOOKUP(K$28,VOLCURVES,2,FALSE()),FALSE())),VLOOKUP($A50,VOLCURVES,HLOOKUP(K$28,VOLCURVES,2,FALSE()),FALSE()),1)</f>
        <v>1</v>
      </c>
      <c r="M50" s="136" t="n">
        <f aca="false">IF(K$28="NYMEX",$AG50,$AF50)</f>
        <v>-8554</v>
      </c>
      <c r="N50" s="153" t="e">
        <f aca="false">(($C50+O50)*$L50)+D$15</f>
        <v>#DIV/0!</v>
      </c>
      <c r="O50" s="4" t="e">
        <f aca="false">IF($D$16=1,VLOOKUP($A50,SkewTable,HLOOKUP(ROUND(P50-AZ50,1),SkewTable,2,FALSE()),FALSE())/100,0)</f>
        <v>#DIV/0!</v>
      </c>
      <c r="P50" s="41" t="n">
        <f aca="false">IF($D$19=4,$AZ50,$D$18)</f>
        <v>5.1</v>
      </c>
      <c r="R50" s="40" t="n">
        <f aca="false">IF(R$28="nymex",0,VLOOKUP($A50,curvesettle,HLOOKUP(R$28,curvesettle,2,FALSE())))</f>
        <v>0.015</v>
      </c>
      <c r="S50" s="131" t="n">
        <f aca="false">IF(ISNUMBER(VLOOKUP($A50,VOLCURVES,HLOOKUP(R$28,VOLCURVES,2,FALSE()),FALSE())),VLOOKUP($A50,VOLCURVES,HLOOKUP(R$28,VOLCURVES,2,FALSE()),FALSE()),1)</f>
        <v>1</v>
      </c>
      <c r="T50" s="136" t="n">
        <f aca="false">IF(R$28="NYMEX",$AG50,$AF50)</f>
        <v>-8554</v>
      </c>
      <c r="U50" s="153" t="e">
        <f aca="false">(($C50+V50)*$S50)+F$15</f>
        <v>#DIV/0!</v>
      </c>
      <c r="V50" s="4" t="e">
        <f aca="false">IF($F$16=1,VLOOKUP($A50,SkewTable,HLOOKUP(ROUND(W50-BK50,1),SkewTable,2,FALSE()),FALSE())/100,0)</f>
        <v>#DIV/0!</v>
      </c>
      <c r="W50" s="41" t="n">
        <f aca="false">IF($F$19=4,$BK50,$F$18)</f>
        <v>5.3983</v>
      </c>
      <c r="X50" s="136"/>
      <c r="Y50" s="40" t="n">
        <f aca="false">IF(Y$28="nymex",0,VLOOKUP($A50,curvesettle,HLOOKUP(Y$28,curvesettle,2,FALSE())))</f>
        <v>0.015</v>
      </c>
      <c r="Z50" s="131" t="n">
        <f aca="false">IF(ISNUMBER(VLOOKUP($A50,VOLCURVES,HLOOKUP(Y$28,VOLCURVES,2,FALSE()),FALSE())),VLOOKUP($A50,VOLCURVES,HLOOKUP(Y$28,VOLCURVES,2,FALSE()),FALSE()),1)</f>
        <v>1</v>
      </c>
      <c r="AA50" s="136" t="n">
        <f aca="false">IF(Y$28="NYMEX",$AG50,$AF50)</f>
        <v>-8554</v>
      </c>
      <c r="AB50" s="4" t="e">
        <f aca="false">(($C50+AC50)*$Z50)+H$15</f>
        <v>#DIV/0!</v>
      </c>
      <c r="AC50" s="4" t="e">
        <f aca="false">IF($H$16=1,VLOOKUP($A50,SkewTable,HLOOKUP(ROUND(AD50-BV50,1),SkewTable,2,FALSE()),FALSE())/100,0)</f>
        <v>#DIV/0!</v>
      </c>
      <c r="AD50" s="41" t="n">
        <f aca="false">IF($H$19=4,$BV50,$H$18)</f>
        <v>5.4668</v>
      </c>
      <c r="AF50" s="136" t="n">
        <f aca="false">VLOOKUP($A50,expiration,2,FALSE())-$B$2</f>
        <v>-8554</v>
      </c>
      <c r="AG50" s="136" t="n">
        <f aca="false">VLOOKUP($A50,expiration,3,FALSE())-$B$2</f>
        <v>-8555</v>
      </c>
      <c r="AH50" s="4" t="n">
        <f aca="false">VLOOKUP($A50,STRADDLE,12,FALSE())</f>
        <v>0.067283554328081</v>
      </c>
      <c r="AI50" s="43" t="n">
        <f aca="false">A51-A50</f>
        <v>31</v>
      </c>
      <c r="AL50" s="136"/>
      <c r="AM50" s="9"/>
      <c r="AN50" s="9" t="n">
        <f aca="false">IF($A50&gt;=AO$25,IF($A50&lt;=AO$26,$AI50,0),0)</f>
        <v>0</v>
      </c>
      <c r="AO50" s="9" t="e">
        <f aca="false">AQ50/AN50</f>
        <v>#DIV/0!</v>
      </c>
      <c r="AP50" s="1" t="n">
        <f aca="false">AN50*($B50+B$13)</f>
        <v>0</v>
      </c>
      <c r="AQ50" s="33" t="n">
        <f aca="false">IF(ISNUMBER(((AP50/AN50)+B$14+$D50)*AN50),((AP50/AN50)+B$14+$D50)*AN50,0)</f>
        <v>0</v>
      </c>
      <c r="AR50" s="44" t="n">
        <f aca="false">IF(AN50=0,0,bsd(1,AS$27,AO50,$I50,$F50,$G50,$AH50,0.1))</f>
        <v>0</v>
      </c>
      <c r="AS50" s="44" t="n">
        <f aca="false">IF(AN50=0,0,bsd(2,AS$27,AO50,$I50,$F50,$G50,$AH50,0.1))</f>
        <v>0</v>
      </c>
      <c r="AT50" s="44" t="n">
        <f aca="false">IF(AN50=0,0,bsd(AS$28,AS$27,AO50,$I50,$F50,$G50,$AH50,0.1))</f>
        <v>0</v>
      </c>
      <c r="AU50" s="45" t="n">
        <f aca="false">AN50*AR50</f>
        <v>0</v>
      </c>
      <c r="AV50" s="45" t="n">
        <f aca="false">AN50*AS50</f>
        <v>0</v>
      </c>
      <c r="AW50" s="45" t="n">
        <f aca="false">AN50*AT50</f>
        <v>0</v>
      </c>
      <c r="AY50" s="9" t="n">
        <f aca="false">IF($A50&gt;=AZ$25,IF($A50&lt;=AZ$26,$AI50,0),0)</f>
        <v>0</v>
      </c>
      <c r="AZ50" s="9" t="e">
        <f aca="false">BB50/AY50</f>
        <v>#DIV/0!</v>
      </c>
      <c r="BA50" s="1" t="n">
        <f aca="false">AY50*($B50+D$13)</f>
        <v>0</v>
      </c>
      <c r="BB50" s="33" t="n">
        <f aca="false">IF(ISNUMBER(((BA50/AY50)+D$14+$K50)*AY50),((BA50/AY50)+D$14+$K50)*AY50,0)</f>
        <v>0</v>
      </c>
      <c r="BC50" s="44" t="n">
        <f aca="false">IF(AY50=0,0,bsd(1,BD$27,AZ50,$P50,$M50,$N50,$AH50,0.1))</f>
        <v>0</v>
      </c>
      <c r="BD50" s="44" t="n">
        <f aca="false">IF(AY50=0,0,bsd(2,BD$27,AZ50,$P50,$M50,$N50,$AH50,0.1))</f>
        <v>0</v>
      </c>
      <c r="BE50" s="44" t="n">
        <f aca="false">IF(AY50=0,0,bsd(BD$28,BD$27,AZ50,$P50,$M50,$N50,$AH50,0.1))</f>
        <v>0</v>
      </c>
      <c r="BF50" s="45" t="n">
        <f aca="false">AY50*BC50</f>
        <v>0</v>
      </c>
      <c r="BG50" s="45" t="n">
        <f aca="false">AY50*BD50</f>
        <v>0</v>
      </c>
      <c r="BH50" s="45" t="n">
        <f aca="false">AY50*BE50</f>
        <v>0</v>
      </c>
      <c r="BJ50" s="9" t="n">
        <f aca="false">IF($A50&gt;=BK$25,IF($A50&lt;=BK$26,$AI50,0),0)</f>
        <v>0</v>
      </c>
      <c r="BK50" s="9" t="e">
        <f aca="false">BM50/BJ50</f>
        <v>#DIV/0!</v>
      </c>
      <c r="BL50" s="1" t="n">
        <f aca="false">BJ50*($B50+F$13)</f>
        <v>0</v>
      </c>
      <c r="BM50" s="33" t="n">
        <f aca="false">IF(ISNUMBER(((BL50/BJ50)+F$14+$R50)*BJ50),((BL50/BJ50)+F$14+$R50)*BJ50,0)</f>
        <v>0</v>
      </c>
      <c r="BN50" s="44" t="n">
        <f aca="false">IF(BJ50=0,0,bsd(1,BO$27,BK50,$W50,$T50,$U50,$AH50,0.1))</f>
        <v>0</v>
      </c>
      <c r="BO50" s="44" t="n">
        <f aca="false">IF(BJ50=0,0,bsd(2,BO$27,BK50,$W50,$T50,$U50,$AH50,0.1))</f>
        <v>0</v>
      </c>
      <c r="BP50" s="44" t="n">
        <f aca="false">IF(BJ50=0,0,bsd(BO$28,BO$27,BK50,$W50,$T50,$U50,$AH50,0.1))</f>
        <v>0</v>
      </c>
      <c r="BQ50" s="45" t="n">
        <f aca="false">BJ50*BN50</f>
        <v>0</v>
      </c>
      <c r="BR50" s="45" t="n">
        <f aca="false">BJ50*BO50</f>
        <v>0</v>
      </c>
      <c r="BS50" s="45" t="n">
        <f aca="false">BJ50*BP50</f>
        <v>0</v>
      </c>
      <c r="BU50" s="9" t="n">
        <f aca="false">IF($A50&gt;=BV$25,IF($A50&lt;=BV$26,$AI50,0),0)</f>
        <v>0</v>
      </c>
      <c r="BV50" s="9" t="e">
        <f aca="false">BX50/BU50</f>
        <v>#DIV/0!</v>
      </c>
      <c r="BW50" s="1" t="n">
        <f aca="false">BU50*($B50+H$13)</f>
        <v>0</v>
      </c>
      <c r="BX50" s="33" t="n">
        <f aca="false">IF(ISNUMBER(((BW50/BU50)+H$14+$Y50)*BU50),((BW50/BU50)+H$14+$Y50)*BU50,0)</f>
        <v>0</v>
      </c>
      <c r="BY50" s="44" t="n">
        <f aca="false">IF(BU50=0,0,bsd(1,BZ$27,BV50,$AD50,$AA50,$AB50,$AH50,0.1))</f>
        <v>0</v>
      </c>
      <c r="BZ50" s="44" t="n">
        <f aca="false">IF(BU50=0,0,bsd(2,BZ$27,BV50,$AD50,$AA50,$AB50,$AH50,0.1))</f>
        <v>0</v>
      </c>
      <c r="CA50" s="44" t="n">
        <f aca="false">IF(BU50=0,0,bsd(BZ$28,BZ$27,BV50,$AD50,$AA50,$AB50,$AH50,0.1))</f>
        <v>0</v>
      </c>
      <c r="CB50" s="45" t="n">
        <f aca="false">BU50*BY50</f>
        <v>0</v>
      </c>
      <c r="CC50" s="45" t="n">
        <f aca="false">BU50*BZ50</f>
        <v>0</v>
      </c>
      <c r="CD50" s="45" t="n">
        <f aca="false">BU50*CA50</f>
        <v>0</v>
      </c>
    </row>
    <row r="51" customFormat="false" ht="12.75" hidden="false" customHeight="false" outlineLevel="0" collapsed="false">
      <c r="A51" s="48" t="n">
        <f aca="false">DATE(YEAR(A50),MONTH(A50)+1,1)</f>
        <v>37408</v>
      </c>
      <c r="B51" s="40" t="n">
        <f aca="false">VLOOKUP(A51,STRADDLE,5,FALSE())</f>
        <v>3.69</v>
      </c>
      <c r="C51" s="4" t="n">
        <f aca="false">VLOOKUP(A51,STRADDLE,8,FALSE())</f>
        <v>0.29</v>
      </c>
      <c r="D51" s="40" t="n">
        <f aca="false">IF(D$28="nymex",0,VLOOKUP($A51,curvesettle,HLOOKUP(D$28,curvesettle,2,FALSE())))</f>
        <v>0.395</v>
      </c>
      <c r="E51" s="131" t="n">
        <f aca="false">IF(ISNUMBER(VLOOKUP($A51,VOLCURVES,HLOOKUP(D$28,VOLCURVES,2,FALSE()),FALSE())),VLOOKUP($A51,VOLCURVES,HLOOKUP(D$28,VOLCURVES,2,FALSE()),FALSE()),1)</f>
        <v>0.98</v>
      </c>
      <c r="F51" s="136" t="n">
        <f aca="false">IF(D$28="NYMEX",$AG51,$AF51)</f>
        <v>-8521</v>
      </c>
      <c r="G51" s="4" t="e">
        <f aca="false">(($C51+H51)*$E51)+B$15</f>
        <v>#DIV/0!</v>
      </c>
      <c r="H51" s="4" t="e">
        <f aca="false">IF($B$16=1,VLOOKUP($A51,SkewTable,HLOOKUP(ROUND(I51-AO51,1),SkewTable,2,FALSE()),FALSE())/100,0)</f>
        <v>#DIV/0!</v>
      </c>
      <c r="I51" s="41" t="n">
        <f aca="false">IF($B$19=4,$AO51,$B$18)</f>
        <v>5.05</v>
      </c>
      <c r="K51" s="40" t="n">
        <f aca="false">IF(K$28="nymex",0,VLOOKUP($A51,curvesettle,HLOOKUP(K$28,curvesettle,2,FALSE())))</f>
        <v>0.37</v>
      </c>
      <c r="L51" s="131" t="n">
        <f aca="false">IF(ISNUMBER(VLOOKUP($A51,VOLCURVES,HLOOKUP(K$28,VOLCURVES,2,FALSE()),FALSE())),VLOOKUP($A51,VOLCURVES,HLOOKUP(K$28,VOLCURVES,2,FALSE()),FALSE()),1)</f>
        <v>1</v>
      </c>
      <c r="M51" s="136" t="n">
        <f aca="false">IF(K$28="NYMEX",$AG51,$AF51)</f>
        <v>-8521</v>
      </c>
      <c r="N51" s="153" t="e">
        <f aca="false">(($C51+O51)*$L51)+D$15</f>
        <v>#DIV/0!</v>
      </c>
      <c r="O51" s="4" t="e">
        <f aca="false">IF($D$16=1,VLOOKUP($A51,SkewTable,HLOOKUP(ROUND(P51-AZ51,1),SkewTable,2,FALSE()),FALSE())/100,0)</f>
        <v>#DIV/0!</v>
      </c>
      <c r="P51" s="41" t="n">
        <f aca="false">IF($D$19=4,$AZ51,$D$18)</f>
        <v>5.1</v>
      </c>
      <c r="R51" s="40" t="n">
        <f aca="false">IF(R$28="nymex",0,VLOOKUP($A51,curvesettle,HLOOKUP(R$28,curvesettle,2,FALSE())))</f>
        <v>0.02</v>
      </c>
      <c r="S51" s="131" t="n">
        <f aca="false">IF(ISNUMBER(VLOOKUP($A51,VOLCURVES,HLOOKUP(R$28,VOLCURVES,2,FALSE()),FALSE())),VLOOKUP($A51,VOLCURVES,HLOOKUP(R$28,VOLCURVES,2,FALSE()),FALSE()),1)</f>
        <v>1</v>
      </c>
      <c r="T51" s="136" t="n">
        <f aca="false">IF(R$28="NYMEX",$AG51,$AF51)</f>
        <v>-8521</v>
      </c>
      <c r="U51" s="153" t="e">
        <f aca="false">(($C51+V51)*$S51)+F$15</f>
        <v>#DIV/0!</v>
      </c>
      <c r="V51" s="4" t="e">
        <f aca="false">IF($F$16=1,VLOOKUP($A51,SkewTable,HLOOKUP(ROUND(W51-BK51,1),SkewTable,2,FALSE()),FALSE())/100,0)</f>
        <v>#DIV/0!</v>
      </c>
      <c r="W51" s="41" t="n">
        <f aca="false">IF($F$19=4,$BK51,$F$18)</f>
        <v>5.3983</v>
      </c>
      <c r="X51" s="136"/>
      <c r="Y51" s="40" t="n">
        <f aca="false">IF(Y$28="nymex",0,VLOOKUP($A51,curvesettle,HLOOKUP(Y$28,curvesettle,2,FALSE())))</f>
        <v>0.02</v>
      </c>
      <c r="Z51" s="131" t="n">
        <f aca="false">IF(ISNUMBER(VLOOKUP($A51,VOLCURVES,HLOOKUP(Y$28,VOLCURVES,2,FALSE()),FALSE())),VLOOKUP($A51,VOLCURVES,HLOOKUP(Y$28,VOLCURVES,2,FALSE()),FALSE()),1)</f>
        <v>1</v>
      </c>
      <c r="AA51" s="136" t="n">
        <f aca="false">IF(Y$28="NYMEX",$AG51,$AF51)</f>
        <v>-8521</v>
      </c>
      <c r="AB51" s="4" t="e">
        <f aca="false">(($C51+AC51)*$Z51)+H$15</f>
        <v>#DIV/0!</v>
      </c>
      <c r="AC51" s="4" t="e">
        <f aca="false">IF($H$16=1,VLOOKUP($A51,SkewTable,HLOOKUP(ROUND(AD51-BV51,1),SkewTable,2,FALSE()),FALSE())/100,0)</f>
        <v>#DIV/0!</v>
      </c>
      <c r="AD51" s="41" t="n">
        <f aca="false">IF($H$19=4,$BV51,$H$18)</f>
        <v>5.4668</v>
      </c>
      <c r="AF51" s="136" t="n">
        <f aca="false">VLOOKUP($A51,expiration,2,FALSE())-$B$2</f>
        <v>-8521</v>
      </c>
      <c r="AG51" s="136" t="n">
        <f aca="false">VLOOKUP($A51,expiration,3,FALSE())-$B$2</f>
        <v>-8522</v>
      </c>
      <c r="AH51" s="4" t="n">
        <f aca="false">VLOOKUP($A51,STRADDLE,12,FALSE())</f>
        <v>0.067253392922551</v>
      </c>
      <c r="AI51" s="43" t="n">
        <f aca="false">A52-A51</f>
        <v>30</v>
      </c>
      <c r="AL51" s="136"/>
      <c r="AM51" s="9"/>
      <c r="AN51" s="9" t="n">
        <f aca="false">IF($A51&gt;=AO$25,IF($A51&lt;=AO$26,$AI51,0),0)</f>
        <v>0</v>
      </c>
      <c r="AO51" s="9" t="e">
        <f aca="false">AQ51/AN51</f>
        <v>#DIV/0!</v>
      </c>
      <c r="AP51" s="1" t="n">
        <f aca="false">AN51*($B51+B$13)</f>
        <v>0</v>
      </c>
      <c r="AQ51" s="33" t="n">
        <f aca="false">IF(ISNUMBER(((AP51/AN51)+B$14+$D51)*AN51),((AP51/AN51)+B$14+$D51)*AN51,0)</f>
        <v>0</v>
      </c>
      <c r="AR51" s="44" t="n">
        <f aca="false">IF(AN51=0,0,bsd(1,AS$27,AO51,$I51,$F51,$G51,$AH51,0.1))</f>
        <v>0</v>
      </c>
      <c r="AS51" s="44" t="n">
        <f aca="false">IF(AN51=0,0,bsd(2,AS$27,AO51,$I51,$F51,$G51,$AH51,0.1))</f>
        <v>0</v>
      </c>
      <c r="AT51" s="44" t="n">
        <f aca="false">IF(AN51=0,0,bsd(AS$28,AS$27,AO51,$I51,$F51,$G51,$AH51,0.1))</f>
        <v>0</v>
      </c>
      <c r="AU51" s="45" t="n">
        <f aca="false">AN51*AR51</f>
        <v>0</v>
      </c>
      <c r="AV51" s="45" t="n">
        <f aca="false">AN51*AS51</f>
        <v>0</v>
      </c>
      <c r="AW51" s="45" t="n">
        <f aca="false">AN51*AT51</f>
        <v>0</v>
      </c>
      <c r="AY51" s="9" t="n">
        <f aca="false">IF($A51&gt;=AZ$25,IF($A51&lt;=AZ$26,$AI51,0),0)</f>
        <v>0</v>
      </c>
      <c r="AZ51" s="9" t="e">
        <f aca="false">BB51/AY51</f>
        <v>#DIV/0!</v>
      </c>
      <c r="BA51" s="1" t="n">
        <f aca="false">AY51*($B51+D$13)</f>
        <v>0</v>
      </c>
      <c r="BB51" s="33" t="n">
        <f aca="false">IF(ISNUMBER(((BA51/AY51)+D$14+$K51)*AY51),((BA51/AY51)+D$14+$K51)*AY51,0)</f>
        <v>0</v>
      </c>
      <c r="BC51" s="44" t="n">
        <f aca="false">IF(AY51=0,0,bsd(1,BD$27,AZ51,$P51,$M51,$N51,$AH51,0.1))</f>
        <v>0</v>
      </c>
      <c r="BD51" s="44" t="n">
        <f aca="false">IF(AY51=0,0,bsd(2,BD$27,AZ51,$P51,$M51,$N51,$AH51,0.1))</f>
        <v>0</v>
      </c>
      <c r="BE51" s="44" t="n">
        <f aca="false">IF(AY51=0,0,bsd(BD$28,BD$27,AZ51,$P51,$M51,$N51,$AH51,0.1))</f>
        <v>0</v>
      </c>
      <c r="BF51" s="45" t="n">
        <f aca="false">AY51*BC51</f>
        <v>0</v>
      </c>
      <c r="BG51" s="45" t="n">
        <f aca="false">AY51*BD51</f>
        <v>0</v>
      </c>
      <c r="BH51" s="45" t="n">
        <f aca="false">AY51*BE51</f>
        <v>0</v>
      </c>
      <c r="BJ51" s="9" t="n">
        <f aca="false">IF($A51&gt;=BK$25,IF($A51&lt;=BK$26,$AI51,0),0)</f>
        <v>0</v>
      </c>
      <c r="BK51" s="9" t="e">
        <f aca="false">BM51/BJ51</f>
        <v>#DIV/0!</v>
      </c>
      <c r="BL51" s="1" t="n">
        <f aca="false">BJ51*($B51+F$13)</f>
        <v>0</v>
      </c>
      <c r="BM51" s="33" t="n">
        <f aca="false">IF(ISNUMBER(((BL51/BJ51)+F$14+$R51)*BJ51),((BL51/BJ51)+F$14+$R51)*BJ51,0)</f>
        <v>0</v>
      </c>
      <c r="BN51" s="44" t="n">
        <f aca="false">IF(BJ51=0,0,bsd(1,BO$27,BK51,$W51,$T51,$U51,$AH51,0.1))</f>
        <v>0</v>
      </c>
      <c r="BO51" s="44" t="n">
        <f aca="false">IF(BJ51=0,0,bsd(2,BO$27,BK51,$W51,$T51,$U51,$AH51,0.1))</f>
        <v>0</v>
      </c>
      <c r="BP51" s="44" t="n">
        <f aca="false">IF(BJ51=0,0,bsd(BO$28,BO$27,BK51,$W51,$T51,$U51,$AH51,0.1))</f>
        <v>0</v>
      </c>
      <c r="BQ51" s="45" t="n">
        <f aca="false">BJ51*BN51</f>
        <v>0</v>
      </c>
      <c r="BR51" s="45" t="n">
        <f aca="false">BJ51*BO51</f>
        <v>0</v>
      </c>
      <c r="BS51" s="45" t="n">
        <f aca="false">BJ51*BP51</f>
        <v>0</v>
      </c>
      <c r="BU51" s="9" t="n">
        <f aca="false">IF($A51&gt;=BV$25,IF($A51&lt;=BV$26,$AI51,0),0)</f>
        <v>0</v>
      </c>
      <c r="BV51" s="9" t="e">
        <f aca="false">BX51/BU51</f>
        <v>#DIV/0!</v>
      </c>
      <c r="BW51" s="1" t="n">
        <f aca="false">BU51*($B51+H$13)</f>
        <v>0</v>
      </c>
      <c r="BX51" s="33" t="n">
        <f aca="false">IF(ISNUMBER(((BW51/BU51)+H$14+$Y51)*BU51),((BW51/BU51)+H$14+$Y51)*BU51,0)</f>
        <v>0</v>
      </c>
      <c r="BY51" s="44" t="n">
        <f aca="false">IF(BU51=0,0,bsd(1,BZ$27,BV51,$AD51,$AA51,$AB51,$AH51,0.1))</f>
        <v>0</v>
      </c>
      <c r="BZ51" s="44" t="n">
        <f aca="false">IF(BU51=0,0,bsd(2,BZ$27,BV51,$AD51,$AA51,$AB51,$AH51,0.1))</f>
        <v>0</v>
      </c>
      <c r="CA51" s="44" t="n">
        <f aca="false">IF(BU51=0,0,bsd(BZ$28,BZ$27,BV51,$AD51,$AA51,$AB51,$AH51,0.1))</f>
        <v>0</v>
      </c>
      <c r="CB51" s="45" t="n">
        <f aca="false">BU51*BY51</f>
        <v>0</v>
      </c>
      <c r="CC51" s="45" t="n">
        <f aca="false">BU51*BZ51</f>
        <v>0</v>
      </c>
      <c r="CD51" s="45" t="n">
        <f aca="false">BU51*CA51</f>
        <v>0</v>
      </c>
    </row>
    <row r="52" customFormat="false" ht="12.75" hidden="false" customHeight="false" outlineLevel="0" collapsed="false">
      <c r="A52" s="48" t="n">
        <f aca="false">DATE(YEAR(A51),MONTH(A51)+1,1)</f>
        <v>37438</v>
      </c>
      <c r="B52" s="40" t="n">
        <f aca="false">VLOOKUP(A52,STRADDLE,5,FALSE())</f>
        <v>3.7</v>
      </c>
      <c r="C52" s="4" t="n">
        <f aca="false">VLOOKUP(A52,STRADDLE,8,FALSE())</f>
        <v>0.29</v>
      </c>
      <c r="D52" s="40" t="n">
        <f aca="false">IF(D$28="nymex",0,VLOOKUP($A52,curvesettle,HLOOKUP(D$28,curvesettle,2,FALSE())))</f>
        <v>0.43</v>
      </c>
      <c r="E52" s="131" t="n">
        <f aca="false">IF(ISNUMBER(VLOOKUP($A52,VOLCURVES,HLOOKUP(D$28,VOLCURVES,2,FALSE()),FALSE())),VLOOKUP($A52,VOLCURVES,HLOOKUP(D$28,VOLCURVES,2,FALSE()),FALSE()),1)</f>
        <v>0.98</v>
      </c>
      <c r="F52" s="136" t="n">
        <f aca="false">IF(D$28="NYMEX",$AG52,$AF52)</f>
        <v>-8493</v>
      </c>
      <c r="G52" s="4" t="e">
        <f aca="false">(($C52+H52)*$E52)+B$15</f>
        <v>#DIV/0!</v>
      </c>
      <c r="H52" s="4" t="e">
        <f aca="false">IF($B$16=1,VLOOKUP($A52,SkewTable,HLOOKUP(ROUND(I52-AO52,1),SkewTable,2,FALSE()),FALSE())/100,0)</f>
        <v>#DIV/0!</v>
      </c>
      <c r="I52" s="41" t="n">
        <f aca="false">IF($B$19=4,$AO52,$B$18)</f>
        <v>5.05</v>
      </c>
      <c r="K52" s="40" t="n">
        <f aca="false">IF(K$28="nymex",0,VLOOKUP($A52,curvesettle,HLOOKUP(K$28,curvesettle,2,FALSE())))</f>
        <v>0.37</v>
      </c>
      <c r="L52" s="131" t="n">
        <f aca="false">IF(ISNUMBER(VLOOKUP($A52,VOLCURVES,HLOOKUP(K$28,VOLCURVES,2,FALSE()),FALSE())),VLOOKUP($A52,VOLCURVES,HLOOKUP(K$28,VOLCURVES,2,FALSE()),FALSE()),1)</f>
        <v>1</v>
      </c>
      <c r="M52" s="136" t="n">
        <f aca="false">IF(K$28="NYMEX",$AG52,$AF52)</f>
        <v>-8493</v>
      </c>
      <c r="N52" s="153" t="e">
        <f aca="false">(($C52+O52)*$L52)+D$15</f>
        <v>#DIV/0!</v>
      </c>
      <c r="O52" s="4" t="e">
        <f aca="false">IF($D$16=1,VLOOKUP($A52,SkewTable,HLOOKUP(ROUND(P52-AZ52,1),SkewTable,2,FALSE()),FALSE())/100,0)</f>
        <v>#DIV/0!</v>
      </c>
      <c r="P52" s="41" t="n">
        <f aca="false">IF($D$19=4,$AZ52,$D$18)</f>
        <v>5.1</v>
      </c>
      <c r="R52" s="40" t="n">
        <f aca="false">IF(R$28="nymex",0,VLOOKUP($A52,curvesettle,HLOOKUP(R$28,curvesettle,2,FALSE())))</f>
        <v>0.0225</v>
      </c>
      <c r="S52" s="131" t="n">
        <f aca="false">IF(ISNUMBER(VLOOKUP($A52,VOLCURVES,HLOOKUP(R$28,VOLCURVES,2,FALSE()),FALSE())),VLOOKUP($A52,VOLCURVES,HLOOKUP(R$28,VOLCURVES,2,FALSE()),FALSE()),1)</f>
        <v>1</v>
      </c>
      <c r="T52" s="136" t="n">
        <f aca="false">IF(R$28="NYMEX",$AG52,$AF52)</f>
        <v>-8493</v>
      </c>
      <c r="U52" s="153" t="e">
        <f aca="false">(($C52+V52)*$S52)+F$15</f>
        <v>#DIV/0!</v>
      </c>
      <c r="V52" s="4" t="e">
        <f aca="false">IF($F$16=1,VLOOKUP($A52,SkewTable,HLOOKUP(ROUND(W52-BK52,1),SkewTable,2,FALSE()),FALSE())/100,0)</f>
        <v>#DIV/0!</v>
      </c>
      <c r="W52" s="41" t="n">
        <f aca="false">IF($F$19=4,$BK52,$F$18)</f>
        <v>5.3983</v>
      </c>
      <c r="X52" s="136"/>
      <c r="Y52" s="40" t="n">
        <f aca="false">IF(Y$28="nymex",0,VLOOKUP($A52,curvesettle,HLOOKUP(Y$28,curvesettle,2,FALSE())))</f>
        <v>0.0225</v>
      </c>
      <c r="Z52" s="131" t="n">
        <f aca="false">IF(ISNUMBER(VLOOKUP($A52,VOLCURVES,HLOOKUP(Y$28,VOLCURVES,2,FALSE()),FALSE())),VLOOKUP($A52,VOLCURVES,HLOOKUP(Y$28,VOLCURVES,2,FALSE()),FALSE()),1)</f>
        <v>1</v>
      </c>
      <c r="AA52" s="136" t="n">
        <f aca="false">IF(Y$28="NYMEX",$AG52,$AF52)</f>
        <v>-8493</v>
      </c>
      <c r="AB52" s="4" t="e">
        <f aca="false">(($C52+AC52)*$Z52)+H$15</f>
        <v>#DIV/0!</v>
      </c>
      <c r="AC52" s="4" t="e">
        <f aca="false">IF($H$16=1,VLOOKUP($A52,SkewTable,HLOOKUP(ROUND(AD52-BV52,1),SkewTable,2,FALSE()),FALSE())/100,0)</f>
        <v>#DIV/0!</v>
      </c>
      <c r="AD52" s="41" t="n">
        <f aca="false">IF($H$19=4,$BV52,$H$18)</f>
        <v>5.4668</v>
      </c>
      <c r="AF52" s="136" t="n">
        <f aca="false">VLOOKUP($A52,expiration,2,FALSE())-$B$2</f>
        <v>-8493</v>
      </c>
      <c r="AG52" s="136" t="n">
        <f aca="false">VLOOKUP($A52,expiration,3,FALSE())-$B$2</f>
        <v>-8494</v>
      </c>
      <c r="AH52" s="4" t="n">
        <f aca="false">VLOOKUP($A52,STRADDLE,12,FALSE())</f>
        <v>0.067230480386273</v>
      </c>
      <c r="AI52" s="43" t="n">
        <f aca="false">A53-A52</f>
        <v>31</v>
      </c>
      <c r="AL52" s="136"/>
      <c r="AM52" s="9"/>
      <c r="AN52" s="9" t="n">
        <f aca="false">IF($A52&gt;=AO$25,IF($A52&lt;=AO$26,$AI52,0),0)</f>
        <v>0</v>
      </c>
      <c r="AO52" s="9" t="e">
        <f aca="false">AQ52/AN52</f>
        <v>#DIV/0!</v>
      </c>
      <c r="AP52" s="1" t="n">
        <f aca="false">AN52*($B52+B$13)</f>
        <v>0</v>
      </c>
      <c r="AQ52" s="33" t="n">
        <f aca="false">IF(ISNUMBER(((AP52/AN52)+B$14+$D52)*AN52),((AP52/AN52)+B$14+$D52)*AN52,0)</f>
        <v>0</v>
      </c>
      <c r="AR52" s="44" t="n">
        <f aca="false">IF(AN52=0,0,bsd(1,AS$27,AO52,$I52,$F52,$G52,$AH52,0.1))</f>
        <v>0</v>
      </c>
      <c r="AS52" s="44" t="n">
        <f aca="false">IF(AN52=0,0,bsd(2,AS$27,AO52,$I52,$F52,$G52,$AH52,0.1))</f>
        <v>0</v>
      </c>
      <c r="AT52" s="44" t="n">
        <f aca="false">IF(AN52=0,0,bsd(AS$28,AS$27,AO52,$I52,$F52,$G52,$AH52,0.1))</f>
        <v>0</v>
      </c>
      <c r="AU52" s="45" t="n">
        <f aca="false">AN52*AR52</f>
        <v>0</v>
      </c>
      <c r="AV52" s="45" t="n">
        <f aca="false">AN52*AS52</f>
        <v>0</v>
      </c>
      <c r="AW52" s="45" t="n">
        <f aca="false">AN52*AT52</f>
        <v>0</v>
      </c>
      <c r="AY52" s="9" t="n">
        <f aca="false">IF($A52&gt;=AZ$25,IF($A52&lt;=AZ$26,$AI52,0),0)</f>
        <v>0</v>
      </c>
      <c r="AZ52" s="9" t="e">
        <f aca="false">BB52/AY52</f>
        <v>#DIV/0!</v>
      </c>
      <c r="BA52" s="1" t="n">
        <f aca="false">AY52*($B52+D$13)</f>
        <v>0</v>
      </c>
      <c r="BB52" s="33" t="n">
        <f aca="false">IF(ISNUMBER(((BA52/AY52)+D$14+$K52)*AY52),((BA52/AY52)+D$14+$K52)*AY52,0)</f>
        <v>0</v>
      </c>
      <c r="BC52" s="44" t="n">
        <f aca="false">IF(AY52=0,0,bsd(1,BD$27,AZ52,$P52,$M52,$N52,$AH52,0.1))</f>
        <v>0</v>
      </c>
      <c r="BD52" s="44" t="n">
        <f aca="false">IF(AY52=0,0,bsd(2,BD$27,AZ52,$P52,$M52,$N52,$AH52,0.1))</f>
        <v>0</v>
      </c>
      <c r="BE52" s="44" t="n">
        <f aca="false">IF(AY52=0,0,bsd(BD$28,BD$27,AZ52,$P52,$M52,$N52,$AH52,0.1))</f>
        <v>0</v>
      </c>
      <c r="BF52" s="45" t="n">
        <f aca="false">AY52*BC52</f>
        <v>0</v>
      </c>
      <c r="BG52" s="45" t="n">
        <f aca="false">AY52*BD52</f>
        <v>0</v>
      </c>
      <c r="BH52" s="45" t="n">
        <f aca="false">AY52*BE52</f>
        <v>0</v>
      </c>
      <c r="BJ52" s="9" t="n">
        <f aca="false">IF($A52&gt;=BK$25,IF($A52&lt;=BK$26,$AI52,0),0)</f>
        <v>0</v>
      </c>
      <c r="BK52" s="9" t="e">
        <f aca="false">BM52/BJ52</f>
        <v>#DIV/0!</v>
      </c>
      <c r="BL52" s="1" t="n">
        <f aca="false">BJ52*($B52+F$13)</f>
        <v>0</v>
      </c>
      <c r="BM52" s="33" t="n">
        <f aca="false">IF(ISNUMBER(((BL52/BJ52)+F$14+$R52)*BJ52),((BL52/BJ52)+F$14+$R52)*BJ52,0)</f>
        <v>0</v>
      </c>
      <c r="BN52" s="44" t="n">
        <f aca="false">IF(BJ52=0,0,bsd(1,BO$27,BK52,$W52,$T52,$U52,$AH52,0.1))</f>
        <v>0</v>
      </c>
      <c r="BO52" s="44" t="n">
        <f aca="false">IF(BJ52=0,0,bsd(2,BO$27,BK52,$W52,$T52,$U52,$AH52,0.1))</f>
        <v>0</v>
      </c>
      <c r="BP52" s="44" t="n">
        <f aca="false">IF(BJ52=0,0,bsd(BO$28,BO$27,BK52,$W52,$T52,$U52,$AH52,0.1))</f>
        <v>0</v>
      </c>
      <c r="BQ52" s="45" t="n">
        <f aca="false">BJ52*BN52</f>
        <v>0</v>
      </c>
      <c r="BR52" s="45" t="n">
        <f aca="false">BJ52*BO52</f>
        <v>0</v>
      </c>
      <c r="BS52" s="45" t="n">
        <f aca="false">BJ52*BP52</f>
        <v>0</v>
      </c>
      <c r="BU52" s="9" t="n">
        <f aca="false">IF($A52&gt;=BV$25,IF($A52&lt;=BV$26,$AI52,0),0)</f>
        <v>0</v>
      </c>
      <c r="BV52" s="9" t="e">
        <f aca="false">BX52/BU52</f>
        <v>#DIV/0!</v>
      </c>
      <c r="BW52" s="1" t="n">
        <f aca="false">BU52*($B52+H$13)</f>
        <v>0</v>
      </c>
      <c r="BX52" s="33" t="n">
        <f aca="false">IF(ISNUMBER(((BW52/BU52)+H$14+$Y52)*BU52),((BW52/BU52)+H$14+$Y52)*BU52,0)</f>
        <v>0</v>
      </c>
      <c r="BY52" s="44" t="n">
        <f aca="false">IF(BU52=0,0,bsd(1,BZ$27,BV52,$AD52,$AA52,$AB52,$AH52,0.1))</f>
        <v>0</v>
      </c>
      <c r="BZ52" s="44" t="n">
        <f aca="false">IF(BU52=0,0,bsd(2,BZ$27,BV52,$AD52,$AA52,$AB52,$AH52,0.1))</f>
        <v>0</v>
      </c>
      <c r="CA52" s="44" t="n">
        <f aca="false">IF(BU52=0,0,bsd(BZ$28,BZ$27,BV52,$AD52,$AA52,$AB52,$AH52,0.1))</f>
        <v>0</v>
      </c>
      <c r="CB52" s="45" t="n">
        <f aca="false">BU52*BY52</f>
        <v>0</v>
      </c>
      <c r="CC52" s="45" t="n">
        <f aca="false">BU52*BZ52</f>
        <v>0</v>
      </c>
      <c r="CD52" s="45" t="n">
        <f aca="false">BU52*CA52</f>
        <v>0</v>
      </c>
    </row>
    <row r="53" customFormat="false" ht="12.75" hidden="false" customHeight="false" outlineLevel="0" collapsed="false">
      <c r="A53" s="48" t="n">
        <f aca="false">DATE(YEAR(A52),MONTH(A52)+1,1)</f>
        <v>37469</v>
      </c>
      <c r="B53" s="40" t="n">
        <f aca="false">VLOOKUP(A53,STRADDLE,5,FALSE())</f>
        <v>3.71</v>
      </c>
      <c r="C53" s="4" t="n">
        <f aca="false">VLOOKUP(A53,STRADDLE,8,FALSE())</f>
        <v>0.29</v>
      </c>
      <c r="D53" s="40" t="n">
        <f aca="false">IF(D$28="nymex",0,VLOOKUP($A53,curvesettle,HLOOKUP(D$28,curvesettle,2,FALSE())))</f>
        <v>0.495</v>
      </c>
      <c r="E53" s="131" t="n">
        <f aca="false">IF(ISNUMBER(VLOOKUP($A53,VOLCURVES,HLOOKUP(D$28,VOLCURVES,2,FALSE()),FALSE())),VLOOKUP($A53,VOLCURVES,HLOOKUP(D$28,VOLCURVES,2,FALSE()),FALSE()),1)</f>
        <v>0.98</v>
      </c>
      <c r="F53" s="136" t="n">
        <f aca="false">IF(D$28="NYMEX",$AG53,$AF53)</f>
        <v>-8460</v>
      </c>
      <c r="G53" s="4" t="e">
        <f aca="false">(($C53+H53)*$E53)+B$15</f>
        <v>#DIV/0!</v>
      </c>
      <c r="H53" s="4" t="e">
        <f aca="false">IF($B$16=1,VLOOKUP($A53,SkewTable,HLOOKUP(ROUND(I53-AO53,1),SkewTable,2,FALSE()),FALSE())/100,0)</f>
        <v>#DIV/0!</v>
      </c>
      <c r="I53" s="41" t="n">
        <f aca="false">IF($B$19=4,$AO53,$B$18)</f>
        <v>5.05</v>
      </c>
      <c r="K53" s="40" t="n">
        <f aca="false">IF(K$28="nymex",0,VLOOKUP($A53,curvesettle,HLOOKUP(K$28,curvesettle,2,FALSE())))</f>
        <v>0.37</v>
      </c>
      <c r="L53" s="131" t="n">
        <f aca="false">IF(ISNUMBER(VLOOKUP($A53,VOLCURVES,HLOOKUP(K$28,VOLCURVES,2,FALSE()),FALSE())),VLOOKUP($A53,VOLCURVES,HLOOKUP(K$28,VOLCURVES,2,FALSE()),FALSE()),1)</f>
        <v>1</v>
      </c>
      <c r="M53" s="136" t="n">
        <f aca="false">IF(K$28="NYMEX",$AG53,$AF53)</f>
        <v>-8460</v>
      </c>
      <c r="N53" s="153" t="e">
        <f aca="false">(($C53+O53)*$L53)+D$15</f>
        <v>#DIV/0!</v>
      </c>
      <c r="O53" s="4" t="e">
        <f aca="false">IF($D$16=1,VLOOKUP($A53,SkewTable,HLOOKUP(ROUND(P53-AZ53,1),SkewTable,2,FALSE()),FALSE())/100,0)</f>
        <v>#DIV/0!</v>
      </c>
      <c r="P53" s="41" t="n">
        <f aca="false">IF($D$19=4,$AZ53,$D$18)</f>
        <v>5.1</v>
      </c>
      <c r="R53" s="40" t="n">
        <f aca="false">IF(R$28="nymex",0,VLOOKUP($A53,curvesettle,HLOOKUP(R$28,curvesettle,2,FALSE())))</f>
        <v>0.025</v>
      </c>
      <c r="S53" s="131" t="n">
        <f aca="false">IF(ISNUMBER(VLOOKUP($A53,VOLCURVES,HLOOKUP(R$28,VOLCURVES,2,FALSE()),FALSE())),VLOOKUP($A53,VOLCURVES,HLOOKUP(R$28,VOLCURVES,2,FALSE()),FALSE()),1)</f>
        <v>1</v>
      </c>
      <c r="T53" s="136" t="n">
        <f aca="false">IF(R$28="NYMEX",$AG53,$AF53)</f>
        <v>-8460</v>
      </c>
      <c r="U53" s="153" t="e">
        <f aca="false">(($C53+V53)*$S53)+F$15</f>
        <v>#DIV/0!</v>
      </c>
      <c r="V53" s="4" t="e">
        <f aca="false">IF($F$16=1,VLOOKUP($A53,SkewTable,HLOOKUP(ROUND(W53-BK53,1),SkewTable,2,FALSE()),FALSE())/100,0)</f>
        <v>#DIV/0!</v>
      </c>
      <c r="W53" s="41" t="n">
        <f aca="false">IF($F$19=4,$BK53,$F$18)</f>
        <v>5.3983</v>
      </c>
      <c r="X53" s="136"/>
      <c r="Y53" s="40" t="n">
        <f aca="false">IF(Y$28="nymex",0,VLOOKUP($A53,curvesettle,HLOOKUP(Y$28,curvesettle,2,FALSE())))</f>
        <v>0.025</v>
      </c>
      <c r="Z53" s="131" t="n">
        <f aca="false">IF(ISNUMBER(VLOOKUP($A53,VOLCURVES,HLOOKUP(Y$28,VOLCURVES,2,FALSE()),FALSE())),VLOOKUP($A53,VOLCURVES,HLOOKUP(Y$28,VOLCURVES,2,FALSE()),FALSE()),1)</f>
        <v>1</v>
      </c>
      <c r="AA53" s="136" t="n">
        <f aca="false">IF(Y$28="NYMEX",$AG53,$AF53)</f>
        <v>-8460</v>
      </c>
      <c r="AB53" s="4" t="e">
        <f aca="false">(($C53+AC53)*$Z53)+H$15</f>
        <v>#DIV/0!</v>
      </c>
      <c r="AC53" s="4" t="e">
        <f aca="false">IF($H$16=1,VLOOKUP($A53,SkewTable,HLOOKUP(ROUND(AD53-BV53,1),SkewTable,2,FALSE()),FALSE())/100,0)</f>
        <v>#DIV/0!</v>
      </c>
      <c r="AD53" s="41" t="n">
        <f aca="false">IF($H$19=4,$BV53,$H$18)</f>
        <v>5.4668</v>
      </c>
      <c r="AF53" s="136" t="n">
        <f aca="false">VLOOKUP($A53,expiration,2,FALSE())-$B$2</f>
        <v>-8460</v>
      </c>
      <c r="AG53" s="136" t="n">
        <f aca="false">VLOOKUP($A53,expiration,3,FALSE())-$B$2</f>
        <v>-8463</v>
      </c>
      <c r="AH53" s="4" t="n">
        <f aca="false">VLOOKUP($A53,STRADDLE,12,FALSE())</f>
        <v>0.067217129309422</v>
      </c>
      <c r="AI53" s="43" t="n">
        <f aca="false">A54-A53</f>
        <v>31</v>
      </c>
      <c r="AL53" s="136"/>
      <c r="AM53" s="9"/>
      <c r="AN53" s="9" t="n">
        <f aca="false">IF($A53&gt;=AO$25,IF($A53&lt;=AO$26,$AI53,0),0)</f>
        <v>0</v>
      </c>
      <c r="AO53" s="9" t="e">
        <f aca="false">AQ53/AN53</f>
        <v>#DIV/0!</v>
      </c>
      <c r="AP53" s="1" t="n">
        <f aca="false">AN53*($B53+B$13)</f>
        <v>0</v>
      </c>
      <c r="AQ53" s="33" t="n">
        <f aca="false">IF(ISNUMBER(((AP53/AN53)+B$14+$D53)*AN53),((AP53/AN53)+B$14+$D53)*AN53,0)</f>
        <v>0</v>
      </c>
      <c r="AR53" s="44" t="n">
        <f aca="false">IF(AN53=0,0,bsd(1,AS$27,AO53,$I53,$F53,$G53,$AH53,0.1))</f>
        <v>0</v>
      </c>
      <c r="AS53" s="44" t="n">
        <f aca="false">IF(AN53=0,0,bsd(2,AS$27,AO53,$I53,$F53,$G53,$AH53,0.1))</f>
        <v>0</v>
      </c>
      <c r="AT53" s="44" t="n">
        <f aca="false">IF(AN53=0,0,bsd(AS$28,AS$27,AO53,$I53,$F53,$G53,$AH53,0.1))</f>
        <v>0</v>
      </c>
      <c r="AU53" s="45" t="n">
        <f aca="false">AN53*AR53</f>
        <v>0</v>
      </c>
      <c r="AV53" s="45" t="n">
        <f aca="false">AN53*AS53</f>
        <v>0</v>
      </c>
      <c r="AW53" s="45" t="n">
        <f aca="false">AN53*AT53</f>
        <v>0</v>
      </c>
      <c r="AY53" s="9" t="n">
        <f aca="false">IF($A53&gt;=AZ$25,IF($A53&lt;=AZ$26,$AI53,0),0)</f>
        <v>0</v>
      </c>
      <c r="AZ53" s="9" t="e">
        <f aca="false">BB53/AY53</f>
        <v>#DIV/0!</v>
      </c>
      <c r="BA53" s="1" t="n">
        <f aca="false">AY53*($B53+D$13)</f>
        <v>0</v>
      </c>
      <c r="BB53" s="33" t="n">
        <f aca="false">IF(ISNUMBER(((BA53/AY53)+D$14+$K53)*AY53),((BA53/AY53)+D$14+$K53)*AY53,0)</f>
        <v>0</v>
      </c>
      <c r="BC53" s="44" t="n">
        <f aca="false">IF(AY53=0,0,bsd(1,BD$27,AZ53,$P53,$M53,$N53,$AH53,0.1))</f>
        <v>0</v>
      </c>
      <c r="BD53" s="44" t="n">
        <f aca="false">IF(AY53=0,0,bsd(2,BD$27,AZ53,$P53,$M53,$N53,$AH53,0.1))</f>
        <v>0</v>
      </c>
      <c r="BE53" s="44" t="n">
        <f aca="false">IF(AY53=0,0,bsd(BD$28,BD$27,AZ53,$P53,$M53,$N53,$AH53,0.1))</f>
        <v>0</v>
      </c>
      <c r="BF53" s="45" t="n">
        <f aca="false">AY53*BC53</f>
        <v>0</v>
      </c>
      <c r="BG53" s="45" t="n">
        <f aca="false">AY53*BD53</f>
        <v>0</v>
      </c>
      <c r="BH53" s="45" t="n">
        <f aca="false">AY53*BE53</f>
        <v>0</v>
      </c>
      <c r="BJ53" s="9" t="n">
        <f aca="false">IF($A53&gt;=BK$25,IF($A53&lt;=BK$26,$AI53,0),0)</f>
        <v>0</v>
      </c>
      <c r="BK53" s="9" t="e">
        <f aca="false">BM53/BJ53</f>
        <v>#DIV/0!</v>
      </c>
      <c r="BL53" s="1" t="n">
        <f aca="false">BJ53*($B53+F$13)</f>
        <v>0</v>
      </c>
      <c r="BM53" s="33" t="n">
        <f aca="false">IF(ISNUMBER(((BL53/BJ53)+F$14+$R53)*BJ53),((BL53/BJ53)+F$14+$R53)*BJ53,0)</f>
        <v>0</v>
      </c>
      <c r="BN53" s="44" t="n">
        <f aca="false">IF(BJ53=0,0,bsd(1,BO$27,BK53,$W53,$T53,$U53,$AH53,0.1))</f>
        <v>0</v>
      </c>
      <c r="BO53" s="44" t="n">
        <f aca="false">IF(BJ53=0,0,bsd(2,BO$27,BK53,$W53,$T53,$U53,$AH53,0.1))</f>
        <v>0</v>
      </c>
      <c r="BP53" s="44" t="n">
        <f aca="false">IF(BJ53=0,0,bsd(BO$28,BO$27,BK53,$W53,$T53,$U53,$AH53,0.1))</f>
        <v>0</v>
      </c>
      <c r="BQ53" s="45" t="n">
        <f aca="false">BJ53*BN53</f>
        <v>0</v>
      </c>
      <c r="BR53" s="45" t="n">
        <f aca="false">BJ53*BO53</f>
        <v>0</v>
      </c>
      <c r="BS53" s="45" t="n">
        <f aca="false">BJ53*BP53</f>
        <v>0</v>
      </c>
      <c r="BU53" s="9" t="n">
        <f aca="false">IF($A53&gt;=BV$25,IF($A53&lt;=BV$26,$AI53,0),0)</f>
        <v>0</v>
      </c>
      <c r="BV53" s="9" t="e">
        <f aca="false">BX53/BU53</f>
        <v>#DIV/0!</v>
      </c>
      <c r="BW53" s="1" t="n">
        <f aca="false">BU53*($B53+H$13)</f>
        <v>0</v>
      </c>
      <c r="BX53" s="33" t="n">
        <f aca="false">IF(ISNUMBER(((BW53/BU53)+H$14+$Y53)*BU53),((BW53/BU53)+H$14+$Y53)*BU53,0)</f>
        <v>0</v>
      </c>
      <c r="BY53" s="44" t="n">
        <f aca="false">IF(BU53=0,0,bsd(1,BZ$27,BV53,$AD53,$AA53,$AB53,$AH53,0.1))</f>
        <v>0</v>
      </c>
      <c r="BZ53" s="44" t="n">
        <f aca="false">IF(BU53=0,0,bsd(2,BZ$27,BV53,$AD53,$AA53,$AB53,$AH53,0.1))</f>
        <v>0</v>
      </c>
      <c r="CA53" s="44" t="n">
        <f aca="false">IF(BU53=0,0,bsd(BZ$28,BZ$27,BV53,$AD53,$AA53,$AB53,$AH53,0.1))</f>
        <v>0</v>
      </c>
      <c r="CB53" s="45" t="n">
        <f aca="false">BU53*BY53</f>
        <v>0</v>
      </c>
      <c r="CC53" s="45" t="n">
        <f aca="false">BU53*BZ53</f>
        <v>0</v>
      </c>
      <c r="CD53" s="45" t="n">
        <f aca="false">BU53*CA53</f>
        <v>0</v>
      </c>
    </row>
    <row r="54" customFormat="false" ht="12.75" hidden="false" customHeight="false" outlineLevel="0" collapsed="false">
      <c r="A54" s="48" t="n">
        <f aca="false">DATE(YEAR(A53),MONTH(A53)+1,1)</f>
        <v>37500</v>
      </c>
      <c r="B54" s="40" t="n">
        <f aca="false">VLOOKUP(A54,STRADDLE,5,FALSE())</f>
        <v>3.705</v>
      </c>
      <c r="C54" s="4" t="n">
        <f aca="false">VLOOKUP(A54,STRADDLE,8,FALSE())</f>
        <v>0.29</v>
      </c>
      <c r="D54" s="40" t="n">
        <f aca="false">IF(D$28="nymex",0,VLOOKUP($A54,curvesettle,HLOOKUP(D$28,curvesettle,2,FALSE())))</f>
        <v>0.395</v>
      </c>
      <c r="E54" s="131" t="n">
        <f aca="false">IF(ISNUMBER(VLOOKUP($A54,VOLCURVES,HLOOKUP(D$28,VOLCURVES,2,FALSE()),FALSE())),VLOOKUP($A54,VOLCURVES,HLOOKUP(D$28,VOLCURVES,2,FALSE()),FALSE()),1)</f>
        <v>0.98</v>
      </c>
      <c r="F54" s="136" t="n">
        <f aca="false">IF(D$28="NYMEX",$AG54,$AF54)</f>
        <v>-8430</v>
      </c>
      <c r="G54" s="4" t="e">
        <f aca="false">(($C54+H54)*$E54)+B$15</f>
        <v>#DIV/0!</v>
      </c>
      <c r="H54" s="4" t="e">
        <f aca="false">IF($B$16=1,VLOOKUP($A54,SkewTable,HLOOKUP(ROUND(I54-AO54,1),SkewTable,2,FALSE()),FALSE())/100,0)</f>
        <v>#DIV/0!</v>
      </c>
      <c r="I54" s="41" t="n">
        <f aca="false">IF($B$19=4,$AO54,$B$18)</f>
        <v>5.05</v>
      </c>
      <c r="K54" s="40" t="n">
        <f aca="false">IF(K$28="nymex",0,VLOOKUP($A54,curvesettle,HLOOKUP(K$28,curvesettle,2,FALSE())))</f>
        <v>0.37</v>
      </c>
      <c r="L54" s="131" t="n">
        <f aca="false">IF(ISNUMBER(VLOOKUP($A54,VOLCURVES,HLOOKUP(K$28,VOLCURVES,2,FALSE()),FALSE())),VLOOKUP($A54,VOLCURVES,HLOOKUP(K$28,VOLCURVES,2,FALSE()),FALSE()),1)</f>
        <v>1</v>
      </c>
      <c r="M54" s="136" t="n">
        <f aca="false">IF(K$28="NYMEX",$AG54,$AF54)</f>
        <v>-8430</v>
      </c>
      <c r="N54" s="153" t="e">
        <f aca="false">(($C54+O54)*$L54)+D$15</f>
        <v>#DIV/0!</v>
      </c>
      <c r="O54" s="4" t="e">
        <f aca="false">IF($D$16=1,VLOOKUP($A54,SkewTable,HLOOKUP(ROUND(P54-AZ54,1),SkewTable,2,FALSE()),FALSE())/100,0)</f>
        <v>#DIV/0!</v>
      </c>
      <c r="P54" s="41" t="n">
        <f aca="false">IF($D$19=4,$AZ54,$D$18)</f>
        <v>5.1</v>
      </c>
      <c r="R54" s="40" t="n">
        <f aca="false">IF(R$28="nymex",0,VLOOKUP($A54,curvesettle,HLOOKUP(R$28,curvesettle,2,FALSE())))</f>
        <v>0.0175</v>
      </c>
      <c r="S54" s="131" t="n">
        <f aca="false">IF(ISNUMBER(VLOOKUP($A54,VOLCURVES,HLOOKUP(R$28,VOLCURVES,2,FALSE()),FALSE())),VLOOKUP($A54,VOLCURVES,HLOOKUP(R$28,VOLCURVES,2,FALSE()),FALSE()),1)</f>
        <v>1</v>
      </c>
      <c r="T54" s="136" t="n">
        <f aca="false">IF(R$28="NYMEX",$AG54,$AF54)</f>
        <v>-8430</v>
      </c>
      <c r="U54" s="153" t="e">
        <f aca="false">(($C54+V54)*$S54)+F$15</f>
        <v>#DIV/0!</v>
      </c>
      <c r="V54" s="4" t="e">
        <f aca="false">IF($F$16=1,VLOOKUP($A54,SkewTable,HLOOKUP(ROUND(W54-BK54,1),SkewTable,2,FALSE()),FALSE())/100,0)</f>
        <v>#DIV/0!</v>
      </c>
      <c r="W54" s="41" t="n">
        <f aca="false">IF($F$19=4,$BK54,$F$18)</f>
        <v>5.3983</v>
      </c>
      <c r="X54" s="136"/>
      <c r="Y54" s="40" t="n">
        <f aca="false">IF(Y$28="nymex",0,VLOOKUP($A54,curvesettle,HLOOKUP(Y$28,curvesettle,2,FALSE())))</f>
        <v>0.0175</v>
      </c>
      <c r="Z54" s="131" t="n">
        <f aca="false">IF(ISNUMBER(VLOOKUP($A54,VOLCURVES,HLOOKUP(Y$28,VOLCURVES,2,FALSE()),FALSE())),VLOOKUP($A54,VOLCURVES,HLOOKUP(Y$28,VOLCURVES,2,FALSE()),FALSE()),1)</f>
        <v>1</v>
      </c>
      <c r="AA54" s="136" t="n">
        <f aca="false">IF(Y$28="NYMEX",$AG54,$AF54)</f>
        <v>-8430</v>
      </c>
      <c r="AB54" s="4" t="e">
        <f aca="false">(($C54+AC54)*$Z54)+H$15</f>
        <v>#DIV/0!</v>
      </c>
      <c r="AC54" s="4" t="e">
        <f aca="false">IF($H$16=1,VLOOKUP($A54,SkewTable,HLOOKUP(ROUND(AD54-BV54,1),SkewTable,2,FALSE()),FALSE())/100,0)</f>
        <v>#DIV/0!</v>
      </c>
      <c r="AD54" s="41" t="n">
        <f aca="false">IF($H$19=4,$BV54,$H$18)</f>
        <v>5.4668</v>
      </c>
      <c r="AF54" s="136" t="n">
        <f aca="false">VLOOKUP($A54,expiration,2,FALSE())-$B$2</f>
        <v>-8430</v>
      </c>
      <c r="AG54" s="136" t="n">
        <f aca="false">VLOOKUP($A54,expiration,3,FALSE())-$B$2</f>
        <v>-8431</v>
      </c>
      <c r="AH54" s="4" t="n">
        <f aca="false">VLOOKUP($A54,STRADDLE,12,FALSE())</f>
        <v>0.06720377823263</v>
      </c>
      <c r="AI54" s="43" t="n">
        <f aca="false">A55-A54</f>
        <v>30</v>
      </c>
      <c r="AL54" s="136"/>
      <c r="AM54" s="9"/>
      <c r="AN54" s="9" t="n">
        <f aca="false">IF($A54&gt;=AO$25,IF($A54&lt;=AO$26,$AI54,0),0)</f>
        <v>0</v>
      </c>
      <c r="AO54" s="9" t="e">
        <f aca="false">AQ54/AN54</f>
        <v>#DIV/0!</v>
      </c>
      <c r="AP54" s="1" t="n">
        <f aca="false">AN54*($B54+B$13)</f>
        <v>0</v>
      </c>
      <c r="AQ54" s="33" t="n">
        <f aca="false">IF(ISNUMBER(((AP54/AN54)+B$14+$D54)*AN54),((AP54/AN54)+B$14+$D54)*AN54,0)</f>
        <v>0</v>
      </c>
      <c r="AR54" s="44" t="n">
        <f aca="false">IF(AN54=0,0,bsd(1,AS$27,AO54,$I54,$F54,$G54,$AH54,0.1))</f>
        <v>0</v>
      </c>
      <c r="AS54" s="44" t="n">
        <f aca="false">IF(AN54=0,0,bsd(2,AS$27,AO54,$I54,$F54,$G54,$AH54,0.1))</f>
        <v>0</v>
      </c>
      <c r="AT54" s="44" t="n">
        <f aca="false">IF(AN54=0,0,bsd(AS$28,AS$27,AO54,$I54,$F54,$G54,$AH54,0.1))</f>
        <v>0</v>
      </c>
      <c r="AU54" s="45" t="n">
        <f aca="false">AN54*AR54</f>
        <v>0</v>
      </c>
      <c r="AV54" s="45" t="n">
        <f aca="false">AN54*AS54</f>
        <v>0</v>
      </c>
      <c r="AW54" s="45" t="n">
        <f aca="false">AN54*AT54</f>
        <v>0</v>
      </c>
      <c r="AY54" s="9" t="n">
        <f aca="false">IF($A54&gt;=AZ$25,IF($A54&lt;=AZ$26,$AI54,0),0)</f>
        <v>0</v>
      </c>
      <c r="AZ54" s="9" t="e">
        <f aca="false">BB54/AY54</f>
        <v>#DIV/0!</v>
      </c>
      <c r="BA54" s="1" t="n">
        <f aca="false">AY54*($B54+D$13)</f>
        <v>0</v>
      </c>
      <c r="BB54" s="33" t="n">
        <f aca="false">IF(ISNUMBER(((BA54/AY54)+D$14+$K54)*AY54),((BA54/AY54)+D$14+$K54)*AY54,0)</f>
        <v>0</v>
      </c>
      <c r="BC54" s="44" t="n">
        <f aca="false">IF(AY54=0,0,bsd(1,BD$27,AZ54,$P54,$M54,$N54,$AH54,0.1))</f>
        <v>0</v>
      </c>
      <c r="BD54" s="44" t="n">
        <f aca="false">IF(AY54=0,0,bsd(2,BD$27,AZ54,$P54,$M54,$N54,$AH54,0.1))</f>
        <v>0</v>
      </c>
      <c r="BE54" s="44" t="n">
        <f aca="false">IF(AY54=0,0,bsd(BD$28,BD$27,AZ54,$P54,$M54,$N54,$AH54,0.1))</f>
        <v>0</v>
      </c>
      <c r="BF54" s="45" t="n">
        <f aca="false">AY54*BC54</f>
        <v>0</v>
      </c>
      <c r="BG54" s="45" t="n">
        <f aca="false">AY54*BD54</f>
        <v>0</v>
      </c>
      <c r="BH54" s="45" t="n">
        <f aca="false">AY54*BE54</f>
        <v>0</v>
      </c>
      <c r="BJ54" s="9" t="n">
        <f aca="false">IF($A54&gt;=BK$25,IF($A54&lt;=BK$26,$AI54,0),0)</f>
        <v>0</v>
      </c>
      <c r="BK54" s="9" t="e">
        <f aca="false">BM54/BJ54</f>
        <v>#DIV/0!</v>
      </c>
      <c r="BL54" s="1" t="n">
        <f aca="false">BJ54*($B54+F$13)</f>
        <v>0</v>
      </c>
      <c r="BM54" s="33" t="n">
        <f aca="false">IF(ISNUMBER(((BL54/BJ54)+F$14+$R54)*BJ54),((BL54/BJ54)+F$14+$R54)*BJ54,0)</f>
        <v>0</v>
      </c>
      <c r="BN54" s="44" t="n">
        <f aca="false">IF(BJ54=0,0,bsd(1,BO$27,BK54,$W54,$T54,$U54,$AH54,0.1))</f>
        <v>0</v>
      </c>
      <c r="BO54" s="44" t="n">
        <f aca="false">IF(BJ54=0,0,bsd(2,BO$27,BK54,$W54,$T54,$U54,$AH54,0.1))</f>
        <v>0</v>
      </c>
      <c r="BP54" s="44" t="n">
        <f aca="false">IF(BJ54=0,0,bsd(BO$28,BO$27,BK54,$W54,$T54,$U54,$AH54,0.1))</f>
        <v>0</v>
      </c>
      <c r="BQ54" s="45" t="n">
        <f aca="false">BJ54*BN54</f>
        <v>0</v>
      </c>
      <c r="BR54" s="45" t="n">
        <f aca="false">BJ54*BO54</f>
        <v>0</v>
      </c>
      <c r="BS54" s="45" t="n">
        <f aca="false">BJ54*BP54</f>
        <v>0</v>
      </c>
      <c r="BU54" s="9" t="n">
        <f aca="false">IF($A54&gt;=BV$25,IF($A54&lt;=BV$26,$AI54,0),0)</f>
        <v>0</v>
      </c>
      <c r="BV54" s="9" t="e">
        <f aca="false">BX54/BU54</f>
        <v>#DIV/0!</v>
      </c>
      <c r="BW54" s="1" t="n">
        <f aca="false">BU54*($B54+H$13)</f>
        <v>0</v>
      </c>
      <c r="BX54" s="33" t="n">
        <f aca="false">IF(ISNUMBER(((BW54/BU54)+H$14+$Y54)*BU54),((BW54/BU54)+H$14+$Y54)*BU54,0)</f>
        <v>0</v>
      </c>
      <c r="BY54" s="44" t="n">
        <f aca="false">IF(BU54=0,0,bsd(1,BZ$27,BV54,$AD54,$AA54,$AB54,$AH54,0.1))</f>
        <v>0</v>
      </c>
      <c r="BZ54" s="44" t="n">
        <f aca="false">IF(BU54=0,0,bsd(2,BZ$27,BV54,$AD54,$AA54,$AB54,$AH54,0.1))</f>
        <v>0</v>
      </c>
      <c r="CA54" s="44" t="n">
        <f aca="false">IF(BU54=0,0,bsd(BZ$28,BZ$27,BV54,$AD54,$AA54,$AB54,$AH54,0.1))</f>
        <v>0</v>
      </c>
      <c r="CB54" s="45" t="n">
        <f aca="false">BU54*BY54</f>
        <v>0</v>
      </c>
      <c r="CC54" s="45" t="n">
        <f aca="false">BU54*BZ54</f>
        <v>0</v>
      </c>
      <c r="CD54" s="45" t="n">
        <f aca="false">BU54*CA54</f>
        <v>0</v>
      </c>
    </row>
    <row r="55" customFormat="false" ht="12.75" hidden="false" customHeight="false" outlineLevel="0" collapsed="false">
      <c r="A55" s="48" t="n">
        <f aca="false">DATE(YEAR(A54),MONTH(A54)+1,1)</f>
        <v>37530</v>
      </c>
      <c r="B55" s="40" t="n">
        <f aca="false">VLOOKUP(A55,STRADDLE,5,FALSE())</f>
        <v>3.708</v>
      </c>
      <c r="C55" s="4" t="n">
        <f aca="false">VLOOKUP(A55,STRADDLE,8,FALSE())</f>
        <v>0.295</v>
      </c>
      <c r="D55" s="40" t="n">
        <f aca="false">IF(D$28="nymex",0,VLOOKUP($A55,curvesettle,HLOOKUP(D$28,curvesettle,2,FALSE())))</f>
        <v>0.461</v>
      </c>
      <c r="E55" s="131" t="n">
        <f aca="false">IF(ISNUMBER(VLOOKUP($A55,VOLCURVES,HLOOKUP(D$28,VOLCURVES,2,FALSE()),FALSE())),VLOOKUP($A55,VOLCURVES,HLOOKUP(D$28,VOLCURVES,2,FALSE()),FALSE()),1)</f>
        <v>0.98</v>
      </c>
      <c r="F55" s="136" t="n">
        <f aca="false">IF(D$28="NYMEX",$AG55,$AF55)</f>
        <v>-8401</v>
      </c>
      <c r="G55" s="4" t="e">
        <f aca="false">(($C55+H55)*$E55)+B$15</f>
        <v>#DIV/0!</v>
      </c>
      <c r="H55" s="4" t="e">
        <f aca="false">IF($B$16=1,VLOOKUP($A55,SkewTable,HLOOKUP(ROUND(I55-AO55,1),SkewTable,2,FALSE()),FALSE())/100,0)</f>
        <v>#DIV/0!</v>
      </c>
      <c r="I55" s="41" t="n">
        <f aca="false">IF($B$19=4,$AO55,$B$18)</f>
        <v>5.05</v>
      </c>
      <c r="K55" s="40" t="n">
        <f aca="false">IF(K$28="nymex",0,VLOOKUP($A55,curvesettle,HLOOKUP(K$28,curvesettle,2,FALSE())))</f>
        <v>0.37</v>
      </c>
      <c r="L55" s="131" t="n">
        <f aca="false">IF(ISNUMBER(VLOOKUP($A55,VOLCURVES,HLOOKUP(K$28,VOLCURVES,2,FALSE()),FALSE())),VLOOKUP($A55,VOLCURVES,HLOOKUP(K$28,VOLCURVES,2,FALSE()),FALSE()),1)</f>
        <v>1</v>
      </c>
      <c r="M55" s="136" t="n">
        <f aca="false">IF(K$28="NYMEX",$AG55,$AF55)</f>
        <v>-8401</v>
      </c>
      <c r="N55" s="153" t="e">
        <f aca="false">(($C55+O55)*$L55)+D$15</f>
        <v>#DIV/0!</v>
      </c>
      <c r="O55" s="4" t="e">
        <f aca="false">IF($D$16=1,VLOOKUP($A55,SkewTable,HLOOKUP(ROUND(P55-AZ55,1),SkewTable,2,FALSE()),FALSE())/100,0)</f>
        <v>#DIV/0!</v>
      </c>
      <c r="P55" s="41" t="n">
        <f aca="false">IF($D$19=4,$AZ55,$D$18)</f>
        <v>5.1</v>
      </c>
      <c r="R55" s="40" t="n">
        <f aca="false">IF(R$28="nymex",0,VLOOKUP($A55,curvesettle,HLOOKUP(R$28,curvesettle,2,FALSE())))</f>
        <v>0.0075</v>
      </c>
      <c r="S55" s="131" t="n">
        <f aca="false">IF(ISNUMBER(VLOOKUP($A55,VOLCURVES,HLOOKUP(R$28,VOLCURVES,2,FALSE()),FALSE())),VLOOKUP($A55,VOLCURVES,HLOOKUP(R$28,VOLCURVES,2,FALSE()),FALSE()),1)</f>
        <v>1</v>
      </c>
      <c r="T55" s="136" t="n">
        <f aca="false">IF(R$28="NYMEX",$AG55,$AF55)</f>
        <v>-8401</v>
      </c>
      <c r="U55" s="153" t="e">
        <f aca="false">(($C55+V55)*$S55)+F$15</f>
        <v>#DIV/0!</v>
      </c>
      <c r="V55" s="4" t="e">
        <f aca="false">IF($F$16=1,VLOOKUP($A55,SkewTable,HLOOKUP(ROUND(W55-BK55,1),SkewTable,2,FALSE()),FALSE())/100,0)</f>
        <v>#DIV/0!</v>
      </c>
      <c r="W55" s="41" t="n">
        <f aca="false">IF($F$19=4,$BK55,$F$18)</f>
        <v>5.3983</v>
      </c>
      <c r="X55" s="136"/>
      <c r="Y55" s="40" t="n">
        <f aca="false">IF(Y$28="nymex",0,VLOOKUP($A55,curvesettle,HLOOKUP(Y$28,curvesettle,2,FALSE())))</f>
        <v>0.0075</v>
      </c>
      <c r="Z55" s="131" t="n">
        <f aca="false">IF(ISNUMBER(VLOOKUP($A55,VOLCURVES,HLOOKUP(Y$28,VOLCURVES,2,FALSE()),FALSE())),VLOOKUP($A55,VOLCURVES,HLOOKUP(Y$28,VOLCURVES,2,FALSE()),FALSE()),1)</f>
        <v>1</v>
      </c>
      <c r="AA55" s="136" t="n">
        <f aca="false">IF(Y$28="NYMEX",$AG55,$AF55)</f>
        <v>-8401</v>
      </c>
      <c r="AB55" s="4" t="e">
        <f aca="false">(($C55+AC55)*$Z55)+H$15</f>
        <v>#DIV/0!</v>
      </c>
      <c r="AC55" s="4" t="e">
        <f aca="false">IF($H$16=1,VLOOKUP($A55,SkewTable,HLOOKUP(ROUND(AD55-BV55,1),SkewTable,2,FALSE()),FALSE())/100,0)</f>
        <v>#DIV/0!</v>
      </c>
      <c r="AD55" s="41" t="n">
        <f aca="false">IF($H$19=4,$BV55,$H$18)</f>
        <v>5.4668</v>
      </c>
      <c r="AF55" s="136" t="n">
        <f aca="false">VLOOKUP($A55,expiration,2,FALSE())-$B$2</f>
        <v>-8401</v>
      </c>
      <c r="AG55" s="136" t="n">
        <f aca="false">VLOOKUP($A55,expiration,3,FALSE())-$B$2</f>
        <v>-8402</v>
      </c>
      <c r="AH55" s="4" t="n">
        <f aca="false">VLOOKUP($A55,STRADDLE,12,FALSE())</f>
        <v>0.067194524564304</v>
      </c>
      <c r="AI55" s="43" t="n">
        <f aca="false">A56-A55</f>
        <v>31</v>
      </c>
      <c r="AL55" s="136"/>
      <c r="AM55" s="9"/>
      <c r="AN55" s="9" t="n">
        <f aca="false">IF($A55&gt;=AO$25,IF($A55&lt;=AO$26,$AI55,0),0)</f>
        <v>0</v>
      </c>
      <c r="AO55" s="9" t="e">
        <f aca="false">AQ55/AN55</f>
        <v>#DIV/0!</v>
      </c>
      <c r="AP55" s="1" t="n">
        <f aca="false">AN55*($B55+B$13)</f>
        <v>0</v>
      </c>
      <c r="AQ55" s="33" t="n">
        <f aca="false">IF(ISNUMBER(((AP55/AN55)+B$14+$D55)*AN55),((AP55/AN55)+B$14+$D55)*AN55,0)</f>
        <v>0</v>
      </c>
      <c r="AR55" s="44" t="n">
        <f aca="false">IF(AN55=0,0,bsd(1,AS$27,AO55,$I55,$F55,$G55,$AH55,0.1))</f>
        <v>0</v>
      </c>
      <c r="AS55" s="44" t="n">
        <f aca="false">IF(AN55=0,0,bsd(2,AS$27,AO55,$I55,$F55,$G55,$AH55,0.1))</f>
        <v>0</v>
      </c>
      <c r="AT55" s="44" t="n">
        <f aca="false">IF(AN55=0,0,bsd(AS$28,AS$27,AO55,$I55,$F55,$G55,$AH55,0.1))</f>
        <v>0</v>
      </c>
      <c r="AU55" s="45" t="n">
        <f aca="false">AN55*AR55</f>
        <v>0</v>
      </c>
      <c r="AV55" s="45" t="n">
        <f aca="false">AN55*AS55</f>
        <v>0</v>
      </c>
      <c r="AW55" s="45" t="n">
        <f aca="false">AN55*AT55</f>
        <v>0</v>
      </c>
      <c r="AY55" s="9" t="n">
        <f aca="false">IF($A55&gt;=AZ$25,IF($A55&lt;=AZ$26,$AI55,0),0)</f>
        <v>0</v>
      </c>
      <c r="AZ55" s="9" t="e">
        <f aca="false">BB55/AY55</f>
        <v>#DIV/0!</v>
      </c>
      <c r="BA55" s="1" t="n">
        <f aca="false">AY55*($B55+D$13)</f>
        <v>0</v>
      </c>
      <c r="BB55" s="33" t="n">
        <f aca="false">IF(ISNUMBER(((BA55/AY55)+D$14+$K55)*AY55),((BA55/AY55)+D$14+$K55)*AY55,0)</f>
        <v>0</v>
      </c>
      <c r="BC55" s="44" t="n">
        <f aca="false">IF(AY55=0,0,bsd(1,BD$27,AZ55,$P55,$M55,$N55,$AH55,0.1))</f>
        <v>0</v>
      </c>
      <c r="BD55" s="44" t="n">
        <f aca="false">IF(AY55=0,0,bsd(2,BD$27,AZ55,$P55,$M55,$N55,$AH55,0.1))</f>
        <v>0</v>
      </c>
      <c r="BE55" s="44" t="n">
        <f aca="false">IF(AY55=0,0,bsd(BD$28,BD$27,AZ55,$P55,$M55,$N55,$AH55,0.1))</f>
        <v>0</v>
      </c>
      <c r="BF55" s="45" t="n">
        <f aca="false">AY55*BC55</f>
        <v>0</v>
      </c>
      <c r="BG55" s="45" t="n">
        <f aca="false">AY55*BD55</f>
        <v>0</v>
      </c>
      <c r="BH55" s="45" t="n">
        <f aca="false">AY55*BE55</f>
        <v>0</v>
      </c>
      <c r="BJ55" s="9" t="n">
        <f aca="false">IF($A55&gt;=BK$25,IF($A55&lt;=BK$26,$AI55,0),0)</f>
        <v>0</v>
      </c>
      <c r="BK55" s="9" t="e">
        <f aca="false">BM55/BJ55</f>
        <v>#DIV/0!</v>
      </c>
      <c r="BL55" s="1" t="n">
        <f aca="false">BJ55*($B55+F$13)</f>
        <v>0</v>
      </c>
      <c r="BM55" s="33" t="n">
        <f aca="false">IF(ISNUMBER(((BL55/BJ55)+F$14+$R55)*BJ55),((BL55/BJ55)+F$14+$R55)*BJ55,0)</f>
        <v>0</v>
      </c>
      <c r="BN55" s="44" t="n">
        <f aca="false">IF(BJ55=0,0,bsd(1,BO$27,BK55,$W55,$T55,$U55,$AH55,0.1))</f>
        <v>0</v>
      </c>
      <c r="BO55" s="44" t="n">
        <f aca="false">IF(BJ55=0,0,bsd(2,BO$27,BK55,$W55,$T55,$U55,$AH55,0.1))</f>
        <v>0</v>
      </c>
      <c r="BP55" s="44" t="n">
        <f aca="false">IF(BJ55=0,0,bsd(BO$28,BO$27,BK55,$W55,$T55,$U55,$AH55,0.1))</f>
        <v>0</v>
      </c>
      <c r="BQ55" s="45" t="n">
        <f aca="false">BJ55*BN55</f>
        <v>0</v>
      </c>
      <c r="BR55" s="45" t="n">
        <f aca="false">BJ55*BO55</f>
        <v>0</v>
      </c>
      <c r="BS55" s="45" t="n">
        <f aca="false">BJ55*BP55</f>
        <v>0</v>
      </c>
      <c r="BU55" s="9" t="n">
        <f aca="false">IF($A55&gt;=BV$25,IF($A55&lt;=BV$26,$AI55,0),0)</f>
        <v>0</v>
      </c>
      <c r="BV55" s="9" t="e">
        <f aca="false">BX55/BU55</f>
        <v>#DIV/0!</v>
      </c>
      <c r="BW55" s="1" t="n">
        <f aca="false">BU55*($B55+H$13)</f>
        <v>0</v>
      </c>
      <c r="BX55" s="33" t="n">
        <f aca="false">IF(ISNUMBER(((BW55/BU55)+H$14+$Y55)*BU55),((BW55/BU55)+H$14+$Y55)*BU55,0)</f>
        <v>0</v>
      </c>
      <c r="BY55" s="44" t="n">
        <f aca="false">IF(BU55=0,0,bsd(1,BZ$27,BV55,$AD55,$AA55,$AB55,$AH55,0.1))</f>
        <v>0</v>
      </c>
      <c r="BZ55" s="44" t="n">
        <f aca="false">IF(BU55=0,0,bsd(2,BZ$27,BV55,$AD55,$AA55,$AB55,$AH55,0.1))</f>
        <v>0</v>
      </c>
      <c r="CA55" s="44" t="n">
        <f aca="false">IF(BU55=0,0,bsd(BZ$28,BZ$27,BV55,$AD55,$AA55,$AB55,$AH55,0.1))</f>
        <v>0</v>
      </c>
      <c r="CB55" s="45" t="n">
        <f aca="false">BU55*BY55</f>
        <v>0</v>
      </c>
      <c r="CC55" s="45" t="n">
        <f aca="false">BU55*BZ55</f>
        <v>0</v>
      </c>
      <c r="CD55" s="45" t="n">
        <f aca="false">BU55*CA55</f>
        <v>0</v>
      </c>
    </row>
    <row r="56" customFormat="false" ht="12.75" hidden="false" customHeight="false" outlineLevel="0" collapsed="false">
      <c r="A56" s="48" t="n">
        <f aca="false">DATE(YEAR(A55),MONTH(A55)+1,1)</f>
        <v>37561</v>
      </c>
      <c r="B56" s="40" t="n">
        <f aca="false">VLOOKUP(A56,STRADDLE,5,FALSE())</f>
        <v>3.8</v>
      </c>
      <c r="C56" s="4" t="n">
        <f aca="false">VLOOKUP(A56,STRADDLE,8,FALSE())</f>
        <v>0.2975</v>
      </c>
      <c r="D56" s="40" t="n">
        <f aca="false">IF(D$28="nymex",0,VLOOKUP($A56,curvesettle,HLOOKUP(D$28,curvesettle,2,FALSE())))</f>
        <v>0.77</v>
      </c>
      <c r="E56" s="131" t="n">
        <f aca="false">IF(ISNUMBER(VLOOKUP($A56,VOLCURVES,HLOOKUP(D$28,VOLCURVES,2,FALSE()),FALSE())),VLOOKUP($A56,VOLCURVES,HLOOKUP(D$28,VOLCURVES,2,FALSE()),FALSE()),1)</f>
        <v>1.1</v>
      </c>
      <c r="F56" s="136" t="n">
        <f aca="false">IF(D$28="NYMEX",$AG56,$AF56)</f>
        <v>-8368</v>
      </c>
      <c r="G56" s="4" t="e">
        <f aca="false">(($C56+H56)*$E56)+B$15</f>
        <v>#DIV/0!</v>
      </c>
      <c r="H56" s="4" t="e">
        <f aca="false">IF($B$16=1,VLOOKUP($A56,SkewTable,HLOOKUP(ROUND(I56-AO56,1),SkewTable,2,FALSE()),FALSE())/100,0)</f>
        <v>#DIV/0!</v>
      </c>
      <c r="I56" s="41" t="n">
        <f aca="false">IF($B$19=4,$AO56,$B$18)</f>
        <v>5.05</v>
      </c>
      <c r="K56" s="40" t="n">
        <f aca="false">IF(K$28="nymex",0,VLOOKUP($A56,curvesettle,HLOOKUP(K$28,curvesettle,2,FALSE())))</f>
        <v>0.25</v>
      </c>
      <c r="L56" s="131" t="n">
        <f aca="false">IF(ISNUMBER(VLOOKUP($A56,VOLCURVES,HLOOKUP(K$28,VOLCURVES,2,FALSE()),FALSE())),VLOOKUP($A56,VOLCURVES,HLOOKUP(K$28,VOLCURVES,2,FALSE()),FALSE()),1)</f>
        <v>1</v>
      </c>
      <c r="M56" s="136" t="n">
        <f aca="false">IF(K$28="NYMEX",$AG56,$AF56)</f>
        <v>-8368</v>
      </c>
      <c r="N56" s="153" t="e">
        <f aca="false">(($C56+O56)*$L56)+D$15</f>
        <v>#DIV/0!</v>
      </c>
      <c r="O56" s="4" t="e">
        <f aca="false">IF($D$16=1,VLOOKUP($A56,SkewTable,HLOOKUP(ROUND(P56-AZ56,1),SkewTable,2,FALSE()),FALSE())/100,0)</f>
        <v>#DIV/0!</v>
      </c>
      <c r="P56" s="41" t="n">
        <f aca="false">IF($D$19=4,$AZ56,$D$18)</f>
        <v>5.1</v>
      </c>
      <c r="R56" s="40" t="n">
        <f aca="false">IF(R$28="nymex",0,VLOOKUP($A56,curvesettle,HLOOKUP(R$28,curvesettle,2,FALSE())))</f>
        <v>-0.0325</v>
      </c>
      <c r="S56" s="131" t="n">
        <f aca="false">IF(ISNUMBER(VLOOKUP($A56,VOLCURVES,HLOOKUP(R$28,VOLCURVES,2,FALSE()),FALSE())),VLOOKUP($A56,VOLCURVES,HLOOKUP(R$28,VOLCURVES,2,FALSE()),FALSE()),1)</f>
        <v>1</v>
      </c>
      <c r="T56" s="136" t="n">
        <f aca="false">IF(R$28="NYMEX",$AG56,$AF56)</f>
        <v>-8368</v>
      </c>
      <c r="U56" s="153" t="e">
        <f aca="false">(($C56+V56)*$S56)+F$15</f>
        <v>#DIV/0!</v>
      </c>
      <c r="V56" s="4" t="e">
        <f aca="false">IF($F$16=1,VLOOKUP($A56,SkewTable,HLOOKUP(ROUND(W56-BK56,1),SkewTable,2,FALSE()),FALSE())/100,0)</f>
        <v>#DIV/0!</v>
      </c>
      <c r="W56" s="41" t="n">
        <f aca="false">IF($F$19=4,$BK56,$F$18)</f>
        <v>5.3983</v>
      </c>
      <c r="X56" s="136"/>
      <c r="Y56" s="40" t="n">
        <f aca="false">IF(Y$28="nymex",0,VLOOKUP($A56,curvesettle,HLOOKUP(Y$28,curvesettle,2,FALSE())))</f>
        <v>-0.0325</v>
      </c>
      <c r="Z56" s="131" t="n">
        <f aca="false">IF(ISNUMBER(VLOOKUP($A56,VOLCURVES,HLOOKUP(Y$28,VOLCURVES,2,FALSE()),FALSE())),VLOOKUP($A56,VOLCURVES,HLOOKUP(Y$28,VOLCURVES,2,FALSE()),FALSE()),1)</f>
        <v>1</v>
      </c>
      <c r="AA56" s="136" t="n">
        <f aca="false">IF(Y$28="NYMEX",$AG56,$AF56)</f>
        <v>-8368</v>
      </c>
      <c r="AB56" s="4" t="e">
        <f aca="false">(($C56+AC56)*$Z56)+H$15</f>
        <v>#DIV/0!</v>
      </c>
      <c r="AC56" s="4" t="e">
        <f aca="false">IF($H$16=1,VLOOKUP($A56,SkewTable,HLOOKUP(ROUND(AD56-BV56,1),SkewTable,2,FALSE()),FALSE())/100,0)</f>
        <v>#DIV/0!</v>
      </c>
      <c r="AD56" s="41" t="n">
        <f aca="false">IF($H$19=4,$BV56,$H$18)</f>
        <v>5.4668</v>
      </c>
      <c r="AF56" s="136" t="n">
        <f aca="false">VLOOKUP($A56,expiration,2,FALSE())-$B$2</f>
        <v>-8368</v>
      </c>
      <c r="AG56" s="136" t="n">
        <f aca="false">VLOOKUP($A56,expiration,3,FALSE())-$B$2</f>
        <v>-8369</v>
      </c>
      <c r="AH56" s="4" t="n">
        <f aca="false">VLOOKUP($A56,STRADDLE,12,FALSE())</f>
        <v>0.067190222129849</v>
      </c>
      <c r="AI56" s="43" t="n">
        <f aca="false">A57-A56</f>
        <v>30</v>
      </c>
      <c r="AL56" s="136"/>
      <c r="AM56" s="9"/>
      <c r="AN56" s="9" t="n">
        <f aca="false">IF($A56&gt;=AO$25,IF($A56&lt;=AO$26,$AI56,0),0)</f>
        <v>0</v>
      </c>
      <c r="AO56" s="9" t="e">
        <f aca="false">AQ56/AN56</f>
        <v>#DIV/0!</v>
      </c>
      <c r="AP56" s="1" t="n">
        <f aca="false">AN56*($B56+B$13)</f>
        <v>0</v>
      </c>
      <c r="AQ56" s="33" t="n">
        <f aca="false">IF(ISNUMBER(((AP56/AN56)+B$14+$D56)*AN56),((AP56/AN56)+B$14+$D56)*AN56,0)</f>
        <v>0</v>
      </c>
      <c r="AR56" s="44" t="n">
        <f aca="false">IF(AN56=0,0,bsd(1,AS$27,AO56,$I56,$F56,$G56,$AH56,0.1))</f>
        <v>0</v>
      </c>
      <c r="AS56" s="44" t="n">
        <f aca="false">IF(AN56=0,0,bsd(2,AS$27,AO56,$I56,$F56,$G56,$AH56,0.1))</f>
        <v>0</v>
      </c>
      <c r="AT56" s="44" t="n">
        <f aca="false">IF(AN56=0,0,bsd(AS$28,AS$27,AO56,$I56,$F56,$G56,$AH56,0.1))</f>
        <v>0</v>
      </c>
      <c r="AU56" s="45" t="n">
        <f aca="false">AN56*AR56</f>
        <v>0</v>
      </c>
      <c r="AV56" s="45" t="n">
        <f aca="false">AN56*AS56</f>
        <v>0</v>
      </c>
      <c r="AW56" s="45" t="n">
        <f aca="false">AN56*AT56</f>
        <v>0</v>
      </c>
      <c r="AY56" s="9" t="n">
        <f aca="false">IF($A56&gt;=AZ$25,IF($A56&lt;=AZ$26,$AI56,0),0)</f>
        <v>0</v>
      </c>
      <c r="AZ56" s="9" t="e">
        <f aca="false">BB56/AY56</f>
        <v>#DIV/0!</v>
      </c>
      <c r="BA56" s="1" t="n">
        <f aca="false">AY56*($B56+D$13)</f>
        <v>0</v>
      </c>
      <c r="BB56" s="33" t="n">
        <f aca="false">IF(ISNUMBER(((BA56/AY56)+D$14+$K56)*AY56),((BA56/AY56)+D$14+$K56)*AY56,0)</f>
        <v>0</v>
      </c>
      <c r="BC56" s="44" t="n">
        <f aca="false">IF(AY56=0,0,bsd(1,BD$27,AZ56,$P56,$M56,$N56,$AH56,0.1))</f>
        <v>0</v>
      </c>
      <c r="BD56" s="44" t="n">
        <f aca="false">IF(AY56=0,0,bsd(2,BD$27,AZ56,$P56,$M56,$N56,$AH56,0.1))</f>
        <v>0</v>
      </c>
      <c r="BE56" s="44" t="n">
        <f aca="false">IF(AY56=0,0,bsd(BD$28,BD$27,AZ56,$P56,$M56,$N56,$AH56,0.1))</f>
        <v>0</v>
      </c>
      <c r="BF56" s="45" t="n">
        <f aca="false">AY56*BC56</f>
        <v>0</v>
      </c>
      <c r="BG56" s="45" t="n">
        <f aca="false">AY56*BD56</f>
        <v>0</v>
      </c>
      <c r="BH56" s="45" t="n">
        <f aca="false">AY56*BE56</f>
        <v>0</v>
      </c>
      <c r="BJ56" s="9" t="n">
        <f aca="false">IF($A56&gt;=BK$25,IF($A56&lt;=BK$26,$AI56,0),0)</f>
        <v>0</v>
      </c>
      <c r="BK56" s="9" t="e">
        <f aca="false">BM56/BJ56</f>
        <v>#DIV/0!</v>
      </c>
      <c r="BL56" s="1" t="n">
        <f aca="false">BJ56*($B56+F$13)</f>
        <v>0</v>
      </c>
      <c r="BM56" s="33" t="n">
        <f aca="false">IF(ISNUMBER(((BL56/BJ56)+F$14+$R56)*BJ56),((BL56/BJ56)+F$14+$R56)*BJ56,0)</f>
        <v>0</v>
      </c>
      <c r="BN56" s="44" t="n">
        <f aca="false">IF(BJ56=0,0,bsd(1,BO$27,BK56,$W56,$T56,$U56,$AH56,0.1))</f>
        <v>0</v>
      </c>
      <c r="BO56" s="44" t="n">
        <f aca="false">IF(BJ56=0,0,bsd(2,BO$27,BK56,$W56,$T56,$U56,$AH56,0.1))</f>
        <v>0</v>
      </c>
      <c r="BP56" s="44" t="n">
        <f aca="false">IF(BJ56=0,0,bsd(BO$28,BO$27,BK56,$W56,$T56,$U56,$AH56,0.1))</f>
        <v>0</v>
      </c>
      <c r="BQ56" s="45" t="n">
        <f aca="false">BJ56*BN56</f>
        <v>0</v>
      </c>
      <c r="BR56" s="45" t="n">
        <f aca="false">BJ56*BO56</f>
        <v>0</v>
      </c>
      <c r="BS56" s="45" t="n">
        <f aca="false">BJ56*BP56</f>
        <v>0</v>
      </c>
      <c r="BU56" s="9" t="n">
        <f aca="false">IF($A56&gt;=BV$25,IF($A56&lt;=BV$26,$AI56,0),0)</f>
        <v>0</v>
      </c>
      <c r="BV56" s="9" t="e">
        <f aca="false">BX56/BU56</f>
        <v>#DIV/0!</v>
      </c>
      <c r="BW56" s="1" t="n">
        <f aca="false">BU56*($B56+H$13)</f>
        <v>0</v>
      </c>
      <c r="BX56" s="33" t="n">
        <f aca="false">IF(ISNUMBER(((BW56/BU56)+H$14+$Y56)*BU56),((BW56/BU56)+H$14+$Y56)*BU56,0)</f>
        <v>0</v>
      </c>
      <c r="BY56" s="44" t="n">
        <f aca="false">IF(BU56=0,0,bsd(1,BZ$27,BV56,$AD56,$AA56,$AB56,$AH56,0.1))</f>
        <v>0</v>
      </c>
      <c r="BZ56" s="44" t="n">
        <f aca="false">IF(BU56=0,0,bsd(2,BZ$27,BV56,$AD56,$AA56,$AB56,$AH56,0.1))</f>
        <v>0</v>
      </c>
      <c r="CA56" s="44" t="n">
        <f aca="false">IF(BU56=0,0,bsd(BZ$28,BZ$27,BV56,$AD56,$AA56,$AB56,$AH56,0.1))</f>
        <v>0</v>
      </c>
      <c r="CB56" s="45" t="n">
        <f aca="false">BU56*BY56</f>
        <v>0</v>
      </c>
      <c r="CC56" s="45" t="n">
        <f aca="false">BU56*BZ56</f>
        <v>0</v>
      </c>
      <c r="CD56" s="45" t="n">
        <f aca="false">BU56*CA56</f>
        <v>0</v>
      </c>
    </row>
    <row r="57" customFormat="false" ht="12.75" hidden="false" customHeight="false" outlineLevel="0" collapsed="false">
      <c r="A57" s="48" t="n">
        <f aca="false">DATE(YEAR(A56),MONTH(A56)+1,1)</f>
        <v>37591</v>
      </c>
      <c r="B57" s="40" t="n">
        <f aca="false">VLOOKUP(A57,STRADDLE,5,FALSE())</f>
        <v>3.876</v>
      </c>
      <c r="C57" s="4" t="n">
        <f aca="false">VLOOKUP(A57,STRADDLE,8,FALSE())</f>
        <v>0.3</v>
      </c>
      <c r="D57" s="40" t="n">
        <f aca="false">IF(D$28="nymex",0,VLOOKUP($A57,curvesettle,HLOOKUP(D$28,curvesettle,2,FALSE())))</f>
        <v>1.18</v>
      </c>
      <c r="E57" s="131" t="n">
        <f aca="false">IF(ISNUMBER(VLOOKUP($A57,VOLCURVES,HLOOKUP(D$28,VOLCURVES,2,FALSE()),FALSE())),VLOOKUP($A57,VOLCURVES,HLOOKUP(D$28,VOLCURVES,2,FALSE()),FALSE()),1)</f>
        <v>1.1</v>
      </c>
      <c r="F57" s="136" t="n">
        <f aca="false">IF(D$28="NYMEX",$AG57,$AF57)</f>
        <v>-8340</v>
      </c>
      <c r="G57" s="4" t="e">
        <f aca="false">(($C57+H57)*$E57)+B$15</f>
        <v>#DIV/0!</v>
      </c>
      <c r="H57" s="4" t="e">
        <f aca="false">IF($B$16=1,VLOOKUP($A57,SkewTable,HLOOKUP(ROUND(I57-AO57,1),SkewTable,2,FALSE()),FALSE())/100,0)</f>
        <v>#DIV/0!</v>
      </c>
      <c r="I57" s="41" t="n">
        <f aca="false">IF($B$19=4,$AO57,$B$18)</f>
        <v>5.05</v>
      </c>
      <c r="K57" s="40" t="n">
        <f aca="false">IF(K$28="nymex",0,VLOOKUP($A57,curvesettle,HLOOKUP(K$28,curvesettle,2,FALSE())))</f>
        <v>0.25</v>
      </c>
      <c r="L57" s="131" t="n">
        <f aca="false">IF(ISNUMBER(VLOOKUP($A57,VOLCURVES,HLOOKUP(K$28,VOLCURVES,2,FALSE()),FALSE())),VLOOKUP($A57,VOLCURVES,HLOOKUP(K$28,VOLCURVES,2,FALSE()),FALSE()),1)</f>
        <v>1</v>
      </c>
      <c r="M57" s="136" t="n">
        <f aca="false">IF(K$28="NYMEX",$AG57,$AF57)</f>
        <v>-8340</v>
      </c>
      <c r="N57" s="153" t="e">
        <f aca="false">(($C57+O57)*$L57)+D$15</f>
        <v>#DIV/0!</v>
      </c>
      <c r="O57" s="4" t="e">
        <f aca="false">IF($D$16=1,VLOOKUP($A57,SkewTable,HLOOKUP(ROUND(P57-AZ57,1),SkewTable,2,FALSE()),FALSE())/100,0)</f>
        <v>#DIV/0!</v>
      </c>
      <c r="P57" s="41" t="n">
        <f aca="false">IF($D$19=4,$AZ57,$D$18)</f>
        <v>5.1</v>
      </c>
      <c r="R57" s="40" t="n">
        <f aca="false">IF(R$28="nymex",0,VLOOKUP($A57,curvesettle,HLOOKUP(R$28,curvesettle,2,FALSE())))</f>
        <v>-0.055</v>
      </c>
      <c r="S57" s="131" t="n">
        <f aca="false">IF(ISNUMBER(VLOOKUP($A57,VOLCURVES,HLOOKUP(R$28,VOLCURVES,2,FALSE()),FALSE())),VLOOKUP($A57,VOLCURVES,HLOOKUP(R$28,VOLCURVES,2,FALSE()),FALSE()),1)</f>
        <v>1</v>
      </c>
      <c r="T57" s="136" t="n">
        <f aca="false">IF(R$28="NYMEX",$AG57,$AF57)</f>
        <v>-8340</v>
      </c>
      <c r="U57" s="153" t="e">
        <f aca="false">(($C57+V57)*$S57)+F$15</f>
        <v>#DIV/0!</v>
      </c>
      <c r="V57" s="4" t="e">
        <f aca="false">IF($F$16=1,VLOOKUP($A57,SkewTable,HLOOKUP(ROUND(W57-BK57,1),SkewTable,2,FALSE()),FALSE())/100,0)</f>
        <v>#DIV/0!</v>
      </c>
      <c r="W57" s="41" t="n">
        <f aca="false">IF($F$19=4,$BK57,$F$18)</f>
        <v>5.3983</v>
      </c>
      <c r="X57" s="136"/>
      <c r="Y57" s="40" t="n">
        <f aca="false">IF(Y$28="nymex",0,VLOOKUP($A57,curvesettle,HLOOKUP(Y$28,curvesettle,2,FALSE())))</f>
        <v>-0.055</v>
      </c>
      <c r="Z57" s="131" t="n">
        <f aca="false">IF(ISNUMBER(VLOOKUP($A57,VOLCURVES,HLOOKUP(Y$28,VOLCURVES,2,FALSE()),FALSE())),VLOOKUP($A57,VOLCURVES,HLOOKUP(Y$28,VOLCURVES,2,FALSE()),FALSE()),1)</f>
        <v>1</v>
      </c>
      <c r="AA57" s="136" t="n">
        <f aca="false">IF(Y$28="NYMEX",$AG57,$AF57)</f>
        <v>-8340</v>
      </c>
      <c r="AB57" s="4" t="e">
        <f aca="false">(($C57+AC57)*$Z57)+H$15</f>
        <v>#DIV/0!</v>
      </c>
      <c r="AC57" s="4" t="e">
        <f aca="false">IF($H$16=1,VLOOKUP($A57,SkewTable,HLOOKUP(ROUND(AD57-BV57,1),SkewTable,2,FALSE()),FALSE())/100,0)</f>
        <v>#DIV/0!</v>
      </c>
      <c r="AD57" s="41" t="n">
        <f aca="false">IF($H$19=4,$BV57,$H$18)</f>
        <v>5.4668</v>
      </c>
      <c r="AF57" s="136" t="n">
        <f aca="false">VLOOKUP($A57,expiration,2,FALSE())-$B$2</f>
        <v>-8340</v>
      </c>
      <c r="AG57" s="136" t="n">
        <f aca="false">VLOOKUP($A57,expiration,3,FALSE())-$B$2</f>
        <v>-8341</v>
      </c>
      <c r="AH57" s="4" t="n">
        <f aca="false">VLOOKUP($A57,STRADDLE,12,FALSE())</f>
        <v>0.067186058483608</v>
      </c>
      <c r="AI57" s="43" t="n">
        <f aca="false">A58-A57</f>
        <v>31</v>
      </c>
      <c r="AL57" s="136"/>
      <c r="AM57" s="9"/>
      <c r="AN57" s="9" t="n">
        <f aca="false">IF($A57&gt;=AO$25,IF($A57&lt;=AO$26,$AI57,0),0)</f>
        <v>0</v>
      </c>
      <c r="AO57" s="9" t="e">
        <f aca="false">AQ57/AN57</f>
        <v>#DIV/0!</v>
      </c>
      <c r="AP57" s="1" t="n">
        <f aca="false">AN57*($B57+B$13)</f>
        <v>0</v>
      </c>
      <c r="AQ57" s="33" t="n">
        <f aca="false">IF(ISNUMBER(((AP57/AN57)+B$14+$D57)*AN57),((AP57/AN57)+B$14+$D57)*AN57,0)</f>
        <v>0</v>
      </c>
      <c r="AR57" s="44" t="n">
        <f aca="false">IF(AN57=0,0,bsd(1,AS$27,AO57,$I57,$F57,$G57,$AH57,0.1))</f>
        <v>0</v>
      </c>
      <c r="AS57" s="44" t="n">
        <f aca="false">IF(AN57=0,0,bsd(2,AS$27,AO57,$I57,$F57,$G57,$AH57,0.1))</f>
        <v>0</v>
      </c>
      <c r="AT57" s="44" t="n">
        <f aca="false">IF(AN57=0,0,bsd(AS$28,AS$27,AO57,$I57,$F57,$G57,$AH57,0.1))</f>
        <v>0</v>
      </c>
      <c r="AU57" s="45" t="n">
        <f aca="false">AN57*AR57</f>
        <v>0</v>
      </c>
      <c r="AV57" s="45" t="n">
        <f aca="false">AN57*AS57</f>
        <v>0</v>
      </c>
      <c r="AW57" s="45" t="n">
        <f aca="false">AN57*AT57</f>
        <v>0</v>
      </c>
      <c r="AY57" s="9" t="n">
        <f aca="false">IF($A57&gt;=AZ$25,IF($A57&lt;=AZ$26,$AI57,0),0)</f>
        <v>0</v>
      </c>
      <c r="AZ57" s="9" t="e">
        <f aca="false">BB57/AY57</f>
        <v>#DIV/0!</v>
      </c>
      <c r="BA57" s="1" t="n">
        <f aca="false">AY57*($B57+D$13)</f>
        <v>0</v>
      </c>
      <c r="BB57" s="33" t="n">
        <f aca="false">IF(ISNUMBER(((BA57/AY57)+D$14+$K57)*AY57),((BA57/AY57)+D$14+$K57)*AY57,0)</f>
        <v>0</v>
      </c>
      <c r="BC57" s="44" t="n">
        <f aca="false">IF(AY57=0,0,bsd(1,BD$27,AZ57,$P57,$M57,$N57,$AH57,0.1))</f>
        <v>0</v>
      </c>
      <c r="BD57" s="44" t="n">
        <f aca="false">IF(AY57=0,0,bsd(2,BD$27,AZ57,$P57,$M57,$N57,$AH57,0.1))</f>
        <v>0</v>
      </c>
      <c r="BE57" s="44" t="n">
        <f aca="false">IF(AY57=0,0,bsd(BD$28,BD$27,AZ57,$P57,$M57,$N57,$AH57,0.1))</f>
        <v>0</v>
      </c>
      <c r="BF57" s="45" t="n">
        <f aca="false">AY57*BC57</f>
        <v>0</v>
      </c>
      <c r="BG57" s="45" t="n">
        <f aca="false">AY57*BD57</f>
        <v>0</v>
      </c>
      <c r="BH57" s="45" t="n">
        <f aca="false">AY57*BE57</f>
        <v>0</v>
      </c>
      <c r="BJ57" s="9" t="n">
        <f aca="false">IF($A57&gt;=BK$25,IF($A57&lt;=BK$26,$AI57,0),0)</f>
        <v>0</v>
      </c>
      <c r="BK57" s="9" t="e">
        <f aca="false">BM57/BJ57</f>
        <v>#DIV/0!</v>
      </c>
      <c r="BL57" s="1" t="n">
        <f aca="false">BJ57*($B57+F$13)</f>
        <v>0</v>
      </c>
      <c r="BM57" s="33" t="n">
        <f aca="false">IF(ISNUMBER(((BL57/BJ57)+F$14+$R57)*BJ57),((BL57/BJ57)+F$14+$R57)*BJ57,0)</f>
        <v>0</v>
      </c>
      <c r="BN57" s="44" t="n">
        <f aca="false">IF(BJ57=0,0,bsd(1,BO$27,BK57,$W57,$T57,$U57,$AH57,0.1))</f>
        <v>0</v>
      </c>
      <c r="BO57" s="44" t="n">
        <f aca="false">IF(BJ57=0,0,bsd(2,BO$27,BK57,$W57,$T57,$U57,$AH57,0.1))</f>
        <v>0</v>
      </c>
      <c r="BP57" s="44" t="n">
        <f aca="false">IF(BJ57=0,0,bsd(BO$28,BO$27,BK57,$W57,$T57,$U57,$AH57,0.1))</f>
        <v>0</v>
      </c>
      <c r="BQ57" s="45" t="n">
        <f aca="false">BJ57*BN57</f>
        <v>0</v>
      </c>
      <c r="BR57" s="45" t="n">
        <f aca="false">BJ57*BO57</f>
        <v>0</v>
      </c>
      <c r="BS57" s="45" t="n">
        <f aca="false">BJ57*BP57</f>
        <v>0</v>
      </c>
      <c r="BU57" s="9" t="n">
        <f aca="false">IF($A57&gt;=BV$25,IF($A57&lt;=BV$26,$AI57,0),0)</f>
        <v>0</v>
      </c>
      <c r="BV57" s="9" t="e">
        <f aca="false">BX57/BU57</f>
        <v>#DIV/0!</v>
      </c>
      <c r="BW57" s="1" t="n">
        <f aca="false">BU57*($B57+H$13)</f>
        <v>0</v>
      </c>
      <c r="BX57" s="33" t="n">
        <f aca="false">IF(ISNUMBER(((BW57/BU57)+H$14+$Y57)*BU57),((BW57/BU57)+H$14+$Y57)*BU57,0)</f>
        <v>0</v>
      </c>
      <c r="BY57" s="44" t="n">
        <f aca="false">IF(BU57=0,0,bsd(1,BZ$27,BV57,$AD57,$AA57,$AB57,$AH57,0.1))</f>
        <v>0</v>
      </c>
      <c r="BZ57" s="44" t="n">
        <f aca="false">IF(BU57=0,0,bsd(2,BZ$27,BV57,$AD57,$AA57,$AB57,$AH57,0.1))</f>
        <v>0</v>
      </c>
      <c r="CA57" s="44" t="n">
        <f aca="false">IF(BU57=0,0,bsd(BZ$28,BZ$27,BV57,$AD57,$AA57,$AB57,$AH57,0.1))</f>
        <v>0</v>
      </c>
      <c r="CB57" s="45" t="n">
        <f aca="false">BU57*BY57</f>
        <v>0</v>
      </c>
      <c r="CC57" s="45" t="n">
        <f aca="false">BU57*BZ57</f>
        <v>0</v>
      </c>
      <c r="CD57" s="45" t="n">
        <f aca="false">BU57*CA57</f>
        <v>0</v>
      </c>
    </row>
    <row r="58" customFormat="false" ht="12.75" hidden="false" customHeight="false" outlineLevel="0" collapsed="false">
      <c r="A58" s="48" t="n">
        <f aca="false">DATE(YEAR(A57),MONTH(A57)+1,1)</f>
        <v>37622</v>
      </c>
      <c r="B58" s="40" t="n">
        <f aca="false">VLOOKUP(A58,STRADDLE,5,FALSE())</f>
        <v>3.857</v>
      </c>
      <c r="C58" s="4" t="n">
        <f aca="false">VLOOKUP(A58,STRADDLE,8,FALSE())</f>
        <v>0.29</v>
      </c>
      <c r="D58" s="40" t="n">
        <f aca="false">IF(D$28="nymex",0,VLOOKUP($A58,curvesettle,HLOOKUP(D$28,curvesettle,2,FALSE())))</f>
        <v>1.5</v>
      </c>
      <c r="E58" s="131" t="n">
        <f aca="false">IF(ISNUMBER(VLOOKUP($A58,VOLCURVES,HLOOKUP(D$28,VOLCURVES,2,FALSE()),FALSE())),VLOOKUP($A58,VOLCURVES,HLOOKUP(D$28,VOLCURVES,2,FALSE()),FALSE()),1)</f>
        <v>1.1</v>
      </c>
      <c r="F58" s="136" t="n">
        <f aca="false">IF(D$28="NYMEX",$AG58,$AF58)</f>
        <v>-8309</v>
      </c>
      <c r="G58" s="4" t="e">
        <f aca="false">(($C58+H58)*$E58)+B$15</f>
        <v>#DIV/0!</v>
      </c>
      <c r="H58" s="4" t="e">
        <f aca="false">IF($B$16=1,VLOOKUP($A58,SkewTable,HLOOKUP(ROUND(I58-AO58,1),SkewTable,2,FALSE()),FALSE())/100,0)</f>
        <v>#DIV/0!</v>
      </c>
      <c r="I58" s="41" t="n">
        <f aca="false">IF($B$19=4,$AO58,$B$18)</f>
        <v>5.05</v>
      </c>
      <c r="K58" s="40" t="n">
        <f aca="false">IF(K$28="nymex",0,VLOOKUP($A58,curvesettle,HLOOKUP(K$28,curvesettle,2,FALSE())))</f>
        <v>0.25</v>
      </c>
      <c r="L58" s="131" t="n">
        <f aca="false">IF(ISNUMBER(VLOOKUP($A58,VOLCURVES,HLOOKUP(K$28,VOLCURVES,2,FALSE()),FALSE())),VLOOKUP($A58,VOLCURVES,HLOOKUP(K$28,VOLCURVES,2,FALSE()),FALSE()),1)</f>
        <v>1</v>
      </c>
      <c r="M58" s="136" t="n">
        <f aca="false">IF(K$28="NYMEX",$AG58,$AF58)</f>
        <v>-8309</v>
      </c>
      <c r="N58" s="153" t="e">
        <f aca="false">(($C58+O58)*$L58)+D$15</f>
        <v>#DIV/0!</v>
      </c>
      <c r="O58" s="4" t="e">
        <f aca="false">IF($D$16=1,VLOOKUP($A58,SkewTable,HLOOKUP(ROUND(P58-AZ58,1),SkewTable,2,FALSE()),FALSE())/100,0)</f>
        <v>#DIV/0!</v>
      </c>
      <c r="P58" s="41" t="n">
        <f aca="false">IF($D$19=4,$AZ58,$D$18)</f>
        <v>5.1</v>
      </c>
      <c r="R58" s="40" t="n">
        <f aca="false">IF(R$28="nymex",0,VLOOKUP($A58,curvesettle,HLOOKUP(R$28,curvesettle,2,FALSE())))</f>
        <v>-0.0575</v>
      </c>
      <c r="S58" s="131" t="n">
        <f aca="false">IF(ISNUMBER(VLOOKUP($A58,VOLCURVES,HLOOKUP(R$28,VOLCURVES,2,FALSE()),FALSE())),VLOOKUP($A58,VOLCURVES,HLOOKUP(R$28,VOLCURVES,2,FALSE()),FALSE()),1)</f>
        <v>1</v>
      </c>
      <c r="T58" s="136" t="n">
        <f aca="false">IF(R$28="NYMEX",$AG58,$AF58)</f>
        <v>-8309</v>
      </c>
      <c r="U58" s="153" t="e">
        <f aca="false">(($C58+V58)*$S58)+F$15</f>
        <v>#DIV/0!</v>
      </c>
      <c r="V58" s="4" t="e">
        <f aca="false">IF($F$16=1,VLOOKUP($A58,SkewTable,HLOOKUP(ROUND(W58-BK58,1),SkewTable,2,FALSE()),FALSE())/100,0)</f>
        <v>#DIV/0!</v>
      </c>
      <c r="W58" s="41" t="n">
        <f aca="false">IF($F$19=4,$BK58,$F$18)</f>
        <v>5.3983</v>
      </c>
      <c r="X58" s="136"/>
      <c r="Y58" s="40" t="n">
        <f aca="false">IF(Y$28="nymex",0,VLOOKUP($A58,curvesettle,HLOOKUP(Y$28,curvesettle,2,FALSE())))</f>
        <v>-0.0575</v>
      </c>
      <c r="Z58" s="131" t="n">
        <f aca="false">IF(ISNUMBER(VLOOKUP($A58,VOLCURVES,HLOOKUP(Y$28,VOLCURVES,2,FALSE()),FALSE())),VLOOKUP($A58,VOLCURVES,HLOOKUP(Y$28,VOLCURVES,2,FALSE()),FALSE()),1)</f>
        <v>1</v>
      </c>
      <c r="AA58" s="136" t="n">
        <f aca="false">IF(Y$28="NYMEX",$AG58,$AF58)</f>
        <v>-8309</v>
      </c>
      <c r="AB58" s="4" t="e">
        <f aca="false">(($C58+AC58)*$Z58)+H$15</f>
        <v>#DIV/0!</v>
      </c>
      <c r="AC58" s="4" t="e">
        <f aca="false">IF($H$16=1,VLOOKUP($A58,SkewTable,HLOOKUP(ROUND(AD58-BV58,1),SkewTable,2,FALSE()),FALSE())/100,0)</f>
        <v>#DIV/0!</v>
      </c>
      <c r="AD58" s="41" t="n">
        <f aca="false">IF($H$19=4,$BV58,$H$18)</f>
        <v>5.4668</v>
      </c>
      <c r="AF58" s="136" t="n">
        <f aca="false">VLOOKUP($A58,expiration,2,FALSE())-$B$2</f>
        <v>-8309</v>
      </c>
      <c r="AG58" s="136" t="n">
        <f aca="false">VLOOKUP($A58,expiration,3,FALSE())-$B$2</f>
        <v>-8310</v>
      </c>
      <c r="AH58" s="4" t="n">
        <f aca="false">VLOOKUP($A58,STRADDLE,12,FALSE())</f>
        <v>0.067193160128611</v>
      </c>
      <c r="AI58" s="43" t="n">
        <f aca="false">A59-A58</f>
        <v>31</v>
      </c>
      <c r="AL58" s="136"/>
      <c r="AM58" s="9"/>
      <c r="AN58" s="9" t="n">
        <f aca="false">IF($A58&gt;=AO$25,IF($A58&lt;=AO$26,$AI58,0),0)</f>
        <v>0</v>
      </c>
      <c r="AO58" s="9" t="e">
        <f aca="false">AQ58/AN58</f>
        <v>#DIV/0!</v>
      </c>
      <c r="AP58" s="1" t="n">
        <f aca="false">AN58*($B58+B$13)</f>
        <v>0</v>
      </c>
      <c r="AQ58" s="33" t="n">
        <f aca="false">IF(ISNUMBER(((AP58/AN58)+B$14+$D58)*AN58),((AP58/AN58)+B$14+$D58)*AN58,0)</f>
        <v>0</v>
      </c>
      <c r="AR58" s="44" t="n">
        <f aca="false">IF(AN58=0,0,bsd(1,AS$27,AO58,$I58,$F58,$G58,$AH58,0.1))</f>
        <v>0</v>
      </c>
      <c r="AS58" s="44" t="n">
        <f aca="false">IF(AN58=0,0,bsd(2,AS$27,AO58,$I58,$F58,$G58,$AH58,0.1))</f>
        <v>0</v>
      </c>
      <c r="AT58" s="44" t="n">
        <f aca="false">IF(AN58=0,0,bsd(AS$28,AS$27,AO58,$I58,$F58,$G58,$AH58,0.1))</f>
        <v>0</v>
      </c>
      <c r="AU58" s="45" t="n">
        <f aca="false">AN58*AR58</f>
        <v>0</v>
      </c>
      <c r="AV58" s="45" t="n">
        <f aca="false">AN58*AS58</f>
        <v>0</v>
      </c>
      <c r="AW58" s="45" t="n">
        <f aca="false">AN58*AT58</f>
        <v>0</v>
      </c>
      <c r="AY58" s="9" t="n">
        <f aca="false">IF($A58&gt;=AZ$25,IF($A58&lt;=AZ$26,$AI58,0),0)</f>
        <v>0</v>
      </c>
      <c r="AZ58" s="9" t="e">
        <f aca="false">BB58/AY58</f>
        <v>#DIV/0!</v>
      </c>
      <c r="BA58" s="1" t="n">
        <f aca="false">AY58*($B58+D$13)</f>
        <v>0</v>
      </c>
      <c r="BB58" s="33" t="n">
        <f aca="false">IF(ISNUMBER(((BA58/AY58)+D$14+$K58)*AY58),((BA58/AY58)+D$14+$K58)*AY58,0)</f>
        <v>0</v>
      </c>
      <c r="BC58" s="44" t="n">
        <f aca="false">IF(AY58=0,0,bsd(1,BD$27,AZ58,$P58,$M58,$N58,$AH58,0.1))</f>
        <v>0</v>
      </c>
      <c r="BD58" s="44" t="n">
        <f aca="false">IF(AY58=0,0,bsd(2,BD$27,AZ58,$P58,$M58,$N58,$AH58,0.1))</f>
        <v>0</v>
      </c>
      <c r="BE58" s="44" t="n">
        <f aca="false">IF(AY58=0,0,bsd(BD$28,BD$27,AZ58,$P58,$M58,$N58,$AH58,0.1))</f>
        <v>0</v>
      </c>
      <c r="BF58" s="45" t="n">
        <f aca="false">AY58*BC58</f>
        <v>0</v>
      </c>
      <c r="BG58" s="45" t="n">
        <f aca="false">AY58*BD58</f>
        <v>0</v>
      </c>
      <c r="BH58" s="45" t="n">
        <f aca="false">AY58*BE58</f>
        <v>0</v>
      </c>
      <c r="BJ58" s="9" t="n">
        <f aca="false">IF($A58&gt;=BK$25,IF($A58&lt;=BK$26,$AI58,0),0)</f>
        <v>0</v>
      </c>
      <c r="BK58" s="9" t="e">
        <f aca="false">BM58/BJ58</f>
        <v>#DIV/0!</v>
      </c>
      <c r="BL58" s="1" t="n">
        <f aca="false">BJ58*($B58+F$13)</f>
        <v>0</v>
      </c>
      <c r="BM58" s="33" t="n">
        <f aca="false">IF(ISNUMBER(((BL58/BJ58)+F$14+$R58)*BJ58),((BL58/BJ58)+F$14+$R58)*BJ58,0)</f>
        <v>0</v>
      </c>
      <c r="BN58" s="44" t="n">
        <f aca="false">IF(BJ58=0,0,bsd(1,BO$27,BK58,$W58,$T58,$U58,$AH58,0.1))</f>
        <v>0</v>
      </c>
      <c r="BO58" s="44" t="n">
        <f aca="false">IF(BJ58=0,0,bsd(2,BO$27,BK58,$W58,$T58,$U58,$AH58,0.1))</f>
        <v>0</v>
      </c>
      <c r="BP58" s="44" t="n">
        <f aca="false">IF(BJ58=0,0,bsd(BO$28,BO$27,BK58,$W58,$T58,$U58,$AH58,0.1))</f>
        <v>0</v>
      </c>
      <c r="BQ58" s="45" t="n">
        <f aca="false">BJ58*BN58</f>
        <v>0</v>
      </c>
      <c r="BR58" s="45" t="n">
        <f aca="false">BJ58*BO58</f>
        <v>0</v>
      </c>
      <c r="BS58" s="45" t="n">
        <f aca="false">BJ58*BP58</f>
        <v>0</v>
      </c>
      <c r="BU58" s="9" t="n">
        <f aca="false">IF($A58&gt;=BV$25,IF($A58&lt;=BV$26,$AI58,0),0)</f>
        <v>0</v>
      </c>
      <c r="BV58" s="9" t="e">
        <f aca="false">BX58/BU58</f>
        <v>#DIV/0!</v>
      </c>
      <c r="BW58" s="1" t="n">
        <f aca="false">BU58*($B58+H$13)</f>
        <v>0</v>
      </c>
      <c r="BX58" s="33" t="n">
        <f aca="false">IF(ISNUMBER(((BW58/BU58)+H$14+$Y58)*BU58),((BW58/BU58)+H$14+$Y58)*BU58,0)</f>
        <v>0</v>
      </c>
      <c r="BY58" s="44" t="n">
        <f aca="false">IF(BU58=0,0,bsd(1,BZ$27,BV58,$AD58,$AA58,$AB58,$AH58,0.1))</f>
        <v>0</v>
      </c>
      <c r="BZ58" s="44" t="n">
        <f aca="false">IF(BU58=0,0,bsd(2,BZ$27,BV58,$AD58,$AA58,$AB58,$AH58,0.1))</f>
        <v>0</v>
      </c>
      <c r="CA58" s="44" t="n">
        <f aca="false">IF(BU58=0,0,bsd(BZ$28,BZ$27,BV58,$AD58,$AA58,$AB58,$AH58,0.1))</f>
        <v>0</v>
      </c>
      <c r="CB58" s="45" t="n">
        <f aca="false">BU58*BY58</f>
        <v>0</v>
      </c>
      <c r="CC58" s="45" t="n">
        <f aca="false">BU58*BZ58</f>
        <v>0</v>
      </c>
      <c r="CD58" s="45" t="n">
        <f aca="false">BU58*CA58</f>
        <v>0</v>
      </c>
    </row>
    <row r="59" customFormat="false" ht="12.75" hidden="false" customHeight="false" outlineLevel="0" collapsed="false">
      <c r="A59" s="48" t="n">
        <f aca="false">DATE(YEAR(A58),MONTH(A58)+1,1)</f>
        <v>37653</v>
      </c>
      <c r="B59" s="40" t="n">
        <f aca="false">VLOOKUP(A59,STRADDLE,5,FALSE())</f>
        <v>3.695</v>
      </c>
      <c r="C59" s="4" t="n">
        <f aca="false">VLOOKUP(A59,STRADDLE,8,FALSE())</f>
        <v>0.2875</v>
      </c>
      <c r="D59" s="40" t="n">
        <f aca="false">IF(D$28="nymex",0,VLOOKUP($A59,curvesettle,HLOOKUP(D$28,curvesettle,2,FALSE())))</f>
        <v>1.45</v>
      </c>
      <c r="E59" s="131" t="n">
        <f aca="false">IF(ISNUMBER(VLOOKUP($A59,VOLCURVES,HLOOKUP(D$28,VOLCURVES,2,FALSE()),FALSE())),VLOOKUP($A59,VOLCURVES,HLOOKUP(D$28,VOLCURVES,2,FALSE()),FALSE()),1)</f>
        <v>1.1</v>
      </c>
      <c r="F59" s="136" t="n">
        <f aca="false">IF(D$28="NYMEX",$AG59,$AF59)</f>
        <v>-8276</v>
      </c>
      <c r="G59" s="4" t="e">
        <f aca="false">(($C59+H59)*$E59)+B$15</f>
        <v>#DIV/0!</v>
      </c>
      <c r="H59" s="4" t="e">
        <f aca="false">IF($B$16=1,VLOOKUP($A59,SkewTable,HLOOKUP(ROUND(I59-AO59,1),SkewTable,2,FALSE()),FALSE())/100,0)</f>
        <v>#DIV/0!</v>
      </c>
      <c r="I59" s="41" t="n">
        <f aca="false">IF($B$19=4,$AO59,$B$18)</f>
        <v>5.05</v>
      </c>
      <c r="K59" s="40" t="n">
        <f aca="false">IF(K$28="nymex",0,VLOOKUP($A59,curvesettle,HLOOKUP(K$28,curvesettle,2,FALSE())))</f>
        <v>0.25</v>
      </c>
      <c r="L59" s="131" t="n">
        <f aca="false">IF(ISNUMBER(VLOOKUP($A59,VOLCURVES,HLOOKUP(K$28,VOLCURVES,2,FALSE()),FALSE())),VLOOKUP($A59,VOLCURVES,HLOOKUP(K$28,VOLCURVES,2,FALSE()),FALSE()),1)</f>
        <v>1</v>
      </c>
      <c r="M59" s="136" t="n">
        <f aca="false">IF(K$28="NYMEX",$AG59,$AF59)</f>
        <v>-8276</v>
      </c>
      <c r="N59" s="153" t="e">
        <f aca="false">(($C59+O59)*$L59)+D$15</f>
        <v>#DIV/0!</v>
      </c>
      <c r="O59" s="4" t="e">
        <f aca="false">IF($D$16=1,VLOOKUP($A59,SkewTable,HLOOKUP(ROUND(P59-AZ59,1),SkewTable,2,FALSE()),FALSE())/100,0)</f>
        <v>#DIV/0!</v>
      </c>
      <c r="P59" s="41" t="n">
        <f aca="false">IF($D$19=4,$AZ59,$D$18)</f>
        <v>5.1</v>
      </c>
      <c r="R59" s="40" t="n">
        <f aca="false">IF(R$28="nymex",0,VLOOKUP($A59,curvesettle,HLOOKUP(R$28,curvesettle,2,FALSE())))</f>
        <v>-0.04</v>
      </c>
      <c r="S59" s="131" t="n">
        <f aca="false">IF(ISNUMBER(VLOOKUP($A59,VOLCURVES,HLOOKUP(R$28,VOLCURVES,2,FALSE()),FALSE())),VLOOKUP($A59,VOLCURVES,HLOOKUP(R$28,VOLCURVES,2,FALSE()),FALSE()),1)</f>
        <v>1</v>
      </c>
      <c r="T59" s="136" t="n">
        <f aca="false">IF(R$28="NYMEX",$AG59,$AF59)</f>
        <v>-8276</v>
      </c>
      <c r="U59" s="153" t="e">
        <f aca="false">(($C59+V59)*$S59)+F$15</f>
        <v>#DIV/0!</v>
      </c>
      <c r="V59" s="4" t="e">
        <f aca="false">IF($F$16=1,VLOOKUP($A59,SkewTable,HLOOKUP(ROUND(W59-BK59,1),SkewTable,2,FALSE()),FALSE())/100,0)</f>
        <v>#DIV/0!</v>
      </c>
      <c r="W59" s="41" t="n">
        <f aca="false">IF($F$19=4,$BK59,$F$18)</f>
        <v>5.3983</v>
      </c>
      <c r="X59" s="136"/>
      <c r="Y59" s="40" t="n">
        <f aca="false">IF(Y$28="nymex",0,VLOOKUP($A59,curvesettle,HLOOKUP(Y$28,curvesettle,2,FALSE())))</f>
        <v>-0.04</v>
      </c>
      <c r="Z59" s="131" t="n">
        <f aca="false">IF(ISNUMBER(VLOOKUP($A59,VOLCURVES,HLOOKUP(Y$28,VOLCURVES,2,FALSE()),FALSE())),VLOOKUP($A59,VOLCURVES,HLOOKUP(Y$28,VOLCURVES,2,FALSE()),FALSE()),1)</f>
        <v>1</v>
      </c>
      <c r="AA59" s="136" t="n">
        <f aca="false">IF(Y$28="NYMEX",$AG59,$AF59)</f>
        <v>-8276</v>
      </c>
      <c r="AB59" s="4" t="e">
        <f aca="false">(($C59+AC59)*$Z59)+H$15</f>
        <v>#DIV/0!</v>
      </c>
      <c r="AC59" s="4" t="e">
        <f aca="false">IF($H$16=1,VLOOKUP($A59,SkewTable,HLOOKUP(ROUND(AD59-BV59,1),SkewTable,2,FALSE()),FALSE())/100,0)</f>
        <v>#DIV/0!</v>
      </c>
      <c r="AD59" s="41" t="n">
        <f aca="false">IF($H$19=4,$BV59,$H$18)</f>
        <v>5.4668</v>
      </c>
      <c r="AF59" s="136" t="n">
        <f aca="false">VLOOKUP($A59,expiration,2,FALSE())-$B$2</f>
        <v>-8276</v>
      </c>
      <c r="AG59" s="136" t="n">
        <f aca="false">VLOOKUP($A59,expiration,3,FALSE())-$B$2</f>
        <v>-8277</v>
      </c>
      <c r="AH59" s="4" t="n">
        <f aca="false">VLOOKUP($A59,STRADDLE,12,FALSE())</f>
        <v>0.067214109584478</v>
      </c>
      <c r="AI59" s="43" t="n">
        <f aca="false">A60-A59</f>
        <v>28</v>
      </c>
      <c r="AL59" s="136"/>
      <c r="AM59" s="9"/>
      <c r="AN59" s="9" t="n">
        <f aca="false">IF($A59&gt;=AO$25,IF($A59&lt;=AO$26,$AI59,0),0)</f>
        <v>0</v>
      </c>
      <c r="AO59" s="9" t="e">
        <f aca="false">AQ59/AN59</f>
        <v>#DIV/0!</v>
      </c>
      <c r="AP59" s="1" t="n">
        <f aca="false">AN59*($B59+B$13)</f>
        <v>0</v>
      </c>
      <c r="AQ59" s="33" t="n">
        <f aca="false">IF(ISNUMBER(((AP59/AN59)+B$14+$D59)*AN59),((AP59/AN59)+B$14+$D59)*AN59,0)</f>
        <v>0</v>
      </c>
      <c r="AR59" s="44" t="n">
        <f aca="false">IF(AN59=0,0,bsd(1,AS$27,AO59,$I59,$F59,$G59,$AH59,0.1))</f>
        <v>0</v>
      </c>
      <c r="AS59" s="44" t="n">
        <f aca="false">IF(AN59=0,0,bsd(2,AS$27,AO59,$I59,$F59,$G59,$AH59,0.1))</f>
        <v>0</v>
      </c>
      <c r="AT59" s="44" t="n">
        <f aca="false">IF(AN59=0,0,bsd(AS$28,AS$27,AO59,$I59,$F59,$G59,$AH59,0.1))</f>
        <v>0</v>
      </c>
      <c r="AU59" s="45" t="n">
        <f aca="false">AN59*AR59</f>
        <v>0</v>
      </c>
      <c r="AV59" s="45" t="n">
        <f aca="false">AN59*AS59</f>
        <v>0</v>
      </c>
      <c r="AW59" s="45" t="n">
        <f aca="false">AN59*AT59</f>
        <v>0</v>
      </c>
      <c r="AY59" s="9" t="n">
        <f aca="false">IF($A59&gt;=AZ$25,IF($A59&lt;=AZ$26,$AI59,0),0)</f>
        <v>0</v>
      </c>
      <c r="AZ59" s="9" t="e">
        <f aca="false">BB59/AY59</f>
        <v>#DIV/0!</v>
      </c>
      <c r="BA59" s="1" t="n">
        <f aca="false">AY59*($B59+D$13)</f>
        <v>0</v>
      </c>
      <c r="BB59" s="33" t="n">
        <f aca="false">IF(ISNUMBER(((BA59/AY59)+D$14+$K59)*AY59),((BA59/AY59)+D$14+$K59)*AY59,0)</f>
        <v>0</v>
      </c>
      <c r="BC59" s="44" t="n">
        <f aca="false">IF(AY59=0,0,bsd(1,BD$27,AZ59,$P59,$M59,$N59,$AH59,0.1))</f>
        <v>0</v>
      </c>
      <c r="BD59" s="44" t="n">
        <f aca="false">IF(AY59=0,0,bsd(2,BD$27,AZ59,$P59,$M59,$N59,$AH59,0.1))</f>
        <v>0</v>
      </c>
      <c r="BE59" s="44" t="n">
        <f aca="false">IF(AY59=0,0,bsd(BD$28,BD$27,AZ59,$P59,$M59,$N59,$AH59,0.1))</f>
        <v>0</v>
      </c>
      <c r="BF59" s="45" t="n">
        <f aca="false">AY59*BC59</f>
        <v>0</v>
      </c>
      <c r="BG59" s="45" t="n">
        <f aca="false">AY59*BD59</f>
        <v>0</v>
      </c>
      <c r="BH59" s="45" t="n">
        <f aca="false">AY59*BE59</f>
        <v>0</v>
      </c>
      <c r="BJ59" s="9" t="n">
        <f aca="false">IF($A59&gt;=BK$25,IF($A59&lt;=BK$26,$AI59,0),0)</f>
        <v>0</v>
      </c>
      <c r="BK59" s="9" t="e">
        <f aca="false">BM59/BJ59</f>
        <v>#DIV/0!</v>
      </c>
      <c r="BL59" s="1" t="n">
        <f aca="false">BJ59*($B59+F$13)</f>
        <v>0</v>
      </c>
      <c r="BM59" s="33" t="n">
        <f aca="false">IF(ISNUMBER(((BL59/BJ59)+F$14+$R59)*BJ59),((BL59/BJ59)+F$14+$R59)*BJ59,0)</f>
        <v>0</v>
      </c>
      <c r="BN59" s="44" t="n">
        <f aca="false">IF(BJ59=0,0,bsd(1,BO$27,BK59,$W59,$T59,$U59,$AH59,0.1))</f>
        <v>0</v>
      </c>
      <c r="BO59" s="44" t="n">
        <f aca="false">IF(BJ59=0,0,bsd(2,BO$27,BK59,$W59,$T59,$U59,$AH59,0.1))</f>
        <v>0</v>
      </c>
      <c r="BP59" s="44" t="n">
        <f aca="false">IF(BJ59=0,0,bsd(BO$28,BO$27,BK59,$W59,$T59,$U59,$AH59,0.1))</f>
        <v>0</v>
      </c>
      <c r="BQ59" s="45" t="n">
        <f aca="false">BJ59*BN59</f>
        <v>0</v>
      </c>
      <c r="BR59" s="45" t="n">
        <f aca="false">BJ59*BO59</f>
        <v>0</v>
      </c>
      <c r="BS59" s="45" t="n">
        <f aca="false">BJ59*BP59</f>
        <v>0</v>
      </c>
      <c r="BU59" s="9" t="n">
        <f aca="false">IF($A59&gt;=BV$25,IF($A59&lt;=BV$26,$AI59,0),0)</f>
        <v>0</v>
      </c>
      <c r="BV59" s="9" t="e">
        <f aca="false">BX59/BU59</f>
        <v>#DIV/0!</v>
      </c>
      <c r="BW59" s="1" t="n">
        <f aca="false">BU59*($B59+H$13)</f>
        <v>0</v>
      </c>
      <c r="BX59" s="33" t="n">
        <f aca="false">IF(ISNUMBER(((BW59/BU59)+H$14+$Y59)*BU59),((BW59/BU59)+H$14+$Y59)*BU59,0)</f>
        <v>0</v>
      </c>
      <c r="BY59" s="44" t="n">
        <f aca="false">IF(BU59=0,0,bsd(1,BZ$27,BV59,$AD59,$AA59,$AB59,$AH59,0.1))</f>
        <v>0</v>
      </c>
      <c r="BZ59" s="44" t="n">
        <f aca="false">IF(BU59=0,0,bsd(2,BZ$27,BV59,$AD59,$AA59,$AB59,$AH59,0.1))</f>
        <v>0</v>
      </c>
      <c r="CA59" s="44" t="n">
        <f aca="false">IF(BU59=0,0,bsd(BZ$28,BZ$27,BV59,$AD59,$AA59,$AB59,$AH59,0.1))</f>
        <v>0</v>
      </c>
      <c r="CB59" s="45" t="n">
        <f aca="false">BU59*BY59</f>
        <v>0</v>
      </c>
      <c r="CC59" s="45" t="n">
        <f aca="false">BU59*BZ59</f>
        <v>0</v>
      </c>
      <c r="CD59" s="45" t="n">
        <f aca="false">BU59*CA59</f>
        <v>0</v>
      </c>
    </row>
    <row r="60" customFormat="false" ht="12.75" hidden="false" customHeight="false" outlineLevel="0" collapsed="false">
      <c r="A60" s="48" t="n">
        <f aca="false">DATE(YEAR(A59),MONTH(A59)+1,1)</f>
        <v>37681</v>
      </c>
      <c r="B60" s="40" t="n">
        <f aca="false">VLOOKUP(A60,STRADDLE,5,FALSE())</f>
        <v>3.512</v>
      </c>
      <c r="C60" s="4" t="n">
        <f aca="false">VLOOKUP(A60,STRADDLE,8,FALSE())</f>
        <v>0.2775</v>
      </c>
      <c r="D60" s="40" t="n">
        <f aca="false">IF(D$28="nymex",0,VLOOKUP($A60,curvesettle,HLOOKUP(D$28,curvesettle,2,FALSE())))</f>
        <v>0.85</v>
      </c>
      <c r="E60" s="131" t="n">
        <f aca="false">IF(ISNUMBER(VLOOKUP($A60,VOLCURVES,HLOOKUP(D$28,VOLCURVES,2,FALSE()),FALSE())),VLOOKUP($A60,VOLCURVES,HLOOKUP(D$28,VOLCURVES,2,FALSE()),FALSE()),1)</f>
        <v>1.1</v>
      </c>
      <c r="F60" s="136" t="n">
        <f aca="false">IF(D$28="NYMEX",$AG60,$AF60)</f>
        <v>-8248</v>
      </c>
      <c r="G60" s="4" t="e">
        <f aca="false">(($C60+H60)*$E60)+B$15</f>
        <v>#DIV/0!</v>
      </c>
      <c r="H60" s="4" t="e">
        <f aca="false">IF($B$16=1,VLOOKUP($A60,SkewTable,HLOOKUP(ROUND(I60-AO60,1),SkewTable,2,FALSE()),FALSE())/100,0)</f>
        <v>#DIV/0!</v>
      </c>
      <c r="I60" s="41" t="n">
        <f aca="false">IF($B$19=4,$AO60,$B$18)</f>
        <v>5.05</v>
      </c>
      <c r="K60" s="40" t="n">
        <f aca="false">IF(K$28="nymex",0,VLOOKUP($A60,curvesettle,HLOOKUP(K$28,curvesettle,2,FALSE())))</f>
        <v>0.25</v>
      </c>
      <c r="L60" s="131" t="n">
        <f aca="false">IF(ISNUMBER(VLOOKUP($A60,VOLCURVES,HLOOKUP(K$28,VOLCURVES,2,FALSE()),FALSE())),VLOOKUP($A60,VOLCURVES,HLOOKUP(K$28,VOLCURVES,2,FALSE()),FALSE()),1)</f>
        <v>1</v>
      </c>
      <c r="M60" s="136" t="n">
        <f aca="false">IF(K$28="NYMEX",$AG60,$AF60)</f>
        <v>-8248</v>
      </c>
      <c r="N60" s="153" t="e">
        <f aca="false">(($C60+O60)*$L60)+D$15</f>
        <v>#DIV/0!</v>
      </c>
      <c r="O60" s="4" t="e">
        <f aca="false">IF($D$16=1,VLOOKUP($A60,SkewTable,HLOOKUP(ROUND(P60-AZ60,1),SkewTable,2,FALSE()),FALSE())/100,0)</f>
        <v>#DIV/0!</v>
      </c>
      <c r="P60" s="41" t="n">
        <f aca="false">IF($D$19=4,$AZ60,$D$18)</f>
        <v>5.1</v>
      </c>
      <c r="R60" s="40" t="n">
        <f aca="false">IF(R$28="nymex",0,VLOOKUP($A60,curvesettle,HLOOKUP(R$28,curvesettle,2,FALSE())))</f>
        <v>-0.0275</v>
      </c>
      <c r="S60" s="131" t="n">
        <f aca="false">IF(ISNUMBER(VLOOKUP($A60,VOLCURVES,HLOOKUP(R$28,VOLCURVES,2,FALSE()),FALSE())),VLOOKUP($A60,VOLCURVES,HLOOKUP(R$28,VOLCURVES,2,FALSE()),FALSE()),1)</f>
        <v>1</v>
      </c>
      <c r="T60" s="136" t="n">
        <f aca="false">IF(R$28="NYMEX",$AG60,$AF60)</f>
        <v>-8248</v>
      </c>
      <c r="U60" s="153" t="e">
        <f aca="false">(($C60+V60)*$S60)+F$15</f>
        <v>#DIV/0!</v>
      </c>
      <c r="V60" s="4" t="e">
        <f aca="false">IF($F$16=1,VLOOKUP($A60,SkewTable,HLOOKUP(ROUND(W60-BK60,1),SkewTable,2,FALSE()),FALSE())/100,0)</f>
        <v>#DIV/0!</v>
      </c>
      <c r="W60" s="41" t="n">
        <f aca="false">IF($F$19=4,$BK60,$F$18)</f>
        <v>5.3983</v>
      </c>
      <c r="X60" s="136"/>
      <c r="Y60" s="40" t="n">
        <f aca="false">IF(Y$28="nymex",0,VLOOKUP($A60,curvesettle,HLOOKUP(Y$28,curvesettle,2,FALSE())))</f>
        <v>-0.0275</v>
      </c>
      <c r="Z60" s="131" t="n">
        <f aca="false">IF(ISNUMBER(VLOOKUP($A60,VOLCURVES,HLOOKUP(Y$28,VOLCURVES,2,FALSE()),FALSE())),VLOOKUP($A60,VOLCURVES,HLOOKUP(Y$28,VOLCURVES,2,FALSE()),FALSE()),1)</f>
        <v>1</v>
      </c>
      <c r="AA60" s="136" t="n">
        <f aca="false">IF(Y$28="NYMEX",$AG60,$AF60)</f>
        <v>-8248</v>
      </c>
      <c r="AB60" s="4" t="e">
        <f aca="false">(($C60+AC60)*$Z60)+H$15</f>
        <v>#DIV/0!</v>
      </c>
      <c r="AC60" s="4" t="e">
        <f aca="false">IF($H$16=1,VLOOKUP($A60,SkewTable,HLOOKUP(ROUND(AD60-BV60,1),SkewTable,2,FALSE()),FALSE())/100,0)</f>
        <v>#DIV/0!</v>
      </c>
      <c r="AD60" s="41" t="n">
        <f aca="false">IF($H$19=4,$BV60,$H$18)</f>
        <v>5.4668</v>
      </c>
      <c r="AF60" s="136" t="n">
        <f aca="false">VLOOKUP($A60,expiration,2,FALSE())-$B$2</f>
        <v>-8248</v>
      </c>
      <c r="AG60" s="136" t="n">
        <f aca="false">VLOOKUP($A60,expiration,3,FALSE())-$B$2</f>
        <v>-8249</v>
      </c>
      <c r="AH60" s="4" t="n">
        <f aca="false">VLOOKUP($A60,STRADDLE,12,FALSE())</f>
        <v>0.067233031673773</v>
      </c>
      <c r="AI60" s="43" t="n">
        <f aca="false">A61-A60</f>
        <v>31</v>
      </c>
      <c r="AL60" s="136"/>
      <c r="AM60" s="9"/>
      <c r="AN60" s="9" t="n">
        <f aca="false">IF($A60&gt;=AO$25,IF($A60&lt;=AO$26,$AI60,0),0)</f>
        <v>0</v>
      </c>
      <c r="AO60" s="9" t="e">
        <f aca="false">AQ60/AN60</f>
        <v>#DIV/0!</v>
      </c>
      <c r="AP60" s="1" t="n">
        <f aca="false">AN60*($B60+B$13)</f>
        <v>0</v>
      </c>
      <c r="AQ60" s="33" t="n">
        <f aca="false">IF(ISNUMBER(((AP60/AN60)+B$14+$D60)*AN60),((AP60/AN60)+B$14+$D60)*AN60,0)</f>
        <v>0</v>
      </c>
      <c r="AR60" s="44" t="n">
        <f aca="false">IF(AN60=0,0,bsd(1,AS$27,AO60,$I60,$F60,$G60,$AH60,0.1))</f>
        <v>0</v>
      </c>
      <c r="AS60" s="44" t="n">
        <f aca="false">IF(AN60=0,0,bsd(2,AS$27,AO60,$I60,$F60,$G60,$AH60,0.1))</f>
        <v>0</v>
      </c>
      <c r="AT60" s="44" t="n">
        <f aca="false">IF(AN60=0,0,bsd(AS$28,AS$27,AO60,$I60,$F60,$G60,$AH60,0.1))</f>
        <v>0</v>
      </c>
      <c r="AU60" s="45" t="n">
        <f aca="false">AN60*AR60</f>
        <v>0</v>
      </c>
      <c r="AV60" s="45" t="n">
        <f aca="false">AN60*AS60</f>
        <v>0</v>
      </c>
      <c r="AW60" s="45" t="n">
        <f aca="false">AN60*AT60</f>
        <v>0</v>
      </c>
      <c r="AY60" s="9" t="n">
        <f aca="false">IF($A60&gt;=AZ$25,IF($A60&lt;=AZ$26,$AI60,0),0)</f>
        <v>0</v>
      </c>
      <c r="AZ60" s="9" t="e">
        <f aca="false">BB60/AY60</f>
        <v>#DIV/0!</v>
      </c>
      <c r="BA60" s="1" t="n">
        <f aca="false">AY60*($B60+D$13)</f>
        <v>0</v>
      </c>
      <c r="BB60" s="33" t="n">
        <f aca="false">IF(ISNUMBER(((BA60/AY60)+D$14+$K60)*AY60),((BA60/AY60)+D$14+$K60)*AY60,0)</f>
        <v>0</v>
      </c>
      <c r="BC60" s="44" t="n">
        <f aca="false">IF(AY60=0,0,bsd(1,BD$27,AZ60,$P60,$M60,$N60,$AH60,0.1))</f>
        <v>0</v>
      </c>
      <c r="BD60" s="44" t="n">
        <f aca="false">IF(AY60=0,0,bsd(2,BD$27,AZ60,$P60,$M60,$N60,$AH60,0.1))</f>
        <v>0</v>
      </c>
      <c r="BE60" s="44" t="n">
        <f aca="false">IF(AY60=0,0,bsd(BD$28,BD$27,AZ60,$P60,$M60,$N60,$AH60,0.1))</f>
        <v>0</v>
      </c>
      <c r="BF60" s="45" t="n">
        <f aca="false">AY60*BC60</f>
        <v>0</v>
      </c>
      <c r="BG60" s="45" t="n">
        <f aca="false">AY60*BD60</f>
        <v>0</v>
      </c>
      <c r="BH60" s="45" t="n">
        <f aca="false">AY60*BE60</f>
        <v>0</v>
      </c>
      <c r="BJ60" s="9" t="n">
        <f aca="false">IF($A60&gt;=BK$25,IF($A60&lt;=BK$26,$AI60,0),0)</f>
        <v>0</v>
      </c>
      <c r="BK60" s="9" t="e">
        <f aca="false">BM60/BJ60</f>
        <v>#DIV/0!</v>
      </c>
      <c r="BL60" s="1" t="n">
        <f aca="false">BJ60*($B60+F$13)</f>
        <v>0</v>
      </c>
      <c r="BM60" s="33" t="n">
        <f aca="false">IF(ISNUMBER(((BL60/BJ60)+F$14+$R60)*BJ60),((BL60/BJ60)+F$14+$R60)*BJ60,0)</f>
        <v>0</v>
      </c>
      <c r="BN60" s="44" t="n">
        <f aca="false">IF(BJ60=0,0,bsd(1,BO$27,BK60,$W60,$T60,$U60,$AH60,0.1))</f>
        <v>0</v>
      </c>
      <c r="BO60" s="44" t="n">
        <f aca="false">IF(BJ60=0,0,bsd(2,BO$27,BK60,$W60,$T60,$U60,$AH60,0.1))</f>
        <v>0</v>
      </c>
      <c r="BP60" s="44" t="n">
        <f aca="false">IF(BJ60=0,0,bsd(BO$28,BO$27,BK60,$W60,$T60,$U60,$AH60,0.1))</f>
        <v>0</v>
      </c>
      <c r="BQ60" s="45" t="n">
        <f aca="false">BJ60*BN60</f>
        <v>0</v>
      </c>
      <c r="BR60" s="45" t="n">
        <f aca="false">BJ60*BO60</f>
        <v>0</v>
      </c>
      <c r="BS60" s="45" t="n">
        <f aca="false">BJ60*BP60</f>
        <v>0</v>
      </c>
      <c r="BU60" s="9" t="n">
        <f aca="false">IF($A60&gt;=BV$25,IF($A60&lt;=BV$26,$AI60,0),0)</f>
        <v>0</v>
      </c>
      <c r="BV60" s="9" t="e">
        <f aca="false">BX60/BU60</f>
        <v>#DIV/0!</v>
      </c>
      <c r="BW60" s="1" t="n">
        <f aca="false">BU60*($B60+H$13)</f>
        <v>0</v>
      </c>
      <c r="BX60" s="33" t="n">
        <f aca="false">IF(ISNUMBER(((BW60/BU60)+H$14+$Y60)*BU60),((BW60/BU60)+H$14+$Y60)*BU60,0)</f>
        <v>0</v>
      </c>
      <c r="BY60" s="44" t="n">
        <f aca="false">IF(BU60=0,0,bsd(1,BZ$27,BV60,$AD60,$AA60,$AB60,$AH60,0.1))</f>
        <v>0</v>
      </c>
      <c r="BZ60" s="44" t="n">
        <f aca="false">IF(BU60=0,0,bsd(2,BZ$27,BV60,$AD60,$AA60,$AB60,$AH60,0.1))</f>
        <v>0</v>
      </c>
      <c r="CA60" s="44" t="n">
        <f aca="false">IF(BU60=0,0,bsd(BZ$28,BZ$27,BV60,$AD60,$AA60,$AB60,$AH60,0.1))</f>
        <v>0</v>
      </c>
      <c r="CB60" s="45" t="n">
        <f aca="false">BU60*BY60</f>
        <v>0</v>
      </c>
      <c r="CC60" s="45" t="n">
        <f aca="false">BU60*BZ60</f>
        <v>0</v>
      </c>
      <c r="CD60" s="45" t="n">
        <f aca="false">BU60*CA60</f>
        <v>0</v>
      </c>
    </row>
    <row r="61" customFormat="false" ht="12.75" hidden="false" customHeight="false" outlineLevel="0" collapsed="false">
      <c r="A61" s="48" t="n">
        <f aca="false">DATE(YEAR(A60),MONTH(A60)+1,1)</f>
        <v>37712</v>
      </c>
      <c r="B61" s="40" t="n">
        <f aca="false">VLOOKUP(A61,STRADDLE,5,FALSE())</f>
        <v>3.322</v>
      </c>
      <c r="C61" s="4" t="n">
        <f aca="false">VLOOKUP(A61,STRADDLE,8,FALSE())</f>
        <v>0.265</v>
      </c>
      <c r="D61" s="40" t="n">
        <f aca="false">IF(D$28="nymex",0,VLOOKUP($A61,curvesettle,HLOOKUP(D$28,curvesettle,2,FALSE())))</f>
        <v>0.45</v>
      </c>
      <c r="E61" s="131" t="n">
        <f aca="false">IF(ISNUMBER(VLOOKUP($A61,VOLCURVES,HLOOKUP(D$28,VOLCURVES,2,FALSE()),FALSE())),VLOOKUP($A61,VOLCURVES,HLOOKUP(D$28,VOLCURVES,2,FALSE()),FALSE()),1)</f>
        <v>0.98</v>
      </c>
      <c r="F61" s="136" t="n">
        <f aca="false">IF(D$28="NYMEX",$AG61,$AF61)</f>
        <v>-8219</v>
      </c>
      <c r="G61" s="4" t="e">
        <f aca="false">(($C61+H61)*$E61)+B$15</f>
        <v>#DIV/0!</v>
      </c>
      <c r="H61" s="4" t="e">
        <f aca="false">IF($B$16=1,VLOOKUP($A61,SkewTable,HLOOKUP(ROUND(I61-AO61,1),SkewTable,2,FALSE()),FALSE())/100,0)</f>
        <v>#DIV/0!</v>
      </c>
      <c r="I61" s="41" t="n">
        <f aca="false">IF($B$19=4,$AO61,$B$18)</f>
        <v>5.05</v>
      </c>
      <c r="K61" s="40" t="n">
        <f aca="false">IF(K$28="nymex",0,VLOOKUP($A61,curvesettle,HLOOKUP(K$28,curvesettle,2,FALSE())))</f>
        <v>0.28</v>
      </c>
      <c r="L61" s="131" t="n">
        <f aca="false">IF(ISNUMBER(VLOOKUP($A61,VOLCURVES,HLOOKUP(K$28,VOLCURVES,2,FALSE()),FALSE())),VLOOKUP($A61,VOLCURVES,HLOOKUP(K$28,VOLCURVES,2,FALSE()),FALSE()),1)</f>
        <v>1</v>
      </c>
      <c r="M61" s="136" t="n">
        <f aca="false">IF(K$28="NYMEX",$AG61,$AF61)</f>
        <v>-8219</v>
      </c>
      <c r="N61" s="153" t="e">
        <f aca="false">(($C61+O61)*$L61)+D$15</f>
        <v>#DIV/0!</v>
      </c>
      <c r="O61" s="4" t="e">
        <f aca="false">IF($D$16=1,VLOOKUP($A61,SkewTable,HLOOKUP(ROUND(P61-AZ61,1),SkewTable,2,FALSE()),FALSE())/100,0)</f>
        <v>#DIV/0!</v>
      </c>
      <c r="P61" s="41" t="n">
        <f aca="false">IF($D$19=4,$AZ61,$D$18)</f>
        <v>5.1</v>
      </c>
      <c r="R61" s="40" t="n">
        <f aca="false">IF(R$28="nymex",0,VLOOKUP($A61,curvesettle,HLOOKUP(R$28,curvesettle,2,FALSE())))</f>
        <v>0.015</v>
      </c>
      <c r="S61" s="131" t="n">
        <f aca="false">IF(ISNUMBER(VLOOKUP($A61,VOLCURVES,HLOOKUP(R$28,VOLCURVES,2,FALSE()),FALSE())),VLOOKUP($A61,VOLCURVES,HLOOKUP(R$28,VOLCURVES,2,FALSE()),FALSE()),1)</f>
        <v>1</v>
      </c>
      <c r="T61" s="136" t="n">
        <f aca="false">IF(R$28="NYMEX",$AG61,$AF61)</f>
        <v>-8219</v>
      </c>
      <c r="U61" s="153" t="e">
        <f aca="false">(($C61+V61)*$S61)+F$15</f>
        <v>#DIV/0!</v>
      </c>
      <c r="V61" s="4" t="e">
        <f aca="false">IF($F$16=1,VLOOKUP($A61,SkewTable,HLOOKUP(ROUND(W61-BK61,1),SkewTable,2,FALSE()),FALSE())/100,0)</f>
        <v>#DIV/0!</v>
      </c>
      <c r="W61" s="41" t="n">
        <f aca="false">IF($F$19=4,$BK61,$F$18)</f>
        <v>5.3983</v>
      </c>
      <c r="X61" s="136"/>
      <c r="Y61" s="40" t="n">
        <f aca="false">IF(Y$28="nymex",0,VLOOKUP($A61,curvesettle,HLOOKUP(Y$28,curvesettle,2,FALSE())))</f>
        <v>0.015</v>
      </c>
      <c r="Z61" s="131" t="n">
        <f aca="false">IF(ISNUMBER(VLOOKUP($A61,VOLCURVES,HLOOKUP(Y$28,VOLCURVES,2,FALSE()),FALSE())),VLOOKUP($A61,VOLCURVES,HLOOKUP(Y$28,VOLCURVES,2,FALSE()),FALSE()),1)</f>
        <v>1</v>
      </c>
      <c r="AA61" s="136" t="n">
        <f aca="false">IF(Y$28="NYMEX",$AG61,$AF61)</f>
        <v>-8219</v>
      </c>
      <c r="AB61" s="4" t="e">
        <f aca="false">(($C61+AC61)*$Z61)+H$15</f>
        <v>#DIV/0!</v>
      </c>
      <c r="AC61" s="4" t="e">
        <f aca="false">IF($H$16=1,VLOOKUP($A61,SkewTable,HLOOKUP(ROUND(AD61-BV61,1),SkewTable,2,FALSE()),FALSE())/100,0)</f>
        <v>#DIV/0!</v>
      </c>
      <c r="AD61" s="41" t="n">
        <f aca="false">IF($H$19=4,$BV61,$H$18)</f>
        <v>5.4668</v>
      </c>
      <c r="AF61" s="136" t="n">
        <f aca="false">VLOOKUP($A61,expiration,2,FALSE())-$B$2</f>
        <v>-8219</v>
      </c>
      <c r="AG61" s="136" t="n">
        <f aca="false">VLOOKUP($A61,expiration,3,FALSE())-$B$2</f>
        <v>-8220</v>
      </c>
      <c r="AH61" s="4" t="n">
        <f aca="false">VLOOKUP($A61,STRADDLE,12,FALSE())</f>
        <v>0.06724692996423</v>
      </c>
      <c r="AI61" s="43" t="n">
        <f aca="false">A62-A61</f>
        <v>30</v>
      </c>
      <c r="AL61" s="136"/>
      <c r="AM61" s="9"/>
      <c r="AN61" s="9" t="n">
        <f aca="false">IF($A61&gt;=AO$25,IF($A61&lt;=AO$26,$AI61,0),0)</f>
        <v>0</v>
      </c>
      <c r="AO61" s="9" t="e">
        <f aca="false">AQ61/AN61</f>
        <v>#DIV/0!</v>
      </c>
      <c r="AP61" s="1" t="n">
        <f aca="false">AN61*($B61+B$13)</f>
        <v>0</v>
      </c>
      <c r="AQ61" s="33" t="n">
        <f aca="false">IF(ISNUMBER(((AP61/AN61)+B$14+$D61)*AN61),((AP61/AN61)+B$14+$D61)*AN61,0)</f>
        <v>0</v>
      </c>
      <c r="AR61" s="44" t="n">
        <f aca="false">IF(AN61=0,0,bsd(1,AS$27,AO61,$I61,$F61,$G61,$AH61,0.1))</f>
        <v>0</v>
      </c>
      <c r="AS61" s="44" t="n">
        <f aca="false">IF(AN61=0,0,bsd(2,AS$27,AO61,$I61,$F61,$G61,$AH61,0.1))</f>
        <v>0</v>
      </c>
      <c r="AT61" s="44" t="n">
        <f aca="false">IF(AN61=0,0,bsd(AS$28,AS$27,AO61,$I61,$F61,$G61,$AH61,0.1))</f>
        <v>0</v>
      </c>
      <c r="AU61" s="45" t="n">
        <f aca="false">AN61*AR61</f>
        <v>0</v>
      </c>
      <c r="AV61" s="45" t="n">
        <f aca="false">AN61*AS61</f>
        <v>0</v>
      </c>
      <c r="AW61" s="45" t="n">
        <f aca="false">AN61*AT61</f>
        <v>0</v>
      </c>
      <c r="AY61" s="9" t="n">
        <f aca="false">IF($A61&gt;=AZ$25,IF($A61&lt;=AZ$26,$AI61,0),0)</f>
        <v>0</v>
      </c>
      <c r="AZ61" s="9" t="e">
        <f aca="false">BB61/AY61</f>
        <v>#DIV/0!</v>
      </c>
      <c r="BA61" s="1" t="n">
        <f aca="false">AY61*($B61+D$13)</f>
        <v>0</v>
      </c>
      <c r="BB61" s="33" t="n">
        <f aca="false">IF(ISNUMBER(((BA61/AY61)+D$14+$K61)*AY61),((BA61/AY61)+D$14+$K61)*AY61,0)</f>
        <v>0</v>
      </c>
      <c r="BC61" s="44" t="n">
        <f aca="false">IF(AY61=0,0,bsd(1,BD$27,AZ61,$P61,$M61,$N61,$AH61,0.1))</f>
        <v>0</v>
      </c>
      <c r="BD61" s="44" t="n">
        <f aca="false">IF(AY61=0,0,bsd(2,BD$27,AZ61,$P61,$M61,$N61,$AH61,0.1))</f>
        <v>0</v>
      </c>
      <c r="BE61" s="44" t="n">
        <f aca="false">IF(AY61=0,0,bsd(BD$28,BD$27,AZ61,$P61,$M61,$N61,$AH61,0.1))</f>
        <v>0</v>
      </c>
      <c r="BF61" s="45" t="n">
        <f aca="false">AY61*BC61</f>
        <v>0</v>
      </c>
      <c r="BG61" s="45" t="n">
        <f aca="false">AY61*BD61</f>
        <v>0</v>
      </c>
      <c r="BH61" s="45" t="n">
        <f aca="false">AY61*BE61</f>
        <v>0</v>
      </c>
      <c r="BJ61" s="9" t="n">
        <f aca="false">IF($A61&gt;=BK$25,IF($A61&lt;=BK$26,$AI61,0),0)</f>
        <v>0</v>
      </c>
      <c r="BK61" s="9" t="e">
        <f aca="false">BM61/BJ61</f>
        <v>#DIV/0!</v>
      </c>
      <c r="BL61" s="1" t="n">
        <f aca="false">BJ61*($B61+F$13)</f>
        <v>0</v>
      </c>
      <c r="BM61" s="33" t="n">
        <f aca="false">IF(ISNUMBER(((BL61/BJ61)+F$14+$R61)*BJ61),((BL61/BJ61)+F$14+$R61)*BJ61,0)</f>
        <v>0</v>
      </c>
      <c r="BN61" s="44" t="n">
        <f aca="false">IF(BJ61=0,0,bsd(1,BO$27,BK61,$W61,$T61,$U61,$AH61,0.1))</f>
        <v>0</v>
      </c>
      <c r="BO61" s="44" t="n">
        <f aca="false">IF(BJ61=0,0,bsd(2,BO$27,BK61,$W61,$T61,$U61,$AH61,0.1))</f>
        <v>0</v>
      </c>
      <c r="BP61" s="44" t="n">
        <f aca="false">IF(BJ61=0,0,bsd(BO$28,BO$27,BK61,$W61,$T61,$U61,$AH61,0.1))</f>
        <v>0</v>
      </c>
      <c r="BQ61" s="45" t="n">
        <f aca="false">BJ61*BN61</f>
        <v>0</v>
      </c>
      <c r="BR61" s="45" t="n">
        <f aca="false">BJ61*BO61</f>
        <v>0</v>
      </c>
      <c r="BS61" s="45" t="n">
        <f aca="false">BJ61*BP61</f>
        <v>0</v>
      </c>
      <c r="BU61" s="9" t="n">
        <f aca="false">IF($A61&gt;=BV$25,IF($A61&lt;=BV$26,$AI61,0),0)</f>
        <v>0</v>
      </c>
      <c r="BV61" s="9" t="e">
        <f aca="false">BX61/BU61</f>
        <v>#DIV/0!</v>
      </c>
      <c r="BW61" s="1" t="n">
        <f aca="false">BU61*($B61+H$13)</f>
        <v>0</v>
      </c>
      <c r="BX61" s="33" t="n">
        <f aca="false">IF(ISNUMBER(((BW61/BU61)+H$14+$Y61)*BU61),((BW61/BU61)+H$14+$Y61)*BU61,0)</f>
        <v>0</v>
      </c>
      <c r="BY61" s="44" t="n">
        <f aca="false">IF(BU61=0,0,bsd(1,BZ$27,BV61,$AD61,$AA61,$AB61,$AH61,0.1))</f>
        <v>0</v>
      </c>
      <c r="BZ61" s="44" t="n">
        <f aca="false">IF(BU61=0,0,bsd(2,BZ$27,BV61,$AD61,$AA61,$AB61,$AH61,0.1))</f>
        <v>0</v>
      </c>
      <c r="CA61" s="44" t="n">
        <f aca="false">IF(BU61=0,0,bsd(BZ$28,BZ$27,BV61,$AD61,$AA61,$AB61,$AH61,0.1))</f>
        <v>0</v>
      </c>
      <c r="CB61" s="45" t="n">
        <f aca="false">BU61*BY61</f>
        <v>0</v>
      </c>
      <c r="CC61" s="45" t="n">
        <f aca="false">BU61*BZ61</f>
        <v>0</v>
      </c>
      <c r="CD61" s="45" t="n">
        <f aca="false">BU61*CA61</f>
        <v>0</v>
      </c>
    </row>
    <row r="62" customFormat="false" ht="12.75" hidden="false" customHeight="false" outlineLevel="0" collapsed="false">
      <c r="A62" s="48" t="n">
        <f aca="false">DATE(YEAR(A61),MONTH(A61)+1,1)</f>
        <v>37742</v>
      </c>
      <c r="B62" s="40" t="n">
        <f aca="false">VLOOKUP(A62,STRADDLE,5,FALSE())</f>
        <v>3.272</v>
      </c>
      <c r="C62" s="4" t="n">
        <f aca="false">VLOOKUP(A62,STRADDLE,8,FALSE())</f>
        <v>0.26</v>
      </c>
      <c r="D62" s="40" t="n">
        <f aca="false">IF(D$28="nymex",0,VLOOKUP($A62,curvesettle,HLOOKUP(D$28,curvesettle,2,FALSE())))</f>
        <v>0.405</v>
      </c>
      <c r="E62" s="131" t="n">
        <f aca="false">IF(ISNUMBER(VLOOKUP($A62,VOLCURVES,HLOOKUP(D$28,VOLCURVES,2,FALSE()),FALSE())),VLOOKUP($A62,VOLCURVES,HLOOKUP(D$28,VOLCURVES,2,FALSE()),FALSE()),1)</f>
        <v>0.98</v>
      </c>
      <c r="F62" s="136" t="n">
        <f aca="false">IF(D$28="NYMEX",$AG62,$AF62)</f>
        <v>-8187</v>
      </c>
      <c r="G62" s="4" t="e">
        <f aca="false">(($C62+H62)*$E62)+B$15</f>
        <v>#DIV/0!</v>
      </c>
      <c r="H62" s="4" t="e">
        <f aca="false">IF($B$16=1,VLOOKUP($A62,SkewTable,HLOOKUP(ROUND(I62-AO62,1),SkewTable,2,FALSE()),FALSE())/100,0)</f>
        <v>#DIV/0!</v>
      </c>
      <c r="I62" s="41" t="n">
        <f aca="false">IF($B$19=4,$AO62,$B$18)</f>
        <v>5.05</v>
      </c>
      <c r="K62" s="40" t="n">
        <f aca="false">IF(K$28="nymex",0,VLOOKUP($A62,curvesettle,HLOOKUP(K$28,curvesettle,2,FALSE())))</f>
        <v>0.28</v>
      </c>
      <c r="L62" s="131" t="n">
        <f aca="false">IF(ISNUMBER(VLOOKUP($A62,VOLCURVES,HLOOKUP(K$28,VOLCURVES,2,FALSE()),FALSE())),VLOOKUP($A62,VOLCURVES,HLOOKUP(K$28,VOLCURVES,2,FALSE()),FALSE()),1)</f>
        <v>1</v>
      </c>
      <c r="M62" s="136" t="n">
        <f aca="false">IF(K$28="NYMEX",$AG62,$AF62)</f>
        <v>-8187</v>
      </c>
      <c r="N62" s="153" t="e">
        <f aca="false">(($C62+O62)*$L62)+D$15</f>
        <v>#DIV/0!</v>
      </c>
      <c r="O62" s="4" t="e">
        <f aca="false">IF($D$16=1,VLOOKUP($A62,SkewTable,HLOOKUP(ROUND(P62-AZ62,1),SkewTable,2,FALSE()),FALSE())/100,0)</f>
        <v>#DIV/0!</v>
      </c>
      <c r="P62" s="41" t="n">
        <f aca="false">IF($D$19=4,$AZ62,$D$18)</f>
        <v>5.1</v>
      </c>
      <c r="R62" s="40" t="n">
        <f aca="false">IF(R$28="nymex",0,VLOOKUP($A62,curvesettle,HLOOKUP(R$28,curvesettle,2,FALSE())))</f>
        <v>0.015</v>
      </c>
      <c r="S62" s="131" t="n">
        <f aca="false">IF(ISNUMBER(VLOOKUP($A62,VOLCURVES,HLOOKUP(R$28,VOLCURVES,2,FALSE()),FALSE())),VLOOKUP($A62,VOLCURVES,HLOOKUP(R$28,VOLCURVES,2,FALSE()),FALSE()),1)</f>
        <v>1</v>
      </c>
      <c r="T62" s="136" t="n">
        <f aca="false">IF(R$28="NYMEX",$AG62,$AF62)</f>
        <v>-8187</v>
      </c>
      <c r="U62" s="153" t="e">
        <f aca="false">(($C62+V62)*$S62)+F$15</f>
        <v>#DIV/0!</v>
      </c>
      <c r="V62" s="4" t="e">
        <f aca="false">IF($F$16=1,VLOOKUP($A62,SkewTable,HLOOKUP(ROUND(W62-BK62,1),SkewTable,2,FALSE()),FALSE())/100,0)</f>
        <v>#DIV/0!</v>
      </c>
      <c r="W62" s="41" t="n">
        <f aca="false">IF($F$19=4,$BK62,$F$18)</f>
        <v>5.3983</v>
      </c>
      <c r="X62" s="136"/>
      <c r="Y62" s="40" t="n">
        <f aca="false">IF(Y$28="nymex",0,VLOOKUP($A62,curvesettle,HLOOKUP(Y$28,curvesettle,2,FALSE())))</f>
        <v>0.015</v>
      </c>
      <c r="Z62" s="131" t="n">
        <f aca="false">IF(ISNUMBER(VLOOKUP($A62,VOLCURVES,HLOOKUP(Y$28,VOLCURVES,2,FALSE()),FALSE())),VLOOKUP($A62,VOLCURVES,HLOOKUP(Y$28,VOLCURVES,2,FALSE()),FALSE()),1)</f>
        <v>1</v>
      </c>
      <c r="AA62" s="136" t="n">
        <f aca="false">IF(Y$28="NYMEX",$AG62,$AF62)</f>
        <v>-8187</v>
      </c>
      <c r="AB62" s="4" t="e">
        <f aca="false">(($C62+AC62)*$Z62)+H$15</f>
        <v>#DIV/0!</v>
      </c>
      <c r="AC62" s="4" t="e">
        <f aca="false">IF($H$16=1,VLOOKUP($A62,SkewTable,HLOOKUP(ROUND(AD62-BV62,1),SkewTable,2,FALSE()),FALSE())/100,0)</f>
        <v>#DIV/0!</v>
      </c>
      <c r="AD62" s="41" t="n">
        <f aca="false">IF($H$19=4,$BV62,$H$18)</f>
        <v>5.4668</v>
      </c>
      <c r="AF62" s="136" t="n">
        <f aca="false">VLOOKUP($A62,expiration,2,FALSE())-$B$2</f>
        <v>-8187</v>
      </c>
      <c r="AG62" s="136" t="n">
        <f aca="false">VLOOKUP($A62,expiration,3,FALSE())-$B$2</f>
        <v>-8190</v>
      </c>
      <c r="AH62" s="4" t="n">
        <f aca="false">VLOOKUP($A62,STRADDLE,12,FALSE())</f>
        <v>0.067250744147623</v>
      </c>
      <c r="AI62" s="43" t="n">
        <f aca="false">A63-A62</f>
        <v>31</v>
      </c>
      <c r="AL62" s="136"/>
      <c r="AM62" s="9"/>
      <c r="AN62" s="9" t="n">
        <f aca="false">IF($A62&gt;=AO$25,IF($A62&lt;=AO$26,$AI62,0),0)</f>
        <v>0</v>
      </c>
      <c r="AO62" s="9" t="e">
        <f aca="false">AQ62/AN62</f>
        <v>#DIV/0!</v>
      </c>
      <c r="AP62" s="1" t="n">
        <f aca="false">AN62*($B62+B$13)</f>
        <v>0</v>
      </c>
      <c r="AQ62" s="33" t="n">
        <f aca="false">IF(ISNUMBER(((AP62/AN62)+B$14+$D62)*AN62),((AP62/AN62)+B$14+$D62)*AN62,0)</f>
        <v>0</v>
      </c>
      <c r="AR62" s="44" t="n">
        <f aca="false">IF(AN62=0,0,bsd(1,AS$27,AO62,$I62,$F62,$G62,$AH62,0.1))</f>
        <v>0</v>
      </c>
      <c r="AS62" s="44" t="n">
        <f aca="false">IF(AN62=0,0,bsd(2,AS$27,AO62,$I62,$F62,$G62,$AH62,0.1))</f>
        <v>0</v>
      </c>
      <c r="AT62" s="44" t="n">
        <f aca="false">IF(AN62=0,0,bsd(AS$28,AS$27,AO62,$I62,$F62,$G62,$AH62,0.1))</f>
        <v>0</v>
      </c>
      <c r="AU62" s="45" t="n">
        <f aca="false">AN62*AR62</f>
        <v>0</v>
      </c>
      <c r="AV62" s="45" t="n">
        <f aca="false">AN62*AS62</f>
        <v>0</v>
      </c>
      <c r="AW62" s="45" t="n">
        <f aca="false">AN62*AT62</f>
        <v>0</v>
      </c>
      <c r="AY62" s="9" t="n">
        <f aca="false">IF($A62&gt;=AZ$25,IF($A62&lt;=AZ$26,$AI62,0),0)</f>
        <v>0</v>
      </c>
      <c r="AZ62" s="9" t="e">
        <f aca="false">BB62/AY62</f>
        <v>#DIV/0!</v>
      </c>
      <c r="BA62" s="1" t="n">
        <f aca="false">AY62*($B62+D$13)</f>
        <v>0</v>
      </c>
      <c r="BB62" s="33" t="n">
        <f aca="false">IF(ISNUMBER(((BA62/AY62)+D$14+$K62)*AY62),((BA62/AY62)+D$14+$K62)*AY62,0)</f>
        <v>0</v>
      </c>
      <c r="BC62" s="44" t="n">
        <f aca="false">IF(AY62=0,0,bsd(1,BD$27,AZ62,$P62,$M62,$N62,$AH62,0.1))</f>
        <v>0</v>
      </c>
      <c r="BD62" s="44" t="n">
        <f aca="false">IF(AY62=0,0,bsd(2,BD$27,AZ62,$P62,$M62,$N62,$AH62,0.1))</f>
        <v>0</v>
      </c>
      <c r="BE62" s="44" t="n">
        <f aca="false">IF(AY62=0,0,bsd(BD$28,BD$27,AZ62,$P62,$M62,$N62,$AH62,0.1))</f>
        <v>0</v>
      </c>
      <c r="BF62" s="45" t="n">
        <f aca="false">AY62*BC62</f>
        <v>0</v>
      </c>
      <c r="BG62" s="45" t="n">
        <f aca="false">AY62*BD62</f>
        <v>0</v>
      </c>
      <c r="BH62" s="45" t="n">
        <f aca="false">AY62*BE62</f>
        <v>0</v>
      </c>
      <c r="BJ62" s="9" t="n">
        <f aca="false">IF($A62&gt;=BK$25,IF($A62&lt;=BK$26,$AI62,0),0)</f>
        <v>0</v>
      </c>
      <c r="BK62" s="9" t="e">
        <f aca="false">BM62/BJ62</f>
        <v>#DIV/0!</v>
      </c>
      <c r="BL62" s="1" t="n">
        <f aca="false">BJ62*($B62+F$13)</f>
        <v>0</v>
      </c>
      <c r="BM62" s="33" t="n">
        <f aca="false">IF(ISNUMBER(((BL62/BJ62)+F$14+$R62)*BJ62),((BL62/BJ62)+F$14+$R62)*BJ62,0)</f>
        <v>0</v>
      </c>
      <c r="BN62" s="44" t="n">
        <f aca="false">IF(BJ62=0,0,bsd(1,BO$27,BK62,$W62,$T62,$U62,$AH62,0.1))</f>
        <v>0</v>
      </c>
      <c r="BO62" s="44" t="n">
        <f aca="false">IF(BJ62=0,0,bsd(2,BO$27,BK62,$W62,$T62,$U62,$AH62,0.1))</f>
        <v>0</v>
      </c>
      <c r="BP62" s="44" t="n">
        <f aca="false">IF(BJ62=0,0,bsd(BO$28,BO$27,BK62,$W62,$T62,$U62,$AH62,0.1))</f>
        <v>0</v>
      </c>
      <c r="BQ62" s="45" t="n">
        <f aca="false">BJ62*BN62</f>
        <v>0</v>
      </c>
      <c r="BR62" s="45" t="n">
        <f aca="false">BJ62*BO62</f>
        <v>0</v>
      </c>
      <c r="BS62" s="45" t="n">
        <f aca="false">BJ62*BP62</f>
        <v>0</v>
      </c>
      <c r="BU62" s="9" t="n">
        <f aca="false">IF($A62&gt;=BV$25,IF($A62&lt;=BV$26,$AI62,0),0)</f>
        <v>0</v>
      </c>
      <c r="BV62" s="9" t="e">
        <f aca="false">BX62/BU62</f>
        <v>#DIV/0!</v>
      </c>
      <c r="BW62" s="1" t="n">
        <f aca="false">BU62*($B62+H$13)</f>
        <v>0</v>
      </c>
      <c r="BX62" s="33" t="n">
        <f aca="false">IF(ISNUMBER(((BW62/BU62)+H$14+$Y62)*BU62),((BW62/BU62)+H$14+$Y62)*BU62,0)</f>
        <v>0</v>
      </c>
      <c r="BY62" s="44" t="n">
        <f aca="false">IF(BU62=0,0,bsd(1,BZ$27,BV62,$AD62,$AA62,$AB62,$AH62,0.1))</f>
        <v>0</v>
      </c>
      <c r="BZ62" s="44" t="n">
        <f aca="false">IF(BU62=0,0,bsd(2,BZ$27,BV62,$AD62,$AA62,$AB62,$AH62,0.1))</f>
        <v>0</v>
      </c>
      <c r="CA62" s="44" t="n">
        <f aca="false">IF(BU62=0,0,bsd(BZ$28,BZ$27,BV62,$AD62,$AA62,$AB62,$AH62,0.1))</f>
        <v>0</v>
      </c>
      <c r="CB62" s="45" t="n">
        <f aca="false">BU62*BY62</f>
        <v>0</v>
      </c>
      <c r="CC62" s="45" t="n">
        <f aca="false">BU62*BZ62</f>
        <v>0</v>
      </c>
      <c r="CD62" s="45" t="n">
        <f aca="false">BU62*CA62</f>
        <v>0</v>
      </c>
    </row>
    <row r="63" customFormat="false" ht="12.75" hidden="false" customHeight="false" outlineLevel="0" collapsed="false">
      <c r="A63" s="48" t="n">
        <f aca="false">DATE(YEAR(A62),MONTH(A62)+1,1)</f>
        <v>37773</v>
      </c>
      <c r="B63" s="40" t="n">
        <f aca="false">VLOOKUP(A63,STRADDLE,5,FALSE())</f>
        <v>3.28</v>
      </c>
      <c r="C63" s="4" t="n">
        <f aca="false">VLOOKUP(A63,STRADDLE,8,FALSE())</f>
        <v>0.2575</v>
      </c>
      <c r="D63" s="40" t="n">
        <f aca="false">IF(D$28="nymex",0,VLOOKUP($A63,curvesettle,HLOOKUP(D$28,curvesettle,2,FALSE())))</f>
        <v>0.395</v>
      </c>
      <c r="E63" s="131" t="n">
        <f aca="false">IF(ISNUMBER(VLOOKUP($A63,VOLCURVES,HLOOKUP(D$28,VOLCURVES,2,FALSE()),FALSE())),VLOOKUP($A63,VOLCURVES,HLOOKUP(D$28,VOLCURVES,2,FALSE()),FALSE()),1)</f>
        <v>0.98</v>
      </c>
      <c r="F63" s="136" t="n">
        <f aca="false">IF(D$28="NYMEX",$AG63,$AF63)</f>
        <v>-8157</v>
      </c>
      <c r="G63" s="4" t="e">
        <f aca="false">(($C63+H63)*$E63)+B$15</f>
        <v>#DIV/0!</v>
      </c>
      <c r="H63" s="4" t="e">
        <f aca="false">IF($B$16=1,VLOOKUP($A63,SkewTable,HLOOKUP(ROUND(I63-AO63,1),SkewTable,2,FALSE()),FALSE())/100,0)</f>
        <v>#DIV/0!</v>
      </c>
      <c r="I63" s="41" t="n">
        <f aca="false">IF($B$19=4,$AO63,$B$18)</f>
        <v>5.05</v>
      </c>
      <c r="K63" s="40" t="n">
        <f aca="false">IF(K$28="nymex",0,VLOOKUP($A63,curvesettle,HLOOKUP(K$28,curvesettle,2,FALSE())))</f>
        <v>0.28</v>
      </c>
      <c r="L63" s="131" t="n">
        <f aca="false">IF(ISNUMBER(VLOOKUP($A63,VOLCURVES,HLOOKUP(K$28,VOLCURVES,2,FALSE()),FALSE())),VLOOKUP($A63,VOLCURVES,HLOOKUP(K$28,VOLCURVES,2,FALSE()),FALSE()),1)</f>
        <v>1</v>
      </c>
      <c r="M63" s="136" t="n">
        <f aca="false">IF(K$28="NYMEX",$AG63,$AF63)</f>
        <v>-8157</v>
      </c>
      <c r="N63" s="153" t="e">
        <f aca="false">(($C63+O63)*$L63)+D$15</f>
        <v>#DIV/0!</v>
      </c>
      <c r="O63" s="4" t="e">
        <f aca="false">IF($D$16=1,VLOOKUP($A63,SkewTable,HLOOKUP(ROUND(P63-AZ63,1),SkewTable,2,FALSE()),FALSE())/100,0)</f>
        <v>#DIV/0!</v>
      </c>
      <c r="P63" s="41" t="n">
        <f aca="false">IF($D$19=4,$AZ63,$D$18)</f>
        <v>5.1</v>
      </c>
      <c r="R63" s="40" t="n">
        <f aca="false">IF(R$28="nymex",0,VLOOKUP($A63,curvesettle,HLOOKUP(R$28,curvesettle,2,FALSE())))</f>
        <v>0.02</v>
      </c>
      <c r="S63" s="131" t="n">
        <f aca="false">IF(ISNUMBER(VLOOKUP($A63,VOLCURVES,HLOOKUP(R$28,VOLCURVES,2,FALSE()),FALSE())),VLOOKUP($A63,VOLCURVES,HLOOKUP(R$28,VOLCURVES,2,FALSE()),FALSE()),1)</f>
        <v>1</v>
      </c>
      <c r="T63" s="136" t="n">
        <f aca="false">IF(R$28="NYMEX",$AG63,$AF63)</f>
        <v>-8157</v>
      </c>
      <c r="U63" s="153" t="e">
        <f aca="false">(($C63+V63)*$S63)+F$15</f>
        <v>#DIV/0!</v>
      </c>
      <c r="V63" s="4" t="e">
        <f aca="false">IF($F$16=1,VLOOKUP($A63,SkewTable,HLOOKUP(ROUND(W63-BK63,1),SkewTable,2,FALSE()),FALSE())/100,0)</f>
        <v>#DIV/0!</v>
      </c>
      <c r="W63" s="41" t="n">
        <f aca="false">IF($F$19=4,$BK63,$F$18)</f>
        <v>5.3983</v>
      </c>
      <c r="X63" s="136"/>
      <c r="Y63" s="40" t="n">
        <f aca="false">IF(Y$28="nymex",0,VLOOKUP($A63,curvesettle,HLOOKUP(Y$28,curvesettle,2,FALSE())))</f>
        <v>0.02</v>
      </c>
      <c r="Z63" s="131" t="n">
        <f aca="false">IF(ISNUMBER(VLOOKUP($A63,VOLCURVES,HLOOKUP(Y$28,VOLCURVES,2,FALSE()),FALSE())),VLOOKUP($A63,VOLCURVES,HLOOKUP(Y$28,VOLCURVES,2,FALSE()),FALSE()),1)</f>
        <v>1</v>
      </c>
      <c r="AA63" s="136" t="n">
        <f aca="false">IF(Y$28="NYMEX",$AG63,$AF63)</f>
        <v>-8157</v>
      </c>
      <c r="AB63" s="4" t="e">
        <f aca="false">(($C63+AC63)*$Z63)+H$15</f>
        <v>#DIV/0!</v>
      </c>
      <c r="AC63" s="4" t="e">
        <f aca="false">IF($H$16=1,VLOOKUP($A63,SkewTable,HLOOKUP(ROUND(AD63-BV63,1),SkewTable,2,FALSE()),FALSE())/100,0)</f>
        <v>#DIV/0!</v>
      </c>
      <c r="AD63" s="41" t="n">
        <f aca="false">IF($H$19=4,$BV63,$H$18)</f>
        <v>5.4668</v>
      </c>
      <c r="AF63" s="136" t="n">
        <f aca="false">VLOOKUP($A63,expiration,2,FALSE())-$B$2</f>
        <v>-8157</v>
      </c>
      <c r="AG63" s="136" t="n">
        <f aca="false">VLOOKUP($A63,expiration,3,FALSE())-$B$2</f>
        <v>-8158</v>
      </c>
      <c r="AH63" s="4" t="n">
        <f aca="false">VLOOKUP($A63,STRADDLE,12,FALSE())</f>
        <v>0.067254685470467</v>
      </c>
      <c r="AI63" s="43" t="n">
        <f aca="false">A64-A63</f>
        <v>30</v>
      </c>
      <c r="AL63" s="136"/>
      <c r="AM63" s="9"/>
      <c r="AN63" s="9" t="n">
        <f aca="false">IF($A63&gt;=AO$25,IF($A63&lt;=AO$26,$AI63,0),0)</f>
        <v>0</v>
      </c>
      <c r="AO63" s="9" t="e">
        <f aca="false">AQ63/AN63</f>
        <v>#DIV/0!</v>
      </c>
      <c r="AP63" s="1" t="n">
        <f aca="false">AN63*($B63+B$13)</f>
        <v>0</v>
      </c>
      <c r="AQ63" s="33" t="n">
        <f aca="false">IF(ISNUMBER(((AP63/AN63)+B$14+$D63)*AN63),((AP63/AN63)+B$14+$D63)*AN63,0)</f>
        <v>0</v>
      </c>
      <c r="AR63" s="44" t="n">
        <f aca="false">IF(AN63=0,0,bsd(1,AS$27,AO63,$I63,$F63,$G63,$AH63,0.1))</f>
        <v>0</v>
      </c>
      <c r="AS63" s="44" t="n">
        <f aca="false">IF(AN63=0,0,bsd(2,AS$27,AO63,$I63,$F63,$G63,$AH63,0.1))</f>
        <v>0</v>
      </c>
      <c r="AT63" s="44" t="n">
        <f aca="false">IF(AN63=0,0,bsd(AS$28,AS$27,AO63,$I63,$F63,$G63,$AH63,0.1))</f>
        <v>0</v>
      </c>
      <c r="AU63" s="45" t="n">
        <f aca="false">AN63*AR63</f>
        <v>0</v>
      </c>
      <c r="AV63" s="45" t="n">
        <f aca="false">AN63*AS63</f>
        <v>0</v>
      </c>
      <c r="AW63" s="45" t="n">
        <f aca="false">AN63*AT63</f>
        <v>0</v>
      </c>
      <c r="AY63" s="9" t="n">
        <f aca="false">IF($A63&gt;=AZ$25,IF($A63&lt;=AZ$26,$AI63,0),0)</f>
        <v>0</v>
      </c>
      <c r="AZ63" s="9" t="e">
        <f aca="false">BB63/AY63</f>
        <v>#DIV/0!</v>
      </c>
      <c r="BA63" s="1" t="n">
        <f aca="false">AY63*($B63+D$13)</f>
        <v>0</v>
      </c>
      <c r="BB63" s="33" t="n">
        <f aca="false">IF(ISNUMBER(((BA63/AY63)+D$14+$K63)*AY63),((BA63/AY63)+D$14+$K63)*AY63,0)</f>
        <v>0</v>
      </c>
      <c r="BC63" s="44" t="n">
        <f aca="false">IF(AY63=0,0,bsd(1,BD$27,AZ63,$P63,$M63,$N63,$AH63,0.1))</f>
        <v>0</v>
      </c>
      <c r="BD63" s="44" t="n">
        <f aca="false">IF(AY63=0,0,bsd(2,BD$27,AZ63,$P63,$M63,$N63,$AH63,0.1))</f>
        <v>0</v>
      </c>
      <c r="BE63" s="44" t="n">
        <f aca="false">IF(AY63=0,0,bsd(BD$28,BD$27,AZ63,$P63,$M63,$N63,$AH63,0.1))</f>
        <v>0</v>
      </c>
      <c r="BF63" s="45" t="n">
        <f aca="false">AY63*BC63</f>
        <v>0</v>
      </c>
      <c r="BG63" s="45" t="n">
        <f aca="false">AY63*BD63</f>
        <v>0</v>
      </c>
      <c r="BH63" s="45" t="n">
        <f aca="false">AY63*BE63</f>
        <v>0</v>
      </c>
      <c r="BJ63" s="9" t="n">
        <f aca="false">IF($A63&gt;=BK$25,IF($A63&lt;=BK$26,$AI63,0),0)</f>
        <v>0</v>
      </c>
      <c r="BK63" s="9" t="e">
        <f aca="false">BM63/BJ63</f>
        <v>#DIV/0!</v>
      </c>
      <c r="BL63" s="1" t="n">
        <f aca="false">BJ63*($B63+F$13)</f>
        <v>0</v>
      </c>
      <c r="BM63" s="33" t="n">
        <f aca="false">IF(ISNUMBER(((BL63/BJ63)+F$14+$R63)*BJ63),((BL63/BJ63)+F$14+$R63)*BJ63,0)</f>
        <v>0</v>
      </c>
      <c r="BN63" s="44" t="n">
        <f aca="false">IF(BJ63=0,0,bsd(1,BO$27,BK63,$W63,$T63,$U63,$AH63,0.1))</f>
        <v>0</v>
      </c>
      <c r="BO63" s="44" t="n">
        <f aca="false">IF(BJ63=0,0,bsd(2,BO$27,BK63,$W63,$T63,$U63,$AH63,0.1))</f>
        <v>0</v>
      </c>
      <c r="BP63" s="44" t="n">
        <f aca="false">IF(BJ63=0,0,bsd(BO$28,BO$27,BK63,$W63,$T63,$U63,$AH63,0.1))</f>
        <v>0</v>
      </c>
      <c r="BQ63" s="45" t="n">
        <f aca="false">BJ63*BN63</f>
        <v>0</v>
      </c>
      <c r="BR63" s="45" t="n">
        <f aca="false">BJ63*BO63</f>
        <v>0</v>
      </c>
      <c r="BS63" s="45" t="n">
        <f aca="false">BJ63*BP63</f>
        <v>0</v>
      </c>
      <c r="BU63" s="9" t="n">
        <f aca="false">IF($A63&gt;=BV$25,IF($A63&lt;=BV$26,$AI63,0),0)</f>
        <v>0</v>
      </c>
      <c r="BV63" s="9" t="e">
        <f aca="false">BX63/BU63</f>
        <v>#DIV/0!</v>
      </c>
      <c r="BW63" s="1" t="n">
        <f aca="false">BU63*($B63+H$13)</f>
        <v>0</v>
      </c>
      <c r="BX63" s="33" t="n">
        <f aca="false">IF(ISNUMBER(((BW63/BU63)+H$14+$Y63)*BU63),((BW63/BU63)+H$14+$Y63)*BU63,0)</f>
        <v>0</v>
      </c>
      <c r="BY63" s="44" t="n">
        <f aca="false">IF(BU63=0,0,bsd(1,BZ$27,BV63,$AD63,$AA63,$AB63,$AH63,0.1))</f>
        <v>0</v>
      </c>
      <c r="BZ63" s="44" t="n">
        <f aca="false">IF(BU63=0,0,bsd(2,BZ$27,BV63,$AD63,$AA63,$AB63,$AH63,0.1))</f>
        <v>0</v>
      </c>
      <c r="CA63" s="44" t="n">
        <f aca="false">IF(BU63=0,0,bsd(BZ$28,BZ$27,BV63,$AD63,$AA63,$AB63,$AH63,0.1))</f>
        <v>0</v>
      </c>
      <c r="CB63" s="45" t="n">
        <f aca="false">BU63*BY63</f>
        <v>0</v>
      </c>
      <c r="CC63" s="45" t="n">
        <f aca="false">BU63*BZ63</f>
        <v>0</v>
      </c>
      <c r="CD63" s="45" t="n">
        <f aca="false">BU63*CA63</f>
        <v>0</v>
      </c>
    </row>
    <row r="64" customFormat="false" ht="12.75" hidden="false" customHeight="false" outlineLevel="0" collapsed="false">
      <c r="A64" s="48" t="n">
        <f aca="false">DATE(YEAR(A63),MONTH(A63)+1,1)</f>
        <v>37803</v>
      </c>
      <c r="B64" s="40" t="n">
        <f aca="false">VLOOKUP(A64,STRADDLE,5,FALSE())</f>
        <v>3.288</v>
      </c>
      <c r="C64" s="4" t="n">
        <f aca="false">VLOOKUP(A64,STRADDLE,8,FALSE())</f>
        <v>0.2575</v>
      </c>
      <c r="D64" s="40" t="n">
        <f aca="false">IF(D$28="nymex",0,VLOOKUP($A64,curvesettle,HLOOKUP(D$28,curvesettle,2,FALSE())))</f>
        <v>0.43</v>
      </c>
      <c r="E64" s="131" t="n">
        <f aca="false">IF(ISNUMBER(VLOOKUP($A64,VOLCURVES,HLOOKUP(D$28,VOLCURVES,2,FALSE()),FALSE())),VLOOKUP($A64,VOLCURVES,HLOOKUP(D$28,VOLCURVES,2,FALSE()),FALSE()),1)</f>
        <v>0.98</v>
      </c>
      <c r="F64" s="136" t="n">
        <f aca="false">IF(D$28="NYMEX",$AG64,$AF64)</f>
        <v>-8128</v>
      </c>
      <c r="G64" s="4" t="e">
        <f aca="false">(($C64+H64)*$E64)+B$15</f>
        <v>#DIV/0!</v>
      </c>
      <c r="H64" s="4" t="e">
        <f aca="false">IF($B$16=1,VLOOKUP($A64,SkewTable,HLOOKUP(ROUND(I64-AO64,1),SkewTable,2,FALSE()),FALSE())/100,0)</f>
        <v>#DIV/0!</v>
      </c>
      <c r="I64" s="41" t="n">
        <f aca="false">IF($B$19=4,$AO64,$B$18)</f>
        <v>5.05</v>
      </c>
      <c r="K64" s="40" t="n">
        <f aca="false">IF(K$28="nymex",0,VLOOKUP($A64,curvesettle,HLOOKUP(K$28,curvesettle,2,FALSE())))</f>
        <v>0.28</v>
      </c>
      <c r="L64" s="131" t="n">
        <f aca="false">IF(ISNUMBER(VLOOKUP($A64,VOLCURVES,HLOOKUP(K$28,VOLCURVES,2,FALSE()),FALSE())),VLOOKUP($A64,VOLCURVES,HLOOKUP(K$28,VOLCURVES,2,FALSE()),FALSE()),1)</f>
        <v>1</v>
      </c>
      <c r="M64" s="136" t="n">
        <f aca="false">IF(K$28="NYMEX",$AG64,$AF64)</f>
        <v>-8128</v>
      </c>
      <c r="N64" s="153" t="e">
        <f aca="false">(($C64+O64)*$L64)+D$15</f>
        <v>#DIV/0!</v>
      </c>
      <c r="O64" s="4" t="e">
        <f aca="false">IF($D$16=1,VLOOKUP($A64,SkewTable,HLOOKUP(ROUND(P64-AZ64,1),SkewTable,2,FALSE()),FALSE())/100,0)</f>
        <v>#DIV/0!</v>
      </c>
      <c r="P64" s="41" t="n">
        <f aca="false">IF($D$19=4,$AZ64,$D$18)</f>
        <v>5.1</v>
      </c>
      <c r="R64" s="40" t="n">
        <f aca="false">IF(R$28="nymex",0,VLOOKUP($A64,curvesettle,HLOOKUP(R$28,curvesettle,2,FALSE())))</f>
        <v>0.0225</v>
      </c>
      <c r="S64" s="131" t="n">
        <f aca="false">IF(ISNUMBER(VLOOKUP($A64,VOLCURVES,HLOOKUP(R$28,VOLCURVES,2,FALSE()),FALSE())),VLOOKUP($A64,VOLCURVES,HLOOKUP(R$28,VOLCURVES,2,FALSE()),FALSE()),1)</f>
        <v>1</v>
      </c>
      <c r="T64" s="136" t="n">
        <f aca="false">IF(R$28="NYMEX",$AG64,$AF64)</f>
        <v>-8128</v>
      </c>
      <c r="U64" s="153" t="e">
        <f aca="false">(($C64+V64)*$S64)+F$15</f>
        <v>#DIV/0!</v>
      </c>
      <c r="V64" s="4" t="e">
        <f aca="false">IF($F$16=1,VLOOKUP($A64,SkewTable,HLOOKUP(ROUND(W64-BK64,1),SkewTable,2,FALSE()),FALSE())/100,0)</f>
        <v>#DIV/0!</v>
      </c>
      <c r="W64" s="41" t="n">
        <f aca="false">IF($F$19=4,$BK64,$F$18)</f>
        <v>5.3983</v>
      </c>
      <c r="X64" s="136"/>
      <c r="Y64" s="40" t="n">
        <f aca="false">IF(Y$28="nymex",0,VLOOKUP($A64,curvesettle,HLOOKUP(Y$28,curvesettle,2,FALSE())))</f>
        <v>0.0225</v>
      </c>
      <c r="Z64" s="131" t="n">
        <f aca="false">IF(ISNUMBER(VLOOKUP($A64,VOLCURVES,HLOOKUP(Y$28,VOLCURVES,2,FALSE()),FALSE())),VLOOKUP($A64,VOLCURVES,HLOOKUP(Y$28,VOLCURVES,2,FALSE()),FALSE()),1)</f>
        <v>1</v>
      </c>
      <c r="AA64" s="136" t="n">
        <f aca="false">IF(Y$28="NYMEX",$AG64,$AF64)</f>
        <v>-8128</v>
      </c>
      <c r="AB64" s="4" t="e">
        <f aca="false">(($C64+AC64)*$Z64)+H$15</f>
        <v>#DIV/0!</v>
      </c>
      <c r="AC64" s="4" t="e">
        <f aca="false">IF($H$16=1,VLOOKUP($A64,SkewTable,HLOOKUP(ROUND(AD64-BV64,1),SkewTable,2,FALSE()),FALSE())/100,0)</f>
        <v>#DIV/0!</v>
      </c>
      <c r="AD64" s="41" t="n">
        <f aca="false">IF($H$19=4,$BV64,$H$18)</f>
        <v>5.4668</v>
      </c>
      <c r="AF64" s="136" t="n">
        <f aca="false">VLOOKUP($A64,expiration,2,FALSE())-$B$2</f>
        <v>-8128</v>
      </c>
      <c r="AG64" s="136" t="n">
        <f aca="false">VLOOKUP($A64,expiration,3,FALSE())-$B$2</f>
        <v>-8129</v>
      </c>
      <c r="AH64" s="4" t="n">
        <f aca="false">VLOOKUP($A64,STRADDLE,12,FALSE())</f>
        <v>0.067261441631244</v>
      </c>
      <c r="AI64" s="43" t="n">
        <f aca="false">A65-A64</f>
        <v>31</v>
      </c>
      <c r="AL64" s="136"/>
      <c r="AM64" s="9"/>
      <c r="AN64" s="9" t="n">
        <f aca="false">IF($A64&gt;=AO$25,IF($A64&lt;=AO$26,$AI64,0),0)</f>
        <v>0</v>
      </c>
      <c r="AO64" s="9" t="e">
        <f aca="false">AQ64/AN64</f>
        <v>#DIV/0!</v>
      </c>
      <c r="AP64" s="1" t="n">
        <f aca="false">AN64*($B64+B$13)</f>
        <v>0</v>
      </c>
      <c r="AQ64" s="33" t="n">
        <f aca="false">IF(ISNUMBER(((AP64/AN64)+B$14+$D64)*AN64),((AP64/AN64)+B$14+$D64)*AN64,0)</f>
        <v>0</v>
      </c>
      <c r="AR64" s="44" t="n">
        <f aca="false">IF(AN64=0,0,bsd(1,AS$27,AO64,$I64,$F64,$G64,$AH64,0.1))</f>
        <v>0</v>
      </c>
      <c r="AS64" s="44" t="n">
        <f aca="false">IF(AN64=0,0,bsd(2,AS$27,AO64,$I64,$F64,$G64,$AH64,0.1))</f>
        <v>0</v>
      </c>
      <c r="AT64" s="44" t="n">
        <f aca="false">IF(AN64=0,0,bsd(AS$28,AS$27,AO64,$I64,$F64,$G64,$AH64,0.1))</f>
        <v>0</v>
      </c>
      <c r="AU64" s="45" t="n">
        <f aca="false">AN64*AR64</f>
        <v>0</v>
      </c>
      <c r="AV64" s="45" t="n">
        <f aca="false">AN64*AS64</f>
        <v>0</v>
      </c>
      <c r="AW64" s="45" t="n">
        <f aca="false">AN64*AT64</f>
        <v>0</v>
      </c>
      <c r="AY64" s="9" t="n">
        <f aca="false">IF($A64&gt;=AZ$25,IF($A64&lt;=AZ$26,$AI64,0),0)</f>
        <v>0</v>
      </c>
      <c r="AZ64" s="9" t="e">
        <f aca="false">BB64/AY64</f>
        <v>#DIV/0!</v>
      </c>
      <c r="BA64" s="1" t="n">
        <f aca="false">AY64*($B64+D$13)</f>
        <v>0</v>
      </c>
      <c r="BB64" s="33" t="n">
        <f aca="false">IF(ISNUMBER(((BA64/AY64)+D$14+$K64)*AY64),((BA64/AY64)+D$14+$K64)*AY64,0)</f>
        <v>0</v>
      </c>
      <c r="BC64" s="44" t="n">
        <f aca="false">IF(AY64=0,0,bsd(1,BD$27,AZ64,$P64,$M64,$N64,$AH64,0.1))</f>
        <v>0</v>
      </c>
      <c r="BD64" s="44" t="n">
        <f aca="false">IF(AY64=0,0,bsd(2,BD$27,AZ64,$P64,$M64,$N64,$AH64,0.1))</f>
        <v>0</v>
      </c>
      <c r="BE64" s="44" t="n">
        <f aca="false">IF(AY64=0,0,bsd(BD$28,BD$27,AZ64,$P64,$M64,$N64,$AH64,0.1))</f>
        <v>0</v>
      </c>
      <c r="BF64" s="45" t="n">
        <f aca="false">AY64*BC64</f>
        <v>0</v>
      </c>
      <c r="BG64" s="45" t="n">
        <f aca="false">AY64*BD64</f>
        <v>0</v>
      </c>
      <c r="BH64" s="45" t="n">
        <f aca="false">AY64*BE64</f>
        <v>0</v>
      </c>
      <c r="BJ64" s="9" t="n">
        <f aca="false">IF($A64&gt;=BK$25,IF($A64&lt;=BK$26,$AI64,0),0)</f>
        <v>0</v>
      </c>
      <c r="BK64" s="9" t="e">
        <f aca="false">BM64/BJ64</f>
        <v>#DIV/0!</v>
      </c>
      <c r="BL64" s="1" t="n">
        <f aca="false">BJ64*($B64+F$13)</f>
        <v>0</v>
      </c>
      <c r="BM64" s="33" t="n">
        <f aca="false">IF(ISNUMBER(((BL64/BJ64)+F$14+$R64)*BJ64),((BL64/BJ64)+F$14+$R64)*BJ64,0)</f>
        <v>0</v>
      </c>
      <c r="BN64" s="44" t="n">
        <f aca="false">IF(BJ64=0,0,bsd(1,BO$27,BK64,$W64,$T64,$U64,$AH64,0.1))</f>
        <v>0</v>
      </c>
      <c r="BO64" s="44" t="n">
        <f aca="false">IF(BJ64=0,0,bsd(2,BO$27,BK64,$W64,$T64,$U64,$AH64,0.1))</f>
        <v>0</v>
      </c>
      <c r="BP64" s="44" t="n">
        <f aca="false">IF(BJ64=0,0,bsd(BO$28,BO$27,BK64,$W64,$T64,$U64,$AH64,0.1))</f>
        <v>0</v>
      </c>
      <c r="BQ64" s="45" t="n">
        <f aca="false">BJ64*BN64</f>
        <v>0</v>
      </c>
      <c r="BR64" s="45" t="n">
        <f aca="false">BJ64*BO64</f>
        <v>0</v>
      </c>
      <c r="BS64" s="45" t="n">
        <f aca="false">BJ64*BP64</f>
        <v>0</v>
      </c>
      <c r="BU64" s="9" t="n">
        <f aca="false">IF($A64&gt;=BV$25,IF($A64&lt;=BV$26,$AI64,0),0)</f>
        <v>0</v>
      </c>
      <c r="BV64" s="9" t="e">
        <f aca="false">BX64/BU64</f>
        <v>#DIV/0!</v>
      </c>
      <c r="BW64" s="1" t="n">
        <f aca="false">BU64*($B64+H$13)</f>
        <v>0</v>
      </c>
      <c r="BX64" s="33" t="n">
        <f aca="false">IF(ISNUMBER(((BW64/BU64)+H$14+$Y64)*BU64),((BW64/BU64)+H$14+$Y64)*BU64,0)</f>
        <v>0</v>
      </c>
      <c r="BY64" s="44" t="n">
        <f aca="false">IF(BU64=0,0,bsd(1,BZ$27,BV64,$AD64,$AA64,$AB64,$AH64,0.1))</f>
        <v>0</v>
      </c>
      <c r="BZ64" s="44" t="n">
        <f aca="false">IF(BU64=0,0,bsd(2,BZ$27,BV64,$AD64,$AA64,$AB64,$AH64,0.1))</f>
        <v>0</v>
      </c>
      <c r="CA64" s="44" t="n">
        <f aca="false">IF(BU64=0,0,bsd(BZ$28,BZ$27,BV64,$AD64,$AA64,$AB64,$AH64,0.1))</f>
        <v>0</v>
      </c>
      <c r="CB64" s="45" t="n">
        <f aca="false">BU64*BY64</f>
        <v>0</v>
      </c>
      <c r="CC64" s="45" t="n">
        <f aca="false">BU64*BZ64</f>
        <v>0</v>
      </c>
      <c r="CD64" s="45" t="n">
        <f aca="false">BU64*CA64</f>
        <v>0</v>
      </c>
    </row>
    <row r="65" customFormat="false" ht="12.75" hidden="false" customHeight="false" outlineLevel="0" collapsed="false">
      <c r="A65" s="48" t="n">
        <f aca="false">DATE(YEAR(A64),MONTH(A64)+1,1)</f>
        <v>37834</v>
      </c>
      <c r="B65" s="40" t="n">
        <f aca="false">VLOOKUP(A65,STRADDLE,5,FALSE())</f>
        <v>3.295</v>
      </c>
      <c r="C65" s="4" t="n">
        <f aca="false">VLOOKUP(A65,STRADDLE,8,FALSE())</f>
        <v>0.2575</v>
      </c>
      <c r="D65" s="40" t="n">
        <f aca="false">IF(D$28="nymex",0,VLOOKUP($A65,curvesettle,HLOOKUP(D$28,curvesettle,2,FALSE())))</f>
        <v>0.495</v>
      </c>
      <c r="E65" s="131" t="n">
        <f aca="false">IF(ISNUMBER(VLOOKUP($A65,VOLCURVES,HLOOKUP(D$28,VOLCURVES,2,FALSE()),FALSE())),VLOOKUP($A65,VOLCURVES,HLOOKUP(D$28,VOLCURVES,2,FALSE()),FALSE()),1)</f>
        <v>0.98</v>
      </c>
      <c r="F65" s="136" t="n">
        <f aca="false">IF(D$28="NYMEX",$AG65,$AF65)</f>
        <v>-8095</v>
      </c>
      <c r="G65" s="4" t="e">
        <f aca="false">(($C65+H65)*$E65)+B$15</f>
        <v>#DIV/0!</v>
      </c>
      <c r="H65" s="4" t="e">
        <f aca="false">IF($B$16=1,VLOOKUP($A65,SkewTable,HLOOKUP(ROUND(I65-AO65,1),SkewTable,2,FALSE()),FALSE())/100,0)</f>
        <v>#DIV/0!</v>
      </c>
      <c r="I65" s="41" t="n">
        <f aca="false">IF($B$19=4,$AO65,$B$18)</f>
        <v>5.05</v>
      </c>
      <c r="K65" s="40" t="n">
        <f aca="false">IF(K$28="nymex",0,VLOOKUP($A65,curvesettle,HLOOKUP(K$28,curvesettle,2,FALSE())))</f>
        <v>0.28</v>
      </c>
      <c r="L65" s="131" t="n">
        <f aca="false">IF(ISNUMBER(VLOOKUP($A65,VOLCURVES,HLOOKUP(K$28,VOLCURVES,2,FALSE()),FALSE())),VLOOKUP($A65,VOLCURVES,HLOOKUP(K$28,VOLCURVES,2,FALSE()),FALSE()),1)</f>
        <v>1</v>
      </c>
      <c r="M65" s="136" t="n">
        <f aca="false">IF(K$28="NYMEX",$AG65,$AF65)</f>
        <v>-8095</v>
      </c>
      <c r="N65" s="153" t="e">
        <f aca="false">(($C65+O65)*$L65)+D$15</f>
        <v>#DIV/0!</v>
      </c>
      <c r="O65" s="4" t="e">
        <f aca="false">IF($D$16=1,VLOOKUP($A65,SkewTable,HLOOKUP(ROUND(P65-AZ65,1),SkewTable,2,FALSE()),FALSE())/100,0)</f>
        <v>#DIV/0!</v>
      </c>
      <c r="P65" s="41" t="n">
        <f aca="false">IF($D$19=4,$AZ65,$D$18)</f>
        <v>5.1</v>
      </c>
      <c r="R65" s="40" t="n">
        <f aca="false">IF(R$28="nymex",0,VLOOKUP($A65,curvesettle,HLOOKUP(R$28,curvesettle,2,FALSE())))</f>
        <v>0.025</v>
      </c>
      <c r="S65" s="131" t="n">
        <f aca="false">IF(ISNUMBER(VLOOKUP($A65,VOLCURVES,HLOOKUP(R$28,VOLCURVES,2,FALSE()),FALSE())),VLOOKUP($A65,VOLCURVES,HLOOKUP(R$28,VOLCURVES,2,FALSE()),FALSE()),1)</f>
        <v>1</v>
      </c>
      <c r="T65" s="136" t="n">
        <f aca="false">IF(R$28="NYMEX",$AG65,$AF65)</f>
        <v>-8095</v>
      </c>
      <c r="U65" s="153" t="e">
        <f aca="false">(($C65+V65)*$S65)+F$15</f>
        <v>#DIV/0!</v>
      </c>
      <c r="V65" s="4" t="e">
        <f aca="false">IF($F$16=1,VLOOKUP($A65,SkewTable,HLOOKUP(ROUND(W65-BK65,1),SkewTable,2,FALSE()),FALSE())/100,0)</f>
        <v>#DIV/0!</v>
      </c>
      <c r="W65" s="41" t="n">
        <f aca="false">IF($F$19=4,$BK65,$F$18)</f>
        <v>5.3983</v>
      </c>
      <c r="X65" s="136"/>
      <c r="Y65" s="40" t="n">
        <f aca="false">IF(Y$28="nymex",0,VLOOKUP($A65,curvesettle,HLOOKUP(Y$28,curvesettle,2,FALSE())))</f>
        <v>0.025</v>
      </c>
      <c r="Z65" s="131" t="n">
        <f aca="false">IF(ISNUMBER(VLOOKUP($A65,VOLCURVES,HLOOKUP(Y$28,VOLCURVES,2,FALSE()),FALSE())),VLOOKUP($A65,VOLCURVES,HLOOKUP(Y$28,VOLCURVES,2,FALSE()),FALSE()),1)</f>
        <v>1</v>
      </c>
      <c r="AA65" s="136" t="n">
        <f aca="false">IF(Y$28="NYMEX",$AG65,$AF65)</f>
        <v>-8095</v>
      </c>
      <c r="AB65" s="4" t="e">
        <f aca="false">(($C65+AC65)*$Z65)+H$15</f>
        <v>#DIV/0!</v>
      </c>
      <c r="AC65" s="4" t="e">
        <f aca="false">IF($H$16=1,VLOOKUP($A65,SkewTable,HLOOKUP(ROUND(AD65-BV65,1),SkewTable,2,FALSE()),FALSE())/100,0)</f>
        <v>#DIV/0!</v>
      </c>
      <c r="AD65" s="41" t="n">
        <f aca="false">IF($H$19=4,$BV65,$H$18)</f>
        <v>5.4668</v>
      </c>
      <c r="AF65" s="136" t="n">
        <f aca="false">VLOOKUP($A65,expiration,2,FALSE())-$B$2</f>
        <v>-8095</v>
      </c>
      <c r="AG65" s="136" t="n">
        <f aca="false">VLOOKUP($A65,expiration,3,FALSE())-$B$2</f>
        <v>-8096</v>
      </c>
      <c r="AH65" s="4" t="n">
        <f aca="false">VLOOKUP($A65,STRADDLE,12,FALSE())</f>
        <v>0.067272650985246</v>
      </c>
      <c r="AI65" s="43" t="n">
        <f aca="false">A66-A65</f>
        <v>31</v>
      </c>
      <c r="AL65" s="136"/>
      <c r="AM65" s="9"/>
      <c r="AN65" s="9" t="n">
        <f aca="false">IF($A65&gt;=AO$25,IF($A65&lt;=AO$26,$AI65,0),0)</f>
        <v>0</v>
      </c>
      <c r="AO65" s="9" t="e">
        <f aca="false">AQ65/AN65</f>
        <v>#DIV/0!</v>
      </c>
      <c r="AP65" s="1" t="n">
        <f aca="false">AN65*($B65+B$13)</f>
        <v>0</v>
      </c>
      <c r="AQ65" s="33" t="n">
        <f aca="false">IF(ISNUMBER(((AP65/AN65)+B$14+$D65)*AN65),((AP65/AN65)+B$14+$D65)*AN65,0)</f>
        <v>0</v>
      </c>
      <c r="AR65" s="44" t="n">
        <f aca="false">IF(AN65=0,0,bsd(1,AS$27,AO65,$I65,$F65,$G65,$AH65,0.1))</f>
        <v>0</v>
      </c>
      <c r="AS65" s="44" t="n">
        <f aca="false">IF(AN65=0,0,bsd(2,AS$27,AO65,$I65,$F65,$G65,$AH65,0.1))</f>
        <v>0</v>
      </c>
      <c r="AT65" s="44" t="n">
        <f aca="false">IF(AN65=0,0,bsd(AS$28,AS$27,AO65,$I65,$F65,$G65,$AH65,0.1))</f>
        <v>0</v>
      </c>
      <c r="AU65" s="45" t="n">
        <f aca="false">AN65*AR65</f>
        <v>0</v>
      </c>
      <c r="AV65" s="45" t="n">
        <f aca="false">AN65*AS65</f>
        <v>0</v>
      </c>
      <c r="AW65" s="45" t="n">
        <f aca="false">AN65*AT65</f>
        <v>0</v>
      </c>
      <c r="AY65" s="9" t="n">
        <f aca="false">IF($A65&gt;=AZ$25,IF($A65&lt;=AZ$26,$AI65,0),0)</f>
        <v>0</v>
      </c>
      <c r="AZ65" s="9" t="e">
        <f aca="false">BB65/AY65</f>
        <v>#DIV/0!</v>
      </c>
      <c r="BA65" s="1" t="n">
        <f aca="false">AY65*($B65+D$13)</f>
        <v>0</v>
      </c>
      <c r="BB65" s="33" t="n">
        <f aca="false">IF(ISNUMBER(((BA65/AY65)+D$14+$K65)*AY65),((BA65/AY65)+D$14+$K65)*AY65,0)</f>
        <v>0</v>
      </c>
      <c r="BC65" s="44" t="n">
        <f aca="false">IF(AY65=0,0,bsd(1,BD$27,AZ65,$P65,$M65,$N65,$AH65,0.1))</f>
        <v>0</v>
      </c>
      <c r="BD65" s="44" t="n">
        <f aca="false">IF(AY65=0,0,bsd(2,BD$27,AZ65,$P65,$M65,$N65,$AH65,0.1))</f>
        <v>0</v>
      </c>
      <c r="BE65" s="44" t="n">
        <f aca="false">IF(AY65=0,0,bsd(BD$28,BD$27,AZ65,$P65,$M65,$N65,$AH65,0.1))</f>
        <v>0</v>
      </c>
      <c r="BF65" s="45" t="n">
        <f aca="false">AY65*BC65</f>
        <v>0</v>
      </c>
      <c r="BG65" s="45" t="n">
        <f aca="false">AY65*BD65</f>
        <v>0</v>
      </c>
      <c r="BH65" s="45" t="n">
        <f aca="false">AY65*BE65</f>
        <v>0</v>
      </c>
      <c r="BJ65" s="9" t="n">
        <f aca="false">IF($A65&gt;=BK$25,IF($A65&lt;=BK$26,$AI65,0),0)</f>
        <v>0</v>
      </c>
      <c r="BK65" s="9" t="e">
        <f aca="false">BM65/BJ65</f>
        <v>#DIV/0!</v>
      </c>
      <c r="BL65" s="1" t="n">
        <f aca="false">BJ65*($B65+F$13)</f>
        <v>0</v>
      </c>
      <c r="BM65" s="33" t="n">
        <f aca="false">IF(ISNUMBER(((BL65/BJ65)+F$14+$R65)*BJ65),((BL65/BJ65)+F$14+$R65)*BJ65,0)</f>
        <v>0</v>
      </c>
      <c r="BN65" s="44" t="n">
        <f aca="false">IF(BJ65=0,0,bsd(1,BO$27,BK65,$W65,$T65,$U65,$AH65,0.1))</f>
        <v>0</v>
      </c>
      <c r="BO65" s="44" t="n">
        <f aca="false">IF(BJ65=0,0,bsd(2,BO$27,BK65,$W65,$T65,$U65,$AH65,0.1))</f>
        <v>0</v>
      </c>
      <c r="BP65" s="44" t="n">
        <f aca="false">IF(BJ65=0,0,bsd(BO$28,BO$27,BK65,$W65,$T65,$U65,$AH65,0.1))</f>
        <v>0</v>
      </c>
      <c r="BQ65" s="45" t="n">
        <f aca="false">BJ65*BN65</f>
        <v>0</v>
      </c>
      <c r="BR65" s="45" t="n">
        <f aca="false">BJ65*BO65</f>
        <v>0</v>
      </c>
      <c r="BS65" s="45" t="n">
        <f aca="false">BJ65*BP65</f>
        <v>0</v>
      </c>
      <c r="BU65" s="9" t="n">
        <f aca="false">IF($A65&gt;=BV$25,IF($A65&lt;=BV$26,$AI65,0),0)</f>
        <v>0</v>
      </c>
      <c r="BV65" s="9" t="e">
        <f aca="false">BX65/BU65</f>
        <v>#DIV/0!</v>
      </c>
      <c r="BW65" s="1" t="n">
        <f aca="false">BU65*($B65+H$13)</f>
        <v>0</v>
      </c>
      <c r="BX65" s="33" t="n">
        <f aca="false">IF(ISNUMBER(((BW65/BU65)+H$14+$Y65)*BU65),((BW65/BU65)+H$14+$Y65)*BU65,0)</f>
        <v>0</v>
      </c>
      <c r="BY65" s="44" t="n">
        <f aca="false">IF(BU65=0,0,bsd(1,BZ$27,BV65,$AD65,$AA65,$AB65,$AH65,0.1))</f>
        <v>0</v>
      </c>
      <c r="BZ65" s="44" t="n">
        <f aca="false">IF(BU65=0,0,bsd(2,BZ$27,BV65,$AD65,$AA65,$AB65,$AH65,0.1))</f>
        <v>0</v>
      </c>
      <c r="CA65" s="44" t="n">
        <f aca="false">IF(BU65=0,0,bsd(BZ$28,BZ$27,BV65,$AD65,$AA65,$AB65,$AH65,0.1))</f>
        <v>0</v>
      </c>
      <c r="CB65" s="45" t="n">
        <f aca="false">BU65*BY65</f>
        <v>0</v>
      </c>
      <c r="CC65" s="45" t="n">
        <f aca="false">BU65*BZ65</f>
        <v>0</v>
      </c>
      <c r="CD65" s="45" t="n">
        <f aca="false">BU65*CA65</f>
        <v>0</v>
      </c>
    </row>
    <row r="66" customFormat="false" ht="12.75" hidden="false" customHeight="false" outlineLevel="0" collapsed="false">
      <c r="A66" s="48" t="n">
        <f aca="false">DATE(YEAR(A65),MONTH(A65)+1,1)</f>
        <v>37865</v>
      </c>
      <c r="B66" s="40" t="n">
        <f aca="false">VLOOKUP(A66,STRADDLE,5,FALSE())</f>
        <v>3.285</v>
      </c>
      <c r="C66" s="4" t="n">
        <f aca="false">VLOOKUP(A66,STRADDLE,8,FALSE())</f>
        <v>0.2575</v>
      </c>
      <c r="D66" s="40" t="n">
        <f aca="false">IF(D$28="nymex",0,VLOOKUP($A66,curvesettle,HLOOKUP(D$28,curvesettle,2,FALSE())))</f>
        <v>0.395</v>
      </c>
      <c r="E66" s="131" t="n">
        <f aca="false">IF(ISNUMBER(VLOOKUP($A66,VOLCURVES,HLOOKUP(D$28,VOLCURVES,2,FALSE()),FALSE())),VLOOKUP($A66,VOLCURVES,HLOOKUP(D$28,VOLCURVES,2,FALSE()),FALSE()),1)</f>
        <v>0.98</v>
      </c>
      <c r="F66" s="136" t="n">
        <f aca="false">IF(D$28="NYMEX",$AG66,$AF66)</f>
        <v>-8066</v>
      </c>
      <c r="G66" s="4" t="e">
        <f aca="false">(($C66+H66)*$E66)+B$15</f>
        <v>#DIV/0!</v>
      </c>
      <c r="H66" s="4" t="e">
        <f aca="false">IF($B$16=1,VLOOKUP($A66,SkewTable,HLOOKUP(ROUND(I66-AO66,1),SkewTable,2,FALSE()),FALSE())/100,0)</f>
        <v>#DIV/0!</v>
      </c>
      <c r="I66" s="41" t="n">
        <f aca="false">IF($B$19=4,$AO66,$B$18)</f>
        <v>5.05</v>
      </c>
      <c r="K66" s="40" t="n">
        <f aca="false">IF(K$28="nymex",0,VLOOKUP($A66,curvesettle,HLOOKUP(K$28,curvesettle,2,FALSE())))</f>
        <v>0.28</v>
      </c>
      <c r="L66" s="131" t="n">
        <f aca="false">IF(ISNUMBER(VLOOKUP($A66,VOLCURVES,HLOOKUP(K$28,VOLCURVES,2,FALSE()),FALSE())),VLOOKUP($A66,VOLCURVES,HLOOKUP(K$28,VOLCURVES,2,FALSE()),FALSE()),1)</f>
        <v>1</v>
      </c>
      <c r="M66" s="136" t="n">
        <f aca="false">IF(K$28="NYMEX",$AG66,$AF66)</f>
        <v>-8066</v>
      </c>
      <c r="N66" s="153" t="e">
        <f aca="false">(($C66+O66)*$L66)+D$15</f>
        <v>#DIV/0!</v>
      </c>
      <c r="O66" s="4" t="e">
        <f aca="false">IF($D$16=1,VLOOKUP($A66,SkewTable,HLOOKUP(ROUND(P66-AZ66,1),SkewTable,2,FALSE()),FALSE())/100,0)</f>
        <v>#DIV/0!</v>
      </c>
      <c r="P66" s="41" t="n">
        <f aca="false">IF($D$19=4,$AZ66,$D$18)</f>
        <v>5.1</v>
      </c>
      <c r="R66" s="40" t="n">
        <f aca="false">IF(R$28="nymex",0,VLOOKUP($A66,curvesettle,HLOOKUP(R$28,curvesettle,2,FALSE())))</f>
        <v>0.0175</v>
      </c>
      <c r="S66" s="131" t="n">
        <f aca="false">IF(ISNUMBER(VLOOKUP($A66,VOLCURVES,HLOOKUP(R$28,VOLCURVES,2,FALSE()),FALSE())),VLOOKUP($A66,VOLCURVES,HLOOKUP(R$28,VOLCURVES,2,FALSE()),FALSE()),1)</f>
        <v>1</v>
      </c>
      <c r="T66" s="136" t="n">
        <f aca="false">IF(R$28="NYMEX",$AG66,$AF66)</f>
        <v>-8066</v>
      </c>
      <c r="U66" s="153" t="e">
        <f aca="false">(($C66+V66)*$S66)+F$15</f>
        <v>#DIV/0!</v>
      </c>
      <c r="V66" s="4" t="e">
        <f aca="false">IF($F$16=1,VLOOKUP($A66,SkewTable,HLOOKUP(ROUND(W66-BK66,1),SkewTable,2,FALSE()),FALSE())/100,0)</f>
        <v>#DIV/0!</v>
      </c>
      <c r="W66" s="41" t="n">
        <f aca="false">IF($F$19=4,$BK66,$F$18)</f>
        <v>5.3983</v>
      </c>
      <c r="X66" s="136"/>
      <c r="Y66" s="40" t="n">
        <f aca="false">IF(Y$28="nymex",0,VLOOKUP($A66,curvesettle,HLOOKUP(Y$28,curvesettle,2,FALSE())))</f>
        <v>0.0175</v>
      </c>
      <c r="Z66" s="131" t="n">
        <f aca="false">IF(ISNUMBER(VLOOKUP($A66,VOLCURVES,HLOOKUP(Y$28,VOLCURVES,2,FALSE()),FALSE())),VLOOKUP($A66,VOLCURVES,HLOOKUP(Y$28,VOLCURVES,2,FALSE()),FALSE()),1)</f>
        <v>1</v>
      </c>
      <c r="AA66" s="136" t="n">
        <f aca="false">IF(Y$28="NYMEX",$AG66,$AF66)</f>
        <v>-8066</v>
      </c>
      <c r="AB66" s="4" t="e">
        <f aca="false">(($C66+AC66)*$Z66)+H$15</f>
        <v>#DIV/0!</v>
      </c>
      <c r="AC66" s="4" t="e">
        <f aca="false">IF($H$16=1,VLOOKUP($A66,SkewTable,HLOOKUP(ROUND(AD66-BV66,1),SkewTable,2,FALSE()),FALSE())/100,0)</f>
        <v>#DIV/0!</v>
      </c>
      <c r="AD66" s="41" t="n">
        <f aca="false">IF($H$19=4,$BV66,$H$18)</f>
        <v>5.4668</v>
      </c>
      <c r="AF66" s="136" t="n">
        <f aca="false">VLOOKUP($A66,expiration,2,FALSE())-$B$2</f>
        <v>-8066</v>
      </c>
      <c r="AG66" s="136" t="n">
        <f aca="false">VLOOKUP($A66,expiration,3,FALSE())-$B$2</f>
        <v>-8067</v>
      </c>
      <c r="AH66" s="4" t="n">
        <f aca="false">VLOOKUP($A66,STRADDLE,12,FALSE())</f>
        <v>0.06728386033929</v>
      </c>
      <c r="AI66" s="43" t="n">
        <f aca="false">A67-A66</f>
        <v>30</v>
      </c>
      <c r="AL66" s="136"/>
      <c r="AM66" s="9"/>
      <c r="AN66" s="9" t="n">
        <f aca="false">IF($A66&gt;=AO$25,IF($A66&lt;=AO$26,$AI66,0),0)</f>
        <v>0</v>
      </c>
      <c r="AO66" s="9" t="e">
        <f aca="false">AQ66/AN66</f>
        <v>#DIV/0!</v>
      </c>
      <c r="AP66" s="1" t="n">
        <f aca="false">AN66*($B66+B$13)</f>
        <v>0</v>
      </c>
      <c r="AQ66" s="33" t="n">
        <f aca="false">IF(ISNUMBER(((AP66/AN66)+B$14+$D66)*AN66),((AP66/AN66)+B$14+$D66)*AN66,0)</f>
        <v>0</v>
      </c>
      <c r="AR66" s="44" t="n">
        <f aca="false">IF(AN66=0,0,bsd(1,AS$27,AO66,$I66,$F66,$G66,$AH66,0.1))</f>
        <v>0</v>
      </c>
      <c r="AS66" s="44" t="n">
        <f aca="false">IF(AN66=0,0,bsd(2,AS$27,AO66,$I66,$F66,$G66,$AH66,0.1))</f>
        <v>0</v>
      </c>
      <c r="AT66" s="44" t="n">
        <f aca="false">IF(AN66=0,0,bsd(AS$28,AS$27,AO66,$I66,$F66,$G66,$AH66,0.1))</f>
        <v>0</v>
      </c>
      <c r="AU66" s="45" t="n">
        <f aca="false">AN66*AR66</f>
        <v>0</v>
      </c>
      <c r="AV66" s="45" t="n">
        <f aca="false">AN66*AS66</f>
        <v>0</v>
      </c>
      <c r="AW66" s="45" t="n">
        <f aca="false">AN66*AT66</f>
        <v>0</v>
      </c>
      <c r="AY66" s="9" t="n">
        <f aca="false">IF($A66&gt;=AZ$25,IF($A66&lt;=AZ$26,$AI66,0),0)</f>
        <v>0</v>
      </c>
      <c r="AZ66" s="9" t="e">
        <f aca="false">BB66/AY66</f>
        <v>#DIV/0!</v>
      </c>
      <c r="BA66" s="1" t="n">
        <f aca="false">AY66*($B66+D$13)</f>
        <v>0</v>
      </c>
      <c r="BB66" s="33" t="n">
        <f aca="false">IF(ISNUMBER(((BA66/AY66)+D$14+$K66)*AY66),((BA66/AY66)+D$14+$K66)*AY66,0)</f>
        <v>0</v>
      </c>
      <c r="BC66" s="44" t="n">
        <f aca="false">IF(AY66=0,0,bsd(1,BD$27,AZ66,$P66,$M66,$N66,$AH66,0.1))</f>
        <v>0</v>
      </c>
      <c r="BD66" s="44" t="n">
        <f aca="false">IF(AY66=0,0,bsd(2,BD$27,AZ66,$P66,$M66,$N66,$AH66,0.1))</f>
        <v>0</v>
      </c>
      <c r="BE66" s="44" t="n">
        <f aca="false">IF(AY66=0,0,bsd(BD$28,BD$27,AZ66,$P66,$M66,$N66,$AH66,0.1))</f>
        <v>0</v>
      </c>
      <c r="BF66" s="45" t="n">
        <f aca="false">AY66*BC66</f>
        <v>0</v>
      </c>
      <c r="BG66" s="45" t="n">
        <f aca="false">AY66*BD66</f>
        <v>0</v>
      </c>
      <c r="BH66" s="45" t="n">
        <f aca="false">AY66*BE66</f>
        <v>0</v>
      </c>
      <c r="BJ66" s="9" t="n">
        <f aca="false">IF($A66&gt;=BK$25,IF($A66&lt;=BK$26,$AI66,0),0)</f>
        <v>0</v>
      </c>
      <c r="BK66" s="9" t="e">
        <f aca="false">BM66/BJ66</f>
        <v>#DIV/0!</v>
      </c>
      <c r="BL66" s="1" t="n">
        <f aca="false">BJ66*($B66+F$13)</f>
        <v>0</v>
      </c>
      <c r="BM66" s="33" t="n">
        <f aca="false">IF(ISNUMBER(((BL66/BJ66)+F$14+$R66)*BJ66),((BL66/BJ66)+F$14+$R66)*BJ66,0)</f>
        <v>0</v>
      </c>
      <c r="BN66" s="44" t="n">
        <f aca="false">IF(BJ66=0,0,bsd(1,BO$27,BK66,$W66,$T66,$U66,$AH66,0.1))</f>
        <v>0</v>
      </c>
      <c r="BO66" s="44" t="n">
        <f aca="false">IF(BJ66=0,0,bsd(2,BO$27,BK66,$W66,$T66,$U66,$AH66,0.1))</f>
        <v>0</v>
      </c>
      <c r="BP66" s="44" t="n">
        <f aca="false">IF(BJ66=0,0,bsd(BO$28,BO$27,BK66,$W66,$T66,$U66,$AH66,0.1))</f>
        <v>0</v>
      </c>
      <c r="BQ66" s="45" t="n">
        <f aca="false">BJ66*BN66</f>
        <v>0</v>
      </c>
      <c r="BR66" s="45" t="n">
        <f aca="false">BJ66*BO66</f>
        <v>0</v>
      </c>
      <c r="BS66" s="45" t="n">
        <f aca="false">BJ66*BP66</f>
        <v>0</v>
      </c>
      <c r="BU66" s="9" t="n">
        <f aca="false">IF($A66&gt;=BV$25,IF($A66&lt;=BV$26,$AI66,0),0)</f>
        <v>0</v>
      </c>
      <c r="BV66" s="9" t="e">
        <f aca="false">BX66/BU66</f>
        <v>#DIV/0!</v>
      </c>
      <c r="BW66" s="1" t="n">
        <f aca="false">BU66*($B66+H$13)</f>
        <v>0</v>
      </c>
      <c r="BX66" s="33" t="n">
        <f aca="false">IF(ISNUMBER(((BW66/BU66)+H$14+$Y66)*BU66),((BW66/BU66)+H$14+$Y66)*BU66,0)</f>
        <v>0</v>
      </c>
      <c r="BY66" s="44" t="n">
        <f aca="false">IF(BU66=0,0,bsd(1,BZ$27,BV66,$AD66,$AA66,$AB66,$AH66,0.1))</f>
        <v>0</v>
      </c>
      <c r="BZ66" s="44" t="n">
        <f aca="false">IF(BU66=0,0,bsd(2,BZ$27,BV66,$AD66,$AA66,$AB66,$AH66,0.1))</f>
        <v>0</v>
      </c>
      <c r="CA66" s="44" t="n">
        <f aca="false">IF(BU66=0,0,bsd(BZ$28,BZ$27,BV66,$AD66,$AA66,$AB66,$AH66,0.1))</f>
        <v>0</v>
      </c>
      <c r="CB66" s="45" t="n">
        <f aca="false">BU66*BY66</f>
        <v>0</v>
      </c>
      <c r="CC66" s="45" t="n">
        <f aca="false">BU66*BZ66</f>
        <v>0</v>
      </c>
      <c r="CD66" s="45" t="n">
        <f aca="false">BU66*CA66</f>
        <v>0</v>
      </c>
    </row>
    <row r="67" customFormat="false" ht="12.75" hidden="false" customHeight="false" outlineLevel="0" collapsed="false">
      <c r="A67" s="48" t="n">
        <f aca="false">DATE(YEAR(A66),MONTH(A66)+1,1)</f>
        <v>37895</v>
      </c>
      <c r="B67" s="40" t="n">
        <f aca="false">VLOOKUP(A67,STRADDLE,5,FALSE())</f>
        <v>3.308</v>
      </c>
      <c r="C67" s="4" t="n">
        <f aca="false">VLOOKUP(A67,STRADDLE,8,FALSE())</f>
        <v>0.2575</v>
      </c>
      <c r="D67" s="40" t="n">
        <f aca="false">IF(D$28="nymex",0,VLOOKUP($A67,curvesettle,HLOOKUP(D$28,curvesettle,2,FALSE())))</f>
        <v>0.461</v>
      </c>
      <c r="E67" s="131" t="n">
        <f aca="false">IF(ISNUMBER(VLOOKUP($A67,VOLCURVES,HLOOKUP(D$28,VOLCURVES,2,FALSE()),FALSE())),VLOOKUP($A67,VOLCURVES,HLOOKUP(D$28,VOLCURVES,2,FALSE()),FALSE()),1)</f>
        <v>0.98</v>
      </c>
      <c r="F67" s="136" t="n">
        <f aca="false">IF(D$28="NYMEX",$AG67,$AF67)</f>
        <v>-8036</v>
      </c>
      <c r="G67" s="4" t="e">
        <f aca="false">(($C67+H67)*$E67)+B$15</f>
        <v>#DIV/0!</v>
      </c>
      <c r="H67" s="4" t="e">
        <f aca="false">IF($B$16=1,VLOOKUP($A67,SkewTable,HLOOKUP(ROUND(I67-AO67,1),SkewTable,2,FALSE()),FALSE())/100,0)</f>
        <v>#DIV/0!</v>
      </c>
      <c r="I67" s="41" t="n">
        <f aca="false">IF($B$19=4,$AO67,$B$18)</f>
        <v>5.05</v>
      </c>
      <c r="K67" s="40" t="n">
        <f aca="false">IF(K$28="nymex",0,VLOOKUP($A67,curvesettle,HLOOKUP(K$28,curvesettle,2,FALSE())))</f>
        <v>0.28</v>
      </c>
      <c r="L67" s="131" t="n">
        <f aca="false">IF(ISNUMBER(VLOOKUP($A67,VOLCURVES,HLOOKUP(K$28,VOLCURVES,2,FALSE()),FALSE())),VLOOKUP($A67,VOLCURVES,HLOOKUP(K$28,VOLCURVES,2,FALSE()),FALSE()),1)</f>
        <v>1</v>
      </c>
      <c r="M67" s="136" t="n">
        <f aca="false">IF(K$28="NYMEX",$AG67,$AF67)</f>
        <v>-8036</v>
      </c>
      <c r="N67" s="153" t="e">
        <f aca="false">(($C67+O67)*$L67)+D$15</f>
        <v>#DIV/0!</v>
      </c>
      <c r="O67" s="4" t="e">
        <f aca="false">IF($D$16=1,VLOOKUP($A67,SkewTable,HLOOKUP(ROUND(P67-AZ67,1),SkewTable,2,FALSE()),FALSE())/100,0)</f>
        <v>#DIV/0!</v>
      </c>
      <c r="P67" s="41" t="n">
        <f aca="false">IF($D$19=4,$AZ67,$D$18)</f>
        <v>5.1</v>
      </c>
      <c r="R67" s="40" t="n">
        <f aca="false">IF(R$28="nymex",0,VLOOKUP($A67,curvesettle,HLOOKUP(R$28,curvesettle,2,FALSE())))</f>
        <v>0.0075</v>
      </c>
      <c r="S67" s="131" t="n">
        <f aca="false">IF(ISNUMBER(VLOOKUP($A67,VOLCURVES,HLOOKUP(R$28,VOLCURVES,2,FALSE()),FALSE())),VLOOKUP($A67,VOLCURVES,HLOOKUP(R$28,VOLCURVES,2,FALSE()),FALSE()),1)</f>
        <v>1</v>
      </c>
      <c r="T67" s="136" t="n">
        <f aca="false">IF(R$28="NYMEX",$AG67,$AF67)</f>
        <v>-8036</v>
      </c>
      <c r="U67" s="153" t="e">
        <f aca="false">(($C67+V67)*$S67)+F$15</f>
        <v>#DIV/0!</v>
      </c>
      <c r="V67" s="4" t="e">
        <f aca="false">IF($F$16=1,VLOOKUP($A67,SkewTable,HLOOKUP(ROUND(W67-BK67,1),SkewTable,2,FALSE()),FALSE())/100,0)</f>
        <v>#DIV/0!</v>
      </c>
      <c r="W67" s="41" t="n">
        <f aca="false">IF($F$19=4,$BK67,$F$18)</f>
        <v>5.3983</v>
      </c>
      <c r="X67" s="136"/>
      <c r="Y67" s="40" t="n">
        <f aca="false">IF(Y$28="nymex",0,VLOOKUP($A67,curvesettle,HLOOKUP(Y$28,curvesettle,2,FALSE())))</f>
        <v>0.0075</v>
      </c>
      <c r="Z67" s="131" t="n">
        <f aca="false">IF(ISNUMBER(VLOOKUP($A67,VOLCURVES,HLOOKUP(Y$28,VOLCURVES,2,FALSE()),FALSE())),VLOOKUP($A67,VOLCURVES,HLOOKUP(Y$28,VOLCURVES,2,FALSE()),FALSE()),1)</f>
        <v>1</v>
      </c>
      <c r="AA67" s="136" t="n">
        <f aca="false">IF(Y$28="NYMEX",$AG67,$AF67)</f>
        <v>-8036</v>
      </c>
      <c r="AB67" s="4" t="e">
        <f aca="false">(($C67+AC67)*$Z67)+H$15</f>
        <v>#DIV/0!</v>
      </c>
      <c r="AC67" s="4" t="e">
        <f aca="false">IF($H$16=1,VLOOKUP($A67,SkewTable,HLOOKUP(ROUND(AD67-BV67,1),SkewTable,2,FALSE()),FALSE())/100,0)</f>
        <v>#DIV/0!</v>
      </c>
      <c r="AD67" s="41" t="n">
        <f aca="false">IF($H$19=4,$BV67,$H$18)</f>
        <v>5.4668</v>
      </c>
      <c r="AF67" s="136" t="n">
        <f aca="false">VLOOKUP($A67,expiration,2,FALSE())-$B$2</f>
        <v>-8036</v>
      </c>
      <c r="AG67" s="136" t="n">
        <f aca="false">VLOOKUP($A67,expiration,3,FALSE())-$B$2</f>
        <v>-8037</v>
      </c>
      <c r="AH67" s="4" t="n">
        <f aca="false">VLOOKUP($A67,STRADDLE,12,FALSE())</f>
        <v>0.067297346203373</v>
      </c>
      <c r="AI67" s="43" t="n">
        <f aca="false">A68-A67</f>
        <v>31</v>
      </c>
      <c r="AL67" s="136"/>
      <c r="AM67" s="9"/>
      <c r="AN67" s="9" t="n">
        <f aca="false">IF($A67&gt;=AO$25,IF($A67&lt;=AO$26,$AI67,0),0)</f>
        <v>0</v>
      </c>
      <c r="AO67" s="9" t="e">
        <f aca="false">AQ67/AN67</f>
        <v>#DIV/0!</v>
      </c>
      <c r="AP67" s="1" t="n">
        <f aca="false">AN67*($B67+B$13)</f>
        <v>0</v>
      </c>
      <c r="AQ67" s="33" t="n">
        <f aca="false">IF(ISNUMBER(((AP67/AN67)+B$14+$D67)*AN67),((AP67/AN67)+B$14+$D67)*AN67,0)</f>
        <v>0</v>
      </c>
      <c r="AR67" s="44" t="n">
        <f aca="false">IF(AN67=0,0,bsd(1,AS$27,AO67,$I67,$F67,$G67,$AH67,0.1))</f>
        <v>0</v>
      </c>
      <c r="AS67" s="44" t="n">
        <f aca="false">IF(AN67=0,0,bsd(2,AS$27,AO67,$I67,$F67,$G67,$AH67,0.1))</f>
        <v>0</v>
      </c>
      <c r="AT67" s="44" t="n">
        <f aca="false">IF(AN67=0,0,bsd(AS$28,AS$27,AO67,$I67,$F67,$G67,$AH67,0.1))</f>
        <v>0</v>
      </c>
      <c r="AU67" s="45" t="n">
        <f aca="false">AN67*AR67</f>
        <v>0</v>
      </c>
      <c r="AV67" s="45" t="n">
        <f aca="false">AN67*AS67</f>
        <v>0</v>
      </c>
      <c r="AW67" s="45" t="n">
        <f aca="false">AN67*AT67</f>
        <v>0</v>
      </c>
      <c r="AY67" s="9" t="n">
        <f aca="false">IF($A67&gt;=AZ$25,IF($A67&lt;=AZ$26,$AI67,0),0)</f>
        <v>0</v>
      </c>
      <c r="AZ67" s="9" t="e">
        <f aca="false">BB67/AY67</f>
        <v>#DIV/0!</v>
      </c>
      <c r="BA67" s="1" t="n">
        <f aca="false">AY67*($B67+D$13)</f>
        <v>0</v>
      </c>
      <c r="BB67" s="33" t="n">
        <f aca="false">IF(ISNUMBER(((BA67/AY67)+D$14+$K67)*AY67),((BA67/AY67)+D$14+$K67)*AY67,0)</f>
        <v>0</v>
      </c>
      <c r="BC67" s="44" t="n">
        <f aca="false">IF(AY67=0,0,bsd(1,BD$27,AZ67,$P67,$M67,$N67,$AH67,0.1))</f>
        <v>0</v>
      </c>
      <c r="BD67" s="44" t="n">
        <f aca="false">IF(AY67=0,0,bsd(2,BD$27,AZ67,$P67,$M67,$N67,$AH67,0.1))</f>
        <v>0</v>
      </c>
      <c r="BE67" s="44" t="n">
        <f aca="false">IF(AY67=0,0,bsd(BD$28,BD$27,AZ67,$P67,$M67,$N67,$AH67,0.1))</f>
        <v>0</v>
      </c>
      <c r="BF67" s="45" t="n">
        <f aca="false">AY67*BC67</f>
        <v>0</v>
      </c>
      <c r="BG67" s="45" t="n">
        <f aca="false">AY67*BD67</f>
        <v>0</v>
      </c>
      <c r="BH67" s="45" t="n">
        <f aca="false">AY67*BE67</f>
        <v>0</v>
      </c>
      <c r="BJ67" s="9" t="n">
        <f aca="false">IF($A67&gt;=BK$25,IF($A67&lt;=BK$26,$AI67,0),0)</f>
        <v>0</v>
      </c>
      <c r="BK67" s="9" t="e">
        <f aca="false">BM67/BJ67</f>
        <v>#DIV/0!</v>
      </c>
      <c r="BL67" s="1" t="n">
        <f aca="false">BJ67*($B67+F$13)</f>
        <v>0</v>
      </c>
      <c r="BM67" s="33" t="n">
        <f aca="false">IF(ISNUMBER(((BL67/BJ67)+F$14+$R67)*BJ67),((BL67/BJ67)+F$14+$R67)*BJ67,0)</f>
        <v>0</v>
      </c>
      <c r="BN67" s="44" t="n">
        <f aca="false">IF(BJ67=0,0,bsd(1,BO$27,BK67,$W67,$T67,$U67,$AH67,0.1))</f>
        <v>0</v>
      </c>
      <c r="BO67" s="44" t="n">
        <f aca="false">IF(BJ67=0,0,bsd(2,BO$27,BK67,$W67,$T67,$U67,$AH67,0.1))</f>
        <v>0</v>
      </c>
      <c r="BP67" s="44" t="n">
        <f aca="false">IF(BJ67=0,0,bsd(BO$28,BO$27,BK67,$W67,$T67,$U67,$AH67,0.1))</f>
        <v>0</v>
      </c>
      <c r="BQ67" s="45" t="n">
        <f aca="false">BJ67*BN67</f>
        <v>0</v>
      </c>
      <c r="BR67" s="45" t="n">
        <f aca="false">BJ67*BO67</f>
        <v>0</v>
      </c>
      <c r="BS67" s="45" t="n">
        <f aca="false">BJ67*BP67</f>
        <v>0</v>
      </c>
      <c r="BU67" s="9" t="n">
        <f aca="false">IF($A67&gt;=BV$25,IF($A67&lt;=BV$26,$AI67,0),0)</f>
        <v>0</v>
      </c>
      <c r="BV67" s="9" t="e">
        <f aca="false">BX67/BU67</f>
        <v>#DIV/0!</v>
      </c>
      <c r="BW67" s="1" t="n">
        <f aca="false">BU67*($B67+H$13)</f>
        <v>0</v>
      </c>
      <c r="BX67" s="33" t="n">
        <f aca="false">IF(ISNUMBER(((BW67/BU67)+H$14+$Y67)*BU67),((BW67/BU67)+H$14+$Y67)*BU67,0)</f>
        <v>0</v>
      </c>
      <c r="BY67" s="44" t="n">
        <f aca="false">IF(BU67=0,0,bsd(1,BZ$27,BV67,$AD67,$AA67,$AB67,$AH67,0.1))</f>
        <v>0</v>
      </c>
      <c r="BZ67" s="44" t="n">
        <f aca="false">IF(BU67=0,0,bsd(2,BZ$27,BV67,$AD67,$AA67,$AB67,$AH67,0.1))</f>
        <v>0</v>
      </c>
      <c r="CA67" s="44" t="n">
        <f aca="false">IF(BU67=0,0,bsd(BZ$28,BZ$27,BV67,$AD67,$AA67,$AB67,$AH67,0.1))</f>
        <v>0</v>
      </c>
      <c r="CB67" s="45" t="n">
        <f aca="false">BU67*BY67</f>
        <v>0</v>
      </c>
      <c r="CC67" s="45" t="n">
        <f aca="false">BU67*BZ67</f>
        <v>0</v>
      </c>
      <c r="CD67" s="45" t="n">
        <f aca="false">BU67*CA67</f>
        <v>0</v>
      </c>
    </row>
    <row r="68" customFormat="false" ht="12.75" hidden="false" customHeight="false" outlineLevel="0" collapsed="false">
      <c r="A68" s="48" t="n">
        <f aca="false">DATE(YEAR(A67),MONTH(A67)+1,1)</f>
        <v>37926</v>
      </c>
      <c r="B68" s="40" t="n">
        <f aca="false">VLOOKUP(A68,STRADDLE,5,FALSE())</f>
        <v>3.4</v>
      </c>
      <c r="C68" s="4" t="n">
        <f aca="false">VLOOKUP(A68,STRADDLE,8,FALSE())</f>
        <v>0.2675</v>
      </c>
      <c r="D68" s="40" t="n">
        <f aca="false">IF(D$28="nymex",0,VLOOKUP($A68,curvesettle,HLOOKUP(D$28,curvesettle,2,FALSE())))</f>
        <v>0.875</v>
      </c>
      <c r="E68" s="131" t="n">
        <f aca="false">IF(ISNUMBER(VLOOKUP($A68,VOLCURVES,HLOOKUP(D$28,VOLCURVES,2,FALSE()),FALSE())),VLOOKUP($A68,VOLCURVES,HLOOKUP(D$28,VOLCURVES,2,FALSE()),FALSE()),1)</f>
        <v>1.1</v>
      </c>
      <c r="F68" s="136" t="n">
        <f aca="false">IF(D$28="NYMEX",$AG68,$AF68)</f>
        <v>-8003</v>
      </c>
      <c r="G68" s="4" t="e">
        <f aca="false">(($C68+H68)*$E68)+B$15</f>
        <v>#DIV/0!</v>
      </c>
      <c r="H68" s="4" t="e">
        <f aca="false">IF($B$16=1,VLOOKUP($A68,SkewTable,HLOOKUP(ROUND(I68-AO68,1),SkewTable,2,FALSE()),FALSE())/100,0)</f>
        <v>#DIV/0!</v>
      </c>
      <c r="I68" s="41" t="n">
        <f aca="false">IF($B$19=4,$AO68,$B$18)</f>
        <v>5.05</v>
      </c>
      <c r="K68" s="40" t="n">
        <f aca="false">IF(K$28="nymex",0,VLOOKUP($A68,curvesettle,HLOOKUP(K$28,curvesettle,2,FALSE())))</f>
        <v>0.18</v>
      </c>
      <c r="L68" s="131" t="n">
        <f aca="false">IF(ISNUMBER(VLOOKUP($A68,VOLCURVES,HLOOKUP(K$28,VOLCURVES,2,FALSE()),FALSE())),VLOOKUP($A68,VOLCURVES,HLOOKUP(K$28,VOLCURVES,2,FALSE()),FALSE()),1)</f>
        <v>1</v>
      </c>
      <c r="M68" s="136" t="n">
        <f aca="false">IF(K$28="NYMEX",$AG68,$AF68)</f>
        <v>-8003</v>
      </c>
      <c r="N68" s="153" t="e">
        <f aca="false">(($C68+O68)*$L68)+D$15</f>
        <v>#DIV/0!</v>
      </c>
      <c r="O68" s="4" t="e">
        <f aca="false">IF($D$16=1,VLOOKUP($A68,SkewTable,HLOOKUP(ROUND(P68-AZ68,1),SkewTable,2,FALSE()),FALSE())/100,0)</f>
        <v>#DIV/0!</v>
      </c>
      <c r="P68" s="41" t="n">
        <f aca="false">IF($D$19=4,$AZ68,$D$18)</f>
        <v>5.1</v>
      </c>
      <c r="R68" s="40" t="n">
        <f aca="false">IF(R$28="nymex",0,VLOOKUP($A68,curvesettle,HLOOKUP(R$28,curvesettle,2,FALSE())))</f>
        <v>-0.0325</v>
      </c>
      <c r="S68" s="131" t="n">
        <f aca="false">IF(ISNUMBER(VLOOKUP($A68,VOLCURVES,HLOOKUP(R$28,VOLCURVES,2,FALSE()),FALSE())),VLOOKUP($A68,VOLCURVES,HLOOKUP(R$28,VOLCURVES,2,FALSE()),FALSE()),1)</f>
        <v>1</v>
      </c>
      <c r="T68" s="136" t="n">
        <f aca="false">IF(R$28="NYMEX",$AG68,$AF68)</f>
        <v>-8003</v>
      </c>
      <c r="U68" s="153" t="e">
        <f aca="false">(($C68+V68)*$S68)+F$15</f>
        <v>#DIV/0!</v>
      </c>
      <c r="V68" s="4" t="e">
        <f aca="false">IF($F$16=1,VLOOKUP($A68,SkewTable,HLOOKUP(ROUND(W68-BK68,1),SkewTable,2,FALSE()),FALSE())/100,0)</f>
        <v>#DIV/0!</v>
      </c>
      <c r="W68" s="41" t="n">
        <f aca="false">IF($F$19=4,$BK68,$F$18)</f>
        <v>5.3983</v>
      </c>
      <c r="X68" s="136"/>
      <c r="Y68" s="40" t="n">
        <f aca="false">IF(Y$28="nymex",0,VLOOKUP($A68,curvesettle,HLOOKUP(Y$28,curvesettle,2,FALSE())))</f>
        <v>-0.0325</v>
      </c>
      <c r="Z68" s="131" t="n">
        <f aca="false">IF(ISNUMBER(VLOOKUP($A68,VOLCURVES,HLOOKUP(Y$28,VOLCURVES,2,FALSE()),FALSE())),VLOOKUP($A68,VOLCURVES,HLOOKUP(Y$28,VOLCURVES,2,FALSE()),FALSE()),1)</f>
        <v>1</v>
      </c>
      <c r="AA68" s="136" t="n">
        <f aca="false">IF(Y$28="NYMEX",$AG68,$AF68)</f>
        <v>-8003</v>
      </c>
      <c r="AB68" s="4" t="e">
        <f aca="false">(($C68+AC68)*$Z68)+H$15</f>
        <v>#DIV/0!</v>
      </c>
      <c r="AC68" s="4" t="e">
        <f aca="false">IF($H$16=1,VLOOKUP($A68,SkewTable,HLOOKUP(ROUND(AD68-BV68,1),SkewTable,2,FALSE()),FALSE())/100,0)</f>
        <v>#DIV/0!</v>
      </c>
      <c r="AD68" s="41" t="n">
        <f aca="false">IF($H$19=4,$BV68,$H$18)</f>
        <v>5.4668</v>
      </c>
      <c r="AF68" s="136" t="n">
        <f aca="false">VLOOKUP($A68,expiration,2,FALSE())-$B$2</f>
        <v>-8003</v>
      </c>
      <c r="AG68" s="136" t="n">
        <f aca="false">VLOOKUP($A68,expiration,3,FALSE())-$B$2</f>
        <v>-8004</v>
      </c>
      <c r="AH68" s="4" t="n">
        <f aca="false">VLOOKUP($A68,STRADDLE,12,FALSE())</f>
        <v>0.067314594931672</v>
      </c>
      <c r="AI68" s="43" t="n">
        <f aca="false">A69-A68</f>
        <v>30</v>
      </c>
      <c r="AL68" s="136"/>
      <c r="AM68" s="9"/>
      <c r="AN68" s="9" t="n">
        <f aca="false">IF($A68&gt;=AO$25,IF($A68&lt;=AO$26,$AI68,0),0)</f>
        <v>0</v>
      </c>
      <c r="AO68" s="9" t="e">
        <f aca="false">AQ68/AN68</f>
        <v>#DIV/0!</v>
      </c>
      <c r="AP68" s="1" t="n">
        <f aca="false">AN68*($B68+B$13)</f>
        <v>0</v>
      </c>
      <c r="AQ68" s="33" t="n">
        <f aca="false">IF(ISNUMBER(((AP68/AN68)+B$14+$D68)*AN68),((AP68/AN68)+B$14+$D68)*AN68,0)</f>
        <v>0</v>
      </c>
      <c r="AR68" s="44" t="n">
        <f aca="false">IF(AN68=0,0,bsd(1,AS$27,AO68,$I68,$F68,$G68,$AH68,0.1))</f>
        <v>0</v>
      </c>
      <c r="AS68" s="44" t="n">
        <f aca="false">IF(AN68=0,0,bsd(2,AS$27,AO68,$I68,$F68,$G68,$AH68,0.1))</f>
        <v>0</v>
      </c>
      <c r="AT68" s="44" t="n">
        <f aca="false">IF(AN68=0,0,bsd(AS$28,AS$27,AO68,$I68,$F68,$G68,$AH68,0.1))</f>
        <v>0</v>
      </c>
      <c r="AU68" s="45" t="n">
        <f aca="false">AN68*AR68</f>
        <v>0</v>
      </c>
      <c r="AV68" s="45" t="n">
        <f aca="false">AN68*AS68</f>
        <v>0</v>
      </c>
      <c r="AW68" s="45" t="n">
        <f aca="false">AN68*AT68</f>
        <v>0</v>
      </c>
      <c r="AY68" s="9" t="n">
        <f aca="false">IF($A68&gt;=AZ$25,IF($A68&lt;=AZ$26,$AI68,0),0)</f>
        <v>0</v>
      </c>
      <c r="AZ68" s="9" t="e">
        <f aca="false">BB68/AY68</f>
        <v>#DIV/0!</v>
      </c>
      <c r="BA68" s="1" t="n">
        <f aca="false">AY68*($B68+D$13)</f>
        <v>0</v>
      </c>
      <c r="BB68" s="33" t="n">
        <f aca="false">IF(ISNUMBER(((BA68/AY68)+D$14+$K68)*AY68),((BA68/AY68)+D$14+$K68)*AY68,0)</f>
        <v>0</v>
      </c>
      <c r="BC68" s="44" t="n">
        <f aca="false">IF(AY68=0,0,bsd(1,BD$27,AZ68,$P68,$M68,$N68,$AH68,0.1))</f>
        <v>0</v>
      </c>
      <c r="BD68" s="44" t="n">
        <f aca="false">IF(AY68=0,0,bsd(2,BD$27,AZ68,$P68,$M68,$N68,$AH68,0.1))</f>
        <v>0</v>
      </c>
      <c r="BE68" s="44" t="n">
        <f aca="false">IF(AY68=0,0,bsd(BD$28,BD$27,AZ68,$P68,$M68,$N68,$AH68,0.1))</f>
        <v>0</v>
      </c>
      <c r="BF68" s="45" t="n">
        <f aca="false">AY68*BC68</f>
        <v>0</v>
      </c>
      <c r="BG68" s="45" t="n">
        <f aca="false">AY68*BD68</f>
        <v>0</v>
      </c>
      <c r="BH68" s="45" t="n">
        <f aca="false">AY68*BE68</f>
        <v>0</v>
      </c>
      <c r="BJ68" s="9" t="n">
        <f aca="false">IF($A68&gt;=BK$25,IF($A68&lt;=BK$26,$AI68,0),0)</f>
        <v>0</v>
      </c>
      <c r="BK68" s="9" t="e">
        <f aca="false">BM68/BJ68</f>
        <v>#DIV/0!</v>
      </c>
      <c r="BL68" s="1" t="n">
        <f aca="false">BJ68*($B68+F$13)</f>
        <v>0</v>
      </c>
      <c r="BM68" s="33" t="n">
        <f aca="false">IF(ISNUMBER(((BL68/BJ68)+F$14+$R68)*BJ68),((BL68/BJ68)+F$14+$R68)*BJ68,0)</f>
        <v>0</v>
      </c>
      <c r="BN68" s="44" t="n">
        <f aca="false">IF(BJ68=0,0,bsd(1,BO$27,BK68,$W68,$T68,$U68,$AH68,0.1))</f>
        <v>0</v>
      </c>
      <c r="BO68" s="44" t="n">
        <f aca="false">IF(BJ68=0,0,bsd(2,BO$27,BK68,$W68,$T68,$U68,$AH68,0.1))</f>
        <v>0</v>
      </c>
      <c r="BP68" s="44" t="n">
        <f aca="false">IF(BJ68=0,0,bsd(BO$28,BO$27,BK68,$W68,$T68,$U68,$AH68,0.1))</f>
        <v>0</v>
      </c>
      <c r="BQ68" s="45" t="n">
        <f aca="false">BJ68*BN68</f>
        <v>0</v>
      </c>
      <c r="BR68" s="45" t="n">
        <f aca="false">BJ68*BO68</f>
        <v>0</v>
      </c>
      <c r="BS68" s="45" t="n">
        <f aca="false">BJ68*BP68</f>
        <v>0</v>
      </c>
      <c r="BU68" s="9" t="n">
        <f aca="false">IF($A68&gt;=BV$25,IF($A68&lt;=BV$26,$AI68,0),0)</f>
        <v>0</v>
      </c>
      <c r="BV68" s="9" t="e">
        <f aca="false">BX68/BU68</f>
        <v>#DIV/0!</v>
      </c>
      <c r="BW68" s="1" t="n">
        <f aca="false">BU68*($B68+H$13)</f>
        <v>0</v>
      </c>
      <c r="BX68" s="33" t="n">
        <f aca="false">IF(ISNUMBER(((BW68/BU68)+H$14+$Y68)*BU68),((BW68/BU68)+H$14+$Y68)*BU68,0)</f>
        <v>0</v>
      </c>
      <c r="BY68" s="44" t="n">
        <f aca="false">IF(BU68=0,0,bsd(1,BZ$27,BV68,$AD68,$AA68,$AB68,$AH68,0.1))</f>
        <v>0</v>
      </c>
      <c r="BZ68" s="44" t="n">
        <f aca="false">IF(BU68=0,0,bsd(2,BZ$27,BV68,$AD68,$AA68,$AB68,$AH68,0.1))</f>
        <v>0</v>
      </c>
      <c r="CA68" s="44" t="n">
        <f aca="false">IF(BU68=0,0,bsd(BZ$28,BZ$27,BV68,$AD68,$AA68,$AB68,$AH68,0.1))</f>
        <v>0</v>
      </c>
      <c r="CB68" s="45" t="n">
        <f aca="false">BU68*BY68</f>
        <v>0</v>
      </c>
      <c r="CC68" s="45" t="n">
        <f aca="false">BU68*BZ68</f>
        <v>0</v>
      </c>
      <c r="CD68" s="45" t="n">
        <f aca="false">BU68*CA68</f>
        <v>0</v>
      </c>
    </row>
    <row r="69" customFormat="false" ht="12.75" hidden="false" customHeight="false" outlineLevel="0" collapsed="false">
      <c r="A69" s="48" t="n">
        <f aca="false">DATE(YEAR(A68),MONTH(A68)+1,1)</f>
        <v>37956</v>
      </c>
      <c r="B69" s="40" t="n">
        <f aca="false">VLOOKUP(A69,STRADDLE,5,FALSE())</f>
        <v>3.476</v>
      </c>
      <c r="C69" s="4" t="n">
        <f aca="false">VLOOKUP(A69,STRADDLE,8,FALSE())</f>
        <v>0.2725</v>
      </c>
      <c r="D69" s="40" t="n">
        <f aca="false">IF(D$28="nymex",0,VLOOKUP($A69,curvesettle,HLOOKUP(D$28,curvesettle,2,FALSE())))</f>
        <v>1.29</v>
      </c>
      <c r="E69" s="131" t="n">
        <f aca="false">IF(ISNUMBER(VLOOKUP($A69,VOLCURVES,HLOOKUP(D$28,VOLCURVES,2,FALSE()),FALSE())),VLOOKUP($A69,VOLCURVES,HLOOKUP(D$28,VOLCURVES,2,FALSE()),FALSE()),1)</f>
        <v>1.1</v>
      </c>
      <c r="F69" s="136" t="n">
        <f aca="false">IF(D$28="NYMEX",$AG69,$AF69)</f>
        <v>-7976</v>
      </c>
      <c r="G69" s="4" t="e">
        <f aca="false">(($C69+H69)*$E69)+B$15</f>
        <v>#DIV/0!</v>
      </c>
      <c r="H69" s="4" t="e">
        <f aca="false">IF($B$16=1,VLOOKUP($A69,SkewTable,HLOOKUP(ROUND(I69-AO69,1),SkewTable,2,FALSE()),FALSE())/100,0)</f>
        <v>#DIV/0!</v>
      </c>
      <c r="I69" s="41" t="n">
        <f aca="false">IF($B$19=4,$AO69,$B$18)</f>
        <v>5.05</v>
      </c>
      <c r="K69" s="40" t="n">
        <f aca="false">IF(K$28="nymex",0,VLOOKUP($A69,curvesettle,HLOOKUP(K$28,curvesettle,2,FALSE())))</f>
        <v>0.18</v>
      </c>
      <c r="L69" s="131" t="n">
        <f aca="false">IF(ISNUMBER(VLOOKUP($A69,VOLCURVES,HLOOKUP(K$28,VOLCURVES,2,FALSE()),FALSE())),VLOOKUP($A69,VOLCURVES,HLOOKUP(K$28,VOLCURVES,2,FALSE()),FALSE()),1)</f>
        <v>1</v>
      </c>
      <c r="M69" s="136" t="n">
        <f aca="false">IF(K$28="NYMEX",$AG69,$AF69)</f>
        <v>-7976</v>
      </c>
      <c r="N69" s="153" t="e">
        <f aca="false">(($C69+O69)*$L69)+D$15</f>
        <v>#DIV/0!</v>
      </c>
      <c r="O69" s="4" t="e">
        <f aca="false">IF($D$16=1,VLOOKUP($A69,SkewTable,HLOOKUP(ROUND(P69-AZ69,1),SkewTable,2,FALSE()),FALSE())/100,0)</f>
        <v>#DIV/0!</v>
      </c>
      <c r="P69" s="41" t="n">
        <f aca="false">IF($D$19=4,$AZ69,$D$18)</f>
        <v>5.1</v>
      </c>
      <c r="R69" s="40" t="n">
        <f aca="false">IF(R$28="nymex",0,VLOOKUP($A69,curvesettle,HLOOKUP(R$28,curvesettle,2,FALSE())))</f>
        <v>-0.055</v>
      </c>
      <c r="S69" s="131" t="n">
        <f aca="false">IF(ISNUMBER(VLOOKUP($A69,VOLCURVES,HLOOKUP(R$28,VOLCURVES,2,FALSE()),FALSE())),VLOOKUP($A69,VOLCURVES,HLOOKUP(R$28,VOLCURVES,2,FALSE()),FALSE()),1)</f>
        <v>1</v>
      </c>
      <c r="T69" s="136" t="n">
        <f aca="false">IF(R$28="NYMEX",$AG69,$AF69)</f>
        <v>-7976</v>
      </c>
      <c r="U69" s="153" t="e">
        <f aca="false">(($C69+V69)*$S69)+F$15</f>
        <v>#DIV/0!</v>
      </c>
      <c r="V69" s="4" t="e">
        <f aca="false">IF($F$16=1,VLOOKUP($A69,SkewTable,HLOOKUP(ROUND(W69-BK69,1),SkewTable,2,FALSE()),FALSE())/100,0)</f>
        <v>#DIV/0!</v>
      </c>
      <c r="W69" s="41" t="n">
        <f aca="false">IF($F$19=4,$BK69,$F$18)</f>
        <v>5.3983</v>
      </c>
      <c r="X69" s="136"/>
      <c r="Y69" s="40" t="n">
        <f aca="false">IF(Y$28="nymex",0,VLOOKUP($A69,curvesettle,HLOOKUP(Y$28,curvesettle,2,FALSE())))</f>
        <v>-0.055</v>
      </c>
      <c r="Z69" s="131" t="n">
        <f aca="false">IF(ISNUMBER(VLOOKUP($A69,VOLCURVES,HLOOKUP(Y$28,VOLCURVES,2,FALSE()),FALSE())),VLOOKUP($A69,VOLCURVES,HLOOKUP(Y$28,VOLCURVES,2,FALSE()),FALSE()),1)</f>
        <v>1</v>
      </c>
      <c r="AA69" s="136" t="n">
        <f aca="false">IF(Y$28="NYMEX",$AG69,$AF69)</f>
        <v>-7976</v>
      </c>
      <c r="AB69" s="4" t="e">
        <f aca="false">(($C69+AC69)*$Z69)+H$15</f>
        <v>#DIV/0!</v>
      </c>
      <c r="AC69" s="4" t="e">
        <f aca="false">IF($H$16=1,VLOOKUP($A69,SkewTable,HLOOKUP(ROUND(AD69-BV69,1),SkewTable,2,FALSE()),FALSE())/100,0)</f>
        <v>#DIV/0!</v>
      </c>
      <c r="AD69" s="41" t="n">
        <f aca="false">IF($H$19=4,$BV69,$H$18)</f>
        <v>5.4668</v>
      </c>
      <c r="AF69" s="136" t="n">
        <f aca="false">VLOOKUP($A69,expiration,2,FALSE())-$B$2</f>
        <v>-7976</v>
      </c>
      <c r="AG69" s="136" t="n">
        <f aca="false">VLOOKUP($A69,expiration,3,FALSE())-$B$2</f>
        <v>-7977</v>
      </c>
      <c r="AH69" s="4" t="n">
        <f aca="false">VLOOKUP($A69,STRADDLE,12,FALSE())</f>
        <v>0.067331287249473</v>
      </c>
      <c r="AI69" s="43" t="n">
        <f aca="false">A70-A69</f>
        <v>31</v>
      </c>
      <c r="AL69" s="136"/>
      <c r="AM69" s="9"/>
      <c r="AN69" s="9" t="n">
        <f aca="false">IF($A69&gt;=AO$25,IF($A69&lt;=AO$26,$AI69,0),0)</f>
        <v>0</v>
      </c>
      <c r="AO69" s="9" t="e">
        <f aca="false">AQ69/AN69</f>
        <v>#DIV/0!</v>
      </c>
      <c r="AP69" s="1" t="n">
        <f aca="false">AN69*($B69+B$13)</f>
        <v>0</v>
      </c>
      <c r="AQ69" s="33" t="n">
        <f aca="false">IF(ISNUMBER(((AP69/AN69)+B$14+$D69)*AN69),((AP69/AN69)+B$14+$D69)*AN69,0)</f>
        <v>0</v>
      </c>
      <c r="AR69" s="44" t="n">
        <f aca="false">IF(AN69=0,0,bsd(1,AS$27,AO69,$I69,$F69,$G69,$AH69,0.1))</f>
        <v>0</v>
      </c>
      <c r="AS69" s="44" t="n">
        <f aca="false">IF(AN69=0,0,bsd(2,AS$27,AO69,$I69,$F69,$G69,$AH69,0.1))</f>
        <v>0</v>
      </c>
      <c r="AT69" s="44" t="n">
        <f aca="false">IF(AN69=0,0,bsd(AS$28,AS$27,AO69,$I69,$F69,$G69,$AH69,0.1))</f>
        <v>0</v>
      </c>
      <c r="AU69" s="45" t="n">
        <f aca="false">AN69*AR69</f>
        <v>0</v>
      </c>
      <c r="AV69" s="45" t="n">
        <f aca="false">AN69*AS69</f>
        <v>0</v>
      </c>
      <c r="AW69" s="45" t="n">
        <f aca="false">AN69*AT69</f>
        <v>0</v>
      </c>
      <c r="AY69" s="9" t="n">
        <f aca="false">IF($A69&gt;=AZ$25,IF($A69&lt;=AZ$26,$AI69,0),0)</f>
        <v>0</v>
      </c>
      <c r="AZ69" s="9" t="e">
        <f aca="false">BB69/AY69</f>
        <v>#DIV/0!</v>
      </c>
      <c r="BA69" s="1" t="n">
        <f aca="false">AY69*($B69+D$13)</f>
        <v>0</v>
      </c>
      <c r="BB69" s="33" t="n">
        <f aca="false">IF(ISNUMBER(((BA69/AY69)+D$14+$K69)*AY69),((BA69/AY69)+D$14+$K69)*AY69,0)</f>
        <v>0</v>
      </c>
      <c r="BC69" s="44" t="n">
        <f aca="false">IF(AY69=0,0,bsd(1,BD$27,AZ69,$P69,$M69,$N69,$AH69,0.1))</f>
        <v>0</v>
      </c>
      <c r="BD69" s="44" t="n">
        <f aca="false">IF(AY69=0,0,bsd(2,BD$27,AZ69,$P69,$M69,$N69,$AH69,0.1))</f>
        <v>0</v>
      </c>
      <c r="BE69" s="44" t="n">
        <f aca="false">IF(AY69=0,0,bsd(BD$28,BD$27,AZ69,$P69,$M69,$N69,$AH69,0.1))</f>
        <v>0</v>
      </c>
      <c r="BF69" s="45" t="n">
        <f aca="false">AY69*BC69</f>
        <v>0</v>
      </c>
      <c r="BG69" s="45" t="n">
        <f aca="false">AY69*BD69</f>
        <v>0</v>
      </c>
      <c r="BH69" s="45" t="n">
        <f aca="false">AY69*BE69</f>
        <v>0</v>
      </c>
      <c r="BJ69" s="9" t="n">
        <f aca="false">IF($A69&gt;=BK$25,IF($A69&lt;=BK$26,$AI69,0),0)</f>
        <v>0</v>
      </c>
      <c r="BK69" s="9" t="e">
        <f aca="false">BM69/BJ69</f>
        <v>#DIV/0!</v>
      </c>
      <c r="BL69" s="1" t="n">
        <f aca="false">BJ69*($B69+F$13)</f>
        <v>0</v>
      </c>
      <c r="BM69" s="33" t="n">
        <f aca="false">IF(ISNUMBER(((BL69/BJ69)+F$14+$R69)*BJ69),((BL69/BJ69)+F$14+$R69)*BJ69,0)</f>
        <v>0</v>
      </c>
      <c r="BN69" s="44" t="n">
        <f aca="false">IF(BJ69=0,0,bsd(1,BO$27,BK69,$W69,$T69,$U69,$AH69,0.1))</f>
        <v>0</v>
      </c>
      <c r="BO69" s="44" t="n">
        <f aca="false">IF(BJ69=0,0,bsd(2,BO$27,BK69,$W69,$T69,$U69,$AH69,0.1))</f>
        <v>0</v>
      </c>
      <c r="BP69" s="44" t="n">
        <f aca="false">IF(BJ69=0,0,bsd(BO$28,BO$27,BK69,$W69,$T69,$U69,$AH69,0.1))</f>
        <v>0</v>
      </c>
      <c r="BQ69" s="45" t="n">
        <f aca="false">BJ69*BN69</f>
        <v>0</v>
      </c>
      <c r="BR69" s="45" t="n">
        <f aca="false">BJ69*BO69</f>
        <v>0</v>
      </c>
      <c r="BS69" s="45" t="n">
        <f aca="false">BJ69*BP69</f>
        <v>0</v>
      </c>
      <c r="BU69" s="9" t="n">
        <f aca="false">IF($A69&gt;=BV$25,IF($A69&lt;=BV$26,$AI69,0),0)</f>
        <v>0</v>
      </c>
      <c r="BV69" s="9" t="e">
        <f aca="false">BX69/BU69</f>
        <v>#DIV/0!</v>
      </c>
      <c r="BW69" s="1" t="n">
        <f aca="false">BU69*($B69+H$13)</f>
        <v>0</v>
      </c>
      <c r="BX69" s="33" t="n">
        <f aca="false">IF(ISNUMBER(((BW69/BU69)+H$14+$Y69)*BU69),((BW69/BU69)+H$14+$Y69)*BU69,0)</f>
        <v>0</v>
      </c>
      <c r="BY69" s="44" t="n">
        <f aca="false">IF(BU69=0,0,bsd(1,BZ$27,BV69,$AD69,$AA69,$AB69,$AH69,0.1))</f>
        <v>0</v>
      </c>
      <c r="BZ69" s="44" t="n">
        <f aca="false">IF(BU69=0,0,bsd(2,BZ$27,BV69,$AD69,$AA69,$AB69,$AH69,0.1))</f>
        <v>0</v>
      </c>
      <c r="CA69" s="44" t="n">
        <f aca="false">IF(BU69=0,0,bsd(BZ$28,BZ$27,BV69,$AD69,$AA69,$AB69,$AH69,0.1))</f>
        <v>0</v>
      </c>
      <c r="CB69" s="45" t="n">
        <f aca="false">BU69*BY69</f>
        <v>0</v>
      </c>
      <c r="CC69" s="45" t="n">
        <f aca="false">BU69*BZ69</f>
        <v>0</v>
      </c>
      <c r="CD69" s="45" t="n">
        <f aca="false">BU69*CA69</f>
        <v>0</v>
      </c>
    </row>
    <row r="70" customFormat="false" ht="12.75" hidden="false" customHeight="false" outlineLevel="0" collapsed="false">
      <c r="A70" s="48" t="n">
        <f aca="false">DATE(YEAR(A69),MONTH(A69)+1,1)</f>
        <v>37987</v>
      </c>
      <c r="B70" s="40" t="n">
        <f aca="false">VLOOKUP(A70,STRADDLE,5,FALSE())</f>
        <v>3.664</v>
      </c>
      <c r="C70" s="4" t="n">
        <f aca="false">VLOOKUP(A70,STRADDLE,8,FALSE())</f>
        <v>0.29</v>
      </c>
      <c r="D70" s="40" t="n">
        <f aca="false">IF(D$28="nymex",0,VLOOKUP($A70,curvesettle,HLOOKUP(D$28,curvesettle,2,FALSE())))</f>
        <v>1.615</v>
      </c>
      <c r="E70" s="131" t="n">
        <f aca="false">IF(ISNUMBER(VLOOKUP($A70,VOLCURVES,HLOOKUP(D$28,VOLCURVES,2,FALSE()),FALSE())),VLOOKUP($A70,VOLCURVES,HLOOKUP(D$28,VOLCURVES,2,FALSE()),FALSE()),1)</f>
        <v>1.1</v>
      </c>
      <c r="F70" s="136" t="n">
        <f aca="false">IF(D$28="NYMEX",$AG70,$AF70)</f>
        <v>-7942</v>
      </c>
      <c r="G70" s="4" t="e">
        <f aca="false">(($C70+H70)*$E70)+B$15</f>
        <v>#DIV/0!</v>
      </c>
      <c r="H70" s="4" t="e">
        <f aca="false">IF($B$16=1,VLOOKUP($A70,SkewTable,HLOOKUP(ROUND(I70-AO70,1),SkewTable,2,FALSE()),FALSE())/100,0)</f>
        <v>#DIV/0!</v>
      </c>
      <c r="I70" s="41" t="n">
        <f aca="false">IF($B$19=4,$AO70,$B$18)</f>
        <v>5.05</v>
      </c>
      <c r="K70" s="40" t="n">
        <f aca="false">IF(K$28="nymex",0,VLOOKUP($A70,curvesettle,HLOOKUP(K$28,curvesettle,2,FALSE())))</f>
        <v>0.18</v>
      </c>
      <c r="L70" s="131" t="n">
        <f aca="false">IF(ISNUMBER(VLOOKUP($A70,VOLCURVES,HLOOKUP(K$28,VOLCURVES,2,FALSE()),FALSE())),VLOOKUP($A70,VOLCURVES,HLOOKUP(K$28,VOLCURVES,2,FALSE()),FALSE()),1)</f>
        <v>1</v>
      </c>
      <c r="M70" s="136" t="n">
        <f aca="false">IF(K$28="NYMEX",$AG70,$AF70)</f>
        <v>-7942</v>
      </c>
      <c r="N70" s="153" t="e">
        <f aca="false">(($C70+O70)*$L70)+D$15</f>
        <v>#DIV/0!</v>
      </c>
      <c r="O70" s="4" t="e">
        <f aca="false">IF($D$16=1,VLOOKUP($A70,SkewTable,HLOOKUP(ROUND(P70-AZ70,1),SkewTable,2,FALSE()),FALSE())/100,0)</f>
        <v>#DIV/0!</v>
      </c>
      <c r="P70" s="41" t="n">
        <f aca="false">IF($D$19=4,$AZ70,$D$18)</f>
        <v>5.1</v>
      </c>
      <c r="R70" s="40" t="n">
        <f aca="false">IF(R$28="nymex",0,VLOOKUP($A70,curvesettle,HLOOKUP(R$28,curvesettle,2,FALSE())))</f>
        <v>-0.0575</v>
      </c>
      <c r="S70" s="131" t="n">
        <f aca="false">IF(ISNUMBER(VLOOKUP($A70,VOLCURVES,HLOOKUP(R$28,VOLCURVES,2,FALSE()),FALSE())),VLOOKUP($A70,VOLCURVES,HLOOKUP(R$28,VOLCURVES,2,FALSE()),FALSE()),1)</f>
        <v>1</v>
      </c>
      <c r="T70" s="136" t="n">
        <f aca="false">IF(R$28="NYMEX",$AG70,$AF70)</f>
        <v>-7942</v>
      </c>
      <c r="U70" s="153" t="e">
        <f aca="false">(($C70+V70)*$S70)+F$15</f>
        <v>#DIV/0!</v>
      </c>
      <c r="V70" s="4" t="e">
        <f aca="false">IF($F$16=1,VLOOKUP($A70,SkewTable,HLOOKUP(ROUND(W70-BK70,1),SkewTable,2,FALSE()),FALSE())/100,0)</f>
        <v>#DIV/0!</v>
      </c>
      <c r="W70" s="41" t="n">
        <f aca="false">IF($F$19=4,$BK70,$F$18)</f>
        <v>5.3983</v>
      </c>
      <c r="X70" s="136"/>
      <c r="Y70" s="40" t="n">
        <f aca="false">IF(Y$28="nymex",0,VLOOKUP($A70,curvesettle,HLOOKUP(Y$28,curvesettle,2,FALSE())))</f>
        <v>-0.0575</v>
      </c>
      <c r="Z70" s="131" t="n">
        <f aca="false">IF(ISNUMBER(VLOOKUP($A70,VOLCURVES,HLOOKUP(Y$28,VOLCURVES,2,FALSE()),FALSE())),VLOOKUP($A70,VOLCURVES,HLOOKUP(Y$28,VOLCURVES,2,FALSE()),FALSE()),1)</f>
        <v>1</v>
      </c>
      <c r="AA70" s="136" t="n">
        <f aca="false">IF(Y$28="NYMEX",$AG70,$AF70)</f>
        <v>-7942</v>
      </c>
      <c r="AB70" s="4" t="e">
        <f aca="false">(($C70+AC70)*$Z70)+H$15</f>
        <v>#DIV/0!</v>
      </c>
      <c r="AC70" s="4" t="e">
        <f aca="false">IF($H$16=1,VLOOKUP($A70,SkewTable,HLOOKUP(ROUND(AD70-BV70,1),SkewTable,2,FALSE()),FALSE())/100,0)</f>
        <v>#DIV/0!</v>
      </c>
      <c r="AD70" s="41" t="n">
        <f aca="false">IF($H$19=4,$BV70,$H$18)</f>
        <v>5.4668</v>
      </c>
      <c r="AF70" s="136" t="n">
        <f aca="false">VLOOKUP($A70,expiration,2,FALSE())-$B$2</f>
        <v>-7942</v>
      </c>
      <c r="AG70" s="136" t="n">
        <f aca="false">VLOOKUP($A70,expiration,3,FALSE())-$B$2</f>
        <v>-7945</v>
      </c>
      <c r="AH70" s="4" t="n">
        <f aca="false">VLOOKUP($A70,STRADDLE,12,FALSE())</f>
        <v>0.067357274878613</v>
      </c>
      <c r="AI70" s="43" t="n">
        <f aca="false">A71-A70</f>
        <v>31</v>
      </c>
      <c r="AL70" s="136"/>
      <c r="AM70" s="9"/>
      <c r="AN70" s="9" t="n">
        <f aca="false">IF($A70&gt;=AO$25,IF($A70&lt;=AO$26,$AI70,0),0)</f>
        <v>0</v>
      </c>
      <c r="AO70" s="9" t="e">
        <f aca="false">AQ70/AN70</f>
        <v>#DIV/0!</v>
      </c>
      <c r="AP70" s="1" t="n">
        <f aca="false">AN70*($B70+B$13)</f>
        <v>0</v>
      </c>
      <c r="AQ70" s="33" t="n">
        <f aca="false">IF(ISNUMBER(((AP70/AN70)+B$14+$D70)*AN70),((AP70/AN70)+B$14+$D70)*AN70,0)</f>
        <v>0</v>
      </c>
      <c r="AR70" s="44" t="n">
        <f aca="false">IF(AN70=0,0,bsd(1,AS$27,AO70,$I70,$F70,$G70,$AH70,0.1))</f>
        <v>0</v>
      </c>
      <c r="AS70" s="44" t="n">
        <f aca="false">IF(AN70=0,0,bsd(2,AS$27,AO70,$I70,$F70,$G70,$AH70,0.1))</f>
        <v>0</v>
      </c>
      <c r="AT70" s="44" t="n">
        <f aca="false">IF(AN70=0,0,bsd(AS$28,AS$27,AO70,$I70,$F70,$G70,$AH70,0.1))</f>
        <v>0</v>
      </c>
      <c r="AU70" s="45" t="n">
        <f aca="false">AN70*AR70</f>
        <v>0</v>
      </c>
      <c r="AV70" s="45" t="n">
        <f aca="false">AN70*AS70</f>
        <v>0</v>
      </c>
      <c r="AW70" s="45" t="n">
        <f aca="false">AN70*AT70</f>
        <v>0</v>
      </c>
      <c r="AY70" s="9" t="n">
        <f aca="false">IF($A70&gt;=AZ$25,IF($A70&lt;=AZ$26,$AI70,0),0)</f>
        <v>0</v>
      </c>
      <c r="AZ70" s="9" t="e">
        <f aca="false">BB70/AY70</f>
        <v>#DIV/0!</v>
      </c>
      <c r="BA70" s="1" t="n">
        <f aca="false">AY70*($B70+D$13)</f>
        <v>0</v>
      </c>
      <c r="BB70" s="33" t="n">
        <f aca="false">IF(ISNUMBER(((BA70/AY70)+D$14+$K70)*AY70),((BA70/AY70)+D$14+$K70)*AY70,0)</f>
        <v>0</v>
      </c>
      <c r="BC70" s="44" t="n">
        <f aca="false">IF(AY70=0,0,bsd(1,BD$27,AZ70,$P70,$M70,$N70,$AH70,0.1))</f>
        <v>0</v>
      </c>
      <c r="BD70" s="44" t="n">
        <f aca="false">IF(AY70=0,0,bsd(2,BD$27,AZ70,$P70,$M70,$N70,$AH70,0.1))</f>
        <v>0</v>
      </c>
      <c r="BE70" s="44" t="n">
        <f aca="false">IF(AY70=0,0,bsd(BD$28,BD$27,AZ70,$P70,$M70,$N70,$AH70,0.1))</f>
        <v>0</v>
      </c>
      <c r="BF70" s="45" t="n">
        <f aca="false">AY70*BC70</f>
        <v>0</v>
      </c>
      <c r="BG70" s="45" t="n">
        <f aca="false">AY70*BD70</f>
        <v>0</v>
      </c>
      <c r="BH70" s="45" t="n">
        <f aca="false">AY70*BE70</f>
        <v>0</v>
      </c>
      <c r="BJ70" s="9" t="n">
        <f aca="false">IF($A70&gt;=BK$25,IF($A70&lt;=BK$26,$AI70,0),0)</f>
        <v>0</v>
      </c>
      <c r="BK70" s="9" t="e">
        <f aca="false">BM70/BJ70</f>
        <v>#DIV/0!</v>
      </c>
      <c r="BL70" s="1" t="n">
        <f aca="false">BJ70*($B70+F$13)</f>
        <v>0</v>
      </c>
      <c r="BM70" s="33" t="n">
        <f aca="false">IF(ISNUMBER(((BL70/BJ70)+F$14+$R70)*BJ70),((BL70/BJ70)+F$14+$R70)*BJ70,0)</f>
        <v>0</v>
      </c>
      <c r="BN70" s="44" t="n">
        <f aca="false">IF(BJ70=0,0,bsd(1,BO$27,BK70,$W70,$T70,$U70,$AH70,0.1))</f>
        <v>0</v>
      </c>
      <c r="BO70" s="44" t="n">
        <f aca="false">IF(BJ70=0,0,bsd(2,BO$27,BK70,$W70,$T70,$U70,$AH70,0.1))</f>
        <v>0</v>
      </c>
      <c r="BP70" s="44" t="n">
        <f aca="false">IF(BJ70=0,0,bsd(BO$28,BO$27,BK70,$W70,$T70,$U70,$AH70,0.1))</f>
        <v>0</v>
      </c>
      <c r="BQ70" s="45" t="n">
        <f aca="false">BJ70*BN70</f>
        <v>0</v>
      </c>
      <c r="BR70" s="45" t="n">
        <f aca="false">BJ70*BO70</f>
        <v>0</v>
      </c>
      <c r="BS70" s="45" t="n">
        <f aca="false">BJ70*BP70</f>
        <v>0</v>
      </c>
      <c r="BU70" s="9" t="n">
        <f aca="false">IF($A70&gt;=BV$25,IF($A70&lt;=BV$26,$AI70,0),0)</f>
        <v>0</v>
      </c>
      <c r="BV70" s="9" t="e">
        <f aca="false">BX70/BU70</f>
        <v>#DIV/0!</v>
      </c>
      <c r="BW70" s="1" t="n">
        <f aca="false">BU70*($B70+H$13)</f>
        <v>0</v>
      </c>
      <c r="BX70" s="33" t="n">
        <f aca="false">IF(ISNUMBER(((BW70/BU70)+H$14+$Y70)*BU70),((BW70/BU70)+H$14+$Y70)*BU70,0)</f>
        <v>0</v>
      </c>
      <c r="BY70" s="44" t="n">
        <f aca="false">IF(BU70=0,0,bsd(1,BZ$27,BV70,$AD70,$AA70,$AB70,$AH70,0.1))</f>
        <v>0</v>
      </c>
      <c r="BZ70" s="44" t="n">
        <f aca="false">IF(BU70=0,0,bsd(2,BZ$27,BV70,$AD70,$AA70,$AB70,$AH70,0.1))</f>
        <v>0</v>
      </c>
      <c r="CA70" s="44" t="n">
        <f aca="false">IF(BU70=0,0,bsd(BZ$28,BZ$27,BV70,$AD70,$AA70,$AB70,$AH70,0.1))</f>
        <v>0</v>
      </c>
      <c r="CB70" s="45" t="n">
        <f aca="false">BU70*BY70</f>
        <v>0</v>
      </c>
      <c r="CC70" s="45" t="n">
        <f aca="false">BU70*BZ70</f>
        <v>0</v>
      </c>
      <c r="CD70" s="45" t="n">
        <f aca="false">BU70*CA70</f>
        <v>0</v>
      </c>
    </row>
    <row r="71" customFormat="false" ht="12.75" hidden="false" customHeight="false" outlineLevel="0" collapsed="false">
      <c r="A71" s="48" t="n">
        <f aca="false">DATE(YEAR(A70),MONTH(A70)+1,1)</f>
        <v>38018</v>
      </c>
      <c r="B71" s="40" t="n">
        <f aca="false">VLOOKUP(A71,STRADDLE,5,FALSE())</f>
        <v>3.506</v>
      </c>
      <c r="C71" s="4" t="n">
        <f aca="false">VLOOKUP(A71,STRADDLE,8,FALSE())</f>
        <v>0.2775</v>
      </c>
      <c r="D71" s="40" t="n">
        <f aca="false">IF(D$28="nymex",0,VLOOKUP($A71,curvesettle,HLOOKUP(D$28,curvesettle,2,FALSE())))</f>
        <v>1.565</v>
      </c>
      <c r="E71" s="131" t="n">
        <f aca="false">IF(ISNUMBER(VLOOKUP($A71,VOLCURVES,HLOOKUP(D$28,VOLCURVES,2,FALSE()),FALSE())),VLOOKUP($A71,VOLCURVES,HLOOKUP(D$28,VOLCURVES,2,FALSE()),FALSE()),1)</f>
        <v>1.1</v>
      </c>
      <c r="F71" s="136" t="n">
        <f aca="false">IF(D$28="NYMEX",$AG71,$AF71)</f>
        <v>-7912</v>
      </c>
      <c r="G71" s="4" t="e">
        <f aca="false">(($C71+H71)*$E71)+B$15</f>
        <v>#DIV/0!</v>
      </c>
      <c r="H71" s="4" t="e">
        <f aca="false">IF($B$16=1,VLOOKUP($A71,SkewTable,HLOOKUP(ROUND(I71-AO71,1),SkewTable,2,FALSE()),FALSE())/100,0)</f>
        <v>#DIV/0!</v>
      </c>
      <c r="I71" s="41" t="n">
        <f aca="false">IF($B$19=4,$AO71,$B$18)</f>
        <v>5.05</v>
      </c>
      <c r="K71" s="40" t="n">
        <f aca="false">IF(K$28="nymex",0,VLOOKUP($A71,curvesettle,HLOOKUP(K$28,curvesettle,2,FALSE())))</f>
        <v>0.18</v>
      </c>
      <c r="L71" s="131" t="n">
        <f aca="false">IF(ISNUMBER(VLOOKUP($A71,VOLCURVES,HLOOKUP(K$28,VOLCURVES,2,FALSE()),FALSE())),VLOOKUP($A71,VOLCURVES,HLOOKUP(K$28,VOLCURVES,2,FALSE()),FALSE()),1)</f>
        <v>1</v>
      </c>
      <c r="M71" s="136" t="n">
        <f aca="false">IF(K$28="NYMEX",$AG71,$AF71)</f>
        <v>-7912</v>
      </c>
      <c r="N71" s="153" t="e">
        <f aca="false">(($C71+O71)*$L71)+D$15</f>
        <v>#DIV/0!</v>
      </c>
      <c r="O71" s="4" t="e">
        <f aca="false">IF($D$16=1,VLOOKUP($A71,SkewTable,HLOOKUP(ROUND(P71-AZ71,1),SkewTable,2,FALSE()),FALSE())/100,0)</f>
        <v>#DIV/0!</v>
      </c>
      <c r="P71" s="41" t="n">
        <f aca="false">IF($D$19=4,$AZ71,$D$18)</f>
        <v>5.1</v>
      </c>
      <c r="R71" s="40" t="n">
        <f aca="false">IF(R$28="nymex",0,VLOOKUP($A71,curvesettle,HLOOKUP(R$28,curvesettle,2,FALSE())))</f>
        <v>-0.04</v>
      </c>
      <c r="S71" s="131" t="n">
        <f aca="false">IF(ISNUMBER(VLOOKUP($A71,VOLCURVES,HLOOKUP(R$28,VOLCURVES,2,FALSE()),FALSE())),VLOOKUP($A71,VOLCURVES,HLOOKUP(R$28,VOLCURVES,2,FALSE()),FALSE()),1)</f>
        <v>1</v>
      </c>
      <c r="T71" s="136" t="n">
        <f aca="false">IF(R$28="NYMEX",$AG71,$AF71)</f>
        <v>-7912</v>
      </c>
      <c r="U71" s="153" t="e">
        <f aca="false">(($C71+V71)*$S71)+F$15</f>
        <v>#DIV/0!</v>
      </c>
      <c r="V71" s="4" t="e">
        <f aca="false">IF($F$16=1,VLOOKUP($A71,SkewTable,HLOOKUP(ROUND(W71-BK71,1),SkewTable,2,FALSE()),FALSE())/100,0)</f>
        <v>#DIV/0!</v>
      </c>
      <c r="W71" s="41" t="n">
        <f aca="false">IF($F$19=4,$BK71,$F$18)</f>
        <v>5.3983</v>
      </c>
      <c r="X71" s="136"/>
      <c r="Y71" s="40" t="n">
        <f aca="false">IF(Y$28="nymex",0,VLOOKUP($A71,curvesettle,HLOOKUP(Y$28,curvesettle,2,FALSE())))</f>
        <v>-0.04</v>
      </c>
      <c r="Z71" s="131" t="n">
        <f aca="false">IF(ISNUMBER(VLOOKUP($A71,VOLCURVES,HLOOKUP(Y$28,VOLCURVES,2,FALSE()),FALSE())),VLOOKUP($A71,VOLCURVES,HLOOKUP(Y$28,VOLCURVES,2,FALSE()),FALSE()),1)</f>
        <v>1</v>
      </c>
      <c r="AA71" s="136" t="n">
        <f aca="false">IF(Y$28="NYMEX",$AG71,$AF71)</f>
        <v>-7912</v>
      </c>
      <c r="AB71" s="4" t="e">
        <f aca="false">(($C71+AC71)*$Z71)+H$15</f>
        <v>#DIV/0!</v>
      </c>
      <c r="AC71" s="4" t="e">
        <f aca="false">IF($H$16=1,VLOOKUP($A71,SkewTable,HLOOKUP(ROUND(AD71-BV71,1),SkewTable,2,FALSE()),FALSE())/100,0)</f>
        <v>#DIV/0!</v>
      </c>
      <c r="AD71" s="41" t="n">
        <f aca="false">IF($H$19=4,$BV71,$H$18)</f>
        <v>5.4668</v>
      </c>
      <c r="AF71" s="136" t="n">
        <f aca="false">VLOOKUP($A71,expiration,2,FALSE())-$B$2</f>
        <v>-7912</v>
      </c>
      <c r="AG71" s="136" t="n">
        <f aca="false">VLOOKUP($A71,expiration,3,FALSE())-$B$2</f>
        <v>-7913</v>
      </c>
      <c r="AH71" s="4" t="n">
        <f aca="false">VLOOKUP($A71,STRADDLE,12,FALSE())</f>
        <v>0.067392584002109</v>
      </c>
      <c r="AI71" s="43" t="n">
        <f aca="false">A72-A71</f>
        <v>29</v>
      </c>
      <c r="AL71" s="136"/>
      <c r="AM71" s="9"/>
      <c r="AN71" s="9" t="n">
        <f aca="false">IF($A71&gt;=AO$25,IF($A71&lt;=AO$26,$AI71,0),0)</f>
        <v>0</v>
      </c>
      <c r="AO71" s="9" t="e">
        <f aca="false">AQ71/AN71</f>
        <v>#DIV/0!</v>
      </c>
      <c r="AP71" s="1" t="n">
        <f aca="false">AN71*($B71+B$13)</f>
        <v>0</v>
      </c>
      <c r="AQ71" s="33" t="n">
        <f aca="false">IF(ISNUMBER(((AP71/AN71)+B$14+$D71)*AN71),((AP71/AN71)+B$14+$D71)*AN71,0)</f>
        <v>0</v>
      </c>
      <c r="AR71" s="44" t="n">
        <f aca="false">IF(AN71=0,0,bsd(1,AS$27,AO71,$I71,$F71,$G71,$AH71,0.1))</f>
        <v>0</v>
      </c>
      <c r="AS71" s="44" t="n">
        <f aca="false">IF(AN71=0,0,bsd(2,AS$27,AO71,$I71,$F71,$G71,$AH71,0.1))</f>
        <v>0</v>
      </c>
      <c r="AT71" s="44" t="n">
        <f aca="false">IF(AN71=0,0,bsd(AS$28,AS$27,AO71,$I71,$F71,$G71,$AH71,0.1))</f>
        <v>0</v>
      </c>
      <c r="AU71" s="45" t="n">
        <f aca="false">AN71*AR71</f>
        <v>0</v>
      </c>
      <c r="AV71" s="45" t="n">
        <f aca="false">AN71*AS71</f>
        <v>0</v>
      </c>
      <c r="AW71" s="45" t="n">
        <f aca="false">AN71*AT71</f>
        <v>0</v>
      </c>
      <c r="AY71" s="9" t="n">
        <f aca="false">IF($A71&gt;=AZ$25,IF($A71&lt;=AZ$26,$AI71,0),0)</f>
        <v>0</v>
      </c>
      <c r="AZ71" s="9" t="e">
        <f aca="false">BB71/AY71</f>
        <v>#DIV/0!</v>
      </c>
      <c r="BA71" s="1" t="n">
        <f aca="false">AY71*($B71+D$13)</f>
        <v>0</v>
      </c>
      <c r="BB71" s="33" t="n">
        <f aca="false">IF(ISNUMBER(((BA71/AY71)+D$14+$K71)*AY71),((BA71/AY71)+D$14+$K71)*AY71,0)</f>
        <v>0</v>
      </c>
      <c r="BC71" s="44" t="n">
        <f aca="false">IF(AY71=0,0,bsd(1,BD$27,AZ71,$P71,$M71,$N71,$AH71,0.1))</f>
        <v>0</v>
      </c>
      <c r="BD71" s="44" t="n">
        <f aca="false">IF(AY71=0,0,bsd(2,BD$27,AZ71,$P71,$M71,$N71,$AH71,0.1))</f>
        <v>0</v>
      </c>
      <c r="BE71" s="44" t="n">
        <f aca="false">IF(AY71=0,0,bsd(BD$28,BD$27,AZ71,$P71,$M71,$N71,$AH71,0.1))</f>
        <v>0</v>
      </c>
      <c r="BF71" s="45" t="n">
        <f aca="false">AY71*BC71</f>
        <v>0</v>
      </c>
      <c r="BG71" s="45" t="n">
        <f aca="false">AY71*BD71</f>
        <v>0</v>
      </c>
      <c r="BH71" s="45" t="n">
        <f aca="false">AY71*BE71</f>
        <v>0</v>
      </c>
      <c r="BJ71" s="9" t="n">
        <f aca="false">IF($A71&gt;=BK$25,IF($A71&lt;=BK$26,$AI71,0),0)</f>
        <v>0</v>
      </c>
      <c r="BK71" s="9" t="e">
        <f aca="false">BM71/BJ71</f>
        <v>#DIV/0!</v>
      </c>
      <c r="BL71" s="1" t="n">
        <f aca="false">BJ71*($B71+F$13)</f>
        <v>0</v>
      </c>
      <c r="BM71" s="33" t="n">
        <f aca="false">IF(ISNUMBER(((BL71/BJ71)+F$14+$R71)*BJ71),((BL71/BJ71)+F$14+$R71)*BJ71,0)</f>
        <v>0</v>
      </c>
      <c r="BN71" s="44" t="n">
        <f aca="false">IF(BJ71=0,0,bsd(1,BO$27,BK71,$W71,$T71,$U71,$AH71,0.1))</f>
        <v>0</v>
      </c>
      <c r="BO71" s="44" t="n">
        <f aca="false">IF(BJ71=0,0,bsd(2,BO$27,BK71,$W71,$T71,$U71,$AH71,0.1))</f>
        <v>0</v>
      </c>
      <c r="BP71" s="44" t="n">
        <f aca="false">IF(BJ71=0,0,bsd(BO$28,BO$27,BK71,$W71,$T71,$U71,$AH71,0.1))</f>
        <v>0</v>
      </c>
      <c r="BQ71" s="45" t="n">
        <f aca="false">BJ71*BN71</f>
        <v>0</v>
      </c>
      <c r="BR71" s="45" t="n">
        <f aca="false">BJ71*BO71</f>
        <v>0</v>
      </c>
      <c r="BS71" s="45" t="n">
        <f aca="false">BJ71*BP71</f>
        <v>0</v>
      </c>
      <c r="BU71" s="9" t="n">
        <f aca="false">IF($A71&gt;=BV$25,IF($A71&lt;=BV$26,$AI71,0),0)</f>
        <v>0</v>
      </c>
      <c r="BV71" s="9" t="e">
        <f aca="false">BX71/BU71</f>
        <v>#DIV/0!</v>
      </c>
      <c r="BW71" s="1" t="n">
        <f aca="false">BU71*($B71+H$13)</f>
        <v>0</v>
      </c>
      <c r="BX71" s="33" t="n">
        <f aca="false">IF(ISNUMBER(((BW71/BU71)+H$14+$Y71)*BU71),((BW71/BU71)+H$14+$Y71)*BU71,0)</f>
        <v>0</v>
      </c>
      <c r="BY71" s="44" t="n">
        <f aca="false">IF(BU71=0,0,bsd(1,BZ$27,BV71,$AD71,$AA71,$AB71,$AH71,0.1))</f>
        <v>0</v>
      </c>
      <c r="BZ71" s="44" t="n">
        <f aca="false">IF(BU71=0,0,bsd(2,BZ$27,BV71,$AD71,$AA71,$AB71,$AH71,0.1))</f>
        <v>0</v>
      </c>
      <c r="CA71" s="44" t="n">
        <f aca="false">IF(BU71=0,0,bsd(BZ$28,BZ$27,BV71,$AD71,$AA71,$AB71,$AH71,0.1))</f>
        <v>0</v>
      </c>
      <c r="CB71" s="45" t="n">
        <f aca="false">BU71*BY71</f>
        <v>0</v>
      </c>
      <c r="CC71" s="45" t="n">
        <f aca="false">BU71*BZ71</f>
        <v>0</v>
      </c>
      <c r="CD71" s="45" t="n">
        <f aca="false">BU71*CA71</f>
        <v>0</v>
      </c>
    </row>
    <row r="72" customFormat="false" ht="12.75" hidden="false" customHeight="false" outlineLevel="0" collapsed="false">
      <c r="A72" s="48" t="n">
        <f aca="false">DATE(YEAR(A71),MONTH(A71)+1,1)</f>
        <v>38047</v>
      </c>
      <c r="B72" s="40" t="n">
        <f aca="false">VLOOKUP(A72,STRADDLE,5,FALSE())</f>
        <v>3.326</v>
      </c>
      <c r="C72" s="4" t="n">
        <f aca="false">VLOOKUP(A72,STRADDLE,8,FALSE())</f>
        <v>0.2775</v>
      </c>
      <c r="D72" s="40" t="n">
        <f aca="false">IF(D$28="nymex",0,VLOOKUP($A72,curvesettle,HLOOKUP(D$28,curvesettle,2,FALSE())))</f>
        <v>0.955</v>
      </c>
      <c r="E72" s="131" t="n">
        <f aca="false">IF(ISNUMBER(VLOOKUP($A72,VOLCURVES,HLOOKUP(D$28,VOLCURVES,2,FALSE()),FALSE())),VLOOKUP($A72,VOLCURVES,HLOOKUP(D$28,VOLCURVES,2,FALSE()),FALSE()),1)</f>
        <v>1.1</v>
      </c>
      <c r="F72" s="136" t="n">
        <f aca="false">IF(D$28="NYMEX",$AG72,$AF72)</f>
        <v>-7884</v>
      </c>
      <c r="G72" s="4" t="e">
        <f aca="false">(($C72+H72)*$E72)+B$15</f>
        <v>#DIV/0!</v>
      </c>
      <c r="H72" s="4" t="e">
        <f aca="false">IF($B$16=1,VLOOKUP($A72,SkewTable,HLOOKUP(ROUND(I72-AO72,1),SkewTable,2,FALSE()),FALSE())/100,0)</f>
        <v>#DIV/0!</v>
      </c>
      <c r="I72" s="41" t="n">
        <f aca="false">IF($B$19=4,$AO72,$B$18)</f>
        <v>5.05</v>
      </c>
      <c r="K72" s="40" t="n">
        <f aca="false">IF(K$28="nymex",0,VLOOKUP($A72,curvesettle,HLOOKUP(K$28,curvesettle,2,FALSE())))</f>
        <v>0.18</v>
      </c>
      <c r="L72" s="131" t="n">
        <f aca="false">IF(ISNUMBER(VLOOKUP($A72,VOLCURVES,HLOOKUP(K$28,VOLCURVES,2,FALSE()),FALSE())),VLOOKUP($A72,VOLCURVES,HLOOKUP(K$28,VOLCURVES,2,FALSE()),FALSE()),1)</f>
        <v>1</v>
      </c>
      <c r="M72" s="136" t="n">
        <f aca="false">IF(K$28="NYMEX",$AG72,$AF72)</f>
        <v>-7884</v>
      </c>
      <c r="N72" s="153" t="e">
        <f aca="false">(($C72+O72)*$L72)+D$15</f>
        <v>#DIV/0!</v>
      </c>
      <c r="O72" s="4" t="e">
        <f aca="false">IF($D$16=1,VLOOKUP($A72,SkewTable,HLOOKUP(ROUND(P72-AZ72,1),SkewTable,2,FALSE()),FALSE())/100,0)</f>
        <v>#DIV/0!</v>
      </c>
      <c r="P72" s="41" t="n">
        <f aca="false">IF($D$19=4,$AZ72,$D$18)</f>
        <v>5.1</v>
      </c>
      <c r="R72" s="40" t="n">
        <f aca="false">IF(R$28="nymex",0,VLOOKUP($A72,curvesettle,HLOOKUP(R$28,curvesettle,2,FALSE())))</f>
        <v>-0.0275</v>
      </c>
      <c r="S72" s="131" t="n">
        <f aca="false">IF(ISNUMBER(VLOOKUP($A72,VOLCURVES,HLOOKUP(R$28,VOLCURVES,2,FALSE()),FALSE())),VLOOKUP($A72,VOLCURVES,HLOOKUP(R$28,VOLCURVES,2,FALSE()),FALSE()),1)</f>
        <v>1</v>
      </c>
      <c r="T72" s="136" t="n">
        <f aca="false">IF(R$28="NYMEX",$AG72,$AF72)</f>
        <v>-7884</v>
      </c>
      <c r="U72" s="153" t="e">
        <f aca="false">(($C72+V72)*$S72)+F$15</f>
        <v>#DIV/0!</v>
      </c>
      <c r="V72" s="4" t="e">
        <f aca="false">IF($F$16=1,VLOOKUP($A72,SkewTable,HLOOKUP(ROUND(W72-BK72,1),SkewTable,2,FALSE()),FALSE())/100,0)</f>
        <v>#DIV/0!</v>
      </c>
      <c r="W72" s="41" t="n">
        <f aca="false">IF($F$19=4,$BK72,$F$18)</f>
        <v>5.3983</v>
      </c>
      <c r="X72" s="136"/>
      <c r="Y72" s="40" t="n">
        <f aca="false">IF(Y$28="nymex",0,VLOOKUP($A72,curvesettle,HLOOKUP(Y$28,curvesettle,2,FALSE())))</f>
        <v>-0.0275</v>
      </c>
      <c r="Z72" s="131" t="n">
        <f aca="false">IF(ISNUMBER(VLOOKUP($A72,VOLCURVES,HLOOKUP(Y$28,VOLCURVES,2,FALSE()),FALSE())),VLOOKUP($A72,VOLCURVES,HLOOKUP(Y$28,VOLCURVES,2,FALSE()),FALSE()),1)</f>
        <v>1</v>
      </c>
      <c r="AA72" s="136" t="n">
        <f aca="false">IF(Y$28="NYMEX",$AG72,$AF72)</f>
        <v>-7884</v>
      </c>
      <c r="AB72" s="4" t="e">
        <f aca="false">(($C72+AC72)*$Z72)+H$15</f>
        <v>#DIV/0!</v>
      </c>
      <c r="AC72" s="4" t="e">
        <f aca="false">IF($H$16=1,VLOOKUP($A72,SkewTable,HLOOKUP(ROUND(AD72-BV72,1),SkewTable,2,FALSE()),FALSE())/100,0)</f>
        <v>#DIV/0!</v>
      </c>
      <c r="AD72" s="41" t="n">
        <f aca="false">IF($H$19=4,$BV72,$H$18)</f>
        <v>5.4668</v>
      </c>
      <c r="AF72" s="136" t="n">
        <f aca="false">VLOOKUP($A72,expiration,2,FALSE())-$B$2</f>
        <v>-7884</v>
      </c>
      <c r="AG72" s="136" t="n">
        <f aca="false">VLOOKUP($A72,expiration,3,FALSE())-$B$2</f>
        <v>-7885</v>
      </c>
      <c r="AH72" s="4" t="n">
        <f aca="false">VLOOKUP($A72,STRADDLE,12,FALSE())</f>
        <v>0.067425615118011</v>
      </c>
      <c r="AI72" s="43" t="n">
        <f aca="false">A73-A72</f>
        <v>31</v>
      </c>
      <c r="AL72" s="136"/>
      <c r="AM72" s="9"/>
      <c r="AN72" s="9" t="n">
        <f aca="false">IF($A72&gt;=AO$25,IF($A72&lt;=AO$26,$AI72,0),0)</f>
        <v>0</v>
      </c>
      <c r="AO72" s="9" t="e">
        <f aca="false">AQ72/AN72</f>
        <v>#DIV/0!</v>
      </c>
      <c r="AP72" s="1" t="n">
        <f aca="false">AN72*($B72+B$13)</f>
        <v>0</v>
      </c>
      <c r="AQ72" s="33" t="n">
        <f aca="false">IF(ISNUMBER(((AP72/AN72)+B$14+$D72)*AN72),((AP72/AN72)+B$14+$D72)*AN72,0)</f>
        <v>0</v>
      </c>
      <c r="AR72" s="44" t="n">
        <f aca="false">IF(AN72=0,0,bsd(1,AS$27,AO72,$I72,$F72,$G72,$AH72,0.1))</f>
        <v>0</v>
      </c>
      <c r="AS72" s="44" t="n">
        <f aca="false">IF(AN72=0,0,bsd(2,AS$27,AO72,$I72,$F72,$G72,$AH72,0.1))</f>
        <v>0</v>
      </c>
      <c r="AT72" s="44" t="n">
        <f aca="false">IF(AN72=0,0,bsd(AS$28,AS$27,AO72,$I72,$F72,$G72,$AH72,0.1))</f>
        <v>0</v>
      </c>
      <c r="AU72" s="45" t="n">
        <f aca="false">AN72*AR72</f>
        <v>0</v>
      </c>
      <c r="AV72" s="45" t="n">
        <f aca="false">AN72*AS72</f>
        <v>0</v>
      </c>
      <c r="AW72" s="45" t="n">
        <f aca="false">AN72*AT72</f>
        <v>0</v>
      </c>
      <c r="AY72" s="9" t="n">
        <f aca="false">IF($A72&gt;=AZ$25,IF($A72&lt;=AZ$26,$AI72,0),0)</f>
        <v>0</v>
      </c>
      <c r="AZ72" s="9" t="e">
        <f aca="false">BB72/AY72</f>
        <v>#DIV/0!</v>
      </c>
      <c r="BA72" s="1" t="n">
        <f aca="false">AY72*($B72+D$13)</f>
        <v>0</v>
      </c>
      <c r="BB72" s="33" t="n">
        <f aca="false">IF(ISNUMBER(((BA72/AY72)+D$14+$K72)*AY72),((BA72/AY72)+D$14+$K72)*AY72,0)</f>
        <v>0</v>
      </c>
      <c r="BC72" s="44" t="n">
        <f aca="false">IF(AY72=0,0,bsd(1,BD$27,AZ72,$P72,$M72,$N72,$AH72,0.1))</f>
        <v>0</v>
      </c>
      <c r="BD72" s="44" t="n">
        <f aca="false">IF(AY72=0,0,bsd(2,BD$27,AZ72,$P72,$M72,$N72,$AH72,0.1))</f>
        <v>0</v>
      </c>
      <c r="BE72" s="44" t="n">
        <f aca="false">IF(AY72=0,0,bsd(BD$28,BD$27,AZ72,$P72,$M72,$N72,$AH72,0.1))</f>
        <v>0</v>
      </c>
      <c r="BF72" s="45" t="n">
        <f aca="false">AY72*BC72</f>
        <v>0</v>
      </c>
      <c r="BG72" s="45" t="n">
        <f aca="false">AY72*BD72</f>
        <v>0</v>
      </c>
      <c r="BH72" s="45" t="n">
        <f aca="false">AY72*BE72</f>
        <v>0</v>
      </c>
      <c r="BJ72" s="9" t="n">
        <f aca="false">IF($A72&gt;=BK$25,IF($A72&lt;=BK$26,$AI72,0),0)</f>
        <v>0</v>
      </c>
      <c r="BK72" s="9" t="e">
        <f aca="false">BM72/BJ72</f>
        <v>#DIV/0!</v>
      </c>
      <c r="BL72" s="1" t="n">
        <f aca="false">BJ72*($B72+F$13)</f>
        <v>0</v>
      </c>
      <c r="BM72" s="33" t="n">
        <f aca="false">IF(ISNUMBER(((BL72/BJ72)+F$14+$R72)*BJ72),((BL72/BJ72)+F$14+$R72)*BJ72,0)</f>
        <v>0</v>
      </c>
      <c r="BN72" s="44" t="n">
        <f aca="false">IF(BJ72=0,0,bsd(1,BO$27,BK72,$W72,$T72,$U72,$AH72,0.1))</f>
        <v>0</v>
      </c>
      <c r="BO72" s="44" t="n">
        <f aca="false">IF(BJ72=0,0,bsd(2,BO$27,BK72,$W72,$T72,$U72,$AH72,0.1))</f>
        <v>0</v>
      </c>
      <c r="BP72" s="44" t="n">
        <f aca="false">IF(BJ72=0,0,bsd(BO$28,BO$27,BK72,$W72,$T72,$U72,$AH72,0.1))</f>
        <v>0</v>
      </c>
      <c r="BQ72" s="45" t="n">
        <f aca="false">BJ72*BN72</f>
        <v>0</v>
      </c>
      <c r="BR72" s="45" t="n">
        <f aca="false">BJ72*BO72</f>
        <v>0</v>
      </c>
      <c r="BS72" s="45" t="n">
        <f aca="false">BJ72*BP72</f>
        <v>0</v>
      </c>
      <c r="BU72" s="9" t="n">
        <f aca="false">IF($A72&gt;=BV$25,IF($A72&lt;=BV$26,$AI72,0),0)</f>
        <v>0</v>
      </c>
      <c r="BV72" s="9" t="e">
        <f aca="false">BX72/BU72</f>
        <v>#DIV/0!</v>
      </c>
      <c r="BW72" s="1" t="n">
        <f aca="false">BU72*($B72+H$13)</f>
        <v>0</v>
      </c>
      <c r="BX72" s="33" t="n">
        <f aca="false">IF(ISNUMBER(((BW72/BU72)+H$14+$Y72)*BU72),((BW72/BU72)+H$14+$Y72)*BU72,0)</f>
        <v>0</v>
      </c>
      <c r="BY72" s="44" t="n">
        <f aca="false">IF(BU72=0,0,bsd(1,BZ$27,BV72,$AD72,$AA72,$AB72,$AH72,0.1))</f>
        <v>0</v>
      </c>
      <c r="BZ72" s="44" t="n">
        <f aca="false">IF(BU72=0,0,bsd(2,BZ$27,BV72,$AD72,$AA72,$AB72,$AH72,0.1))</f>
        <v>0</v>
      </c>
      <c r="CA72" s="44" t="n">
        <f aca="false">IF(BU72=0,0,bsd(BZ$28,BZ$27,BV72,$AD72,$AA72,$AB72,$AH72,0.1))</f>
        <v>0</v>
      </c>
      <c r="CB72" s="45" t="n">
        <f aca="false">BU72*BY72</f>
        <v>0</v>
      </c>
      <c r="CC72" s="45" t="n">
        <f aca="false">BU72*BZ72</f>
        <v>0</v>
      </c>
      <c r="CD72" s="45" t="n">
        <f aca="false">BU72*CA72</f>
        <v>0</v>
      </c>
    </row>
    <row r="73" customFormat="false" ht="12.75" hidden="false" customHeight="false" outlineLevel="0" collapsed="false">
      <c r="A73" s="48" t="n">
        <f aca="false">DATE(YEAR(A72),MONTH(A72)+1,1)</f>
        <v>38078</v>
      </c>
      <c r="B73" s="40" t="n">
        <f aca="false">VLOOKUP(A73,STRADDLE,5,FALSE())</f>
        <v>3.139</v>
      </c>
      <c r="C73" s="4" t="n">
        <f aca="false">VLOOKUP(A73,STRADDLE,8,FALSE())</f>
        <v>0.2575</v>
      </c>
      <c r="D73" s="40" t="n">
        <f aca="false">IF(D$28="nymex",0,VLOOKUP($A73,curvesettle,HLOOKUP(D$28,curvesettle,2,FALSE())))</f>
        <v>0.45</v>
      </c>
      <c r="E73" s="131" t="n">
        <f aca="false">IF(ISNUMBER(VLOOKUP($A73,VOLCURVES,HLOOKUP(D$28,VOLCURVES,2,FALSE()),FALSE())),VLOOKUP($A73,VOLCURVES,HLOOKUP(D$28,VOLCURVES,2,FALSE()),FALSE()),1)</f>
        <v>0.98</v>
      </c>
      <c r="F73" s="136" t="n">
        <f aca="false">IF(D$28="NYMEX",$AG73,$AF73)</f>
        <v>-7851</v>
      </c>
      <c r="G73" s="4" t="e">
        <f aca="false">(($C73+H73)*$E73)+B$15</f>
        <v>#DIV/0!</v>
      </c>
      <c r="H73" s="4" t="e">
        <f aca="false">IF($B$16=1,VLOOKUP($A73,SkewTable,HLOOKUP(ROUND(I73-AO73,1),SkewTable,2,FALSE()),FALSE())/100,0)</f>
        <v>#DIV/0!</v>
      </c>
      <c r="I73" s="41" t="n">
        <f aca="false">IF($B$19=4,$AO73,$B$18)</f>
        <v>5.05</v>
      </c>
      <c r="K73" s="40" t="n">
        <f aca="false">IF(K$28="nymex",0,VLOOKUP($A73,curvesettle,HLOOKUP(K$28,curvesettle,2,FALSE())))</f>
        <v>0.31</v>
      </c>
      <c r="L73" s="131" t="n">
        <f aca="false">IF(ISNUMBER(VLOOKUP($A73,VOLCURVES,HLOOKUP(K$28,VOLCURVES,2,FALSE()),FALSE())),VLOOKUP($A73,VOLCURVES,HLOOKUP(K$28,VOLCURVES,2,FALSE()),FALSE()),1)</f>
        <v>1</v>
      </c>
      <c r="M73" s="136" t="n">
        <f aca="false">IF(K$28="NYMEX",$AG73,$AF73)</f>
        <v>-7851</v>
      </c>
      <c r="N73" s="153" t="e">
        <f aca="false">(($C73+O73)*$L73)+D$15</f>
        <v>#DIV/0!</v>
      </c>
      <c r="O73" s="4" t="e">
        <f aca="false">IF($D$16=1,VLOOKUP($A73,SkewTable,HLOOKUP(ROUND(P73-AZ73,1),SkewTable,2,FALSE()),FALSE())/100,0)</f>
        <v>#DIV/0!</v>
      </c>
      <c r="P73" s="41" t="n">
        <f aca="false">IF($D$19=4,$AZ73,$D$18)</f>
        <v>5.1</v>
      </c>
      <c r="R73" s="40" t="n">
        <f aca="false">IF(R$28="nymex",0,VLOOKUP($A73,curvesettle,HLOOKUP(R$28,curvesettle,2,FALSE())))</f>
        <v>0.015</v>
      </c>
      <c r="S73" s="131" t="n">
        <f aca="false">IF(ISNUMBER(VLOOKUP($A73,VOLCURVES,HLOOKUP(R$28,VOLCURVES,2,FALSE()),FALSE())),VLOOKUP($A73,VOLCURVES,HLOOKUP(R$28,VOLCURVES,2,FALSE()),FALSE()),1)</f>
        <v>1</v>
      </c>
      <c r="T73" s="136" t="n">
        <f aca="false">IF(R$28="NYMEX",$AG73,$AF73)</f>
        <v>-7851</v>
      </c>
      <c r="U73" s="153" t="e">
        <f aca="false">(($C73+V73)*$S73)+F$15</f>
        <v>#DIV/0!</v>
      </c>
      <c r="V73" s="4" t="e">
        <f aca="false">IF($F$16=1,VLOOKUP($A73,SkewTable,HLOOKUP(ROUND(W73-BK73,1),SkewTable,2,FALSE()),FALSE())/100,0)</f>
        <v>#DIV/0!</v>
      </c>
      <c r="W73" s="41" t="n">
        <f aca="false">IF($F$19=4,$BK73,$F$18)</f>
        <v>5.3983</v>
      </c>
      <c r="X73" s="136"/>
      <c r="Y73" s="40" t="n">
        <f aca="false">IF(Y$28="nymex",0,VLOOKUP($A73,curvesettle,HLOOKUP(Y$28,curvesettle,2,FALSE())))</f>
        <v>0.015</v>
      </c>
      <c r="Z73" s="131" t="n">
        <f aca="false">IF(ISNUMBER(VLOOKUP($A73,VOLCURVES,HLOOKUP(Y$28,VOLCURVES,2,FALSE()),FALSE())),VLOOKUP($A73,VOLCURVES,HLOOKUP(Y$28,VOLCURVES,2,FALSE()),FALSE()),1)</f>
        <v>1</v>
      </c>
      <c r="AA73" s="136" t="n">
        <f aca="false">IF(Y$28="NYMEX",$AG73,$AF73)</f>
        <v>-7851</v>
      </c>
      <c r="AB73" s="4" t="e">
        <f aca="false">(($C73+AC73)*$Z73)+H$15</f>
        <v>#DIV/0!</v>
      </c>
      <c r="AC73" s="4" t="e">
        <f aca="false">IF($H$16=1,VLOOKUP($A73,SkewTable,HLOOKUP(ROUND(AD73-BV73,1),SkewTable,2,FALSE()),FALSE())/100,0)</f>
        <v>#DIV/0!</v>
      </c>
      <c r="AD73" s="41" t="n">
        <f aca="false">IF($H$19=4,$BV73,$H$18)</f>
        <v>5.4668</v>
      </c>
      <c r="AF73" s="136" t="n">
        <f aca="false">VLOOKUP($A73,expiration,2,FALSE())-$B$2</f>
        <v>-7851</v>
      </c>
      <c r="AG73" s="136" t="n">
        <f aca="false">VLOOKUP($A73,expiration,3,FALSE())-$B$2</f>
        <v>-7854</v>
      </c>
      <c r="AH73" s="4" t="n">
        <f aca="false">VLOOKUP($A73,STRADDLE,12,FALSE())</f>
        <v>0.067454837668858</v>
      </c>
      <c r="AI73" s="43" t="n">
        <f aca="false">A74-A73</f>
        <v>30</v>
      </c>
      <c r="AL73" s="136"/>
      <c r="AM73" s="9"/>
      <c r="AN73" s="9" t="n">
        <f aca="false">IF($A73&gt;=AO$25,IF($A73&lt;=AO$26,$AI73,0),0)</f>
        <v>0</v>
      </c>
      <c r="AO73" s="9" t="e">
        <f aca="false">AQ73/AN73</f>
        <v>#DIV/0!</v>
      </c>
      <c r="AP73" s="1" t="n">
        <f aca="false">AN73*($B73+B$13)</f>
        <v>0</v>
      </c>
      <c r="AQ73" s="33" t="n">
        <f aca="false">IF(ISNUMBER(((AP73/AN73)+B$14+$D73)*AN73),((AP73/AN73)+B$14+$D73)*AN73,0)</f>
        <v>0</v>
      </c>
      <c r="AR73" s="44" t="n">
        <f aca="false">IF(AN73=0,0,bsd(1,AS$27,AO73,$I73,$F73,$G73,$AH73,0.1))</f>
        <v>0</v>
      </c>
      <c r="AS73" s="44" t="n">
        <f aca="false">IF(AN73=0,0,bsd(2,AS$27,AO73,$I73,$F73,$G73,$AH73,0.1))</f>
        <v>0</v>
      </c>
      <c r="AT73" s="44" t="n">
        <f aca="false">IF(AN73=0,0,bsd(AS$28,AS$27,AO73,$I73,$F73,$G73,$AH73,0.1))</f>
        <v>0</v>
      </c>
      <c r="AU73" s="45" t="n">
        <f aca="false">AN73*AR73</f>
        <v>0</v>
      </c>
      <c r="AV73" s="45" t="n">
        <f aca="false">AN73*AS73</f>
        <v>0</v>
      </c>
      <c r="AW73" s="45" t="n">
        <f aca="false">AN73*AT73</f>
        <v>0</v>
      </c>
      <c r="AY73" s="9" t="n">
        <f aca="false">IF($A73&gt;=AZ$25,IF($A73&lt;=AZ$26,$AI73,0),0)</f>
        <v>0</v>
      </c>
      <c r="AZ73" s="9" t="e">
        <f aca="false">BB73/AY73</f>
        <v>#DIV/0!</v>
      </c>
      <c r="BA73" s="1" t="n">
        <f aca="false">AY73*($B73+D$13)</f>
        <v>0</v>
      </c>
      <c r="BB73" s="33" t="n">
        <f aca="false">IF(ISNUMBER(((BA73/AY73)+D$14+$K73)*AY73),((BA73/AY73)+D$14+$K73)*AY73,0)</f>
        <v>0</v>
      </c>
      <c r="BC73" s="44" t="n">
        <f aca="false">IF(AY73=0,0,bsd(1,BD$27,AZ73,$P73,$M73,$N73,$AH73,0.1))</f>
        <v>0</v>
      </c>
      <c r="BD73" s="44" t="n">
        <f aca="false">IF(AY73=0,0,bsd(2,BD$27,AZ73,$P73,$M73,$N73,$AH73,0.1))</f>
        <v>0</v>
      </c>
      <c r="BE73" s="44" t="n">
        <f aca="false">IF(AY73=0,0,bsd(BD$28,BD$27,AZ73,$P73,$M73,$N73,$AH73,0.1))</f>
        <v>0</v>
      </c>
      <c r="BF73" s="45" t="n">
        <f aca="false">AY73*BC73</f>
        <v>0</v>
      </c>
      <c r="BG73" s="45" t="n">
        <f aca="false">AY73*BD73</f>
        <v>0</v>
      </c>
      <c r="BH73" s="45" t="n">
        <f aca="false">AY73*BE73</f>
        <v>0</v>
      </c>
      <c r="BJ73" s="9" t="n">
        <f aca="false">IF($A73&gt;=BK$25,IF($A73&lt;=BK$26,$AI73,0),0)</f>
        <v>0</v>
      </c>
      <c r="BK73" s="9" t="e">
        <f aca="false">BM73/BJ73</f>
        <v>#DIV/0!</v>
      </c>
      <c r="BL73" s="1" t="n">
        <f aca="false">BJ73*($B73+F$13)</f>
        <v>0</v>
      </c>
      <c r="BM73" s="33" t="n">
        <f aca="false">IF(ISNUMBER(((BL73/BJ73)+F$14+$R73)*BJ73),((BL73/BJ73)+F$14+$R73)*BJ73,0)</f>
        <v>0</v>
      </c>
      <c r="BN73" s="44" t="n">
        <f aca="false">IF(BJ73=0,0,bsd(1,BO$27,BK73,$W73,$T73,$U73,$AH73,0.1))</f>
        <v>0</v>
      </c>
      <c r="BO73" s="44" t="n">
        <f aca="false">IF(BJ73=0,0,bsd(2,BO$27,BK73,$W73,$T73,$U73,$AH73,0.1))</f>
        <v>0</v>
      </c>
      <c r="BP73" s="44" t="n">
        <f aca="false">IF(BJ73=0,0,bsd(BO$28,BO$27,BK73,$W73,$T73,$U73,$AH73,0.1))</f>
        <v>0</v>
      </c>
      <c r="BQ73" s="45" t="n">
        <f aca="false">BJ73*BN73</f>
        <v>0</v>
      </c>
      <c r="BR73" s="45" t="n">
        <f aca="false">BJ73*BO73</f>
        <v>0</v>
      </c>
      <c r="BS73" s="45" t="n">
        <f aca="false">BJ73*BP73</f>
        <v>0</v>
      </c>
      <c r="BU73" s="9" t="n">
        <f aca="false">IF($A73&gt;=BV$25,IF($A73&lt;=BV$26,$AI73,0),0)</f>
        <v>0</v>
      </c>
      <c r="BV73" s="9" t="e">
        <f aca="false">BX73/BU73</f>
        <v>#DIV/0!</v>
      </c>
      <c r="BW73" s="1" t="n">
        <f aca="false">BU73*($B73+H$13)</f>
        <v>0</v>
      </c>
      <c r="BX73" s="33" t="n">
        <f aca="false">IF(ISNUMBER(((BW73/BU73)+H$14+$Y73)*BU73),((BW73/BU73)+H$14+$Y73)*BU73,0)</f>
        <v>0</v>
      </c>
      <c r="BY73" s="44" t="n">
        <f aca="false">IF(BU73=0,0,bsd(1,BZ$27,BV73,$AD73,$AA73,$AB73,$AH73,0.1))</f>
        <v>0</v>
      </c>
      <c r="BZ73" s="44" t="n">
        <f aca="false">IF(BU73=0,0,bsd(2,BZ$27,BV73,$AD73,$AA73,$AB73,$AH73,0.1))</f>
        <v>0</v>
      </c>
      <c r="CA73" s="44" t="n">
        <f aca="false">IF(BU73=0,0,bsd(BZ$28,BZ$27,BV73,$AD73,$AA73,$AB73,$AH73,0.1))</f>
        <v>0</v>
      </c>
      <c r="CB73" s="45" t="n">
        <f aca="false">BU73*BY73</f>
        <v>0</v>
      </c>
      <c r="CC73" s="45" t="n">
        <f aca="false">BU73*BZ73</f>
        <v>0</v>
      </c>
      <c r="CD73" s="45" t="n">
        <f aca="false">BU73*CA73</f>
        <v>0</v>
      </c>
    </row>
    <row r="74" customFormat="false" ht="12.75" hidden="false" customHeight="false" outlineLevel="0" collapsed="false">
      <c r="A74" s="48" t="n">
        <f aca="false">DATE(YEAR(A73),MONTH(A73)+1,1)</f>
        <v>38108</v>
      </c>
      <c r="B74" s="40" t="n">
        <f aca="false">VLOOKUP(A74,STRADDLE,5,FALSE())</f>
        <v>3.09</v>
      </c>
      <c r="C74" s="4" t="n">
        <f aca="false">VLOOKUP(A74,STRADDLE,8,FALSE())</f>
        <v>0.2575</v>
      </c>
      <c r="D74" s="40" t="n">
        <f aca="false">IF(D$28="nymex",0,VLOOKUP($A74,curvesettle,HLOOKUP(D$28,curvesettle,2,FALSE())))</f>
        <v>0.405</v>
      </c>
      <c r="E74" s="131" t="n">
        <f aca="false">IF(ISNUMBER(VLOOKUP($A74,VOLCURVES,HLOOKUP(D$28,VOLCURVES,2,FALSE()),FALSE())),VLOOKUP($A74,VOLCURVES,HLOOKUP(D$28,VOLCURVES,2,FALSE()),FALSE()),1)</f>
        <v>0.98</v>
      </c>
      <c r="F74" s="136" t="n">
        <f aca="false">IF(D$28="NYMEX",$AG74,$AF74)</f>
        <v>-7821</v>
      </c>
      <c r="G74" s="4" t="e">
        <f aca="false">(($C74+H74)*$E74)+B$15</f>
        <v>#DIV/0!</v>
      </c>
      <c r="H74" s="4" t="e">
        <f aca="false">IF($B$16=1,VLOOKUP($A74,SkewTable,HLOOKUP(ROUND(I74-AO74,1),SkewTable,2,FALSE()),FALSE())/100,0)</f>
        <v>#DIV/0!</v>
      </c>
      <c r="I74" s="41" t="n">
        <f aca="false">IF($B$19=4,$AO74,$B$18)</f>
        <v>5.05</v>
      </c>
      <c r="K74" s="40" t="n">
        <f aca="false">IF(K$28="nymex",0,VLOOKUP($A74,curvesettle,HLOOKUP(K$28,curvesettle,2,FALSE())))</f>
        <v>0.31</v>
      </c>
      <c r="L74" s="131" t="n">
        <f aca="false">IF(ISNUMBER(VLOOKUP($A74,VOLCURVES,HLOOKUP(K$28,VOLCURVES,2,FALSE()),FALSE())),VLOOKUP($A74,VOLCURVES,HLOOKUP(K$28,VOLCURVES,2,FALSE()),FALSE()),1)</f>
        <v>1</v>
      </c>
      <c r="M74" s="136" t="n">
        <f aca="false">IF(K$28="NYMEX",$AG74,$AF74)</f>
        <v>-7821</v>
      </c>
      <c r="N74" s="153" t="e">
        <f aca="false">(($C74+O74)*$L74)+D$15</f>
        <v>#DIV/0!</v>
      </c>
      <c r="O74" s="4" t="e">
        <f aca="false">IF($D$16=1,VLOOKUP($A74,SkewTable,HLOOKUP(ROUND(P74-AZ74,1),SkewTable,2,FALSE()),FALSE())/100,0)</f>
        <v>#DIV/0!</v>
      </c>
      <c r="P74" s="41" t="n">
        <f aca="false">IF($D$19=4,$AZ74,$D$18)</f>
        <v>5.1</v>
      </c>
      <c r="R74" s="40" t="n">
        <f aca="false">IF(R$28="nymex",0,VLOOKUP($A74,curvesettle,HLOOKUP(R$28,curvesettle,2,FALSE())))</f>
        <v>0.015</v>
      </c>
      <c r="S74" s="131" t="n">
        <f aca="false">IF(ISNUMBER(VLOOKUP($A74,VOLCURVES,HLOOKUP(R$28,VOLCURVES,2,FALSE()),FALSE())),VLOOKUP($A74,VOLCURVES,HLOOKUP(R$28,VOLCURVES,2,FALSE()),FALSE()),1)</f>
        <v>1</v>
      </c>
      <c r="T74" s="136" t="n">
        <f aca="false">IF(R$28="NYMEX",$AG74,$AF74)</f>
        <v>-7821</v>
      </c>
      <c r="U74" s="153" t="e">
        <f aca="false">(($C74+V74)*$S74)+F$15</f>
        <v>#DIV/0!</v>
      </c>
      <c r="V74" s="4" t="e">
        <f aca="false">IF($F$16=1,VLOOKUP($A74,SkewTable,HLOOKUP(ROUND(W74-BK74,1),SkewTable,2,FALSE()),FALSE())/100,0)</f>
        <v>#DIV/0!</v>
      </c>
      <c r="W74" s="41" t="n">
        <f aca="false">IF($F$19=4,$BK74,$F$18)</f>
        <v>5.3983</v>
      </c>
      <c r="X74" s="136"/>
      <c r="Y74" s="40" t="n">
        <f aca="false">IF(Y$28="nymex",0,VLOOKUP($A74,curvesettle,HLOOKUP(Y$28,curvesettle,2,FALSE())))</f>
        <v>0.015</v>
      </c>
      <c r="Z74" s="131" t="n">
        <f aca="false">IF(ISNUMBER(VLOOKUP($A74,VOLCURVES,HLOOKUP(Y$28,VOLCURVES,2,FALSE()),FALSE())),VLOOKUP($A74,VOLCURVES,HLOOKUP(Y$28,VOLCURVES,2,FALSE()),FALSE()),1)</f>
        <v>1</v>
      </c>
      <c r="AA74" s="136" t="n">
        <f aca="false">IF(Y$28="NYMEX",$AG74,$AF74)</f>
        <v>-7821</v>
      </c>
      <c r="AB74" s="4" t="e">
        <f aca="false">(($C74+AC74)*$Z74)+H$15</f>
        <v>#DIV/0!</v>
      </c>
      <c r="AC74" s="4" t="e">
        <f aca="false">IF($H$16=1,VLOOKUP($A74,SkewTable,HLOOKUP(ROUND(AD74-BV74,1),SkewTable,2,FALSE()),FALSE())/100,0)</f>
        <v>#DIV/0!</v>
      </c>
      <c r="AD74" s="41" t="n">
        <f aca="false">IF($H$19=4,$BV74,$H$18)</f>
        <v>5.4668</v>
      </c>
      <c r="AF74" s="136" t="n">
        <f aca="false">VLOOKUP($A74,expiration,2,FALSE())-$B$2</f>
        <v>-7821</v>
      </c>
      <c r="AG74" s="136" t="n">
        <f aca="false">VLOOKUP($A74,expiration,3,FALSE())-$B$2</f>
        <v>-7822</v>
      </c>
      <c r="AH74" s="4" t="n">
        <f aca="false">VLOOKUP($A74,STRADDLE,12,FALSE())</f>
        <v>0.067476834642469</v>
      </c>
      <c r="AI74" s="43" t="n">
        <f aca="false">A75-A74</f>
        <v>31</v>
      </c>
      <c r="AL74" s="136"/>
      <c r="AM74" s="9"/>
      <c r="AN74" s="9" t="n">
        <f aca="false">IF($A74&gt;=AO$25,IF($A74&lt;=AO$26,$AI74,0),0)</f>
        <v>0</v>
      </c>
      <c r="AO74" s="9" t="e">
        <f aca="false">AQ74/AN74</f>
        <v>#DIV/0!</v>
      </c>
      <c r="AP74" s="1" t="n">
        <f aca="false">AN74*($B74+B$13)</f>
        <v>0</v>
      </c>
      <c r="AQ74" s="33" t="n">
        <f aca="false">IF(ISNUMBER(((AP74/AN74)+B$14+$D74)*AN74),((AP74/AN74)+B$14+$D74)*AN74,0)</f>
        <v>0</v>
      </c>
      <c r="AR74" s="44" t="n">
        <f aca="false">IF(AN74=0,0,bsd(1,AS$27,AO74,$I74,$F74,$G74,$AH74,0.1))</f>
        <v>0</v>
      </c>
      <c r="AS74" s="44" t="n">
        <f aca="false">IF(AN74=0,0,bsd(2,AS$27,AO74,$I74,$F74,$G74,$AH74,0.1))</f>
        <v>0</v>
      </c>
      <c r="AT74" s="44" t="n">
        <f aca="false">IF(AN74=0,0,bsd(AS$28,AS$27,AO74,$I74,$F74,$G74,$AH74,0.1))</f>
        <v>0</v>
      </c>
      <c r="AU74" s="45" t="n">
        <f aca="false">AN74*AR74</f>
        <v>0</v>
      </c>
      <c r="AV74" s="45" t="n">
        <f aca="false">AN74*AS74</f>
        <v>0</v>
      </c>
      <c r="AW74" s="45" t="n">
        <f aca="false">AN74*AT74</f>
        <v>0</v>
      </c>
      <c r="AY74" s="9" t="n">
        <f aca="false">IF($A74&gt;=AZ$25,IF($A74&lt;=AZ$26,$AI74,0),0)</f>
        <v>0</v>
      </c>
      <c r="AZ74" s="9" t="e">
        <f aca="false">BB74/AY74</f>
        <v>#DIV/0!</v>
      </c>
      <c r="BA74" s="1" t="n">
        <f aca="false">AY74*($B74+D$13)</f>
        <v>0</v>
      </c>
      <c r="BB74" s="33" t="n">
        <f aca="false">IF(ISNUMBER(((BA74/AY74)+D$14+$K74)*AY74),((BA74/AY74)+D$14+$K74)*AY74,0)</f>
        <v>0</v>
      </c>
      <c r="BC74" s="44" t="n">
        <f aca="false">IF(AY74=0,0,bsd(1,BD$27,AZ74,$P74,$M74,$N74,$AH74,0.1))</f>
        <v>0</v>
      </c>
      <c r="BD74" s="44" t="n">
        <f aca="false">IF(AY74=0,0,bsd(2,BD$27,AZ74,$P74,$M74,$N74,$AH74,0.1))</f>
        <v>0</v>
      </c>
      <c r="BE74" s="44" t="n">
        <f aca="false">IF(AY74=0,0,bsd(BD$28,BD$27,AZ74,$P74,$M74,$N74,$AH74,0.1))</f>
        <v>0</v>
      </c>
      <c r="BF74" s="45" t="n">
        <f aca="false">AY74*BC74</f>
        <v>0</v>
      </c>
      <c r="BG74" s="45" t="n">
        <f aca="false">AY74*BD74</f>
        <v>0</v>
      </c>
      <c r="BH74" s="45" t="n">
        <f aca="false">AY74*BE74</f>
        <v>0</v>
      </c>
      <c r="BJ74" s="9" t="n">
        <f aca="false">IF($A74&gt;=BK$25,IF($A74&lt;=BK$26,$AI74,0),0)</f>
        <v>0</v>
      </c>
      <c r="BK74" s="9" t="e">
        <f aca="false">BM74/BJ74</f>
        <v>#DIV/0!</v>
      </c>
      <c r="BL74" s="1" t="n">
        <f aca="false">BJ74*($B74+F$13)</f>
        <v>0</v>
      </c>
      <c r="BM74" s="33" t="n">
        <f aca="false">IF(ISNUMBER(((BL74/BJ74)+F$14+$R74)*BJ74),((BL74/BJ74)+F$14+$R74)*BJ74,0)</f>
        <v>0</v>
      </c>
      <c r="BN74" s="44" t="n">
        <f aca="false">IF(BJ74=0,0,bsd(1,BO$27,BK74,$W74,$T74,$U74,$AH74,0.1))</f>
        <v>0</v>
      </c>
      <c r="BO74" s="44" t="n">
        <f aca="false">IF(BJ74=0,0,bsd(2,BO$27,BK74,$W74,$T74,$U74,$AH74,0.1))</f>
        <v>0</v>
      </c>
      <c r="BP74" s="44" t="n">
        <f aca="false">IF(BJ74=0,0,bsd(BO$28,BO$27,BK74,$W74,$T74,$U74,$AH74,0.1))</f>
        <v>0</v>
      </c>
      <c r="BQ74" s="45" t="n">
        <f aca="false">BJ74*BN74</f>
        <v>0</v>
      </c>
      <c r="BR74" s="45" t="n">
        <f aca="false">BJ74*BO74</f>
        <v>0</v>
      </c>
      <c r="BS74" s="45" t="n">
        <f aca="false">BJ74*BP74</f>
        <v>0</v>
      </c>
      <c r="BU74" s="9" t="n">
        <f aca="false">IF($A74&gt;=BV$25,IF($A74&lt;=BV$26,$AI74,0),0)</f>
        <v>0</v>
      </c>
      <c r="BV74" s="9" t="e">
        <f aca="false">BX74/BU74</f>
        <v>#DIV/0!</v>
      </c>
      <c r="BW74" s="1" t="n">
        <f aca="false">BU74*($B74+H$13)</f>
        <v>0</v>
      </c>
      <c r="BX74" s="33" t="n">
        <f aca="false">IF(ISNUMBER(((BW74/BU74)+H$14+$Y74)*BU74),((BW74/BU74)+H$14+$Y74)*BU74,0)</f>
        <v>0</v>
      </c>
      <c r="BY74" s="44" t="n">
        <f aca="false">IF(BU74=0,0,bsd(1,BZ$27,BV74,$AD74,$AA74,$AB74,$AH74,0.1))</f>
        <v>0</v>
      </c>
      <c r="BZ74" s="44" t="n">
        <f aca="false">IF(BU74=0,0,bsd(2,BZ$27,BV74,$AD74,$AA74,$AB74,$AH74,0.1))</f>
        <v>0</v>
      </c>
      <c r="CA74" s="44" t="n">
        <f aca="false">IF(BU74=0,0,bsd(BZ$28,BZ$27,BV74,$AD74,$AA74,$AB74,$AH74,0.1))</f>
        <v>0</v>
      </c>
      <c r="CB74" s="45" t="n">
        <f aca="false">BU74*BY74</f>
        <v>0</v>
      </c>
      <c r="CC74" s="45" t="n">
        <f aca="false">BU74*BZ74</f>
        <v>0</v>
      </c>
      <c r="CD74" s="45" t="n">
        <f aca="false">BU74*CA74</f>
        <v>0</v>
      </c>
    </row>
    <row r="75" customFormat="false" ht="12.75" hidden="false" customHeight="false" outlineLevel="0" collapsed="false">
      <c r="A75" s="48" t="n">
        <f aca="false">DATE(YEAR(A74),MONTH(A74)+1,1)</f>
        <v>38139</v>
      </c>
      <c r="B75" s="40" t="n">
        <f aca="false">VLOOKUP(A75,STRADDLE,5,FALSE())</f>
        <v>3.099</v>
      </c>
      <c r="C75" s="4" t="n">
        <f aca="false">VLOOKUP(A75,STRADDLE,8,FALSE())</f>
        <v>0.2575</v>
      </c>
      <c r="D75" s="40" t="n">
        <f aca="false">IF(D$28="nymex",0,VLOOKUP($A75,curvesettle,HLOOKUP(D$28,curvesettle,2,FALSE())))</f>
        <v>0.395</v>
      </c>
      <c r="E75" s="131" t="n">
        <f aca="false">IF(ISNUMBER(VLOOKUP($A75,VOLCURVES,HLOOKUP(D$28,VOLCURVES,2,FALSE()),FALSE())),VLOOKUP($A75,VOLCURVES,HLOOKUP(D$28,VOLCURVES,2,FALSE()),FALSE()),1)</f>
        <v>0.98</v>
      </c>
      <c r="F75" s="136" t="n">
        <f aca="false">IF(D$28="NYMEX",$AG75,$AF75)</f>
        <v>-7793</v>
      </c>
      <c r="G75" s="4" t="e">
        <f aca="false">(($C75+H75)*$E75)+B$15</f>
        <v>#DIV/0!</v>
      </c>
      <c r="H75" s="4" t="e">
        <f aca="false">IF($B$16=1,VLOOKUP($A75,SkewTable,HLOOKUP(ROUND(I75-AO75,1),SkewTable,2,FALSE()),FALSE())/100,0)</f>
        <v>#DIV/0!</v>
      </c>
      <c r="I75" s="41" t="n">
        <f aca="false">IF($B$19=4,$AO75,$B$18)</f>
        <v>5.05</v>
      </c>
      <c r="K75" s="40" t="n">
        <f aca="false">IF(K$28="nymex",0,VLOOKUP($A75,curvesettle,HLOOKUP(K$28,curvesettle,2,FALSE())))</f>
        <v>0.31</v>
      </c>
      <c r="L75" s="131" t="n">
        <f aca="false">IF(ISNUMBER(VLOOKUP($A75,VOLCURVES,HLOOKUP(K$28,VOLCURVES,2,FALSE()),FALSE())),VLOOKUP($A75,VOLCURVES,HLOOKUP(K$28,VOLCURVES,2,FALSE()),FALSE()),1)</f>
        <v>1</v>
      </c>
      <c r="M75" s="136" t="n">
        <f aca="false">IF(K$28="NYMEX",$AG75,$AF75)</f>
        <v>-7793</v>
      </c>
      <c r="N75" s="153" t="e">
        <f aca="false">(($C75+O75)*$L75)+D$15</f>
        <v>#DIV/0!</v>
      </c>
      <c r="O75" s="4" t="e">
        <f aca="false">IF($D$16=1,VLOOKUP($A75,SkewTable,HLOOKUP(ROUND(P75-AZ75,1),SkewTable,2,FALSE()),FALSE())/100,0)</f>
        <v>#DIV/0!</v>
      </c>
      <c r="P75" s="41" t="n">
        <f aca="false">IF($D$19=4,$AZ75,$D$18)</f>
        <v>5.1</v>
      </c>
      <c r="R75" s="40" t="n">
        <f aca="false">IF(R$28="nymex",0,VLOOKUP($A75,curvesettle,HLOOKUP(R$28,curvesettle,2,FALSE())))</f>
        <v>0.02</v>
      </c>
      <c r="S75" s="131" t="n">
        <f aca="false">IF(ISNUMBER(VLOOKUP($A75,VOLCURVES,HLOOKUP(R$28,VOLCURVES,2,FALSE()),FALSE())),VLOOKUP($A75,VOLCURVES,HLOOKUP(R$28,VOLCURVES,2,FALSE()),FALSE()),1)</f>
        <v>1</v>
      </c>
      <c r="T75" s="136" t="n">
        <f aca="false">IF(R$28="NYMEX",$AG75,$AF75)</f>
        <v>-7793</v>
      </c>
      <c r="U75" s="153" t="e">
        <f aca="false">(($C75+V75)*$S75)+F$15</f>
        <v>#DIV/0!</v>
      </c>
      <c r="V75" s="4" t="e">
        <f aca="false">IF($F$16=1,VLOOKUP($A75,SkewTable,HLOOKUP(ROUND(W75-BK75,1),SkewTable,2,FALSE()),FALSE())/100,0)</f>
        <v>#DIV/0!</v>
      </c>
      <c r="W75" s="41" t="n">
        <f aca="false">IF($F$19=4,$BK75,$F$18)</f>
        <v>5.3983</v>
      </c>
      <c r="X75" s="136"/>
      <c r="Y75" s="40" t="n">
        <f aca="false">IF(Y$28="nymex",0,VLOOKUP($A75,curvesettle,HLOOKUP(Y$28,curvesettle,2,FALSE())))</f>
        <v>0.02</v>
      </c>
      <c r="Z75" s="131" t="n">
        <f aca="false">IF(ISNUMBER(VLOOKUP($A75,VOLCURVES,HLOOKUP(Y$28,VOLCURVES,2,FALSE()),FALSE())),VLOOKUP($A75,VOLCURVES,HLOOKUP(Y$28,VOLCURVES,2,FALSE()),FALSE()),1)</f>
        <v>1</v>
      </c>
      <c r="AA75" s="136" t="n">
        <f aca="false">IF(Y$28="NYMEX",$AG75,$AF75)</f>
        <v>-7793</v>
      </c>
      <c r="AB75" s="4" t="e">
        <f aca="false">(($C75+AC75)*$Z75)+H$15</f>
        <v>#DIV/0!</v>
      </c>
      <c r="AC75" s="4" t="e">
        <f aca="false">IF($H$16=1,VLOOKUP($A75,SkewTable,HLOOKUP(ROUND(AD75-BV75,1),SkewTable,2,FALSE()),FALSE())/100,0)</f>
        <v>#DIV/0!</v>
      </c>
      <c r="AD75" s="41" t="n">
        <f aca="false">IF($H$19=4,$BV75,$H$18)</f>
        <v>5.4668</v>
      </c>
      <c r="AF75" s="136" t="n">
        <f aca="false">VLOOKUP($A75,expiration,2,FALSE())-$B$2</f>
        <v>-7793</v>
      </c>
      <c r="AG75" s="136" t="n">
        <f aca="false">VLOOKUP($A75,expiration,3,FALSE())-$B$2</f>
        <v>-7794</v>
      </c>
      <c r="AH75" s="4" t="n">
        <f aca="false">VLOOKUP($A75,STRADDLE,12,FALSE())</f>
        <v>0.067499564848703</v>
      </c>
      <c r="AI75" s="43" t="n">
        <f aca="false">A76-A75</f>
        <v>30</v>
      </c>
      <c r="AL75" s="136"/>
      <c r="AM75" s="9"/>
      <c r="AN75" s="9" t="n">
        <f aca="false">IF($A75&gt;=AO$25,IF($A75&lt;=AO$26,$AI75,0),0)</f>
        <v>0</v>
      </c>
      <c r="AO75" s="9" t="e">
        <f aca="false">AQ75/AN75</f>
        <v>#DIV/0!</v>
      </c>
      <c r="AP75" s="1" t="n">
        <f aca="false">AN75*($B75+B$13)</f>
        <v>0</v>
      </c>
      <c r="AQ75" s="33" t="n">
        <f aca="false">IF(ISNUMBER(((AP75/AN75)+B$14+$D75)*AN75),((AP75/AN75)+B$14+$D75)*AN75,0)</f>
        <v>0</v>
      </c>
      <c r="AR75" s="44" t="n">
        <f aca="false">IF(AN75=0,0,bsd(1,AS$27,AO75,$I75,$F75,$G75,$AH75,0.1))</f>
        <v>0</v>
      </c>
      <c r="AS75" s="44" t="n">
        <f aca="false">IF(AN75=0,0,bsd(2,AS$27,AO75,$I75,$F75,$G75,$AH75,0.1))</f>
        <v>0</v>
      </c>
      <c r="AT75" s="44" t="n">
        <f aca="false">IF(AN75=0,0,bsd(AS$28,AS$27,AO75,$I75,$F75,$G75,$AH75,0.1))</f>
        <v>0</v>
      </c>
      <c r="AU75" s="45" t="n">
        <f aca="false">AN75*AR75</f>
        <v>0</v>
      </c>
      <c r="AV75" s="45" t="n">
        <f aca="false">AN75*AS75</f>
        <v>0</v>
      </c>
      <c r="AW75" s="45" t="n">
        <f aca="false">AN75*AT75</f>
        <v>0</v>
      </c>
      <c r="AY75" s="9" t="n">
        <f aca="false">IF($A75&gt;=AZ$25,IF($A75&lt;=AZ$26,$AI75,0),0)</f>
        <v>0</v>
      </c>
      <c r="AZ75" s="9" t="e">
        <f aca="false">BB75/AY75</f>
        <v>#DIV/0!</v>
      </c>
      <c r="BA75" s="1" t="n">
        <f aca="false">AY75*($B75+D$13)</f>
        <v>0</v>
      </c>
      <c r="BB75" s="33" t="n">
        <f aca="false">IF(ISNUMBER(((BA75/AY75)+D$14+$K75)*AY75),((BA75/AY75)+D$14+$K75)*AY75,0)</f>
        <v>0</v>
      </c>
      <c r="BC75" s="44" t="n">
        <f aca="false">IF(AY75=0,0,bsd(1,BD$27,AZ75,$P75,$M75,$N75,$AH75,0.1))</f>
        <v>0</v>
      </c>
      <c r="BD75" s="44" t="n">
        <f aca="false">IF(AY75=0,0,bsd(2,BD$27,AZ75,$P75,$M75,$N75,$AH75,0.1))</f>
        <v>0</v>
      </c>
      <c r="BE75" s="44" t="n">
        <f aca="false">IF(AY75=0,0,bsd(BD$28,BD$27,AZ75,$P75,$M75,$N75,$AH75,0.1))</f>
        <v>0</v>
      </c>
      <c r="BF75" s="45" t="n">
        <f aca="false">AY75*BC75</f>
        <v>0</v>
      </c>
      <c r="BG75" s="45" t="n">
        <f aca="false">AY75*BD75</f>
        <v>0</v>
      </c>
      <c r="BH75" s="45" t="n">
        <f aca="false">AY75*BE75</f>
        <v>0</v>
      </c>
      <c r="BJ75" s="9" t="n">
        <f aca="false">IF($A75&gt;=BK$25,IF($A75&lt;=BK$26,$AI75,0),0)</f>
        <v>0</v>
      </c>
      <c r="BK75" s="9" t="e">
        <f aca="false">BM75/BJ75</f>
        <v>#DIV/0!</v>
      </c>
      <c r="BL75" s="1" t="n">
        <f aca="false">BJ75*($B75+F$13)</f>
        <v>0</v>
      </c>
      <c r="BM75" s="33" t="n">
        <f aca="false">IF(ISNUMBER(((BL75/BJ75)+F$14+$R75)*BJ75),((BL75/BJ75)+F$14+$R75)*BJ75,0)</f>
        <v>0</v>
      </c>
      <c r="BN75" s="44" t="n">
        <f aca="false">IF(BJ75=0,0,bsd(1,BO$27,BK75,$W75,$T75,$U75,$AH75,0.1))</f>
        <v>0</v>
      </c>
      <c r="BO75" s="44" t="n">
        <f aca="false">IF(BJ75=0,0,bsd(2,BO$27,BK75,$W75,$T75,$U75,$AH75,0.1))</f>
        <v>0</v>
      </c>
      <c r="BP75" s="44" t="n">
        <f aca="false">IF(BJ75=0,0,bsd(BO$28,BO$27,BK75,$W75,$T75,$U75,$AH75,0.1))</f>
        <v>0</v>
      </c>
      <c r="BQ75" s="45" t="n">
        <f aca="false">BJ75*BN75</f>
        <v>0</v>
      </c>
      <c r="BR75" s="45" t="n">
        <f aca="false">BJ75*BO75</f>
        <v>0</v>
      </c>
      <c r="BS75" s="45" t="n">
        <f aca="false">BJ75*BP75</f>
        <v>0</v>
      </c>
      <c r="BU75" s="9" t="n">
        <f aca="false">IF($A75&gt;=BV$25,IF($A75&lt;=BV$26,$AI75,0),0)</f>
        <v>0</v>
      </c>
      <c r="BV75" s="9" t="e">
        <f aca="false">BX75/BU75</f>
        <v>#DIV/0!</v>
      </c>
      <c r="BW75" s="1" t="n">
        <f aca="false">BU75*($B75+H$13)</f>
        <v>0</v>
      </c>
      <c r="BX75" s="33" t="n">
        <f aca="false">IF(ISNUMBER(((BW75/BU75)+H$14+$Y75)*BU75),((BW75/BU75)+H$14+$Y75)*BU75,0)</f>
        <v>0</v>
      </c>
      <c r="BY75" s="44" t="n">
        <f aca="false">IF(BU75=0,0,bsd(1,BZ$27,BV75,$AD75,$AA75,$AB75,$AH75,0.1))</f>
        <v>0</v>
      </c>
      <c r="BZ75" s="44" t="n">
        <f aca="false">IF(BU75=0,0,bsd(2,BZ$27,BV75,$AD75,$AA75,$AB75,$AH75,0.1))</f>
        <v>0</v>
      </c>
      <c r="CA75" s="44" t="n">
        <f aca="false">IF(BU75=0,0,bsd(BZ$28,BZ$27,BV75,$AD75,$AA75,$AB75,$AH75,0.1))</f>
        <v>0</v>
      </c>
      <c r="CB75" s="45" t="n">
        <f aca="false">BU75*BY75</f>
        <v>0</v>
      </c>
      <c r="CC75" s="45" t="n">
        <f aca="false">BU75*BZ75</f>
        <v>0</v>
      </c>
      <c r="CD75" s="45" t="n">
        <f aca="false">BU75*CA75</f>
        <v>0</v>
      </c>
    </row>
    <row r="76" customFormat="false" ht="12.75" hidden="false" customHeight="false" outlineLevel="0" collapsed="false">
      <c r="A76" s="48" t="n">
        <f aca="false">DATE(YEAR(A75),MONTH(A75)+1,1)</f>
        <v>38169</v>
      </c>
      <c r="B76" s="40" t="n">
        <f aca="false">VLOOKUP(A76,STRADDLE,5,FALSE())</f>
        <v>3.107</v>
      </c>
      <c r="C76" s="4" t="n">
        <f aca="false">VLOOKUP(A76,STRADDLE,8,FALSE())</f>
        <v>0.255</v>
      </c>
      <c r="D76" s="40" t="n">
        <f aca="false">IF(D$28="nymex",0,VLOOKUP($A76,curvesettle,HLOOKUP(D$28,curvesettle,2,FALSE())))</f>
        <v>0.43</v>
      </c>
      <c r="E76" s="131" t="n">
        <f aca="false">IF(ISNUMBER(VLOOKUP($A76,VOLCURVES,HLOOKUP(D$28,VOLCURVES,2,FALSE()),FALSE())),VLOOKUP($A76,VOLCURVES,HLOOKUP(D$28,VOLCURVES,2,FALSE()),FALSE()),1)</f>
        <v>0.98</v>
      </c>
      <c r="F76" s="136" t="n">
        <f aca="false">IF(D$28="NYMEX",$AG76,$AF76)</f>
        <v>-7760</v>
      </c>
      <c r="G76" s="4" t="e">
        <f aca="false">(($C76+H76)*$E76)+B$15</f>
        <v>#DIV/0!</v>
      </c>
      <c r="H76" s="4" t="e">
        <f aca="false">IF($B$16=1,VLOOKUP($A76,SkewTable,HLOOKUP(ROUND(I76-AO76,1),SkewTable,2,FALSE()),FALSE())/100,0)</f>
        <v>#DIV/0!</v>
      </c>
      <c r="I76" s="41" t="n">
        <f aca="false">IF($B$19=4,$AO76,$B$18)</f>
        <v>5.05</v>
      </c>
      <c r="K76" s="40" t="n">
        <f aca="false">IF(K$28="nymex",0,VLOOKUP($A76,curvesettle,HLOOKUP(K$28,curvesettle,2,FALSE())))</f>
        <v>0.31</v>
      </c>
      <c r="L76" s="131" t="n">
        <f aca="false">IF(ISNUMBER(VLOOKUP($A76,VOLCURVES,HLOOKUP(K$28,VOLCURVES,2,FALSE()),FALSE())),VLOOKUP($A76,VOLCURVES,HLOOKUP(K$28,VOLCURVES,2,FALSE()),FALSE()),1)</f>
        <v>1</v>
      </c>
      <c r="M76" s="136" t="n">
        <f aca="false">IF(K$28="NYMEX",$AG76,$AF76)</f>
        <v>-7760</v>
      </c>
      <c r="N76" s="153" t="e">
        <f aca="false">(($C76+O76)*$L76)+D$15</f>
        <v>#DIV/0!</v>
      </c>
      <c r="O76" s="4" t="e">
        <f aca="false">IF($D$16=1,VLOOKUP($A76,SkewTable,HLOOKUP(ROUND(P76-AZ76,1),SkewTable,2,FALSE()),FALSE())/100,0)</f>
        <v>#DIV/0!</v>
      </c>
      <c r="P76" s="41" t="n">
        <f aca="false">IF($D$19=4,$AZ76,$D$18)</f>
        <v>5.1</v>
      </c>
      <c r="R76" s="40" t="n">
        <f aca="false">IF(R$28="nymex",0,VLOOKUP($A76,curvesettle,HLOOKUP(R$28,curvesettle,2,FALSE())))</f>
        <v>0.0225</v>
      </c>
      <c r="S76" s="131" t="n">
        <f aca="false">IF(ISNUMBER(VLOOKUP($A76,VOLCURVES,HLOOKUP(R$28,VOLCURVES,2,FALSE()),FALSE())),VLOOKUP($A76,VOLCURVES,HLOOKUP(R$28,VOLCURVES,2,FALSE()),FALSE()),1)</f>
        <v>1</v>
      </c>
      <c r="T76" s="136" t="n">
        <f aca="false">IF(R$28="NYMEX",$AG76,$AF76)</f>
        <v>-7760</v>
      </c>
      <c r="U76" s="153" t="e">
        <f aca="false">(($C76+V76)*$S76)+F$15</f>
        <v>#DIV/0!</v>
      </c>
      <c r="V76" s="4" t="e">
        <f aca="false">IF($F$16=1,VLOOKUP($A76,SkewTable,HLOOKUP(ROUND(W76-BK76,1),SkewTable,2,FALSE()),FALSE())/100,0)</f>
        <v>#DIV/0!</v>
      </c>
      <c r="W76" s="41" t="n">
        <f aca="false">IF($F$19=4,$BK76,$F$18)</f>
        <v>5.3983</v>
      </c>
      <c r="X76" s="136"/>
      <c r="Y76" s="40" t="n">
        <f aca="false">IF(Y$28="nymex",0,VLOOKUP($A76,curvesettle,HLOOKUP(Y$28,curvesettle,2,FALSE())))</f>
        <v>0.0225</v>
      </c>
      <c r="Z76" s="131" t="n">
        <f aca="false">IF(ISNUMBER(VLOOKUP($A76,VOLCURVES,HLOOKUP(Y$28,VOLCURVES,2,FALSE()),FALSE())),VLOOKUP($A76,VOLCURVES,HLOOKUP(Y$28,VOLCURVES,2,FALSE()),FALSE()),1)</f>
        <v>1</v>
      </c>
      <c r="AA76" s="136" t="n">
        <f aca="false">IF(Y$28="NYMEX",$AG76,$AF76)</f>
        <v>-7760</v>
      </c>
      <c r="AB76" s="4" t="e">
        <f aca="false">(($C76+AC76)*$Z76)+H$15</f>
        <v>#DIV/0!</v>
      </c>
      <c r="AC76" s="4" t="e">
        <f aca="false">IF($H$16=1,VLOOKUP($A76,SkewTable,HLOOKUP(ROUND(AD76-BV76,1),SkewTable,2,FALSE()),FALSE())/100,0)</f>
        <v>#DIV/0!</v>
      </c>
      <c r="AD76" s="41" t="n">
        <f aca="false">IF($H$19=4,$BV76,$H$18)</f>
        <v>5.4668</v>
      </c>
      <c r="AF76" s="136" t="n">
        <f aca="false">VLOOKUP($A76,expiration,2,FALSE())-$B$2</f>
        <v>-7760</v>
      </c>
      <c r="AG76" s="136" t="n">
        <f aca="false">VLOOKUP($A76,expiration,3,FALSE())-$B$2</f>
        <v>-7763</v>
      </c>
      <c r="AH76" s="4" t="n">
        <f aca="false">VLOOKUP($A76,STRADDLE,12,FALSE())</f>
        <v>0.06753426580475</v>
      </c>
      <c r="AI76" s="43" t="n">
        <f aca="false">A77-A76</f>
        <v>31</v>
      </c>
      <c r="AL76" s="136"/>
      <c r="AM76" s="9"/>
      <c r="AN76" s="9" t="n">
        <f aca="false">IF($A76&gt;=AO$25,IF($A76&lt;=AO$26,$AI76,0),0)</f>
        <v>0</v>
      </c>
      <c r="AO76" s="9" t="e">
        <f aca="false">AQ76/AN76</f>
        <v>#DIV/0!</v>
      </c>
      <c r="AP76" s="1" t="n">
        <f aca="false">AN76*($B76+B$13)</f>
        <v>0</v>
      </c>
      <c r="AQ76" s="33" t="n">
        <f aca="false">IF(ISNUMBER(((AP76/AN76)+B$14+$D76)*AN76),((AP76/AN76)+B$14+$D76)*AN76,0)</f>
        <v>0</v>
      </c>
      <c r="AR76" s="44" t="n">
        <f aca="false">IF(AN76=0,0,bsd(1,AS$27,AO76,$I76,$F76,$G76,$AH76,0.1))</f>
        <v>0</v>
      </c>
      <c r="AS76" s="44" t="n">
        <f aca="false">IF(AN76=0,0,bsd(2,AS$27,AO76,$I76,$F76,$G76,$AH76,0.1))</f>
        <v>0</v>
      </c>
      <c r="AT76" s="44" t="n">
        <f aca="false">IF(AN76=0,0,bsd(AS$28,AS$27,AO76,$I76,$F76,$G76,$AH76,0.1))</f>
        <v>0</v>
      </c>
      <c r="AU76" s="45" t="n">
        <f aca="false">AN76*AR76</f>
        <v>0</v>
      </c>
      <c r="AV76" s="45" t="n">
        <f aca="false">AN76*AS76</f>
        <v>0</v>
      </c>
      <c r="AW76" s="45" t="n">
        <f aca="false">AN76*AT76</f>
        <v>0</v>
      </c>
      <c r="AY76" s="9" t="n">
        <f aca="false">IF($A76&gt;=AZ$25,IF($A76&lt;=AZ$26,$AI76,0),0)</f>
        <v>0</v>
      </c>
      <c r="AZ76" s="9" t="e">
        <f aca="false">BB76/AY76</f>
        <v>#DIV/0!</v>
      </c>
      <c r="BA76" s="1" t="n">
        <f aca="false">AY76*($B76+D$13)</f>
        <v>0</v>
      </c>
      <c r="BB76" s="33" t="n">
        <f aca="false">IF(ISNUMBER(((BA76/AY76)+D$14+$K76)*AY76),((BA76/AY76)+D$14+$K76)*AY76,0)</f>
        <v>0</v>
      </c>
      <c r="BC76" s="44" t="n">
        <f aca="false">IF(AY76=0,0,bsd(1,BD$27,AZ76,$P76,$M76,$N76,$AH76,0.1))</f>
        <v>0</v>
      </c>
      <c r="BD76" s="44" t="n">
        <f aca="false">IF(AY76=0,0,bsd(2,BD$27,AZ76,$P76,$M76,$N76,$AH76,0.1))</f>
        <v>0</v>
      </c>
      <c r="BE76" s="44" t="n">
        <f aca="false">IF(AY76=0,0,bsd(BD$28,BD$27,AZ76,$P76,$M76,$N76,$AH76,0.1))</f>
        <v>0</v>
      </c>
      <c r="BF76" s="45" t="n">
        <f aca="false">AY76*BC76</f>
        <v>0</v>
      </c>
      <c r="BG76" s="45" t="n">
        <f aca="false">AY76*BD76</f>
        <v>0</v>
      </c>
      <c r="BH76" s="45" t="n">
        <f aca="false">AY76*BE76</f>
        <v>0</v>
      </c>
      <c r="BJ76" s="9" t="n">
        <f aca="false">IF($A76&gt;=BK$25,IF($A76&lt;=BK$26,$AI76,0),0)</f>
        <v>0</v>
      </c>
      <c r="BK76" s="9" t="e">
        <f aca="false">BM76/BJ76</f>
        <v>#DIV/0!</v>
      </c>
      <c r="BL76" s="1" t="n">
        <f aca="false">BJ76*($B76+F$13)</f>
        <v>0</v>
      </c>
      <c r="BM76" s="33" t="n">
        <f aca="false">IF(ISNUMBER(((BL76/BJ76)+F$14+$R76)*BJ76),((BL76/BJ76)+F$14+$R76)*BJ76,0)</f>
        <v>0</v>
      </c>
      <c r="BN76" s="44" t="n">
        <f aca="false">IF(BJ76=0,0,bsd(1,BO$27,BK76,$W76,$T76,$U76,$AH76,0.1))</f>
        <v>0</v>
      </c>
      <c r="BO76" s="44" t="n">
        <f aca="false">IF(BJ76=0,0,bsd(2,BO$27,BK76,$W76,$T76,$U76,$AH76,0.1))</f>
        <v>0</v>
      </c>
      <c r="BP76" s="44" t="n">
        <f aca="false">IF(BJ76=0,0,bsd(BO$28,BO$27,BK76,$W76,$T76,$U76,$AH76,0.1))</f>
        <v>0</v>
      </c>
      <c r="BQ76" s="45" t="n">
        <f aca="false">BJ76*BN76</f>
        <v>0</v>
      </c>
      <c r="BR76" s="45" t="n">
        <f aca="false">BJ76*BO76</f>
        <v>0</v>
      </c>
      <c r="BS76" s="45" t="n">
        <f aca="false">BJ76*BP76</f>
        <v>0</v>
      </c>
      <c r="BU76" s="9" t="n">
        <f aca="false">IF($A76&gt;=BV$25,IF($A76&lt;=BV$26,$AI76,0),0)</f>
        <v>0</v>
      </c>
      <c r="BV76" s="9" t="e">
        <f aca="false">BX76/BU76</f>
        <v>#DIV/0!</v>
      </c>
      <c r="BW76" s="1" t="n">
        <f aca="false">BU76*($B76+H$13)</f>
        <v>0</v>
      </c>
      <c r="BX76" s="33" t="n">
        <f aca="false">IF(ISNUMBER(((BW76/BU76)+H$14+$Y76)*BU76),((BW76/BU76)+H$14+$Y76)*BU76,0)</f>
        <v>0</v>
      </c>
      <c r="BY76" s="44" t="n">
        <f aca="false">IF(BU76=0,0,bsd(1,BZ$27,BV76,$AD76,$AA76,$AB76,$AH76,0.1))</f>
        <v>0</v>
      </c>
      <c r="BZ76" s="44" t="n">
        <f aca="false">IF(BU76=0,0,bsd(2,BZ$27,BV76,$AD76,$AA76,$AB76,$AH76,0.1))</f>
        <v>0</v>
      </c>
      <c r="CA76" s="44" t="n">
        <f aca="false">IF(BU76=0,0,bsd(BZ$28,BZ$27,BV76,$AD76,$AA76,$AB76,$AH76,0.1))</f>
        <v>0</v>
      </c>
      <c r="CB76" s="45" t="n">
        <f aca="false">BU76*BY76</f>
        <v>0</v>
      </c>
      <c r="CC76" s="45" t="n">
        <f aca="false">BU76*BZ76</f>
        <v>0</v>
      </c>
      <c r="CD76" s="45" t="n">
        <f aca="false">BU76*CA76</f>
        <v>0</v>
      </c>
    </row>
    <row r="77" customFormat="false" ht="12.75" hidden="false" customHeight="false" outlineLevel="0" collapsed="false">
      <c r="A77" s="48" t="n">
        <f aca="false">DATE(YEAR(A76),MONTH(A76)+1,1)</f>
        <v>38200</v>
      </c>
      <c r="B77" s="40" t="n">
        <f aca="false">VLOOKUP(A77,STRADDLE,5,FALSE())</f>
        <v>3.114</v>
      </c>
      <c r="C77" s="4" t="n">
        <f aca="false">VLOOKUP(A77,STRADDLE,8,FALSE())</f>
        <v>0.255</v>
      </c>
      <c r="D77" s="40" t="n">
        <f aca="false">IF(D$28="nymex",0,VLOOKUP($A77,curvesettle,HLOOKUP(D$28,curvesettle,2,FALSE())))</f>
        <v>0.495</v>
      </c>
      <c r="E77" s="131" t="n">
        <f aca="false">IF(ISNUMBER(VLOOKUP($A77,VOLCURVES,HLOOKUP(D$28,VOLCURVES,2,FALSE()),FALSE())),VLOOKUP($A77,VOLCURVES,HLOOKUP(D$28,VOLCURVES,2,FALSE()),FALSE()),1)</f>
        <v>0.98</v>
      </c>
      <c r="F77" s="136" t="n">
        <f aca="false">IF(D$28="NYMEX",$AG77,$AF77)</f>
        <v>-7730</v>
      </c>
      <c r="G77" s="4" t="e">
        <f aca="false">(($C77+H77)*$E77)+B$15</f>
        <v>#DIV/0!</v>
      </c>
      <c r="H77" s="4" t="e">
        <f aca="false">IF($B$16=1,VLOOKUP($A77,SkewTable,HLOOKUP(ROUND(I77-AO77,1),SkewTable,2,FALSE()),FALSE())/100,0)</f>
        <v>#DIV/0!</v>
      </c>
      <c r="I77" s="41" t="n">
        <f aca="false">IF($B$19=4,$AO77,$B$18)</f>
        <v>5.05</v>
      </c>
      <c r="K77" s="40" t="n">
        <f aca="false">IF(K$28="nymex",0,VLOOKUP($A77,curvesettle,HLOOKUP(K$28,curvesettle,2,FALSE())))</f>
        <v>0.31</v>
      </c>
      <c r="L77" s="131" t="n">
        <f aca="false">IF(ISNUMBER(VLOOKUP($A77,VOLCURVES,HLOOKUP(K$28,VOLCURVES,2,FALSE()),FALSE())),VLOOKUP($A77,VOLCURVES,HLOOKUP(K$28,VOLCURVES,2,FALSE()),FALSE()),1)</f>
        <v>1</v>
      </c>
      <c r="M77" s="136" t="n">
        <f aca="false">IF(K$28="NYMEX",$AG77,$AF77)</f>
        <v>-7730</v>
      </c>
      <c r="N77" s="153" t="e">
        <f aca="false">(($C77+O77)*$L77)+D$15</f>
        <v>#DIV/0!</v>
      </c>
      <c r="O77" s="4" t="e">
        <f aca="false">IF($D$16=1,VLOOKUP($A77,SkewTable,HLOOKUP(ROUND(P77-AZ77,1),SkewTable,2,FALSE()),FALSE())/100,0)</f>
        <v>#DIV/0!</v>
      </c>
      <c r="P77" s="41" t="n">
        <f aca="false">IF($D$19=4,$AZ77,$D$18)</f>
        <v>5.1</v>
      </c>
      <c r="R77" s="40" t="n">
        <f aca="false">IF(R$28="nymex",0,VLOOKUP($A77,curvesettle,HLOOKUP(R$28,curvesettle,2,FALSE())))</f>
        <v>0.025</v>
      </c>
      <c r="S77" s="131" t="n">
        <f aca="false">IF(ISNUMBER(VLOOKUP($A77,VOLCURVES,HLOOKUP(R$28,VOLCURVES,2,FALSE()),FALSE())),VLOOKUP($A77,VOLCURVES,HLOOKUP(R$28,VOLCURVES,2,FALSE()),FALSE()),1)</f>
        <v>1</v>
      </c>
      <c r="T77" s="136" t="n">
        <f aca="false">IF(R$28="NYMEX",$AG77,$AF77)</f>
        <v>-7730</v>
      </c>
      <c r="U77" s="153" t="e">
        <f aca="false">(($C77+V77)*$S77)+F$15</f>
        <v>#DIV/0!</v>
      </c>
      <c r="V77" s="4" t="e">
        <f aca="false">IF($F$16=1,VLOOKUP($A77,SkewTable,HLOOKUP(ROUND(W77-BK77,1),SkewTable,2,FALSE()),FALSE())/100,0)</f>
        <v>#DIV/0!</v>
      </c>
      <c r="W77" s="41" t="n">
        <f aca="false">IF($F$19=4,$BK77,$F$18)</f>
        <v>5.3983</v>
      </c>
      <c r="X77" s="136"/>
      <c r="Y77" s="40" t="n">
        <f aca="false">IF(Y$28="nymex",0,VLOOKUP($A77,curvesettle,HLOOKUP(Y$28,curvesettle,2,FALSE())))</f>
        <v>0.025</v>
      </c>
      <c r="Z77" s="131" t="n">
        <f aca="false">IF(ISNUMBER(VLOOKUP($A77,VOLCURVES,HLOOKUP(Y$28,VOLCURVES,2,FALSE()),FALSE())),VLOOKUP($A77,VOLCURVES,HLOOKUP(Y$28,VOLCURVES,2,FALSE()),FALSE()),1)</f>
        <v>1</v>
      </c>
      <c r="AA77" s="136" t="n">
        <f aca="false">IF(Y$28="NYMEX",$AG77,$AF77)</f>
        <v>-7730</v>
      </c>
      <c r="AB77" s="4" t="e">
        <f aca="false">(($C77+AC77)*$Z77)+H$15</f>
        <v>#DIV/0!</v>
      </c>
      <c r="AC77" s="4" t="e">
        <f aca="false">IF($H$16=1,VLOOKUP($A77,SkewTable,HLOOKUP(ROUND(AD77-BV77,1),SkewTable,2,FALSE()),FALSE())/100,0)</f>
        <v>#DIV/0!</v>
      </c>
      <c r="AD77" s="41" t="n">
        <f aca="false">IF($H$19=4,$BV77,$H$18)</f>
        <v>5.4668</v>
      </c>
      <c r="AF77" s="136" t="n">
        <f aca="false">VLOOKUP($A77,expiration,2,FALSE())-$B$2</f>
        <v>-7730</v>
      </c>
      <c r="AG77" s="136" t="n">
        <f aca="false">VLOOKUP($A77,expiration,3,FALSE())-$B$2</f>
        <v>-7731</v>
      </c>
      <c r="AH77" s="4" t="n">
        <f aca="false">VLOOKUP($A77,STRADDLE,12,FALSE())</f>
        <v>0.067585126257915</v>
      </c>
      <c r="AI77" s="43" t="n">
        <f aca="false">A78-A77</f>
        <v>31</v>
      </c>
      <c r="AL77" s="136"/>
      <c r="AM77" s="9"/>
      <c r="AN77" s="9" t="n">
        <f aca="false">IF($A77&gt;=AO$25,IF($A77&lt;=AO$26,$AI77,0),0)</f>
        <v>0</v>
      </c>
      <c r="AO77" s="9" t="e">
        <f aca="false">AQ77/AN77</f>
        <v>#DIV/0!</v>
      </c>
      <c r="AP77" s="1" t="n">
        <f aca="false">AN77*($B77+B$13)</f>
        <v>0</v>
      </c>
      <c r="AQ77" s="33" t="n">
        <f aca="false">IF(ISNUMBER(((AP77/AN77)+B$14+$D77)*AN77),((AP77/AN77)+B$14+$D77)*AN77,0)</f>
        <v>0</v>
      </c>
      <c r="AR77" s="44" t="n">
        <f aca="false">IF(AN77=0,0,bsd(1,AS$27,AO77,$I77,$F77,$G77,$AH77,0.1))</f>
        <v>0</v>
      </c>
      <c r="AS77" s="44" t="n">
        <f aca="false">IF(AN77=0,0,bsd(2,AS$27,AO77,$I77,$F77,$G77,$AH77,0.1))</f>
        <v>0</v>
      </c>
      <c r="AT77" s="44" t="n">
        <f aca="false">IF(AN77=0,0,bsd(AS$28,AS$27,AO77,$I77,$F77,$G77,$AH77,0.1))</f>
        <v>0</v>
      </c>
      <c r="AU77" s="45" t="n">
        <f aca="false">AN77*AR77</f>
        <v>0</v>
      </c>
      <c r="AV77" s="45" t="n">
        <f aca="false">AN77*AS77</f>
        <v>0</v>
      </c>
      <c r="AW77" s="45" t="n">
        <f aca="false">AN77*AT77</f>
        <v>0</v>
      </c>
      <c r="AY77" s="9" t="n">
        <f aca="false">IF($A77&gt;=AZ$25,IF($A77&lt;=AZ$26,$AI77,0),0)</f>
        <v>0</v>
      </c>
      <c r="AZ77" s="9" t="e">
        <f aca="false">BB77/AY77</f>
        <v>#DIV/0!</v>
      </c>
      <c r="BA77" s="1" t="n">
        <f aca="false">AY77*($B77+D$13)</f>
        <v>0</v>
      </c>
      <c r="BB77" s="33" t="n">
        <f aca="false">IF(ISNUMBER(((BA77/AY77)+D$14+$K77)*AY77),((BA77/AY77)+D$14+$K77)*AY77,0)</f>
        <v>0</v>
      </c>
      <c r="BC77" s="44" t="n">
        <f aca="false">IF(AY77=0,0,bsd(1,BD$27,AZ77,$P77,$M77,$N77,$AH77,0.1))</f>
        <v>0</v>
      </c>
      <c r="BD77" s="44" t="n">
        <f aca="false">IF(AY77=0,0,bsd(2,BD$27,AZ77,$P77,$M77,$N77,$AH77,0.1))</f>
        <v>0</v>
      </c>
      <c r="BE77" s="44" t="n">
        <f aca="false">IF(AY77=0,0,bsd(BD$28,BD$27,AZ77,$P77,$M77,$N77,$AH77,0.1))</f>
        <v>0</v>
      </c>
      <c r="BF77" s="45" t="n">
        <f aca="false">AY77*BC77</f>
        <v>0</v>
      </c>
      <c r="BG77" s="45" t="n">
        <f aca="false">AY77*BD77</f>
        <v>0</v>
      </c>
      <c r="BH77" s="45" t="n">
        <f aca="false">AY77*BE77</f>
        <v>0</v>
      </c>
      <c r="BJ77" s="9" t="n">
        <f aca="false">IF($A77&gt;=BK$25,IF($A77&lt;=BK$26,$AI77,0),0)</f>
        <v>0</v>
      </c>
      <c r="BK77" s="9" t="e">
        <f aca="false">BM77/BJ77</f>
        <v>#DIV/0!</v>
      </c>
      <c r="BL77" s="1" t="n">
        <f aca="false">BJ77*($B77+F$13)</f>
        <v>0</v>
      </c>
      <c r="BM77" s="33" t="n">
        <f aca="false">IF(ISNUMBER(((BL77/BJ77)+F$14+$R77)*BJ77),((BL77/BJ77)+F$14+$R77)*BJ77,0)</f>
        <v>0</v>
      </c>
      <c r="BN77" s="44" t="n">
        <f aca="false">IF(BJ77=0,0,bsd(1,BO$27,BK77,$W77,$T77,$U77,$AH77,0.1))</f>
        <v>0</v>
      </c>
      <c r="BO77" s="44" t="n">
        <f aca="false">IF(BJ77=0,0,bsd(2,BO$27,BK77,$W77,$T77,$U77,$AH77,0.1))</f>
        <v>0</v>
      </c>
      <c r="BP77" s="44" t="n">
        <f aca="false">IF(BJ77=0,0,bsd(BO$28,BO$27,BK77,$W77,$T77,$U77,$AH77,0.1))</f>
        <v>0</v>
      </c>
      <c r="BQ77" s="45" t="n">
        <f aca="false">BJ77*BN77</f>
        <v>0</v>
      </c>
      <c r="BR77" s="45" t="n">
        <f aca="false">BJ77*BO77</f>
        <v>0</v>
      </c>
      <c r="BS77" s="45" t="n">
        <f aca="false">BJ77*BP77</f>
        <v>0</v>
      </c>
      <c r="BU77" s="9" t="n">
        <f aca="false">IF($A77&gt;=BV$25,IF($A77&lt;=BV$26,$AI77,0),0)</f>
        <v>0</v>
      </c>
      <c r="BV77" s="9" t="e">
        <f aca="false">BX77/BU77</f>
        <v>#DIV/0!</v>
      </c>
      <c r="BW77" s="1" t="n">
        <f aca="false">BU77*($B77+H$13)</f>
        <v>0</v>
      </c>
      <c r="BX77" s="33" t="n">
        <f aca="false">IF(ISNUMBER(((BW77/BU77)+H$14+$Y77)*BU77),((BW77/BU77)+H$14+$Y77)*BU77,0)</f>
        <v>0</v>
      </c>
      <c r="BY77" s="44" t="n">
        <f aca="false">IF(BU77=0,0,bsd(1,BZ$27,BV77,$AD77,$AA77,$AB77,$AH77,0.1))</f>
        <v>0</v>
      </c>
      <c r="BZ77" s="44" t="n">
        <f aca="false">IF(BU77=0,0,bsd(2,BZ$27,BV77,$AD77,$AA77,$AB77,$AH77,0.1))</f>
        <v>0</v>
      </c>
      <c r="CA77" s="44" t="n">
        <f aca="false">IF(BU77=0,0,bsd(BZ$28,BZ$27,BV77,$AD77,$AA77,$AB77,$AH77,0.1))</f>
        <v>0</v>
      </c>
      <c r="CB77" s="45" t="n">
        <f aca="false">BU77*BY77</f>
        <v>0</v>
      </c>
      <c r="CC77" s="45" t="n">
        <f aca="false">BU77*BZ77</f>
        <v>0</v>
      </c>
      <c r="CD77" s="45" t="n">
        <f aca="false">BU77*CA77</f>
        <v>0</v>
      </c>
    </row>
    <row r="78" customFormat="false" ht="12.75" hidden="false" customHeight="false" outlineLevel="0" collapsed="false">
      <c r="A78" s="48" t="n">
        <f aca="false">DATE(YEAR(A77),MONTH(A77)+1,1)</f>
        <v>38231</v>
      </c>
      <c r="B78" s="40" t="n">
        <f aca="false">VLOOKUP(A78,STRADDLE,5,FALSE())</f>
        <v>3.103</v>
      </c>
      <c r="C78" s="4" t="n">
        <f aca="false">VLOOKUP(A78,STRADDLE,8,FALSE())</f>
        <v>0.255</v>
      </c>
      <c r="D78" s="40" t="n">
        <f aca="false">IF(D$28="nymex",0,VLOOKUP($A78,curvesettle,HLOOKUP(D$28,curvesettle,2,FALSE())))</f>
        <v>0.395</v>
      </c>
      <c r="E78" s="131" t="n">
        <f aca="false">IF(ISNUMBER(VLOOKUP($A78,VOLCURVES,HLOOKUP(D$28,VOLCURVES,2,FALSE()),FALSE())),VLOOKUP($A78,VOLCURVES,HLOOKUP(D$28,VOLCURVES,2,FALSE()),FALSE()),1)</f>
        <v>0.98</v>
      </c>
      <c r="F78" s="136" t="n">
        <f aca="false">IF(D$28="NYMEX",$AG78,$AF78)</f>
        <v>-7700</v>
      </c>
      <c r="G78" s="4" t="e">
        <f aca="false">(($C78+H78)*$E78)+B$15</f>
        <v>#DIV/0!</v>
      </c>
      <c r="H78" s="4" t="e">
        <f aca="false">IF($B$16=1,VLOOKUP($A78,SkewTable,HLOOKUP(ROUND(I78-AO78,1),SkewTable,2,FALSE()),FALSE())/100,0)</f>
        <v>#DIV/0!</v>
      </c>
      <c r="I78" s="41" t="n">
        <f aca="false">IF($B$19=4,$AO78,$B$18)</f>
        <v>5.05</v>
      </c>
      <c r="K78" s="40" t="n">
        <f aca="false">IF(K$28="nymex",0,VLOOKUP($A78,curvesettle,HLOOKUP(K$28,curvesettle,2,FALSE())))</f>
        <v>0.31</v>
      </c>
      <c r="L78" s="131" t="n">
        <f aca="false">IF(ISNUMBER(VLOOKUP($A78,VOLCURVES,HLOOKUP(K$28,VOLCURVES,2,FALSE()),FALSE())),VLOOKUP($A78,VOLCURVES,HLOOKUP(K$28,VOLCURVES,2,FALSE()),FALSE()),1)</f>
        <v>1</v>
      </c>
      <c r="M78" s="136" t="n">
        <f aca="false">IF(K$28="NYMEX",$AG78,$AF78)</f>
        <v>-7700</v>
      </c>
      <c r="N78" s="153" t="e">
        <f aca="false">(($C78+O78)*$L78)+D$15</f>
        <v>#DIV/0!</v>
      </c>
      <c r="O78" s="4" t="e">
        <f aca="false">IF($D$16=1,VLOOKUP($A78,SkewTable,HLOOKUP(ROUND(P78-AZ78,1),SkewTable,2,FALSE()),FALSE())/100,0)</f>
        <v>#DIV/0!</v>
      </c>
      <c r="P78" s="41" t="n">
        <f aca="false">IF($D$19=4,$AZ78,$D$18)</f>
        <v>5.1</v>
      </c>
      <c r="R78" s="40" t="n">
        <f aca="false">IF(R$28="nymex",0,VLOOKUP($A78,curvesettle,HLOOKUP(R$28,curvesettle,2,FALSE())))</f>
        <v>0.0175</v>
      </c>
      <c r="S78" s="131" t="n">
        <f aca="false">IF(ISNUMBER(VLOOKUP($A78,VOLCURVES,HLOOKUP(R$28,VOLCURVES,2,FALSE()),FALSE())),VLOOKUP($A78,VOLCURVES,HLOOKUP(R$28,VOLCURVES,2,FALSE()),FALSE()),1)</f>
        <v>1</v>
      </c>
      <c r="T78" s="136" t="n">
        <f aca="false">IF(R$28="NYMEX",$AG78,$AF78)</f>
        <v>-7700</v>
      </c>
      <c r="U78" s="153" t="e">
        <f aca="false">(($C78+V78)*$S78)+F$15</f>
        <v>#DIV/0!</v>
      </c>
      <c r="V78" s="4" t="e">
        <f aca="false">IF($F$16=1,VLOOKUP($A78,SkewTable,HLOOKUP(ROUND(W78-BK78,1),SkewTable,2,FALSE()),FALSE())/100,0)</f>
        <v>#DIV/0!</v>
      </c>
      <c r="W78" s="41" t="n">
        <f aca="false">IF($F$19=4,$BK78,$F$18)</f>
        <v>5.3983</v>
      </c>
      <c r="X78" s="136"/>
      <c r="Y78" s="40" t="n">
        <f aca="false">IF(Y$28="nymex",0,VLOOKUP($A78,curvesettle,HLOOKUP(Y$28,curvesettle,2,FALSE())))</f>
        <v>0.0175</v>
      </c>
      <c r="Z78" s="131" t="n">
        <f aca="false">IF(ISNUMBER(VLOOKUP($A78,VOLCURVES,HLOOKUP(Y$28,VOLCURVES,2,FALSE()),FALSE())),VLOOKUP($A78,VOLCURVES,HLOOKUP(Y$28,VOLCURVES,2,FALSE()),FALSE()),1)</f>
        <v>1</v>
      </c>
      <c r="AA78" s="136" t="n">
        <f aca="false">IF(Y$28="NYMEX",$AG78,$AF78)</f>
        <v>-7700</v>
      </c>
      <c r="AB78" s="4" t="e">
        <f aca="false">(($C78+AC78)*$Z78)+H$15</f>
        <v>#DIV/0!</v>
      </c>
      <c r="AC78" s="4" t="e">
        <f aca="false">IF($H$16=1,VLOOKUP($A78,SkewTable,HLOOKUP(ROUND(AD78-BV78,1),SkewTable,2,FALSE()),FALSE())/100,0)</f>
        <v>#DIV/0!</v>
      </c>
      <c r="AD78" s="41" t="n">
        <f aca="false">IF($H$19=4,$BV78,$H$18)</f>
        <v>5.4668</v>
      </c>
      <c r="AF78" s="136" t="n">
        <f aca="false">VLOOKUP($A78,expiration,2,FALSE())-$B$2</f>
        <v>-7700</v>
      </c>
      <c r="AG78" s="136" t="n">
        <f aca="false">VLOOKUP($A78,expiration,3,FALSE())-$B$2</f>
        <v>-7701</v>
      </c>
      <c r="AH78" s="4" t="n">
        <f aca="false">VLOOKUP($A78,STRADDLE,12,FALSE())</f>
        <v>0.067635986711935</v>
      </c>
      <c r="AI78" s="43" t="n">
        <f aca="false">A79-A78</f>
        <v>30</v>
      </c>
      <c r="AL78" s="136"/>
      <c r="AM78" s="9"/>
      <c r="AN78" s="9" t="n">
        <f aca="false">IF($A78&gt;=AO$25,IF($A78&lt;=AO$26,$AI78,0),0)</f>
        <v>0</v>
      </c>
      <c r="AO78" s="9" t="e">
        <f aca="false">AQ78/AN78</f>
        <v>#DIV/0!</v>
      </c>
      <c r="AP78" s="1" t="n">
        <f aca="false">AN78*($B78+B$13)</f>
        <v>0</v>
      </c>
      <c r="AQ78" s="33" t="n">
        <f aca="false">IF(ISNUMBER(((AP78/AN78)+B$14+$D78)*AN78),((AP78/AN78)+B$14+$D78)*AN78,0)</f>
        <v>0</v>
      </c>
      <c r="AR78" s="44" t="n">
        <f aca="false">IF(AN78=0,0,bsd(1,AS$27,AO78,$I78,$F78,$G78,$AH78,0.1))</f>
        <v>0</v>
      </c>
      <c r="AS78" s="44" t="n">
        <f aca="false">IF(AN78=0,0,bsd(2,AS$27,AO78,$I78,$F78,$G78,$AH78,0.1))</f>
        <v>0</v>
      </c>
      <c r="AT78" s="44" t="n">
        <f aca="false">IF(AN78=0,0,bsd(AS$28,AS$27,AO78,$I78,$F78,$G78,$AH78,0.1))</f>
        <v>0</v>
      </c>
      <c r="AU78" s="45" t="n">
        <f aca="false">AN78*AR78</f>
        <v>0</v>
      </c>
      <c r="AV78" s="45" t="n">
        <f aca="false">AN78*AS78</f>
        <v>0</v>
      </c>
      <c r="AW78" s="45" t="n">
        <f aca="false">AN78*AT78</f>
        <v>0</v>
      </c>
      <c r="AY78" s="9" t="n">
        <f aca="false">IF($A78&gt;=AZ$25,IF($A78&lt;=AZ$26,$AI78,0),0)</f>
        <v>0</v>
      </c>
      <c r="AZ78" s="9" t="e">
        <f aca="false">BB78/AY78</f>
        <v>#DIV/0!</v>
      </c>
      <c r="BA78" s="1" t="n">
        <f aca="false">AY78*($B78+D$13)</f>
        <v>0</v>
      </c>
      <c r="BB78" s="33" t="n">
        <f aca="false">IF(ISNUMBER(((BA78/AY78)+D$14+$K78)*AY78),((BA78/AY78)+D$14+$K78)*AY78,0)</f>
        <v>0</v>
      </c>
      <c r="BC78" s="44" t="n">
        <f aca="false">IF(AY78=0,0,bsd(1,BD$27,AZ78,$P78,$M78,$N78,$AH78,0.1))</f>
        <v>0</v>
      </c>
      <c r="BD78" s="44" t="n">
        <f aca="false">IF(AY78=0,0,bsd(2,BD$27,AZ78,$P78,$M78,$N78,$AH78,0.1))</f>
        <v>0</v>
      </c>
      <c r="BE78" s="44" t="n">
        <f aca="false">IF(AY78=0,0,bsd(BD$28,BD$27,AZ78,$P78,$M78,$N78,$AH78,0.1))</f>
        <v>0</v>
      </c>
      <c r="BF78" s="45" t="n">
        <f aca="false">AY78*BC78</f>
        <v>0</v>
      </c>
      <c r="BG78" s="45" t="n">
        <f aca="false">AY78*BD78</f>
        <v>0</v>
      </c>
      <c r="BH78" s="45" t="n">
        <f aca="false">AY78*BE78</f>
        <v>0</v>
      </c>
      <c r="BJ78" s="9" t="n">
        <f aca="false">IF($A78&gt;=BK$25,IF($A78&lt;=BK$26,$AI78,0),0)</f>
        <v>0</v>
      </c>
      <c r="BK78" s="9" t="e">
        <f aca="false">BM78/BJ78</f>
        <v>#DIV/0!</v>
      </c>
      <c r="BL78" s="1" t="n">
        <f aca="false">BJ78*($B78+F$13)</f>
        <v>0</v>
      </c>
      <c r="BM78" s="33" t="n">
        <f aca="false">IF(ISNUMBER(((BL78/BJ78)+F$14+$R78)*BJ78),((BL78/BJ78)+F$14+$R78)*BJ78,0)</f>
        <v>0</v>
      </c>
      <c r="BN78" s="44" t="n">
        <f aca="false">IF(BJ78=0,0,bsd(1,BO$27,BK78,$W78,$T78,$U78,$AH78,0.1))</f>
        <v>0</v>
      </c>
      <c r="BO78" s="44" t="n">
        <f aca="false">IF(BJ78=0,0,bsd(2,BO$27,BK78,$W78,$T78,$U78,$AH78,0.1))</f>
        <v>0</v>
      </c>
      <c r="BP78" s="44" t="n">
        <f aca="false">IF(BJ78=0,0,bsd(BO$28,BO$27,BK78,$W78,$T78,$U78,$AH78,0.1))</f>
        <v>0</v>
      </c>
      <c r="BQ78" s="45" t="n">
        <f aca="false">BJ78*BN78</f>
        <v>0</v>
      </c>
      <c r="BR78" s="45" t="n">
        <f aca="false">BJ78*BO78</f>
        <v>0</v>
      </c>
      <c r="BS78" s="45" t="n">
        <f aca="false">BJ78*BP78</f>
        <v>0</v>
      </c>
      <c r="BU78" s="9" t="n">
        <f aca="false">IF($A78&gt;=BV$25,IF($A78&lt;=BV$26,$AI78,0),0)</f>
        <v>0</v>
      </c>
      <c r="BV78" s="9" t="e">
        <f aca="false">BX78/BU78</f>
        <v>#DIV/0!</v>
      </c>
      <c r="BW78" s="1" t="n">
        <f aca="false">BU78*($B78+H$13)</f>
        <v>0</v>
      </c>
      <c r="BX78" s="33" t="n">
        <f aca="false">IF(ISNUMBER(((BW78/BU78)+H$14+$Y78)*BU78),((BW78/BU78)+H$14+$Y78)*BU78,0)</f>
        <v>0</v>
      </c>
      <c r="BY78" s="44" t="n">
        <f aca="false">IF(BU78=0,0,bsd(1,BZ$27,BV78,$AD78,$AA78,$AB78,$AH78,0.1))</f>
        <v>0</v>
      </c>
      <c r="BZ78" s="44" t="n">
        <f aca="false">IF(BU78=0,0,bsd(2,BZ$27,BV78,$AD78,$AA78,$AB78,$AH78,0.1))</f>
        <v>0</v>
      </c>
      <c r="CA78" s="44" t="n">
        <f aca="false">IF(BU78=0,0,bsd(BZ$28,BZ$27,BV78,$AD78,$AA78,$AB78,$AH78,0.1))</f>
        <v>0</v>
      </c>
      <c r="CB78" s="45" t="n">
        <f aca="false">BU78*BY78</f>
        <v>0</v>
      </c>
      <c r="CC78" s="45" t="n">
        <f aca="false">BU78*BZ78</f>
        <v>0</v>
      </c>
      <c r="CD78" s="45" t="n">
        <f aca="false">BU78*CA78</f>
        <v>0</v>
      </c>
    </row>
    <row r="79" customFormat="false" ht="12.75" hidden="false" customHeight="false" outlineLevel="0" collapsed="false">
      <c r="A79" s="48" t="n">
        <f aca="false">DATE(YEAR(A78),MONTH(A78)+1,1)</f>
        <v>38261</v>
      </c>
      <c r="B79" s="40" t="n">
        <f aca="false">VLOOKUP(A79,STRADDLE,5,FALSE())</f>
        <v>3.125</v>
      </c>
      <c r="C79" s="4" t="n">
        <f aca="false">VLOOKUP(A79,STRADDLE,8,FALSE())</f>
        <v>0.255</v>
      </c>
      <c r="D79" s="40" t="n">
        <f aca="false">IF(D$28="nymex",0,VLOOKUP($A79,curvesettle,HLOOKUP(D$28,curvesettle,2,FALSE())))</f>
        <v>0.461</v>
      </c>
      <c r="E79" s="131" t="n">
        <f aca="false">IF(ISNUMBER(VLOOKUP($A79,VOLCURVES,HLOOKUP(D$28,VOLCURVES,2,FALSE()),FALSE())),VLOOKUP($A79,VOLCURVES,HLOOKUP(D$28,VOLCURVES,2,FALSE()),FALSE()),1)</f>
        <v>0.98</v>
      </c>
      <c r="F79" s="136" t="n">
        <f aca="false">IF(D$28="NYMEX",$AG79,$AF79)</f>
        <v>-7668</v>
      </c>
      <c r="G79" s="4" t="e">
        <f aca="false">(($C79+H79)*$E79)+B$15</f>
        <v>#DIV/0!</v>
      </c>
      <c r="H79" s="4" t="e">
        <f aca="false">IF($B$16=1,VLOOKUP($A79,SkewTable,HLOOKUP(ROUND(I79-AO79,1),SkewTable,2,FALSE()),FALSE())/100,0)</f>
        <v>#DIV/0!</v>
      </c>
      <c r="I79" s="41" t="n">
        <f aca="false">IF($B$19=4,$AO79,$B$18)</f>
        <v>5.05</v>
      </c>
      <c r="K79" s="40" t="n">
        <f aca="false">IF(K$28="nymex",0,VLOOKUP($A79,curvesettle,HLOOKUP(K$28,curvesettle,2,FALSE())))</f>
        <v>0.31</v>
      </c>
      <c r="L79" s="131" t="n">
        <f aca="false">IF(ISNUMBER(VLOOKUP($A79,VOLCURVES,HLOOKUP(K$28,VOLCURVES,2,FALSE()),FALSE())),VLOOKUP($A79,VOLCURVES,HLOOKUP(K$28,VOLCURVES,2,FALSE()),FALSE()),1)</f>
        <v>1</v>
      </c>
      <c r="M79" s="136" t="n">
        <f aca="false">IF(K$28="NYMEX",$AG79,$AF79)</f>
        <v>-7668</v>
      </c>
      <c r="N79" s="153" t="e">
        <f aca="false">(($C79+O79)*$L79)+D$15</f>
        <v>#DIV/0!</v>
      </c>
      <c r="O79" s="4" t="e">
        <f aca="false">IF($D$16=1,VLOOKUP($A79,SkewTable,HLOOKUP(ROUND(P79-AZ79,1),SkewTable,2,FALSE()),FALSE())/100,0)</f>
        <v>#DIV/0!</v>
      </c>
      <c r="P79" s="41" t="n">
        <f aca="false">IF($D$19=4,$AZ79,$D$18)</f>
        <v>5.1</v>
      </c>
      <c r="R79" s="40" t="n">
        <f aca="false">IF(R$28="nymex",0,VLOOKUP($A79,curvesettle,HLOOKUP(R$28,curvesettle,2,FALSE())))</f>
        <v>0.0075</v>
      </c>
      <c r="S79" s="131" t="n">
        <f aca="false">IF(ISNUMBER(VLOOKUP($A79,VOLCURVES,HLOOKUP(R$28,VOLCURVES,2,FALSE()),FALSE())),VLOOKUP($A79,VOLCURVES,HLOOKUP(R$28,VOLCURVES,2,FALSE()),FALSE()),1)</f>
        <v>1</v>
      </c>
      <c r="T79" s="136" t="n">
        <f aca="false">IF(R$28="NYMEX",$AG79,$AF79)</f>
        <v>-7668</v>
      </c>
      <c r="U79" s="153" t="e">
        <f aca="false">(($C79+V79)*$S79)+F$15</f>
        <v>#DIV/0!</v>
      </c>
      <c r="V79" s="4" t="e">
        <f aca="false">IF($F$16=1,VLOOKUP($A79,SkewTable,HLOOKUP(ROUND(W79-BK79,1),SkewTable,2,FALSE()),FALSE())/100,0)</f>
        <v>#DIV/0!</v>
      </c>
      <c r="W79" s="41" t="n">
        <f aca="false">IF($F$19=4,$BK79,$F$18)</f>
        <v>5.3983</v>
      </c>
      <c r="X79" s="136"/>
      <c r="Y79" s="40" t="n">
        <f aca="false">IF(Y$28="nymex",0,VLOOKUP($A79,curvesettle,HLOOKUP(Y$28,curvesettle,2,FALSE())))</f>
        <v>0.0075</v>
      </c>
      <c r="Z79" s="131" t="n">
        <f aca="false">IF(ISNUMBER(VLOOKUP($A79,VOLCURVES,HLOOKUP(Y$28,VOLCURVES,2,FALSE()),FALSE())),VLOOKUP($A79,VOLCURVES,HLOOKUP(Y$28,VOLCURVES,2,FALSE()),FALSE()),1)</f>
        <v>1</v>
      </c>
      <c r="AA79" s="136" t="n">
        <f aca="false">IF(Y$28="NYMEX",$AG79,$AF79)</f>
        <v>-7668</v>
      </c>
      <c r="AB79" s="4" t="e">
        <f aca="false">(($C79+AC79)*$Z79)+H$15</f>
        <v>#DIV/0!</v>
      </c>
      <c r="AC79" s="4" t="e">
        <f aca="false">IF($H$16=1,VLOOKUP($A79,SkewTable,HLOOKUP(ROUND(AD79-BV79,1),SkewTable,2,FALSE()),FALSE())/100,0)</f>
        <v>#DIV/0!</v>
      </c>
      <c r="AD79" s="41" t="n">
        <f aca="false">IF($H$19=4,$BV79,$H$18)</f>
        <v>5.4668</v>
      </c>
      <c r="AF79" s="136" t="n">
        <f aca="false">VLOOKUP($A79,expiration,2,FALSE())-$B$2</f>
        <v>-7668</v>
      </c>
      <c r="AG79" s="136" t="n">
        <f aca="false">VLOOKUP($A79,expiration,3,FALSE())-$B$2</f>
        <v>-7669</v>
      </c>
      <c r="AH79" s="4" t="n">
        <f aca="false">VLOOKUP($A79,STRADDLE,12,FALSE())</f>
        <v>0.067685206506965</v>
      </c>
      <c r="AI79" s="43" t="n">
        <f aca="false">A80-A79</f>
        <v>31</v>
      </c>
      <c r="AL79" s="136"/>
      <c r="AM79" s="9"/>
      <c r="AN79" s="9" t="n">
        <f aca="false">IF($A79&gt;=AO$25,IF($A79&lt;=AO$26,$AI79,0),0)</f>
        <v>0</v>
      </c>
      <c r="AO79" s="9" t="e">
        <f aca="false">AQ79/AN79</f>
        <v>#DIV/0!</v>
      </c>
      <c r="AP79" s="1" t="n">
        <f aca="false">AN79*($B79+B$13)</f>
        <v>0</v>
      </c>
      <c r="AQ79" s="33" t="n">
        <f aca="false">IF(ISNUMBER(((AP79/AN79)+B$14+$D79)*AN79),((AP79/AN79)+B$14+$D79)*AN79,0)</f>
        <v>0</v>
      </c>
      <c r="AR79" s="44" t="n">
        <f aca="false">IF(AN79=0,0,bsd(1,AS$27,AO79,$I79,$F79,$G79,$AH79,0.1))</f>
        <v>0</v>
      </c>
      <c r="AS79" s="44" t="n">
        <f aca="false">IF(AN79=0,0,bsd(2,AS$27,AO79,$I79,$F79,$G79,$AH79,0.1))</f>
        <v>0</v>
      </c>
      <c r="AT79" s="44" t="n">
        <f aca="false">IF(AN79=0,0,bsd(AS$28,AS$27,AO79,$I79,$F79,$G79,$AH79,0.1))</f>
        <v>0</v>
      </c>
      <c r="AU79" s="45" t="n">
        <f aca="false">AN79*AR79</f>
        <v>0</v>
      </c>
      <c r="AV79" s="45" t="n">
        <f aca="false">AN79*AS79</f>
        <v>0</v>
      </c>
      <c r="AW79" s="45" t="n">
        <f aca="false">AN79*AT79</f>
        <v>0</v>
      </c>
      <c r="AY79" s="9" t="n">
        <f aca="false">IF($A79&gt;=AZ$25,IF($A79&lt;=AZ$26,$AI79,0),0)</f>
        <v>0</v>
      </c>
      <c r="AZ79" s="9" t="e">
        <f aca="false">BB79/AY79</f>
        <v>#DIV/0!</v>
      </c>
      <c r="BA79" s="1" t="n">
        <f aca="false">AY79*($B79+D$13)</f>
        <v>0</v>
      </c>
      <c r="BB79" s="33" t="n">
        <f aca="false">IF(ISNUMBER(((BA79/AY79)+D$14+$K79)*AY79),((BA79/AY79)+D$14+$K79)*AY79,0)</f>
        <v>0</v>
      </c>
      <c r="BC79" s="44" t="n">
        <f aca="false">IF(AY79=0,0,bsd(1,BD$27,AZ79,$P79,$M79,$N79,$AH79,0.1))</f>
        <v>0</v>
      </c>
      <c r="BD79" s="44" t="n">
        <f aca="false">IF(AY79=0,0,bsd(2,BD$27,AZ79,$P79,$M79,$N79,$AH79,0.1))</f>
        <v>0</v>
      </c>
      <c r="BE79" s="44" t="n">
        <f aca="false">IF(AY79=0,0,bsd(BD$28,BD$27,AZ79,$P79,$M79,$N79,$AH79,0.1))</f>
        <v>0</v>
      </c>
      <c r="BF79" s="45" t="n">
        <f aca="false">AY79*BC79</f>
        <v>0</v>
      </c>
      <c r="BG79" s="45" t="n">
        <f aca="false">AY79*BD79</f>
        <v>0</v>
      </c>
      <c r="BH79" s="45" t="n">
        <f aca="false">AY79*BE79</f>
        <v>0</v>
      </c>
      <c r="BJ79" s="9" t="n">
        <f aca="false">IF($A79&gt;=BK$25,IF($A79&lt;=BK$26,$AI79,0),0)</f>
        <v>0</v>
      </c>
      <c r="BK79" s="9" t="e">
        <f aca="false">BM79/BJ79</f>
        <v>#DIV/0!</v>
      </c>
      <c r="BL79" s="1" t="n">
        <f aca="false">BJ79*($B79+F$13)</f>
        <v>0</v>
      </c>
      <c r="BM79" s="33" t="n">
        <f aca="false">IF(ISNUMBER(((BL79/BJ79)+F$14+$R79)*BJ79),((BL79/BJ79)+F$14+$R79)*BJ79,0)</f>
        <v>0</v>
      </c>
      <c r="BN79" s="44" t="n">
        <f aca="false">IF(BJ79=0,0,bsd(1,BO$27,BK79,$W79,$T79,$U79,$AH79,0.1))</f>
        <v>0</v>
      </c>
      <c r="BO79" s="44" t="n">
        <f aca="false">IF(BJ79=0,0,bsd(2,BO$27,BK79,$W79,$T79,$U79,$AH79,0.1))</f>
        <v>0</v>
      </c>
      <c r="BP79" s="44" t="n">
        <f aca="false">IF(BJ79=0,0,bsd(BO$28,BO$27,BK79,$W79,$T79,$U79,$AH79,0.1))</f>
        <v>0</v>
      </c>
      <c r="BQ79" s="45" t="n">
        <f aca="false">BJ79*BN79</f>
        <v>0</v>
      </c>
      <c r="BR79" s="45" t="n">
        <f aca="false">BJ79*BO79</f>
        <v>0</v>
      </c>
      <c r="BS79" s="45" t="n">
        <f aca="false">BJ79*BP79</f>
        <v>0</v>
      </c>
      <c r="BU79" s="9" t="n">
        <f aca="false">IF($A79&gt;=BV$25,IF($A79&lt;=BV$26,$AI79,0),0)</f>
        <v>0</v>
      </c>
      <c r="BV79" s="9" t="e">
        <f aca="false">BX79/BU79</f>
        <v>#DIV/0!</v>
      </c>
      <c r="BW79" s="1" t="n">
        <f aca="false">BU79*($B79+H$13)</f>
        <v>0</v>
      </c>
      <c r="BX79" s="33" t="n">
        <f aca="false">IF(ISNUMBER(((BW79/BU79)+H$14+$Y79)*BU79),((BW79/BU79)+H$14+$Y79)*BU79,0)</f>
        <v>0</v>
      </c>
      <c r="BY79" s="44" t="n">
        <f aca="false">IF(BU79=0,0,bsd(1,BZ$27,BV79,$AD79,$AA79,$AB79,$AH79,0.1))</f>
        <v>0</v>
      </c>
      <c r="BZ79" s="44" t="n">
        <f aca="false">IF(BU79=0,0,bsd(2,BZ$27,BV79,$AD79,$AA79,$AB79,$AH79,0.1))</f>
        <v>0</v>
      </c>
      <c r="CA79" s="44" t="n">
        <f aca="false">IF(BU79=0,0,bsd(BZ$28,BZ$27,BV79,$AD79,$AA79,$AB79,$AH79,0.1))</f>
        <v>0</v>
      </c>
      <c r="CB79" s="45" t="n">
        <f aca="false">BU79*BY79</f>
        <v>0</v>
      </c>
      <c r="CC79" s="45" t="n">
        <f aca="false">BU79*BZ79</f>
        <v>0</v>
      </c>
      <c r="CD79" s="45" t="n">
        <f aca="false">BU79*CA79</f>
        <v>0</v>
      </c>
    </row>
    <row r="80" customFormat="false" ht="12.75" hidden="false" customHeight="false" outlineLevel="0" collapsed="false">
      <c r="A80" s="48" t="n">
        <f aca="false">DATE(YEAR(A79),MONTH(A79)+1,1)</f>
        <v>38292</v>
      </c>
      <c r="B80" s="40" t="n">
        <f aca="false">VLOOKUP(A80,STRADDLE,5,FALSE())</f>
        <v>3.212</v>
      </c>
      <c r="C80" s="4" t="n">
        <f aca="false">VLOOKUP(A80,STRADDLE,8,FALSE())</f>
        <v>0.2575</v>
      </c>
      <c r="D80" s="40" t="n">
        <f aca="false">IF(D$28="nymex",0,VLOOKUP($A80,curvesettle,HLOOKUP(D$28,curvesettle,2,FALSE())))</f>
        <v>0.88</v>
      </c>
      <c r="E80" s="131" t="n">
        <f aca="false">IF(ISNUMBER(VLOOKUP($A80,VOLCURVES,HLOOKUP(D$28,VOLCURVES,2,FALSE()),FALSE())),VLOOKUP($A80,VOLCURVES,HLOOKUP(D$28,VOLCURVES,2,FALSE()),FALSE()),1)</f>
        <v>1.1</v>
      </c>
      <c r="F80" s="136" t="n">
        <f aca="false">IF(D$28="NYMEX",$AG80,$AF80)</f>
        <v>-7639</v>
      </c>
      <c r="G80" s="4" t="e">
        <f aca="false">(($C80+H80)*$E80)+B$15</f>
        <v>#DIV/0!</v>
      </c>
      <c r="H80" s="4" t="e">
        <f aca="false">IF($B$16=1,VLOOKUP($A80,SkewTable,HLOOKUP(ROUND(I80-AO80,1),SkewTable,2,FALSE()),FALSE())/100,0)</f>
        <v>#DIV/0!</v>
      </c>
      <c r="I80" s="41" t="n">
        <f aca="false">IF($B$19=4,$AO80,$B$18)</f>
        <v>5.05</v>
      </c>
      <c r="K80" s="40" t="n">
        <f aca="false">IF(K$28="nymex",0,VLOOKUP($A80,curvesettle,HLOOKUP(K$28,curvesettle,2,FALSE())))</f>
        <v>0.14</v>
      </c>
      <c r="L80" s="131" t="n">
        <f aca="false">IF(ISNUMBER(VLOOKUP($A80,VOLCURVES,HLOOKUP(K$28,VOLCURVES,2,FALSE()),FALSE())),VLOOKUP($A80,VOLCURVES,HLOOKUP(K$28,VOLCURVES,2,FALSE()),FALSE()),1)</f>
        <v>1</v>
      </c>
      <c r="M80" s="136" t="n">
        <f aca="false">IF(K$28="NYMEX",$AG80,$AF80)</f>
        <v>-7639</v>
      </c>
      <c r="N80" s="153" t="e">
        <f aca="false">(($C80+O80)*$L80)+D$15</f>
        <v>#DIV/0!</v>
      </c>
      <c r="O80" s="4" t="e">
        <f aca="false">IF($D$16=1,VLOOKUP($A80,SkewTable,HLOOKUP(ROUND(P80-AZ80,1),SkewTable,2,FALSE()),FALSE())/100,0)</f>
        <v>#DIV/0!</v>
      </c>
      <c r="P80" s="41" t="n">
        <f aca="false">IF($D$19=4,$AZ80,$D$18)</f>
        <v>5.1</v>
      </c>
      <c r="R80" s="40" t="n">
        <f aca="false">IF(R$28="nymex",0,VLOOKUP($A80,curvesettle,HLOOKUP(R$28,curvesettle,2,FALSE())))</f>
        <v>-0.0325</v>
      </c>
      <c r="S80" s="131" t="n">
        <f aca="false">IF(ISNUMBER(VLOOKUP($A80,VOLCURVES,HLOOKUP(R$28,VOLCURVES,2,FALSE()),FALSE())),VLOOKUP($A80,VOLCURVES,HLOOKUP(R$28,VOLCURVES,2,FALSE()),FALSE()),1)</f>
        <v>1</v>
      </c>
      <c r="T80" s="136" t="n">
        <f aca="false">IF(R$28="NYMEX",$AG80,$AF80)</f>
        <v>-7639</v>
      </c>
      <c r="U80" s="153" t="e">
        <f aca="false">(($C80+V80)*$S80)+F$15</f>
        <v>#DIV/0!</v>
      </c>
      <c r="V80" s="4" t="e">
        <f aca="false">IF($F$16=1,VLOOKUP($A80,SkewTable,HLOOKUP(ROUND(W80-BK80,1),SkewTable,2,FALSE()),FALSE())/100,0)</f>
        <v>#DIV/0!</v>
      </c>
      <c r="W80" s="41" t="n">
        <f aca="false">IF($F$19=4,$BK80,$F$18)</f>
        <v>5.3983</v>
      </c>
      <c r="X80" s="136"/>
      <c r="Y80" s="40" t="n">
        <f aca="false">IF(Y$28="nymex",0,VLOOKUP($A80,curvesettle,HLOOKUP(Y$28,curvesettle,2,FALSE())))</f>
        <v>-0.0325</v>
      </c>
      <c r="Z80" s="131" t="n">
        <f aca="false">IF(ISNUMBER(VLOOKUP($A80,VOLCURVES,HLOOKUP(Y$28,VOLCURVES,2,FALSE()),FALSE())),VLOOKUP($A80,VOLCURVES,HLOOKUP(Y$28,VOLCURVES,2,FALSE()),FALSE()),1)</f>
        <v>1</v>
      </c>
      <c r="AA80" s="136" t="n">
        <f aca="false">IF(Y$28="NYMEX",$AG80,$AF80)</f>
        <v>-7639</v>
      </c>
      <c r="AB80" s="4" t="e">
        <f aca="false">(($C80+AC80)*$Z80)+H$15</f>
        <v>#DIV/0!</v>
      </c>
      <c r="AC80" s="4" t="e">
        <f aca="false">IF($H$16=1,VLOOKUP($A80,SkewTable,HLOOKUP(ROUND(AD80-BV80,1),SkewTable,2,FALSE()),FALSE())/100,0)</f>
        <v>#DIV/0!</v>
      </c>
      <c r="AD80" s="41" t="n">
        <f aca="false">IF($H$19=4,$BV80,$H$18)</f>
        <v>5.4668</v>
      </c>
      <c r="AF80" s="136" t="n">
        <f aca="false">VLOOKUP($A80,expiration,2,FALSE())-$B$2</f>
        <v>-7639</v>
      </c>
      <c r="AG80" s="136" t="n">
        <f aca="false">VLOOKUP($A80,expiration,3,FALSE())-$B$2</f>
        <v>-7640</v>
      </c>
      <c r="AH80" s="4" t="n">
        <f aca="false">VLOOKUP($A80,STRADDLE,12,FALSE())</f>
        <v>0.067736066962671</v>
      </c>
      <c r="AI80" s="43" t="n">
        <f aca="false">A81-A80</f>
        <v>30</v>
      </c>
      <c r="AL80" s="136"/>
      <c r="AM80" s="9"/>
      <c r="AN80" s="9" t="n">
        <f aca="false">IF($A80&gt;=AO$25,IF($A80&lt;=AO$26,$AI80,0),0)</f>
        <v>0</v>
      </c>
      <c r="AO80" s="9" t="e">
        <f aca="false">AQ80/AN80</f>
        <v>#DIV/0!</v>
      </c>
      <c r="AP80" s="1" t="n">
        <f aca="false">AN80*($B80+B$13)</f>
        <v>0</v>
      </c>
      <c r="AQ80" s="33" t="n">
        <f aca="false">IF(ISNUMBER(((AP80/AN80)+B$14+$D80)*AN80),((AP80/AN80)+B$14+$D80)*AN80,0)</f>
        <v>0</v>
      </c>
      <c r="AR80" s="44" t="n">
        <f aca="false">IF(AN80=0,0,bsd(1,AS$27,AO80,$I80,$F80,$G80,$AH80,0.1))</f>
        <v>0</v>
      </c>
      <c r="AS80" s="44" t="n">
        <f aca="false">IF(AN80=0,0,bsd(2,AS$27,AO80,$I80,$F80,$G80,$AH80,0.1))</f>
        <v>0</v>
      </c>
      <c r="AT80" s="44" t="n">
        <f aca="false">IF(AN80=0,0,bsd(AS$28,AS$27,AO80,$I80,$F80,$G80,$AH80,0.1))</f>
        <v>0</v>
      </c>
      <c r="AU80" s="45" t="n">
        <f aca="false">AN80*AR80</f>
        <v>0</v>
      </c>
      <c r="AV80" s="45" t="n">
        <f aca="false">AN80*AS80</f>
        <v>0</v>
      </c>
      <c r="AW80" s="45" t="n">
        <f aca="false">AN80*AT80</f>
        <v>0</v>
      </c>
      <c r="AY80" s="9" t="n">
        <f aca="false">IF($A80&gt;=AZ$25,IF($A80&lt;=AZ$26,$AI80,0),0)</f>
        <v>0</v>
      </c>
      <c r="AZ80" s="9" t="e">
        <f aca="false">BB80/AY80</f>
        <v>#DIV/0!</v>
      </c>
      <c r="BA80" s="1" t="n">
        <f aca="false">AY80*($B80+D$13)</f>
        <v>0</v>
      </c>
      <c r="BB80" s="33" t="n">
        <f aca="false">IF(ISNUMBER(((BA80/AY80)+D$14+$K80)*AY80),((BA80/AY80)+D$14+$K80)*AY80,0)</f>
        <v>0</v>
      </c>
      <c r="BC80" s="44" t="n">
        <f aca="false">IF(AY80=0,0,bsd(1,BD$27,AZ80,$P80,$M80,$N80,$AH80,0.1))</f>
        <v>0</v>
      </c>
      <c r="BD80" s="44" t="n">
        <f aca="false">IF(AY80=0,0,bsd(2,BD$27,AZ80,$P80,$M80,$N80,$AH80,0.1))</f>
        <v>0</v>
      </c>
      <c r="BE80" s="44" t="n">
        <f aca="false">IF(AY80=0,0,bsd(BD$28,BD$27,AZ80,$P80,$M80,$N80,$AH80,0.1))</f>
        <v>0</v>
      </c>
      <c r="BF80" s="45" t="n">
        <f aca="false">AY80*BC80</f>
        <v>0</v>
      </c>
      <c r="BG80" s="45" t="n">
        <f aca="false">AY80*BD80</f>
        <v>0</v>
      </c>
      <c r="BH80" s="45" t="n">
        <f aca="false">AY80*BE80</f>
        <v>0</v>
      </c>
      <c r="BJ80" s="9" t="n">
        <f aca="false">IF($A80&gt;=BK$25,IF($A80&lt;=BK$26,$AI80,0),0)</f>
        <v>0</v>
      </c>
      <c r="BK80" s="9" t="e">
        <f aca="false">BM80/BJ80</f>
        <v>#DIV/0!</v>
      </c>
      <c r="BL80" s="1" t="n">
        <f aca="false">BJ80*($B80+F$13)</f>
        <v>0</v>
      </c>
      <c r="BM80" s="33" t="n">
        <f aca="false">IF(ISNUMBER(((BL80/BJ80)+F$14+$R80)*BJ80),((BL80/BJ80)+F$14+$R80)*BJ80,0)</f>
        <v>0</v>
      </c>
      <c r="BN80" s="44" t="n">
        <f aca="false">IF(BJ80=0,0,bsd(1,BO$27,BK80,$W80,$T80,$U80,$AH80,0.1))</f>
        <v>0</v>
      </c>
      <c r="BO80" s="44" t="n">
        <f aca="false">IF(BJ80=0,0,bsd(2,BO$27,BK80,$W80,$T80,$U80,$AH80,0.1))</f>
        <v>0</v>
      </c>
      <c r="BP80" s="44" t="n">
        <f aca="false">IF(BJ80=0,0,bsd(BO$28,BO$27,BK80,$W80,$T80,$U80,$AH80,0.1))</f>
        <v>0</v>
      </c>
      <c r="BQ80" s="45" t="n">
        <f aca="false">BJ80*BN80</f>
        <v>0</v>
      </c>
      <c r="BR80" s="45" t="n">
        <f aca="false">BJ80*BO80</f>
        <v>0</v>
      </c>
      <c r="BS80" s="45" t="n">
        <f aca="false">BJ80*BP80</f>
        <v>0</v>
      </c>
      <c r="BU80" s="9" t="n">
        <f aca="false">IF($A80&gt;=BV$25,IF($A80&lt;=BV$26,$AI80,0),0)</f>
        <v>0</v>
      </c>
      <c r="BV80" s="9" t="e">
        <f aca="false">BX80/BU80</f>
        <v>#DIV/0!</v>
      </c>
      <c r="BW80" s="1" t="n">
        <f aca="false">BU80*($B80+H$13)</f>
        <v>0</v>
      </c>
      <c r="BX80" s="33" t="n">
        <f aca="false">IF(ISNUMBER(((BW80/BU80)+H$14+$Y80)*BU80),((BW80/BU80)+H$14+$Y80)*BU80,0)</f>
        <v>0</v>
      </c>
      <c r="BY80" s="44" t="n">
        <f aca="false">IF(BU80=0,0,bsd(1,BZ$27,BV80,$AD80,$AA80,$AB80,$AH80,0.1))</f>
        <v>0</v>
      </c>
      <c r="BZ80" s="44" t="n">
        <f aca="false">IF(BU80=0,0,bsd(2,BZ$27,BV80,$AD80,$AA80,$AB80,$AH80,0.1))</f>
        <v>0</v>
      </c>
      <c r="CA80" s="44" t="n">
        <f aca="false">IF(BU80=0,0,bsd(BZ$28,BZ$27,BV80,$AD80,$AA80,$AB80,$AH80,0.1))</f>
        <v>0</v>
      </c>
      <c r="CB80" s="45" t="n">
        <f aca="false">BU80*BY80</f>
        <v>0</v>
      </c>
      <c r="CC80" s="45" t="n">
        <f aca="false">BU80*BZ80</f>
        <v>0</v>
      </c>
      <c r="CD80" s="45" t="n">
        <f aca="false">BU80*CA80</f>
        <v>0</v>
      </c>
    </row>
    <row r="81" customFormat="false" ht="12.75" hidden="false" customHeight="false" outlineLevel="0" collapsed="false">
      <c r="A81" s="48" t="n">
        <f aca="false">DATE(YEAR(A80),MONTH(A80)+1,1)</f>
        <v>38322</v>
      </c>
      <c r="B81" s="40" t="n">
        <f aca="false">VLOOKUP(A81,STRADDLE,5,FALSE())</f>
        <v>3.285</v>
      </c>
      <c r="C81" s="4" t="n">
        <f aca="false">VLOOKUP(A81,STRADDLE,8,FALSE())</f>
        <v>0.26</v>
      </c>
      <c r="D81" s="40" t="n">
        <f aca="false">IF(D$28="nymex",0,VLOOKUP($A81,curvesettle,HLOOKUP(D$28,curvesettle,2,FALSE())))</f>
        <v>1.3</v>
      </c>
      <c r="E81" s="131" t="n">
        <f aca="false">IF(ISNUMBER(VLOOKUP($A81,VOLCURVES,HLOOKUP(D$28,VOLCURVES,2,FALSE()),FALSE())),VLOOKUP($A81,VOLCURVES,HLOOKUP(D$28,VOLCURVES,2,FALSE()),FALSE()),1)</f>
        <v>1.1</v>
      </c>
      <c r="F81" s="136" t="n">
        <f aca="false">IF(D$28="NYMEX",$AG81,$AF81)</f>
        <v>-7609</v>
      </c>
      <c r="G81" s="4" t="e">
        <f aca="false">(($C81+H81)*$E81)+B$15</f>
        <v>#DIV/0!</v>
      </c>
      <c r="H81" s="4" t="e">
        <f aca="false">IF($B$16=1,VLOOKUP($A81,SkewTable,HLOOKUP(ROUND(I81-AO81,1),SkewTable,2,FALSE()),FALSE())/100,0)</f>
        <v>#DIV/0!</v>
      </c>
      <c r="I81" s="41" t="n">
        <f aca="false">IF($B$19=4,$AO81,$B$18)</f>
        <v>5.05</v>
      </c>
      <c r="K81" s="40" t="n">
        <f aca="false">IF(K$28="nymex",0,VLOOKUP($A81,curvesettle,HLOOKUP(K$28,curvesettle,2,FALSE())))</f>
        <v>0.14</v>
      </c>
      <c r="L81" s="131" t="n">
        <f aca="false">IF(ISNUMBER(VLOOKUP($A81,VOLCURVES,HLOOKUP(K$28,VOLCURVES,2,FALSE()),FALSE())),VLOOKUP($A81,VOLCURVES,HLOOKUP(K$28,VOLCURVES,2,FALSE()),FALSE()),1)</f>
        <v>1</v>
      </c>
      <c r="M81" s="136" t="n">
        <f aca="false">IF(K$28="NYMEX",$AG81,$AF81)</f>
        <v>-7609</v>
      </c>
      <c r="N81" s="153" t="e">
        <f aca="false">(($C81+O81)*$L81)+D$15</f>
        <v>#DIV/0!</v>
      </c>
      <c r="O81" s="4" t="e">
        <f aca="false">IF($D$16=1,VLOOKUP($A81,SkewTable,HLOOKUP(ROUND(P81-AZ81,1),SkewTable,2,FALSE()),FALSE())/100,0)</f>
        <v>#DIV/0!</v>
      </c>
      <c r="P81" s="41" t="n">
        <f aca="false">IF($D$19=4,$AZ81,$D$18)</f>
        <v>5.1</v>
      </c>
      <c r="R81" s="40" t="n">
        <f aca="false">IF(R$28="nymex",0,VLOOKUP($A81,curvesettle,HLOOKUP(R$28,curvesettle,2,FALSE())))</f>
        <v>-0.055</v>
      </c>
      <c r="S81" s="131" t="n">
        <f aca="false">IF(ISNUMBER(VLOOKUP($A81,VOLCURVES,HLOOKUP(R$28,VOLCURVES,2,FALSE()),FALSE())),VLOOKUP($A81,VOLCURVES,HLOOKUP(R$28,VOLCURVES,2,FALSE()),FALSE()),1)</f>
        <v>1</v>
      </c>
      <c r="T81" s="136" t="n">
        <f aca="false">IF(R$28="NYMEX",$AG81,$AF81)</f>
        <v>-7609</v>
      </c>
      <c r="U81" s="153" t="e">
        <f aca="false">(($C81+V81)*$S81)+F$15</f>
        <v>#DIV/0!</v>
      </c>
      <c r="V81" s="4" t="e">
        <f aca="false">IF($F$16=1,VLOOKUP($A81,SkewTable,HLOOKUP(ROUND(W81-BK81,1),SkewTable,2,FALSE()),FALSE())/100,0)</f>
        <v>#DIV/0!</v>
      </c>
      <c r="W81" s="41" t="n">
        <f aca="false">IF($F$19=4,$BK81,$F$18)</f>
        <v>5.3983</v>
      </c>
      <c r="X81" s="136"/>
      <c r="Y81" s="40" t="n">
        <f aca="false">IF(Y$28="nymex",0,VLOOKUP($A81,curvesettle,HLOOKUP(Y$28,curvesettle,2,FALSE())))</f>
        <v>-0.055</v>
      </c>
      <c r="Z81" s="131" t="n">
        <f aca="false">IF(ISNUMBER(VLOOKUP($A81,VOLCURVES,HLOOKUP(Y$28,VOLCURVES,2,FALSE()),FALSE())),VLOOKUP($A81,VOLCURVES,HLOOKUP(Y$28,VOLCURVES,2,FALSE()),FALSE()),1)</f>
        <v>1</v>
      </c>
      <c r="AA81" s="136" t="n">
        <f aca="false">IF(Y$28="NYMEX",$AG81,$AF81)</f>
        <v>-7609</v>
      </c>
      <c r="AB81" s="4" t="e">
        <f aca="false">(($C81+AC81)*$Z81)+H$15</f>
        <v>#DIV/0!</v>
      </c>
      <c r="AC81" s="4" t="e">
        <f aca="false">IF($H$16=1,VLOOKUP($A81,SkewTable,HLOOKUP(ROUND(AD81-BV81,1),SkewTable,2,FALSE()),FALSE())/100,0)</f>
        <v>#DIV/0!</v>
      </c>
      <c r="AD81" s="41" t="n">
        <f aca="false">IF($H$19=4,$BV81,$H$18)</f>
        <v>5.4668</v>
      </c>
      <c r="AF81" s="136" t="n">
        <f aca="false">VLOOKUP($A81,expiration,2,FALSE())-$B$2</f>
        <v>-7609</v>
      </c>
      <c r="AG81" s="136" t="n">
        <f aca="false">VLOOKUP($A81,expiration,3,FALSE())-$B$2</f>
        <v>-7611</v>
      </c>
      <c r="AH81" s="4" t="n">
        <f aca="false">VLOOKUP($A81,STRADDLE,12,FALSE())</f>
        <v>0.067785286759331</v>
      </c>
      <c r="AI81" s="43" t="n">
        <f aca="false">A82-A81</f>
        <v>31</v>
      </c>
      <c r="AL81" s="136"/>
      <c r="AM81" s="9"/>
      <c r="AN81" s="9" t="n">
        <f aca="false">IF($A81&gt;=AO$25,IF($A81&lt;=AO$26,$AI81,0),0)</f>
        <v>0</v>
      </c>
      <c r="AO81" s="9" t="e">
        <f aca="false">AQ81/AN81</f>
        <v>#DIV/0!</v>
      </c>
      <c r="AP81" s="1" t="n">
        <f aca="false">AN81*($B81+B$13)</f>
        <v>0</v>
      </c>
      <c r="AQ81" s="33" t="n">
        <f aca="false">IF(ISNUMBER(((AP81/AN81)+B$14+$D81)*AN81),((AP81/AN81)+B$14+$D81)*AN81,0)</f>
        <v>0</v>
      </c>
      <c r="AR81" s="44" t="n">
        <f aca="false">IF(AN81=0,0,bsd(1,AS$27,AO81,$I81,$F81,$G81,$AH81,0.1))</f>
        <v>0</v>
      </c>
      <c r="AS81" s="44" t="n">
        <f aca="false">IF(AN81=0,0,bsd(2,AS$27,AO81,$I81,$F81,$G81,$AH81,0.1))</f>
        <v>0</v>
      </c>
      <c r="AT81" s="44" t="n">
        <f aca="false">IF(AN81=0,0,bsd(AS$28,AS$27,AO81,$I81,$F81,$G81,$AH81,0.1))</f>
        <v>0</v>
      </c>
      <c r="AU81" s="45" t="n">
        <f aca="false">AN81*AR81</f>
        <v>0</v>
      </c>
      <c r="AV81" s="45" t="n">
        <f aca="false">AN81*AS81</f>
        <v>0</v>
      </c>
      <c r="AW81" s="45" t="n">
        <f aca="false">AN81*AT81</f>
        <v>0</v>
      </c>
      <c r="AY81" s="9" t="n">
        <f aca="false">IF($A81&gt;=AZ$25,IF($A81&lt;=AZ$26,$AI81,0),0)</f>
        <v>0</v>
      </c>
      <c r="AZ81" s="9" t="e">
        <f aca="false">BB81/AY81</f>
        <v>#DIV/0!</v>
      </c>
      <c r="BA81" s="1" t="n">
        <f aca="false">AY81*($B81+D$13)</f>
        <v>0</v>
      </c>
      <c r="BB81" s="33" t="n">
        <f aca="false">IF(ISNUMBER(((BA81/AY81)+D$14+$K81)*AY81),((BA81/AY81)+D$14+$K81)*AY81,0)</f>
        <v>0</v>
      </c>
      <c r="BC81" s="44" t="n">
        <f aca="false">IF(AY81=0,0,bsd(1,BD$27,AZ81,$P81,$M81,$N81,$AH81,0.1))</f>
        <v>0</v>
      </c>
      <c r="BD81" s="44" t="n">
        <f aca="false">IF(AY81=0,0,bsd(2,BD$27,AZ81,$P81,$M81,$N81,$AH81,0.1))</f>
        <v>0</v>
      </c>
      <c r="BE81" s="44" t="n">
        <f aca="false">IF(AY81=0,0,bsd(BD$28,BD$27,AZ81,$P81,$M81,$N81,$AH81,0.1))</f>
        <v>0</v>
      </c>
      <c r="BF81" s="45" t="n">
        <f aca="false">AY81*BC81</f>
        <v>0</v>
      </c>
      <c r="BG81" s="45" t="n">
        <f aca="false">AY81*BD81</f>
        <v>0</v>
      </c>
      <c r="BH81" s="45" t="n">
        <f aca="false">AY81*BE81</f>
        <v>0</v>
      </c>
      <c r="BJ81" s="9" t="n">
        <f aca="false">IF($A81&gt;=BK$25,IF($A81&lt;=BK$26,$AI81,0),0)</f>
        <v>0</v>
      </c>
      <c r="BK81" s="9" t="e">
        <f aca="false">BM81/BJ81</f>
        <v>#DIV/0!</v>
      </c>
      <c r="BL81" s="1" t="n">
        <f aca="false">BJ81*($B81+F$13)</f>
        <v>0</v>
      </c>
      <c r="BM81" s="33" t="n">
        <f aca="false">IF(ISNUMBER(((BL81/BJ81)+F$14+$R81)*BJ81),((BL81/BJ81)+F$14+$R81)*BJ81,0)</f>
        <v>0</v>
      </c>
      <c r="BN81" s="44" t="n">
        <f aca="false">IF(BJ81=0,0,bsd(1,BO$27,BK81,$W81,$T81,$U81,$AH81,0.1))</f>
        <v>0</v>
      </c>
      <c r="BO81" s="44" t="n">
        <f aca="false">IF(BJ81=0,0,bsd(2,BO$27,BK81,$W81,$T81,$U81,$AH81,0.1))</f>
        <v>0</v>
      </c>
      <c r="BP81" s="44" t="n">
        <f aca="false">IF(BJ81=0,0,bsd(BO$28,BO$27,BK81,$W81,$T81,$U81,$AH81,0.1))</f>
        <v>0</v>
      </c>
      <c r="BQ81" s="45" t="n">
        <f aca="false">BJ81*BN81</f>
        <v>0</v>
      </c>
      <c r="BR81" s="45" t="n">
        <f aca="false">BJ81*BO81</f>
        <v>0</v>
      </c>
      <c r="BS81" s="45" t="n">
        <f aca="false">BJ81*BP81</f>
        <v>0</v>
      </c>
      <c r="BU81" s="9" t="n">
        <f aca="false">IF($A81&gt;=BV$25,IF($A81&lt;=BV$26,$AI81,0),0)</f>
        <v>0</v>
      </c>
      <c r="BV81" s="9" t="e">
        <f aca="false">BX81/BU81</f>
        <v>#DIV/0!</v>
      </c>
      <c r="BW81" s="1" t="n">
        <f aca="false">BU81*($B81+H$13)</f>
        <v>0</v>
      </c>
      <c r="BX81" s="33" t="n">
        <f aca="false">IF(ISNUMBER(((BW81/BU81)+H$14+$Y81)*BU81),((BW81/BU81)+H$14+$Y81)*BU81,0)</f>
        <v>0</v>
      </c>
      <c r="BY81" s="44" t="n">
        <f aca="false">IF(BU81=0,0,bsd(1,BZ$27,BV81,$AD81,$AA81,$AB81,$AH81,0.1))</f>
        <v>0</v>
      </c>
      <c r="BZ81" s="44" t="n">
        <f aca="false">IF(BU81=0,0,bsd(2,BZ$27,BV81,$AD81,$AA81,$AB81,$AH81,0.1))</f>
        <v>0</v>
      </c>
      <c r="CA81" s="44" t="n">
        <f aca="false">IF(BU81=0,0,bsd(BZ$28,BZ$27,BV81,$AD81,$AA81,$AB81,$AH81,0.1))</f>
        <v>0</v>
      </c>
      <c r="CB81" s="45" t="n">
        <f aca="false">BU81*BY81</f>
        <v>0</v>
      </c>
      <c r="CC81" s="45" t="n">
        <f aca="false">BU81*BZ81</f>
        <v>0</v>
      </c>
      <c r="CD81" s="45" t="n">
        <f aca="false">BU81*CA81</f>
        <v>0</v>
      </c>
    </row>
    <row r="82" customFormat="false" ht="12.75" hidden="false" customHeight="false" outlineLevel="0" collapsed="false">
      <c r="A82" s="48" t="n">
        <f aca="false">DATE(YEAR(A81),MONTH(A81)+1,1)</f>
        <v>38353</v>
      </c>
      <c r="B82" s="40" t="n">
        <f aca="false">VLOOKUP(A82,STRADDLE,5,FALSE())</f>
        <v>3.581</v>
      </c>
      <c r="C82" s="4" t="n">
        <f aca="false">VLOOKUP(A82,STRADDLE,8,FALSE())</f>
        <v>0.265</v>
      </c>
      <c r="D82" s="40" t="n">
        <f aca="false">IF(D$28="nymex",0,VLOOKUP($A82,curvesettle,HLOOKUP(D$28,curvesettle,2,FALSE())))</f>
        <v>1.63</v>
      </c>
      <c r="E82" s="131" t="n">
        <f aca="false">IF(ISNUMBER(VLOOKUP($A82,VOLCURVES,HLOOKUP(D$28,VOLCURVES,2,FALSE()),FALSE())),VLOOKUP($A82,VOLCURVES,HLOOKUP(D$28,VOLCURVES,2,FALSE()),FALSE()),1)</f>
        <v>1.1</v>
      </c>
      <c r="F82" s="136" t="n">
        <f aca="false">IF(D$28="NYMEX",$AG82,$AF82)</f>
        <v>-7577</v>
      </c>
      <c r="G82" s="4" t="e">
        <f aca="false">(($C82+H82)*$E82)+B$15</f>
        <v>#DIV/0!</v>
      </c>
      <c r="H82" s="4" t="e">
        <f aca="false">IF($B$16=1,VLOOKUP($A82,SkewTable,HLOOKUP(ROUND(I82-AO82,1),SkewTable,2,FALSE()),FALSE())/100,0)</f>
        <v>#DIV/0!</v>
      </c>
      <c r="I82" s="41" t="n">
        <f aca="false">IF($B$19=4,$AO82,$B$18)</f>
        <v>5.05</v>
      </c>
      <c r="K82" s="40" t="n">
        <f aca="false">IF(K$28="nymex",0,VLOOKUP($A82,curvesettle,HLOOKUP(K$28,curvesettle,2,FALSE())))</f>
        <v>0.14</v>
      </c>
      <c r="L82" s="131" t="n">
        <f aca="false">IF(ISNUMBER(VLOOKUP($A82,VOLCURVES,HLOOKUP(K$28,VOLCURVES,2,FALSE()),FALSE())),VLOOKUP($A82,VOLCURVES,HLOOKUP(K$28,VOLCURVES,2,FALSE()),FALSE()),1)</f>
        <v>1</v>
      </c>
      <c r="M82" s="136" t="n">
        <f aca="false">IF(K$28="NYMEX",$AG82,$AF82)</f>
        <v>-7577</v>
      </c>
      <c r="N82" s="153" t="e">
        <f aca="false">(($C82+O82)*$L82)+D$15</f>
        <v>#DIV/0!</v>
      </c>
      <c r="O82" s="4" t="e">
        <f aca="false">IF($D$16=1,VLOOKUP($A82,SkewTable,HLOOKUP(ROUND(P82-AZ82,1),SkewTable,2,FALSE()),FALSE())/100,0)</f>
        <v>#DIV/0!</v>
      </c>
      <c r="P82" s="41" t="n">
        <f aca="false">IF($D$19=4,$AZ82,$D$18)</f>
        <v>5.1</v>
      </c>
      <c r="R82" s="40" t="n">
        <f aca="false">IF(R$28="nymex",0,VLOOKUP($A82,curvesettle,HLOOKUP(R$28,curvesettle,2,FALSE())))</f>
        <v>-0.0575</v>
      </c>
      <c r="S82" s="131" t="n">
        <f aca="false">IF(ISNUMBER(VLOOKUP($A82,VOLCURVES,HLOOKUP(R$28,VOLCURVES,2,FALSE()),FALSE())),VLOOKUP($A82,VOLCURVES,HLOOKUP(R$28,VOLCURVES,2,FALSE()),FALSE()),1)</f>
        <v>1</v>
      </c>
      <c r="T82" s="136" t="n">
        <f aca="false">IF(R$28="NYMEX",$AG82,$AF82)</f>
        <v>-7577</v>
      </c>
      <c r="U82" s="153" t="e">
        <f aca="false">(($C82+V82)*$S82)+F$15</f>
        <v>#DIV/0!</v>
      </c>
      <c r="V82" s="4" t="e">
        <f aca="false">IF($F$16=1,VLOOKUP($A82,SkewTable,HLOOKUP(ROUND(W82-BK82,1),SkewTable,2,FALSE()),FALSE())/100,0)</f>
        <v>#DIV/0!</v>
      </c>
      <c r="W82" s="41" t="n">
        <f aca="false">IF($F$19=4,$BK82,$F$18)</f>
        <v>5.3983</v>
      </c>
      <c r="X82" s="136"/>
      <c r="Y82" s="40" t="n">
        <f aca="false">IF(Y$28="nymex",0,VLOOKUP($A82,curvesettle,HLOOKUP(Y$28,curvesettle,2,FALSE())))</f>
        <v>-0.0575</v>
      </c>
      <c r="Z82" s="131" t="n">
        <f aca="false">IF(ISNUMBER(VLOOKUP($A82,VOLCURVES,HLOOKUP(Y$28,VOLCURVES,2,FALSE()),FALSE())),VLOOKUP($A82,VOLCURVES,HLOOKUP(Y$28,VOLCURVES,2,FALSE()),FALSE()),1)</f>
        <v>1</v>
      </c>
      <c r="AA82" s="136" t="n">
        <f aca="false">IF(Y$28="NYMEX",$AG82,$AF82)</f>
        <v>-7577</v>
      </c>
      <c r="AB82" s="4" t="e">
        <f aca="false">(($C82+AC82)*$Z82)+H$15</f>
        <v>#DIV/0!</v>
      </c>
      <c r="AC82" s="4" t="e">
        <f aca="false">IF($H$16=1,VLOOKUP($A82,SkewTable,HLOOKUP(ROUND(AD82-BV82,1),SkewTable,2,FALSE()),FALSE())/100,0)</f>
        <v>#DIV/0!</v>
      </c>
      <c r="AD82" s="41" t="n">
        <f aca="false">IF($H$19=4,$BV82,$H$18)</f>
        <v>5.4668</v>
      </c>
      <c r="AF82" s="136" t="n">
        <f aca="false">VLOOKUP($A82,expiration,2,FALSE())-$B$2</f>
        <v>-7577</v>
      </c>
      <c r="AG82" s="136" t="n">
        <f aca="false">VLOOKUP($A82,expiration,3,FALSE())-$B$2</f>
        <v>-7578</v>
      </c>
      <c r="AH82" s="4" t="n">
        <f aca="false">VLOOKUP($A82,STRADDLE,12,FALSE())</f>
        <v>0.067836147216722</v>
      </c>
      <c r="AI82" s="43" t="n">
        <f aca="false">A83-A82</f>
        <v>31</v>
      </c>
      <c r="AL82" s="136"/>
      <c r="AM82" s="9"/>
      <c r="AN82" s="9" t="n">
        <f aca="false">IF($A82&gt;=AO$25,IF($A82&lt;=AO$26,$AI82,0),0)</f>
        <v>0</v>
      </c>
      <c r="AO82" s="9" t="e">
        <f aca="false">AQ82/AN82</f>
        <v>#DIV/0!</v>
      </c>
      <c r="AP82" s="1" t="n">
        <f aca="false">AN82*($B82+B$13)</f>
        <v>0</v>
      </c>
      <c r="AQ82" s="33" t="n">
        <f aca="false">IF(ISNUMBER(((AP82/AN82)+B$14+$D82)*AN82),((AP82/AN82)+B$14+$D82)*AN82,0)</f>
        <v>0</v>
      </c>
      <c r="AR82" s="44" t="n">
        <f aca="false">IF(AN82=0,0,bsd(1,AS$27,AO82,$I82,$F82,$G82,$AH82,0.1))</f>
        <v>0</v>
      </c>
      <c r="AS82" s="44" t="n">
        <f aca="false">IF(AN82=0,0,bsd(2,AS$27,AO82,$I82,$F82,$G82,$AH82,0.1))</f>
        <v>0</v>
      </c>
      <c r="AT82" s="44" t="n">
        <f aca="false">IF(AN82=0,0,bsd(AS$28,AS$27,AO82,$I82,$F82,$G82,$AH82,0.1))</f>
        <v>0</v>
      </c>
      <c r="AU82" s="45" t="n">
        <f aca="false">AN82*AR82</f>
        <v>0</v>
      </c>
      <c r="AV82" s="45" t="n">
        <f aca="false">AN82*AS82</f>
        <v>0</v>
      </c>
      <c r="AW82" s="45" t="n">
        <f aca="false">AN82*AT82</f>
        <v>0</v>
      </c>
      <c r="AY82" s="9" t="n">
        <f aca="false">IF($A82&gt;=AZ$25,IF($A82&lt;=AZ$26,$AI82,0),0)</f>
        <v>0</v>
      </c>
      <c r="AZ82" s="9" t="e">
        <f aca="false">BB82/AY82</f>
        <v>#DIV/0!</v>
      </c>
      <c r="BA82" s="1" t="n">
        <f aca="false">AY82*($B82+D$13)</f>
        <v>0</v>
      </c>
      <c r="BB82" s="33" t="n">
        <f aca="false">IF(ISNUMBER(((BA82/AY82)+D$14+$K82)*AY82),((BA82/AY82)+D$14+$K82)*AY82,0)</f>
        <v>0</v>
      </c>
      <c r="BC82" s="44" t="n">
        <f aca="false">IF(AY82=0,0,bsd(1,BD$27,AZ82,$P82,$M82,$N82,$AH82,0.1))</f>
        <v>0</v>
      </c>
      <c r="BD82" s="44" t="n">
        <f aca="false">IF(AY82=0,0,bsd(2,BD$27,AZ82,$P82,$M82,$N82,$AH82,0.1))</f>
        <v>0</v>
      </c>
      <c r="BE82" s="44" t="n">
        <f aca="false">IF(AY82=0,0,bsd(BD$28,BD$27,AZ82,$P82,$M82,$N82,$AH82,0.1))</f>
        <v>0</v>
      </c>
      <c r="BF82" s="45" t="n">
        <f aca="false">AY82*BC82</f>
        <v>0</v>
      </c>
      <c r="BG82" s="45" t="n">
        <f aca="false">AY82*BD82</f>
        <v>0</v>
      </c>
      <c r="BH82" s="45" t="n">
        <f aca="false">AY82*BE82</f>
        <v>0</v>
      </c>
      <c r="BJ82" s="9" t="n">
        <f aca="false">IF($A82&gt;=BK$25,IF($A82&lt;=BK$26,$AI82,0),0)</f>
        <v>0</v>
      </c>
      <c r="BK82" s="9" t="e">
        <f aca="false">BM82/BJ82</f>
        <v>#DIV/0!</v>
      </c>
      <c r="BL82" s="1" t="n">
        <f aca="false">BJ82*($B82+F$13)</f>
        <v>0</v>
      </c>
      <c r="BM82" s="33" t="n">
        <f aca="false">IF(ISNUMBER(((BL82/BJ82)+F$14+$R82)*BJ82),((BL82/BJ82)+F$14+$R82)*BJ82,0)</f>
        <v>0</v>
      </c>
      <c r="BN82" s="44" t="n">
        <f aca="false">IF(BJ82=0,0,bsd(1,BO$27,BK82,$W82,$T82,$U82,$AH82,0.1))</f>
        <v>0</v>
      </c>
      <c r="BO82" s="44" t="n">
        <f aca="false">IF(BJ82=0,0,bsd(2,BO$27,BK82,$W82,$T82,$U82,$AH82,0.1))</f>
        <v>0</v>
      </c>
      <c r="BP82" s="44" t="n">
        <f aca="false">IF(BJ82=0,0,bsd(BO$28,BO$27,BK82,$W82,$T82,$U82,$AH82,0.1))</f>
        <v>0</v>
      </c>
      <c r="BQ82" s="45" t="n">
        <f aca="false">BJ82*BN82</f>
        <v>0</v>
      </c>
      <c r="BR82" s="45" t="n">
        <f aca="false">BJ82*BO82</f>
        <v>0</v>
      </c>
      <c r="BS82" s="45" t="n">
        <f aca="false">BJ82*BP82</f>
        <v>0</v>
      </c>
      <c r="BU82" s="9" t="n">
        <f aca="false">IF($A82&gt;=BV$25,IF($A82&lt;=BV$26,$AI82,0),0)</f>
        <v>0</v>
      </c>
      <c r="BV82" s="9" t="e">
        <f aca="false">BX82/BU82</f>
        <v>#DIV/0!</v>
      </c>
      <c r="BW82" s="1" t="n">
        <f aca="false">BU82*($B82+H$13)</f>
        <v>0</v>
      </c>
      <c r="BX82" s="33" t="n">
        <f aca="false">IF(ISNUMBER(((BW82/BU82)+H$14+$Y82)*BU82),((BW82/BU82)+H$14+$Y82)*BU82,0)</f>
        <v>0</v>
      </c>
      <c r="BY82" s="44" t="n">
        <f aca="false">IF(BU82=0,0,bsd(1,BZ$27,BV82,$AD82,$AA82,$AB82,$AH82,0.1))</f>
        <v>0</v>
      </c>
      <c r="BZ82" s="44" t="n">
        <f aca="false">IF(BU82=0,0,bsd(2,BZ$27,BV82,$AD82,$AA82,$AB82,$AH82,0.1))</f>
        <v>0</v>
      </c>
      <c r="CA82" s="44" t="n">
        <f aca="false">IF(BU82=0,0,bsd(BZ$28,BZ$27,BV82,$AD82,$AA82,$AB82,$AH82,0.1))</f>
        <v>0</v>
      </c>
      <c r="CB82" s="45" t="n">
        <f aca="false">BU82*BY82</f>
        <v>0</v>
      </c>
      <c r="CC82" s="45" t="n">
        <f aca="false">BU82*BZ82</f>
        <v>0</v>
      </c>
      <c r="CD82" s="45" t="n">
        <f aca="false">BU82*CA82</f>
        <v>0</v>
      </c>
    </row>
    <row r="83" customFormat="false" ht="12.75" hidden="false" customHeight="false" outlineLevel="0" collapsed="false">
      <c r="A83" s="48" t="n">
        <f aca="false">DATE(YEAR(A82),MONTH(A82)+1,1)</f>
        <v>38384</v>
      </c>
      <c r="B83" s="40" t="n">
        <f aca="false">VLOOKUP(A83,STRADDLE,5,FALSE())</f>
        <v>3.427</v>
      </c>
      <c r="C83" s="4" t="n">
        <f aca="false">VLOOKUP(A83,STRADDLE,8,FALSE())</f>
        <v>0.2525</v>
      </c>
      <c r="D83" s="40" t="n">
        <f aca="false">IF(D$28="nymex",0,VLOOKUP($A83,curvesettle,HLOOKUP(D$28,curvesettle,2,FALSE())))</f>
        <v>1.58</v>
      </c>
      <c r="E83" s="131" t="n">
        <f aca="false">IF(ISNUMBER(VLOOKUP($A83,VOLCURVES,HLOOKUP(D$28,VOLCURVES,2,FALSE()),FALSE())),VLOOKUP($A83,VOLCURVES,HLOOKUP(D$28,VOLCURVES,2,FALSE()),FALSE()),1)</f>
        <v>1.1</v>
      </c>
      <c r="F83" s="136" t="n">
        <f aca="false">IF(D$28="NYMEX",$AG83,$AF83)</f>
        <v>-7547</v>
      </c>
      <c r="G83" s="4" t="e">
        <f aca="false">(($C83+H83)*$E83)+B$15</f>
        <v>#DIV/0!</v>
      </c>
      <c r="H83" s="4" t="e">
        <f aca="false">IF($B$16=1,VLOOKUP($A83,SkewTable,HLOOKUP(ROUND(I83-AO83,1),SkewTable,2,FALSE()),FALSE())/100,0)</f>
        <v>#DIV/0!</v>
      </c>
      <c r="I83" s="41" t="n">
        <f aca="false">IF($B$19=4,$AO83,$B$18)</f>
        <v>5.05</v>
      </c>
      <c r="K83" s="40" t="n">
        <f aca="false">IF(K$28="nymex",0,VLOOKUP($A83,curvesettle,HLOOKUP(K$28,curvesettle,2,FALSE())))</f>
        <v>0.14</v>
      </c>
      <c r="L83" s="131" t="n">
        <f aca="false">IF(ISNUMBER(VLOOKUP($A83,VOLCURVES,HLOOKUP(K$28,VOLCURVES,2,FALSE()),FALSE())),VLOOKUP($A83,VOLCURVES,HLOOKUP(K$28,VOLCURVES,2,FALSE()),FALSE()),1)</f>
        <v>1</v>
      </c>
      <c r="M83" s="136" t="n">
        <f aca="false">IF(K$28="NYMEX",$AG83,$AF83)</f>
        <v>-7547</v>
      </c>
      <c r="N83" s="153" t="e">
        <f aca="false">(($C83+O83)*$L83)+D$15</f>
        <v>#DIV/0!</v>
      </c>
      <c r="O83" s="4" t="e">
        <f aca="false">IF($D$16=1,VLOOKUP($A83,SkewTable,HLOOKUP(ROUND(P83-AZ83,1),SkewTable,2,FALSE()),FALSE())/100,0)</f>
        <v>#DIV/0!</v>
      </c>
      <c r="P83" s="41" t="n">
        <f aca="false">IF($D$19=4,$AZ83,$D$18)</f>
        <v>5.1</v>
      </c>
      <c r="R83" s="40" t="n">
        <f aca="false">IF(R$28="nymex",0,VLOOKUP($A83,curvesettle,HLOOKUP(R$28,curvesettle,2,FALSE())))</f>
        <v>-0.04</v>
      </c>
      <c r="S83" s="131" t="n">
        <f aca="false">IF(ISNUMBER(VLOOKUP($A83,VOLCURVES,HLOOKUP(R$28,VOLCURVES,2,FALSE()),FALSE())),VLOOKUP($A83,VOLCURVES,HLOOKUP(R$28,VOLCURVES,2,FALSE()),FALSE()),1)</f>
        <v>1</v>
      </c>
      <c r="T83" s="136" t="n">
        <f aca="false">IF(R$28="NYMEX",$AG83,$AF83)</f>
        <v>-7547</v>
      </c>
      <c r="U83" s="153" t="e">
        <f aca="false">(($C83+V83)*$S83)+F$15</f>
        <v>#DIV/0!</v>
      </c>
      <c r="V83" s="4" t="e">
        <f aca="false">IF($F$16=1,VLOOKUP($A83,SkewTable,HLOOKUP(ROUND(W83-BK83,1),SkewTable,2,FALSE()),FALSE())/100,0)</f>
        <v>#DIV/0!</v>
      </c>
      <c r="W83" s="41" t="n">
        <f aca="false">IF($F$19=4,$BK83,$F$18)</f>
        <v>5.3983</v>
      </c>
      <c r="X83" s="136"/>
      <c r="Y83" s="40" t="n">
        <f aca="false">IF(Y$28="nymex",0,VLOOKUP($A83,curvesettle,HLOOKUP(Y$28,curvesettle,2,FALSE())))</f>
        <v>-0.04</v>
      </c>
      <c r="Z83" s="131" t="n">
        <f aca="false">IF(ISNUMBER(VLOOKUP($A83,VOLCURVES,HLOOKUP(Y$28,VOLCURVES,2,FALSE()),FALSE())),VLOOKUP($A83,VOLCURVES,HLOOKUP(Y$28,VOLCURVES,2,FALSE()),FALSE()),1)</f>
        <v>1</v>
      </c>
      <c r="AA83" s="136" t="n">
        <f aca="false">IF(Y$28="NYMEX",$AG83,$AF83)</f>
        <v>-7547</v>
      </c>
      <c r="AB83" s="4" t="e">
        <f aca="false">(($C83+AC83)*$Z83)+H$15</f>
        <v>#DIV/0!</v>
      </c>
      <c r="AC83" s="4" t="e">
        <f aca="false">IF($H$16=1,VLOOKUP($A83,SkewTable,HLOOKUP(ROUND(AD83-BV83,1),SkewTable,2,FALSE()),FALSE())/100,0)</f>
        <v>#DIV/0!</v>
      </c>
      <c r="AD83" s="41" t="n">
        <f aca="false">IF($H$19=4,$BV83,$H$18)</f>
        <v>5.4668</v>
      </c>
      <c r="AF83" s="136" t="n">
        <f aca="false">VLOOKUP($A83,expiration,2,FALSE())-$B$2</f>
        <v>-7547</v>
      </c>
      <c r="AG83" s="136" t="n">
        <f aca="false">VLOOKUP($A83,expiration,3,FALSE())-$B$2</f>
        <v>-7548</v>
      </c>
      <c r="AH83" s="4" t="n">
        <f aca="false">VLOOKUP($A83,STRADDLE,12,FALSE())</f>
        <v>0.06788700767497</v>
      </c>
      <c r="AI83" s="43" t="n">
        <f aca="false">A84-A83</f>
        <v>28</v>
      </c>
      <c r="AL83" s="136"/>
      <c r="AM83" s="9"/>
      <c r="AN83" s="9" t="n">
        <f aca="false">IF($A83&gt;=AO$25,IF($A83&lt;=AO$26,$AI83,0),0)</f>
        <v>0</v>
      </c>
      <c r="AO83" s="9" t="e">
        <f aca="false">AQ83/AN83</f>
        <v>#DIV/0!</v>
      </c>
      <c r="AP83" s="1" t="n">
        <f aca="false">AN83*($B83+B$13)</f>
        <v>0</v>
      </c>
      <c r="AQ83" s="33" t="n">
        <f aca="false">IF(ISNUMBER(((AP83/AN83)+B$14+$D83)*AN83),((AP83/AN83)+B$14+$D83)*AN83,0)</f>
        <v>0</v>
      </c>
      <c r="AR83" s="44" t="n">
        <f aca="false">IF(AN83=0,0,bsd(1,AS$27,AO83,$I83,$F83,$G83,$AH83,0.1))</f>
        <v>0</v>
      </c>
      <c r="AS83" s="44" t="n">
        <f aca="false">IF(AN83=0,0,bsd(2,AS$27,AO83,$I83,$F83,$G83,$AH83,0.1))</f>
        <v>0</v>
      </c>
      <c r="AT83" s="44" t="n">
        <f aca="false">IF(AN83=0,0,bsd(AS$28,AS$27,AO83,$I83,$F83,$G83,$AH83,0.1))</f>
        <v>0</v>
      </c>
      <c r="AU83" s="45" t="n">
        <f aca="false">AN83*AR83</f>
        <v>0</v>
      </c>
      <c r="AV83" s="45" t="n">
        <f aca="false">AN83*AS83</f>
        <v>0</v>
      </c>
      <c r="AW83" s="45" t="n">
        <f aca="false">AN83*AT83</f>
        <v>0</v>
      </c>
      <c r="AY83" s="9" t="n">
        <f aca="false">IF($A83&gt;=AZ$25,IF($A83&lt;=AZ$26,$AI83,0),0)</f>
        <v>0</v>
      </c>
      <c r="AZ83" s="9" t="e">
        <f aca="false">BB83/AY83</f>
        <v>#DIV/0!</v>
      </c>
      <c r="BA83" s="1" t="n">
        <f aca="false">AY83*($B83+D$13)</f>
        <v>0</v>
      </c>
      <c r="BB83" s="33" t="n">
        <f aca="false">IF(ISNUMBER(((BA83/AY83)+D$14+$K83)*AY83),((BA83/AY83)+D$14+$K83)*AY83,0)</f>
        <v>0</v>
      </c>
      <c r="BC83" s="44" t="n">
        <f aca="false">IF(AY83=0,0,bsd(1,BD$27,AZ83,$P83,$M83,$N83,$AH83,0.1))</f>
        <v>0</v>
      </c>
      <c r="BD83" s="44" t="n">
        <f aca="false">IF(AY83=0,0,bsd(2,BD$27,AZ83,$P83,$M83,$N83,$AH83,0.1))</f>
        <v>0</v>
      </c>
      <c r="BE83" s="44" t="n">
        <f aca="false">IF(AY83=0,0,bsd(BD$28,BD$27,AZ83,$P83,$M83,$N83,$AH83,0.1))</f>
        <v>0</v>
      </c>
      <c r="BF83" s="45" t="n">
        <f aca="false">AY83*BC83</f>
        <v>0</v>
      </c>
      <c r="BG83" s="45" t="n">
        <f aca="false">AY83*BD83</f>
        <v>0</v>
      </c>
      <c r="BH83" s="45" t="n">
        <f aca="false">AY83*BE83</f>
        <v>0</v>
      </c>
      <c r="BJ83" s="9" t="n">
        <f aca="false">IF($A83&gt;=BK$25,IF($A83&lt;=BK$26,$AI83,0),0)</f>
        <v>0</v>
      </c>
      <c r="BK83" s="9" t="e">
        <f aca="false">BM83/BJ83</f>
        <v>#DIV/0!</v>
      </c>
      <c r="BL83" s="1" t="n">
        <f aca="false">BJ83*($B83+F$13)</f>
        <v>0</v>
      </c>
      <c r="BM83" s="33" t="n">
        <f aca="false">IF(ISNUMBER(((BL83/BJ83)+F$14+$R83)*BJ83),((BL83/BJ83)+F$14+$R83)*BJ83,0)</f>
        <v>0</v>
      </c>
      <c r="BN83" s="44" t="n">
        <f aca="false">IF(BJ83=0,0,bsd(1,BO$27,BK83,$W83,$T83,$U83,$AH83,0.1))</f>
        <v>0</v>
      </c>
      <c r="BO83" s="44" t="n">
        <f aca="false">IF(BJ83=0,0,bsd(2,BO$27,BK83,$W83,$T83,$U83,$AH83,0.1))</f>
        <v>0</v>
      </c>
      <c r="BP83" s="44" t="n">
        <f aca="false">IF(BJ83=0,0,bsd(BO$28,BO$27,BK83,$W83,$T83,$U83,$AH83,0.1))</f>
        <v>0</v>
      </c>
      <c r="BQ83" s="45" t="n">
        <f aca="false">BJ83*BN83</f>
        <v>0</v>
      </c>
      <c r="BR83" s="45" t="n">
        <f aca="false">BJ83*BO83</f>
        <v>0</v>
      </c>
      <c r="BS83" s="45" t="n">
        <f aca="false">BJ83*BP83</f>
        <v>0</v>
      </c>
      <c r="BU83" s="9" t="n">
        <f aca="false">IF($A83&gt;=BV$25,IF($A83&lt;=BV$26,$AI83,0),0)</f>
        <v>0</v>
      </c>
      <c r="BV83" s="9" t="e">
        <f aca="false">BX83/BU83</f>
        <v>#DIV/0!</v>
      </c>
      <c r="BW83" s="1" t="n">
        <f aca="false">BU83*($B83+H$13)</f>
        <v>0</v>
      </c>
      <c r="BX83" s="33" t="n">
        <f aca="false">IF(ISNUMBER(((BW83/BU83)+H$14+$Y83)*BU83),((BW83/BU83)+H$14+$Y83)*BU83,0)</f>
        <v>0</v>
      </c>
      <c r="BY83" s="44" t="n">
        <f aca="false">IF(BU83=0,0,bsd(1,BZ$27,BV83,$AD83,$AA83,$AB83,$AH83,0.1))</f>
        <v>0</v>
      </c>
      <c r="BZ83" s="44" t="n">
        <f aca="false">IF(BU83=0,0,bsd(2,BZ$27,BV83,$AD83,$AA83,$AB83,$AH83,0.1))</f>
        <v>0</v>
      </c>
      <c r="CA83" s="44" t="n">
        <f aca="false">IF(BU83=0,0,bsd(BZ$28,BZ$27,BV83,$AD83,$AA83,$AB83,$AH83,0.1))</f>
        <v>0</v>
      </c>
      <c r="CB83" s="45" t="n">
        <f aca="false">BU83*BY83</f>
        <v>0</v>
      </c>
      <c r="CC83" s="45" t="n">
        <f aca="false">BU83*BZ83</f>
        <v>0</v>
      </c>
      <c r="CD83" s="45" t="n">
        <f aca="false">BU83*CA83</f>
        <v>0</v>
      </c>
    </row>
    <row r="84" customFormat="false" ht="12.75" hidden="false" customHeight="false" outlineLevel="0" collapsed="false">
      <c r="A84" s="48" t="n">
        <f aca="false">DATE(YEAR(A83),MONTH(A83)+1,1)</f>
        <v>38412</v>
      </c>
      <c r="B84" s="40" t="n">
        <f aca="false">VLOOKUP(A84,STRADDLE,5,FALSE())</f>
        <v>3.25</v>
      </c>
      <c r="C84" s="4" t="n">
        <f aca="false">VLOOKUP(A84,STRADDLE,8,FALSE())</f>
        <v>0.2475</v>
      </c>
      <c r="D84" s="40" t="n">
        <f aca="false">IF(D$28="nymex",0,VLOOKUP($A84,curvesettle,HLOOKUP(D$28,curvesettle,2,FALSE())))</f>
        <v>0.96</v>
      </c>
      <c r="E84" s="131" t="n">
        <f aca="false">IF(ISNUMBER(VLOOKUP($A84,VOLCURVES,HLOOKUP(D$28,VOLCURVES,2,FALSE()),FALSE())),VLOOKUP($A84,VOLCURVES,HLOOKUP(D$28,VOLCURVES,2,FALSE()),FALSE()),1)</f>
        <v>1.1</v>
      </c>
      <c r="F84" s="136" t="n">
        <f aca="false">IF(D$28="NYMEX",$AG84,$AF84)</f>
        <v>-7519</v>
      </c>
      <c r="G84" s="4" t="e">
        <f aca="false">(($C84+H84)*$E84)+B$15</f>
        <v>#DIV/0!</v>
      </c>
      <c r="H84" s="4" t="e">
        <f aca="false">IF($B$16=1,VLOOKUP($A84,SkewTable,HLOOKUP(ROUND(I84-AO84,1),SkewTable,2,FALSE()),FALSE())/100,0)</f>
        <v>#DIV/0!</v>
      </c>
      <c r="I84" s="41" t="n">
        <f aca="false">IF($B$19=4,$AO84,$B$18)</f>
        <v>5.05</v>
      </c>
      <c r="K84" s="40" t="n">
        <f aca="false">IF(K$28="nymex",0,VLOOKUP($A84,curvesettle,HLOOKUP(K$28,curvesettle,2,FALSE())))</f>
        <v>0.14</v>
      </c>
      <c r="L84" s="131" t="n">
        <f aca="false">IF(ISNUMBER(VLOOKUP($A84,VOLCURVES,HLOOKUP(K$28,VOLCURVES,2,FALSE()),FALSE())),VLOOKUP($A84,VOLCURVES,HLOOKUP(K$28,VOLCURVES,2,FALSE()),FALSE()),1)</f>
        <v>1</v>
      </c>
      <c r="M84" s="136" t="n">
        <f aca="false">IF(K$28="NYMEX",$AG84,$AF84)</f>
        <v>-7519</v>
      </c>
      <c r="N84" s="153" t="e">
        <f aca="false">(($C84+O84)*$L84)+D$15</f>
        <v>#DIV/0!</v>
      </c>
      <c r="O84" s="4" t="e">
        <f aca="false">IF($D$16=1,VLOOKUP($A84,SkewTable,HLOOKUP(ROUND(P84-AZ84,1),SkewTable,2,FALSE()),FALSE())/100,0)</f>
        <v>#DIV/0!</v>
      </c>
      <c r="P84" s="41" t="n">
        <f aca="false">IF($D$19=4,$AZ84,$D$18)</f>
        <v>5.1</v>
      </c>
      <c r="R84" s="40" t="n">
        <f aca="false">IF(R$28="nymex",0,VLOOKUP($A84,curvesettle,HLOOKUP(R$28,curvesettle,2,FALSE())))</f>
        <v>-0.0275</v>
      </c>
      <c r="S84" s="131" t="n">
        <f aca="false">IF(ISNUMBER(VLOOKUP($A84,VOLCURVES,HLOOKUP(R$28,VOLCURVES,2,FALSE()),FALSE())),VLOOKUP($A84,VOLCURVES,HLOOKUP(R$28,VOLCURVES,2,FALSE()),FALSE()),1)</f>
        <v>1</v>
      </c>
      <c r="T84" s="136" t="n">
        <f aca="false">IF(R$28="NYMEX",$AG84,$AF84)</f>
        <v>-7519</v>
      </c>
      <c r="U84" s="153" t="e">
        <f aca="false">(($C84+V84)*$S84)+F$15</f>
        <v>#DIV/0!</v>
      </c>
      <c r="V84" s="4" t="e">
        <f aca="false">IF($F$16=1,VLOOKUP($A84,SkewTable,HLOOKUP(ROUND(W84-BK84,1),SkewTable,2,FALSE()),FALSE())/100,0)</f>
        <v>#DIV/0!</v>
      </c>
      <c r="W84" s="41" t="n">
        <f aca="false">IF($F$19=4,$BK84,$F$18)</f>
        <v>5.3983</v>
      </c>
      <c r="X84" s="136"/>
      <c r="Y84" s="40" t="n">
        <f aca="false">IF(Y$28="nymex",0,VLOOKUP($A84,curvesettle,HLOOKUP(Y$28,curvesettle,2,FALSE())))</f>
        <v>-0.0275</v>
      </c>
      <c r="Z84" s="131" t="n">
        <f aca="false">IF(ISNUMBER(VLOOKUP($A84,VOLCURVES,HLOOKUP(Y$28,VOLCURVES,2,FALSE()),FALSE())),VLOOKUP($A84,VOLCURVES,HLOOKUP(Y$28,VOLCURVES,2,FALSE()),FALSE()),1)</f>
        <v>1</v>
      </c>
      <c r="AA84" s="136" t="n">
        <f aca="false">IF(Y$28="NYMEX",$AG84,$AF84)</f>
        <v>-7519</v>
      </c>
      <c r="AB84" s="4" t="e">
        <f aca="false">(($C84+AC84)*$Z84)+H$15</f>
        <v>#DIV/0!</v>
      </c>
      <c r="AC84" s="4" t="e">
        <f aca="false">IF($H$16=1,VLOOKUP($A84,SkewTable,HLOOKUP(ROUND(AD84-BV84,1),SkewTable,2,FALSE()),FALSE())/100,0)</f>
        <v>#DIV/0!</v>
      </c>
      <c r="AD84" s="41" t="n">
        <f aca="false">IF($H$19=4,$BV84,$H$18)</f>
        <v>5.4668</v>
      </c>
      <c r="AF84" s="136" t="n">
        <f aca="false">VLOOKUP($A84,expiration,2,FALSE())-$B$2</f>
        <v>-7519</v>
      </c>
      <c r="AG84" s="136" t="n">
        <f aca="false">VLOOKUP($A84,expiration,3,FALSE())-$B$2</f>
        <v>-7520</v>
      </c>
      <c r="AH84" s="4" t="n">
        <f aca="false">VLOOKUP($A84,STRADDLE,12,FALSE())</f>
        <v>0.067932946154122</v>
      </c>
      <c r="AI84" s="43" t="n">
        <f aca="false">A85-A84</f>
        <v>31</v>
      </c>
      <c r="AL84" s="136"/>
      <c r="AM84" s="9"/>
      <c r="AN84" s="9" t="n">
        <f aca="false">IF($A84&gt;=AO$25,IF($A84&lt;=AO$26,$AI84,0),0)</f>
        <v>0</v>
      </c>
      <c r="AO84" s="9" t="e">
        <f aca="false">AQ84/AN84</f>
        <v>#DIV/0!</v>
      </c>
      <c r="AP84" s="1" t="n">
        <f aca="false">AN84*($B84+B$13)</f>
        <v>0</v>
      </c>
      <c r="AQ84" s="33" t="n">
        <f aca="false">IF(ISNUMBER(((AP84/AN84)+B$14+$D84)*AN84),((AP84/AN84)+B$14+$D84)*AN84,0)</f>
        <v>0</v>
      </c>
      <c r="AR84" s="44" t="n">
        <f aca="false">IF(AN84=0,0,bsd(1,AS$27,AO84,$I84,$F84,$G84,$AH84,0.1))</f>
        <v>0</v>
      </c>
      <c r="AS84" s="44" t="n">
        <f aca="false">IF(AN84=0,0,bsd(2,AS$27,AO84,$I84,$F84,$G84,$AH84,0.1))</f>
        <v>0</v>
      </c>
      <c r="AT84" s="44" t="n">
        <f aca="false">IF(AN84=0,0,bsd(AS$28,AS$27,AO84,$I84,$F84,$G84,$AH84,0.1))</f>
        <v>0</v>
      </c>
      <c r="AU84" s="45" t="n">
        <f aca="false">AN84*AR84</f>
        <v>0</v>
      </c>
      <c r="AV84" s="45" t="n">
        <f aca="false">AN84*AS84</f>
        <v>0</v>
      </c>
      <c r="AW84" s="45" t="n">
        <f aca="false">AN84*AT84</f>
        <v>0</v>
      </c>
      <c r="AY84" s="9" t="n">
        <f aca="false">IF($A84&gt;=AZ$25,IF($A84&lt;=AZ$26,$AI84,0),0)</f>
        <v>0</v>
      </c>
      <c r="AZ84" s="9" t="e">
        <f aca="false">BB84/AY84</f>
        <v>#DIV/0!</v>
      </c>
      <c r="BA84" s="1" t="n">
        <f aca="false">AY84*($B84+D$13)</f>
        <v>0</v>
      </c>
      <c r="BB84" s="33" t="n">
        <f aca="false">IF(ISNUMBER(((BA84/AY84)+D$14+$K84)*AY84),((BA84/AY84)+D$14+$K84)*AY84,0)</f>
        <v>0</v>
      </c>
      <c r="BC84" s="44" t="n">
        <f aca="false">IF(AY84=0,0,bsd(1,BD$27,AZ84,$P84,$M84,$N84,$AH84,0.1))</f>
        <v>0</v>
      </c>
      <c r="BD84" s="44" t="n">
        <f aca="false">IF(AY84=0,0,bsd(2,BD$27,AZ84,$P84,$M84,$N84,$AH84,0.1))</f>
        <v>0</v>
      </c>
      <c r="BE84" s="44" t="n">
        <f aca="false">IF(AY84=0,0,bsd(BD$28,BD$27,AZ84,$P84,$M84,$N84,$AH84,0.1))</f>
        <v>0</v>
      </c>
      <c r="BF84" s="45" t="n">
        <f aca="false">AY84*BC84</f>
        <v>0</v>
      </c>
      <c r="BG84" s="45" t="n">
        <f aca="false">AY84*BD84</f>
        <v>0</v>
      </c>
      <c r="BH84" s="45" t="n">
        <f aca="false">AY84*BE84</f>
        <v>0</v>
      </c>
      <c r="BJ84" s="9" t="n">
        <f aca="false">IF($A84&gt;=BK$25,IF($A84&lt;=BK$26,$AI84,0),0)</f>
        <v>0</v>
      </c>
      <c r="BK84" s="9" t="e">
        <f aca="false">BM84/BJ84</f>
        <v>#DIV/0!</v>
      </c>
      <c r="BL84" s="1" t="n">
        <f aca="false">BJ84*($B84+F$13)</f>
        <v>0</v>
      </c>
      <c r="BM84" s="33" t="n">
        <f aca="false">IF(ISNUMBER(((BL84/BJ84)+F$14+$R84)*BJ84),((BL84/BJ84)+F$14+$R84)*BJ84,0)</f>
        <v>0</v>
      </c>
      <c r="BN84" s="44" t="n">
        <f aca="false">IF(BJ84=0,0,bsd(1,BO$27,BK84,$W84,$T84,$U84,$AH84,0.1))</f>
        <v>0</v>
      </c>
      <c r="BO84" s="44" t="n">
        <f aca="false">IF(BJ84=0,0,bsd(2,BO$27,BK84,$W84,$T84,$U84,$AH84,0.1))</f>
        <v>0</v>
      </c>
      <c r="BP84" s="44" t="n">
        <f aca="false">IF(BJ84=0,0,bsd(BO$28,BO$27,BK84,$W84,$T84,$U84,$AH84,0.1))</f>
        <v>0</v>
      </c>
      <c r="BQ84" s="45" t="n">
        <f aca="false">BJ84*BN84</f>
        <v>0</v>
      </c>
      <c r="BR84" s="45" t="n">
        <f aca="false">BJ84*BO84</f>
        <v>0</v>
      </c>
      <c r="BS84" s="45" t="n">
        <f aca="false">BJ84*BP84</f>
        <v>0</v>
      </c>
      <c r="BU84" s="9" t="n">
        <f aca="false">IF($A84&gt;=BV$25,IF($A84&lt;=BV$26,$AI84,0),0)</f>
        <v>0</v>
      </c>
      <c r="BV84" s="9" t="e">
        <f aca="false">BX84/BU84</f>
        <v>#DIV/0!</v>
      </c>
      <c r="BW84" s="1" t="n">
        <f aca="false">BU84*($B84+H$13)</f>
        <v>0</v>
      </c>
      <c r="BX84" s="33" t="n">
        <f aca="false">IF(ISNUMBER(((BW84/BU84)+H$14+$Y84)*BU84),((BW84/BU84)+H$14+$Y84)*BU84,0)</f>
        <v>0</v>
      </c>
      <c r="BY84" s="44" t="n">
        <f aca="false">IF(BU84=0,0,bsd(1,BZ$27,BV84,$AD84,$AA84,$AB84,$AH84,0.1))</f>
        <v>0</v>
      </c>
      <c r="BZ84" s="44" t="n">
        <f aca="false">IF(BU84=0,0,bsd(2,BZ$27,BV84,$AD84,$AA84,$AB84,$AH84,0.1))</f>
        <v>0</v>
      </c>
      <c r="CA84" s="44" t="n">
        <f aca="false">IF(BU84=0,0,bsd(BZ$28,BZ$27,BV84,$AD84,$AA84,$AB84,$AH84,0.1))</f>
        <v>0</v>
      </c>
      <c r="CB84" s="45" t="n">
        <f aca="false">BU84*BY84</f>
        <v>0</v>
      </c>
      <c r="CC84" s="45" t="n">
        <f aca="false">BU84*BZ84</f>
        <v>0</v>
      </c>
      <c r="CD84" s="45" t="n">
        <f aca="false">BU84*CA84</f>
        <v>0</v>
      </c>
    </row>
    <row r="85" customFormat="false" ht="12.75" hidden="false" customHeight="false" outlineLevel="0" collapsed="false">
      <c r="A85" s="48" t="n">
        <f aca="false">DATE(YEAR(A84),MONTH(A84)+1,1)</f>
        <v>38443</v>
      </c>
      <c r="B85" s="40" t="n">
        <f aca="false">VLOOKUP(A85,STRADDLE,5,FALSE())</f>
        <v>3.066</v>
      </c>
      <c r="C85" s="4" t="n">
        <f aca="false">VLOOKUP(A85,STRADDLE,8,FALSE())</f>
        <v>0.235</v>
      </c>
      <c r="D85" s="40" t="n">
        <f aca="false">IF(D$28="nymex",0,VLOOKUP($A85,curvesettle,HLOOKUP(D$28,curvesettle,2,FALSE())))</f>
        <v>0.45</v>
      </c>
      <c r="E85" s="131" t="n">
        <f aca="false">IF(ISNUMBER(VLOOKUP($A85,VOLCURVES,HLOOKUP(D$28,VOLCURVES,2,FALSE()),FALSE())),VLOOKUP($A85,VOLCURVES,HLOOKUP(D$28,VOLCURVES,2,FALSE()),FALSE()),1)</f>
        <v>0.98</v>
      </c>
      <c r="F85" s="136" t="n">
        <f aca="false">IF(D$28="NYMEX",$AG85,$AF85)</f>
        <v>-7486</v>
      </c>
      <c r="G85" s="4" t="e">
        <f aca="false">(($C85+H85)*$E85)+B$15</f>
        <v>#DIV/0!</v>
      </c>
      <c r="H85" s="4" t="e">
        <f aca="false">IF($B$16=1,VLOOKUP($A85,SkewTable,HLOOKUP(ROUND(I85-AO85,1),SkewTable,2,FALSE()),FALSE())/100,0)</f>
        <v>#DIV/0!</v>
      </c>
      <c r="I85" s="41" t="n">
        <f aca="false">IF($B$19=4,$AO85,$B$18)</f>
        <v>5.05</v>
      </c>
      <c r="K85" s="40" t="n">
        <f aca="false">IF(K$28="nymex",0,VLOOKUP($A85,curvesettle,HLOOKUP(K$28,curvesettle,2,FALSE())))</f>
        <v>0.315</v>
      </c>
      <c r="L85" s="131" t="n">
        <f aca="false">IF(ISNUMBER(VLOOKUP($A85,VOLCURVES,HLOOKUP(K$28,VOLCURVES,2,FALSE()),FALSE())),VLOOKUP($A85,VOLCURVES,HLOOKUP(K$28,VOLCURVES,2,FALSE()),FALSE()),1)</f>
        <v>1</v>
      </c>
      <c r="M85" s="136" t="n">
        <f aca="false">IF(K$28="NYMEX",$AG85,$AF85)</f>
        <v>-7486</v>
      </c>
      <c r="N85" s="153" t="e">
        <f aca="false">(($C85+O85)*$L85)+D$15</f>
        <v>#DIV/0!</v>
      </c>
      <c r="O85" s="4" t="e">
        <f aca="false">IF($D$16=1,VLOOKUP($A85,SkewTable,HLOOKUP(ROUND(P85-AZ85,1),SkewTable,2,FALSE()),FALSE())/100,0)</f>
        <v>#DIV/0!</v>
      </c>
      <c r="P85" s="41" t="n">
        <f aca="false">IF($D$19=4,$AZ85,$D$18)</f>
        <v>5.1</v>
      </c>
      <c r="R85" s="40" t="n">
        <f aca="false">IF(R$28="nymex",0,VLOOKUP($A85,curvesettle,HLOOKUP(R$28,curvesettle,2,FALSE())))</f>
        <v>0.015</v>
      </c>
      <c r="S85" s="131" t="n">
        <f aca="false">IF(ISNUMBER(VLOOKUP($A85,VOLCURVES,HLOOKUP(R$28,VOLCURVES,2,FALSE()),FALSE())),VLOOKUP($A85,VOLCURVES,HLOOKUP(R$28,VOLCURVES,2,FALSE()),FALSE()),1)</f>
        <v>1</v>
      </c>
      <c r="T85" s="136" t="n">
        <f aca="false">IF(R$28="NYMEX",$AG85,$AF85)</f>
        <v>-7486</v>
      </c>
      <c r="U85" s="153" t="e">
        <f aca="false">(($C85+V85)*$S85)+F$15</f>
        <v>#DIV/0!</v>
      </c>
      <c r="V85" s="4" t="e">
        <f aca="false">IF($F$16=1,VLOOKUP($A85,SkewTable,HLOOKUP(ROUND(W85-BK85,1),SkewTable,2,FALSE()),FALSE())/100,0)</f>
        <v>#DIV/0!</v>
      </c>
      <c r="W85" s="41" t="n">
        <f aca="false">IF($F$19=4,$BK85,$F$18)</f>
        <v>5.3983</v>
      </c>
      <c r="X85" s="136"/>
      <c r="Y85" s="40" t="n">
        <f aca="false">IF(Y$28="nymex",0,VLOOKUP($A85,curvesettle,HLOOKUP(Y$28,curvesettle,2,FALSE())))</f>
        <v>0.015</v>
      </c>
      <c r="Z85" s="131" t="n">
        <f aca="false">IF(ISNUMBER(VLOOKUP($A85,VOLCURVES,HLOOKUP(Y$28,VOLCURVES,2,FALSE()),FALSE())),VLOOKUP($A85,VOLCURVES,HLOOKUP(Y$28,VOLCURVES,2,FALSE()),FALSE()),1)</f>
        <v>1</v>
      </c>
      <c r="AA85" s="136" t="n">
        <f aca="false">IF(Y$28="NYMEX",$AG85,$AF85)</f>
        <v>-7486</v>
      </c>
      <c r="AB85" s="4" t="e">
        <f aca="false">(($C85+AC85)*$Z85)+H$15</f>
        <v>#DIV/0!</v>
      </c>
      <c r="AC85" s="4" t="e">
        <f aca="false">IF($H$16=1,VLOOKUP($A85,SkewTable,HLOOKUP(ROUND(AD85-BV85,1),SkewTable,2,FALSE()),FALSE())/100,0)</f>
        <v>#DIV/0!</v>
      </c>
      <c r="AD85" s="41" t="n">
        <f aca="false">IF($H$19=4,$BV85,$H$18)</f>
        <v>5.4668</v>
      </c>
      <c r="AF85" s="136" t="n">
        <f aca="false">VLOOKUP($A85,expiration,2,FALSE())-$B$2</f>
        <v>-7486</v>
      </c>
      <c r="AG85" s="136" t="n">
        <f aca="false">VLOOKUP($A85,expiration,3,FALSE())-$B$2</f>
        <v>-7487</v>
      </c>
      <c r="AH85" s="4" t="n">
        <f aca="false">VLOOKUP($A85,STRADDLE,12,FALSE())</f>
        <v>0.067983806614</v>
      </c>
      <c r="AI85" s="43" t="n">
        <f aca="false">A86-A85</f>
        <v>30</v>
      </c>
      <c r="AL85" s="136"/>
      <c r="AM85" s="9"/>
      <c r="AN85" s="9" t="n">
        <f aca="false">IF($A85&gt;=AO$25,IF($A85&lt;=AO$26,$AI85,0),0)</f>
        <v>0</v>
      </c>
      <c r="AO85" s="9" t="e">
        <f aca="false">AQ85/AN85</f>
        <v>#DIV/0!</v>
      </c>
      <c r="AP85" s="1" t="n">
        <f aca="false">AN85*($B85+B$13)</f>
        <v>0</v>
      </c>
      <c r="AQ85" s="33" t="n">
        <f aca="false">IF(ISNUMBER(((AP85/AN85)+B$14+$D85)*AN85),((AP85/AN85)+B$14+$D85)*AN85,0)</f>
        <v>0</v>
      </c>
      <c r="AR85" s="44" t="n">
        <f aca="false">IF(AN85=0,0,bsd(1,AS$27,AO85,$I85,$F85,$G85,$AH85,0.1))</f>
        <v>0</v>
      </c>
      <c r="AS85" s="44" t="n">
        <f aca="false">IF(AN85=0,0,bsd(2,AS$27,AO85,$I85,$F85,$G85,$AH85,0.1))</f>
        <v>0</v>
      </c>
      <c r="AT85" s="44" t="n">
        <f aca="false">IF(AN85=0,0,bsd(AS$28,AS$27,AO85,$I85,$F85,$G85,$AH85,0.1))</f>
        <v>0</v>
      </c>
      <c r="AU85" s="45" t="n">
        <f aca="false">AN85*AR85</f>
        <v>0</v>
      </c>
      <c r="AV85" s="45" t="n">
        <f aca="false">AN85*AS85</f>
        <v>0</v>
      </c>
      <c r="AW85" s="45" t="n">
        <f aca="false">AN85*AT85</f>
        <v>0</v>
      </c>
      <c r="AY85" s="9" t="n">
        <f aca="false">IF($A85&gt;=AZ$25,IF($A85&lt;=AZ$26,$AI85,0),0)</f>
        <v>0</v>
      </c>
      <c r="AZ85" s="9" t="e">
        <f aca="false">BB85/AY85</f>
        <v>#DIV/0!</v>
      </c>
      <c r="BA85" s="1" t="n">
        <f aca="false">AY85*($B85+D$13)</f>
        <v>0</v>
      </c>
      <c r="BB85" s="33" t="n">
        <f aca="false">IF(ISNUMBER(((BA85/AY85)+D$14+$K85)*AY85),((BA85/AY85)+D$14+$K85)*AY85,0)</f>
        <v>0</v>
      </c>
      <c r="BC85" s="44" t="n">
        <f aca="false">IF(AY85=0,0,bsd(1,BD$27,AZ85,$P85,$M85,$N85,$AH85,0.1))</f>
        <v>0</v>
      </c>
      <c r="BD85" s="44" t="n">
        <f aca="false">IF(AY85=0,0,bsd(2,BD$27,AZ85,$P85,$M85,$N85,$AH85,0.1))</f>
        <v>0</v>
      </c>
      <c r="BE85" s="44" t="n">
        <f aca="false">IF(AY85=0,0,bsd(BD$28,BD$27,AZ85,$P85,$M85,$N85,$AH85,0.1))</f>
        <v>0</v>
      </c>
      <c r="BF85" s="45" t="n">
        <f aca="false">AY85*BC85</f>
        <v>0</v>
      </c>
      <c r="BG85" s="45" t="n">
        <f aca="false">AY85*BD85</f>
        <v>0</v>
      </c>
      <c r="BH85" s="45" t="n">
        <f aca="false">AY85*BE85</f>
        <v>0</v>
      </c>
      <c r="BJ85" s="9" t="n">
        <f aca="false">IF($A85&gt;=BK$25,IF($A85&lt;=BK$26,$AI85,0),0)</f>
        <v>0</v>
      </c>
      <c r="BK85" s="9" t="e">
        <f aca="false">BM85/BJ85</f>
        <v>#DIV/0!</v>
      </c>
      <c r="BL85" s="1" t="n">
        <f aca="false">BJ85*($B85+F$13)</f>
        <v>0</v>
      </c>
      <c r="BM85" s="33" t="n">
        <f aca="false">IF(ISNUMBER(((BL85/BJ85)+F$14+$R85)*BJ85),((BL85/BJ85)+F$14+$R85)*BJ85,0)</f>
        <v>0</v>
      </c>
      <c r="BN85" s="44" t="n">
        <f aca="false">IF(BJ85=0,0,bsd(1,BO$27,BK85,$W85,$T85,$U85,$AH85,0.1))</f>
        <v>0</v>
      </c>
      <c r="BO85" s="44" t="n">
        <f aca="false">IF(BJ85=0,0,bsd(2,BO$27,BK85,$W85,$T85,$U85,$AH85,0.1))</f>
        <v>0</v>
      </c>
      <c r="BP85" s="44" t="n">
        <f aca="false">IF(BJ85=0,0,bsd(BO$28,BO$27,BK85,$W85,$T85,$U85,$AH85,0.1))</f>
        <v>0</v>
      </c>
      <c r="BQ85" s="45" t="n">
        <f aca="false">BJ85*BN85</f>
        <v>0</v>
      </c>
      <c r="BR85" s="45" t="n">
        <f aca="false">BJ85*BO85</f>
        <v>0</v>
      </c>
      <c r="BS85" s="45" t="n">
        <f aca="false">BJ85*BP85</f>
        <v>0</v>
      </c>
      <c r="BU85" s="9" t="n">
        <f aca="false">IF($A85&gt;=BV$25,IF($A85&lt;=BV$26,$AI85,0),0)</f>
        <v>0</v>
      </c>
      <c r="BV85" s="9" t="e">
        <f aca="false">BX85/BU85</f>
        <v>#DIV/0!</v>
      </c>
      <c r="BW85" s="1" t="n">
        <f aca="false">BU85*($B85+H$13)</f>
        <v>0</v>
      </c>
      <c r="BX85" s="33" t="n">
        <f aca="false">IF(ISNUMBER(((BW85/BU85)+H$14+$Y85)*BU85),((BW85/BU85)+H$14+$Y85)*BU85,0)</f>
        <v>0</v>
      </c>
      <c r="BY85" s="44" t="n">
        <f aca="false">IF(BU85=0,0,bsd(1,BZ$27,BV85,$AD85,$AA85,$AB85,$AH85,0.1))</f>
        <v>0</v>
      </c>
      <c r="BZ85" s="44" t="n">
        <f aca="false">IF(BU85=0,0,bsd(2,BZ$27,BV85,$AD85,$AA85,$AB85,$AH85,0.1))</f>
        <v>0</v>
      </c>
      <c r="CA85" s="44" t="n">
        <f aca="false">IF(BU85=0,0,bsd(BZ$28,BZ$27,BV85,$AD85,$AA85,$AB85,$AH85,0.1))</f>
        <v>0</v>
      </c>
      <c r="CB85" s="45" t="n">
        <f aca="false">BU85*BY85</f>
        <v>0</v>
      </c>
      <c r="CC85" s="45" t="n">
        <f aca="false">BU85*BZ85</f>
        <v>0</v>
      </c>
      <c r="CD85" s="45" t="n">
        <f aca="false">BU85*CA85</f>
        <v>0</v>
      </c>
    </row>
    <row r="86" customFormat="false" ht="12.75" hidden="false" customHeight="false" outlineLevel="0" collapsed="false">
      <c r="A86" s="48" t="n">
        <f aca="false">DATE(YEAR(A85),MONTH(A85)+1,1)</f>
        <v>38473</v>
      </c>
      <c r="B86" s="40" t="n">
        <f aca="false">VLOOKUP(A86,STRADDLE,5,FALSE())</f>
        <v>3.018</v>
      </c>
      <c r="C86" s="4" t="n">
        <f aca="false">VLOOKUP(A86,STRADDLE,8,FALSE())</f>
        <v>0.235</v>
      </c>
      <c r="D86" s="40" t="n">
        <f aca="false">IF(D$28="nymex",0,VLOOKUP($A86,curvesettle,HLOOKUP(D$28,curvesettle,2,FALSE())))</f>
        <v>0.405</v>
      </c>
      <c r="E86" s="131" t="n">
        <f aca="false">IF(ISNUMBER(VLOOKUP($A86,VOLCURVES,HLOOKUP(D$28,VOLCURVES,2,FALSE()),FALSE())),VLOOKUP($A86,VOLCURVES,HLOOKUP(D$28,VOLCURVES,2,FALSE()),FALSE()),1)</f>
        <v>0.98</v>
      </c>
      <c r="F86" s="136" t="n">
        <f aca="false">IF(D$28="NYMEX",$AG86,$AF86)</f>
        <v>-7457</v>
      </c>
      <c r="G86" s="4" t="e">
        <f aca="false">(($C86+H86)*$E86)+B$15</f>
        <v>#DIV/0!</v>
      </c>
      <c r="H86" s="4" t="e">
        <f aca="false">IF($B$16=1,VLOOKUP($A86,SkewTable,HLOOKUP(ROUND(I86-AO86,1),SkewTable,2,FALSE()),FALSE())/100,0)</f>
        <v>#DIV/0!</v>
      </c>
      <c r="I86" s="41" t="n">
        <f aca="false">IF($B$19=4,$AO86,$B$18)</f>
        <v>5.05</v>
      </c>
      <c r="K86" s="40" t="n">
        <f aca="false">IF(K$28="nymex",0,VLOOKUP($A86,curvesettle,HLOOKUP(K$28,curvesettle,2,FALSE())))</f>
        <v>0.315</v>
      </c>
      <c r="L86" s="131" t="n">
        <f aca="false">IF(ISNUMBER(VLOOKUP($A86,VOLCURVES,HLOOKUP(K$28,VOLCURVES,2,FALSE()),FALSE())),VLOOKUP($A86,VOLCURVES,HLOOKUP(K$28,VOLCURVES,2,FALSE()),FALSE()),1)</f>
        <v>1</v>
      </c>
      <c r="M86" s="136" t="n">
        <f aca="false">IF(K$28="NYMEX",$AG86,$AF86)</f>
        <v>-7457</v>
      </c>
      <c r="N86" s="153" t="e">
        <f aca="false">(($C86+O86)*$L86)+D$15</f>
        <v>#DIV/0!</v>
      </c>
      <c r="O86" s="4" t="e">
        <f aca="false">IF($D$16=1,VLOOKUP($A86,SkewTable,HLOOKUP(ROUND(P86-AZ86,1),SkewTable,2,FALSE()),FALSE())/100,0)</f>
        <v>#DIV/0!</v>
      </c>
      <c r="P86" s="41" t="n">
        <f aca="false">IF($D$19=4,$AZ86,$D$18)</f>
        <v>5.1</v>
      </c>
      <c r="R86" s="40" t="n">
        <f aca="false">IF(R$28="nymex",0,VLOOKUP($A86,curvesettle,HLOOKUP(R$28,curvesettle,2,FALSE())))</f>
        <v>0.015</v>
      </c>
      <c r="S86" s="131" t="n">
        <f aca="false">IF(ISNUMBER(VLOOKUP($A86,VOLCURVES,HLOOKUP(R$28,VOLCURVES,2,FALSE()),FALSE())),VLOOKUP($A86,VOLCURVES,HLOOKUP(R$28,VOLCURVES,2,FALSE()),FALSE()),1)</f>
        <v>1</v>
      </c>
      <c r="T86" s="136" t="n">
        <f aca="false">IF(R$28="NYMEX",$AG86,$AF86)</f>
        <v>-7457</v>
      </c>
      <c r="U86" s="153" t="e">
        <f aca="false">(($C86+V86)*$S86)+F$15</f>
        <v>#DIV/0!</v>
      </c>
      <c r="V86" s="4" t="e">
        <f aca="false">IF($F$16=1,VLOOKUP($A86,SkewTable,HLOOKUP(ROUND(W86-BK86,1),SkewTable,2,FALSE()),FALSE())/100,0)</f>
        <v>#DIV/0!</v>
      </c>
      <c r="W86" s="41" t="n">
        <f aca="false">IF($F$19=4,$BK86,$F$18)</f>
        <v>5.3983</v>
      </c>
      <c r="X86" s="136"/>
      <c r="Y86" s="40" t="n">
        <f aca="false">IF(Y$28="nymex",0,VLOOKUP($A86,curvesettle,HLOOKUP(Y$28,curvesettle,2,FALSE())))</f>
        <v>0.015</v>
      </c>
      <c r="Z86" s="131" t="n">
        <f aca="false">IF(ISNUMBER(VLOOKUP($A86,VOLCURVES,HLOOKUP(Y$28,VOLCURVES,2,FALSE()),FALSE())),VLOOKUP($A86,VOLCURVES,HLOOKUP(Y$28,VOLCURVES,2,FALSE()),FALSE()),1)</f>
        <v>1</v>
      </c>
      <c r="AA86" s="136" t="n">
        <f aca="false">IF(Y$28="NYMEX",$AG86,$AF86)</f>
        <v>-7457</v>
      </c>
      <c r="AB86" s="4" t="e">
        <f aca="false">(($C86+AC86)*$Z86)+H$15</f>
        <v>#DIV/0!</v>
      </c>
      <c r="AC86" s="4" t="e">
        <f aca="false">IF($H$16=1,VLOOKUP($A86,SkewTable,HLOOKUP(ROUND(AD86-BV86,1),SkewTable,2,FALSE()),FALSE())/100,0)</f>
        <v>#DIV/0!</v>
      </c>
      <c r="AD86" s="41" t="n">
        <f aca="false">IF($H$19=4,$BV86,$H$18)</f>
        <v>5.4668</v>
      </c>
      <c r="AF86" s="136" t="n">
        <f aca="false">VLOOKUP($A86,expiration,2,FALSE())-$B$2</f>
        <v>-7457</v>
      </c>
      <c r="AG86" s="136" t="n">
        <f aca="false">VLOOKUP($A86,expiration,3,FALSE())-$B$2</f>
        <v>-7458</v>
      </c>
      <c r="AH86" s="4" t="n">
        <f aca="false">VLOOKUP($A86,STRADDLE,12,FALSE())</f>
        <v>0.068033026414695</v>
      </c>
      <c r="AI86" s="43" t="n">
        <f aca="false">A87-A86</f>
        <v>31</v>
      </c>
      <c r="AL86" s="136"/>
      <c r="AM86" s="9"/>
      <c r="AN86" s="9" t="n">
        <f aca="false">IF($A86&gt;=AO$25,IF($A86&lt;=AO$26,$AI86,0),0)</f>
        <v>0</v>
      </c>
      <c r="AO86" s="9" t="e">
        <f aca="false">AQ86/AN86</f>
        <v>#DIV/0!</v>
      </c>
      <c r="AP86" s="1" t="n">
        <f aca="false">AN86*($B86+B$13)</f>
        <v>0</v>
      </c>
      <c r="AQ86" s="33" t="n">
        <f aca="false">IF(ISNUMBER(((AP86/AN86)+B$14+$D86)*AN86),((AP86/AN86)+B$14+$D86)*AN86,0)</f>
        <v>0</v>
      </c>
      <c r="AR86" s="44" t="n">
        <f aca="false">IF(AN86=0,0,bsd(1,AS$27,AO86,$I86,$F86,$G86,$AH86,0.1))</f>
        <v>0</v>
      </c>
      <c r="AS86" s="44" t="n">
        <f aca="false">IF(AN86=0,0,bsd(2,AS$27,AO86,$I86,$F86,$G86,$AH86,0.1))</f>
        <v>0</v>
      </c>
      <c r="AT86" s="44" t="n">
        <f aca="false">IF(AN86=0,0,bsd(AS$28,AS$27,AO86,$I86,$F86,$G86,$AH86,0.1))</f>
        <v>0</v>
      </c>
      <c r="AU86" s="45" t="n">
        <f aca="false">AN86*AR86</f>
        <v>0</v>
      </c>
      <c r="AV86" s="45" t="n">
        <f aca="false">AN86*AS86</f>
        <v>0</v>
      </c>
      <c r="AW86" s="45" t="n">
        <f aca="false">AN86*AT86</f>
        <v>0</v>
      </c>
      <c r="AY86" s="9" t="n">
        <f aca="false">IF($A86&gt;=AZ$25,IF($A86&lt;=AZ$26,$AI86,0),0)</f>
        <v>0</v>
      </c>
      <c r="AZ86" s="9" t="e">
        <f aca="false">BB86/AY86</f>
        <v>#DIV/0!</v>
      </c>
      <c r="BA86" s="1" t="n">
        <f aca="false">AY86*($B86+D$13)</f>
        <v>0</v>
      </c>
      <c r="BB86" s="33" t="n">
        <f aca="false">IF(ISNUMBER(((BA86/AY86)+D$14+$K86)*AY86),((BA86/AY86)+D$14+$K86)*AY86,0)</f>
        <v>0</v>
      </c>
      <c r="BC86" s="44" t="n">
        <f aca="false">IF(AY86=0,0,bsd(1,BD$27,AZ86,$P86,$M86,$N86,$AH86,0.1))</f>
        <v>0</v>
      </c>
      <c r="BD86" s="44" t="n">
        <f aca="false">IF(AY86=0,0,bsd(2,BD$27,AZ86,$P86,$M86,$N86,$AH86,0.1))</f>
        <v>0</v>
      </c>
      <c r="BE86" s="44" t="n">
        <f aca="false">IF(AY86=0,0,bsd(BD$28,BD$27,AZ86,$P86,$M86,$N86,$AH86,0.1))</f>
        <v>0</v>
      </c>
      <c r="BF86" s="45" t="n">
        <f aca="false">AY86*BC86</f>
        <v>0</v>
      </c>
      <c r="BG86" s="45" t="n">
        <f aca="false">AY86*BD86</f>
        <v>0</v>
      </c>
      <c r="BH86" s="45" t="n">
        <f aca="false">AY86*BE86</f>
        <v>0</v>
      </c>
      <c r="BJ86" s="9" t="n">
        <f aca="false">IF($A86&gt;=BK$25,IF($A86&lt;=BK$26,$AI86,0),0)</f>
        <v>0</v>
      </c>
      <c r="BK86" s="9" t="e">
        <f aca="false">BM86/BJ86</f>
        <v>#DIV/0!</v>
      </c>
      <c r="BL86" s="1" t="n">
        <f aca="false">BJ86*($B86+F$13)</f>
        <v>0</v>
      </c>
      <c r="BM86" s="33" t="n">
        <f aca="false">IF(ISNUMBER(((BL86/BJ86)+F$14+$R86)*BJ86),((BL86/BJ86)+F$14+$R86)*BJ86,0)</f>
        <v>0</v>
      </c>
      <c r="BN86" s="44" t="n">
        <f aca="false">IF(BJ86=0,0,bsd(1,BO$27,BK86,$W86,$T86,$U86,$AH86,0.1))</f>
        <v>0</v>
      </c>
      <c r="BO86" s="44" t="n">
        <f aca="false">IF(BJ86=0,0,bsd(2,BO$27,BK86,$W86,$T86,$U86,$AH86,0.1))</f>
        <v>0</v>
      </c>
      <c r="BP86" s="44" t="n">
        <f aca="false">IF(BJ86=0,0,bsd(BO$28,BO$27,BK86,$W86,$T86,$U86,$AH86,0.1))</f>
        <v>0</v>
      </c>
      <c r="BQ86" s="45" t="n">
        <f aca="false">BJ86*BN86</f>
        <v>0</v>
      </c>
      <c r="BR86" s="45" t="n">
        <f aca="false">BJ86*BO86</f>
        <v>0</v>
      </c>
      <c r="BS86" s="45" t="n">
        <f aca="false">BJ86*BP86</f>
        <v>0</v>
      </c>
      <c r="BU86" s="9" t="n">
        <f aca="false">IF($A86&gt;=BV$25,IF($A86&lt;=BV$26,$AI86,0),0)</f>
        <v>0</v>
      </c>
      <c r="BV86" s="9" t="e">
        <f aca="false">BX86/BU86</f>
        <v>#DIV/0!</v>
      </c>
      <c r="BW86" s="1" t="n">
        <f aca="false">BU86*($B86+H$13)</f>
        <v>0</v>
      </c>
      <c r="BX86" s="33" t="n">
        <f aca="false">IF(ISNUMBER(((BW86/BU86)+H$14+$Y86)*BU86),((BW86/BU86)+H$14+$Y86)*BU86,0)</f>
        <v>0</v>
      </c>
      <c r="BY86" s="44" t="n">
        <f aca="false">IF(BU86=0,0,bsd(1,BZ$27,BV86,$AD86,$AA86,$AB86,$AH86,0.1))</f>
        <v>0</v>
      </c>
      <c r="BZ86" s="44" t="n">
        <f aca="false">IF(BU86=0,0,bsd(2,BZ$27,BV86,$AD86,$AA86,$AB86,$AH86,0.1))</f>
        <v>0</v>
      </c>
      <c r="CA86" s="44" t="n">
        <f aca="false">IF(BU86=0,0,bsd(BZ$28,BZ$27,BV86,$AD86,$AA86,$AB86,$AH86,0.1))</f>
        <v>0</v>
      </c>
      <c r="CB86" s="45" t="n">
        <f aca="false">BU86*BY86</f>
        <v>0</v>
      </c>
      <c r="CC86" s="45" t="n">
        <f aca="false">BU86*BZ86</f>
        <v>0</v>
      </c>
      <c r="CD86" s="45" t="n">
        <f aca="false">BU86*CA86</f>
        <v>0</v>
      </c>
    </row>
    <row r="87" customFormat="false" ht="12.75" hidden="false" customHeight="false" outlineLevel="0" collapsed="false">
      <c r="A87" s="48" t="n">
        <f aca="false">DATE(YEAR(A86),MONTH(A86)+1,1)</f>
        <v>38504</v>
      </c>
      <c r="B87" s="40" t="n">
        <f aca="false">VLOOKUP(A87,STRADDLE,5,FALSE())</f>
        <v>3.028</v>
      </c>
      <c r="C87" s="4" t="n">
        <f aca="false">VLOOKUP(A87,STRADDLE,8,FALSE())</f>
        <v>0.2325</v>
      </c>
      <c r="D87" s="40" t="n">
        <f aca="false">IF(D$28="nymex",0,VLOOKUP($A87,curvesettle,HLOOKUP(D$28,curvesettle,2,FALSE())))</f>
        <v>0.395</v>
      </c>
      <c r="E87" s="131" t="n">
        <f aca="false">IF(ISNUMBER(VLOOKUP($A87,VOLCURVES,HLOOKUP(D$28,VOLCURVES,2,FALSE()),FALSE())),VLOOKUP($A87,VOLCURVES,HLOOKUP(D$28,VOLCURVES,2,FALSE()),FALSE()),1)</f>
        <v>0.98</v>
      </c>
      <c r="F87" s="136" t="n">
        <f aca="false">IF(D$28="NYMEX",$AG87,$AF87)</f>
        <v>-7428</v>
      </c>
      <c r="G87" s="4" t="e">
        <f aca="false">(($C87+H87)*$E87)+B$15</f>
        <v>#DIV/0!</v>
      </c>
      <c r="H87" s="4" t="e">
        <f aca="false">IF($B$16=1,VLOOKUP($A87,SkewTable,HLOOKUP(ROUND(I87-AO87,1),SkewTable,2,FALSE()),FALSE())/100,0)</f>
        <v>#DIV/0!</v>
      </c>
      <c r="I87" s="41" t="n">
        <f aca="false">IF($B$19=4,$AO87,$B$18)</f>
        <v>5.05</v>
      </c>
      <c r="K87" s="40" t="n">
        <f aca="false">IF(K$28="nymex",0,VLOOKUP($A87,curvesettle,HLOOKUP(K$28,curvesettle,2,FALSE())))</f>
        <v>0.315</v>
      </c>
      <c r="L87" s="131" t="n">
        <f aca="false">IF(ISNUMBER(VLOOKUP($A87,VOLCURVES,HLOOKUP(K$28,VOLCURVES,2,FALSE()),FALSE())),VLOOKUP($A87,VOLCURVES,HLOOKUP(K$28,VOLCURVES,2,FALSE()),FALSE()),1)</f>
        <v>1</v>
      </c>
      <c r="M87" s="136" t="n">
        <f aca="false">IF(K$28="NYMEX",$AG87,$AF87)</f>
        <v>-7428</v>
      </c>
      <c r="N87" s="153" t="e">
        <f aca="false">(($C87+O87)*$L87)+D$15</f>
        <v>#DIV/0!</v>
      </c>
      <c r="O87" s="4" t="e">
        <f aca="false">IF($D$16=1,VLOOKUP($A87,SkewTable,HLOOKUP(ROUND(P87-AZ87,1),SkewTable,2,FALSE()),FALSE())/100,0)</f>
        <v>#DIV/0!</v>
      </c>
      <c r="P87" s="41" t="n">
        <f aca="false">IF($D$19=4,$AZ87,$D$18)</f>
        <v>5.1</v>
      </c>
      <c r="R87" s="40" t="n">
        <f aca="false">IF(R$28="nymex",0,VLOOKUP($A87,curvesettle,HLOOKUP(R$28,curvesettle,2,FALSE())))</f>
        <v>0.02</v>
      </c>
      <c r="S87" s="131" t="n">
        <f aca="false">IF(ISNUMBER(VLOOKUP($A87,VOLCURVES,HLOOKUP(R$28,VOLCURVES,2,FALSE()),FALSE())),VLOOKUP($A87,VOLCURVES,HLOOKUP(R$28,VOLCURVES,2,FALSE()),FALSE()),1)</f>
        <v>1</v>
      </c>
      <c r="T87" s="136" t="n">
        <f aca="false">IF(R$28="NYMEX",$AG87,$AF87)</f>
        <v>-7428</v>
      </c>
      <c r="U87" s="153" t="e">
        <f aca="false">(($C87+V87)*$S87)+F$15</f>
        <v>#DIV/0!</v>
      </c>
      <c r="V87" s="4" t="e">
        <f aca="false">IF($F$16=1,VLOOKUP($A87,SkewTable,HLOOKUP(ROUND(W87-BK87,1),SkewTable,2,FALSE()),FALSE())/100,0)</f>
        <v>#DIV/0!</v>
      </c>
      <c r="W87" s="41" t="n">
        <f aca="false">IF($F$19=4,$BK87,$F$18)</f>
        <v>5.3983</v>
      </c>
      <c r="X87" s="136"/>
      <c r="Y87" s="40" t="n">
        <f aca="false">IF(Y$28="nymex",0,VLOOKUP($A87,curvesettle,HLOOKUP(Y$28,curvesettle,2,FALSE())))</f>
        <v>0.02</v>
      </c>
      <c r="Z87" s="131" t="n">
        <f aca="false">IF(ISNUMBER(VLOOKUP($A87,VOLCURVES,HLOOKUP(Y$28,VOLCURVES,2,FALSE()),FALSE())),VLOOKUP($A87,VOLCURVES,HLOOKUP(Y$28,VOLCURVES,2,FALSE()),FALSE()),1)</f>
        <v>1</v>
      </c>
      <c r="AA87" s="136" t="n">
        <f aca="false">IF(Y$28="NYMEX",$AG87,$AF87)</f>
        <v>-7428</v>
      </c>
      <c r="AB87" s="4" t="e">
        <f aca="false">(($C87+AC87)*$Z87)+H$15</f>
        <v>#DIV/0!</v>
      </c>
      <c r="AC87" s="4" t="e">
        <f aca="false">IF($H$16=1,VLOOKUP($A87,SkewTable,HLOOKUP(ROUND(AD87-BV87,1),SkewTable,2,FALSE()),FALSE())/100,0)</f>
        <v>#DIV/0!</v>
      </c>
      <c r="AD87" s="41" t="n">
        <f aca="false">IF($H$19=4,$BV87,$H$18)</f>
        <v>5.4668</v>
      </c>
      <c r="AF87" s="136" t="n">
        <f aca="false">VLOOKUP($A87,expiration,2,FALSE())-$B$2</f>
        <v>-7428</v>
      </c>
      <c r="AG87" s="136" t="n">
        <f aca="false">VLOOKUP($A87,expiration,3,FALSE())-$B$2</f>
        <v>-7429</v>
      </c>
      <c r="AH87" s="4" t="n">
        <f aca="false">VLOOKUP($A87,STRADDLE,12,FALSE())</f>
        <v>0.068083886876256</v>
      </c>
      <c r="AI87" s="43" t="n">
        <f aca="false">A88-A87</f>
        <v>30</v>
      </c>
      <c r="AL87" s="136"/>
      <c r="AM87" s="9"/>
      <c r="AN87" s="9" t="n">
        <f aca="false">IF($A87&gt;=AO$25,IF($A87&lt;=AO$26,$AI87,0),0)</f>
        <v>0</v>
      </c>
      <c r="AO87" s="9" t="e">
        <f aca="false">AQ87/AN87</f>
        <v>#DIV/0!</v>
      </c>
      <c r="AP87" s="1" t="n">
        <f aca="false">AN87*($B87+B$13)</f>
        <v>0</v>
      </c>
      <c r="AQ87" s="33" t="n">
        <f aca="false">IF(ISNUMBER(((AP87/AN87)+B$14+$D87)*AN87),((AP87/AN87)+B$14+$D87)*AN87,0)</f>
        <v>0</v>
      </c>
      <c r="AR87" s="44" t="n">
        <f aca="false">IF(AN87=0,0,bsd(1,AS$27,AO87,$I87,$F87,$G87,$AH87,0.1))</f>
        <v>0</v>
      </c>
      <c r="AS87" s="44" t="n">
        <f aca="false">IF(AN87=0,0,bsd(2,AS$27,AO87,$I87,$F87,$G87,$AH87,0.1))</f>
        <v>0</v>
      </c>
      <c r="AT87" s="44" t="n">
        <f aca="false">IF(AN87=0,0,bsd(AS$28,AS$27,AO87,$I87,$F87,$G87,$AH87,0.1))</f>
        <v>0</v>
      </c>
      <c r="AU87" s="45" t="n">
        <f aca="false">AN87*AR87</f>
        <v>0</v>
      </c>
      <c r="AV87" s="45" t="n">
        <f aca="false">AN87*AS87</f>
        <v>0</v>
      </c>
      <c r="AW87" s="45" t="n">
        <f aca="false">AN87*AT87</f>
        <v>0</v>
      </c>
      <c r="AY87" s="9" t="n">
        <f aca="false">IF($A87&gt;=AZ$25,IF($A87&lt;=AZ$26,$AI87,0),0)</f>
        <v>0</v>
      </c>
      <c r="AZ87" s="9" t="e">
        <f aca="false">BB87/AY87</f>
        <v>#DIV/0!</v>
      </c>
      <c r="BA87" s="1" t="n">
        <f aca="false">AY87*($B87+D$13)</f>
        <v>0</v>
      </c>
      <c r="BB87" s="33" t="n">
        <f aca="false">IF(ISNUMBER(((BA87/AY87)+D$14+$K87)*AY87),((BA87/AY87)+D$14+$K87)*AY87,0)</f>
        <v>0</v>
      </c>
      <c r="BC87" s="44" t="n">
        <f aca="false">IF(AY87=0,0,bsd(1,BD$27,AZ87,$P87,$M87,$N87,$AH87,0.1))</f>
        <v>0</v>
      </c>
      <c r="BD87" s="44" t="n">
        <f aca="false">IF(AY87=0,0,bsd(2,BD$27,AZ87,$P87,$M87,$N87,$AH87,0.1))</f>
        <v>0</v>
      </c>
      <c r="BE87" s="44" t="n">
        <f aca="false">IF(AY87=0,0,bsd(BD$28,BD$27,AZ87,$P87,$M87,$N87,$AH87,0.1))</f>
        <v>0</v>
      </c>
      <c r="BF87" s="45" t="n">
        <f aca="false">AY87*BC87</f>
        <v>0</v>
      </c>
      <c r="BG87" s="45" t="n">
        <f aca="false">AY87*BD87</f>
        <v>0</v>
      </c>
      <c r="BH87" s="45" t="n">
        <f aca="false">AY87*BE87</f>
        <v>0</v>
      </c>
      <c r="BJ87" s="9" t="n">
        <f aca="false">IF($A87&gt;=BK$25,IF($A87&lt;=BK$26,$AI87,0),0)</f>
        <v>0</v>
      </c>
      <c r="BK87" s="9" t="e">
        <f aca="false">BM87/BJ87</f>
        <v>#DIV/0!</v>
      </c>
      <c r="BL87" s="1" t="n">
        <f aca="false">BJ87*($B87+F$13)</f>
        <v>0</v>
      </c>
      <c r="BM87" s="33" t="n">
        <f aca="false">IF(ISNUMBER(((BL87/BJ87)+F$14+$R87)*BJ87),((BL87/BJ87)+F$14+$R87)*BJ87,0)</f>
        <v>0</v>
      </c>
      <c r="BN87" s="44" t="n">
        <f aca="false">IF(BJ87=0,0,bsd(1,BO$27,BK87,$W87,$T87,$U87,$AH87,0.1))</f>
        <v>0</v>
      </c>
      <c r="BO87" s="44" t="n">
        <f aca="false">IF(BJ87=0,0,bsd(2,BO$27,BK87,$W87,$T87,$U87,$AH87,0.1))</f>
        <v>0</v>
      </c>
      <c r="BP87" s="44" t="n">
        <f aca="false">IF(BJ87=0,0,bsd(BO$28,BO$27,BK87,$W87,$T87,$U87,$AH87,0.1))</f>
        <v>0</v>
      </c>
      <c r="BQ87" s="45" t="n">
        <f aca="false">BJ87*BN87</f>
        <v>0</v>
      </c>
      <c r="BR87" s="45" t="n">
        <f aca="false">BJ87*BO87</f>
        <v>0</v>
      </c>
      <c r="BS87" s="45" t="n">
        <f aca="false">BJ87*BP87</f>
        <v>0</v>
      </c>
      <c r="BU87" s="9" t="n">
        <f aca="false">IF($A87&gt;=BV$25,IF($A87&lt;=BV$26,$AI87,0),0)</f>
        <v>0</v>
      </c>
      <c r="BV87" s="9" t="e">
        <f aca="false">BX87/BU87</f>
        <v>#DIV/0!</v>
      </c>
      <c r="BW87" s="1" t="n">
        <f aca="false">BU87*($B87+H$13)</f>
        <v>0</v>
      </c>
      <c r="BX87" s="33" t="n">
        <f aca="false">IF(ISNUMBER(((BW87/BU87)+H$14+$Y87)*BU87),((BW87/BU87)+H$14+$Y87)*BU87,0)</f>
        <v>0</v>
      </c>
      <c r="BY87" s="44" t="n">
        <f aca="false">IF(BU87=0,0,bsd(1,BZ$27,BV87,$AD87,$AA87,$AB87,$AH87,0.1))</f>
        <v>0</v>
      </c>
      <c r="BZ87" s="44" t="n">
        <f aca="false">IF(BU87=0,0,bsd(2,BZ$27,BV87,$AD87,$AA87,$AB87,$AH87,0.1))</f>
        <v>0</v>
      </c>
      <c r="CA87" s="44" t="n">
        <f aca="false">IF(BU87=0,0,bsd(BZ$28,BZ$27,BV87,$AD87,$AA87,$AB87,$AH87,0.1))</f>
        <v>0</v>
      </c>
      <c r="CB87" s="45" t="n">
        <f aca="false">BU87*BY87</f>
        <v>0</v>
      </c>
      <c r="CC87" s="45" t="n">
        <f aca="false">BU87*BZ87</f>
        <v>0</v>
      </c>
      <c r="CD87" s="45" t="n">
        <f aca="false">BU87*CA87</f>
        <v>0</v>
      </c>
    </row>
    <row r="88" customFormat="false" ht="12.75" hidden="false" customHeight="false" outlineLevel="0" collapsed="false">
      <c r="A88" s="48" t="n">
        <f aca="false">DATE(YEAR(A87),MONTH(A87)+1,1)</f>
        <v>38534</v>
      </c>
      <c r="B88" s="40" t="n">
        <f aca="false">VLOOKUP(A88,STRADDLE,5,FALSE())</f>
        <v>3.036</v>
      </c>
      <c r="C88" s="4" t="n">
        <f aca="false">VLOOKUP(A88,STRADDLE,8,FALSE())</f>
        <v>0.2325</v>
      </c>
      <c r="D88" s="40" t="n">
        <f aca="false">IF(D$28="nymex",0,VLOOKUP($A88,curvesettle,HLOOKUP(D$28,curvesettle,2,FALSE())))</f>
        <v>0.43</v>
      </c>
      <c r="E88" s="131" t="n">
        <f aca="false">IF(ISNUMBER(VLOOKUP($A88,VOLCURVES,HLOOKUP(D$28,VOLCURVES,2,FALSE()),FALSE())),VLOOKUP($A88,VOLCURVES,HLOOKUP(D$28,VOLCURVES,2,FALSE()),FALSE()),1)</f>
        <v>0.98</v>
      </c>
      <c r="F88" s="136" t="n">
        <f aca="false">IF(D$28="NYMEX",$AG88,$AF88)</f>
        <v>-7395</v>
      </c>
      <c r="G88" s="4" t="e">
        <f aca="false">(($C88+H88)*$E88)+B$15</f>
        <v>#DIV/0!</v>
      </c>
      <c r="H88" s="4" t="e">
        <f aca="false">IF($B$16=1,VLOOKUP($A88,SkewTable,HLOOKUP(ROUND(I88-AO88,1),SkewTable,2,FALSE()),FALSE())/100,0)</f>
        <v>#DIV/0!</v>
      </c>
      <c r="I88" s="41" t="n">
        <f aca="false">IF($B$19=4,$AO88,$B$18)</f>
        <v>5.05</v>
      </c>
      <c r="K88" s="40" t="n">
        <f aca="false">IF(K$28="nymex",0,VLOOKUP($A88,curvesettle,HLOOKUP(K$28,curvesettle,2,FALSE())))</f>
        <v>0.315</v>
      </c>
      <c r="L88" s="131" t="n">
        <f aca="false">IF(ISNUMBER(VLOOKUP($A88,VOLCURVES,HLOOKUP(K$28,VOLCURVES,2,FALSE()),FALSE())),VLOOKUP($A88,VOLCURVES,HLOOKUP(K$28,VOLCURVES,2,FALSE()),FALSE()),1)</f>
        <v>1</v>
      </c>
      <c r="M88" s="136" t="n">
        <f aca="false">IF(K$28="NYMEX",$AG88,$AF88)</f>
        <v>-7395</v>
      </c>
      <c r="N88" s="153" t="e">
        <f aca="false">(($C88+O88)*$L88)+D$15</f>
        <v>#DIV/0!</v>
      </c>
      <c r="O88" s="4" t="e">
        <f aca="false">IF($D$16=1,VLOOKUP($A88,SkewTable,HLOOKUP(ROUND(P88-AZ88,1),SkewTable,2,FALSE()),FALSE())/100,0)</f>
        <v>#DIV/0!</v>
      </c>
      <c r="P88" s="41" t="n">
        <f aca="false">IF($D$19=4,$AZ88,$D$18)</f>
        <v>5.1</v>
      </c>
      <c r="R88" s="40" t="n">
        <f aca="false">IF(R$28="nymex",0,VLOOKUP($A88,curvesettle,HLOOKUP(R$28,curvesettle,2,FALSE())))</f>
        <v>0.0225</v>
      </c>
      <c r="S88" s="131" t="n">
        <f aca="false">IF(ISNUMBER(VLOOKUP($A88,VOLCURVES,HLOOKUP(R$28,VOLCURVES,2,FALSE()),FALSE())),VLOOKUP($A88,VOLCURVES,HLOOKUP(R$28,VOLCURVES,2,FALSE()),FALSE()),1)</f>
        <v>1</v>
      </c>
      <c r="T88" s="136" t="n">
        <f aca="false">IF(R$28="NYMEX",$AG88,$AF88)</f>
        <v>-7395</v>
      </c>
      <c r="U88" s="153" t="e">
        <f aca="false">(($C88+V88)*$S88)+F$15</f>
        <v>#DIV/0!</v>
      </c>
      <c r="V88" s="4" t="e">
        <f aca="false">IF($F$16=1,VLOOKUP($A88,SkewTable,HLOOKUP(ROUND(W88-BK88,1),SkewTable,2,FALSE()),FALSE())/100,0)</f>
        <v>#DIV/0!</v>
      </c>
      <c r="W88" s="41" t="n">
        <f aca="false">IF($F$19=4,$BK88,$F$18)</f>
        <v>5.3983</v>
      </c>
      <c r="X88" s="136"/>
      <c r="Y88" s="40" t="n">
        <f aca="false">IF(Y$28="nymex",0,VLOOKUP($A88,curvesettle,HLOOKUP(Y$28,curvesettle,2,FALSE())))</f>
        <v>0.0225</v>
      </c>
      <c r="Z88" s="131" t="n">
        <f aca="false">IF(ISNUMBER(VLOOKUP($A88,VOLCURVES,HLOOKUP(Y$28,VOLCURVES,2,FALSE()),FALSE())),VLOOKUP($A88,VOLCURVES,HLOOKUP(Y$28,VOLCURVES,2,FALSE()),FALSE()),1)</f>
        <v>1</v>
      </c>
      <c r="AA88" s="136" t="n">
        <f aca="false">IF(Y$28="NYMEX",$AG88,$AF88)</f>
        <v>-7395</v>
      </c>
      <c r="AB88" s="4" t="e">
        <f aca="false">(($C88+AC88)*$Z88)+H$15</f>
        <v>#DIV/0!</v>
      </c>
      <c r="AC88" s="4" t="e">
        <f aca="false">IF($H$16=1,VLOOKUP($A88,SkewTable,HLOOKUP(ROUND(AD88-BV88,1),SkewTable,2,FALSE()),FALSE())/100,0)</f>
        <v>#DIV/0!</v>
      </c>
      <c r="AD88" s="41" t="n">
        <f aca="false">IF($H$19=4,$BV88,$H$18)</f>
        <v>5.4668</v>
      </c>
      <c r="AF88" s="136" t="n">
        <f aca="false">VLOOKUP($A88,expiration,2,FALSE())-$B$2</f>
        <v>-7395</v>
      </c>
      <c r="AG88" s="136" t="n">
        <f aca="false">VLOOKUP($A88,expiration,3,FALSE())-$B$2</f>
        <v>-7396</v>
      </c>
      <c r="AH88" s="4" t="n">
        <f aca="false">VLOOKUP($A88,STRADDLE,12,FALSE())</f>
        <v>0.068133106678583</v>
      </c>
      <c r="AI88" s="43" t="n">
        <f aca="false">A89-A88</f>
        <v>31</v>
      </c>
      <c r="AL88" s="136"/>
      <c r="AM88" s="9"/>
      <c r="AN88" s="9" t="n">
        <f aca="false">IF($A88&gt;=AO$25,IF($A88&lt;=AO$26,$AI88,0),0)</f>
        <v>0</v>
      </c>
      <c r="AO88" s="9" t="e">
        <f aca="false">AQ88/AN88</f>
        <v>#DIV/0!</v>
      </c>
      <c r="AP88" s="1" t="n">
        <f aca="false">AN88*($B88+B$13)</f>
        <v>0</v>
      </c>
      <c r="AQ88" s="33" t="n">
        <f aca="false">IF(ISNUMBER(((AP88/AN88)+B$14+$D88)*AN88),((AP88/AN88)+B$14+$D88)*AN88,0)</f>
        <v>0</v>
      </c>
      <c r="AR88" s="44" t="n">
        <f aca="false">IF(AN88=0,0,bsd(1,AS$27,AO88,$I88,$F88,$G88,$AH88,0.1))</f>
        <v>0</v>
      </c>
      <c r="AS88" s="44" t="n">
        <f aca="false">IF(AN88=0,0,bsd(2,AS$27,AO88,$I88,$F88,$G88,$AH88,0.1))</f>
        <v>0</v>
      </c>
      <c r="AT88" s="44" t="n">
        <f aca="false">IF(AN88=0,0,bsd(AS$28,AS$27,AO88,$I88,$F88,$G88,$AH88,0.1))</f>
        <v>0</v>
      </c>
      <c r="AU88" s="45" t="n">
        <f aca="false">AN88*AR88</f>
        <v>0</v>
      </c>
      <c r="AV88" s="45" t="n">
        <f aca="false">AN88*AS88</f>
        <v>0</v>
      </c>
      <c r="AW88" s="45" t="n">
        <f aca="false">AN88*AT88</f>
        <v>0</v>
      </c>
      <c r="AY88" s="9" t="n">
        <f aca="false">IF($A88&gt;=AZ$25,IF($A88&lt;=AZ$26,$AI88,0),0)</f>
        <v>0</v>
      </c>
      <c r="AZ88" s="9" t="e">
        <f aca="false">BB88/AY88</f>
        <v>#DIV/0!</v>
      </c>
      <c r="BA88" s="1" t="n">
        <f aca="false">AY88*($B88+D$13)</f>
        <v>0</v>
      </c>
      <c r="BB88" s="33" t="n">
        <f aca="false">IF(ISNUMBER(((BA88/AY88)+D$14+$K88)*AY88),((BA88/AY88)+D$14+$K88)*AY88,0)</f>
        <v>0</v>
      </c>
      <c r="BC88" s="44" t="n">
        <f aca="false">IF(AY88=0,0,bsd(1,BD$27,AZ88,$P88,$M88,$N88,$AH88,0.1))</f>
        <v>0</v>
      </c>
      <c r="BD88" s="44" t="n">
        <f aca="false">IF(AY88=0,0,bsd(2,BD$27,AZ88,$P88,$M88,$N88,$AH88,0.1))</f>
        <v>0</v>
      </c>
      <c r="BE88" s="44" t="n">
        <f aca="false">IF(AY88=0,0,bsd(BD$28,BD$27,AZ88,$P88,$M88,$N88,$AH88,0.1))</f>
        <v>0</v>
      </c>
      <c r="BF88" s="45" t="n">
        <f aca="false">AY88*BC88</f>
        <v>0</v>
      </c>
      <c r="BG88" s="45" t="n">
        <f aca="false">AY88*BD88</f>
        <v>0</v>
      </c>
      <c r="BH88" s="45" t="n">
        <f aca="false">AY88*BE88</f>
        <v>0</v>
      </c>
      <c r="BJ88" s="9" t="n">
        <f aca="false">IF($A88&gt;=BK$25,IF($A88&lt;=BK$26,$AI88,0),0)</f>
        <v>0</v>
      </c>
      <c r="BK88" s="9" t="e">
        <f aca="false">BM88/BJ88</f>
        <v>#DIV/0!</v>
      </c>
      <c r="BL88" s="1" t="n">
        <f aca="false">BJ88*($B88+F$13)</f>
        <v>0</v>
      </c>
      <c r="BM88" s="33" t="n">
        <f aca="false">IF(ISNUMBER(((BL88/BJ88)+F$14+$R88)*BJ88),((BL88/BJ88)+F$14+$R88)*BJ88,0)</f>
        <v>0</v>
      </c>
      <c r="BN88" s="44" t="n">
        <f aca="false">IF(BJ88=0,0,bsd(1,BO$27,BK88,$W88,$T88,$U88,$AH88,0.1))</f>
        <v>0</v>
      </c>
      <c r="BO88" s="44" t="n">
        <f aca="false">IF(BJ88=0,0,bsd(2,BO$27,BK88,$W88,$T88,$U88,$AH88,0.1))</f>
        <v>0</v>
      </c>
      <c r="BP88" s="44" t="n">
        <f aca="false">IF(BJ88=0,0,bsd(BO$28,BO$27,BK88,$W88,$T88,$U88,$AH88,0.1))</f>
        <v>0</v>
      </c>
      <c r="BQ88" s="45" t="n">
        <f aca="false">BJ88*BN88</f>
        <v>0</v>
      </c>
      <c r="BR88" s="45" t="n">
        <f aca="false">BJ88*BO88</f>
        <v>0</v>
      </c>
      <c r="BS88" s="45" t="n">
        <f aca="false">BJ88*BP88</f>
        <v>0</v>
      </c>
      <c r="BU88" s="9" t="n">
        <f aca="false">IF($A88&gt;=BV$25,IF($A88&lt;=BV$26,$AI88,0),0)</f>
        <v>0</v>
      </c>
      <c r="BV88" s="9" t="e">
        <f aca="false">BX88/BU88</f>
        <v>#DIV/0!</v>
      </c>
      <c r="BW88" s="1" t="n">
        <f aca="false">BU88*($B88+H$13)</f>
        <v>0</v>
      </c>
      <c r="BX88" s="33" t="n">
        <f aca="false">IF(ISNUMBER(((BW88/BU88)+H$14+$Y88)*BU88),((BW88/BU88)+H$14+$Y88)*BU88,0)</f>
        <v>0</v>
      </c>
      <c r="BY88" s="44" t="n">
        <f aca="false">IF(BU88=0,0,bsd(1,BZ$27,BV88,$AD88,$AA88,$AB88,$AH88,0.1))</f>
        <v>0</v>
      </c>
      <c r="BZ88" s="44" t="n">
        <f aca="false">IF(BU88=0,0,bsd(2,BZ$27,BV88,$AD88,$AA88,$AB88,$AH88,0.1))</f>
        <v>0</v>
      </c>
      <c r="CA88" s="44" t="n">
        <f aca="false">IF(BU88=0,0,bsd(BZ$28,BZ$27,BV88,$AD88,$AA88,$AB88,$AH88,0.1))</f>
        <v>0</v>
      </c>
      <c r="CB88" s="45" t="n">
        <f aca="false">BU88*BY88</f>
        <v>0</v>
      </c>
      <c r="CC88" s="45" t="n">
        <f aca="false">BU88*BZ88</f>
        <v>0</v>
      </c>
      <c r="CD88" s="45" t="n">
        <f aca="false">BU88*CA88</f>
        <v>0</v>
      </c>
    </row>
    <row r="89" customFormat="false" ht="12.75" hidden="false" customHeight="false" outlineLevel="0" collapsed="false">
      <c r="A89" s="48" t="n">
        <f aca="false">DATE(YEAR(A88),MONTH(A88)+1,1)</f>
        <v>38565</v>
      </c>
      <c r="B89" s="40" t="n">
        <f aca="false">VLOOKUP(A89,STRADDLE,5,FALSE())</f>
        <v>3.043</v>
      </c>
      <c r="C89" s="4" t="n">
        <f aca="false">VLOOKUP(A89,STRADDLE,8,FALSE())</f>
        <v>0.2325</v>
      </c>
      <c r="D89" s="40" t="n">
        <f aca="false">IF(D$28="nymex",0,VLOOKUP($A89,curvesettle,HLOOKUP(D$28,curvesettle,2,FALSE())))</f>
        <v>0.495</v>
      </c>
      <c r="E89" s="131" t="n">
        <f aca="false">IF(ISNUMBER(VLOOKUP($A89,VOLCURVES,HLOOKUP(D$28,VOLCURVES,2,FALSE()),FALSE())),VLOOKUP($A89,VOLCURVES,HLOOKUP(D$28,VOLCURVES,2,FALSE()),FALSE()),1)</f>
        <v>0.98</v>
      </c>
      <c r="F89" s="136" t="n">
        <f aca="false">IF(D$28="NYMEX",$AG89,$AF89)</f>
        <v>-7366</v>
      </c>
      <c r="G89" s="4" t="e">
        <f aca="false">(($C89+H89)*$E89)+B$15</f>
        <v>#DIV/0!</v>
      </c>
      <c r="H89" s="4" t="e">
        <f aca="false">IF($B$16=1,VLOOKUP($A89,SkewTable,HLOOKUP(ROUND(I89-AO89,1),SkewTable,2,FALSE()),FALSE())/100,0)</f>
        <v>#DIV/0!</v>
      </c>
      <c r="I89" s="41" t="n">
        <f aca="false">IF($B$19=4,$AO89,$B$18)</f>
        <v>5.05</v>
      </c>
      <c r="K89" s="40" t="n">
        <f aca="false">IF(K$28="nymex",0,VLOOKUP($A89,curvesettle,HLOOKUP(K$28,curvesettle,2,FALSE())))</f>
        <v>0.315</v>
      </c>
      <c r="L89" s="131" t="n">
        <f aca="false">IF(ISNUMBER(VLOOKUP($A89,VOLCURVES,HLOOKUP(K$28,VOLCURVES,2,FALSE()),FALSE())),VLOOKUP($A89,VOLCURVES,HLOOKUP(K$28,VOLCURVES,2,FALSE()),FALSE()),1)</f>
        <v>1</v>
      </c>
      <c r="M89" s="136" t="n">
        <f aca="false">IF(K$28="NYMEX",$AG89,$AF89)</f>
        <v>-7366</v>
      </c>
      <c r="N89" s="153" t="e">
        <f aca="false">(($C89+O89)*$L89)+D$15</f>
        <v>#DIV/0!</v>
      </c>
      <c r="O89" s="4" t="e">
        <f aca="false">IF($D$16=1,VLOOKUP($A89,SkewTable,HLOOKUP(ROUND(P89-AZ89,1),SkewTable,2,FALSE()),FALSE())/100,0)</f>
        <v>#DIV/0!</v>
      </c>
      <c r="P89" s="41" t="n">
        <f aca="false">IF($D$19=4,$AZ89,$D$18)</f>
        <v>5.1</v>
      </c>
      <c r="R89" s="40" t="n">
        <f aca="false">IF(R$28="nymex",0,VLOOKUP($A89,curvesettle,HLOOKUP(R$28,curvesettle,2,FALSE())))</f>
        <v>0.025</v>
      </c>
      <c r="S89" s="131" t="n">
        <f aca="false">IF(ISNUMBER(VLOOKUP($A89,VOLCURVES,HLOOKUP(R$28,VOLCURVES,2,FALSE()),FALSE())),VLOOKUP($A89,VOLCURVES,HLOOKUP(R$28,VOLCURVES,2,FALSE()),FALSE()),1)</f>
        <v>1</v>
      </c>
      <c r="T89" s="136" t="n">
        <f aca="false">IF(R$28="NYMEX",$AG89,$AF89)</f>
        <v>-7366</v>
      </c>
      <c r="U89" s="153" t="e">
        <f aca="false">(($C89+V89)*$S89)+F$15</f>
        <v>#DIV/0!</v>
      </c>
      <c r="V89" s="4" t="e">
        <f aca="false">IF($F$16=1,VLOOKUP($A89,SkewTable,HLOOKUP(ROUND(W89-BK89,1),SkewTable,2,FALSE()),FALSE())/100,0)</f>
        <v>#DIV/0!</v>
      </c>
      <c r="W89" s="41" t="n">
        <f aca="false">IF($F$19=4,$BK89,$F$18)</f>
        <v>5.3983</v>
      </c>
      <c r="X89" s="136"/>
      <c r="Y89" s="40" t="n">
        <f aca="false">IF(Y$28="nymex",0,VLOOKUP($A89,curvesettle,HLOOKUP(Y$28,curvesettle,2,FALSE())))</f>
        <v>0.025</v>
      </c>
      <c r="Z89" s="131" t="n">
        <f aca="false">IF(ISNUMBER(VLOOKUP($A89,VOLCURVES,HLOOKUP(Y$28,VOLCURVES,2,FALSE()),FALSE())),VLOOKUP($A89,VOLCURVES,HLOOKUP(Y$28,VOLCURVES,2,FALSE()),FALSE()),1)</f>
        <v>1</v>
      </c>
      <c r="AA89" s="136" t="n">
        <f aca="false">IF(Y$28="NYMEX",$AG89,$AF89)</f>
        <v>-7366</v>
      </c>
      <c r="AB89" s="4" t="e">
        <f aca="false">(($C89+AC89)*$Z89)+H$15</f>
        <v>#DIV/0!</v>
      </c>
      <c r="AC89" s="4" t="e">
        <f aca="false">IF($H$16=1,VLOOKUP($A89,SkewTable,HLOOKUP(ROUND(AD89-BV89,1),SkewTable,2,FALSE()),FALSE())/100,0)</f>
        <v>#DIV/0!</v>
      </c>
      <c r="AD89" s="41" t="n">
        <f aca="false">IF($H$19=4,$BV89,$H$18)</f>
        <v>5.4668</v>
      </c>
      <c r="AF89" s="136" t="n">
        <f aca="false">VLOOKUP($A89,expiration,2,FALSE())-$B$2</f>
        <v>-7366</v>
      </c>
      <c r="AG89" s="136" t="n">
        <f aca="false">VLOOKUP($A89,expiration,3,FALSE())-$B$2</f>
        <v>-7367</v>
      </c>
      <c r="AH89" s="4" t="n">
        <f aca="false">VLOOKUP($A89,STRADDLE,12,FALSE())</f>
        <v>0.068183967141829</v>
      </c>
      <c r="AI89" s="43" t="n">
        <f aca="false">A90-A89</f>
        <v>31</v>
      </c>
      <c r="AL89" s="136"/>
      <c r="AM89" s="9"/>
      <c r="AN89" s="9" t="n">
        <f aca="false">IF($A89&gt;=AO$25,IF($A89&lt;=AO$26,$AI89,0),0)</f>
        <v>0</v>
      </c>
      <c r="AO89" s="9" t="e">
        <f aca="false">AQ89/AN89</f>
        <v>#DIV/0!</v>
      </c>
      <c r="AP89" s="1" t="n">
        <f aca="false">AN89*($B89+B$13)</f>
        <v>0</v>
      </c>
      <c r="AQ89" s="33" t="n">
        <f aca="false">IF(ISNUMBER(((AP89/AN89)+B$14+$D89)*AN89),((AP89/AN89)+B$14+$D89)*AN89,0)</f>
        <v>0</v>
      </c>
      <c r="AR89" s="44" t="n">
        <f aca="false">IF(AN89=0,0,bsd(1,AS$27,AO89,$I89,$F89,$G89,$AH89,0.1))</f>
        <v>0</v>
      </c>
      <c r="AS89" s="44" t="n">
        <f aca="false">IF(AN89=0,0,bsd(2,AS$27,AO89,$I89,$F89,$G89,$AH89,0.1))</f>
        <v>0</v>
      </c>
      <c r="AT89" s="44" t="n">
        <f aca="false">IF(AN89=0,0,bsd(AS$28,AS$27,AO89,$I89,$F89,$G89,$AH89,0.1))</f>
        <v>0</v>
      </c>
      <c r="AU89" s="45" t="n">
        <f aca="false">AN89*AR89</f>
        <v>0</v>
      </c>
      <c r="AV89" s="45" t="n">
        <f aca="false">AN89*AS89</f>
        <v>0</v>
      </c>
      <c r="AW89" s="45" t="n">
        <f aca="false">AN89*AT89</f>
        <v>0</v>
      </c>
      <c r="AY89" s="9" t="n">
        <f aca="false">IF($A89&gt;=AZ$25,IF($A89&lt;=AZ$26,$AI89,0),0)</f>
        <v>0</v>
      </c>
      <c r="AZ89" s="9" t="e">
        <f aca="false">BB89/AY89</f>
        <v>#DIV/0!</v>
      </c>
      <c r="BA89" s="1" t="n">
        <f aca="false">AY89*($B89+D$13)</f>
        <v>0</v>
      </c>
      <c r="BB89" s="33" t="n">
        <f aca="false">IF(ISNUMBER(((BA89/AY89)+D$14+$K89)*AY89),((BA89/AY89)+D$14+$K89)*AY89,0)</f>
        <v>0</v>
      </c>
      <c r="BC89" s="44" t="n">
        <f aca="false">IF(AY89=0,0,bsd(1,BD$27,AZ89,$P89,$M89,$N89,$AH89,0.1))</f>
        <v>0</v>
      </c>
      <c r="BD89" s="44" t="n">
        <f aca="false">IF(AY89=0,0,bsd(2,BD$27,AZ89,$P89,$M89,$N89,$AH89,0.1))</f>
        <v>0</v>
      </c>
      <c r="BE89" s="44" t="n">
        <f aca="false">IF(AY89=0,0,bsd(BD$28,BD$27,AZ89,$P89,$M89,$N89,$AH89,0.1))</f>
        <v>0</v>
      </c>
      <c r="BF89" s="45" t="n">
        <f aca="false">AY89*BC89</f>
        <v>0</v>
      </c>
      <c r="BG89" s="45" t="n">
        <f aca="false">AY89*BD89</f>
        <v>0</v>
      </c>
      <c r="BH89" s="45" t="n">
        <f aca="false">AY89*BE89</f>
        <v>0</v>
      </c>
      <c r="BJ89" s="9" t="n">
        <f aca="false">IF($A89&gt;=BK$25,IF($A89&lt;=BK$26,$AI89,0),0)</f>
        <v>0</v>
      </c>
      <c r="BK89" s="9" t="e">
        <f aca="false">BM89/BJ89</f>
        <v>#DIV/0!</v>
      </c>
      <c r="BL89" s="1" t="n">
        <f aca="false">BJ89*($B89+F$13)</f>
        <v>0</v>
      </c>
      <c r="BM89" s="33" t="n">
        <f aca="false">IF(ISNUMBER(((BL89/BJ89)+F$14+$R89)*BJ89),((BL89/BJ89)+F$14+$R89)*BJ89,0)</f>
        <v>0</v>
      </c>
      <c r="BN89" s="44" t="n">
        <f aca="false">IF(BJ89=0,0,bsd(1,BO$27,BK89,$W89,$T89,$U89,$AH89,0.1))</f>
        <v>0</v>
      </c>
      <c r="BO89" s="44" t="n">
        <f aca="false">IF(BJ89=0,0,bsd(2,BO$27,BK89,$W89,$T89,$U89,$AH89,0.1))</f>
        <v>0</v>
      </c>
      <c r="BP89" s="44" t="n">
        <f aca="false">IF(BJ89=0,0,bsd(BO$28,BO$27,BK89,$W89,$T89,$U89,$AH89,0.1))</f>
        <v>0</v>
      </c>
      <c r="BQ89" s="45" t="n">
        <f aca="false">BJ89*BN89</f>
        <v>0</v>
      </c>
      <c r="BR89" s="45" t="n">
        <f aca="false">BJ89*BO89</f>
        <v>0</v>
      </c>
      <c r="BS89" s="45" t="n">
        <f aca="false">BJ89*BP89</f>
        <v>0</v>
      </c>
      <c r="BU89" s="9" t="n">
        <f aca="false">IF($A89&gt;=BV$25,IF($A89&lt;=BV$26,$AI89,0),0)</f>
        <v>0</v>
      </c>
      <c r="BV89" s="9" t="e">
        <f aca="false">BX89/BU89</f>
        <v>#DIV/0!</v>
      </c>
      <c r="BW89" s="1" t="n">
        <f aca="false">BU89*($B89+H$13)</f>
        <v>0</v>
      </c>
      <c r="BX89" s="33" t="n">
        <f aca="false">IF(ISNUMBER(((BW89/BU89)+H$14+$Y89)*BU89),((BW89/BU89)+H$14+$Y89)*BU89,0)</f>
        <v>0</v>
      </c>
      <c r="BY89" s="44" t="n">
        <f aca="false">IF(BU89=0,0,bsd(1,BZ$27,BV89,$AD89,$AA89,$AB89,$AH89,0.1))</f>
        <v>0</v>
      </c>
      <c r="BZ89" s="44" t="n">
        <f aca="false">IF(BU89=0,0,bsd(2,BZ$27,BV89,$AD89,$AA89,$AB89,$AH89,0.1))</f>
        <v>0</v>
      </c>
      <c r="CA89" s="44" t="n">
        <f aca="false">IF(BU89=0,0,bsd(BZ$28,BZ$27,BV89,$AD89,$AA89,$AB89,$AH89,0.1))</f>
        <v>0</v>
      </c>
      <c r="CB89" s="45" t="n">
        <f aca="false">BU89*BY89</f>
        <v>0</v>
      </c>
      <c r="CC89" s="45" t="n">
        <f aca="false">BU89*BZ89</f>
        <v>0</v>
      </c>
      <c r="CD89" s="45" t="n">
        <f aca="false">BU89*CA89</f>
        <v>0</v>
      </c>
    </row>
    <row r="90" customFormat="false" ht="12.75" hidden="false" customHeight="false" outlineLevel="0" collapsed="false">
      <c r="A90" s="48" t="n">
        <f aca="false">DATE(YEAR(A89),MONTH(A89)+1,1)</f>
        <v>38596</v>
      </c>
      <c r="B90" s="40" t="n">
        <f aca="false">VLOOKUP(A90,STRADDLE,5,FALSE())</f>
        <v>3.031</v>
      </c>
      <c r="C90" s="4" t="n">
        <f aca="false">VLOOKUP(A90,STRADDLE,8,FALSE())</f>
        <v>0.2325</v>
      </c>
      <c r="D90" s="40" t="n">
        <f aca="false">IF(D$28="nymex",0,VLOOKUP($A90,curvesettle,HLOOKUP(D$28,curvesettle,2,FALSE())))</f>
        <v>0.395</v>
      </c>
      <c r="E90" s="131" t="n">
        <f aca="false">IF(ISNUMBER(VLOOKUP($A90,VOLCURVES,HLOOKUP(D$28,VOLCURVES,2,FALSE()),FALSE())),VLOOKUP($A90,VOLCURVES,HLOOKUP(D$28,VOLCURVES,2,FALSE()),FALSE()),1)</f>
        <v>0.98</v>
      </c>
      <c r="F90" s="136" t="n">
        <f aca="false">IF(D$28="NYMEX",$AG90,$AF90)</f>
        <v>-7333</v>
      </c>
      <c r="G90" s="4" t="e">
        <f aca="false">(($C90+H90)*$E90)+B$15</f>
        <v>#DIV/0!</v>
      </c>
      <c r="H90" s="4" t="e">
        <f aca="false">IF($B$16=1,VLOOKUP($A90,SkewTable,HLOOKUP(ROUND(I90-AO90,1),SkewTable,2,FALSE()),FALSE())/100,0)</f>
        <v>#DIV/0!</v>
      </c>
      <c r="I90" s="41" t="n">
        <f aca="false">IF($B$19=4,$AO90,$B$18)</f>
        <v>5.05</v>
      </c>
      <c r="K90" s="40" t="n">
        <f aca="false">IF(K$28="nymex",0,VLOOKUP($A90,curvesettle,HLOOKUP(K$28,curvesettle,2,FALSE())))</f>
        <v>0.315</v>
      </c>
      <c r="L90" s="131" t="n">
        <f aca="false">IF(ISNUMBER(VLOOKUP($A90,VOLCURVES,HLOOKUP(K$28,VOLCURVES,2,FALSE()),FALSE())),VLOOKUP($A90,VOLCURVES,HLOOKUP(K$28,VOLCURVES,2,FALSE()),FALSE()),1)</f>
        <v>1</v>
      </c>
      <c r="M90" s="136" t="n">
        <f aca="false">IF(K$28="NYMEX",$AG90,$AF90)</f>
        <v>-7333</v>
      </c>
      <c r="N90" s="153" t="e">
        <f aca="false">(($C90+O90)*$L90)+D$15</f>
        <v>#DIV/0!</v>
      </c>
      <c r="O90" s="4" t="e">
        <f aca="false">IF($D$16=1,VLOOKUP($A90,SkewTable,HLOOKUP(ROUND(P90-AZ90,1),SkewTable,2,FALSE()),FALSE())/100,0)</f>
        <v>#DIV/0!</v>
      </c>
      <c r="P90" s="41" t="n">
        <f aca="false">IF($D$19=4,$AZ90,$D$18)</f>
        <v>5.1</v>
      </c>
      <c r="R90" s="40" t="n">
        <f aca="false">IF(R$28="nymex",0,VLOOKUP($A90,curvesettle,HLOOKUP(R$28,curvesettle,2,FALSE())))</f>
        <v>0.0175</v>
      </c>
      <c r="S90" s="131" t="n">
        <f aca="false">IF(ISNUMBER(VLOOKUP($A90,VOLCURVES,HLOOKUP(R$28,VOLCURVES,2,FALSE()),FALSE())),VLOOKUP($A90,VOLCURVES,HLOOKUP(R$28,VOLCURVES,2,FALSE()),FALSE()),1)</f>
        <v>1</v>
      </c>
      <c r="T90" s="136" t="n">
        <f aca="false">IF(R$28="NYMEX",$AG90,$AF90)</f>
        <v>-7333</v>
      </c>
      <c r="U90" s="153" t="e">
        <f aca="false">(($C90+V90)*$S90)+F$15</f>
        <v>#DIV/0!</v>
      </c>
      <c r="V90" s="4" t="e">
        <f aca="false">IF($F$16=1,VLOOKUP($A90,SkewTable,HLOOKUP(ROUND(W90-BK90,1),SkewTable,2,FALSE()),FALSE())/100,0)</f>
        <v>#DIV/0!</v>
      </c>
      <c r="W90" s="41" t="n">
        <f aca="false">IF($F$19=4,$BK90,$F$18)</f>
        <v>5.3983</v>
      </c>
      <c r="X90" s="136"/>
      <c r="Y90" s="40" t="n">
        <f aca="false">IF(Y$28="nymex",0,VLOOKUP($A90,curvesettle,HLOOKUP(Y$28,curvesettle,2,FALSE())))</f>
        <v>0.0175</v>
      </c>
      <c r="Z90" s="131" t="n">
        <f aca="false">IF(ISNUMBER(VLOOKUP($A90,VOLCURVES,HLOOKUP(Y$28,VOLCURVES,2,FALSE()),FALSE())),VLOOKUP($A90,VOLCURVES,HLOOKUP(Y$28,VOLCURVES,2,FALSE()),FALSE()),1)</f>
        <v>1</v>
      </c>
      <c r="AA90" s="136" t="n">
        <f aca="false">IF(Y$28="NYMEX",$AG90,$AF90)</f>
        <v>-7333</v>
      </c>
      <c r="AB90" s="4" t="e">
        <f aca="false">(($C90+AC90)*$Z90)+H$15</f>
        <v>#DIV/0!</v>
      </c>
      <c r="AC90" s="4" t="e">
        <f aca="false">IF($H$16=1,VLOOKUP($A90,SkewTable,HLOOKUP(ROUND(AD90-BV90,1),SkewTable,2,FALSE()),FALSE())/100,0)</f>
        <v>#DIV/0!</v>
      </c>
      <c r="AD90" s="41" t="n">
        <f aca="false">IF($H$19=4,$BV90,$H$18)</f>
        <v>5.4668</v>
      </c>
      <c r="AF90" s="136" t="n">
        <f aca="false">VLOOKUP($A90,expiration,2,FALSE())-$B$2</f>
        <v>-7333</v>
      </c>
      <c r="AG90" s="136" t="n">
        <f aca="false">VLOOKUP($A90,expiration,3,FALSE())-$B$2</f>
        <v>-7336</v>
      </c>
      <c r="AH90" s="4" t="n">
        <f aca="false">VLOOKUP($A90,STRADDLE,12,FALSE())</f>
        <v>0.068234827605931</v>
      </c>
      <c r="AI90" s="43" t="n">
        <f aca="false">A91-A90</f>
        <v>30</v>
      </c>
      <c r="AL90" s="136"/>
      <c r="AM90" s="9"/>
      <c r="AN90" s="9" t="n">
        <f aca="false">IF($A90&gt;=AO$25,IF($A90&lt;=AO$26,$AI90,0),0)</f>
        <v>0</v>
      </c>
      <c r="AO90" s="9" t="e">
        <f aca="false">AQ90/AN90</f>
        <v>#DIV/0!</v>
      </c>
      <c r="AP90" s="1" t="n">
        <f aca="false">AN90*($B90+B$13)</f>
        <v>0</v>
      </c>
      <c r="AQ90" s="33" t="n">
        <f aca="false">IF(ISNUMBER(((AP90/AN90)+B$14+$D90)*AN90),((AP90/AN90)+B$14+$D90)*AN90,0)</f>
        <v>0</v>
      </c>
      <c r="AR90" s="44" t="n">
        <f aca="false">IF(AN90=0,0,bsd(1,AS$27,AO90,$I90,$F90,$G90,$AH90,0.1))</f>
        <v>0</v>
      </c>
      <c r="AS90" s="44" t="n">
        <f aca="false">IF(AN90=0,0,bsd(2,AS$27,AO90,$I90,$F90,$G90,$AH90,0.1))</f>
        <v>0</v>
      </c>
      <c r="AT90" s="44" t="n">
        <f aca="false">IF(AN90=0,0,bsd(AS$28,AS$27,AO90,$I90,$F90,$G90,$AH90,0.1))</f>
        <v>0</v>
      </c>
      <c r="AU90" s="45" t="n">
        <f aca="false">AN90*AR90</f>
        <v>0</v>
      </c>
      <c r="AV90" s="45" t="n">
        <f aca="false">AN90*AS90</f>
        <v>0</v>
      </c>
      <c r="AW90" s="45" t="n">
        <f aca="false">AN90*AT90</f>
        <v>0</v>
      </c>
      <c r="AY90" s="9" t="n">
        <f aca="false">IF($A90&gt;=AZ$25,IF($A90&lt;=AZ$26,$AI90,0),0)</f>
        <v>0</v>
      </c>
      <c r="AZ90" s="9" t="e">
        <f aca="false">BB90/AY90</f>
        <v>#DIV/0!</v>
      </c>
      <c r="BA90" s="1" t="n">
        <f aca="false">AY90*($B90+D$13)</f>
        <v>0</v>
      </c>
      <c r="BB90" s="33" t="n">
        <f aca="false">IF(ISNUMBER(((BA90/AY90)+D$14+$K90)*AY90),((BA90/AY90)+D$14+$K90)*AY90,0)</f>
        <v>0</v>
      </c>
      <c r="BC90" s="44" t="n">
        <f aca="false">IF(AY90=0,0,bsd(1,BD$27,AZ90,$P90,$M90,$N90,$AH90,0.1))</f>
        <v>0</v>
      </c>
      <c r="BD90" s="44" t="n">
        <f aca="false">IF(AY90=0,0,bsd(2,BD$27,AZ90,$P90,$M90,$N90,$AH90,0.1))</f>
        <v>0</v>
      </c>
      <c r="BE90" s="44" t="n">
        <f aca="false">IF(AY90=0,0,bsd(BD$28,BD$27,AZ90,$P90,$M90,$N90,$AH90,0.1))</f>
        <v>0</v>
      </c>
      <c r="BF90" s="45" t="n">
        <f aca="false">AY90*BC90</f>
        <v>0</v>
      </c>
      <c r="BG90" s="45" t="n">
        <f aca="false">AY90*BD90</f>
        <v>0</v>
      </c>
      <c r="BH90" s="45" t="n">
        <f aca="false">AY90*BE90</f>
        <v>0</v>
      </c>
      <c r="BJ90" s="9" t="n">
        <f aca="false">IF($A90&gt;=BK$25,IF($A90&lt;=BK$26,$AI90,0),0)</f>
        <v>0</v>
      </c>
      <c r="BK90" s="9" t="e">
        <f aca="false">BM90/BJ90</f>
        <v>#DIV/0!</v>
      </c>
      <c r="BL90" s="1" t="n">
        <f aca="false">BJ90*($B90+F$13)</f>
        <v>0</v>
      </c>
      <c r="BM90" s="33" t="n">
        <f aca="false">IF(ISNUMBER(((BL90/BJ90)+F$14+$R90)*BJ90),((BL90/BJ90)+F$14+$R90)*BJ90,0)</f>
        <v>0</v>
      </c>
      <c r="BN90" s="44" t="n">
        <f aca="false">IF(BJ90=0,0,bsd(1,BO$27,BK90,$W90,$T90,$U90,$AH90,0.1))</f>
        <v>0</v>
      </c>
      <c r="BO90" s="44" t="n">
        <f aca="false">IF(BJ90=0,0,bsd(2,BO$27,BK90,$W90,$T90,$U90,$AH90,0.1))</f>
        <v>0</v>
      </c>
      <c r="BP90" s="44" t="n">
        <f aca="false">IF(BJ90=0,0,bsd(BO$28,BO$27,BK90,$W90,$T90,$U90,$AH90,0.1))</f>
        <v>0</v>
      </c>
      <c r="BQ90" s="45" t="n">
        <f aca="false">BJ90*BN90</f>
        <v>0</v>
      </c>
      <c r="BR90" s="45" t="n">
        <f aca="false">BJ90*BO90</f>
        <v>0</v>
      </c>
      <c r="BS90" s="45" t="n">
        <f aca="false">BJ90*BP90</f>
        <v>0</v>
      </c>
      <c r="BU90" s="9" t="n">
        <f aca="false">IF($A90&gt;=BV$25,IF($A90&lt;=BV$26,$AI90,0),0)</f>
        <v>0</v>
      </c>
      <c r="BV90" s="9" t="e">
        <f aca="false">BX90/BU90</f>
        <v>#DIV/0!</v>
      </c>
      <c r="BW90" s="1" t="n">
        <f aca="false">BU90*($B90+H$13)</f>
        <v>0</v>
      </c>
      <c r="BX90" s="33" t="n">
        <f aca="false">IF(ISNUMBER(((BW90/BU90)+H$14+$Y90)*BU90),((BW90/BU90)+H$14+$Y90)*BU90,0)</f>
        <v>0</v>
      </c>
      <c r="BY90" s="44" t="n">
        <f aca="false">IF(BU90=0,0,bsd(1,BZ$27,BV90,$AD90,$AA90,$AB90,$AH90,0.1))</f>
        <v>0</v>
      </c>
      <c r="BZ90" s="44" t="n">
        <f aca="false">IF(BU90=0,0,bsd(2,BZ$27,BV90,$AD90,$AA90,$AB90,$AH90,0.1))</f>
        <v>0</v>
      </c>
      <c r="CA90" s="44" t="n">
        <f aca="false">IF(BU90=0,0,bsd(BZ$28,BZ$27,BV90,$AD90,$AA90,$AB90,$AH90,0.1))</f>
        <v>0</v>
      </c>
      <c r="CB90" s="45" t="n">
        <f aca="false">BU90*BY90</f>
        <v>0</v>
      </c>
      <c r="CC90" s="45" t="n">
        <f aca="false">BU90*BZ90</f>
        <v>0</v>
      </c>
      <c r="CD90" s="45" t="n">
        <f aca="false">BU90*CA90</f>
        <v>0</v>
      </c>
    </row>
    <row r="91" customFormat="false" ht="12.75" hidden="false" customHeight="false" outlineLevel="0" collapsed="false">
      <c r="A91" s="48" t="n">
        <f aca="false">DATE(YEAR(A90),MONTH(A90)+1,1)</f>
        <v>38626</v>
      </c>
      <c r="B91" s="40" t="n">
        <f aca="false">VLOOKUP(A91,STRADDLE,5,FALSE())</f>
        <v>3.052</v>
      </c>
      <c r="C91" s="4" t="n">
        <f aca="false">VLOOKUP(A91,STRADDLE,8,FALSE())</f>
        <v>0.2325</v>
      </c>
      <c r="D91" s="40" t="n">
        <f aca="false">IF(D$28="nymex",0,VLOOKUP($A91,curvesettle,HLOOKUP(D$28,curvesettle,2,FALSE())))</f>
        <v>0.461</v>
      </c>
      <c r="E91" s="131" t="n">
        <f aca="false">IF(ISNUMBER(VLOOKUP($A91,VOLCURVES,HLOOKUP(D$28,VOLCURVES,2,FALSE()),FALSE())),VLOOKUP($A91,VOLCURVES,HLOOKUP(D$28,VOLCURVES,2,FALSE()),FALSE()),1)</f>
        <v>0.98</v>
      </c>
      <c r="F91" s="136" t="n">
        <f aca="false">IF(D$28="NYMEX",$AG91,$AF91)</f>
        <v>-7303</v>
      </c>
      <c r="G91" s="4" t="e">
        <f aca="false">(($C91+H91)*$E91)+B$15</f>
        <v>#DIV/0!</v>
      </c>
      <c r="H91" s="4" t="e">
        <f aca="false">IF($B$16=1,VLOOKUP($A91,SkewTable,HLOOKUP(ROUND(I91-AO91,1),SkewTable,2,FALSE()),FALSE())/100,0)</f>
        <v>#DIV/0!</v>
      </c>
      <c r="I91" s="41" t="n">
        <f aca="false">IF($B$19=4,$AO91,$B$18)</f>
        <v>5.05</v>
      </c>
      <c r="K91" s="40" t="n">
        <f aca="false">IF(K$28="nymex",0,VLOOKUP($A91,curvesettle,HLOOKUP(K$28,curvesettle,2,FALSE())))</f>
        <v>0.315</v>
      </c>
      <c r="L91" s="131" t="n">
        <f aca="false">IF(ISNUMBER(VLOOKUP($A91,VOLCURVES,HLOOKUP(K$28,VOLCURVES,2,FALSE()),FALSE())),VLOOKUP($A91,VOLCURVES,HLOOKUP(K$28,VOLCURVES,2,FALSE()),FALSE()),1)</f>
        <v>1</v>
      </c>
      <c r="M91" s="136" t="n">
        <f aca="false">IF(K$28="NYMEX",$AG91,$AF91)</f>
        <v>-7303</v>
      </c>
      <c r="N91" s="153" t="e">
        <f aca="false">(($C91+O91)*$L91)+D$15</f>
        <v>#DIV/0!</v>
      </c>
      <c r="O91" s="4" t="e">
        <f aca="false">IF($D$16=1,VLOOKUP($A91,SkewTable,HLOOKUP(ROUND(P91-AZ91,1),SkewTable,2,FALSE()),FALSE())/100,0)</f>
        <v>#DIV/0!</v>
      </c>
      <c r="P91" s="41" t="n">
        <f aca="false">IF($D$19=4,$AZ91,$D$18)</f>
        <v>5.1</v>
      </c>
      <c r="R91" s="40" t="n">
        <f aca="false">IF(R$28="nymex",0,VLOOKUP($A91,curvesettle,HLOOKUP(R$28,curvesettle,2,FALSE())))</f>
        <v>0.0075</v>
      </c>
      <c r="S91" s="131" t="n">
        <f aca="false">IF(ISNUMBER(VLOOKUP($A91,VOLCURVES,HLOOKUP(R$28,VOLCURVES,2,FALSE()),FALSE())),VLOOKUP($A91,VOLCURVES,HLOOKUP(R$28,VOLCURVES,2,FALSE()),FALSE()),1)</f>
        <v>1</v>
      </c>
      <c r="T91" s="136" t="n">
        <f aca="false">IF(R$28="NYMEX",$AG91,$AF91)</f>
        <v>-7303</v>
      </c>
      <c r="U91" s="153" t="e">
        <f aca="false">(($C91+V91)*$S91)+F$15</f>
        <v>#DIV/0!</v>
      </c>
      <c r="V91" s="4" t="e">
        <f aca="false">IF($F$16=1,VLOOKUP($A91,SkewTable,HLOOKUP(ROUND(W91-BK91,1),SkewTable,2,FALSE()),FALSE())/100,0)</f>
        <v>#DIV/0!</v>
      </c>
      <c r="W91" s="41" t="n">
        <f aca="false">IF($F$19=4,$BK91,$F$18)</f>
        <v>5.3983</v>
      </c>
      <c r="X91" s="136"/>
      <c r="Y91" s="40" t="n">
        <f aca="false">IF(Y$28="nymex",0,VLOOKUP($A91,curvesettle,HLOOKUP(Y$28,curvesettle,2,FALSE())))</f>
        <v>0.0075</v>
      </c>
      <c r="Z91" s="131" t="n">
        <f aca="false">IF(ISNUMBER(VLOOKUP($A91,VOLCURVES,HLOOKUP(Y$28,VOLCURVES,2,FALSE()),FALSE())),VLOOKUP($A91,VOLCURVES,HLOOKUP(Y$28,VOLCURVES,2,FALSE()),FALSE()),1)</f>
        <v>1</v>
      </c>
      <c r="AA91" s="136" t="n">
        <f aca="false">IF(Y$28="NYMEX",$AG91,$AF91)</f>
        <v>-7303</v>
      </c>
      <c r="AB91" s="4" t="e">
        <f aca="false">(($C91+AC91)*$Z91)+H$15</f>
        <v>#DIV/0!</v>
      </c>
      <c r="AC91" s="4" t="e">
        <f aca="false">IF($H$16=1,VLOOKUP($A91,SkewTable,HLOOKUP(ROUND(AD91-BV91,1),SkewTable,2,FALSE()),FALSE())/100,0)</f>
        <v>#DIV/0!</v>
      </c>
      <c r="AD91" s="41" t="n">
        <f aca="false">IF($H$19=4,$BV91,$H$18)</f>
        <v>5.4668</v>
      </c>
      <c r="AF91" s="136" t="n">
        <f aca="false">VLOOKUP($A91,expiration,2,FALSE())-$B$2</f>
        <v>-7303</v>
      </c>
      <c r="AG91" s="136" t="n">
        <f aca="false">VLOOKUP($A91,expiration,3,FALSE())-$B$2</f>
        <v>-7304</v>
      </c>
      <c r="AH91" s="4" t="n">
        <f aca="false">VLOOKUP($A91,STRADDLE,12,FALSE())</f>
        <v>0.068284220896026</v>
      </c>
      <c r="AI91" s="43" t="n">
        <f aca="false">A92-A91</f>
        <v>31</v>
      </c>
      <c r="AL91" s="136"/>
      <c r="AM91" s="9"/>
      <c r="AN91" s="9" t="n">
        <f aca="false">IF($A91&gt;=AO$25,IF($A91&lt;=AO$26,$AI91,0),0)</f>
        <v>0</v>
      </c>
      <c r="AO91" s="9" t="e">
        <f aca="false">AQ91/AN91</f>
        <v>#DIV/0!</v>
      </c>
      <c r="AP91" s="1" t="n">
        <f aca="false">AN91*($B91+B$13)</f>
        <v>0</v>
      </c>
      <c r="AQ91" s="33" t="n">
        <f aca="false">IF(ISNUMBER(((AP91/AN91)+B$14+$D91)*AN91),((AP91/AN91)+B$14+$D91)*AN91,0)</f>
        <v>0</v>
      </c>
      <c r="AR91" s="44" t="n">
        <f aca="false">IF(AN91=0,0,bsd(1,AS$27,AO91,$I91,$F91,$G91,$AH91,0.1))</f>
        <v>0</v>
      </c>
      <c r="AS91" s="44" t="n">
        <f aca="false">IF(AN91=0,0,bsd(2,AS$27,AO91,$I91,$F91,$G91,$AH91,0.1))</f>
        <v>0</v>
      </c>
      <c r="AT91" s="44" t="n">
        <f aca="false">IF(AN91=0,0,bsd(AS$28,AS$27,AO91,$I91,$F91,$G91,$AH91,0.1))</f>
        <v>0</v>
      </c>
      <c r="AU91" s="45" t="n">
        <f aca="false">AN91*AR91</f>
        <v>0</v>
      </c>
      <c r="AV91" s="45" t="n">
        <f aca="false">AN91*AS91</f>
        <v>0</v>
      </c>
      <c r="AW91" s="45" t="n">
        <f aca="false">AN91*AT91</f>
        <v>0</v>
      </c>
      <c r="AY91" s="9" t="n">
        <f aca="false">IF($A91&gt;=AZ$25,IF($A91&lt;=AZ$26,$AI91,0),0)</f>
        <v>0</v>
      </c>
      <c r="AZ91" s="9" t="e">
        <f aca="false">BB91/AY91</f>
        <v>#DIV/0!</v>
      </c>
      <c r="BA91" s="1" t="n">
        <f aca="false">AY91*($B91+D$13)</f>
        <v>0</v>
      </c>
      <c r="BB91" s="33" t="n">
        <f aca="false">IF(ISNUMBER(((BA91/AY91)+D$14+$K91)*AY91),((BA91/AY91)+D$14+$K91)*AY91,0)</f>
        <v>0</v>
      </c>
      <c r="BC91" s="44" t="n">
        <f aca="false">IF(AY91=0,0,bsd(1,BD$27,AZ91,$P91,$M91,$N91,$AH91,0.1))</f>
        <v>0</v>
      </c>
      <c r="BD91" s="44" t="n">
        <f aca="false">IF(AY91=0,0,bsd(2,BD$27,AZ91,$P91,$M91,$N91,$AH91,0.1))</f>
        <v>0</v>
      </c>
      <c r="BE91" s="44" t="n">
        <f aca="false">IF(AY91=0,0,bsd(BD$28,BD$27,AZ91,$P91,$M91,$N91,$AH91,0.1))</f>
        <v>0</v>
      </c>
      <c r="BF91" s="45" t="n">
        <f aca="false">AY91*BC91</f>
        <v>0</v>
      </c>
      <c r="BG91" s="45" t="n">
        <f aca="false">AY91*BD91</f>
        <v>0</v>
      </c>
      <c r="BH91" s="45" t="n">
        <f aca="false">AY91*BE91</f>
        <v>0</v>
      </c>
      <c r="BJ91" s="9" t="n">
        <f aca="false">IF($A91&gt;=BK$25,IF($A91&lt;=BK$26,$AI91,0),0)</f>
        <v>0</v>
      </c>
      <c r="BK91" s="9" t="e">
        <f aca="false">BM91/BJ91</f>
        <v>#DIV/0!</v>
      </c>
      <c r="BL91" s="1" t="n">
        <f aca="false">BJ91*($B91+F$13)</f>
        <v>0</v>
      </c>
      <c r="BM91" s="33" t="n">
        <f aca="false">IF(ISNUMBER(((BL91/BJ91)+F$14+$R91)*BJ91),((BL91/BJ91)+F$14+$R91)*BJ91,0)</f>
        <v>0</v>
      </c>
      <c r="BN91" s="44" t="n">
        <f aca="false">IF(BJ91=0,0,bsd(1,BO$27,BK91,$W91,$T91,$U91,$AH91,0.1))</f>
        <v>0</v>
      </c>
      <c r="BO91" s="44" t="n">
        <f aca="false">IF(BJ91=0,0,bsd(2,BO$27,BK91,$W91,$T91,$U91,$AH91,0.1))</f>
        <v>0</v>
      </c>
      <c r="BP91" s="44" t="n">
        <f aca="false">IF(BJ91=0,0,bsd(BO$28,BO$27,BK91,$W91,$T91,$U91,$AH91,0.1))</f>
        <v>0</v>
      </c>
      <c r="BQ91" s="45" t="n">
        <f aca="false">BJ91*BN91</f>
        <v>0</v>
      </c>
      <c r="BR91" s="45" t="n">
        <f aca="false">BJ91*BO91</f>
        <v>0</v>
      </c>
      <c r="BS91" s="45" t="n">
        <f aca="false">BJ91*BP91</f>
        <v>0</v>
      </c>
      <c r="BU91" s="9" t="n">
        <f aca="false">IF($A91&gt;=BV$25,IF($A91&lt;=BV$26,$AI91,0),0)</f>
        <v>0</v>
      </c>
      <c r="BV91" s="9" t="e">
        <f aca="false">BX91/BU91</f>
        <v>#DIV/0!</v>
      </c>
      <c r="BW91" s="1" t="n">
        <f aca="false">BU91*($B91+H$13)</f>
        <v>0</v>
      </c>
      <c r="BX91" s="33" t="n">
        <f aca="false">IF(ISNUMBER(((BW91/BU91)+H$14+$Y91)*BU91),((BW91/BU91)+H$14+$Y91)*BU91,0)</f>
        <v>0</v>
      </c>
      <c r="BY91" s="44" t="n">
        <f aca="false">IF(BU91=0,0,bsd(1,BZ$27,BV91,$AD91,$AA91,$AB91,$AH91,0.1))</f>
        <v>0</v>
      </c>
      <c r="BZ91" s="44" t="n">
        <f aca="false">IF(BU91=0,0,bsd(2,BZ$27,BV91,$AD91,$AA91,$AB91,$AH91,0.1))</f>
        <v>0</v>
      </c>
      <c r="CA91" s="44" t="n">
        <f aca="false">IF(BU91=0,0,bsd(BZ$28,BZ$27,BV91,$AD91,$AA91,$AB91,$AH91,0.1))</f>
        <v>0</v>
      </c>
      <c r="CB91" s="45" t="n">
        <f aca="false">BU91*BY91</f>
        <v>0</v>
      </c>
      <c r="CC91" s="45" t="n">
        <f aca="false">BU91*BZ91</f>
        <v>0</v>
      </c>
      <c r="CD91" s="45" t="n">
        <f aca="false">BU91*CA91</f>
        <v>0</v>
      </c>
    </row>
    <row r="92" customFormat="false" ht="12.75" hidden="false" customHeight="false" outlineLevel="0" collapsed="false">
      <c r="A92" s="48" t="n">
        <f aca="false">DATE(YEAR(A91),MONTH(A91)+1,1)</f>
        <v>38657</v>
      </c>
      <c r="B92" s="40" t="n">
        <f aca="false">VLOOKUP(A92,STRADDLE,5,FALSE())</f>
        <v>3.134</v>
      </c>
      <c r="C92" s="4" t="n">
        <f aca="false">VLOOKUP(A92,STRADDLE,8,FALSE())</f>
        <v>0.2325</v>
      </c>
      <c r="D92" s="40" t="n">
        <f aca="false">IF(D$28="nymex",0,VLOOKUP($A92,curvesettle,HLOOKUP(D$28,curvesettle,2,FALSE())))</f>
        <v>0.885</v>
      </c>
      <c r="E92" s="131" t="n">
        <f aca="false">IF(ISNUMBER(VLOOKUP($A92,VOLCURVES,HLOOKUP(D$28,VOLCURVES,2,FALSE()),FALSE())),VLOOKUP($A92,VOLCURVES,HLOOKUP(D$28,VOLCURVES,2,FALSE()),FALSE()),1)</f>
        <v>1.1</v>
      </c>
      <c r="F92" s="136" t="n">
        <f aca="false">IF(D$28="NYMEX",$AG92,$AF92)</f>
        <v>-7274</v>
      </c>
      <c r="G92" s="4" t="e">
        <f aca="false">(($C92+H92)*$E92)+B$15</f>
        <v>#DIV/0!</v>
      </c>
      <c r="H92" s="4" t="e">
        <f aca="false">IF($B$16=1,VLOOKUP($A92,SkewTable,HLOOKUP(ROUND(I92-AO92,1),SkewTable,2,FALSE()),FALSE())/100,0)</f>
        <v>#DIV/0!</v>
      </c>
      <c r="I92" s="41" t="n">
        <f aca="false">IF($B$19=4,$AO92,$B$18)</f>
        <v>5.05</v>
      </c>
      <c r="K92" s="40" t="n">
        <f aca="false">IF(K$28="nymex",0,VLOOKUP($A92,curvesettle,HLOOKUP(K$28,curvesettle,2,FALSE())))</f>
        <v>0.14</v>
      </c>
      <c r="L92" s="131" t="n">
        <f aca="false">IF(ISNUMBER(VLOOKUP($A92,VOLCURVES,HLOOKUP(K$28,VOLCURVES,2,FALSE()),FALSE())),VLOOKUP($A92,VOLCURVES,HLOOKUP(K$28,VOLCURVES,2,FALSE()),FALSE()),1)</f>
        <v>1</v>
      </c>
      <c r="M92" s="136" t="n">
        <f aca="false">IF(K$28="NYMEX",$AG92,$AF92)</f>
        <v>-7274</v>
      </c>
      <c r="N92" s="153" t="e">
        <f aca="false">(($C92+O92)*$L92)+D$15</f>
        <v>#DIV/0!</v>
      </c>
      <c r="O92" s="4" t="e">
        <f aca="false">IF($D$16=1,VLOOKUP($A92,SkewTable,HLOOKUP(ROUND(P92-AZ92,1),SkewTable,2,FALSE()),FALSE())/100,0)</f>
        <v>#DIV/0!</v>
      </c>
      <c r="P92" s="41" t="n">
        <f aca="false">IF($D$19=4,$AZ92,$D$18)</f>
        <v>5.1</v>
      </c>
      <c r="R92" s="40" t="n">
        <f aca="false">IF(R$28="nymex",0,VLOOKUP($A92,curvesettle,HLOOKUP(R$28,curvesettle,2,FALSE())))</f>
        <v>-0.0325</v>
      </c>
      <c r="S92" s="131" t="n">
        <f aca="false">IF(ISNUMBER(VLOOKUP($A92,VOLCURVES,HLOOKUP(R$28,VOLCURVES,2,FALSE()),FALSE())),VLOOKUP($A92,VOLCURVES,HLOOKUP(R$28,VOLCURVES,2,FALSE()),FALSE()),1)</f>
        <v>1</v>
      </c>
      <c r="T92" s="136" t="n">
        <f aca="false">IF(R$28="NYMEX",$AG92,$AF92)</f>
        <v>-7274</v>
      </c>
      <c r="U92" s="153" t="e">
        <f aca="false">(($C92+V92)*$S92)+F$15</f>
        <v>#DIV/0!</v>
      </c>
      <c r="V92" s="4" t="e">
        <f aca="false">IF($F$16=1,VLOOKUP($A92,SkewTable,HLOOKUP(ROUND(W92-BK92,1),SkewTable,2,FALSE()),FALSE())/100,0)</f>
        <v>#DIV/0!</v>
      </c>
      <c r="W92" s="41" t="n">
        <f aca="false">IF($F$19=4,$BK92,$F$18)</f>
        <v>5.3983</v>
      </c>
      <c r="X92" s="136"/>
      <c r="Y92" s="40" t="n">
        <f aca="false">IF(Y$28="nymex",0,VLOOKUP($A92,curvesettle,HLOOKUP(Y$28,curvesettle,2,FALSE())))</f>
        <v>-0.0325</v>
      </c>
      <c r="Z92" s="131" t="n">
        <f aca="false">IF(ISNUMBER(VLOOKUP($A92,VOLCURVES,HLOOKUP(Y$28,VOLCURVES,2,FALSE()),FALSE())),VLOOKUP($A92,VOLCURVES,HLOOKUP(Y$28,VOLCURVES,2,FALSE()),FALSE()),1)</f>
        <v>1</v>
      </c>
      <c r="AA92" s="136" t="n">
        <f aca="false">IF(Y$28="NYMEX",$AG92,$AF92)</f>
        <v>-7274</v>
      </c>
      <c r="AB92" s="4" t="e">
        <f aca="false">(($C92+AC92)*$Z92)+H$15</f>
        <v>#DIV/0!</v>
      </c>
      <c r="AC92" s="4" t="e">
        <f aca="false">IF($H$16=1,VLOOKUP($A92,SkewTable,HLOOKUP(ROUND(AD92-BV92,1),SkewTable,2,FALSE()),FALSE())/100,0)</f>
        <v>#DIV/0!</v>
      </c>
      <c r="AD92" s="41" t="n">
        <f aca="false">IF($H$19=4,$BV92,$H$18)</f>
        <v>5.4668</v>
      </c>
      <c r="AF92" s="136" t="n">
        <f aca="false">VLOOKUP($A92,expiration,2,FALSE())-$B$2</f>
        <v>-7274</v>
      </c>
      <c r="AG92" s="136" t="n">
        <f aca="false">VLOOKUP($A92,expiration,3,FALSE())-$B$2</f>
        <v>-7275</v>
      </c>
      <c r="AH92" s="4" t="n">
        <f aca="false">VLOOKUP($A92,STRADDLE,12,FALSE())</f>
        <v>0.068335570274971</v>
      </c>
      <c r="AI92" s="43" t="n">
        <f aca="false">A93-A92</f>
        <v>30</v>
      </c>
      <c r="AL92" s="136"/>
      <c r="AM92" s="9"/>
      <c r="AN92" s="9" t="n">
        <f aca="false">IF($A92&gt;=AO$25,IF($A92&lt;=AO$26,$AI92,0),0)</f>
        <v>0</v>
      </c>
      <c r="AO92" s="9" t="e">
        <f aca="false">AQ92/AN92</f>
        <v>#DIV/0!</v>
      </c>
      <c r="AP92" s="1" t="n">
        <f aca="false">AN92*($B92+B$13)</f>
        <v>0</v>
      </c>
      <c r="AQ92" s="33" t="n">
        <f aca="false">IF(ISNUMBER(((AP92/AN92)+B$14+$D92)*AN92),((AP92/AN92)+B$14+$D92)*AN92,0)</f>
        <v>0</v>
      </c>
      <c r="AR92" s="44" t="n">
        <f aca="false">IF(AN92=0,0,bsd(1,AS$27,AO92,$I92,$F92,$G92,$AH92,0.1))</f>
        <v>0</v>
      </c>
      <c r="AS92" s="44" t="n">
        <f aca="false">IF(AN92=0,0,bsd(2,AS$27,AO92,$I92,$F92,$G92,$AH92,0.1))</f>
        <v>0</v>
      </c>
      <c r="AT92" s="44" t="n">
        <f aca="false">IF(AN92=0,0,bsd(AS$28,AS$27,AO92,$I92,$F92,$G92,$AH92,0.1))</f>
        <v>0</v>
      </c>
      <c r="AU92" s="45" t="n">
        <f aca="false">AN92*AR92</f>
        <v>0</v>
      </c>
      <c r="AV92" s="45" t="n">
        <f aca="false">AN92*AS92</f>
        <v>0</v>
      </c>
      <c r="AW92" s="45" t="n">
        <f aca="false">AN92*AT92</f>
        <v>0</v>
      </c>
      <c r="AY92" s="9" t="n">
        <f aca="false">IF($A92&gt;=AZ$25,IF($A92&lt;=AZ$26,$AI92,0),0)</f>
        <v>0</v>
      </c>
      <c r="AZ92" s="9" t="e">
        <f aca="false">BB92/AY92</f>
        <v>#DIV/0!</v>
      </c>
      <c r="BA92" s="1" t="n">
        <f aca="false">AY92*($B92+D$13)</f>
        <v>0</v>
      </c>
      <c r="BB92" s="33" t="n">
        <f aca="false">IF(ISNUMBER(((BA92/AY92)+D$14+$K92)*AY92),((BA92/AY92)+D$14+$K92)*AY92,0)</f>
        <v>0</v>
      </c>
      <c r="BC92" s="44" t="n">
        <f aca="false">IF(AY92=0,0,bsd(1,BD$27,AZ92,$P92,$M92,$N92,$AH92,0.1))</f>
        <v>0</v>
      </c>
      <c r="BD92" s="44" t="n">
        <f aca="false">IF(AY92=0,0,bsd(2,BD$27,AZ92,$P92,$M92,$N92,$AH92,0.1))</f>
        <v>0</v>
      </c>
      <c r="BE92" s="44" t="n">
        <f aca="false">IF(AY92=0,0,bsd(BD$28,BD$27,AZ92,$P92,$M92,$N92,$AH92,0.1))</f>
        <v>0</v>
      </c>
      <c r="BF92" s="45" t="n">
        <f aca="false">AY92*BC92</f>
        <v>0</v>
      </c>
      <c r="BG92" s="45" t="n">
        <f aca="false">AY92*BD92</f>
        <v>0</v>
      </c>
      <c r="BH92" s="45" t="n">
        <f aca="false">AY92*BE92</f>
        <v>0</v>
      </c>
      <c r="BJ92" s="9" t="n">
        <f aca="false">IF($A92&gt;=BK$25,IF($A92&lt;=BK$26,$AI92,0),0)</f>
        <v>0</v>
      </c>
      <c r="BK92" s="9" t="e">
        <f aca="false">BM92/BJ92</f>
        <v>#DIV/0!</v>
      </c>
      <c r="BL92" s="1" t="n">
        <f aca="false">BJ92*($B92+F$13)</f>
        <v>0</v>
      </c>
      <c r="BM92" s="33" t="n">
        <f aca="false">IF(ISNUMBER(((BL92/BJ92)+F$14+$R92)*BJ92),((BL92/BJ92)+F$14+$R92)*BJ92,0)</f>
        <v>0</v>
      </c>
      <c r="BN92" s="44" t="n">
        <f aca="false">IF(BJ92=0,0,bsd(1,BO$27,BK92,$W92,$T92,$U92,$AH92,0.1))</f>
        <v>0</v>
      </c>
      <c r="BO92" s="44" t="n">
        <f aca="false">IF(BJ92=0,0,bsd(2,BO$27,BK92,$W92,$T92,$U92,$AH92,0.1))</f>
        <v>0</v>
      </c>
      <c r="BP92" s="44" t="n">
        <f aca="false">IF(BJ92=0,0,bsd(BO$28,BO$27,BK92,$W92,$T92,$U92,$AH92,0.1))</f>
        <v>0</v>
      </c>
      <c r="BQ92" s="45" t="n">
        <f aca="false">BJ92*BN92</f>
        <v>0</v>
      </c>
      <c r="BR92" s="45" t="n">
        <f aca="false">BJ92*BO92</f>
        <v>0</v>
      </c>
      <c r="BS92" s="45" t="n">
        <f aca="false">BJ92*BP92</f>
        <v>0</v>
      </c>
      <c r="BU92" s="9" t="n">
        <f aca="false">IF($A92&gt;=BV$25,IF($A92&lt;=BV$26,$AI92,0),0)</f>
        <v>0</v>
      </c>
      <c r="BV92" s="9" t="e">
        <f aca="false">BX92/BU92</f>
        <v>#DIV/0!</v>
      </c>
      <c r="BW92" s="1" t="n">
        <f aca="false">BU92*($B92+H$13)</f>
        <v>0</v>
      </c>
      <c r="BX92" s="33" t="n">
        <f aca="false">IF(ISNUMBER(((BW92/BU92)+H$14+$Y92)*BU92),((BW92/BU92)+H$14+$Y92)*BU92,0)</f>
        <v>0</v>
      </c>
      <c r="BY92" s="44" t="n">
        <f aca="false">IF(BU92=0,0,bsd(1,BZ$27,BV92,$AD92,$AA92,$AB92,$AH92,0.1))</f>
        <v>0</v>
      </c>
      <c r="BZ92" s="44" t="n">
        <f aca="false">IF(BU92=0,0,bsd(2,BZ$27,BV92,$AD92,$AA92,$AB92,$AH92,0.1))</f>
        <v>0</v>
      </c>
      <c r="CA92" s="44" t="n">
        <f aca="false">IF(BU92=0,0,bsd(BZ$28,BZ$27,BV92,$AD92,$AA92,$AB92,$AH92,0.1))</f>
        <v>0</v>
      </c>
      <c r="CB92" s="45" t="n">
        <f aca="false">BU92*BY92</f>
        <v>0</v>
      </c>
      <c r="CC92" s="45" t="n">
        <f aca="false">BU92*BZ92</f>
        <v>0</v>
      </c>
      <c r="CD92" s="45" t="n">
        <f aca="false">BU92*CA92</f>
        <v>0</v>
      </c>
    </row>
    <row r="93" customFormat="false" ht="12.75" hidden="false" customHeight="false" outlineLevel="0" collapsed="false">
      <c r="A93" s="48" t="n">
        <f aca="false">DATE(YEAR(A92),MONTH(A92)+1,1)</f>
        <v>38687</v>
      </c>
      <c r="B93" s="40" t="n">
        <f aca="false">VLOOKUP(A93,STRADDLE,5,FALSE())</f>
        <v>3.204</v>
      </c>
      <c r="C93" s="4" t="n">
        <f aca="false">VLOOKUP(A93,STRADDLE,8,FALSE())</f>
        <v>0.235</v>
      </c>
      <c r="D93" s="40" t="n">
        <f aca="false">IF(D$28="nymex",0,VLOOKUP($A93,curvesettle,HLOOKUP(D$28,curvesettle,2,FALSE())))</f>
        <v>1.31</v>
      </c>
      <c r="E93" s="131" t="n">
        <f aca="false">IF(ISNUMBER(VLOOKUP($A93,VOLCURVES,HLOOKUP(D$28,VOLCURVES,2,FALSE()),FALSE())),VLOOKUP($A93,VOLCURVES,HLOOKUP(D$28,VOLCURVES,2,FALSE()),FALSE()),1)</f>
        <v>1.1</v>
      </c>
      <c r="F93" s="136" t="n">
        <f aca="false">IF(D$28="NYMEX",$AG93,$AF93)</f>
        <v>-7242</v>
      </c>
      <c r="G93" s="4" t="e">
        <f aca="false">(($C93+H93)*$E93)+B$15</f>
        <v>#DIV/0!</v>
      </c>
      <c r="H93" s="4" t="e">
        <f aca="false">IF($B$16=1,VLOOKUP($A93,SkewTable,HLOOKUP(ROUND(I93-AO93,1),SkewTable,2,FALSE()),FALSE())/100,0)</f>
        <v>#DIV/0!</v>
      </c>
      <c r="I93" s="41" t="n">
        <f aca="false">IF($B$19=4,$AO93,$B$18)</f>
        <v>5.05</v>
      </c>
      <c r="K93" s="40" t="n">
        <f aca="false">IF(K$28="nymex",0,VLOOKUP($A93,curvesettle,HLOOKUP(K$28,curvesettle,2,FALSE())))</f>
        <v>0.14</v>
      </c>
      <c r="L93" s="131" t="n">
        <f aca="false">IF(ISNUMBER(VLOOKUP($A93,VOLCURVES,HLOOKUP(K$28,VOLCURVES,2,FALSE()),FALSE())),VLOOKUP($A93,VOLCURVES,HLOOKUP(K$28,VOLCURVES,2,FALSE()),FALSE()),1)</f>
        <v>1</v>
      </c>
      <c r="M93" s="136" t="n">
        <f aca="false">IF(K$28="NYMEX",$AG93,$AF93)</f>
        <v>-7242</v>
      </c>
      <c r="N93" s="153" t="e">
        <f aca="false">(($C93+O93)*$L93)+D$15</f>
        <v>#DIV/0!</v>
      </c>
      <c r="O93" s="4" t="e">
        <f aca="false">IF($D$16=1,VLOOKUP($A93,SkewTable,HLOOKUP(ROUND(P93-AZ93,1),SkewTable,2,FALSE()),FALSE())/100,0)</f>
        <v>#DIV/0!</v>
      </c>
      <c r="P93" s="41" t="n">
        <f aca="false">IF($D$19=4,$AZ93,$D$18)</f>
        <v>5.1</v>
      </c>
      <c r="R93" s="40" t="n">
        <f aca="false">IF(R$28="nymex",0,VLOOKUP($A93,curvesettle,HLOOKUP(R$28,curvesettle,2,FALSE())))</f>
        <v>-0.055</v>
      </c>
      <c r="S93" s="131" t="n">
        <f aca="false">IF(ISNUMBER(VLOOKUP($A93,VOLCURVES,HLOOKUP(R$28,VOLCURVES,2,FALSE()),FALSE())),VLOOKUP($A93,VOLCURVES,HLOOKUP(R$28,VOLCURVES,2,FALSE()),FALSE()),1)</f>
        <v>1</v>
      </c>
      <c r="T93" s="136" t="n">
        <f aca="false">IF(R$28="NYMEX",$AG93,$AF93)</f>
        <v>-7242</v>
      </c>
      <c r="U93" s="153" t="e">
        <f aca="false">(($C93+V93)*$S93)+F$15</f>
        <v>#DIV/0!</v>
      </c>
      <c r="V93" s="4" t="e">
        <f aca="false">IF($F$16=1,VLOOKUP($A93,SkewTable,HLOOKUP(ROUND(W93-BK93,1),SkewTable,2,FALSE()),FALSE())/100,0)</f>
        <v>#DIV/0!</v>
      </c>
      <c r="W93" s="41" t="n">
        <f aca="false">IF($F$19=4,$BK93,$F$18)</f>
        <v>5.3983</v>
      </c>
      <c r="X93" s="136"/>
      <c r="Y93" s="40" t="n">
        <f aca="false">IF(Y$28="nymex",0,VLOOKUP($A93,curvesettle,HLOOKUP(Y$28,curvesettle,2,FALSE())))</f>
        <v>-0.055</v>
      </c>
      <c r="Z93" s="131" t="n">
        <f aca="false">IF(ISNUMBER(VLOOKUP($A93,VOLCURVES,HLOOKUP(Y$28,VOLCURVES,2,FALSE()),FALSE())),VLOOKUP($A93,VOLCURVES,HLOOKUP(Y$28,VOLCURVES,2,FALSE()),FALSE()),1)</f>
        <v>1</v>
      </c>
      <c r="AA93" s="136" t="n">
        <f aca="false">IF(Y$28="NYMEX",$AG93,$AF93)</f>
        <v>-7242</v>
      </c>
      <c r="AB93" s="4" t="e">
        <f aca="false">(($C93+AC93)*$Z93)+H$15</f>
        <v>#DIV/0!</v>
      </c>
      <c r="AC93" s="4" t="e">
        <f aca="false">IF($H$16=1,VLOOKUP($A93,SkewTable,HLOOKUP(ROUND(AD93-BV93,1),SkewTable,2,FALSE()),FALSE())/100,0)</f>
        <v>#DIV/0!</v>
      </c>
      <c r="AD93" s="41" t="n">
        <f aca="false">IF($H$19=4,$BV93,$H$18)</f>
        <v>5.4668</v>
      </c>
      <c r="AF93" s="136" t="n">
        <f aca="false">VLOOKUP($A93,expiration,2,FALSE())-$B$2</f>
        <v>-7242</v>
      </c>
      <c r="AG93" s="136" t="n">
        <f aca="false">VLOOKUP($A93,expiration,3,FALSE())-$B$2</f>
        <v>-7245</v>
      </c>
      <c r="AH93" s="4" t="n">
        <f aca="false">VLOOKUP($A93,STRADDLE,12,FALSE())</f>
        <v>0.068385263223168</v>
      </c>
      <c r="AI93" s="43" t="n">
        <f aca="false">A94-A93</f>
        <v>31</v>
      </c>
      <c r="AL93" s="136"/>
      <c r="AM93" s="9"/>
      <c r="AN93" s="9" t="n">
        <f aca="false">IF($A93&gt;=AO$25,IF($A93&lt;=AO$26,$AI93,0),0)</f>
        <v>0</v>
      </c>
      <c r="AO93" s="9" t="e">
        <f aca="false">AQ93/AN93</f>
        <v>#DIV/0!</v>
      </c>
      <c r="AP93" s="1" t="n">
        <f aca="false">AN93*($B93+B$13)</f>
        <v>0</v>
      </c>
      <c r="AQ93" s="33" t="n">
        <f aca="false">IF(ISNUMBER(((AP93/AN93)+B$14+$D93)*AN93),((AP93/AN93)+B$14+$D93)*AN93,0)</f>
        <v>0</v>
      </c>
      <c r="AR93" s="44" t="n">
        <f aca="false">IF(AN93=0,0,bsd(1,AS$27,AO93,$I93,$F93,$G93,$AH93,0.1))</f>
        <v>0</v>
      </c>
      <c r="AS93" s="44" t="n">
        <f aca="false">IF(AN93=0,0,bsd(2,AS$27,AO93,$I93,$F93,$G93,$AH93,0.1))</f>
        <v>0</v>
      </c>
      <c r="AT93" s="44" t="n">
        <f aca="false">IF(AN93=0,0,bsd(AS$28,AS$27,AO93,$I93,$F93,$G93,$AH93,0.1))</f>
        <v>0</v>
      </c>
      <c r="AU93" s="45" t="n">
        <f aca="false">AN93*AR93</f>
        <v>0</v>
      </c>
      <c r="AV93" s="45" t="n">
        <f aca="false">AN93*AS93</f>
        <v>0</v>
      </c>
      <c r="AW93" s="45" t="n">
        <f aca="false">AN93*AT93</f>
        <v>0</v>
      </c>
      <c r="AY93" s="9" t="n">
        <f aca="false">IF($A93&gt;=AZ$25,IF($A93&lt;=AZ$26,$AI93,0),0)</f>
        <v>0</v>
      </c>
      <c r="AZ93" s="9" t="e">
        <f aca="false">BB93/AY93</f>
        <v>#DIV/0!</v>
      </c>
      <c r="BA93" s="1" t="n">
        <f aca="false">AY93*($B93+D$13)</f>
        <v>0</v>
      </c>
      <c r="BB93" s="33" t="n">
        <f aca="false">IF(ISNUMBER(((BA93/AY93)+D$14+$K93)*AY93),((BA93/AY93)+D$14+$K93)*AY93,0)</f>
        <v>0</v>
      </c>
      <c r="BC93" s="44" t="n">
        <f aca="false">IF(AY93=0,0,bsd(1,BD$27,AZ93,$P93,$M93,$N93,$AH93,0.1))</f>
        <v>0</v>
      </c>
      <c r="BD93" s="44" t="n">
        <f aca="false">IF(AY93=0,0,bsd(2,BD$27,AZ93,$P93,$M93,$N93,$AH93,0.1))</f>
        <v>0</v>
      </c>
      <c r="BE93" s="44" t="n">
        <f aca="false">IF(AY93=0,0,bsd(BD$28,BD$27,AZ93,$P93,$M93,$N93,$AH93,0.1))</f>
        <v>0</v>
      </c>
      <c r="BF93" s="45" t="n">
        <f aca="false">AY93*BC93</f>
        <v>0</v>
      </c>
      <c r="BG93" s="45" t="n">
        <f aca="false">AY93*BD93</f>
        <v>0</v>
      </c>
      <c r="BH93" s="45" t="n">
        <f aca="false">AY93*BE93</f>
        <v>0</v>
      </c>
      <c r="BJ93" s="9" t="n">
        <f aca="false">IF($A93&gt;=BK$25,IF($A93&lt;=BK$26,$AI93,0),0)</f>
        <v>0</v>
      </c>
      <c r="BK93" s="9" t="e">
        <f aca="false">BM93/BJ93</f>
        <v>#DIV/0!</v>
      </c>
      <c r="BL93" s="1" t="n">
        <f aca="false">BJ93*($B93+F$13)</f>
        <v>0</v>
      </c>
      <c r="BM93" s="33" t="n">
        <f aca="false">IF(ISNUMBER(((BL93/BJ93)+F$14+$R93)*BJ93),((BL93/BJ93)+F$14+$R93)*BJ93,0)</f>
        <v>0</v>
      </c>
      <c r="BN93" s="44" t="n">
        <f aca="false">IF(BJ93=0,0,bsd(1,BO$27,BK93,$W93,$T93,$U93,$AH93,0.1))</f>
        <v>0</v>
      </c>
      <c r="BO93" s="44" t="n">
        <f aca="false">IF(BJ93=0,0,bsd(2,BO$27,BK93,$W93,$T93,$U93,$AH93,0.1))</f>
        <v>0</v>
      </c>
      <c r="BP93" s="44" t="n">
        <f aca="false">IF(BJ93=0,0,bsd(BO$28,BO$27,BK93,$W93,$T93,$U93,$AH93,0.1))</f>
        <v>0</v>
      </c>
      <c r="BQ93" s="45" t="n">
        <f aca="false">BJ93*BN93</f>
        <v>0</v>
      </c>
      <c r="BR93" s="45" t="n">
        <f aca="false">BJ93*BO93</f>
        <v>0</v>
      </c>
      <c r="BS93" s="45" t="n">
        <f aca="false">BJ93*BP93</f>
        <v>0</v>
      </c>
      <c r="BU93" s="9" t="n">
        <f aca="false">IF($A93&gt;=BV$25,IF($A93&lt;=BV$26,$AI93,0),0)</f>
        <v>0</v>
      </c>
      <c r="BV93" s="9" t="e">
        <f aca="false">BX93/BU93</f>
        <v>#DIV/0!</v>
      </c>
      <c r="BW93" s="1" t="n">
        <f aca="false">BU93*($B93+H$13)</f>
        <v>0</v>
      </c>
      <c r="BX93" s="33" t="n">
        <f aca="false">IF(ISNUMBER(((BW93/BU93)+H$14+$Y93)*BU93),((BW93/BU93)+H$14+$Y93)*BU93,0)</f>
        <v>0</v>
      </c>
      <c r="BY93" s="44" t="n">
        <f aca="false">IF(BU93=0,0,bsd(1,BZ$27,BV93,$AD93,$AA93,$AB93,$AH93,0.1))</f>
        <v>0</v>
      </c>
      <c r="BZ93" s="44" t="n">
        <f aca="false">IF(BU93=0,0,bsd(2,BZ$27,BV93,$AD93,$AA93,$AB93,$AH93,0.1))</f>
        <v>0</v>
      </c>
      <c r="CA93" s="44" t="n">
        <f aca="false">IF(BU93=0,0,bsd(BZ$28,BZ$27,BV93,$AD93,$AA93,$AB93,$AH93,0.1))</f>
        <v>0</v>
      </c>
      <c r="CB93" s="45" t="n">
        <f aca="false">BU93*BY93</f>
        <v>0</v>
      </c>
      <c r="CC93" s="45" t="n">
        <f aca="false">BU93*BZ93</f>
        <v>0</v>
      </c>
      <c r="CD93" s="45" t="n">
        <f aca="false">BU93*CA93</f>
        <v>0</v>
      </c>
    </row>
    <row r="94" customFormat="false" ht="12.75" hidden="false" customHeight="false" outlineLevel="0" collapsed="false">
      <c r="A94" s="48" t="n">
        <f aca="false">DATE(YEAR(A93),MONTH(A93)+1,1)</f>
        <v>38718</v>
      </c>
      <c r="B94" s="40" t="n">
        <f aca="false">VLOOKUP(A94,STRADDLE,5,FALSE())</f>
        <v>3.558</v>
      </c>
      <c r="C94" s="4" t="n">
        <f aca="false">VLOOKUP(A94,STRADDLE,8,FALSE())</f>
        <v>0.235</v>
      </c>
      <c r="D94" s="40" t="n">
        <f aca="false">IF(D$28="nymex",0,VLOOKUP($A94,curvesettle,HLOOKUP(D$28,curvesettle,2,FALSE())))</f>
        <v>1.645</v>
      </c>
      <c r="E94" s="131" t="n">
        <f aca="false">IF(ISNUMBER(VLOOKUP($A94,VOLCURVES,HLOOKUP(D$28,VOLCURVES,2,FALSE()),FALSE())),VLOOKUP($A94,VOLCURVES,HLOOKUP(D$28,VOLCURVES,2,FALSE()),FALSE()),1)</f>
        <v>1.1</v>
      </c>
      <c r="F94" s="136" t="n">
        <f aca="false">IF(D$28="NYMEX",$AG94,$AF94)</f>
        <v>-7212</v>
      </c>
      <c r="G94" s="4" t="e">
        <f aca="false">(($C94+H94)*$E94)+B$15</f>
        <v>#DIV/0!</v>
      </c>
      <c r="H94" s="4" t="e">
        <f aca="false">IF($B$16=1,VLOOKUP($A94,SkewTable,HLOOKUP(ROUND(I94-AO94,1),SkewTable,2,FALSE()),FALSE())/100,0)</f>
        <v>#DIV/0!</v>
      </c>
      <c r="I94" s="41" t="n">
        <f aca="false">IF($B$19=4,$AO94,$B$18)</f>
        <v>5.05</v>
      </c>
      <c r="K94" s="40" t="n">
        <f aca="false">IF(K$28="nymex",0,VLOOKUP($A94,curvesettle,HLOOKUP(K$28,curvesettle,2,FALSE())))</f>
        <v>0.14</v>
      </c>
      <c r="L94" s="131" t="n">
        <f aca="false">IF(ISNUMBER(VLOOKUP($A94,VOLCURVES,HLOOKUP(K$28,VOLCURVES,2,FALSE()),FALSE())),VLOOKUP($A94,VOLCURVES,HLOOKUP(K$28,VOLCURVES,2,FALSE()),FALSE()),1)</f>
        <v>1</v>
      </c>
      <c r="M94" s="136" t="n">
        <f aca="false">IF(K$28="NYMEX",$AG94,$AF94)</f>
        <v>-7212</v>
      </c>
      <c r="N94" s="153" t="e">
        <f aca="false">(($C94+O94)*$L94)+D$15</f>
        <v>#DIV/0!</v>
      </c>
      <c r="O94" s="4" t="e">
        <f aca="false">IF($D$16=1,VLOOKUP($A94,SkewTable,HLOOKUP(ROUND(P94-AZ94,1),SkewTable,2,FALSE()),FALSE())/100,0)</f>
        <v>#DIV/0!</v>
      </c>
      <c r="P94" s="41" t="n">
        <f aca="false">IF($D$19=4,$AZ94,$D$18)</f>
        <v>5.1</v>
      </c>
      <c r="R94" s="40" t="n">
        <f aca="false">IF(R$28="nymex",0,VLOOKUP($A94,curvesettle,HLOOKUP(R$28,curvesettle,2,FALSE())))</f>
        <v>-0.0575</v>
      </c>
      <c r="S94" s="131" t="n">
        <f aca="false">IF(ISNUMBER(VLOOKUP($A94,VOLCURVES,HLOOKUP(R$28,VOLCURVES,2,FALSE()),FALSE())),VLOOKUP($A94,VOLCURVES,HLOOKUP(R$28,VOLCURVES,2,FALSE()),FALSE()),1)</f>
        <v>1</v>
      </c>
      <c r="T94" s="136" t="n">
        <f aca="false">IF(R$28="NYMEX",$AG94,$AF94)</f>
        <v>-7212</v>
      </c>
      <c r="U94" s="153" t="e">
        <f aca="false">(($C94+V94)*$S94)+F$15</f>
        <v>#DIV/0!</v>
      </c>
      <c r="V94" s="4" t="e">
        <f aca="false">IF($F$16=1,VLOOKUP($A94,SkewTable,HLOOKUP(ROUND(W94-BK94,1),SkewTable,2,FALSE()),FALSE())/100,0)</f>
        <v>#DIV/0!</v>
      </c>
      <c r="W94" s="41" t="n">
        <f aca="false">IF($F$19=4,$BK94,$F$18)</f>
        <v>5.3983</v>
      </c>
      <c r="X94" s="136"/>
      <c r="Y94" s="40" t="n">
        <f aca="false">IF(Y$28="nymex",0,VLOOKUP($A94,curvesettle,HLOOKUP(Y$28,curvesettle,2,FALSE())))</f>
        <v>-0.0575</v>
      </c>
      <c r="Z94" s="131" t="n">
        <f aca="false">IF(ISNUMBER(VLOOKUP($A94,VOLCURVES,HLOOKUP(Y$28,VOLCURVES,2,FALSE()),FALSE())),VLOOKUP($A94,VOLCURVES,HLOOKUP(Y$28,VOLCURVES,2,FALSE()),FALSE()),1)</f>
        <v>1</v>
      </c>
      <c r="AA94" s="136" t="n">
        <f aca="false">IF(Y$28="NYMEX",$AG94,$AF94)</f>
        <v>-7212</v>
      </c>
      <c r="AB94" s="4" t="e">
        <f aca="false">(($C94+AC94)*$Z94)+H$15</f>
        <v>#DIV/0!</v>
      </c>
      <c r="AC94" s="4" t="e">
        <f aca="false">IF($H$16=1,VLOOKUP($A94,SkewTable,HLOOKUP(ROUND(AD94-BV94,1),SkewTable,2,FALSE()),FALSE())/100,0)</f>
        <v>#DIV/0!</v>
      </c>
      <c r="AD94" s="41" t="n">
        <f aca="false">IF($H$19=4,$BV94,$H$18)</f>
        <v>5.4668</v>
      </c>
      <c r="AF94" s="136" t="n">
        <f aca="false">VLOOKUP($A94,expiration,2,FALSE())-$B$2</f>
        <v>-7212</v>
      </c>
      <c r="AG94" s="136" t="n">
        <f aca="false">VLOOKUP($A94,expiration,3,FALSE())-$B$2</f>
        <v>-7213</v>
      </c>
      <c r="AH94" s="4" t="n">
        <f aca="false">VLOOKUP($A94,STRADDLE,12,FALSE())</f>
        <v>0.06843661260383</v>
      </c>
      <c r="AI94" s="43" t="n">
        <f aca="false">A95-A94</f>
        <v>31</v>
      </c>
      <c r="AL94" s="136"/>
      <c r="AM94" s="9"/>
      <c r="AN94" s="9" t="n">
        <f aca="false">IF($A94&gt;=AO$25,IF($A94&lt;=AO$26,$AI94,0),0)</f>
        <v>0</v>
      </c>
      <c r="AO94" s="9" t="e">
        <f aca="false">AQ94/AN94</f>
        <v>#DIV/0!</v>
      </c>
      <c r="AP94" s="1" t="n">
        <f aca="false">AN94*($B94+B$13)</f>
        <v>0</v>
      </c>
      <c r="AQ94" s="33" t="n">
        <f aca="false">IF(ISNUMBER(((AP94/AN94)+B$14+$D94)*AN94),((AP94/AN94)+B$14+$D94)*AN94,0)</f>
        <v>0</v>
      </c>
      <c r="AR94" s="44" t="n">
        <f aca="false">IF(AN94=0,0,bsd(1,AS$27,AO94,$I94,$F94,$G94,$AH94,0.1))</f>
        <v>0</v>
      </c>
      <c r="AS94" s="44" t="n">
        <f aca="false">IF(AN94=0,0,bsd(2,AS$27,AO94,$I94,$F94,$G94,$AH94,0.1))</f>
        <v>0</v>
      </c>
      <c r="AT94" s="44" t="n">
        <f aca="false">IF(AN94=0,0,bsd(AS$28,AS$27,AO94,$I94,$F94,$G94,$AH94,0.1))</f>
        <v>0</v>
      </c>
      <c r="AU94" s="45" t="n">
        <f aca="false">AN94*AR94</f>
        <v>0</v>
      </c>
      <c r="AV94" s="45" t="n">
        <f aca="false">AN94*AS94</f>
        <v>0</v>
      </c>
      <c r="AW94" s="45" t="n">
        <f aca="false">AN94*AT94</f>
        <v>0</v>
      </c>
      <c r="AY94" s="9" t="n">
        <f aca="false">IF($A94&gt;=AZ$25,IF($A94&lt;=AZ$26,$AI94,0),0)</f>
        <v>0</v>
      </c>
      <c r="AZ94" s="9" t="e">
        <f aca="false">BB94/AY94</f>
        <v>#DIV/0!</v>
      </c>
      <c r="BA94" s="1" t="n">
        <f aca="false">AY94*($B94+D$13)</f>
        <v>0</v>
      </c>
      <c r="BB94" s="33" t="n">
        <f aca="false">IF(ISNUMBER(((BA94/AY94)+D$14+$K94)*AY94),((BA94/AY94)+D$14+$K94)*AY94,0)</f>
        <v>0</v>
      </c>
      <c r="BC94" s="44" t="n">
        <f aca="false">IF(AY94=0,0,bsd(1,BD$27,AZ94,$P94,$M94,$N94,$AH94,0.1))</f>
        <v>0</v>
      </c>
      <c r="BD94" s="44" t="n">
        <f aca="false">IF(AY94=0,0,bsd(2,BD$27,AZ94,$P94,$M94,$N94,$AH94,0.1))</f>
        <v>0</v>
      </c>
      <c r="BE94" s="44" t="n">
        <f aca="false">IF(AY94=0,0,bsd(BD$28,BD$27,AZ94,$P94,$M94,$N94,$AH94,0.1))</f>
        <v>0</v>
      </c>
      <c r="BF94" s="45" t="n">
        <f aca="false">AY94*BC94</f>
        <v>0</v>
      </c>
      <c r="BG94" s="45" t="n">
        <f aca="false">AY94*BD94</f>
        <v>0</v>
      </c>
      <c r="BH94" s="45" t="n">
        <f aca="false">AY94*BE94</f>
        <v>0</v>
      </c>
      <c r="BJ94" s="9" t="n">
        <f aca="false">IF($A94&gt;=BK$25,IF($A94&lt;=BK$26,$AI94,0),0)</f>
        <v>0</v>
      </c>
      <c r="BK94" s="9" t="e">
        <f aca="false">BM94/BJ94</f>
        <v>#DIV/0!</v>
      </c>
      <c r="BL94" s="1" t="n">
        <f aca="false">BJ94*($B94+F$13)</f>
        <v>0</v>
      </c>
      <c r="BM94" s="33" t="n">
        <f aca="false">IF(ISNUMBER(((BL94/BJ94)+F$14+$R94)*BJ94),((BL94/BJ94)+F$14+$R94)*BJ94,0)</f>
        <v>0</v>
      </c>
      <c r="BN94" s="44" t="n">
        <f aca="false">IF(BJ94=0,0,bsd(1,BO$27,BK94,$W94,$T94,$U94,$AH94,0.1))</f>
        <v>0</v>
      </c>
      <c r="BO94" s="44" t="n">
        <f aca="false">IF(BJ94=0,0,bsd(2,BO$27,BK94,$W94,$T94,$U94,$AH94,0.1))</f>
        <v>0</v>
      </c>
      <c r="BP94" s="44" t="n">
        <f aca="false">IF(BJ94=0,0,bsd(BO$28,BO$27,BK94,$W94,$T94,$U94,$AH94,0.1))</f>
        <v>0</v>
      </c>
      <c r="BQ94" s="45" t="n">
        <f aca="false">BJ94*BN94</f>
        <v>0</v>
      </c>
      <c r="BR94" s="45" t="n">
        <f aca="false">BJ94*BO94</f>
        <v>0</v>
      </c>
      <c r="BS94" s="45" t="n">
        <f aca="false">BJ94*BP94</f>
        <v>0</v>
      </c>
      <c r="BU94" s="9" t="n">
        <f aca="false">IF($A94&gt;=BV$25,IF($A94&lt;=BV$26,$AI94,0),0)</f>
        <v>0</v>
      </c>
      <c r="BV94" s="9" t="e">
        <f aca="false">BX94/BU94</f>
        <v>#DIV/0!</v>
      </c>
      <c r="BW94" s="1" t="n">
        <f aca="false">BU94*($B94+H$13)</f>
        <v>0</v>
      </c>
      <c r="BX94" s="33" t="n">
        <f aca="false">IF(ISNUMBER(((BW94/BU94)+H$14+$Y94)*BU94),((BW94/BU94)+H$14+$Y94)*BU94,0)</f>
        <v>0</v>
      </c>
      <c r="BY94" s="44" t="n">
        <f aca="false">IF(BU94=0,0,bsd(1,BZ$27,BV94,$AD94,$AA94,$AB94,$AH94,0.1))</f>
        <v>0</v>
      </c>
      <c r="BZ94" s="44" t="n">
        <f aca="false">IF(BU94=0,0,bsd(2,BZ$27,BV94,$AD94,$AA94,$AB94,$AH94,0.1))</f>
        <v>0</v>
      </c>
      <c r="CA94" s="44" t="n">
        <f aca="false">IF(BU94=0,0,bsd(BZ$28,BZ$27,BV94,$AD94,$AA94,$AB94,$AH94,0.1))</f>
        <v>0</v>
      </c>
      <c r="CB94" s="45" t="n">
        <f aca="false">BU94*BY94</f>
        <v>0</v>
      </c>
      <c r="CC94" s="45" t="n">
        <f aca="false">BU94*BZ94</f>
        <v>0</v>
      </c>
      <c r="CD94" s="45" t="n">
        <f aca="false">BU94*CA94</f>
        <v>0</v>
      </c>
    </row>
    <row r="95" customFormat="false" ht="12.75" hidden="false" customHeight="false" outlineLevel="0" collapsed="false">
      <c r="A95" s="48" t="n">
        <f aca="false">DATE(YEAR(A94),MONTH(A94)+1,1)</f>
        <v>38749</v>
      </c>
      <c r="B95" s="40" t="n">
        <f aca="false">VLOOKUP(A95,STRADDLE,5,FALSE())</f>
        <v>3.408</v>
      </c>
      <c r="C95" s="4" t="n">
        <f aca="false">VLOOKUP(A95,STRADDLE,8,FALSE())</f>
        <v>0.2325</v>
      </c>
      <c r="D95" s="40" t="n">
        <f aca="false">IF(D$28="nymex",0,VLOOKUP($A95,curvesettle,HLOOKUP(D$28,curvesettle,2,FALSE())))</f>
        <v>1.595</v>
      </c>
      <c r="E95" s="131" t="n">
        <f aca="false">IF(ISNUMBER(VLOOKUP($A95,VOLCURVES,HLOOKUP(D$28,VOLCURVES,2,FALSE()),FALSE())),VLOOKUP($A95,VOLCURVES,HLOOKUP(D$28,VOLCURVES,2,FALSE()),FALSE()),1)</f>
        <v>1.1</v>
      </c>
      <c r="F95" s="136" t="n">
        <f aca="false">IF(D$28="NYMEX",$AG95,$AF95)</f>
        <v>-7182</v>
      </c>
      <c r="G95" s="4" t="e">
        <f aca="false">(($C95+H95)*$E95)+B$15</f>
        <v>#DIV/0!</v>
      </c>
      <c r="H95" s="4" t="e">
        <f aca="false">IF($B$16=1,VLOOKUP($A95,SkewTable,HLOOKUP(ROUND(I95-AO95,1),SkewTable,2,FALSE()),FALSE())/100,0)</f>
        <v>#DIV/0!</v>
      </c>
      <c r="I95" s="41" t="n">
        <f aca="false">IF($B$19=4,$AO95,$B$18)</f>
        <v>5.05</v>
      </c>
      <c r="K95" s="40" t="n">
        <f aca="false">IF(K$28="nymex",0,VLOOKUP($A95,curvesettle,HLOOKUP(K$28,curvesettle,2,FALSE())))</f>
        <v>0.14</v>
      </c>
      <c r="L95" s="131" t="n">
        <f aca="false">IF(ISNUMBER(VLOOKUP($A95,VOLCURVES,HLOOKUP(K$28,VOLCURVES,2,FALSE()),FALSE())),VLOOKUP($A95,VOLCURVES,HLOOKUP(K$28,VOLCURVES,2,FALSE()),FALSE()),1)</f>
        <v>1</v>
      </c>
      <c r="M95" s="136" t="n">
        <f aca="false">IF(K$28="NYMEX",$AG95,$AF95)</f>
        <v>-7182</v>
      </c>
      <c r="N95" s="153" t="e">
        <f aca="false">(($C95+O95)*$L95)+D$15</f>
        <v>#DIV/0!</v>
      </c>
      <c r="O95" s="4" t="e">
        <f aca="false">IF($D$16=1,VLOOKUP($A95,SkewTable,HLOOKUP(ROUND(P95-AZ95,1),SkewTable,2,FALSE()),FALSE())/100,0)</f>
        <v>#DIV/0!</v>
      </c>
      <c r="P95" s="41" t="n">
        <f aca="false">IF($D$19=4,$AZ95,$D$18)</f>
        <v>5.1</v>
      </c>
      <c r="R95" s="40" t="n">
        <f aca="false">IF(R$28="nymex",0,VLOOKUP($A95,curvesettle,HLOOKUP(R$28,curvesettle,2,FALSE())))</f>
        <v>-0.04</v>
      </c>
      <c r="S95" s="131" t="n">
        <f aca="false">IF(ISNUMBER(VLOOKUP($A95,VOLCURVES,HLOOKUP(R$28,VOLCURVES,2,FALSE()),FALSE())),VLOOKUP($A95,VOLCURVES,HLOOKUP(R$28,VOLCURVES,2,FALSE()),FALSE()),1)</f>
        <v>1</v>
      </c>
      <c r="T95" s="136" t="n">
        <f aca="false">IF(R$28="NYMEX",$AG95,$AF95)</f>
        <v>-7182</v>
      </c>
      <c r="U95" s="153" t="e">
        <f aca="false">(($C95+V95)*$S95)+F$15</f>
        <v>#DIV/0!</v>
      </c>
      <c r="V95" s="4" t="e">
        <f aca="false">IF($F$16=1,VLOOKUP($A95,SkewTable,HLOOKUP(ROUND(W95-BK95,1),SkewTable,2,FALSE()),FALSE())/100,0)</f>
        <v>#DIV/0!</v>
      </c>
      <c r="W95" s="41" t="n">
        <f aca="false">IF($F$19=4,$BK95,$F$18)</f>
        <v>5.3983</v>
      </c>
      <c r="X95" s="136"/>
      <c r="Y95" s="40" t="n">
        <f aca="false">IF(Y$28="nymex",0,VLOOKUP($A95,curvesettle,HLOOKUP(Y$28,curvesettle,2,FALSE())))</f>
        <v>-0.04</v>
      </c>
      <c r="Z95" s="131" t="n">
        <f aca="false">IF(ISNUMBER(VLOOKUP($A95,VOLCURVES,HLOOKUP(Y$28,VOLCURVES,2,FALSE()),FALSE())),VLOOKUP($A95,VOLCURVES,HLOOKUP(Y$28,VOLCURVES,2,FALSE()),FALSE()),1)</f>
        <v>1</v>
      </c>
      <c r="AA95" s="136" t="n">
        <f aca="false">IF(Y$28="NYMEX",$AG95,$AF95)</f>
        <v>-7182</v>
      </c>
      <c r="AB95" s="4" t="e">
        <f aca="false">(($C95+AC95)*$Z95)+H$15</f>
        <v>#DIV/0!</v>
      </c>
      <c r="AC95" s="4" t="e">
        <f aca="false">IF($H$16=1,VLOOKUP($A95,SkewTable,HLOOKUP(ROUND(AD95-BV95,1),SkewTable,2,FALSE()),FALSE())/100,0)</f>
        <v>#DIV/0!</v>
      </c>
      <c r="AD95" s="41" t="n">
        <f aca="false">IF($H$19=4,$BV95,$H$18)</f>
        <v>5.4668</v>
      </c>
      <c r="AF95" s="136" t="n">
        <f aca="false">VLOOKUP($A95,expiration,2,FALSE())-$B$2</f>
        <v>-7182</v>
      </c>
      <c r="AG95" s="136" t="n">
        <f aca="false">VLOOKUP($A95,expiration,3,FALSE())-$B$2</f>
        <v>-7183</v>
      </c>
      <c r="AH95" s="4" t="n">
        <f aca="false">VLOOKUP($A95,STRADDLE,12,FALSE())</f>
        <v>0.068487961985365</v>
      </c>
      <c r="AI95" s="43" t="n">
        <f aca="false">A96-A95</f>
        <v>28</v>
      </c>
      <c r="AL95" s="136"/>
      <c r="AM95" s="9"/>
      <c r="AN95" s="9" t="n">
        <f aca="false">IF($A95&gt;=AO$25,IF($A95&lt;=AO$26,$AI95,0),0)</f>
        <v>0</v>
      </c>
      <c r="AO95" s="9" t="e">
        <f aca="false">AQ95/AN95</f>
        <v>#DIV/0!</v>
      </c>
      <c r="AP95" s="1" t="n">
        <f aca="false">AN95*($B95+B$13)</f>
        <v>0</v>
      </c>
      <c r="AQ95" s="33" t="n">
        <f aca="false">IF(ISNUMBER(((AP95/AN95)+B$14+$D95)*AN95),((AP95/AN95)+B$14+$D95)*AN95,0)</f>
        <v>0</v>
      </c>
      <c r="AR95" s="44" t="n">
        <f aca="false">IF(AN95=0,0,bsd(1,AS$27,AO95,$I95,$F95,$G95,$AH95,0.1))</f>
        <v>0</v>
      </c>
      <c r="AS95" s="44" t="n">
        <f aca="false">IF(AN95=0,0,bsd(2,AS$27,AO95,$I95,$F95,$G95,$AH95,0.1))</f>
        <v>0</v>
      </c>
      <c r="AT95" s="44" t="n">
        <f aca="false">IF(AN95=0,0,bsd(AS$28,AS$27,AO95,$I95,$F95,$G95,$AH95,0.1))</f>
        <v>0</v>
      </c>
      <c r="AU95" s="45" t="n">
        <f aca="false">AN95*AR95</f>
        <v>0</v>
      </c>
      <c r="AV95" s="45" t="n">
        <f aca="false">AN95*AS95</f>
        <v>0</v>
      </c>
      <c r="AW95" s="45" t="n">
        <f aca="false">AN95*AT95</f>
        <v>0</v>
      </c>
      <c r="AY95" s="9" t="n">
        <f aca="false">IF($A95&gt;=AZ$25,IF($A95&lt;=AZ$26,$AI95,0),0)</f>
        <v>0</v>
      </c>
      <c r="AZ95" s="9" t="e">
        <f aca="false">BB95/AY95</f>
        <v>#DIV/0!</v>
      </c>
      <c r="BA95" s="1" t="n">
        <f aca="false">AY95*($B95+D$13)</f>
        <v>0</v>
      </c>
      <c r="BB95" s="33" t="n">
        <f aca="false">IF(ISNUMBER(((BA95/AY95)+D$14+$K95)*AY95),((BA95/AY95)+D$14+$K95)*AY95,0)</f>
        <v>0</v>
      </c>
      <c r="BC95" s="44" t="n">
        <f aca="false">IF(AY95=0,0,bsd(1,BD$27,AZ95,$P95,$M95,$N95,$AH95,0.1))</f>
        <v>0</v>
      </c>
      <c r="BD95" s="44" t="n">
        <f aca="false">IF(AY95=0,0,bsd(2,BD$27,AZ95,$P95,$M95,$N95,$AH95,0.1))</f>
        <v>0</v>
      </c>
      <c r="BE95" s="44" t="n">
        <f aca="false">IF(AY95=0,0,bsd(BD$28,BD$27,AZ95,$P95,$M95,$N95,$AH95,0.1))</f>
        <v>0</v>
      </c>
      <c r="BF95" s="45" t="n">
        <f aca="false">AY95*BC95</f>
        <v>0</v>
      </c>
      <c r="BG95" s="45" t="n">
        <f aca="false">AY95*BD95</f>
        <v>0</v>
      </c>
      <c r="BH95" s="45" t="n">
        <f aca="false">AY95*BE95</f>
        <v>0</v>
      </c>
      <c r="BJ95" s="9" t="n">
        <f aca="false">IF($A95&gt;=BK$25,IF($A95&lt;=BK$26,$AI95,0),0)</f>
        <v>0</v>
      </c>
      <c r="BK95" s="9" t="e">
        <f aca="false">BM95/BJ95</f>
        <v>#DIV/0!</v>
      </c>
      <c r="BL95" s="1" t="n">
        <f aca="false">BJ95*($B95+F$13)</f>
        <v>0</v>
      </c>
      <c r="BM95" s="33" t="n">
        <f aca="false">IF(ISNUMBER(((BL95/BJ95)+F$14+$R95)*BJ95),((BL95/BJ95)+F$14+$R95)*BJ95,0)</f>
        <v>0</v>
      </c>
      <c r="BN95" s="44" t="n">
        <f aca="false">IF(BJ95=0,0,bsd(1,BO$27,BK95,$W95,$T95,$U95,$AH95,0.1))</f>
        <v>0</v>
      </c>
      <c r="BO95" s="44" t="n">
        <f aca="false">IF(BJ95=0,0,bsd(2,BO$27,BK95,$W95,$T95,$U95,$AH95,0.1))</f>
        <v>0</v>
      </c>
      <c r="BP95" s="44" t="n">
        <f aca="false">IF(BJ95=0,0,bsd(BO$28,BO$27,BK95,$W95,$T95,$U95,$AH95,0.1))</f>
        <v>0</v>
      </c>
      <c r="BQ95" s="45" t="n">
        <f aca="false">BJ95*BN95</f>
        <v>0</v>
      </c>
      <c r="BR95" s="45" t="n">
        <f aca="false">BJ95*BO95</f>
        <v>0</v>
      </c>
      <c r="BS95" s="45" t="n">
        <f aca="false">BJ95*BP95</f>
        <v>0</v>
      </c>
      <c r="BU95" s="9" t="n">
        <f aca="false">IF($A95&gt;=BV$25,IF($A95&lt;=BV$26,$AI95,0),0)</f>
        <v>0</v>
      </c>
      <c r="BV95" s="9" t="e">
        <f aca="false">BX95/BU95</f>
        <v>#DIV/0!</v>
      </c>
      <c r="BW95" s="1" t="n">
        <f aca="false">BU95*($B95+H$13)</f>
        <v>0</v>
      </c>
      <c r="BX95" s="33" t="n">
        <f aca="false">IF(ISNUMBER(((BW95/BU95)+H$14+$Y95)*BU95),((BW95/BU95)+H$14+$Y95)*BU95,0)</f>
        <v>0</v>
      </c>
      <c r="BY95" s="44" t="n">
        <f aca="false">IF(BU95=0,0,bsd(1,BZ$27,BV95,$AD95,$AA95,$AB95,$AH95,0.1))</f>
        <v>0</v>
      </c>
      <c r="BZ95" s="44" t="n">
        <f aca="false">IF(BU95=0,0,bsd(2,BZ$27,BV95,$AD95,$AA95,$AB95,$AH95,0.1))</f>
        <v>0</v>
      </c>
      <c r="CA95" s="44" t="n">
        <f aca="false">IF(BU95=0,0,bsd(BZ$28,BZ$27,BV95,$AD95,$AA95,$AB95,$AH95,0.1))</f>
        <v>0</v>
      </c>
      <c r="CB95" s="45" t="n">
        <f aca="false">BU95*BY95</f>
        <v>0</v>
      </c>
      <c r="CC95" s="45" t="n">
        <f aca="false">BU95*BZ95</f>
        <v>0</v>
      </c>
      <c r="CD95" s="45" t="n">
        <f aca="false">BU95*CA95</f>
        <v>0</v>
      </c>
    </row>
    <row r="96" customFormat="false" ht="12.75" hidden="false" customHeight="false" outlineLevel="0" collapsed="false">
      <c r="A96" s="48" t="n">
        <f aca="false">DATE(YEAR(A95),MONTH(A95)+1,1)</f>
        <v>38777</v>
      </c>
      <c r="B96" s="40" t="n">
        <f aca="false">VLOOKUP(A96,STRADDLE,5,FALSE())</f>
        <v>3.234</v>
      </c>
      <c r="C96" s="4" t="n">
        <f aca="false">VLOOKUP(A96,STRADDLE,8,FALSE())</f>
        <v>0.23</v>
      </c>
      <c r="D96" s="40" t="n">
        <f aca="false">IF(D$28="nymex",0,VLOOKUP($A96,curvesettle,HLOOKUP(D$28,curvesettle,2,FALSE())))</f>
        <v>0.965</v>
      </c>
      <c r="E96" s="131" t="n">
        <f aca="false">IF(ISNUMBER(VLOOKUP($A96,VOLCURVES,HLOOKUP(D$28,VOLCURVES,2,FALSE()),FALSE())),VLOOKUP($A96,VOLCURVES,HLOOKUP(D$28,VOLCURVES,2,FALSE()),FALSE()),1)</f>
        <v>1.1</v>
      </c>
      <c r="F96" s="136" t="n">
        <f aca="false">IF(D$28="NYMEX",$AG96,$AF96)</f>
        <v>-7154</v>
      </c>
      <c r="G96" s="4" t="e">
        <f aca="false">(($C96+H96)*$E96)+B$15</f>
        <v>#DIV/0!</v>
      </c>
      <c r="H96" s="4" t="e">
        <f aca="false">IF($B$16=1,VLOOKUP($A96,SkewTable,HLOOKUP(ROUND(I96-AO96,1),SkewTable,2,FALSE()),FALSE())/100,0)</f>
        <v>#DIV/0!</v>
      </c>
      <c r="I96" s="41" t="n">
        <f aca="false">IF($B$19=4,$AO96,$B$18)</f>
        <v>5.05</v>
      </c>
      <c r="K96" s="40" t="n">
        <f aca="false">IF(K$28="nymex",0,VLOOKUP($A96,curvesettle,HLOOKUP(K$28,curvesettle,2,FALSE())))</f>
        <v>0.14</v>
      </c>
      <c r="L96" s="131" t="n">
        <f aca="false">IF(ISNUMBER(VLOOKUP($A96,VOLCURVES,HLOOKUP(K$28,VOLCURVES,2,FALSE()),FALSE())),VLOOKUP($A96,VOLCURVES,HLOOKUP(K$28,VOLCURVES,2,FALSE()),FALSE()),1)</f>
        <v>1</v>
      </c>
      <c r="M96" s="136" t="n">
        <f aca="false">IF(K$28="NYMEX",$AG96,$AF96)</f>
        <v>-7154</v>
      </c>
      <c r="N96" s="153" t="e">
        <f aca="false">(($C96+O96)*$L96)+D$15</f>
        <v>#DIV/0!</v>
      </c>
      <c r="O96" s="4" t="e">
        <f aca="false">IF($D$16=1,VLOOKUP($A96,SkewTable,HLOOKUP(ROUND(P96-AZ96,1),SkewTable,2,FALSE()),FALSE())/100,0)</f>
        <v>#DIV/0!</v>
      </c>
      <c r="P96" s="41" t="n">
        <f aca="false">IF($D$19=4,$AZ96,$D$18)</f>
        <v>5.1</v>
      </c>
      <c r="R96" s="40" t="n">
        <f aca="false">IF(R$28="nymex",0,VLOOKUP($A96,curvesettle,HLOOKUP(R$28,curvesettle,2,FALSE())))</f>
        <v>-0.0275</v>
      </c>
      <c r="S96" s="131" t="n">
        <f aca="false">IF(ISNUMBER(VLOOKUP($A96,VOLCURVES,HLOOKUP(R$28,VOLCURVES,2,FALSE()),FALSE())),VLOOKUP($A96,VOLCURVES,HLOOKUP(R$28,VOLCURVES,2,FALSE()),FALSE()),1)</f>
        <v>1</v>
      </c>
      <c r="T96" s="136" t="n">
        <f aca="false">IF(R$28="NYMEX",$AG96,$AF96)</f>
        <v>-7154</v>
      </c>
      <c r="U96" s="153" t="e">
        <f aca="false">(($C96+V96)*$S96)+F$15</f>
        <v>#DIV/0!</v>
      </c>
      <c r="V96" s="4" t="e">
        <f aca="false">IF($F$16=1,VLOOKUP($A96,SkewTable,HLOOKUP(ROUND(W96-BK96,1),SkewTable,2,FALSE()),FALSE())/100,0)</f>
        <v>#DIV/0!</v>
      </c>
      <c r="W96" s="41" t="n">
        <f aca="false">IF($F$19=4,$BK96,$F$18)</f>
        <v>5.3983</v>
      </c>
      <c r="X96" s="136"/>
      <c r="Y96" s="40" t="n">
        <f aca="false">IF(Y$28="nymex",0,VLOOKUP($A96,curvesettle,HLOOKUP(Y$28,curvesettle,2,FALSE())))</f>
        <v>-0.0275</v>
      </c>
      <c r="Z96" s="131" t="n">
        <f aca="false">IF(ISNUMBER(VLOOKUP($A96,VOLCURVES,HLOOKUP(Y$28,VOLCURVES,2,FALSE()),FALSE())),VLOOKUP($A96,VOLCURVES,HLOOKUP(Y$28,VOLCURVES,2,FALSE()),FALSE()),1)</f>
        <v>1</v>
      </c>
      <c r="AA96" s="136" t="n">
        <f aca="false">IF(Y$28="NYMEX",$AG96,$AF96)</f>
        <v>-7154</v>
      </c>
      <c r="AB96" s="4" t="e">
        <f aca="false">(($C96+AC96)*$Z96)+H$15</f>
        <v>#DIV/0!</v>
      </c>
      <c r="AC96" s="4" t="e">
        <f aca="false">IF($H$16=1,VLOOKUP($A96,SkewTable,HLOOKUP(ROUND(AD96-BV96,1),SkewTable,2,FALSE()),FALSE())/100,0)</f>
        <v>#DIV/0!</v>
      </c>
      <c r="AD96" s="41" t="n">
        <f aca="false">IF($H$19=4,$BV96,$H$18)</f>
        <v>5.4668</v>
      </c>
      <c r="AF96" s="136" t="n">
        <f aca="false">VLOOKUP($A96,expiration,2,FALSE())-$B$2</f>
        <v>-7154</v>
      </c>
      <c r="AG96" s="136" t="n">
        <f aca="false">VLOOKUP($A96,expiration,3,FALSE())-$B$2</f>
        <v>-7155</v>
      </c>
      <c r="AH96" s="4" t="n">
        <f aca="false">VLOOKUP($A96,STRADDLE,12,FALSE())</f>
        <v>0.068534342072662</v>
      </c>
      <c r="AI96" s="43" t="n">
        <f aca="false">A97-A96</f>
        <v>31</v>
      </c>
      <c r="AL96" s="136"/>
      <c r="AM96" s="9"/>
      <c r="AN96" s="9" t="n">
        <f aca="false">IF($A96&gt;=AO$25,IF($A96&lt;=AO$26,$AI96,0),0)</f>
        <v>0</v>
      </c>
      <c r="AO96" s="9" t="e">
        <f aca="false">AQ96/AN96</f>
        <v>#DIV/0!</v>
      </c>
      <c r="AP96" s="1" t="n">
        <f aca="false">AN96*($B96+B$13)</f>
        <v>0</v>
      </c>
      <c r="AQ96" s="33" t="n">
        <f aca="false">IF(ISNUMBER(((AP96/AN96)+B$14+$D96)*AN96),((AP96/AN96)+B$14+$D96)*AN96,0)</f>
        <v>0</v>
      </c>
      <c r="AR96" s="44" t="n">
        <f aca="false">IF(AN96=0,0,bsd(1,AS$27,AO96,$I96,$F96,$G96,$AH96,0.1))</f>
        <v>0</v>
      </c>
      <c r="AS96" s="44" t="n">
        <f aca="false">IF(AN96=0,0,bsd(2,AS$27,AO96,$I96,$F96,$G96,$AH96,0.1))</f>
        <v>0</v>
      </c>
      <c r="AT96" s="44" t="n">
        <f aca="false">IF(AN96=0,0,bsd(AS$28,AS$27,AO96,$I96,$F96,$G96,$AH96,0.1))</f>
        <v>0</v>
      </c>
      <c r="AU96" s="45" t="n">
        <f aca="false">AN96*AR96</f>
        <v>0</v>
      </c>
      <c r="AV96" s="45" t="n">
        <f aca="false">AN96*AS96</f>
        <v>0</v>
      </c>
      <c r="AW96" s="45" t="n">
        <f aca="false">AN96*AT96</f>
        <v>0</v>
      </c>
      <c r="AY96" s="9" t="n">
        <f aca="false">IF($A96&gt;=AZ$25,IF($A96&lt;=AZ$26,$AI96,0),0)</f>
        <v>0</v>
      </c>
      <c r="AZ96" s="9" t="e">
        <f aca="false">BB96/AY96</f>
        <v>#DIV/0!</v>
      </c>
      <c r="BA96" s="1" t="n">
        <f aca="false">AY96*($B96+D$13)</f>
        <v>0</v>
      </c>
      <c r="BB96" s="33" t="n">
        <f aca="false">IF(ISNUMBER(((BA96/AY96)+D$14+$K96)*AY96),((BA96/AY96)+D$14+$K96)*AY96,0)</f>
        <v>0</v>
      </c>
      <c r="BC96" s="44" t="n">
        <f aca="false">IF(AY96=0,0,bsd(1,BD$27,AZ96,$P96,$M96,$N96,$AH96,0.1))</f>
        <v>0</v>
      </c>
      <c r="BD96" s="44" t="n">
        <f aca="false">IF(AY96=0,0,bsd(2,BD$27,AZ96,$P96,$M96,$N96,$AH96,0.1))</f>
        <v>0</v>
      </c>
      <c r="BE96" s="44" t="n">
        <f aca="false">IF(AY96=0,0,bsd(BD$28,BD$27,AZ96,$P96,$M96,$N96,$AH96,0.1))</f>
        <v>0</v>
      </c>
      <c r="BF96" s="45" t="n">
        <f aca="false">AY96*BC96</f>
        <v>0</v>
      </c>
      <c r="BG96" s="45" t="n">
        <f aca="false">AY96*BD96</f>
        <v>0</v>
      </c>
      <c r="BH96" s="45" t="n">
        <f aca="false">AY96*BE96</f>
        <v>0</v>
      </c>
      <c r="BJ96" s="9" t="n">
        <f aca="false">IF($A96&gt;=BK$25,IF($A96&lt;=BK$26,$AI96,0),0)</f>
        <v>0</v>
      </c>
      <c r="BK96" s="9" t="e">
        <f aca="false">BM96/BJ96</f>
        <v>#DIV/0!</v>
      </c>
      <c r="BL96" s="1" t="n">
        <f aca="false">BJ96*($B96+F$13)</f>
        <v>0</v>
      </c>
      <c r="BM96" s="33" t="n">
        <f aca="false">IF(ISNUMBER(((BL96/BJ96)+F$14+$R96)*BJ96),((BL96/BJ96)+F$14+$R96)*BJ96,0)</f>
        <v>0</v>
      </c>
      <c r="BN96" s="44" t="n">
        <f aca="false">IF(BJ96=0,0,bsd(1,BO$27,BK96,$W96,$T96,$U96,$AH96,0.1))</f>
        <v>0</v>
      </c>
      <c r="BO96" s="44" t="n">
        <f aca="false">IF(BJ96=0,0,bsd(2,BO$27,BK96,$W96,$T96,$U96,$AH96,0.1))</f>
        <v>0</v>
      </c>
      <c r="BP96" s="44" t="n">
        <f aca="false">IF(BJ96=0,0,bsd(BO$28,BO$27,BK96,$W96,$T96,$U96,$AH96,0.1))</f>
        <v>0</v>
      </c>
      <c r="BQ96" s="45" t="n">
        <f aca="false">BJ96*BN96</f>
        <v>0</v>
      </c>
      <c r="BR96" s="45" t="n">
        <f aca="false">BJ96*BO96</f>
        <v>0</v>
      </c>
      <c r="BS96" s="45" t="n">
        <f aca="false">BJ96*BP96</f>
        <v>0</v>
      </c>
      <c r="BU96" s="9" t="n">
        <f aca="false">IF($A96&gt;=BV$25,IF($A96&lt;=BV$26,$AI96,0),0)</f>
        <v>0</v>
      </c>
      <c r="BV96" s="9" t="e">
        <f aca="false">BX96/BU96</f>
        <v>#DIV/0!</v>
      </c>
      <c r="BW96" s="1" t="n">
        <f aca="false">BU96*($B96+H$13)</f>
        <v>0</v>
      </c>
      <c r="BX96" s="33" t="n">
        <f aca="false">IF(ISNUMBER(((BW96/BU96)+H$14+$Y96)*BU96),((BW96/BU96)+H$14+$Y96)*BU96,0)</f>
        <v>0</v>
      </c>
      <c r="BY96" s="44" t="n">
        <f aca="false">IF(BU96=0,0,bsd(1,BZ$27,BV96,$AD96,$AA96,$AB96,$AH96,0.1))</f>
        <v>0</v>
      </c>
      <c r="BZ96" s="44" t="n">
        <f aca="false">IF(BU96=0,0,bsd(2,BZ$27,BV96,$AD96,$AA96,$AB96,$AH96,0.1))</f>
        <v>0</v>
      </c>
      <c r="CA96" s="44" t="n">
        <f aca="false">IF(BU96=0,0,bsd(BZ$28,BZ$27,BV96,$AD96,$AA96,$AB96,$AH96,0.1))</f>
        <v>0</v>
      </c>
      <c r="CB96" s="45" t="n">
        <f aca="false">BU96*BY96</f>
        <v>0</v>
      </c>
      <c r="CC96" s="45" t="n">
        <f aca="false">BU96*BZ96</f>
        <v>0</v>
      </c>
      <c r="CD96" s="45" t="n">
        <f aca="false">BU96*CA96</f>
        <v>0</v>
      </c>
    </row>
    <row r="97" customFormat="false" ht="12.75" hidden="false" customHeight="false" outlineLevel="0" collapsed="false">
      <c r="A97" s="48" t="n">
        <f aca="false">DATE(YEAR(A96),MONTH(A96)+1,1)</f>
        <v>38808</v>
      </c>
      <c r="B97" s="40" t="n">
        <f aca="false">VLOOKUP(A97,STRADDLE,5,FALSE())</f>
        <v>3.053</v>
      </c>
      <c r="C97" s="4" t="n">
        <f aca="false">VLOOKUP(A97,STRADDLE,8,FALSE())</f>
        <v>0.23</v>
      </c>
      <c r="D97" s="40" t="n">
        <f aca="false">IF(D$28="nymex",0,VLOOKUP($A97,curvesettle,HLOOKUP(D$28,curvesettle,2,FALSE())))</f>
        <v>0.45</v>
      </c>
      <c r="E97" s="131" t="n">
        <f aca="false">IF(ISNUMBER(VLOOKUP($A97,VOLCURVES,HLOOKUP(D$28,VOLCURVES,2,FALSE()),FALSE())),VLOOKUP($A97,VOLCURVES,HLOOKUP(D$28,VOLCURVES,2,FALSE()),FALSE()),1)</f>
        <v>0.98</v>
      </c>
      <c r="F97" s="136" t="n">
        <f aca="false">IF(D$28="NYMEX",$AG97,$AF97)</f>
        <v>-7121</v>
      </c>
      <c r="G97" s="4" t="e">
        <f aca="false">(($C97+H97)*$E97)+B$15</f>
        <v>#DIV/0!</v>
      </c>
      <c r="H97" s="4" t="e">
        <f aca="false">IF($B$16=1,VLOOKUP($A97,SkewTable,HLOOKUP(ROUND(I97-AO97,1),SkewTable,2,FALSE()),FALSE())/100,0)</f>
        <v>#DIV/0!</v>
      </c>
      <c r="I97" s="41" t="n">
        <f aca="false">IF($B$19=4,$AO97,$B$18)</f>
        <v>5.05</v>
      </c>
      <c r="K97" s="40" t="n">
        <f aca="false">IF(K$28="nymex",0,VLOOKUP($A97,curvesettle,HLOOKUP(K$28,curvesettle,2,FALSE())))</f>
        <v>0.315</v>
      </c>
      <c r="L97" s="131" t="n">
        <f aca="false">IF(ISNUMBER(VLOOKUP($A97,VOLCURVES,HLOOKUP(K$28,VOLCURVES,2,FALSE()),FALSE())),VLOOKUP($A97,VOLCURVES,HLOOKUP(K$28,VOLCURVES,2,FALSE()),FALSE()),1)</f>
        <v>1</v>
      </c>
      <c r="M97" s="136" t="n">
        <f aca="false">IF(K$28="NYMEX",$AG97,$AF97)</f>
        <v>-7121</v>
      </c>
      <c r="N97" s="153" t="e">
        <f aca="false">(($C97+O97)*$L97)+D$15</f>
        <v>#DIV/0!</v>
      </c>
      <c r="O97" s="4" t="e">
        <f aca="false">IF($D$16=1,VLOOKUP($A97,SkewTable,HLOOKUP(ROUND(P97-AZ97,1),SkewTable,2,FALSE()),FALSE())/100,0)</f>
        <v>#DIV/0!</v>
      </c>
      <c r="P97" s="41" t="n">
        <f aca="false">IF($D$19=4,$AZ97,$D$18)</f>
        <v>5.1</v>
      </c>
      <c r="R97" s="40" t="n">
        <f aca="false">IF(R$28="nymex",0,VLOOKUP($A97,curvesettle,HLOOKUP(R$28,curvesettle,2,FALSE())))</f>
        <v>0.015</v>
      </c>
      <c r="S97" s="131" t="n">
        <f aca="false">IF(ISNUMBER(VLOOKUP($A97,VOLCURVES,HLOOKUP(R$28,VOLCURVES,2,FALSE()),FALSE())),VLOOKUP($A97,VOLCURVES,HLOOKUP(R$28,VOLCURVES,2,FALSE()),FALSE()),1)</f>
        <v>1</v>
      </c>
      <c r="T97" s="136" t="n">
        <f aca="false">IF(R$28="NYMEX",$AG97,$AF97)</f>
        <v>-7121</v>
      </c>
      <c r="U97" s="153" t="e">
        <f aca="false">(($C97+V97)*$S97)+F$15</f>
        <v>#DIV/0!</v>
      </c>
      <c r="V97" s="4" t="e">
        <f aca="false">IF($F$16=1,VLOOKUP($A97,SkewTable,HLOOKUP(ROUND(W97-BK97,1),SkewTable,2,FALSE()),FALSE())/100,0)</f>
        <v>#DIV/0!</v>
      </c>
      <c r="W97" s="41" t="n">
        <f aca="false">IF($F$19=4,$BK97,$F$18)</f>
        <v>5.3983</v>
      </c>
      <c r="X97" s="136"/>
      <c r="Y97" s="40" t="n">
        <f aca="false">IF(Y$28="nymex",0,VLOOKUP($A97,curvesettle,HLOOKUP(Y$28,curvesettle,2,FALSE())))</f>
        <v>0.015</v>
      </c>
      <c r="Z97" s="131" t="n">
        <f aca="false">IF(ISNUMBER(VLOOKUP($A97,VOLCURVES,HLOOKUP(Y$28,VOLCURVES,2,FALSE()),FALSE())),VLOOKUP($A97,VOLCURVES,HLOOKUP(Y$28,VOLCURVES,2,FALSE()),FALSE()),1)</f>
        <v>1</v>
      </c>
      <c r="AA97" s="136" t="n">
        <f aca="false">IF(Y$28="NYMEX",$AG97,$AF97)</f>
        <v>-7121</v>
      </c>
      <c r="AB97" s="4" t="e">
        <f aca="false">(($C97+AC97)*$Z97)+H$15</f>
        <v>#DIV/0!</v>
      </c>
      <c r="AC97" s="4" t="e">
        <f aca="false">IF($H$16=1,VLOOKUP($A97,SkewTable,HLOOKUP(ROUND(AD97-BV97,1),SkewTable,2,FALSE()),FALSE())/100,0)</f>
        <v>#DIV/0!</v>
      </c>
      <c r="AD97" s="41" t="n">
        <f aca="false">IF($H$19=4,$BV97,$H$18)</f>
        <v>5.4668</v>
      </c>
      <c r="AF97" s="136" t="n">
        <f aca="false">VLOOKUP($A97,expiration,2,FALSE())-$B$2</f>
        <v>-7121</v>
      </c>
      <c r="AG97" s="136" t="n">
        <f aca="false">VLOOKUP($A97,expiration,3,FALSE())-$B$2</f>
        <v>-7122</v>
      </c>
      <c r="AH97" s="4" t="n">
        <f aca="false">VLOOKUP($A97,STRADDLE,12,FALSE())</f>
        <v>0.068585691455857</v>
      </c>
      <c r="AI97" s="43" t="n">
        <f aca="false">A98-A97</f>
        <v>30</v>
      </c>
      <c r="AL97" s="136"/>
      <c r="AM97" s="9"/>
      <c r="AN97" s="9" t="n">
        <f aca="false">IF($A97&gt;=AO$25,IF($A97&lt;=AO$26,$AI97,0),0)</f>
        <v>0</v>
      </c>
      <c r="AO97" s="9" t="e">
        <f aca="false">AQ97/AN97</f>
        <v>#DIV/0!</v>
      </c>
      <c r="AP97" s="1" t="n">
        <f aca="false">AN97*($B97+B$13)</f>
        <v>0</v>
      </c>
      <c r="AQ97" s="33" t="n">
        <f aca="false">IF(ISNUMBER(((AP97/AN97)+B$14+$D97)*AN97),((AP97/AN97)+B$14+$D97)*AN97,0)</f>
        <v>0</v>
      </c>
      <c r="AR97" s="44" t="n">
        <f aca="false">IF(AN97=0,0,bsd(1,AS$27,AO97,$I97,$F97,$G97,$AH97,0.1))</f>
        <v>0</v>
      </c>
      <c r="AS97" s="44" t="n">
        <f aca="false">IF(AN97=0,0,bsd(2,AS$27,AO97,$I97,$F97,$G97,$AH97,0.1))</f>
        <v>0</v>
      </c>
      <c r="AT97" s="44" t="n">
        <f aca="false">IF(AN97=0,0,bsd(AS$28,AS$27,AO97,$I97,$F97,$G97,$AH97,0.1))</f>
        <v>0</v>
      </c>
      <c r="AU97" s="45" t="n">
        <f aca="false">AN97*AR97</f>
        <v>0</v>
      </c>
      <c r="AV97" s="45" t="n">
        <f aca="false">AN97*AS97</f>
        <v>0</v>
      </c>
      <c r="AW97" s="45" t="n">
        <f aca="false">AN97*AT97</f>
        <v>0</v>
      </c>
      <c r="AY97" s="9" t="n">
        <f aca="false">IF($A97&gt;=AZ$25,IF($A97&lt;=AZ$26,$AI97,0),0)</f>
        <v>0</v>
      </c>
      <c r="AZ97" s="9" t="e">
        <f aca="false">BB97/AY97</f>
        <v>#DIV/0!</v>
      </c>
      <c r="BA97" s="1" t="n">
        <f aca="false">AY97*($B97+D$13)</f>
        <v>0</v>
      </c>
      <c r="BB97" s="33" t="n">
        <f aca="false">IF(ISNUMBER(((BA97/AY97)+D$14+$K97)*AY97),((BA97/AY97)+D$14+$K97)*AY97,0)</f>
        <v>0</v>
      </c>
      <c r="BC97" s="44" t="n">
        <f aca="false">IF(AY97=0,0,bsd(1,BD$27,AZ97,$P97,$M97,$N97,$AH97,0.1))</f>
        <v>0</v>
      </c>
      <c r="BD97" s="44" t="n">
        <f aca="false">IF(AY97=0,0,bsd(2,BD$27,AZ97,$P97,$M97,$N97,$AH97,0.1))</f>
        <v>0</v>
      </c>
      <c r="BE97" s="44" t="n">
        <f aca="false">IF(AY97=0,0,bsd(BD$28,BD$27,AZ97,$P97,$M97,$N97,$AH97,0.1))</f>
        <v>0</v>
      </c>
      <c r="BF97" s="45" t="n">
        <f aca="false">AY97*BC97</f>
        <v>0</v>
      </c>
      <c r="BG97" s="45" t="n">
        <f aca="false">AY97*BD97</f>
        <v>0</v>
      </c>
      <c r="BH97" s="45" t="n">
        <f aca="false">AY97*BE97</f>
        <v>0</v>
      </c>
      <c r="BJ97" s="9" t="n">
        <f aca="false">IF($A97&gt;=BK$25,IF($A97&lt;=BK$26,$AI97,0),0)</f>
        <v>0</v>
      </c>
      <c r="BK97" s="9" t="e">
        <f aca="false">BM97/BJ97</f>
        <v>#DIV/0!</v>
      </c>
      <c r="BL97" s="1" t="n">
        <f aca="false">BJ97*($B97+F$13)</f>
        <v>0</v>
      </c>
      <c r="BM97" s="33" t="n">
        <f aca="false">IF(ISNUMBER(((BL97/BJ97)+F$14+$R97)*BJ97),((BL97/BJ97)+F$14+$R97)*BJ97,0)</f>
        <v>0</v>
      </c>
      <c r="BN97" s="44" t="n">
        <f aca="false">IF(BJ97=0,0,bsd(1,BO$27,BK97,$W97,$T97,$U97,$AH97,0.1))</f>
        <v>0</v>
      </c>
      <c r="BO97" s="44" t="n">
        <f aca="false">IF(BJ97=0,0,bsd(2,BO$27,BK97,$W97,$T97,$U97,$AH97,0.1))</f>
        <v>0</v>
      </c>
      <c r="BP97" s="44" t="n">
        <f aca="false">IF(BJ97=0,0,bsd(BO$28,BO$27,BK97,$W97,$T97,$U97,$AH97,0.1))</f>
        <v>0</v>
      </c>
      <c r="BQ97" s="45" t="n">
        <f aca="false">BJ97*BN97</f>
        <v>0</v>
      </c>
      <c r="BR97" s="45" t="n">
        <f aca="false">BJ97*BO97</f>
        <v>0</v>
      </c>
      <c r="BS97" s="45" t="n">
        <f aca="false">BJ97*BP97</f>
        <v>0</v>
      </c>
      <c r="BU97" s="9" t="n">
        <f aca="false">IF($A97&gt;=BV$25,IF($A97&lt;=BV$26,$AI97,0),0)</f>
        <v>0</v>
      </c>
      <c r="BV97" s="9" t="e">
        <f aca="false">BX97/BU97</f>
        <v>#DIV/0!</v>
      </c>
      <c r="BW97" s="1" t="n">
        <f aca="false">BU97*($B97+H$13)</f>
        <v>0</v>
      </c>
      <c r="BX97" s="33" t="n">
        <f aca="false">IF(ISNUMBER(((BW97/BU97)+H$14+$Y97)*BU97),((BW97/BU97)+H$14+$Y97)*BU97,0)</f>
        <v>0</v>
      </c>
      <c r="BY97" s="44" t="n">
        <f aca="false">IF(BU97=0,0,bsd(1,BZ$27,BV97,$AD97,$AA97,$AB97,$AH97,0.1))</f>
        <v>0</v>
      </c>
      <c r="BZ97" s="44" t="n">
        <f aca="false">IF(BU97=0,0,bsd(2,BZ$27,BV97,$AD97,$AA97,$AB97,$AH97,0.1))</f>
        <v>0</v>
      </c>
      <c r="CA97" s="44" t="n">
        <f aca="false">IF(BU97=0,0,bsd(BZ$28,BZ$27,BV97,$AD97,$AA97,$AB97,$AH97,0.1))</f>
        <v>0</v>
      </c>
      <c r="CB97" s="45" t="n">
        <f aca="false">BU97*BY97</f>
        <v>0</v>
      </c>
      <c r="CC97" s="45" t="n">
        <f aca="false">BU97*BZ97</f>
        <v>0</v>
      </c>
      <c r="CD97" s="45" t="n">
        <f aca="false">BU97*CA97</f>
        <v>0</v>
      </c>
    </row>
    <row r="98" customFormat="false" ht="12.75" hidden="false" customHeight="false" outlineLevel="0" collapsed="false">
      <c r="A98" s="48" t="n">
        <f aca="false">DATE(YEAR(A97),MONTH(A97)+1,1)</f>
        <v>38838</v>
      </c>
      <c r="B98" s="40" t="n">
        <f aca="false">VLOOKUP(A98,STRADDLE,5,FALSE())</f>
        <v>3.006</v>
      </c>
      <c r="C98" s="4" t="n">
        <f aca="false">VLOOKUP(A98,STRADDLE,8,FALSE())</f>
        <v>0.2275</v>
      </c>
      <c r="D98" s="40" t="n">
        <f aca="false">IF(D$28="nymex",0,VLOOKUP($A98,curvesettle,HLOOKUP(D$28,curvesettle,2,FALSE())))</f>
        <v>0.405</v>
      </c>
      <c r="E98" s="131" t="n">
        <f aca="false">IF(ISNUMBER(VLOOKUP($A98,VOLCURVES,HLOOKUP(D$28,VOLCURVES,2,FALSE()),FALSE())),VLOOKUP($A98,VOLCURVES,HLOOKUP(D$28,VOLCURVES,2,FALSE()),FALSE()),1)</f>
        <v>0.98</v>
      </c>
      <c r="F98" s="136" t="n">
        <f aca="false">IF(D$28="NYMEX",$AG98,$AF98)</f>
        <v>-7093</v>
      </c>
      <c r="G98" s="4" t="e">
        <f aca="false">(($C98+H98)*$E98)+B$15</f>
        <v>#DIV/0!</v>
      </c>
      <c r="H98" s="4" t="e">
        <f aca="false">IF($B$16=1,VLOOKUP($A98,SkewTable,HLOOKUP(ROUND(I98-AO98,1),SkewTable,2,FALSE()),FALSE())/100,0)</f>
        <v>#DIV/0!</v>
      </c>
      <c r="I98" s="41" t="n">
        <f aca="false">IF($B$19=4,$AO98,$B$18)</f>
        <v>5.05</v>
      </c>
      <c r="K98" s="40" t="n">
        <f aca="false">IF(K$28="nymex",0,VLOOKUP($A98,curvesettle,HLOOKUP(K$28,curvesettle,2,FALSE())))</f>
        <v>0.315</v>
      </c>
      <c r="L98" s="131" t="n">
        <f aca="false">IF(ISNUMBER(VLOOKUP($A98,VOLCURVES,HLOOKUP(K$28,VOLCURVES,2,FALSE()),FALSE())),VLOOKUP($A98,VOLCURVES,HLOOKUP(K$28,VOLCURVES,2,FALSE()),FALSE()),1)</f>
        <v>1</v>
      </c>
      <c r="M98" s="136" t="n">
        <f aca="false">IF(K$28="NYMEX",$AG98,$AF98)</f>
        <v>-7093</v>
      </c>
      <c r="N98" s="153" t="e">
        <f aca="false">(($C98+O98)*$L98)+D$15</f>
        <v>#DIV/0!</v>
      </c>
      <c r="O98" s="4" t="e">
        <f aca="false">IF($D$16=1,VLOOKUP($A98,SkewTable,HLOOKUP(ROUND(P98-AZ98,1),SkewTable,2,FALSE()),FALSE())/100,0)</f>
        <v>#DIV/0!</v>
      </c>
      <c r="P98" s="41" t="n">
        <f aca="false">IF($D$19=4,$AZ98,$D$18)</f>
        <v>5.1</v>
      </c>
      <c r="R98" s="40" t="n">
        <f aca="false">IF(R$28="nymex",0,VLOOKUP($A98,curvesettle,HLOOKUP(R$28,curvesettle,2,FALSE())))</f>
        <v>0.015</v>
      </c>
      <c r="S98" s="131" t="n">
        <f aca="false">IF(ISNUMBER(VLOOKUP($A98,VOLCURVES,HLOOKUP(R$28,VOLCURVES,2,FALSE()),FALSE())),VLOOKUP($A98,VOLCURVES,HLOOKUP(R$28,VOLCURVES,2,FALSE()),FALSE()),1)</f>
        <v>1</v>
      </c>
      <c r="T98" s="136" t="n">
        <f aca="false">IF(R$28="NYMEX",$AG98,$AF98)</f>
        <v>-7093</v>
      </c>
      <c r="U98" s="153" t="e">
        <f aca="false">(($C98+V98)*$S98)+F$15</f>
        <v>#DIV/0!</v>
      </c>
      <c r="V98" s="4" t="e">
        <f aca="false">IF($F$16=1,VLOOKUP($A98,SkewTable,HLOOKUP(ROUND(W98-BK98,1),SkewTable,2,FALSE()),FALSE())/100,0)</f>
        <v>#DIV/0!</v>
      </c>
      <c r="W98" s="41" t="n">
        <f aca="false">IF($F$19=4,$BK98,$F$18)</f>
        <v>5.3983</v>
      </c>
      <c r="X98" s="136"/>
      <c r="Y98" s="40" t="n">
        <f aca="false">IF(Y$28="nymex",0,VLOOKUP($A98,curvesettle,HLOOKUP(Y$28,curvesettle,2,FALSE())))</f>
        <v>0.015</v>
      </c>
      <c r="Z98" s="131" t="n">
        <f aca="false">IF(ISNUMBER(VLOOKUP($A98,VOLCURVES,HLOOKUP(Y$28,VOLCURVES,2,FALSE()),FALSE())),VLOOKUP($A98,VOLCURVES,HLOOKUP(Y$28,VOLCURVES,2,FALSE()),FALSE()),1)</f>
        <v>1</v>
      </c>
      <c r="AA98" s="136" t="n">
        <f aca="false">IF(Y$28="NYMEX",$AG98,$AF98)</f>
        <v>-7093</v>
      </c>
      <c r="AB98" s="4" t="e">
        <f aca="false">(($C98+AC98)*$Z98)+H$15</f>
        <v>#DIV/0!</v>
      </c>
      <c r="AC98" s="4" t="e">
        <f aca="false">IF($H$16=1,VLOOKUP($A98,SkewTable,HLOOKUP(ROUND(AD98-BV98,1),SkewTable,2,FALSE()),FALSE())/100,0)</f>
        <v>#DIV/0!</v>
      </c>
      <c r="AD98" s="41" t="n">
        <f aca="false">IF($H$19=4,$BV98,$H$18)</f>
        <v>5.4668</v>
      </c>
      <c r="AF98" s="136" t="n">
        <f aca="false">VLOOKUP($A98,expiration,2,FALSE())-$B$2</f>
        <v>-7093</v>
      </c>
      <c r="AG98" s="136" t="n">
        <f aca="false">VLOOKUP($A98,expiration,3,FALSE())-$B$2</f>
        <v>-7094</v>
      </c>
      <c r="AH98" s="4" t="n">
        <f aca="false">VLOOKUP($A98,STRADDLE,12,FALSE())</f>
        <v>0.068635384408167</v>
      </c>
      <c r="AI98" s="43" t="n">
        <f aca="false">A99-A98</f>
        <v>31</v>
      </c>
      <c r="AL98" s="136"/>
      <c r="AM98" s="9"/>
      <c r="AN98" s="9" t="n">
        <f aca="false">IF($A98&gt;=AO$25,IF($A98&lt;=AO$26,$AI98,0),0)</f>
        <v>0</v>
      </c>
      <c r="AO98" s="9" t="e">
        <f aca="false">AQ98/AN98</f>
        <v>#DIV/0!</v>
      </c>
      <c r="AP98" s="1" t="n">
        <f aca="false">AN98*($B98+B$13)</f>
        <v>0</v>
      </c>
      <c r="AQ98" s="33" t="n">
        <f aca="false">IF(ISNUMBER(((AP98/AN98)+B$14+$D98)*AN98),((AP98/AN98)+B$14+$D98)*AN98,0)</f>
        <v>0</v>
      </c>
      <c r="AR98" s="44" t="n">
        <f aca="false">IF(AN98=0,0,bsd(1,AS$27,AO98,$I98,$F98,$G98,$AH98,0.1))</f>
        <v>0</v>
      </c>
      <c r="AS98" s="44" t="n">
        <f aca="false">IF(AN98=0,0,bsd(2,AS$27,AO98,$I98,$F98,$G98,$AH98,0.1))</f>
        <v>0</v>
      </c>
      <c r="AT98" s="44" t="n">
        <f aca="false">IF(AN98=0,0,bsd(AS$28,AS$27,AO98,$I98,$F98,$G98,$AH98,0.1))</f>
        <v>0</v>
      </c>
      <c r="AU98" s="45" t="n">
        <f aca="false">AN98*AR98</f>
        <v>0</v>
      </c>
      <c r="AV98" s="45" t="n">
        <f aca="false">AN98*AS98</f>
        <v>0</v>
      </c>
      <c r="AW98" s="45" t="n">
        <f aca="false">AN98*AT98</f>
        <v>0</v>
      </c>
      <c r="AY98" s="9" t="n">
        <f aca="false">IF($A98&gt;=AZ$25,IF($A98&lt;=AZ$26,$AI98,0),0)</f>
        <v>0</v>
      </c>
      <c r="AZ98" s="9" t="e">
        <f aca="false">BB98/AY98</f>
        <v>#DIV/0!</v>
      </c>
      <c r="BA98" s="1" t="n">
        <f aca="false">AY98*($B98+D$13)</f>
        <v>0</v>
      </c>
      <c r="BB98" s="33" t="n">
        <f aca="false">IF(ISNUMBER(((BA98/AY98)+D$14+$K98)*AY98),((BA98/AY98)+D$14+$K98)*AY98,0)</f>
        <v>0</v>
      </c>
      <c r="BC98" s="44" t="n">
        <f aca="false">IF(AY98=0,0,bsd(1,BD$27,AZ98,$P98,$M98,$N98,$AH98,0.1))</f>
        <v>0</v>
      </c>
      <c r="BD98" s="44" t="n">
        <f aca="false">IF(AY98=0,0,bsd(2,BD$27,AZ98,$P98,$M98,$N98,$AH98,0.1))</f>
        <v>0</v>
      </c>
      <c r="BE98" s="44" t="n">
        <f aca="false">IF(AY98=0,0,bsd(BD$28,BD$27,AZ98,$P98,$M98,$N98,$AH98,0.1))</f>
        <v>0</v>
      </c>
      <c r="BF98" s="45" t="n">
        <f aca="false">AY98*BC98</f>
        <v>0</v>
      </c>
      <c r="BG98" s="45" t="n">
        <f aca="false">AY98*BD98</f>
        <v>0</v>
      </c>
      <c r="BH98" s="45" t="n">
        <f aca="false">AY98*BE98</f>
        <v>0</v>
      </c>
      <c r="BJ98" s="9" t="n">
        <f aca="false">IF($A98&gt;=BK$25,IF($A98&lt;=BK$26,$AI98,0),0)</f>
        <v>0</v>
      </c>
      <c r="BK98" s="9" t="e">
        <f aca="false">BM98/BJ98</f>
        <v>#DIV/0!</v>
      </c>
      <c r="BL98" s="1" t="n">
        <f aca="false">BJ98*($B98+F$13)</f>
        <v>0</v>
      </c>
      <c r="BM98" s="33" t="n">
        <f aca="false">IF(ISNUMBER(((BL98/BJ98)+F$14+$R98)*BJ98),((BL98/BJ98)+F$14+$R98)*BJ98,0)</f>
        <v>0</v>
      </c>
      <c r="BN98" s="44" t="n">
        <f aca="false">IF(BJ98=0,0,bsd(1,BO$27,BK98,$W98,$T98,$U98,$AH98,0.1))</f>
        <v>0</v>
      </c>
      <c r="BO98" s="44" t="n">
        <f aca="false">IF(BJ98=0,0,bsd(2,BO$27,BK98,$W98,$T98,$U98,$AH98,0.1))</f>
        <v>0</v>
      </c>
      <c r="BP98" s="44" t="n">
        <f aca="false">IF(BJ98=0,0,bsd(BO$28,BO$27,BK98,$W98,$T98,$U98,$AH98,0.1))</f>
        <v>0</v>
      </c>
      <c r="BQ98" s="45" t="n">
        <f aca="false">BJ98*BN98</f>
        <v>0</v>
      </c>
      <c r="BR98" s="45" t="n">
        <f aca="false">BJ98*BO98</f>
        <v>0</v>
      </c>
      <c r="BS98" s="45" t="n">
        <f aca="false">BJ98*BP98</f>
        <v>0</v>
      </c>
      <c r="BU98" s="9" t="n">
        <f aca="false">IF($A98&gt;=BV$25,IF($A98&lt;=BV$26,$AI98,0),0)</f>
        <v>0</v>
      </c>
      <c r="BV98" s="9" t="e">
        <f aca="false">BX98/BU98</f>
        <v>#DIV/0!</v>
      </c>
      <c r="BW98" s="1" t="n">
        <f aca="false">BU98*($B98+H$13)</f>
        <v>0</v>
      </c>
      <c r="BX98" s="33" t="n">
        <f aca="false">IF(ISNUMBER(((BW98/BU98)+H$14+$Y98)*BU98),((BW98/BU98)+H$14+$Y98)*BU98,0)</f>
        <v>0</v>
      </c>
      <c r="BY98" s="44" t="n">
        <f aca="false">IF(BU98=0,0,bsd(1,BZ$27,BV98,$AD98,$AA98,$AB98,$AH98,0.1))</f>
        <v>0</v>
      </c>
      <c r="BZ98" s="44" t="n">
        <f aca="false">IF(BU98=0,0,bsd(2,BZ$27,BV98,$AD98,$AA98,$AB98,$AH98,0.1))</f>
        <v>0</v>
      </c>
      <c r="CA98" s="44" t="n">
        <f aca="false">IF(BU98=0,0,bsd(BZ$28,BZ$27,BV98,$AD98,$AA98,$AB98,$AH98,0.1))</f>
        <v>0</v>
      </c>
      <c r="CB98" s="45" t="n">
        <f aca="false">BU98*BY98</f>
        <v>0</v>
      </c>
      <c r="CC98" s="45" t="n">
        <f aca="false">BU98*BZ98</f>
        <v>0</v>
      </c>
      <c r="CD98" s="45" t="n">
        <f aca="false">BU98*CA98</f>
        <v>0</v>
      </c>
    </row>
    <row r="99" customFormat="false" ht="12.75" hidden="false" customHeight="false" outlineLevel="0" collapsed="false">
      <c r="A99" s="48" t="n">
        <f aca="false">DATE(YEAR(A98),MONTH(A98)+1,1)</f>
        <v>38869</v>
      </c>
      <c r="B99" s="40" t="n">
        <f aca="false">VLOOKUP(A99,STRADDLE,5,FALSE())</f>
        <v>3.017</v>
      </c>
      <c r="C99" s="4" t="n">
        <f aca="false">VLOOKUP(A99,STRADDLE,8,FALSE())</f>
        <v>0.2275</v>
      </c>
      <c r="D99" s="40" t="n">
        <f aca="false">IF(D$28="nymex",0,VLOOKUP($A99,curvesettle,HLOOKUP(D$28,curvesettle,2,FALSE())))</f>
        <v>0.395</v>
      </c>
      <c r="E99" s="131" t="n">
        <f aca="false">IF(ISNUMBER(VLOOKUP($A99,VOLCURVES,HLOOKUP(D$28,VOLCURVES,2,FALSE()),FALSE())),VLOOKUP($A99,VOLCURVES,HLOOKUP(D$28,VOLCURVES,2,FALSE()),FALSE()),1)</f>
        <v>0.98</v>
      </c>
      <c r="F99" s="136" t="n">
        <f aca="false">IF(D$28="NYMEX",$AG99,$AF99)</f>
        <v>-7063</v>
      </c>
      <c r="G99" s="4" t="e">
        <f aca="false">(($C99+H99)*$E99)+B$15</f>
        <v>#DIV/0!</v>
      </c>
      <c r="H99" s="4" t="e">
        <f aca="false">IF($B$16=1,VLOOKUP($A99,SkewTable,HLOOKUP(ROUND(I99-AO99,1),SkewTable,2,FALSE()),FALSE())/100,0)</f>
        <v>#DIV/0!</v>
      </c>
      <c r="I99" s="41" t="n">
        <f aca="false">IF($B$19=4,$AO99,$B$18)</f>
        <v>5.05</v>
      </c>
      <c r="K99" s="40" t="n">
        <f aca="false">IF(K$28="nymex",0,VLOOKUP($A99,curvesettle,HLOOKUP(K$28,curvesettle,2,FALSE())))</f>
        <v>0.315</v>
      </c>
      <c r="L99" s="131" t="n">
        <f aca="false">IF(ISNUMBER(VLOOKUP($A99,VOLCURVES,HLOOKUP(K$28,VOLCURVES,2,FALSE()),FALSE())),VLOOKUP($A99,VOLCURVES,HLOOKUP(K$28,VOLCURVES,2,FALSE()),FALSE()),1)</f>
        <v>1</v>
      </c>
      <c r="M99" s="136" t="n">
        <f aca="false">IF(K$28="NYMEX",$AG99,$AF99)</f>
        <v>-7063</v>
      </c>
      <c r="N99" s="153" t="e">
        <f aca="false">(($C99+O99)*$L99)+D$15</f>
        <v>#DIV/0!</v>
      </c>
      <c r="O99" s="4" t="e">
        <f aca="false">IF($D$16=1,VLOOKUP($A99,SkewTable,HLOOKUP(ROUND(P99-AZ99,1),SkewTable,2,FALSE()),FALSE())/100,0)</f>
        <v>#DIV/0!</v>
      </c>
      <c r="P99" s="41" t="n">
        <f aca="false">IF($D$19=4,$AZ99,$D$18)</f>
        <v>5.1</v>
      </c>
      <c r="R99" s="40" t="n">
        <f aca="false">IF(R$28="nymex",0,VLOOKUP($A99,curvesettle,HLOOKUP(R$28,curvesettle,2,FALSE())))</f>
        <v>0.02</v>
      </c>
      <c r="S99" s="131" t="n">
        <f aca="false">IF(ISNUMBER(VLOOKUP($A99,VOLCURVES,HLOOKUP(R$28,VOLCURVES,2,FALSE()),FALSE())),VLOOKUP($A99,VOLCURVES,HLOOKUP(R$28,VOLCURVES,2,FALSE()),FALSE()),1)</f>
        <v>1</v>
      </c>
      <c r="T99" s="136" t="n">
        <f aca="false">IF(R$28="NYMEX",$AG99,$AF99)</f>
        <v>-7063</v>
      </c>
      <c r="U99" s="153" t="e">
        <f aca="false">(($C99+V99)*$S99)+F$15</f>
        <v>#DIV/0!</v>
      </c>
      <c r="V99" s="4" t="e">
        <f aca="false">IF($F$16=1,VLOOKUP($A99,SkewTable,HLOOKUP(ROUND(W99-BK99,1),SkewTable,2,FALSE()),FALSE())/100,0)</f>
        <v>#DIV/0!</v>
      </c>
      <c r="W99" s="41" t="n">
        <f aca="false">IF($F$19=4,$BK99,$F$18)</f>
        <v>5.3983</v>
      </c>
      <c r="X99" s="136"/>
      <c r="Y99" s="40" t="n">
        <f aca="false">IF(Y$28="nymex",0,VLOOKUP($A99,curvesettle,HLOOKUP(Y$28,curvesettle,2,FALSE())))</f>
        <v>0.02</v>
      </c>
      <c r="Z99" s="131" t="n">
        <f aca="false">IF(ISNUMBER(VLOOKUP($A99,VOLCURVES,HLOOKUP(Y$28,VOLCURVES,2,FALSE()),FALSE())),VLOOKUP($A99,VOLCURVES,HLOOKUP(Y$28,VOLCURVES,2,FALSE()),FALSE()),1)</f>
        <v>1</v>
      </c>
      <c r="AA99" s="136" t="n">
        <f aca="false">IF(Y$28="NYMEX",$AG99,$AF99)</f>
        <v>-7063</v>
      </c>
      <c r="AB99" s="4" t="e">
        <f aca="false">(($C99+AC99)*$Z99)+H$15</f>
        <v>#DIV/0!</v>
      </c>
      <c r="AC99" s="4" t="e">
        <f aca="false">IF($H$16=1,VLOOKUP($A99,SkewTable,HLOOKUP(ROUND(AD99-BV99,1),SkewTable,2,FALSE()),FALSE())/100,0)</f>
        <v>#DIV/0!</v>
      </c>
      <c r="AD99" s="41" t="n">
        <f aca="false">IF($H$19=4,$BV99,$H$18)</f>
        <v>5.4668</v>
      </c>
      <c r="AF99" s="136" t="n">
        <f aca="false">VLOOKUP($A99,expiration,2,FALSE())-$B$2</f>
        <v>-7063</v>
      </c>
      <c r="AG99" s="136" t="n">
        <f aca="false">VLOOKUP($A99,expiration,3,FALSE())-$B$2</f>
        <v>-7064</v>
      </c>
      <c r="AH99" s="4" t="n">
        <f aca="false">VLOOKUP($A99,STRADDLE,12,FALSE())</f>
        <v>0.068686733793079</v>
      </c>
      <c r="AI99" s="43" t="n">
        <f aca="false">A100-A99</f>
        <v>30</v>
      </c>
      <c r="AL99" s="136"/>
      <c r="AM99" s="9"/>
      <c r="AN99" s="9" t="n">
        <f aca="false">IF($A99&gt;=AO$25,IF($A99&lt;=AO$26,$AI99,0),0)</f>
        <v>0</v>
      </c>
      <c r="AO99" s="9" t="e">
        <f aca="false">AQ99/AN99</f>
        <v>#DIV/0!</v>
      </c>
      <c r="AP99" s="1" t="n">
        <f aca="false">AN99*($B99+B$13)</f>
        <v>0</v>
      </c>
      <c r="AQ99" s="33" t="n">
        <f aca="false">IF(ISNUMBER(((AP99/AN99)+B$14+$D99)*AN99),((AP99/AN99)+B$14+$D99)*AN99,0)</f>
        <v>0</v>
      </c>
      <c r="AR99" s="44" t="n">
        <f aca="false">IF(AN99=0,0,bsd(1,AS$27,AO99,$I99,$F99,$G99,$AH99,0.1))</f>
        <v>0</v>
      </c>
      <c r="AS99" s="44" t="n">
        <f aca="false">IF(AN99=0,0,bsd(2,AS$27,AO99,$I99,$F99,$G99,$AH99,0.1))</f>
        <v>0</v>
      </c>
      <c r="AT99" s="44" t="n">
        <f aca="false">IF(AN99=0,0,bsd(AS$28,AS$27,AO99,$I99,$F99,$G99,$AH99,0.1))</f>
        <v>0</v>
      </c>
      <c r="AU99" s="45" t="n">
        <f aca="false">AN99*AR99</f>
        <v>0</v>
      </c>
      <c r="AV99" s="45" t="n">
        <f aca="false">AN99*AS99</f>
        <v>0</v>
      </c>
      <c r="AW99" s="45" t="n">
        <f aca="false">AN99*AT99</f>
        <v>0</v>
      </c>
      <c r="AY99" s="9" t="n">
        <f aca="false">IF($A99&gt;=AZ$25,IF($A99&lt;=AZ$26,$AI99,0),0)</f>
        <v>0</v>
      </c>
      <c r="AZ99" s="9" t="e">
        <f aca="false">BB99/AY99</f>
        <v>#DIV/0!</v>
      </c>
      <c r="BA99" s="1" t="n">
        <f aca="false">AY99*($B99+D$13)</f>
        <v>0</v>
      </c>
      <c r="BB99" s="33" t="n">
        <f aca="false">IF(ISNUMBER(((BA99/AY99)+D$14+$K99)*AY99),((BA99/AY99)+D$14+$K99)*AY99,0)</f>
        <v>0</v>
      </c>
      <c r="BC99" s="44" t="n">
        <f aca="false">IF(AY99=0,0,bsd(1,BD$27,AZ99,$P99,$M99,$N99,$AH99,0.1))</f>
        <v>0</v>
      </c>
      <c r="BD99" s="44" t="n">
        <f aca="false">IF(AY99=0,0,bsd(2,BD$27,AZ99,$P99,$M99,$N99,$AH99,0.1))</f>
        <v>0</v>
      </c>
      <c r="BE99" s="44" t="n">
        <f aca="false">IF(AY99=0,0,bsd(BD$28,BD$27,AZ99,$P99,$M99,$N99,$AH99,0.1))</f>
        <v>0</v>
      </c>
      <c r="BF99" s="45" t="n">
        <f aca="false">AY99*BC99</f>
        <v>0</v>
      </c>
      <c r="BG99" s="45" t="n">
        <f aca="false">AY99*BD99</f>
        <v>0</v>
      </c>
      <c r="BH99" s="45" t="n">
        <f aca="false">AY99*BE99</f>
        <v>0</v>
      </c>
      <c r="BJ99" s="9" t="n">
        <f aca="false">IF($A99&gt;=BK$25,IF($A99&lt;=BK$26,$AI99,0),0)</f>
        <v>0</v>
      </c>
      <c r="BK99" s="9" t="e">
        <f aca="false">BM99/BJ99</f>
        <v>#DIV/0!</v>
      </c>
      <c r="BL99" s="1" t="n">
        <f aca="false">BJ99*($B99+F$13)</f>
        <v>0</v>
      </c>
      <c r="BM99" s="33" t="n">
        <f aca="false">IF(ISNUMBER(((BL99/BJ99)+F$14+$R99)*BJ99),((BL99/BJ99)+F$14+$R99)*BJ99,0)</f>
        <v>0</v>
      </c>
      <c r="BN99" s="44" t="n">
        <f aca="false">IF(BJ99=0,0,bsd(1,BO$27,BK99,$W99,$T99,$U99,$AH99,0.1))</f>
        <v>0</v>
      </c>
      <c r="BO99" s="44" t="n">
        <f aca="false">IF(BJ99=0,0,bsd(2,BO$27,BK99,$W99,$T99,$U99,$AH99,0.1))</f>
        <v>0</v>
      </c>
      <c r="BP99" s="44" t="n">
        <f aca="false">IF(BJ99=0,0,bsd(BO$28,BO$27,BK99,$W99,$T99,$U99,$AH99,0.1))</f>
        <v>0</v>
      </c>
      <c r="BQ99" s="45" t="n">
        <f aca="false">BJ99*BN99</f>
        <v>0</v>
      </c>
      <c r="BR99" s="45" t="n">
        <f aca="false">BJ99*BO99</f>
        <v>0</v>
      </c>
      <c r="BS99" s="45" t="n">
        <f aca="false">BJ99*BP99</f>
        <v>0</v>
      </c>
      <c r="BU99" s="9" t="n">
        <f aca="false">IF($A99&gt;=BV$25,IF($A99&lt;=BV$26,$AI99,0),0)</f>
        <v>0</v>
      </c>
      <c r="BV99" s="9" t="e">
        <f aca="false">BX99/BU99</f>
        <v>#DIV/0!</v>
      </c>
      <c r="BW99" s="1" t="n">
        <f aca="false">BU99*($B99+H$13)</f>
        <v>0</v>
      </c>
      <c r="BX99" s="33" t="n">
        <f aca="false">IF(ISNUMBER(((BW99/BU99)+H$14+$Y99)*BU99),((BW99/BU99)+H$14+$Y99)*BU99,0)</f>
        <v>0</v>
      </c>
      <c r="BY99" s="44" t="n">
        <f aca="false">IF(BU99=0,0,bsd(1,BZ$27,BV99,$AD99,$AA99,$AB99,$AH99,0.1))</f>
        <v>0</v>
      </c>
      <c r="BZ99" s="44" t="n">
        <f aca="false">IF(BU99=0,0,bsd(2,BZ$27,BV99,$AD99,$AA99,$AB99,$AH99,0.1))</f>
        <v>0</v>
      </c>
      <c r="CA99" s="44" t="n">
        <f aca="false">IF(BU99=0,0,bsd(BZ$28,BZ$27,BV99,$AD99,$AA99,$AB99,$AH99,0.1))</f>
        <v>0</v>
      </c>
      <c r="CB99" s="45" t="n">
        <f aca="false">BU99*BY99</f>
        <v>0</v>
      </c>
      <c r="CC99" s="45" t="n">
        <f aca="false">BU99*BZ99</f>
        <v>0</v>
      </c>
      <c r="CD99" s="45" t="n">
        <f aca="false">BU99*CA99</f>
        <v>0</v>
      </c>
    </row>
    <row r="100" customFormat="false" ht="12.75" hidden="false" customHeight="false" outlineLevel="0" collapsed="false">
      <c r="A100" s="48" t="n">
        <f aca="false">DATE(YEAR(A99),MONTH(A99)+1,1)</f>
        <v>38899</v>
      </c>
      <c r="B100" s="40" t="n">
        <f aca="false">VLOOKUP(A100,STRADDLE,5,FALSE())</f>
        <v>3.025</v>
      </c>
      <c r="C100" s="4" t="n">
        <f aca="false">VLOOKUP(A100,STRADDLE,8,FALSE())</f>
        <v>0.2275</v>
      </c>
      <c r="D100" s="40" t="n">
        <f aca="false">IF(D$28="nymex",0,VLOOKUP($A100,curvesettle,HLOOKUP(D$28,curvesettle,2,FALSE())))</f>
        <v>0.43</v>
      </c>
      <c r="E100" s="131" t="n">
        <f aca="false">IF(ISNUMBER(VLOOKUP($A100,VOLCURVES,HLOOKUP(D$28,VOLCURVES,2,FALSE()),FALSE())),VLOOKUP($A100,VOLCURVES,HLOOKUP(D$28,VOLCURVES,2,FALSE()),FALSE()),1)</f>
        <v>0.98</v>
      </c>
      <c r="F100" s="136" t="n">
        <f aca="false">IF(D$28="NYMEX",$AG100,$AF100)</f>
        <v>-7030</v>
      </c>
      <c r="G100" s="4" t="e">
        <f aca="false">(($C100+H100)*$E100)+B$15</f>
        <v>#DIV/0!</v>
      </c>
      <c r="H100" s="4" t="e">
        <f aca="false">IF($B$16=1,VLOOKUP($A100,SkewTable,HLOOKUP(ROUND(I100-AO100,1),SkewTable,2,FALSE()),FALSE())/100,0)</f>
        <v>#DIV/0!</v>
      </c>
      <c r="I100" s="41" t="n">
        <f aca="false">IF($B$19=4,$AO100,$B$18)</f>
        <v>5.05</v>
      </c>
      <c r="K100" s="40" t="n">
        <f aca="false">IF(K$28="nymex",0,VLOOKUP($A100,curvesettle,HLOOKUP(K$28,curvesettle,2,FALSE())))</f>
        <v>0.315</v>
      </c>
      <c r="L100" s="131" t="n">
        <f aca="false">IF(ISNUMBER(VLOOKUP($A100,VOLCURVES,HLOOKUP(K$28,VOLCURVES,2,FALSE()),FALSE())),VLOOKUP($A100,VOLCURVES,HLOOKUP(K$28,VOLCURVES,2,FALSE()),FALSE()),1)</f>
        <v>1</v>
      </c>
      <c r="M100" s="136" t="n">
        <f aca="false">IF(K$28="NYMEX",$AG100,$AF100)</f>
        <v>-7030</v>
      </c>
      <c r="N100" s="153" t="e">
        <f aca="false">(($C100+O100)*$L100)+D$15</f>
        <v>#DIV/0!</v>
      </c>
      <c r="O100" s="4" t="e">
        <f aca="false">IF($D$16=1,VLOOKUP($A100,SkewTable,HLOOKUP(ROUND(P100-AZ100,1),SkewTable,2,FALSE()),FALSE())/100,0)</f>
        <v>#DIV/0!</v>
      </c>
      <c r="P100" s="41" t="n">
        <f aca="false">IF($D$19=4,$AZ100,$D$18)</f>
        <v>5.1</v>
      </c>
      <c r="R100" s="40" t="n">
        <f aca="false">IF(R$28="nymex",0,VLOOKUP($A100,curvesettle,HLOOKUP(R$28,curvesettle,2,FALSE())))</f>
        <v>0.0225</v>
      </c>
      <c r="S100" s="131" t="n">
        <f aca="false">IF(ISNUMBER(VLOOKUP($A100,VOLCURVES,HLOOKUP(R$28,VOLCURVES,2,FALSE()),FALSE())),VLOOKUP($A100,VOLCURVES,HLOOKUP(R$28,VOLCURVES,2,FALSE()),FALSE()),1)</f>
        <v>1</v>
      </c>
      <c r="T100" s="136" t="n">
        <f aca="false">IF(R$28="NYMEX",$AG100,$AF100)</f>
        <v>-7030</v>
      </c>
      <c r="U100" s="153" t="e">
        <f aca="false">(($C100+V100)*$S100)+F$15</f>
        <v>#DIV/0!</v>
      </c>
      <c r="V100" s="4" t="e">
        <f aca="false">IF($F$16=1,VLOOKUP($A100,SkewTable,HLOOKUP(ROUND(W100-BK100,1),SkewTable,2,FALSE()),FALSE())/100,0)</f>
        <v>#DIV/0!</v>
      </c>
      <c r="W100" s="41" t="n">
        <f aca="false">IF($F$19=4,$BK100,$F$18)</f>
        <v>5.3983</v>
      </c>
      <c r="X100" s="136"/>
      <c r="Y100" s="40" t="n">
        <f aca="false">IF(Y$28="nymex",0,VLOOKUP($A100,curvesettle,HLOOKUP(Y$28,curvesettle,2,FALSE())))</f>
        <v>0.0225</v>
      </c>
      <c r="Z100" s="131" t="n">
        <f aca="false">IF(ISNUMBER(VLOOKUP($A100,VOLCURVES,HLOOKUP(Y$28,VOLCURVES,2,FALSE()),FALSE())),VLOOKUP($A100,VOLCURVES,HLOOKUP(Y$28,VOLCURVES,2,FALSE()),FALSE()),1)</f>
        <v>1</v>
      </c>
      <c r="AA100" s="136" t="n">
        <f aca="false">IF(Y$28="NYMEX",$AG100,$AF100)</f>
        <v>-7030</v>
      </c>
      <c r="AB100" s="4" t="e">
        <f aca="false">(($C100+AC100)*$Z100)+H$15</f>
        <v>#DIV/0!</v>
      </c>
      <c r="AC100" s="4" t="e">
        <f aca="false">IF($H$16=1,VLOOKUP($A100,SkewTable,HLOOKUP(ROUND(AD100-BV100,1),SkewTable,2,FALSE()),FALSE())/100,0)</f>
        <v>#DIV/0!</v>
      </c>
      <c r="AD100" s="41" t="n">
        <f aca="false">IF($H$19=4,$BV100,$H$18)</f>
        <v>5.4668</v>
      </c>
      <c r="AF100" s="136" t="n">
        <f aca="false">VLOOKUP($A100,expiration,2,FALSE())-$B$2</f>
        <v>-7030</v>
      </c>
      <c r="AG100" s="136" t="n">
        <f aca="false">VLOOKUP($A100,expiration,3,FALSE())-$B$2</f>
        <v>-7031</v>
      </c>
      <c r="AH100" s="4" t="n">
        <f aca="false">VLOOKUP($A100,STRADDLE,12,FALSE())</f>
        <v>0.06873642674705</v>
      </c>
      <c r="AI100" s="43" t="n">
        <f aca="false">A101-A100</f>
        <v>31</v>
      </c>
      <c r="AL100" s="136"/>
      <c r="AM100" s="9"/>
      <c r="AN100" s="9" t="n">
        <f aca="false">IF($A100&gt;=AO$25,IF($A100&lt;=AO$26,$AI100,0),0)</f>
        <v>0</v>
      </c>
      <c r="AO100" s="9" t="e">
        <f aca="false">AQ100/AN100</f>
        <v>#DIV/0!</v>
      </c>
      <c r="AP100" s="1" t="n">
        <f aca="false">AN100*($B100+B$13)</f>
        <v>0</v>
      </c>
      <c r="AQ100" s="33" t="n">
        <f aca="false">IF(ISNUMBER(((AP100/AN100)+B$14+$D100)*AN100),((AP100/AN100)+B$14+$D100)*AN100,0)</f>
        <v>0</v>
      </c>
      <c r="AR100" s="44" t="n">
        <f aca="false">IF(AN100=0,0,bsd(1,AS$27,AO100,$I100,$F100,$G100,$AH100,0.1))</f>
        <v>0</v>
      </c>
      <c r="AS100" s="44" t="n">
        <f aca="false">IF(AN100=0,0,bsd(2,AS$27,AO100,$I100,$F100,$G100,$AH100,0.1))</f>
        <v>0</v>
      </c>
      <c r="AT100" s="44" t="n">
        <f aca="false">IF(AN100=0,0,bsd(AS$28,AS$27,AO100,$I100,$F100,$G100,$AH100,0.1))</f>
        <v>0</v>
      </c>
      <c r="AU100" s="45" t="n">
        <f aca="false">AN100*AR100</f>
        <v>0</v>
      </c>
      <c r="AV100" s="45" t="n">
        <f aca="false">AN100*AS100</f>
        <v>0</v>
      </c>
      <c r="AW100" s="45" t="n">
        <f aca="false">AN100*AT100</f>
        <v>0</v>
      </c>
      <c r="AY100" s="9" t="n">
        <f aca="false">IF($A100&gt;=AZ$25,IF($A100&lt;=AZ$26,$AI100,0),0)</f>
        <v>0</v>
      </c>
      <c r="AZ100" s="9" t="e">
        <f aca="false">BB100/AY100</f>
        <v>#DIV/0!</v>
      </c>
      <c r="BA100" s="1" t="n">
        <f aca="false">AY100*($B100+D$13)</f>
        <v>0</v>
      </c>
      <c r="BB100" s="33" t="n">
        <f aca="false">IF(ISNUMBER(((BA100/AY100)+D$14+$K100)*AY100),((BA100/AY100)+D$14+$K100)*AY100,0)</f>
        <v>0</v>
      </c>
      <c r="BC100" s="44" t="n">
        <f aca="false">IF(AY100=0,0,bsd(1,BD$27,AZ100,$P100,$M100,$N100,$AH100,0.1))</f>
        <v>0</v>
      </c>
      <c r="BD100" s="44" t="n">
        <f aca="false">IF(AY100=0,0,bsd(2,BD$27,AZ100,$P100,$M100,$N100,$AH100,0.1))</f>
        <v>0</v>
      </c>
      <c r="BE100" s="44" t="n">
        <f aca="false">IF(AY100=0,0,bsd(BD$28,BD$27,AZ100,$P100,$M100,$N100,$AH100,0.1))</f>
        <v>0</v>
      </c>
      <c r="BF100" s="45" t="n">
        <f aca="false">AY100*BC100</f>
        <v>0</v>
      </c>
      <c r="BG100" s="45" t="n">
        <f aca="false">AY100*BD100</f>
        <v>0</v>
      </c>
      <c r="BH100" s="45" t="n">
        <f aca="false">AY100*BE100</f>
        <v>0</v>
      </c>
      <c r="BJ100" s="9" t="n">
        <f aca="false">IF($A100&gt;=BK$25,IF($A100&lt;=BK$26,$AI100,0),0)</f>
        <v>0</v>
      </c>
      <c r="BK100" s="9" t="e">
        <f aca="false">BM100/BJ100</f>
        <v>#DIV/0!</v>
      </c>
      <c r="BL100" s="1" t="n">
        <f aca="false">BJ100*($B100+F$13)</f>
        <v>0</v>
      </c>
      <c r="BM100" s="33" t="n">
        <f aca="false">IF(ISNUMBER(((BL100/BJ100)+F$14+$R100)*BJ100),((BL100/BJ100)+F$14+$R100)*BJ100,0)</f>
        <v>0</v>
      </c>
      <c r="BN100" s="44" t="n">
        <f aca="false">IF(BJ100=0,0,bsd(1,BO$27,BK100,$W100,$T100,$U100,$AH100,0.1))</f>
        <v>0</v>
      </c>
      <c r="BO100" s="44" t="n">
        <f aca="false">IF(BJ100=0,0,bsd(2,BO$27,BK100,$W100,$T100,$U100,$AH100,0.1))</f>
        <v>0</v>
      </c>
      <c r="BP100" s="44" t="n">
        <f aca="false">IF(BJ100=0,0,bsd(BO$28,BO$27,BK100,$W100,$T100,$U100,$AH100,0.1))</f>
        <v>0</v>
      </c>
      <c r="BQ100" s="45" t="n">
        <f aca="false">BJ100*BN100</f>
        <v>0</v>
      </c>
      <c r="BR100" s="45" t="n">
        <f aca="false">BJ100*BO100</f>
        <v>0</v>
      </c>
      <c r="BS100" s="45" t="n">
        <f aca="false">BJ100*BP100</f>
        <v>0</v>
      </c>
      <c r="BU100" s="9" t="n">
        <f aca="false">IF($A100&gt;=BV$25,IF($A100&lt;=BV$26,$AI100,0),0)</f>
        <v>0</v>
      </c>
      <c r="BV100" s="9" t="e">
        <f aca="false">BX100/BU100</f>
        <v>#DIV/0!</v>
      </c>
      <c r="BW100" s="1" t="n">
        <f aca="false">BU100*($B100+H$13)</f>
        <v>0</v>
      </c>
      <c r="BX100" s="33" t="n">
        <f aca="false">IF(ISNUMBER(((BW100/BU100)+H$14+$Y100)*BU100),((BW100/BU100)+H$14+$Y100)*BU100,0)</f>
        <v>0</v>
      </c>
      <c r="BY100" s="44" t="n">
        <f aca="false">IF(BU100=0,0,bsd(1,BZ$27,BV100,$AD100,$AA100,$AB100,$AH100,0.1))</f>
        <v>0</v>
      </c>
      <c r="BZ100" s="44" t="n">
        <f aca="false">IF(BU100=0,0,bsd(2,BZ$27,BV100,$AD100,$AA100,$AB100,$AH100,0.1))</f>
        <v>0</v>
      </c>
      <c r="CA100" s="44" t="n">
        <f aca="false">IF(BU100=0,0,bsd(BZ$28,BZ$27,BV100,$AD100,$AA100,$AB100,$AH100,0.1))</f>
        <v>0</v>
      </c>
      <c r="CB100" s="45" t="n">
        <f aca="false">BU100*BY100</f>
        <v>0</v>
      </c>
      <c r="CC100" s="45" t="n">
        <f aca="false">BU100*BZ100</f>
        <v>0</v>
      </c>
      <c r="CD100" s="45" t="n">
        <f aca="false">BU100*CA100</f>
        <v>0</v>
      </c>
    </row>
    <row r="101" customFormat="false" ht="12.75" hidden="false" customHeight="false" outlineLevel="0" collapsed="false">
      <c r="A101" s="48" t="n">
        <f aca="false">DATE(YEAR(A100),MONTH(A100)+1,1)</f>
        <v>38930</v>
      </c>
      <c r="B101" s="40" t="n">
        <f aca="false">VLOOKUP(A101,STRADDLE,5,FALSE())</f>
        <v>3.032</v>
      </c>
      <c r="C101" s="4" t="n">
        <f aca="false">VLOOKUP(A101,STRADDLE,8,FALSE())</f>
        <v>0.2275</v>
      </c>
      <c r="D101" s="40" t="n">
        <f aca="false">IF(D$28="nymex",0,VLOOKUP($A101,curvesettle,HLOOKUP(D$28,curvesettle,2,FALSE())))</f>
        <v>0.495</v>
      </c>
      <c r="E101" s="131" t="n">
        <f aca="false">IF(ISNUMBER(VLOOKUP($A101,VOLCURVES,HLOOKUP(D$28,VOLCURVES,2,FALSE()),FALSE())),VLOOKUP($A101,VOLCURVES,HLOOKUP(D$28,VOLCURVES,2,FALSE()),FALSE()),1)</f>
        <v>0.98</v>
      </c>
      <c r="F101" s="136" t="n">
        <f aca="false">IF(D$28="NYMEX",$AG101,$AF101)</f>
        <v>-7001</v>
      </c>
      <c r="G101" s="4" t="e">
        <f aca="false">(($C101+H101)*$E101)+B$15</f>
        <v>#DIV/0!</v>
      </c>
      <c r="H101" s="4" t="e">
        <f aca="false">IF($B$16=1,VLOOKUP($A101,SkewTable,HLOOKUP(ROUND(I101-AO101,1),SkewTable,2,FALSE()),FALSE())/100,0)</f>
        <v>#DIV/0!</v>
      </c>
      <c r="I101" s="41" t="n">
        <f aca="false">IF($B$19=4,$AO101,$B$18)</f>
        <v>5.05</v>
      </c>
      <c r="K101" s="40" t="n">
        <f aca="false">IF(K$28="nymex",0,VLOOKUP($A101,curvesettle,HLOOKUP(K$28,curvesettle,2,FALSE())))</f>
        <v>0.315</v>
      </c>
      <c r="L101" s="131" t="n">
        <f aca="false">IF(ISNUMBER(VLOOKUP($A101,VOLCURVES,HLOOKUP(K$28,VOLCURVES,2,FALSE()),FALSE())),VLOOKUP($A101,VOLCURVES,HLOOKUP(K$28,VOLCURVES,2,FALSE()),FALSE()),1)</f>
        <v>1</v>
      </c>
      <c r="M101" s="136" t="n">
        <f aca="false">IF(K$28="NYMEX",$AG101,$AF101)</f>
        <v>-7001</v>
      </c>
      <c r="N101" s="153" t="e">
        <f aca="false">(($C101+O101)*$L101)+D$15</f>
        <v>#DIV/0!</v>
      </c>
      <c r="O101" s="4" t="e">
        <f aca="false">IF($D$16=1,VLOOKUP($A101,SkewTable,HLOOKUP(ROUND(P101-AZ101,1),SkewTable,2,FALSE()),FALSE())/100,0)</f>
        <v>#DIV/0!</v>
      </c>
      <c r="P101" s="41" t="n">
        <f aca="false">IF($D$19=4,$AZ101,$D$18)</f>
        <v>5.1</v>
      </c>
      <c r="R101" s="40" t="n">
        <f aca="false">IF(R$28="nymex",0,VLOOKUP($A101,curvesettle,HLOOKUP(R$28,curvesettle,2,FALSE())))</f>
        <v>0.025</v>
      </c>
      <c r="S101" s="131" t="n">
        <f aca="false">IF(ISNUMBER(VLOOKUP($A101,VOLCURVES,HLOOKUP(R$28,VOLCURVES,2,FALSE()),FALSE())),VLOOKUP($A101,VOLCURVES,HLOOKUP(R$28,VOLCURVES,2,FALSE()),FALSE()),1)</f>
        <v>1</v>
      </c>
      <c r="T101" s="136" t="n">
        <f aca="false">IF(R$28="NYMEX",$AG101,$AF101)</f>
        <v>-7001</v>
      </c>
      <c r="U101" s="153" t="e">
        <f aca="false">(($C101+V101)*$S101)+F$15</f>
        <v>#DIV/0!</v>
      </c>
      <c r="V101" s="4" t="e">
        <f aca="false">IF($F$16=1,VLOOKUP($A101,SkewTable,HLOOKUP(ROUND(W101-BK101,1),SkewTable,2,FALSE()),FALSE())/100,0)</f>
        <v>#DIV/0!</v>
      </c>
      <c r="W101" s="41" t="n">
        <f aca="false">IF($F$19=4,$BK101,$F$18)</f>
        <v>5.3983</v>
      </c>
      <c r="X101" s="136"/>
      <c r="Y101" s="40" t="n">
        <f aca="false">IF(Y$28="nymex",0,VLOOKUP($A101,curvesettle,HLOOKUP(Y$28,curvesettle,2,FALSE())))</f>
        <v>0.025</v>
      </c>
      <c r="Z101" s="131" t="n">
        <f aca="false">IF(ISNUMBER(VLOOKUP($A101,VOLCURVES,HLOOKUP(Y$28,VOLCURVES,2,FALSE()),FALSE())),VLOOKUP($A101,VOLCURVES,HLOOKUP(Y$28,VOLCURVES,2,FALSE()),FALSE()),1)</f>
        <v>1</v>
      </c>
      <c r="AA101" s="136" t="n">
        <f aca="false">IF(Y$28="NYMEX",$AG101,$AF101)</f>
        <v>-7001</v>
      </c>
      <c r="AB101" s="4" t="e">
        <f aca="false">(($C101+AC101)*$Z101)+H$15</f>
        <v>#DIV/0!</v>
      </c>
      <c r="AC101" s="4" t="e">
        <f aca="false">IF($H$16=1,VLOOKUP($A101,SkewTable,HLOOKUP(ROUND(AD101-BV101,1),SkewTable,2,FALSE()),FALSE())/100,0)</f>
        <v>#DIV/0!</v>
      </c>
      <c r="AD101" s="41" t="n">
        <f aca="false">IF($H$19=4,$BV101,$H$18)</f>
        <v>5.4668</v>
      </c>
      <c r="AF101" s="136" t="n">
        <f aca="false">VLOOKUP($A101,expiration,2,FALSE())-$B$2</f>
        <v>-7001</v>
      </c>
      <c r="AG101" s="136" t="n">
        <f aca="false">VLOOKUP($A101,expiration,3,FALSE())-$B$2</f>
        <v>-7002</v>
      </c>
      <c r="AH101" s="4" t="n">
        <f aca="false">VLOOKUP($A101,STRADDLE,12,FALSE())</f>
        <v>0.068787776133678</v>
      </c>
      <c r="AI101" s="43" t="n">
        <f aca="false">A102-A101</f>
        <v>31</v>
      </c>
      <c r="AL101" s="136"/>
      <c r="AM101" s="9"/>
      <c r="AN101" s="9" t="n">
        <f aca="false">IF($A101&gt;=AO$25,IF($A101&lt;=AO$26,$AI101,0),0)</f>
        <v>0</v>
      </c>
      <c r="AO101" s="9" t="e">
        <f aca="false">AQ101/AN101</f>
        <v>#DIV/0!</v>
      </c>
      <c r="AP101" s="1" t="n">
        <f aca="false">AN101*($B101+B$13)</f>
        <v>0</v>
      </c>
      <c r="AQ101" s="33" t="n">
        <f aca="false">IF(ISNUMBER(((AP101/AN101)+B$14+$D101)*AN101),((AP101/AN101)+B$14+$D101)*AN101,0)</f>
        <v>0</v>
      </c>
      <c r="AR101" s="44" t="n">
        <f aca="false">IF(AN101=0,0,bsd(1,AS$27,AO101,$I101,$F101,$G101,$AH101,0.1))</f>
        <v>0</v>
      </c>
      <c r="AS101" s="44" t="n">
        <f aca="false">IF(AN101=0,0,bsd(2,AS$27,AO101,$I101,$F101,$G101,$AH101,0.1))</f>
        <v>0</v>
      </c>
      <c r="AT101" s="44" t="n">
        <f aca="false">IF(AN101=0,0,bsd(AS$28,AS$27,AO101,$I101,$F101,$G101,$AH101,0.1))</f>
        <v>0</v>
      </c>
      <c r="AU101" s="45" t="n">
        <f aca="false">AN101*AR101</f>
        <v>0</v>
      </c>
      <c r="AV101" s="45" t="n">
        <f aca="false">AN101*AS101</f>
        <v>0</v>
      </c>
      <c r="AW101" s="45" t="n">
        <f aca="false">AN101*AT101</f>
        <v>0</v>
      </c>
      <c r="AY101" s="9" t="n">
        <f aca="false">IF($A101&gt;=AZ$25,IF($A101&lt;=AZ$26,$AI101,0),0)</f>
        <v>0</v>
      </c>
      <c r="AZ101" s="9" t="e">
        <f aca="false">BB101/AY101</f>
        <v>#DIV/0!</v>
      </c>
      <c r="BA101" s="1" t="n">
        <f aca="false">AY101*($B101+D$13)</f>
        <v>0</v>
      </c>
      <c r="BB101" s="33" t="n">
        <f aca="false">IF(ISNUMBER(((BA101/AY101)+D$14+$K101)*AY101),((BA101/AY101)+D$14+$K101)*AY101,0)</f>
        <v>0</v>
      </c>
      <c r="BC101" s="44" t="n">
        <f aca="false">IF(AY101=0,0,bsd(1,BD$27,AZ101,$P101,$M101,$N101,$AH101,0.1))</f>
        <v>0</v>
      </c>
      <c r="BD101" s="44" t="n">
        <f aca="false">IF(AY101=0,0,bsd(2,BD$27,AZ101,$P101,$M101,$N101,$AH101,0.1))</f>
        <v>0</v>
      </c>
      <c r="BE101" s="44" t="n">
        <f aca="false">IF(AY101=0,0,bsd(BD$28,BD$27,AZ101,$P101,$M101,$N101,$AH101,0.1))</f>
        <v>0</v>
      </c>
      <c r="BF101" s="45" t="n">
        <f aca="false">AY101*BC101</f>
        <v>0</v>
      </c>
      <c r="BG101" s="45" t="n">
        <f aca="false">AY101*BD101</f>
        <v>0</v>
      </c>
      <c r="BH101" s="45" t="n">
        <f aca="false">AY101*BE101</f>
        <v>0</v>
      </c>
      <c r="BJ101" s="9" t="n">
        <f aca="false">IF($A101&gt;=BK$25,IF($A101&lt;=BK$26,$AI101,0),0)</f>
        <v>0</v>
      </c>
      <c r="BK101" s="9" t="e">
        <f aca="false">BM101/BJ101</f>
        <v>#DIV/0!</v>
      </c>
      <c r="BL101" s="1" t="n">
        <f aca="false">BJ101*($B101+F$13)</f>
        <v>0</v>
      </c>
      <c r="BM101" s="33" t="n">
        <f aca="false">IF(ISNUMBER(((BL101/BJ101)+F$14+$R101)*BJ101),((BL101/BJ101)+F$14+$R101)*BJ101,0)</f>
        <v>0</v>
      </c>
      <c r="BN101" s="44" t="n">
        <f aca="false">IF(BJ101=0,0,bsd(1,BO$27,BK101,$W101,$T101,$U101,$AH101,0.1))</f>
        <v>0</v>
      </c>
      <c r="BO101" s="44" t="n">
        <f aca="false">IF(BJ101=0,0,bsd(2,BO$27,BK101,$W101,$T101,$U101,$AH101,0.1))</f>
        <v>0</v>
      </c>
      <c r="BP101" s="44" t="n">
        <f aca="false">IF(BJ101=0,0,bsd(BO$28,BO$27,BK101,$W101,$T101,$U101,$AH101,0.1))</f>
        <v>0</v>
      </c>
      <c r="BQ101" s="45" t="n">
        <f aca="false">BJ101*BN101</f>
        <v>0</v>
      </c>
      <c r="BR101" s="45" t="n">
        <f aca="false">BJ101*BO101</f>
        <v>0</v>
      </c>
      <c r="BS101" s="45" t="n">
        <f aca="false">BJ101*BP101</f>
        <v>0</v>
      </c>
      <c r="BU101" s="9" t="n">
        <f aca="false">IF($A101&gt;=BV$25,IF($A101&lt;=BV$26,$AI101,0),0)</f>
        <v>0</v>
      </c>
      <c r="BV101" s="9" t="e">
        <f aca="false">BX101/BU101</f>
        <v>#DIV/0!</v>
      </c>
      <c r="BW101" s="1" t="n">
        <f aca="false">BU101*($B101+H$13)</f>
        <v>0</v>
      </c>
      <c r="BX101" s="33" t="n">
        <f aca="false">IF(ISNUMBER(((BW101/BU101)+H$14+$Y101)*BU101),((BW101/BU101)+H$14+$Y101)*BU101,0)</f>
        <v>0</v>
      </c>
      <c r="BY101" s="44" t="n">
        <f aca="false">IF(BU101=0,0,bsd(1,BZ$27,BV101,$AD101,$AA101,$AB101,$AH101,0.1))</f>
        <v>0</v>
      </c>
      <c r="BZ101" s="44" t="n">
        <f aca="false">IF(BU101=0,0,bsd(2,BZ$27,BV101,$AD101,$AA101,$AB101,$AH101,0.1))</f>
        <v>0</v>
      </c>
      <c r="CA101" s="44" t="n">
        <f aca="false">IF(BU101=0,0,bsd(BZ$28,BZ$27,BV101,$AD101,$AA101,$AB101,$AH101,0.1))</f>
        <v>0</v>
      </c>
      <c r="CB101" s="45" t="n">
        <f aca="false">BU101*BY101</f>
        <v>0</v>
      </c>
      <c r="CC101" s="45" t="n">
        <f aca="false">BU101*BZ101</f>
        <v>0</v>
      </c>
      <c r="CD101" s="45" t="n">
        <f aca="false">BU101*CA101</f>
        <v>0</v>
      </c>
    </row>
    <row r="102" customFormat="false" ht="12.75" hidden="false" customHeight="false" outlineLevel="0" collapsed="false">
      <c r="A102" s="48" t="n">
        <f aca="false">DATE(YEAR(A101),MONTH(A101)+1,1)</f>
        <v>38961</v>
      </c>
      <c r="B102" s="40" t="n">
        <f aca="false">VLOOKUP(A102,STRADDLE,5,FALSE())</f>
        <v>3.019</v>
      </c>
      <c r="C102" s="4" t="n">
        <f aca="false">VLOOKUP(A102,STRADDLE,8,FALSE())</f>
        <v>0.2275</v>
      </c>
      <c r="D102" s="40" t="n">
        <f aca="false">IF(D$28="nymex",0,VLOOKUP($A102,curvesettle,HLOOKUP(D$28,curvesettle,2,FALSE())))</f>
        <v>0.395</v>
      </c>
      <c r="E102" s="131" t="n">
        <f aca="false">IF(ISNUMBER(VLOOKUP($A102,VOLCURVES,HLOOKUP(D$28,VOLCURVES,2,FALSE()),FALSE())),VLOOKUP($A102,VOLCURVES,HLOOKUP(D$28,VOLCURVES,2,FALSE()),FALSE()),1)</f>
        <v>0.98</v>
      </c>
      <c r="F102" s="136" t="n">
        <f aca="false">IF(D$28="NYMEX",$AG102,$AF102)</f>
        <v>-6968</v>
      </c>
      <c r="G102" s="4" t="e">
        <f aca="false">(($C102+H102)*$E102)+B$15</f>
        <v>#DIV/0!</v>
      </c>
      <c r="H102" s="4" t="e">
        <f aca="false">IF($B$16=1,VLOOKUP($A102,SkewTable,HLOOKUP(ROUND(I102-AO102,1),SkewTable,2,FALSE()),FALSE())/100,0)</f>
        <v>#DIV/0!</v>
      </c>
      <c r="I102" s="41" t="n">
        <f aca="false">IF($B$19=4,$AO102,$B$18)</f>
        <v>5.05</v>
      </c>
      <c r="K102" s="40" t="n">
        <f aca="false">IF(K$28="nymex",0,VLOOKUP($A102,curvesettle,HLOOKUP(K$28,curvesettle,2,FALSE())))</f>
        <v>0.315</v>
      </c>
      <c r="L102" s="131" t="n">
        <f aca="false">IF(ISNUMBER(VLOOKUP($A102,VOLCURVES,HLOOKUP(K$28,VOLCURVES,2,FALSE()),FALSE())),VLOOKUP($A102,VOLCURVES,HLOOKUP(K$28,VOLCURVES,2,FALSE()),FALSE()),1)</f>
        <v>1</v>
      </c>
      <c r="M102" s="136" t="n">
        <f aca="false">IF(K$28="NYMEX",$AG102,$AF102)</f>
        <v>-6968</v>
      </c>
      <c r="N102" s="153" t="e">
        <f aca="false">(($C102+O102)*$L102)+D$15</f>
        <v>#DIV/0!</v>
      </c>
      <c r="O102" s="4" t="e">
        <f aca="false">IF($D$16=1,VLOOKUP($A102,SkewTable,HLOOKUP(ROUND(P102-AZ102,1),SkewTable,2,FALSE()),FALSE())/100,0)</f>
        <v>#DIV/0!</v>
      </c>
      <c r="P102" s="41" t="n">
        <f aca="false">IF($D$19=4,$AZ102,$D$18)</f>
        <v>5.1</v>
      </c>
      <c r="R102" s="40" t="n">
        <f aca="false">IF(R$28="nymex",0,VLOOKUP($A102,curvesettle,HLOOKUP(R$28,curvesettle,2,FALSE())))</f>
        <v>0.0175</v>
      </c>
      <c r="S102" s="131" t="n">
        <f aca="false">IF(ISNUMBER(VLOOKUP($A102,VOLCURVES,HLOOKUP(R$28,VOLCURVES,2,FALSE()),FALSE())),VLOOKUP($A102,VOLCURVES,HLOOKUP(R$28,VOLCURVES,2,FALSE()),FALSE()),1)</f>
        <v>1</v>
      </c>
      <c r="T102" s="136" t="n">
        <f aca="false">IF(R$28="NYMEX",$AG102,$AF102)</f>
        <v>-6968</v>
      </c>
      <c r="U102" s="153" t="e">
        <f aca="false">(($C102+V102)*$S102)+F$15</f>
        <v>#DIV/0!</v>
      </c>
      <c r="V102" s="4" t="e">
        <f aca="false">IF($F$16=1,VLOOKUP($A102,SkewTable,HLOOKUP(ROUND(W102-BK102,1),SkewTable,2,FALSE()),FALSE())/100,0)</f>
        <v>#DIV/0!</v>
      </c>
      <c r="W102" s="41" t="n">
        <f aca="false">IF($F$19=4,$BK102,$F$18)</f>
        <v>5.3983</v>
      </c>
      <c r="X102" s="136"/>
      <c r="Y102" s="40" t="n">
        <f aca="false">IF(Y$28="nymex",0,VLOOKUP($A102,curvesettle,HLOOKUP(Y$28,curvesettle,2,FALSE())))</f>
        <v>0.0175</v>
      </c>
      <c r="Z102" s="131" t="n">
        <f aca="false">IF(ISNUMBER(VLOOKUP($A102,VOLCURVES,HLOOKUP(Y$28,VOLCURVES,2,FALSE()),FALSE())),VLOOKUP($A102,VOLCURVES,HLOOKUP(Y$28,VOLCURVES,2,FALSE()),FALSE()),1)</f>
        <v>1</v>
      </c>
      <c r="AA102" s="136" t="n">
        <f aca="false">IF(Y$28="NYMEX",$AG102,$AF102)</f>
        <v>-6968</v>
      </c>
      <c r="AB102" s="4" t="e">
        <f aca="false">(($C102+AC102)*$Z102)+H$15</f>
        <v>#DIV/0!</v>
      </c>
      <c r="AC102" s="4" t="e">
        <f aca="false">IF($H$16=1,VLOOKUP($A102,SkewTable,HLOOKUP(ROUND(AD102-BV102,1),SkewTable,2,FALSE()),FALSE())/100,0)</f>
        <v>#DIV/0!</v>
      </c>
      <c r="AD102" s="41" t="n">
        <f aca="false">IF($H$19=4,$BV102,$H$18)</f>
        <v>5.4668</v>
      </c>
      <c r="AF102" s="136" t="n">
        <f aca="false">VLOOKUP($A102,expiration,2,FALSE())-$B$2</f>
        <v>-6968</v>
      </c>
      <c r="AG102" s="136" t="n">
        <f aca="false">VLOOKUP($A102,expiration,3,FALSE())-$B$2</f>
        <v>-6969</v>
      </c>
      <c r="AH102" s="4" t="n">
        <f aca="false">VLOOKUP($A102,STRADDLE,12,FALSE())</f>
        <v>0.068839125521179</v>
      </c>
      <c r="AI102" s="43" t="n">
        <f aca="false">A103-A102</f>
        <v>30</v>
      </c>
      <c r="AL102" s="136"/>
      <c r="AM102" s="9"/>
      <c r="AN102" s="9" t="n">
        <f aca="false">IF($A102&gt;=AO$25,IF($A102&lt;=AO$26,$AI102,0),0)</f>
        <v>0</v>
      </c>
      <c r="AO102" s="9" t="e">
        <f aca="false">AQ102/AN102</f>
        <v>#DIV/0!</v>
      </c>
      <c r="AP102" s="1" t="n">
        <f aca="false">AN102*($B102+B$13)</f>
        <v>0</v>
      </c>
      <c r="AQ102" s="33" t="n">
        <f aca="false">IF(ISNUMBER(((AP102/AN102)+B$14+$D102)*AN102),((AP102/AN102)+B$14+$D102)*AN102,0)</f>
        <v>0</v>
      </c>
      <c r="AR102" s="44" t="n">
        <f aca="false">IF(AN102=0,0,bsd(1,AS$27,AO102,$I102,$F102,$G102,$AH102,0.1))</f>
        <v>0</v>
      </c>
      <c r="AS102" s="44" t="n">
        <f aca="false">IF(AN102=0,0,bsd(2,AS$27,AO102,$I102,$F102,$G102,$AH102,0.1))</f>
        <v>0</v>
      </c>
      <c r="AT102" s="44" t="n">
        <f aca="false">IF(AN102=0,0,bsd(AS$28,AS$27,AO102,$I102,$F102,$G102,$AH102,0.1))</f>
        <v>0</v>
      </c>
      <c r="AU102" s="45" t="n">
        <f aca="false">AN102*AR102</f>
        <v>0</v>
      </c>
      <c r="AV102" s="45" t="n">
        <f aca="false">AN102*AS102</f>
        <v>0</v>
      </c>
      <c r="AW102" s="45" t="n">
        <f aca="false">AN102*AT102</f>
        <v>0</v>
      </c>
      <c r="AY102" s="9" t="n">
        <f aca="false">IF($A102&gt;=AZ$25,IF($A102&lt;=AZ$26,$AI102,0),0)</f>
        <v>0</v>
      </c>
      <c r="AZ102" s="9" t="e">
        <f aca="false">BB102/AY102</f>
        <v>#DIV/0!</v>
      </c>
      <c r="BA102" s="1" t="n">
        <f aca="false">AY102*($B102+D$13)</f>
        <v>0</v>
      </c>
      <c r="BB102" s="33" t="n">
        <f aca="false">IF(ISNUMBER(((BA102/AY102)+D$14+$K102)*AY102),((BA102/AY102)+D$14+$K102)*AY102,0)</f>
        <v>0</v>
      </c>
      <c r="BC102" s="44" t="n">
        <f aca="false">IF(AY102=0,0,bsd(1,BD$27,AZ102,$P102,$M102,$N102,$AH102,0.1))</f>
        <v>0</v>
      </c>
      <c r="BD102" s="44" t="n">
        <f aca="false">IF(AY102=0,0,bsd(2,BD$27,AZ102,$P102,$M102,$N102,$AH102,0.1))</f>
        <v>0</v>
      </c>
      <c r="BE102" s="44" t="n">
        <f aca="false">IF(AY102=0,0,bsd(BD$28,BD$27,AZ102,$P102,$M102,$N102,$AH102,0.1))</f>
        <v>0</v>
      </c>
      <c r="BF102" s="45" t="n">
        <f aca="false">AY102*BC102</f>
        <v>0</v>
      </c>
      <c r="BG102" s="45" t="n">
        <f aca="false">AY102*BD102</f>
        <v>0</v>
      </c>
      <c r="BH102" s="45" t="n">
        <f aca="false">AY102*BE102</f>
        <v>0</v>
      </c>
      <c r="BJ102" s="9" t="n">
        <f aca="false">IF($A102&gt;=BK$25,IF($A102&lt;=BK$26,$AI102,0),0)</f>
        <v>0</v>
      </c>
      <c r="BK102" s="9" t="e">
        <f aca="false">BM102/BJ102</f>
        <v>#DIV/0!</v>
      </c>
      <c r="BL102" s="1" t="n">
        <f aca="false">BJ102*($B102+F$13)</f>
        <v>0</v>
      </c>
      <c r="BM102" s="33" t="n">
        <f aca="false">IF(ISNUMBER(((BL102/BJ102)+F$14+$R102)*BJ102),((BL102/BJ102)+F$14+$R102)*BJ102,0)</f>
        <v>0</v>
      </c>
      <c r="BN102" s="44" t="n">
        <f aca="false">IF(BJ102=0,0,bsd(1,BO$27,BK102,$W102,$T102,$U102,$AH102,0.1))</f>
        <v>0</v>
      </c>
      <c r="BO102" s="44" t="n">
        <f aca="false">IF(BJ102=0,0,bsd(2,BO$27,BK102,$W102,$T102,$U102,$AH102,0.1))</f>
        <v>0</v>
      </c>
      <c r="BP102" s="44" t="n">
        <f aca="false">IF(BJ102=0,0,bsd(BO$28,BO$27,BK102,$W102,$T102,$U102,$AH102,0.1))</f>
        <v>0</v>
      </c>
      <c r="BQ102" s="45" t="n">
        <f aca="false">BJ102*BN102</f>
        <v>0</v>
      </c>
      <c r="BR102" s="45" t="n">
        <f aca="false">BJ102*BO102</f>
        <v>0</v>
      </c>
      <c r="BS102" s="45" t="n">
        <f aca="false">BJ102*BP102</f>
        <v>0</v>
      </c>
      <c r="BU102" s="9" t="n">
        <f aca="false">IF($A102&gt;=BV$25,IF($A102&lt;=BV$26,$AI102,0),0)</f>
        <v>0</v>
      </c>
      <c r="BV102" s="9" t="e">
        <f aca="false">BX102/BU102</f>
        <v>#DIV/0!</v>
      </c>
      <c r="BW102" s="1" t="n">
        <f aca="false">BU102*($B102+H$13)</f>
        <v>0</v>
      </c>
      <c r="BX102" s="33" t="n">
        <f aca="false">IF(ISNUMBER(((BW102/BU102)+H$14+$Y102)*BU102),((BW102/BU102)+H$14+$Y102)*BU102,0)</f>
        <v>0</v>
      </c>
      <c r="BY102" s="44" t="n">
        <f aca="false">IF(BU102=0,0,bsd(1,BZ$27,BV102,$AD102,$AA102,$AB102,$AH102,0.1))</f>
        <v>0</v>
      </c>
      <c r="BZ102" s="44" t="n">
        <f aca="false">IF(BU102=0,0,bsd(2,BZ$27,BV102,$AD102,$AA102,$AB102,$AH102,0.1))</f>
        <v>0</v>
      </c>
      <c r="CA102" s="44" t="n">
        <f aca="false">IF(BU102=0,0,bsd(BZ$28,BZ$27,BV102,$AD102,$AA102,$AB102,$AH102,0.1))</f>
        <v>0</v>
      </c>
      <c r="CB102" s="45" t="n">
        <f aca="false">BU102*BY102</f>
        <v>0</v>
      </c>
      <c r="CC102" s="45" t="n">
        <f aca="false">BU102*BZ102</f>
        <v>0</v>
      </c>
      <c r="CD102" s="45" t="n">
        <f aca="false">BU102*CA102</f>
        <v>0</v>
      </c>
    </row>
    <row r="103" customFormat="false" ht="12.75" hidden="false" customHeight="false" outlineLevel="0" collapsed="false">
      <c r="A103" s="48" t="n">
        <f aca="false">DATE(YEAR(A102),MONTH(A102)+1,1)</f>
        <v>38991</v>
      </c>
      <c r="B103" s="40" t="n">
        <f aca="false">VLOOKUP(A103,STRADDLE,5,FALSE())</f>
        <v>3.039</v>
      </c>
      <c r="C103" s="4" t="n">
        <f aca="false">VLOOKUP(A103,STRADDLE,8,FALSE())</f>
        <v>0.2275</v>
      </c>
      <c r="D103" s="40" t="n">
        <f aca="false">IF(D$28="nymex",0,VLOOKUP($A103,curvesettle,HLOOKUP(D$28,curvesettle,2,FALSE())))</f>
        <v>0.461</v>
      </c>
      <c r="E103" s="131" t="n">
        <f aca="false">IF(ISNUMBER(VLOOKUP($A103,VOLCURVES,HLOOKUP(D$28,VOLCURVES,2,FALSE()),FALSE())),VLOOKUP($A103,VOLCURVES,HLOOKUP(D$28,VOLCURVES,2,FALSE()),FALSE()),1)</f>
        <v>0.98</v>
      </c>
      <c r="F103" s="136" t="n">
        <f aca="false">IF(D$28="NYMEX",$AG103,$AF103)</f>
        <v>-6939</v>
      </c>
      <c r="G103" s="4" t="e">
        <f aca="false">(($C103+H103)*$E103)+B$15</f>
        <v>#DIV/0!</v>
      </c>
      <c r="H103" s="4" t="e">
        <f aca="false">IF($B$16=1,VLOOKUP($A103,SkewTable,HLOOKUP(ROUND(I103-AO103,1),SkewTable,2,FALSE()),FALSE())/100,0)</f>
        <v>#DIV/0!</v>
      </c>
      <c r="I103" s="41" t="n">
        <f aca="false">IF($B$19=4,$AO103,$B$18)</f>
        <v>5.05</v>
      </c>
      <c r="K103" s="40" t="n">
        <f aca="false">IF(K$28="nymex",0,VLOOKUP($A103,curvesettle,HLOOKUP(K$28,curvesettle,2,FALSE())))</f>
        <v>0.315</v>
      </c>
      <c r="L103" s="131" t="n">
        <f aca="false">IF(ISNUMBER(VLOOKUP($A103,VOLCURVES,HLOOKUP(K$28,VOLCURVES,2,FALSE()),FALSE())),VLOOKUP($A103,VOLCURVES,HLOOKUP(K$28,VOLCURVES,2,FALSE()),FALSE()),1)</f>
        <v>1</v>
      </c>
      <c r="M103" s="136" t="n">
        <f aca="false">IF(K$28="NYMEX",$AG103,$AF103)</f>
        <v>-6939</v>
      </c>
      <c r="N103" s="153" t="e">
        <f aca="false">(($C103+O103)*$L103)+D$15</f>
        <v>#DIV/0!</v>
      </c>
      <c r="O103" s="4" t="e">
        <f aca="false">IF($D$16=1,VLOOKUP($A103,SkewTable,HLOOKUP(ROUND(P103-AZ103,1),SkewTable,2,FALSE()),FALSE())/100,0)</f>
        <v>#DIV/0!</v>
      </c>
      <c r="P103" s="41" t="n">
        <f aca="false">IF($D$19=4,$AZ103,$D$18)</f>
        <v>5.1</v>
      </c>
      <c r="R103" s="40" t="n">
        <f aca="false">IF(R$28="nymex",0,VLOOKUP($A103,curvesettle,HLOOKUP(R$28,curvesettle,2,FALSE())))</f>
        <v>0.0075</v>
      </c>
      <c r="S103" s="131" t="n">
        <f aca="false">IF(ISNUMBER(VLOOKUP($A103,VOLCURVES,HLOOKUP(R$28,VOLCURVES,2,FALSE()),FALSE())),VLOOKUP($A103,VOLCURVES,HLOOKUP(R$28,VOLCURVES,2,FALSE()),FALSE()),1)</f>
        <v>1</v>
      </c>
      <c r="T103" s="136" t="n">
        <f aca="false">IF(R$28="NYMEX",$AG103,$AF103)</f>
        <v>-6939</v>
      </c>
      <c r="U103" s="153" t="e">
        <f aca="false">(($C103+V103)*$S103)+F$15</f>
        <v>#DIV/0!</v>
      </c>
      <c r="V103" s="4" t="e">
        <f aca="false">IF($F$16=1,VLOOKUP($A103,SkewTable,HLOOKUP(ROUND(W103-BK103,1),SkewTable,2,FALSE()),FALSE())/100,0)</f>
        <v>#DIV/0!</v>
      </c>
      <c r="W103" s="41" t="n">
        <f aca="false">IF($F$19=4,$BK103,$F$18)</f>
        <v>5.3983</v>
      </c>
      <c r="X103" s="136"/>
      <c r="Y103" s="40" t="n">
        <f aca="false">IF(Y$28="nymex",0,VLOOKUP($A103,curvesettle,HLOOKUP(Y$28,curvesettle,2,FALSE())))</f>
        <v>0.0075</v>
      </c>
      <c r="Z103" s="131" t="n">
        <f aca="false">IF(ISNUMBER(VLOOKUP($A103,VOLCURVES,HLOOKUP(Y$28,VOLCURVES,2,FALSE()),FALSE())),VLOOKUP($A103,VOLCURVES,HLOOKUP(Y$28,VOLCURVES,2,FALSE()),FALSE()),1)</f>
        <v>1</v>
      </c>
      <c r="AA103" s="136" t="n">
        <f aca="false">IF(Y$28="NYMEX",$AG103,$AF103)</f>
        <v>-6939</v>
      </c>
      <c r="AB103" s="4" t="e">
        <f aca="false">(($C103+AC103)*$Z103)+H$15</f>
        <v>#DIV/0!</v>
      </c>
      <c r="AC103" s="4" t="e">
        <f aca="false">IF($H$16=1,VLOOKUP($A103,SkewTable,HLOOKUP(ROUND(AD103-BV103,1),SkewTable,2,FALSE()),FALSE())/100,0)</f>
        <v>#DIV/0!</v>
      </c>
      <c r="AD103" s="41" t="n">
        <f aca="false">IF($H$19=4,$BV103,$H$18)</f>
        <v>5.4668</v>
      </c>
      <c r="AF103" s="136" t="n">
        <f aca="false">VLOOKUP($A103,expiration,2,FALSE())-$B$2</f>
        <v>-6939</v>
      </c>
      <c r="AG103" s="136" t="n">
        <f aca="false">VLOOKUP($A103,expiration,3,FALSE())-$B$2</f>
        <v>-6940</v>
      </c>
      <c r="AH103" s="4" t="n">
        <f aca="false">VLOOKUP($A103,STRADDLE,12,FALSE())</f>
        <v>0.068888818477656</v>
      </c>
      <c r="AI103" s="43" t="n">
        <f aca="false">A104-A103</f>
        <v>31</v>
      </c>
      <c r="AL103" s="136"/>
      <c r="AM103" s="9"/>
      <c r="AN103" s="9" t="n">
        <f aca="false">IF($A103&gt;=AO$25,IF($A103&lt;=AO$26,$AI103,0),0)</f>
        <v>0</v>
      </c>
      <c r="AO103" s="9" t="e">
        <f aca="false">AQ103/AN103</f>
        <v>#DIV/0!</v>
      </c>
      <c r="AP103" s="1" t="n">
        <f aca="false">AN103*($B103+B$13)</f>
        <v>0</v>
      </c>
      <c r="AQ103" s="33" t="n">
        <f aca="false">IF(ISNUMBER(((AP103/AN103)+B$14+$D103)*AN103),((AP103/AN103)+B$14+$D103)*AN103,0)</f>
        <v>0</v>
      </c>
      <c r="AR103" s="44" t="n">
        <f aca="false">IF(AN103=0,0,bsd(1,AS$27,AO103,$I103,$F103,$G103,$AH103,0.1))</f>
        <v>0</v>
      </c>
      <c r="AS103" s="44" t="n">
        <f aca="false">IF(AN103=0,0,bsd(2,AS$27,AO103,$I103,$F103,$G103,$AH103,0.1))</f>
        <v>0</v>
      </c>
      <c r="AT103" s="44" t="n">
        <f aca="false">IF(AN103=0,0,bsd(AS$28,AS$27,AO103,$I103,$F103,$G103,$AH103,0.1))</f>
        <v>0</v>
      </c>
      <c r="AU103" s="45" t="n">
        <f aca="false">AN103*AR103</f>
        <v>0</v>
      </c>
      <c r="AV103" s="45" t="n">
        <f aca="false">AN103*AS103</f>
        <v>0</v>
      </c>
      <c r="AW103" s="45" t="n">
        <f aca="false">AN103*AT103</f>
        <v>0</v>
      </c>
      <c r="AY103" s="9" t="n">
        <f aca="false">IF($A103&gt;=AZ$25,IF($A103&lt;=AZ$26,$AI103,0),0)</f>
        <v>0</v>
      </c>
      <c r="AZ103" s="9" t="e">
        <f aca="false">BB103/AY103</f>
        <v>#DIV/0!</v>
      </c>
      <c r="BA103" s="1" t="n">
        <f aca="false">AY103*($B103+D$13)</f>
        <v>0</v>
      </c>
      <c r="BB103" s="33" t="n">
        <f aca="false">IF(ISNUMBER(((BA103/AY103)+D$14+$K103)*AY103),((BA103/AY103)+D$14+$K103)*AY103,0)</f>
        <v>0</v>
      </c>
      <c r="BC103" s="44" t="n">
        <f aca="false">IF(AY103=0,0,bsd(1,BD$27,AZ103,$P103,$M103,$N103,$AH103,0.1))</f>
        <v>0</v>
      </c>
      <c r="BD103" s="44" t="n">
        <f aca="false">IF(AY103=0,0,bsd(2,BD$27,AZ103,$P103,$M103,$N103,$AH103,0.1))</f>
        <v>0</v>
      </c>
      <c r="BE103" s="44" t="n">
        <f aca="false">IF(AY103=0,0,bsd(BD$28,BD$27,AZ103,$P103,$M103,$N103,$AH103,0.1))</f>
        <v>0</v>
      </c>
      <c r="BF103" s="45" t="n">
        <f aca="false">AY103*BC103</f>
        <v>0</v>
      </c>
      <c r="BG103" s="45" t="n">
        <f aca="false">AY103*BD103</f>
        <v>0</v>
      </c>
      <c r="BH103" s="45" t="n">
        <f aca="false">AY103*BE103</f>
        <v>0</v>
      </c>
      <c r="BJ103" s="9" t="n">
        <f aca="false">IF($A103&gt;=BK$25,IF($A103&lt;=BK$26,$AI103,0),0)</f>
        <v>0</v>
      </c>
      <c r="BK103" s="9" t="e">
        <f aca="false">BM103/BJ103</f>
        <v>#DIV/0!</v>
      </c>
      <c r="BL103" s="1" t="n">
        <f aca="false">BJ103*($B103+F$13)</f>
        <v>0</v>
      </c>
      <c r="BM103" s="33" t="n">
        <f aca="false">IF(ISNUMBER(((BL103/BJ103)+F$14+$R103)*BJ103),((BL103/BJ103)+F$14+$R103)*BJ103,0)</f>
        <v>0</v>
      </c>
      <c r="BN103" s="44" t="n">
        <f aca="false">IF(BJ103=0,0,bsd(1,BO$27,BK103,$W103,$T103,$U103,$AH103,0.1))</f>
        <v>0</v>
      </c>
      <c r="BO103" s="44" t="n">
        <f aca="false">IF(BJ103=0,0,bsd(2,BO$27,BK103,$W103,$T103,$U103,$AH103,0.1))</f>
        <v>0</v>
      </c>
      <c r="BP103" s="44" t="n">
        <f aca="false">IF(BJ103=0,0,bsd(BO$28,BO$27,BK103,$W103,$T103,$U103,$AH103,0.1))</f>
        <v>0</v>
      </c>
      <c r="BQ103" s="45" t="n">
        <f aca="false">BJ103*BN103</f>
        <v>0</v>
      </c>
      <c r="BR103" s="45" t="n">
        <f aca="false">BJ103*BO103</f>
        <v>0</v>
      </c>
      <c r="BS103" s="45" t="n">
        <f aca="false">BJ103*BP103</f>
        <v>0</v>
      </c>
      <c r="BU103" s="9" t="n">
        <f aca="false">IF($A103&gt;=BV$25,IF($A103&lt;=BV$26,$AI103,0),0)</f>
        <v>0</v>
      </c>
      <c r="BV103" s="9" t="e">
        <f aca="false">BX103/BU103</f>
        <v>#DIV/0!</v>
      </c>
      <c r="BW103" s="1" t="n">
        <f aca="false">BU103*($B103+H$13)</f>
        <v>0</v>
      </c>
      <c r="BX103" s="33" t="n">
        <f aca="false">IF(ISNUMBER(((BW103/BU103)+H$14+$Y103)*BU103),((BW103/BU103)+H$14+$Y103)*BU103,0)</f>
        <v>0</v>
      </c>
      <c r="BY103" s="44" t="n">
        <f aca="false">IF(BU103=0,0,bsd(1,BZ$27,BV103,$AD103,$AA103,$AB103,$AH103,0.1))</f>
        <v>0</v>
      </c>
      <c r="BZ103" s="44" t="n">
        <f aca="false">IF(BU103=0,0,bsd(2,BZ$27,BV103,$AD103,$AA103,$AB103,$AH103,0.1))</f>
        <v>0</v>
      </c>
      <c r="CA103" s="44" t="n">
        <f aca="false">IF(BU103=0,0,bsd(BZ$28,BZ$27,BV103,$AD103,$AA103,$AB103,$AH103,0.1))</f>
        <v>0</v>
      </c>
      <c r="CB103" s="45" t="n">
        <f aca="false">BU103*BY103</f>
        <v>0</v>
      </c>
      <c r="CC103" s="45" t="n">
        <f aca="false">BU103*BZ103</f>
        <v>0</v>
      </c>
      <c r="CD103" s="45" t="n">
        <f aca="false">BU103*CA103</f>
        <v>0</v>
      </c>
    </row>
    <row r="104" customFormat="false" ht="12.75" hidden="false" customHeight="false" outlineLevel="0" collapsed="false">
      <c r="A104" s="48" t="n">
        <f aca="false">DATE(YEAR(A103),MONTH(A103)+1,1)</f>
        <v>39022</v>
      </c>
      <c r="B104" s="40" t="n">
        <f aca="false">VLOOKUP(A104,STRADDLE,5,FALSE())</f>
        <v>3.116</v>
      </c>
      <c r="C104" s="4" t="n">
        <f aca="false">VLOOKUP(A104,STRADDLE,8,FALSE())</f>
        <v>0.23</v>
      </c>
      <c r="D104" s="40" t="n">
        <f aca="false">IF(D$28="nymex",0,VLOOKUP($A104,curvesettle,HLOOKUP(D$28,curvesettle,2,FALSE())))</f>
        <v>0.885</v>
      </c>
      <c r="E104" s="131" t="n">
        <f aca="false">IF(ISNUMBER(VLOOKUP($A104,VOLCURVES,HLOOKUP(D$28,VOLCURVES,2,FALSE()),FALSE())),VLOOKUP($A104,VOLCURVES,HLOOKUP(D$28,VOLCURVES,2,FALSE()),FALSE()),1)</f>
        <v>1.1</v>
      </c>
      <c r="F104" s="136" t="n">
        <f aca="false">IF(D$28="NYMEX",$AG104,$AF104)</f>
        <v>-6909</v>
      </c>
      <c r="G104" s="4" t="e">
        <f aca="false">(($C104+H104)*$E104)+B$15</f>
        <v>#DIV/0!</v>
      </c>
      <c r="H104" s="4" t="e">
        <f aca="false">IF($B$16=1,VLOOKUP($A104,SkewTable,HLOOKUP(ROUND(I104-AO104,1),SkewTable,2,FALSE()),FALSE())/100,0)</f>
        <v>#DIV/0!</v>
      </c>
      <c r="I104" s="41" t="n">
        <f aca="false">IF($B$19=4,$AO104,$B$18)</f>
        <v>5.05</v>
      </c>
      <c r="K104" s="40" t="n">
        <f aca="false">IF(K$28="nymex",0,VLOOKUP($A104,curvesettle,HLOOKUP(K$28,curvesettle,2,FALSE())))</f>
        <v>0.14</v>
      </c>
      <c r="L104" s="131" t="n">
        <f aca="false">IF(ISNUMBER(VLOOKUP($A104,VOLCURVES,HLOOKUP(K$28,VOLCURVES,2,FALSE()),FALSE())),VLOOKUP($A104,VOLCURVES,HLOOKUP(K$28,VOLCURVES,2,FALSE()),FALSE()),1)</f>
        <v>1</v>
      </c>
      <c r="M104" s="136" t="n">
        <f aca="false">IF(K$28="NYMEX",$AG104,$AF104)</f>
        <v>-6909</v>
      </c>
      <c r="N104" s="153" t="e">
        <f aca="false">(($C104+O104)*$L104)+D$15</f>
        <v>#DIV/0!</v>
      </c>
      <c r="O104" s="4" t="e">
        <f aca="false">IF($D$16=1,VLOOKUP($A104,SkewTable,HLOOKUP(ROUND(P104-AZ104,1),SkewTable,2,FALSE()),FALSE())/100,0)</f>
        <v>#DIV/0!</v>
      </c>
      <c r="P104" s="41" t="n">
        <f aca="false">IF($D$19=4,$AZ104,$D$18)</f>
        <v>5.1</v>
      </c>
      <c r="R104" s="40" t="n">
        <f aca="false">IF(R$28="nymex",0,VLOOKUP($A104,curvesettle,HLOOKUP(R$28,curvesettle,2,FALSE())))</f>
        <v>-0.0325</v>
      </c>
      <c r="S104" s="131" t="n">
        <f aca="false">IF(ISNUMBER(VLOOKUP($A104,VOLCURVES,HLOOKUP(R$28,VOLCURVES,2,FALSE()),FALSE())),VLOOKUP($A104,VOLCURVES,HLOOKUP(R$28,VOLCURVES,2,FALSE()),FALSE()),1)</f>
        <v>1</v>
      </c>
      <c r="T104" s="136" t="n">
        <f aca="false">IF(R$28="NYMEX",$AG104,$AF104)</f>
        <v>-6909</v>
      </c>
      <c r="U104" s="153" t="e">
        <f aca="false">(($C104+V104)*$S104)+F$15</f>
        <v>#DIV/0!</v>
      </c>
      <c r="V104" s="4" t="e">
        <f aca="false">IF($F$16=1,VLOOKUP($A104,SkewTable,HLOOKUP(ROUND(W104-BK104,1),SkewTable,2,FALSE()),FALSE())/100,0)</f>
        <v>#DIV/0!</v>
      </c>
      <c r="W104" s="41" t="n">
        <f aca="false">IF($F$19=4,$BK104,$F$18)</f>
        <v>5.3983</v>
      </c>
      <c r="X104" s="136"/>
      <c r="Y104" s="40" t="n">
        <f aca="false">IF(Y$28="nymex",0,VLOOKUP($A104,curvesettle,HLOOKUP(Y$28,curvesettle,2,FALSE())))</f>
        <v>-0.0325</v>
      </c>
      <c r="Z104" s="131" t="n">
        <f aca="false">IF(ISNUMBER(VLOOKUP($A104,VOLCURVES,HLOOKUP(Y$28,VOLCURVES,2,FALSE()),FALSE())),VLOOKUP($A104,VOLCURVES,HLOOKUP(Y$28,VOLCURVES,2,FALSE()),FALSE()),1)</f>
        <v>1</v>
      </c>
      <c r="AA104" s="136" t="n">
        <f aca="false">IF(Y$28="NYMEX",$AG104,$AF104)</f>
        <v>-6909</v>
      </c>
      <c r="AB104" s="4" t="e">
        <f aca="false">(($C104+AC104)*$Z104)+H$15</f>
        <v>#DIV/0!</v>
      </c>
      <c r="AC104" s="4" t="e">
        <f aca="false">IF($H$16=1,VLOOKUP($A104,SkewTable,HLOOKUP(ROUND(AD104-BV104,1),SkewTable,2,FALSE()),FALSE())/100,0)</f>
        <v>#DIV/0!</v>
      </c>
      <c r="AD104" s="41" t="n">
        <f aca="false">IF($H$19=4,$BV104,$H$18)</f>
        <v>5.4668</v>
      </c>
      <c r="AF104" s="136" t="n">
        <f aca="false">VLOOKUP($A104,expiration,2,FALSE())-$B$2</f>
        <v>-6909</v>
      </c>
      <c r="AG104" s="136" t="n">
        <f aca="false">VLOOKUP($A104,expiration,3,FALSE())-$B$2</f>
        <v>-6910</v>
      </c>
      <c r="AH104" s="4" t="n">
        <f aca="false">VLOOKUP($A104,STRADDLE,12,FALSE())</f>
        <v>0.068940167866873</v>
      </c>
      <c r="AI104" s="43" t="n">
        <f aca="false">A105-A104</f>
        <v>30</v>
      </c>
      <c r="AL104" s="136"/>
      <c r="AM104" s="9"/>
      <c r="AN104" s="9" t="n">
        <f aca="false">IF($A104&gt;=AO$25,IF($A104&lt;=AO$26,$AI104,0),0)</f>
        <v>0</v>
      </c>
      <c r="AO104" s="9" t="e">
        <f aca="false">AQ104/AN104</f>
        <v>#DIV/0!</v>
      </c>
      <c r="AP104" s="1" t="n">
        <f aca="false">AN104*($B104+B$13)</f>
        <v>0</v>
      </c>
      <c r="AQ104" s="33" t="n">
        <f aca="false">IF(ISNUMBER(((AP104/AN104)+B$14+$D104)*AN104),((AP104/AN104)+B$14+$D104)*AN104,0)</f>
        <v>0</v>
      </c>
      <c r="AR104" s="44" t="n">
        <f aca="false">IF(AN104=0,0,bsd(1,AS$27,AO104,$I104,$F104,$G104,$AH104,0.1))</f>
        <v>0</v>
      </c>
      <c r="AS104" s="44" t="n">
        <f aca="false">IF(AN104=0,0,bsd(2,AS$27,AO104,$I104,$F104,$G104,$AH104,0.1))</f>
        <v>0</v>
      </c>
      <c r="AT104" s="44" t="n">
        <f aca="false">IF(AN104=0,0,bsd(AS$28,AS$27,AO104,$I104,$F104,$G104,$AH104,0.1))</f>
        <v>0</v>
      </c>
      <c r="AU104" s="45" t="n">
        <f aca="false">AN104*AR104</f>
        <v>0</v>
      </c>
      <c r="AV104" s="45" t="n">
        <f aca="false">AN104*AS104</f>
        <v>0</v>
      </c>
      <c r="AW104" s="45" t="n">
        <f aca="false">AN104*AT104</f>
        <v>0</v>
      </c>
      <c r="AY104" s="9" t="n">
        <f aca="false">IF($A104&gt;=AZ$25,IF($A104&lt;=AZ$26,$AI104,0),0)</f>
        <v>0</v>
      </c>
      <c r="AZ104" s="9" t="e">
        <f aca="false">BB104/AY104</f>
        <v>#DIV/0!</v>
      </c>
      <c r="BA104" s="1" t="n">
        <f aca="false">AY104*($B104+D$13)</f>
        <v>0</v>
      </c>
      <c r="BB104" s="33" t="n">
        <f aca="false">IF(ISNUMBER(((BA104/AY104)+D$14+$K104)*AY104),((BA104/AY104)+D$14+$K104)*AY104,0)</f>
        <v>0</v>
      </c>
      <c r="BC104" s="44" t="n">
        <f aca="false">IF(AY104=0,0,bsd(1,BD$27,AZ104,$P104,$M104,$N104,$AH104,0.1))</f>
        <v>0</v>
      </c>
      <c r="BD104" s="44" t="n">
        <f aca="false">IF(AY104=0,0,bsd(2,BD$27,AZ104,$P104,$M104,$N104,$AH104,0.1))</f>
        <v>0</v>
      </c>
      <c r="BE104" s="44" t="n">
        <f aca="false">IF(AY104=0,0,bsd(BD$28,BD$27,AZ104,$P104,$M104,$N104,$AH104,0.1))</f>
        <v>0</v>
      </c>
      <c r="BF104" s="45" t="n">
        <f aca="false">AY104*BC104</f>
        <v>0</v>
      </c>
      <c r="BG104" s="45" t="n">
        <f aca="false">AY104*BD104</f>
        <v>0</v>
      </c>
      <c r="BH104" s="45" t="n">
        <f aca="false">AY104*BE104</f>
        <v>0</v>
      </c>
      <c r="BJ104" s="9" t="n">
        <f aca="false">IF($A104&gt;=BK$25,IF($A104&lt;=BK$26,$AI104,0),0)</f>
        <v>0</v>
      </c>
      <c r="BK104" s="9" t="e">
        <f aca="false">BM104/BJ104</f>
        <v>#DIV/0!</v>
      </c>
      <c r="BL104" s="1" t="n">
        <f aca="false">BJ104*($B104+F$13)</f>
        <v>0</v>
      </c>
      <c r="BM104" s="33" t="n">
        <f aca="false">IF(ISNUMBER(((BL104/BJ104)+F$14+$R104)*BJ104),((BL104/BJ104)+F$14+$R104)*BJ104,0)</f>
        <v>0</v>
      </c>
      <c r="BN104" s="44" t="n">
        <f aca="false">IF(BJ104=0,0,bsd(1,BO$27,BK104,$W104,$T104,$U104,$AH104,0.1))</f>
        <v>0</v>
      </c>
      <c r="BO104" s="44" t="n">
        <f aca="false">IF(BJ104=0,0,bsd(2,BO$27,BK104,$W104,$T104,$U104,$AH104,0.1))</f>
        <v>0</v>
      </c>
      <c r="BP104" s="44" t="n">
        <f aca="false">IF(BJ104=0,0,bsd(BO$28,BO$27,BK104,$W104,$T104,$U104,$AH104,0.1))</f>
        <v>0</v>
      </c>
      <c r="BQ104" s="45" t="n">
        <f aca="false">BJ104*BN104</f>
        <v>0</v>
      </c>
      <c r="BR104" s="45" t="n">
        <f aca="false">BJ104*BO104</f>
        <v>0</v>
      </c>
      <c r="BS104" s="45" t="n">
        <f aca="false">BJ104*BP104</f>
        <v>0</v>
      </c>
      <c r="BU104" s="9" t="n">
        <f aca="false">IF($A104&gt;=BV$25,IF($A104&lt;=BV$26,$AI104,0),0)</f>
        <v>0</v>
      </c>
      <c r="BV104" s="9" t="e">
        <f aca="false">BX104/BU104</f>
        <v>#DIV/0!</v>
      </c>
      <c r="BW104" s="1" t="n">
        <f aca="false">BU104*($B104+H$13)</f>
        <v>0</v>
      </c>
      <c r="BX104" s="33" t="n">
        <f aca="false">IF(ISNUMBER(((BW104/BU104)+H$14+$Y104)*BU104),((BW104/BU104)+H$14+$Y104)*BU104,0)</f>
        <v>0</v>
      </c>
      <c r="BY104" s="44" t="n">
        <f aca="false">IF(BU104=0,0,bsd(1,BZ$27,BV104,$AD104,$AA104,$AB104,$AH104,0.1))</f>
        <v>0</v>
      </c>
      <c r="BZ104" s="44" t="n">
        <f aca="false">IF(BU104=0,0,bsd(2,BZ$27,BV104,$AD104,$AA104,$AB104,$AH104,0.1))</f>
        <v>0</v>
      </c>
      <c r="CA104" s="44" t="n">
        <f aca="false">IF(BU104=0,0,bsd(BZ$28,BZ$27,BV104,$AD104,$AA104,$AB104,$AH104,0.1))</f>
        <v>0</v>
      </c>
      <c r="CB104" s="45" t="n">
        <f aca="false">BU104*BY104</f>
        <v>0</v>
      </c>
      <c r="CC104" s="45" t="n">
        <f aca="false">BU104*BZ104</f>
        <v>0</v>
      </c>
      <c r="CD104" s="45" t="n">
        <f aca="false">BU104*CA104</f>
        <v>0</v>
      </c>
    </row>
    <row r="105" customFormat="false" ht="12.75" hidden="false" customHeight="false" outlineLevel="0" collapsed="false">
      <c r="A105" s="48" t="n">
        <f aca="false">DATE(YEAR(A104),MONTH(A104)+1,1)</f>
        <v>39052</v>
      </c>
      <c r="B105" s="40" t="n">
        <f aca="false">VLOOKUP(A105,STRADDLE,5,FALSE())</f>
        <v>3.183</v>
      </c>
      <c r="C105" s="4" t="n">
        <f aca="false">VLOOKUP(A105,STRADDLE,8,FALSE())</f>
        <v>0.24</v>
      </c>
      <c r="D105" s="40" t="n">
        <f aca="false">IF(D$28="nymex",0,VLOOKUP($A105,curvesettle,HLOOKUP(D$28,curvesettle,2,FALSE())))</f>
        <v>1.31</v>
      </c>
      <c r="E105" s="131" t="n">
        <f aca="false">IF(ISNUMBER(VLOOKUP($A105,VOLCURVES,HLOOKUP(D$28,VOLCURVES,2,FALSE()),FALSE())),VLOOKUP($A105,VOLCURVES,HLOOKUP(D$28,VOLCURVES,2,FALSE()),FALSE()),1)</f>
        <v>1.1</v>
      </c>
      <c r="F105" s="136" t="n">
        <f aca="false">IF(D$28="NYMEX",$AG105,$AF105)</f>
        <v>-6877</v>
      </c>
      <c r="G105" s="4" t="e">
        <f aca="false">(($C105+H105)*$E105)+B$15</f>
        <v>#DIV/0!</v>
      </c>
      <c r="H105" s="4" t="e">
        <f aca="false">IF($B$16=1,VLOOKUP($A105,SkewTable,HLOOKUP(ROUND(I105-AO105,1),SkewTable,2,FALSE()),FALSE())/100,0)</f>
        <v>#DIV/0!</v>
      </c>
      <c r="I105" s="41" t="n">
        <f aca="false">IF($B$19=4,$AO105,$B$18)</f>
        <v>5.05</v>
      </c>
      <c r="K105" s="40" t="n">
        <f aca="false">IF(K$28="nymex",0,VLOOKUP($A105,curvesettle,HLOOKUP(K$28,curvesettle,2,FALSE())))</f>
        <v>0.14</v>
      </c>
      <c r="L105" s="131" t="n">
        <f aca="false">IF(ISNUMBER(VLOOKUP($A105,VOLCURVES,HLOOKUP(K$28,VOLCURVES,2,FALSE()),FALSE())),VLOOKUP($A105,VOLCURVES,HLOOKUP(K$28,VOLCURVES,2,FALSE()),FALSE()),1)</f>
        <v>1</v>
      </c>
      <c r="M105" s="136" t="n">
        <f aca="false">IF(K$28="NYMEX",$AG105,$AF105)</f>
        <v>-6877</v>
      </c>
      <c r="N105" s="153" t="e">
        <f aca="false">(($C105+O105)*$L105)+D$15</f>
        <v>#DIV/0!</v>
      </c>
      <c r="O105" s="4" t="e">
        <f aca="false">IF($D$16=1,VLOOKUP($A105,SkewTable,HLOOKUP(ROUND(P105-AZ105,1),SkewTable,2,FALSE()),FALSE())/100,0)</f>
        <v>#DIV/0!</v>
      </c>
      <c r="P105" s="41" t="n">
        <f aca="false">IF($D$19=4,$AZ105,$D$18)</f>
        <v>5.1</v>
      </c>
      <c r="R105" s="40" t="n">
        <f aca="false">IF(R$28="nymex",0,VLOOKUP($A105,curvesettle,HLOOKUP(R$28,curvesettle,2,FALSE())))</f>
        <v>-0.055</v>
      </c>
      <c r="S105" s="131" t="n">
        <f aca="false">IF(ISNUMBER(VLOOKUP($A105,VOLCURVES,HLOOKUP(R$28,VOLCURVES,2,FALSE()),FALSE())),VLOOKUP($A105,VOLCURVES,HLOOKUP(R$28,VOLCURVES,2,FALSE()),FALSE()),1)</f>
        <v>1</v>
      </c>
      <c r="T105" s="136" t="n">
        <f aca="false">IF(R$28="NYMEX",$AG105,$AF105)</f>
        <v>-6877</v>
      </c>
      <c r="U105" s="153" t="e">
        <f aca="false">(($C105+V105)*$S105)+F$15</f>
        <v>#DIV/0!</v>
      </c>
      <c r="V105" s="4" t="e">
        <f aca="false">IF($F$16=1,VLOOKUP($A105,SkewTable,HLOOKUP(ROUND(W105-BK105,1),SkewTable,2,FALSE()),FALSE())/100,0)</f>
        <v>#DIV/0!</v>
      </c>
      <c r="W105" s="41" t="n">
        <f aca="false">IF($F$19=4,$BK105,$F$18)</f>
        <v>5.3983</v>
      </c>
      <c r="X105" s="136"/>
      <c r="Y105" s="40" t="n">
        <f aca="false">IF(Y$28="nymex",0,VLOOKUP($A105,curvesettle,HLOOKUP(Y$28,curvesettle,2,FALSE())))</f>
        <v>-0.055</v>
      </c>
      <c r="Z105" s="131" t="n">
        <f aca="false">IF(ISNUMBER(VLOOKUP($A105,VOLCURVES,HLOOKUP(Y$28,VOLCURVES,2,FALSE()),FALSE())),VLOOKUP($A105,VOLCURVES,HLOOKUP(Y$28,VOLCURVES,2,FALSE()),FALSE()),1)</f>
        <v>1</v>
      </c>
      <c r="AA105" s="136" t="n">
        <f aca="false">IF(Y$28="NYMEX",$AG105,$AF105)</f>
        <v>-6877</v>
      </c>
      <c r="AB105" s="4" t="e">
        <f aca="false">(($C105+AC105)*$Z105)+H$15</f>
        <v>#DIV/0!</v>
      </c>
      <c r="AC105" s="4" t="e">
        <f aca="false">IF($H$16=1,VLOOKUP($A105,SkewTable,HLOOKUP(ROUND(AD105-BV105,1),SkewTable,2,FALSE()),FALSE())/100,0)</f>
        <v>#DIV/0!</v>
      </c>
      <c r="AD105" s="41" t="n">
        <f aca="false">IF($H$19=4,$BV105,$H$18)</f>
        <v>5.4668</v>
      </c>
      <c r="AF105" s="136" t="n">
        <f aca="false">VLOOKUP($A105,expiration,2,FALSE())-$B$2</f>
        <v>-6877</v>
      </c>
      <c r="AG105" s="136" t="n">
        <f aca="false">VLOOKUP($A105,expiration,3,FALSE())-$B$2</f>
        <v>-6878</v>
      </c>
      <c r="AH105" s="4" t="n">
        <f aca="false">VLOOKUP($A105,STRADDLE,12,FALSE())</f>
        <v>0.068989860825011</v>
      </c>
      <c r="AI105" s="43" t="n">
        <f aca="false">A106-A105</f>
        <v>31</v>
      </c>
      <c r="AL105" s="136"/>
      <c r="AM105" s="9"/>
      <c r="AN105" s="9" t="n">
        <f aca="false">IF($A105&gt;=AO$25,IF($A105&lt;=AO$26,$AI105,0),0)</f>
        <v>0</v>
      </c>
      <c r="AO105" s="9" t="e">
        <f aca="false">AQ105/AN105</f>
        <v>#DIV/0!</v>
      </c>
      <c r="AP105" s="1" t="n">
        <f aca="false">AN105*($B105+B$13)</f>
        <v>0</v>
      </c>
      <c r="AQ105" s="33" t="n">
        <f aca="false">IF(ISNUMBER(((AP105/AN105)+B$14+$D105)*AN105),((AP105/AN105)+B$14+$D105)*AN105,0)</f>
        <v>0</v>
      </c>
      <c r="AR105" s="44" t="n">
        <f aca="false">IF(AN105=0,0,bsd(1,AS$27,AO105,$I105,$F105,$G105,$AH105,0.1))</f>
        <v>0</v>
      </c>
      <c r="AS105" s="44" t="n">
        <f aca="false">IF(AN105=0,0,bsd(2,AS$27,AO105,$I105,$F105,$G105,$AH105,0.1))</f>
        <v>0</v>
      </c>
      <c r="AT105" s="44" t="n">
        <f aca="false">IF(AN105=0,0,bsd(AS$28,AS$27,AO105,$I105,$F105,$G105,$AH105,0.1))</f>
        <v>0</v>
      </c>
      <c r="AU105" s="45" t="n">
        <f aca="false">AN105*AR105</f>
        <v>0</v>
      </c>
      <c r="AV105" s="45" t="n">
        <f aca="false">AN105*AS105</f>
        <v>0</v>
      </c>
      <c r="AW105" s="45" t="n">
        <f aca="false">AN105*AT105</f>
        <v>0</v>
      </c>
      <c r="AY105" s="9" t="n">
        <f aca="false">IF($A105&gt;=AZ$25,IF($A105&lt;=AZ$26,$AI105,0),0)</f>
        <v>0</v>
      </c>
      <c r="AZ105" s="9" t="e">
        <f aca="false">BB105/AY105</f>
        <v>#DIV/0!</v>
      </c>
      <c r="BA105" s="1" t="n">
        <f aca="false">AY105*($B105+D$13)</f>
        <v>0</v>
      </c>
      <c r="BB105" s="33" t="n">
        <f aca="false">IF(ISNUMBER(((BA105/AY105)+D$14+$K105)*AY105),((BA105/AY105)+D$14+$K105)*AY105,0)</f>
        <v>0</v>
      </c>
      <c r="BC105" s="44" t="n">
        <f aca="false">IF(AY105=0,0,bsd(1,BD$27,AZ105,$P105,$M105,$N105,$AH105,0.1))</f>
        <v>0</v>
      </c>
      <c r="BD105" s="44" t="n">
        <f aca="false">IF(AY105=0,0,bsd(2,BD$27,AZ105,$P105,$M105,$N105,$AH105,0.1))</f>
        <v>0</v>
      </c>
      <c r="BE105" s="44" t="n">
        <f aca="false">IF(AY105=0,0,bsd(BD$28,BD$27,AZ105,$P105,$M105,$N105,$AH105,0.1))</f>
        <v>0</v>
      </c>
      <c r="BF105" s="45" t="n">
        <f aca="false">AY105*BC105</f>
        <v>0</v>
      </c>
      <c r="BG105" s="45" t="n">
        <f aca="false">AY105*BD105</f>
        <v>0</v>
      </c>
      <c r="BH105" s="45" t="n">
        <f aca="false">AY105*BE105</f>
        <v>0</v>
      </c>
      <c r="BJ105" s="9" t="n">
        <f aca="false">IF($A105&gt;=BK$25,IF($A105&lt;=BK$26,$AI105,0),0)</f>
        <v>0</v>
      </c>
      <c r="BK105" s="9" t="e">
        <f aca="false">BM105/BJ105</f>
        <v>#DIV/0!</v>
      </c>
      <c r="BL105" s="1" t="n">
        <f aca="false">BJ105*($B105+F$13)</f>
        <v>0</v>
      </c>
      <c r="BM105" s="33" t="n">
        <f aca="false">IF(ISNUMBER(((BL105/BJ105)+F$14+$R105)*BJ105),((BL105/BJ105)+F$14+$R105)*BJ105,0)</f>
        <v>0</v>
      </c>
      <c r="BN105" s="44" t="n">
        <f aca="false">IF(BJ105=0,0,bsd(1,BO$27,BK105,$W105,$T105,$U105,$AH105,0.1))</f>
        <v>0</v>
      </c>
      <c r="BO105" s="44" t="n">
        <f aca="false">IF(BJ105=0,0,bsd(2,BO$27,BK105,$W105,$T105,$U105,$AH105,0.1))</f>
        <v>0</v>
      </c>
      <c r="BP105" s="44" t="n">
        <f aca="false">IF(BJ105=0,0,bsd(BO$28,BO$27,BK105,$W105,$T105,$U105,$AH105,0.1))</f>
        <v>0</v>
      </c>
      <c r="BQ105" s="45" t="n">
        <f aca="false">BJ105*BN105</f>
        <v>0</v>
      </c>
      <c r="BR105" s="45" t="n">
        <f aca="false">BJ105*BO105</f>
        <v>0</v>
      </c>
      <c r="BS105" s="45" t="n">
        <f aca="false">BJ105*BP105</f>
        <v>0</v>
      </c>
      <c r="BU105" s="9" t="n">
        <f aca="false">IF($A105&gt;=BV$25,IF($A105&lt;=BV$26,$AI105,0),0)</f>
        <v>0</v>
      </c>
      <c r="BV105" s="9" t="e">
        <f aca="false">BX105/BU105</f>
        <v>#DIV/0!</v>
      </c>
      <c r="BW105" s="1" t="n">
        <f aca="false">BU105*($B105+H$13)</f>
        <v>0</v>
      </c>
      <c r="BX105" s="33" t="n">
        <f aca="false">IF(ISNUMBER(((BW105/BU105)+H$14+$Y105)*BU105),((BW105/BU105)+H$14+$Y105)*BU105,0)</f>
        <v>0</v>
      </c>
      <c r="BY105" s="44" t="n">
        <f aca="false">IF(BU105=0,0,bsd(1,BZ$27,BV105,$AD105,$AA105,$AB105,$AH105,0.1))</f>
        <v>0</v>
      </c>
      <c r="BZ105" s="44" t="n">
        <f aca="false">IF(BU105=0,0,bsd(2,BZ$27,BV105,$AD105,$AA105,$AB105,$AH105,0.1))</f>
        <v>0</v>
      </c>
      <c r="CA105" s="44" t="n">
        <f aca="false">IF(BU105=0,0,bsd(BZ$28,BZ$27,BV105,$AD105,$AA105,$AB105,$AH105,0.1))</f>
        <v>0</v>
      </c>
      <c r="CB105" s="45" t="n">
        <f aca="false">BU105*BY105</f>
        <v>0</v>
      </c>
      <c r="CC105" s="45" t="n">
        <f aca="false">BU105*BZ105</f>
        <v>0</v>
      </c>
      <c r="CD105" s="45" t="n">
        <f aca="false">BU105*CA105</f>
        <v>0</v>
      </c>
    </row>
    <row r="106" customFormat="false" ht="12.75" hidden="false" customHeight="false" outlineLevel="0" collapsed="false">
      <c r="A106" s="48" t="n">
        <f aca="false">DATE(YEAR(A105),MONTH(A105)+1,1)</f>
        <v>39083</v>
      </c>
      <c r="B106" s="40" t="n">
        <f aca="false">VLOOKUP(A106,STRADDLE,5,FALSE())</f>
        <v>3.565</v>
      </c>
      <c r="C106" s="4" t="n">
        <f aca="false">VLOOKUP(A106,STRADDLE,8,FALSE())</f>
        <v>0.245</v>
      </c>
      <c r="D106" s="40" t="n">
        <f aca="false">IF(D$28="nymex",0,VLOOKUP($A106,curvesettle,HLOOKUP(D$28,curvesettle,2,FALSE())))</f>
        <v>1.645</v>
      </c>
      <c r="E106" s="131" t="n">
        <f aca="false">IF(ISNUMBER(VLOOKUP($A106,VOLCURVES,HLOOKUP(D$28,VOLCURVES,2,FALSE()),FALSE())),VLOOKUP($A106,VOLCURVES,HLOOKUP(D$28,VOLCURVES,2,FALSE()),FALSE()),1)</f>
        <v>1.1</v>
      </c>
      <c r="F106" s="136" t="n">
        <f aca="false">IF(D$28="NYMEX",$AG106,$AF106)</f>
        <v>-6848</v>
      </c>
      <c r="G106" s="4" t="e">
        <f aca="false">(($C106+H106)*$E106)+B$15</f>
        <v>#DIV/0!</v>
      </c>
      <c r="H106" s="4" t="e">
        <f aca="false">IF($B$16=1,VLOOKUP($A106,SkewTable,HLOOKUP(ROUND(I106-AO106,1),SkewTable,2,FALSE()),FALSE())/100,0)</f>
        <v>#DIV/0!</v>
      </c>
      <c r="I106" s="41" t="n">
        <f aca="false">IF($B$19=4,$AO106,$B$18)</f>
        <v>5.05</v>
      </c>
      <c r="K106" s="40" t="n">
        <f aca="false">IF(K$28="nymex",0,VLOOKUP($A106,curvesettle,HLOOKUP(K$28,curvesettle,2,FALSE())))</f>
        <v>0.14</v>
      </c>
      <c r="L106" s="131" t="n">
        <f aca="false">IF(ISNUMBER(VLOOKUP($A106,VOLCURVES,HLOOKUP(K$28,VOLCURVES,2,FALSE()),FALSE())),VLOOKUP($A106,VOLCURVES,HLOOKUP(K$28,VOLCURVES,2,FALSE()),FALSE()),1)</f>
        <v>1</v>
      </c>
      <c r="M106" s="136" t="n">
        <f aca="false">IF(K$28="NYMEX",$AG106,$AF106)</f>
        <v>-6848</v>
      </c>
      <c r="N106" s="153" t="e">
        <f aca="false">(($C106+O106)*$L106)+D$15</f>
        <v>#DIV/0!</v>
      </c>
      <c r="O106" s="4" t="e">
        <f aca="false">IF($D$16=1,VLOOKUP($A106,SkewTable,HLOOKUP(ROUND(P106-AZ106,1),SkewTable,2,FALSE()),FALSE())/100,0)</f>
        <v>#DIV/0!</v>
      </c>
      <c r="P106" s="41" t="n">
        <f aca="false">IF($D$19=4,$AZ106,$D$18)</f>
        <v>5.1</v>
      </c>
      <c r="R106" s="40" t="n">
        <f aca="false">IF(R$28="nymex",0,VLOOKUP($A106,curvesettle,HLOOKUP(R$28,curvesettle,2,FALSE())))</f>
        <v>-0.0575</v>
      </c>
      <c r="S106" s="131" t="n">
        <f aca="false">IF(ISNUMBER(VLOOKUP($A106,VOLCURVES,HLOOKUP(R$28,VOLCURVES,2,FALSE()),FALSE())),VLOOKUP($A106,VOLCURVES,HLOOKUP(R$28,VOLCURVES,2,FALSE()),FALSE()),1)</f>
        <v>1</v>
      </c>
      <c r="T106" s="136" t="n">
        <f aca="false">IF(R$28="NYMEX",$AG106,$AF106)</f>
        <v>-6848</v>
      </c>
      <c r="U106" s="153" t="e">
        <f aca="false">(($C106+V106)*$S106)+F$15</f>
        <v>#DIV/0!</v>
      </c>
      <c r="V106" s="4" t="e">
        <f aca="false">IF($F$16=1,VLOOKUP($A106,SkewTable,HLOOKUP(ROUND(W106-BK106,1),SkewTable,2,FALSE()),FALSE())/100,0)</f>
        <v>#DIV/0!</v>
      </c>
      <c r="W106" s="41" t="n">
        <f aca="false">IF($F$19=4,$BK106,$F$18)</f>
        <v>5.3983</v>
      </c>
      <c r="X106" s="136"/>
      <c r="Y106" s="40" t="n">
        <f aca="false">IF(Y$28="nymex",0,VLOOKUP($A106,curvesettle,HLOOKUP(Y$28,curvesettle,2,FALSE())))</f>
        <v>-0.0575</v>
      </c>
      <c r="Z106" s="131" t="n">
        <f aca="false">IF(ISNUMBER(VLOOKUP($A106,VOLCURVES,HLOOKUP(Y$28,VOLCURVES,2,FALSE()),FALSE())),VLOOKUP($A106,VOLCURVES,HLOOKUP(Y$28,VOLCURVES,2,FALSE()),FALSE()),1)</f>
        <v>1</v>
      </c>
      <c r="AA106" s="136" t="n">
        <f aca="false">IF(Y$28="NYMEX",$AG106,$AF106)</f>
        <v>-6848</v>
      </c>
      <c r="AB106" s="4" t="e">
        <f aca="false">(($C106+AC106)*$Z106)+H$15</f>
        <v>#DIV/0!</v>
      </c>
      <c r="AC106" s="4" t="e">
        <f aca="false">IF($H$16=1,VLOOKUP($A106,SkewTable,HLOOKUP(ROUND(AD106-BV106,1),SkewTable,2,FALSE()),FALSE())/100,0)</f>
        <v>#DIV/0!</v>
      </c>
      <c r="AD106" s="41" t="n">
        <f aca="false">IF($H$19=4,$BV106,$H$18)</f>
        <v>5.4668</v>
      </c>
      <c r="AF106" s="136" t="n">
        <f aca="false">VLOOKUP($A106,expiration,2,FALSE())-$B$2</f>
        <v>-6848</v>
      </c>
      <c r="AG106" s="136" t="n">
        <f aca="false">VLOOKUP($A106,expiration,3,FALSE())-$B$2</f>
        <v>-6849</v>
      </c>
      <c r="AH106" s="4" t="n">
        <f aca="false">VLOOKUP($A106,STRADDLE,12,FALSE())</f>
        <v>0.069041210215945</v>
      </c>
      <c r="AI106" s="43" t="n">
        <f aca="false">A107-A106</f>
        <v>31</v>
      </c>
      <c r="AL106" s="136"/>
      <c r="AM106" s="9"/>
      <c r="AN106" s="9" t="n">
        <f aca="false">IF($A106&gt;=AO$25,IF($A106&lt;=AO$26,$AI106,0),0)</f>
        <v>0</v>
      </c>
      <c r="AO106" s="9" t="e">
        <f aca="false">AQ106/AN106</f>
        <v>#DIV/0!</v>
      </c>
      <c r="AP106" s="1" t="n">
        <f aca="false">AN106*($B106+B$13)</f>
        <v>0</v>
      </c>
      <c r="AQ106" s="33" t="n">
        <f aca="false">IF(ISNUMBER(((AP106/AN106)+B$14+$D106)*AN106),((AP106/AN106)+B$14+$D106)*AN106,0)</f>
        <v>0</v>
      </c>
      <c r="AR106" s="44" t="n">
        <f aca="false">IF(AN106=0,0,bsd(1,AS$27,AO106,$I106,$F106,$G106,$AH106,0.1))</f>
        <v>0</v>
      </c>
      <c r="AS106" s="44" t="n">
        <f aca="false">IF(AN106=0,0,bsd(2,AS$27,AO106,$I106,$F106,$G106,$AH106,0.1))</f>
        <v>0</v>
      </c>
      <c r="AT106" s="44" t="n">
        <f aca="false">IF(AN106=0,0,bsd(AS$28,AS$27,AO106,$I106,$F106,$G106,$AH106,0.1))</f>
        <v>0</v>
      </c>
      <c r="AU106" s="45" t="n">
        <f aca="false">AN106*AR106</f>
        <v>0</v>
      </c>
      <c r="AV106" s="45" t="n">
        <f aca="false">AN106*AS106</f>
        <v>0</v>
      </c>
      <c r="AW106" s="45" t="n">
        <f aca="false">AN106*AT106</f>
        <v>0</v>
      </c>
      <c r="AY106" s="9" t="n">
        <f aca="false">IF($A106&gt;=AZ$25,IF($A106&lt;=AZ$26,$AI106,0),0)</f>
        <v>0</v>
      </c>
      <c r="AZ106" s="9" t="e">
        <f aca="false">BB106/AY106</f>
        <v>#DIV/0!</v>
      </c>
      <c r="BA106" s="1" t="n">
        <f aca="false">AY106*($B106+D$13)</f>
        <v>0</v>
      </c>
      <c r="BB106" s="33" t="n">
        <f aca="false">IF(ISNUMBER(((BA106/AY106)+D$14+$K106)*AY106),((BA106/AY106)+D$14+$K106)*AY106,0)</f>
        <v>0</v>
      </c>
      <c r="BC106" s="44" t="n">
        <f aca="false">IF(AY106=0,0,bsd(1,BD$27,AZ106,$P106,$M106,$N106,$AH106,0.1))</f>
        <v>0</v>
      </c>
      <c r="BD106" s="44" t="n">
        <f aca="false">IF(AY106=0,0,bsd(2,BD$27,AZ106,$P106,$M106,$N106,$AH106,0.1))</f>
        <v>0</v>
      </c>
      <c r="BE106" s="44" t="n">
        <f aca="false">IF(AY106=0,0,bsd(BD$28,BD$27,AZ106,$P106,$M106,$N106,$AH106,0.1))</f>
        <v>0</v>
      </c>
      <c r="BF106" s="45" t="n">
        <f aca="false">AY106*BC106</f>
        <v>0</v>
      </c>
      <c r="BG106" s="45" t="n">
        <f aca="false">AY106*BD106</f>
        <v>0</v>
      </c>
      <c r="BH106" s="45" t="n">
        <f aca="false">AY106*BE106</f>
        <v>0</v>
      </c>
      <c r="BJ106" s="9" t="n">
        <f aca="false">IF($A106&gt;=BK$25,IF($A106&lt;=BK$26,$AI106,0),0)</f>
        <v>0</v>
      </c>
      <c r="BK106" s="9" t="e">
        <f aca="false">BM106/BJ106</f>
        <v>#DIV/0!</v>
      </c>
      <c r="BL106" s="1" t="n">
        <f aca="false">BJ106*($B106+F$13)</f>
        <v>0</v>
      </c>
      <c r="BM106" s="33" t="n">
        <f aca="false">IF(ISNUMBER(((BL106/BJ106)+F$14+$R106)*BJ106),((BL106/BJ106)+F$14+$R106)*BJ106,0)</f>
        <v>0</v>
      </c>
      <c r="BN106" s="44" t="n">
        <f aca="false">IF(BJ106=0,0,bsd(1,BO$27,BK106,$W106,$T106,$U106,$AH106,0.1))</f>
        <v>0</v>
      </c>
      <c r="BO106" s="44" t="n">
        <f aca="false">IF(BJ106=0,0,bsd(2,BO$27,BK106,$W106,$T106,$U106,$AH106,0.1))</f>
        <v>0</v>
      </c>
      <c r="BP106" s="44" t="n">
        <f aca="false">IF(BJ106=0,0,bsd(BO$28,BO$27,BK106,$W106,$T106,$U106,$AH106,0.1))</f>
        <v>0</v>
      </c>
      <c r="BQ106" s="45" t="n">
        <f aca="false">BJ106*BN106</f>
        <v>0</v>
      </c>
      <c r="BR106" s="45" t="n">
        <f aca="false">BJ106*BO106</f>
        <v>0</v>
      </c>
      <c r="BS106" s="45" t="n">
        <f aca="false">BJ106*BP106</f>
        <v>0</v>
      </c>
      <c r="BU106" s="9" t="n">
        <f aca="false">IF($A106&gt;=BV$25,IF($A106&lt;=BV$26,$AI106,0),0)</f>
        <v>0</v>
      </c>
      <c r="BV106" s="9" t="e">
        <f aca="false">BX106/BU106</f>
        <v>#DIV/0!</v>
      </c>
      <c r="BW106" s="1" t="n">
        <f aca="false">BU106*($B106+H$13)</f>
        <v>0</v>
      </c>
      <c r="BX106" s="33" t="n">
        <f aca="false">IF(ISNUMBER(((BW106/BU106)+H$14+$Y106)*BU106),((BW106/BU106)+H$14+$Y106)*BU106,0)</f>
        <v>0</v>
      </c>
      <c r="BY106" s="44" t="n">
        <f aca="false">IF(BU106=0,0,bsd(1,BZ$27,BV106,$AD106,$AA106,$AB106,$AH106,0.1))</f>
        <v>0</v>
      </c>
      <c r="BZ106" s="44" t="n">
        <f aca="false">IF(BU106=0,0,bsd(2,BZ$27,BV106,$AD106,$AA106,$AB106,$AH106,0.1))</f>
        <v>0</v>
      </c>
      <c r="CA106" s="44" t="n">
        <f aca="false">IF(BU106=0,0,bsd(BZ$28,BZ$27,BV106,$AD106,$AA106,$AB106,$AH106,0.1))</f>
        <v>0</v>
      </c>
      <c r="CB106" s="45" t="n">
        <f aca="false">BU106*BY106</f>
        <v>0</v>
      </c>
      <c r="CC106" s="45" t="n">
        <f aca="false">BU106*BZ106</f>
        <v>0</v>
      </c>
      <c r="CD106" s="45" t="n">
        <f aca="false">BU106*CA106</f>
        <v>0</v>
      </c>
    </row>
    <row r="107" customFormat="false" ht="12.75" hidden="false" customHeight="false" outlineLevel="0" collapsed="false">
      <c r="A107" s="48" t="n">
        <f aca="false">DATE(YEAR(A106),MONTH(A106)+1,1)</f>
        <v>39114</v>
      </c>
      <c r="B107" s="40" t="n">
        <f aca="false">VLOOKUP(A107,STRADDLE,5,FALSE())</f>
        <v>3.419</v>
      </c>
      <c r="C107" s="4" t="n">
        <f aca="false">VLOOKUP(A107,STRADDLE,8,FALSE())</f>
        <v>0.23</v>
      </c>
      <c r="D107" s="40" t="n">
        <f aca="false">IF(D$28="nymex",0,VLOOKUP($A107,curvesettle,HLOOKUP(D$28,curvesettle,2,FALSE())))</f>
        <v>1.595</v>
      </c>
      <c r="E107" s="131" t="n">
        <f aca="false">IF(ISNUMBER(VLOOKUP($A107,VOLCURVES,HLOOKUP(D$28,VOLCURVES,2,FALSE()),FALSE())),VLOOKUP($A107,VOLCURVES,HLOOKUP(D$28,VOLCURVES,2,FALSE()),FALSE()),1)</f>
        <v>1.1</v>
      </c>
      <c r="F107" s="136" t="n">
        <f aca="false">IF(D$28="NYMEX",$AG107,$AF107)</f>
        <v>-6815</v>
      </c>
      <c r="G107" s="4" t="e">
        <f aca="false">(($C107+H107)*$E107)+B$15</f>
        <v>#DIV/0!</v>
      </c>
      <c r="H107" s="4" t="e">
        <f aca="false">IF($B$16=1,VLOOKUP($A107,SkewTable,HLOOKUP(ROUND(I107-AO107,1),SkewTable,2,FALSE()),FALSE())/100,0)</f>
        <v>#DIV/0!</v>
      </c>
      <c r="I107" s="41" t="n">
        <f aca="false">IF($B$19=4,$AO107,$B$18)</f>
        <v>5.05</v>
      </c>
      <c r="K107" s="40" t="n">
        <f aca="false">IF(K$28="nymex",0,VLOOKUP($A107,curvesettle,HLOOKUP(K$28,curvesettle,2,FALSE())))</f>
        <v>0.14</v>
      </c>
      <c r="L107" s="131" t="n">
        <f aca="false">IF(ISNUMBER(VLOOKUP($A107,VOLCURVES,HLOOKUP(K$28,VOLCURVES,2,FALSE()),FALSE())),VLOOKUP($A107,VOLCURVES,HLOOKUP(K$28,VOLCURVES,2,FALSE()),FALSE()),1)</f>
        <v>1</v>
      </c>
      <c r="M107" s="136" t="n">
        <f aca="false">IF(K$28="NYMEX",$AG107,$AF107)</f>
        <v>-6815</v>
      </c>
      <c r="N107" s="153" t="e">
        <f aca="false">(($C107+O107)*$L107)+D$15</f>
        <v>#DIV/0!</v>
      </c>
      <c r="O107" s="4" t="e">
        <f aca="false">IF($D$16=1,VLOOKUP($A107,SkewTable,HLOOKUP(ROUND(P107-AZ107,1),SkewTable,2,FALSE()),FALSE())/100,0)</f>
        <v>#DIV/0!</v>
      </c>
      <c r="P107" s="41" t="n">
        <f aca="false">IF($D$19=4,$AZ107,$D$18)</f>
        <v>5.1</v>
      </c>
      <c r="R107" s="40" t="n">
        <f aca="false">IF(R$28="nymex",0,VLOOKUP($A107,curvesettle,HLOOKUP(R$28,curvesettle,2,FALSE())))</f>
        <v>-0.04</v>
      </c>
      <c r="S107" s="131" t="n">
        <f aca="false">IF(ISNUMBER(VLOOKUP($A107,VOLCURVES,HLOOKUP(R$28,VOLCURVES,2,FALSE()),FALSE())),VLOOKUP($A107,VOLCURVES,HLOOKUP(R$28,VOLCURVES,2,FALSE()),FALSE()),1)</f>
        <v>1</v>
      </c>
      <c r="T107" s="136" t="n">
        <f aca="false">IF(R$28="NYMEX",$AG107,$AF107)</f>
        <v>-6815</v>
      </c>
      <c r="U107" s="153" t="e">
        <f aca="false">(($C107+V107)*$S107)+F$15</f>
        <v>#DIV/0!</v>
      </c>
      <c r="V107" s="4" t="e">
        <f aca="false">IF($F$16=1,VLOOKUP($A107,SkewTable,HLOOKUP(ROUND(W107-BK107,1),SkewTable,2,FALSE()),FALSE())/100,0)</f>
        <v>#DIV/0!</v>
      </c>
      <c r="W107" s="41" t="n">
        <f aca="false">IF($F$19=4,$BK107,$F$18)</f>
        <v>5.3983</v>
      </c>
      <c r="X107" s="136"/>
      <c r="Y107" s="40" t="n">
        <f aca="false">IF(Y$28="nymex",0,VLOOKUP($A107,curvesettle,HLOOKUP(Y$28,curvesettle,2,FALSE())))</f>
        <v>-0.04</v>
      </c>
      <c r="Z107" s="131" t="n">
        <f aca="false">IF(ISNUMBER(VLOOKUP($A107,VOLCURVES,HLOOKUP(Y$28,VOLCURVES,2,FALSE()),FALSE())),VLOOKUP($A107,VOLCURVES,HLOOKUP(Y$28,VOLCURVES,2,FALSE()),FALSE()),1)</f>
        <v>1</v>
      </c>
      <c r="AA107" s="136" t="n">
        <f aca="false">IF(Y$28="NYMEX",$AG107,$AF107)</f>
        <v>-6815</v>
      </c>
      <c r="AB107" s="4" t="e">
        <f aca="false">(($C107+AC107)*$Z107)+H$15</f>
        <v>#DIV/0!</v>
      </c>
      <c r="AC107" s="4" t="e">
        <f aca="false">IF($H$16=1,VLOOKUP($A107,SkewTable,HLOOKUP(ROUND(AD107-BV107,1),SkewTable,2,FALSE()),FALSE())/100,0)</f>
        <v>#DIV/0!</v>
      </c>
      <c r="AD107" s="41" t="n">
        <f aca="false">IF($H$19=4,$BV107,$H$18)</f>
        <v>5.4668</v>
      </c>
      <c r="AF107" s="136" t="n">
        <f aca="false">VLOOKUP($A107,expiration,2,FALSE())-$B$2</f>
        <v>-6815</v>
      </c>
      <c r="AG107" s="136" t="n">
        <f aca="false">VLOOKUP($A107,expiration,3,FALSE())-$B$2</f>
        <v>-6818</v>
      </c>
      <c r="AH107" s="4" t="n">
        <f aca="false">VLOOKUP($A107,STRADDLE,12,FALSE())</f>
        <v>0.069092559607751</v>
      </c>
      <c r="AI107" s="43" t="n">
        <f aca="false">A108-A107</f>
        <v>28</v>
      </c>
      <c r="AL107" s="136"/>
      <c r="AM107" s="9"/>
      <c r="AN107" s="9" t="n">
        <f aca="false">IF($A107&gt;=AO$25,IF($A107&lt;=AO$26,$AI107,0),0)</f>
        <v>0</v>
      </c>
      <c r="AO107" s="9" t="e">
        <f aca="false">AQ107/AN107</f>
        <v>#DIV/0!</v>
      </c>
      <c r="AP107" s="1" t="n">
        <f aca="false">AN107*($B107+B$13)</f>
        <v>0</v>
      </c>
      <c r="AQ107" s="33" t="n">
        <f aca="false">IF(ISNUMBER(((AP107/AN107)+B$14+$D107)*AN107),((AP107/AN107)+B$14+$D107)*AN107,0)</f>
        <v>0</v>
      </c>
      <c r="AR107" s="44" t="n">
        <f aca="false">IF(AN107=0,0,bsd(1,AS$27,AO107,$I107,$F107,$G107,$AH107,0.1))</f>
        <v>0</v>
      </c>
      <c r="AS107" s="44" t="n">
        <f aca="false">IF(AN107=0,0,bsd(2,AS$27,AO107,$I107,$F107,$G107,$AH107,0.1))</f>
        <v>0</v>
      </c>
      <c r="AT107" s="44" t="n">
        <f aca="false">IF(AN107=0,0,bsd(AS$28,AS$27,AO107,$I107,$F107,$G107,$AH107,0.1))</f>
        <v>0</v>
      </c>
      <c r="AU107" s="45" t="n">
        <f aca="false">AN107*AR107</f>
        <v>0</v>
      </c>
      <c r="AV107" s="45" t="n">
        <f aca="false">AN107*AS107</f>
        <v>0</v>
      </c>
      <c r="AW107" s="45" t="n">
        <f aca="false">AN107*AT107</f>
        <v>0</v>
      </c>
      <c r="AY107" s="9" t="n">
        <f aca="false">IF($A107&gt;=AZ$25,IF($A107&lt;=AZ$26,$AI107,0),0)</f>
        <v>0</v>
      </c>
      <c r="AZ107" s="9" t="e">
        <f aca="false">BB107/AY107</f>
        <v>#DIV/0!</v>
      </c>
      <c r="BA107" s="1" t="n">
        <f aca="false">AY107*($B107+D$13)</f>
        <v>0</v>
      </c>
      <c r="BB107" s="33" t="n">
        <f aca="false">IF(ISNUMBER(((BA107/AY107)+D$14+$K107)*AY107),((BA107/AY107)+D$14+$K107)*AY107,0)</f>
        <v>0</v>
      </c>
      <c r="BC107" s="44" t="n">
        <f aca="false">IF(AY107=0,0,bsd(1,BD$27,AZ107,$P107,$M107,$N107,$AH107,0.1))</f>
        <v>0</v>
      </c>
      <c r="BD107" s="44" t="n">
        <f aca="false">IF(AY107=0,0,bsd(2,BD$27,AZ107,$P107,$M107,$N107,$AH107,0.1))</f>
        <v>0</v>
      </c>
      <c r="BE107" s="44" t="n">
        <f aca="false">IF(AY107=0,0,bsd(BD$28,BD$27,AZ107,$P107,$M107,$N107,$AH107,0.1))</f>
        <v>0</v>
      </c>
      <c r="BF107" s="45" t="n">
        <f aca="false">AY107*BC107</f>
        <v>0</v>
      </c>
      <c r="BG107" s="45" t="n">
        <f aca="false">AY107*BD107</f>
        <v>0</v>
      </c>
      <c r="BH107" s="45" t="n">
        <f aca="false">AY107*BE107</f>
        <v>0</v>
      </c>
      <c r="BJ107" s="9" t="n">
        <f aca="false">IF($A107&gt;=BK$25,IF($A107&lt;=BK$26,$AI107,0),0)</f>
        <v>0</v>
      </c>
      <c r="BK107" s="9" t="e">
        <f aca="false">BM107/BJ107</f>
        <v>#DIV/0!</v>
      </c>
      <c r="BL107" s="1" t="n">
        <f aca="false">BJ107*($B107+F$13)</f>
        <v>0</v>
      </c>
      <c r="BM107" s="33" t="n">
        <f aca="false">IF(ISNUMBER(((BL107/BJ107)+F$14+$R107)*BJ107),((BL107/BJ107)+F$14+$R107)*BJ107,0)</f>
        <v>0</v>
      </c>
      <c r="BN107" s="44" t="n">
        <f aca="false">IF(BJ107=0,0,bsd(1,BO$27,BK107,$W107,$T107,$U107,$AH107,0.1))</f>
        <v>0</v>
      </c>
      <c r="BO107" s="44" t="n">
        <f aca="false">IF(BJ107=0,0,bsd(2,BO$27,BK107,$W107,$T107,$U107,$AH107,0.1))</f>
        <v>0</v>
      </c>
      <c r="BP107" s="44" t="n">
        <f aca="false">IF(BJ107=0,0,bsd(BO$28,BO$27,BK107,$W107,$T107,$U107,$AH107,0.1))</f>
        <v>0</v>
      </c>
      <c r="BQ107" s="45" t="n">
        <f aca="false">BJ107*BN107</f>
        <v>0</v>
      </c>
      <c r="BR107" s="45" t="n">
        <f aca="false">BJ107*BO107</f>
        <v>0</v>
      </c>
      <c r="BS107" s="45" t="n">
        <f aca="false">BJ107*BP107</f>
        <v>0</v>
      </c>
      <c r="BU107" s="9" t="n">
        <f aca="false">IF($A107&gt;=BV$25,IF($A107&lt;=BV$26,$AI107,0),0)</f>
        <v>0</v>
      </c>
      <c r="BV107" s="9" t="e">
        <f aca="false">BX107/BU107</f>
        <v>#DIV/0!</v>
      </c>
      <c r="BW107" s="1" t="n">
        <f aca="false">BU107*($B107+H$13)</f>
        <v>0</v>
      </c>
      <c r="BX107" s="33" t="n">
        <f aca="false">IF(ISNUMBER(((BW107/BU107)+H$14+$Y107)*BU107),((BW107/BU107)+H$14+$Y107)*BU107,0)</f>
        <v>0</v>
      </c>
      <c r="BY107" s="44" t="n">
        <f aca="false">IF(BU107=0,0,bsd(1,BZ$27,BV107,$AD107,$AA107,$AB107,$AH107,0.1))</f>
        <v>0</v>
      </c>
      <c r="BZ107" s="44" t="n">
        <f aca="false">IF(BU107=0,0,bsd(2,BZ$27,BV107,$AD107,$AA107,$AB107,$AH107,0.1))</f>
        <v>0</v>
      </c>
      <c r="CA107" s="44" t="n">
        <f aca="false">IF(BU107=0,0,bsd(BZ$28,BZ$27,BV107,$AD107,$AA107,$AB107,$AH107,0.1))</f>
        <v>0</v>
      </c>
      <c r="CB107" s="45" t="n">
        <f aca="false">BU107*BY107</f>
        <v>0</v>
      </c>
      <c r="CC107" s="45" t="n">
        <f aca="false">BU107*BZ107</f>
        <v>0</v>
      </c>
      <c r="CD107" s="45" t="n">
        <f aca="false">BU107*CA107</f>
        <v>0</v>
      </c>
    </row>
    <row r="108" customFormat="false" ht="12.75" hidden="false" customHeight="false" outlineLevel="0" collapsed="false">
      <c r="A108" s="48" t="n">
        <f aca="false">DATE(YEAR(A107),MONTH(A107)+1,1)</f>
        <v>39142</v>
      </c>
      <c r="B108" s="40" t="n">
        <f aca="false">VLOOKUP(A108,STRADDLE,5,FALSE())</f>
        <v>3.248</v>
      </c>
      <c r="C108" s="4" t="n">
        <f aca="false">VLOOKUP(A108,STRADDLE,8,FALSE())</f>
        <v>0.22</v>
      </c>
      <c r="D108" s="40" t="n">
        <f aca="false">IF(D$28="nymex",0,VLOOKUP($A108,curvesettle,HLOOKUP(D$28,curvesettle,2,FALSE())))</f>
        <v>0.965</v>
      </c>
      <c r="E108" s="131" t="n">
        <f aca="false">IF(ISNUMBER(VLOOKUP($A108,VOLCURVES,HLOOKUP(D$28,VOLCURVES,2,FALSE()),FALSE())),VLOOKUP($A108,VOLCURVES,HLOOKUP(D$28,VOLCURVES,2,FALSE()),FALSE()),1)</f>
        <v>1.1</v>
      </c>
      <c r="F108" s="136" t="n">
        <f aca="false">IF(D$28="NYMEX",$AG108,$AF108)</f>
        <v>-6787</v>
      </c>
      <c r="G108" s="4" t="e">
        <f aca="false">(($C108+H108)*$E108)+B$15</f>
        <v>#DIV/0!</v>
      </c>
      <c r="H108" s="4" t="e">
        <f aca="false">IF($B$16=1,VLOOKUP($A108,SkewTable,HLOOKUP(ROUND(I108-AO108,1),SkewTable,2,FALSE()),FALSE())/100,0)</f>
        <v>#DIV/0!</v>
      </c>
      <c r="I108" s="41" t="n">
        <f aca="false">IF($B$19=4,$AO108,$B$18)</f>
        <v>5.05</v>
      </c>
      <c r="K108" s="40" t="n">
        <f aca="false">IF(K$28="nymex",0,VLOOKUP($A108,curvesettle,HLOOKUP(K$28,curvesettle,2,FALSE())))</f>
        <v>0.14</v>
      </c>
      <c r="L108" s="131" t="n">
        <f aca="false">IF(ISNUMBER(VLOOKUP($A108,VOLCURVES,HLOOKUP(K$28,VOLCURVES,2,FALSE()),FALSE())),VLOOKUP($A108,VOLCURVES,HLOOKUP(K$28,VOLCURVES,2,FALSE()),FALSE()),1)</f>
        <v>1</v>
      </c>
      <c r="M108" s="136" t="n">
        <f aca="false">IF(K$28="NYMEX",$AG108,$AF108)</f>
        <v>-6787</v>
      </c>
      <c r="N108" s="153" t="e">
        <f aca="false">(($C108+O108)*$L108)+D$15</f>
        <v>#DIV/0!</v>
      </c>
      <c r="O108" s="4" t="e">
        <f aca="false">IF($D$16=1,VLOOKUP($A108,SkewTable,HLOOKUP(ROUND(P108-AZ108,1),SkewTable,2,FALSE()),FALSE())/100,0)</f>
        <v>#DIV/0!</v>
      </c>
      <c r="P108" s="41" t="n">
        <f aca="false">IF($D$19=4,$AZ108,$D$18)</f>
        <v>5.1</v>
      </c>
      <c r="R108" s="40" t="n">
        <f aca="false">IF(R$28="nymex",0,VLOOKUP($A108,curvesettle,HLOOKUP(R$28,curvesettle,2,FALSE())))</f>
        <v>-0.0275</v>
      </c>
      <c r="S108" s="131" t="n">
        <f aca="false">IF(ISNUMBER(VLOOKUP($A108,VOLCURVES,HLOOKUP(R$28,VOLCURVES,2,FALSE()),FALSE())),VLOOKUP($A108,VOLCURVES,HLOOKUP(R$28,VOLCURVES,2,FALSE()),FALSE()),1)</f>
        <v>1</v>
      </c>
      <c r="T108" s="136" t="n">
        <f aca="false">IF(R$28="NYMEX",$AG108,$AF108)</f>
        <v>-6787</v>
      </c>
      <c r="U108" s="153" t="e">
        <f aca="false">(($C108+V108)*$S108)+F$15</f>
        <v>#DIV/0!</v>
      </c>
      <c r="V108" s="4" t="e">
        <f aca="false">IF($F$16=1,VLOOKUP($A108,SkewTable,HLOOKUP(ROUND(W108-BK108,1),SkewTable,2,FALSE()),FALSE())/100,0)</f>
        <v>#DIV/0!</v>
      </c>
      <c r="W108" s="41" t="n">
        <f aca="false">IF($F$19=4,$BK108,$F$18)</f>
        <v>5.3983</v>
      </c>
      <c r="X108" s="136"/>
      <c r="Y108" s="40" t="n">
        <f aca="false">IF(Y$28="nymex",0,VLOOKUP($A108,curvesettle,HLOOKUP(Y$28,curvesettle,2,FALSE())))</f>
        <v>-0.0275</v>
      </c>
      <c r="Z108" s="131" t="n">
        <f aca="false">IF(ISNUMBER(VLOOKUP($A108,VOLCURVES,HLOOKUP(Y$28,VOLCURVES,2,FALSE()),FALSE())),VLOOKUP($A108,VOLCURVES,HLOOKUP(Y$28,VOLCURVES,2,FALSE()),FALSE()),1)</f>
        <v>1</v>
      </c>
      <c r="AA108" s="136" t="n">
        <f aca="false">IF(Y$28="NYMEX",$AG108,$AF108)</f>
        <v>-6787</v>
      </c>
      <c r="AB108" s="4" t="e">
        <f aca="false">(($C108+AC108)*$Z108)+H$15</f>
        <v>#DIV/0!</v>
      </c>
      <c r="AC108" s="4" t="e">
        <f aca="false">IF($H$16=1,VLOOKUP($A108,SkewTable,HLOOKUP(ROUND(AD108-BV108,1),SkewTable,2,FALSE()),FALSE())/100,0)</f>
        <v>#DIV/0!</v>
      </c>
      <c r="AD108" s="41" t="n">
        <f aca="false">IF($H$19=4,$BV108,$H$18)</f>
        <v>5.4668</v>
      </c>
      <c r="AF108" s="136" t="n">
        <f aca="false">VLOOKUP($A108,expiration,2,FALSE())-$B$2</f>
        <v>-6787</v>
      </c>
      <c r="AG108" s="136" t="n">
        <f aca="false">VLOOKUP($A108,expiration,3,FALSE())-$B$2</f>
        <v>-6790</v>
      </c>
      <c r="AH108" s="4" t="n">
        <f aca="false">VLOOKUP($A108,STRADDLE,12,FALSE())</f>
        <v>0.069138939704325</v>
      </c>
      <c r="AI108" s="43" t="n">
        <f aca="false">A109-A108</f>
        <v>31</v>
      </c>
      <c r="AL108" s="136"/>
      <c r="AM108" s="9"/>
      <c r="AN108" s="9" t="n">
        <f aca="false">IF($A108&gt;=AO$25,IF($A108&lt;=AO$26,$AI108,0),0)</f>
        <v>0</v>
      </c>
      <c r="AO108" s="9" t="e">
        <f aca="false">AQ108/AN108</f>
        <v>#DIV/0!</v>
      </c>
      <c r="AP108" s="1" t="n">
        <f aca="false">AN108*($B108+B$13)</f>
        <v>0</v>
      </c>
      <c r="AQ108" s="33" t="n">
        <f aca="false">IF(ISNUMBER(((AP108/AN108)+B$14+$D108)*AN108),((AP108/AN108)+B$14+$D108)*AN108,0)</f>
        <v>0</v>
      </c>
      <c r="AR108" s="44" t="n">
        <f aca="false">IF(AN108=0,0,bsd(1,AS$27,AO108,$I108,$F108,$G108,$AH108,0.1))</f>
        <v>0</v>
      </c>
      <c r="AS108" s="44" t="n">
        <f aca="false">IF(AN108=0,0,bsd(2,AS$27,AO108,$I108,$F108,$G108,$AH108,0.1))</f>
        <v>0</v>
      </c>
      <c r="AT108" s="44" t="n">
        <f aca="false">IF(AN108=0,0,bsd(AS$28,AS$27,AO108,$I108,$F108,$G108,$AH108,0.1))</f>
        <v>0</v>
      </c>
      <c r="AU108" s="45" t="n">
        <f aca="false">AN108*AR108</f>
        <v>0</v>
      </c>
      <c r="AV108" s="45" t="n">
        <f aca="false">AN108*AS108</f>
        <v>0</v>
      </c>
      <c r="AW108" s="45" t="n">
        <f aca="false">AN108*AT108</f>
        <v>0</v>
      </c>
      <c r="AY108" s="9" t="n">
        <f aca="false">IF($A108&gt;=AZ$25,IF($A108&lt;=AZ$26,$AI108,0),0)</f>
        <v>0</v>
      </c>
      <c r="AZ108" s="9" t="e">
        <f aca="false">BB108/AY108</f>
        <v>#DIV/0!</v>
      </c>
      <c r="BA108" s="1" t="n">
        <f aca="false">AY108*($B108+D$13)</f>
        <v>0</v>
      </c>
      <c r="BB108" s="33" t="n">
        <f aca="false">IF(ISNUMBER(((BA108/AY108)+D$14+$K108)*AY108),((BA108/AY108)+D$14+$K108)*AY108,0)</f>
        <v>0</v>
      </c>
      <c r="BC108" s="44" t="n">
        <f aca="false">IF(AY108=0,0,bsd(1,BD$27,AZ108,$P108,$M108,$N108,$AH108,0.1))</f>
        <v>0</v>
      </c>
      <c r="BD108" s="44" t="n">
        <f aca="false">IF(AY108=0,0,bsd(2,BD$27,AZ108,$P108,$M108,$N108,$AH108,0.1))</f>
        <v>0</v>
      </c>
      <c r="BE108" s="44" t="n">
        <f aca="false">IF(AY108=0,0,bsd(BD$28,BD$27,AZ108,$P108,$M108,$N108,$AH108,0.1))</f>
        <v>0</v>
      </c>
      <c r="BF108" s="45" t="n">
        <f aca="false">AY108*BC108</f>
        <v>0</v>
      </c>
      <c r="BG108" s="45" t="n">
        <f aca="false">AY108*BD108</f>
        <v>0</v>
      </c>
      <c r="BH108" s="45" t="n">
        <f aca="false">AY108*BE108</f>
        <v>0</v>
      </c>
      <c r="BJ108" s="9" t="n">
        <f aca="false">IF($A108&gt;=BK$25,IF($A108&lt;=BK$26,$AI108,0),0)</f>
        <v>0</v>
      </c>
      <c r="BK108" s="9" t="e">
        <f aca="false">BM108/BJ108</f>
        <v>#DIV/0!</v>
      </c>
      <c r="BL108" s="1" t="n">
        <f aca="false">BJ108*($B108+F$13)</f>
        <v>0</v>
      </c>
      <c r="BM108" s="33" t="n">
        <f aca="false">IF(ISNUMBER(((BL108/BJ108)+F$14+$R108)*BJ108),((BL108/BJ108)+F$14+$R108)*BJ108,0)</f>
        <v>0</v>
      </c>
      <c r="BN108" s="44" t="n">
        <f aca="false">IF(BJ108=0,0,bsd(1,BO$27,BK108,$W108,$T108,$U108,$AH108,0.1))</f>
        <v>0</v>
      </c>
      <c r="BO108" s="44" t="n">
        <f aca="false">IF(BJ108=0,0,bsd(2,BO$27,BK108,$W108,$T108,$U108,$AH108,0.1))</f>
        <v>0</v>
      </c>
      <c r="BP108" s="44" t="n">
        <f aca="false">IF(BJ108=0,0,bsd(BO$28,BO$27,BK108,$W108,$T108,$U108,$AH108,0.1))</f>
        <v>0</v>
      </c>
      <c r="BQ108" s="45" t="n">
        <f aca="false">BJ108*BN108</f>
        <v>0</v>
      </c>
      <c r="BR108" s="45" t="n">
        <f aca="false">BJ108*BO108</f>
        <v>0</v>
      </c>
      <c r="BS108" s="45" t="n">
        <f aca="false">BJ108*BP108</f>
        <v>0</v>
      </c>
      <c r="BU108" s="9" t="n">
        <f aca="false">IF($A108&gt;=BV$25,IF($A108&lt;=BV$26,$AI108,0),0)</f>
        <v>0</v>
      </c>
      <c r="BV108" s="9" t="e">
        <f aca="false">BX108/BU108</f>
        <v>#DIV/0!</v>
      </c>
      <c r="BW108" s="1" t="n">
        <f aca="false">BU108*($B108+H$13)</f>
        <v>0</v>
      </c>
      <c r="BX108" s="33" t="n">
        <f aca="false">IF(ISNUMBER(((BW108/BU108)+H$14+$Y108)*BU108),((BW108/BU108)+H$14+$Y108)*BU108,0)</f>
        <v>0</v>
      </c>
      <c r="BY108" s="44" t="n">
        <f aca="false">IF(BU108=0,0,bsd(1,BZ$27,BV108,$AD108,$AA108,$AB108,$AH108,0.1))</f>
        <v>0</v>
      </c>
      <c r="BZ108" s="44" t="n">
        <f aca="false">IF(BU108=0,0,bsd(2,BZ$27,BV108,$AD108,$AA108,$AB108,$AH108,0.1))</f>
        <v>0</v>
      </c>
      <c r="CA108" s="44" t="n">
        <f aca="false">IF(BU108=0,0,bsd(BZ$28,BZ$27,BV108,$AD108,$AA108,$AB108,$AH108,0.1))</f>
        <v>0</v>
      </c>
      <c r="CB108" s="45" t="n">
        <f aca="false">BU108*BY108</f>
        <v>0</v>
      </c>
      <c r="CC108" s="45" t="n">
        <f aca="false">BU108*BZ108</f>
        <v>0</v>
      </c>
      <c r="CD108" s="45" t="n">
        <f aca="false">BU108*CA108</f>
        <v>0</v>
      </c>
    </row>
    <row r="109" customFormat="false" ht="12.75" hidden="false" customHeight="false" outlineLevel="0" collapsed="false">
      <c r="A109" s="48" t="n">
        <f aca="false">DATE(YEAR(A108),MONTH(A108)+1,1)</f>
        <v>39173</v>
      </c>
      <c r="B109" s="49"/>
      <c r="C109" s="50"/>
      <c r="E109" s="46"/>
      <c r="F109" s="46"/>
      <c r="G109" s="46"/>
      <c r="H109" s="133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1"/>
      <c r="AN109" s="10"/>
      <c r="AO109" s="11"/>
      <c r="AY109" s="10"/>
      <c r="AZ109" s="11"/>
      <c r="BJ109" s="10"/>
      <c r="BK109" s="11"/>
      <c r="BU109" s="10"/>
      <c r="BV109" s="11"/>
    </row>
    <row r="110" customFormat="false" ht="12.75" hidden="false" customHeight="false" outlineLevel="0" collapsed="false">
      <c r="A110" s="51"/>
      <c r="B110" s="49"/>
      <c r="C110" s="50"/>
      <c r="E110" s="46"/>
      <c r="F110" s="46"/>
      <c r="G110" s="46"/>
      <c r="H110" s="133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1"/>
      <c r="AN110" s="10"/>
      <c r="AO110" s="11"/>
      <c r="AY110" s="10"/>
      <c r="AZ110" s="11"/>
      <c r="BJ110" s="10"/>
      <c r="BK110" s="11"/>
      <c r="BU110" s="10"/>
      <c r="BV110" s="11"/>
    </row>
    <row r="111" customFormat="false" ht="12.75" hidden="false" customHeight="false" outlineLevel="0" collapsed="false">
      <c r="A111" s="51"/>
      <c r="B111" s="49"/>
      <c r="C111" s="50"/>
      <c r="E111" s="46"/>
      <c r="F111" s="46"/>
      <c r="G111" s="46"/>
      <c r="H111" s="133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1"/>
      <c r="AN111" s="10"/>
      <c r="AO111" s="11"/>
      <c r="AY111" s="10"/>
      <c r="AZ111" s="11"/>
      <c r="BJ111" s="10"/>
      <c r="BK111" s="11"/>
      <c r="BU111" s="10"/>
      <c r="BV111" s="11"/>
    </row>
    <row r="112" customFormat="false" ht="12.75" hidden="false" customHeight="false" outlineLevel="0" collapsed="false">
      <c r="A112" s="51"/>
      <c r="B112" s="49"/>
      <c r="C112" s="50"/>
      <c r="E112" s="46"/>
      <c r="F112" s="46"/>
      <c r="G112" s="46"/>
      <c r="H112" s="133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1"/>
      <c r="AN112" s="10"/>
      <c r="AO112" s="11"/>
      <c r="AY112" s="10"/>
      <c r="AZ112" s="11"/>
      <c r="BJ112" s="10"/>
      <c r="BK112" s="11"/>
      <c r="BU112" s="10"/>
      <c r="BV112" s="11"/>
    </row>
    <row r="113" customFormat="false" ht="12.75" hidden="false" customHeight="false" outlineLevel="0" collapsed="false">
      <c r="A113" s="51"/>
      <c r="B113" s="49"/>
      <c r="C113" s="50"/>
      <c r="E113" s="46"/>
      <c r="F113" s="46"/>
      <c r="G113" s="46"/>
      <c r="H113" s="133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1"/>
      <c r="AN113" s="10"/>
      <c r="AO113" s="11"/>
      <c r="AY113" s="10"/>
      <c r="AZ113" s="11"/>
      <c r="BJ113" s="10"/>
      <c r="BK113" s="11"/>
      <c r="BU113" s="10"/>
      <c r="BV113" s="11"/>
    </row>
    <row r="114" customFormat="false" ht="12.75" hidden="false" customHeight="false" outlineLevel="0" collapsed="false">
      <c r="A114" s="51"/>
      <c r="B114" s="49"/>
      <c r="C114" s="50"/>
      <c r="E114" s="46"/>
      <c r="F114" s="46"/>
      <c r="G114" s="46"/>
      <c r="H114" s="133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1"/>
      <c r="AN114" s="10"/>
      <c r="AO114" s="11"/>
      <c r="AY114" s="10"/>
      <c r="AZ114" s="11"/>
      <c r="BJ114" s="10"/>
      <c r="BK114" s="11"/>
      <c r="BU114" s="10"/>
      <c r="BV114" s="11"/>
    </row>
    <row r="115" customFormat="false" ht="12.75" hidden="false" customHeight="false" outlineLevel="0" collapsed="false">
      <c r="A115" s="51"/>
      <c r="B115" s="49"/>
      <c r="C115" s="50"/>
      <c r="E115" s="46"/>
      <c r="F115" s="46"/>
      <c r="G115" s="46"/>
      <c r="H115" s="133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1"/>
      <c r="AN115" s="10"/>
      <c r="AO115" s="11"/>
      <c r="AY115" s="10"/>
      <c r="AZ115" s="11"/>
      <c r="BJ115" s="10"/>
      <c r="BK115" s="11"/>
      <c r="BU115" s="10"/>
      <c r="BV115" s="11"/>
    </row>
    <row r="116" customFormat="false" ht="12.75" hidden="false" customHeight="false" outlineLevel="0" collapsed="false">
      <c r="A116" s="51"/>
      <c r="B116" s="49"/>
      <c r="C116" s="50"/>
      <c r="E116" s="46"/>
      <c r="F116" s="46"/>
      <c r="G116" s="46"/>
      <c r="H116" s="133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1"/>
      <c r="AN116" s="10"/>
      <c r="AO116" s="11"/>
      <c r="AY116" s="10"/>
      <c r="AZ116" s="11"/>
      <c r="BJ116" s="10"/>
      <c r="BK116" s="11"/>
      <c r="BU116" s="10"/>
      <c r="BV116" s="11"/>
    </row>
    <row r="117" customFormat="false" ht="12.75" hidden="false" customHeight="false" outlineLevel="0" collapsed="false">
      <c r="A117" s="51"/>
      <c r="B117" s="49"/>
      <c r="C117" s="50"/>
      <c r="E117" s="46"/>
      <c r="F117" s="46"/>
      <c r="G117" s="46"/>
      <c r="H117" s="133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1"/>
      <c r="AN117" s="10"/>
      <c r="AO117" s="11"/>
      <c r="AY117" s="10"/>
      <c r="AZ117" s="11"/>
      <c r="BJ117" s="10"/>
      <c r="BK117" s="11"/>
      <c r="BU117" s="10"/>
      <c r="BV117" s="11"/>
    </row>
    <row r="118" customFormat="false" ht="12.75" hidden="false" customHeight="false" outlineLevel="0" collapsed="false">
      <c r="A118" s="51"/>
      <c r="B118" s="49"/>
      <c r="C118" s="50"/>
      <c r="E118" s="46"/>
      <c r="F118" s="46"/>
      <c r="G118" s="46"/>
      <c r="H118" s="133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1"/>
      <c r="AN118" s="10"/>
      <c r="AO118" s="11"/>
      <c r="AY118" s="10"/>
      <c r="AZ118" s="11"/>
      <c r="BJ118" s="10"/>
      <c r="BK118" s="11"/>
      <c r="BU118" s="10"/>
      <c r="BV118" s="11"/>
    </row>
    <row r="119" customFormat="false" ht="12.75" hidden="false" customHeight="false" outlineLevel="0" collapsed="false">
      <c r="A119" s="51"/>
      <c r="B119" s="49"/>
      <c r="C119" s="50"/>
      <c r="E119" s="46"/>
      <c r="F119" s="46"/>
      <c r="G119" s="46"/>
      <c r="H119" s="133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1"/>
      <c r="AN119" s="10"/>
      <c r="AO119" s="11"/>
      <c r="AY119" s="10"/>
      <c r="AZ119" s="11"/>
      <c r="BJ119" s="10"/>
      <c r="BK119" s="11"/>
      <c r="BU119" s="10"/>
      <c r="BV119" s="11"/>
    </row>
    <row r="120" customFormat="false" ht="12.75" hidden="false" customHeight="false" outlineLevel="0" collapsed="false">
      <c r="A120" s="52"/>
      <c r="E120" s="22"/>
      <c r="F120" s="22"/>
      <c r="G120" s="22"/>
      <c r="H120" s="133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1"/>
      <c r="AN120" s="10"/>
      <c r="AO120" s="11"/>
      <c r="AY120" s="10"/>
      <c r="AZ120" s="11"/>
      <c r="BJ120" s="10"/>
      <c r="BK120" s="11"/>
      <c r="BU120" s="10"/>
      <c r="BV120" s="11"/>
    </row>
    <row r="121" customFormat="false" ht="12.75" hidden="false" customHeight="false" outlineLevel="0" collapsed="false">
      <c r="A121" s="51"/>
      <c r="B121" s="49"/>
      <c r="C121" s="50"/>
      <c r="E121" s="46"/>
      <c r="F121" s="46"/>
      <c r="G121" s="46"/>
      <c r="H121" s="133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1"/>
      <c r="AN121" s="10"/>
      <c r="AO121" s="11"/>
      <c r="AY121" s="10"/>
      <c r="AZ121" s="11"/>
      <c r="BJ121" s="10"/>
      <c r="BK121" s="11"/>
      <c r="BU121" s="10"/>
      <c r="BV121" s="11"/>
    </row>
    <row r="122" customFormat="false" ht="12.75" hidden="false" customHeight="false" outlineLevel="0" collapsed="false">
      <c r="B122" s="51"/>
      <c r="C122" s="53"/>
      <c r="D122" s="54"/>
      <c r="E122" s="55"/>
      <c r="F122" s="55"/>
      <c r="G122" s="55"/>
      <c r="H122" s="46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0"/>
      <c r="AI122" s="55"/>
      <c r="AJ122" s="55"/>
      <c r="AK122" s="10"/>
      <c r="AL122" s="10"/>
      <c r="AM122" s="11"/>
      <c r="AN122" s="10"/>
      <c r="AO122" s="11"/>
      <c r="AY122" s="10"/>
      <c r="AZ122" s="11"/>
      <c r="BJ122" s="10"/>
      <c r="BK122" s="11"/>
      <c r="BU122" s="10"/>
      <c r="BV122" s="11"/>
    </row>
    <row r="123" customFormat="false" ht="12.75" hidden="false" customHeight="false" outlineLevel="0" collapsed="false">
      <c r="B123" s="51"/>
      <c r="C123" s="53"/>
      <c r="D123" s="54"/>
      <c r="E123" s="55"/>
      <c r="F123" s="55"/>
      <c r="G123" s="55"/>
      <c r="H123" s="46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0"/>
      <c r="AI123" s="55"/>
      <c r="AJ123" s="55"/>
      <c r="AK123" s="10"/>
      <c r="AL123" s="10"/>
      <c r="AM123" s="11"/>
      <c r="AN123" s="10"/>
      <c r="AO123" s="11"/>
      <c r="AY123" s="10"/>
      <c r="AZ123" s="11"/>
      <c r="BJ123" s="10"/>
      <c r="BK123" s="11"/>
      <c r="BU123" s="10"/>
      <c r="BV123" s="11"/>
    </row>
    <row r="124" customFormat="false" ht="12.75" hidden="false" customHeight="false" outlineLevel="0" collapsed="false">
      <c r="B124" s="51"/>
      <c r="C124" s="53"/>
      <c r="D124" s="54"/>
      <c r="E124" s="55"/>
      <c r="F124" s="55"/>
      <c r="G124" s="55"/>
      <c r="H124" s="46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0"/>
      <c r="AI124" s="55"/>
      <c r="AJ124" s="55"/>
      <c r="AK124" s="10"/>
      <c r="AL124" s="10"/>
      <c r="AM124" s="11"/>
      <c r="AN124" s="10"/>
      <c r="AO124" s="11"/>
      <c r="AY124" s="10"/>
      <c r="AZ124" s="11"/>
      <c r="BJ124" s="10"/>
      <c r="BK124" s="11"/>
      <c r="BU124" s="10"/>
      <c r="BV124" s="11"/>
    </row>
    <row r="125" customFormat="false" ht="12.75" hidden="false" customHeight="false" outlineLevel="0" collapsed="false">
      <c r="B125" s="51"/>
      <c r="C125" s="53"/>
      <c r="D125" s="54"/>
      <c r="E125" s="55"/>
      <c r="F125" s="55"/>
      <c r="G125" s="55"/>
      <c r="H125" s="46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0"/>
      <c r="AI125" s="55"/>
      <c r="AJ125" s="55"/>
      <c r="AK125" s="10"/>
      <c r="AL125" s="10"/>
      <c r="AM125" s="11"/>
      <c r="AN125" s="10"/>
      <c r="AO125" s="11"/>
      <c r="AY125" s="10"/>
      <c r="AZ125" s="11"/>
      <c r="BJ125" s="10"/>
      <c r="BK125" s="11"/>
      <c r="BU125" s="10"/>
      <c r="BV125" s="11"/>
    </row>
    <row r="126" customFormat="false" ht="12.75" hidden="false" customHeight="false" outlineLevel="0" collapsed="false">
      <c r="B126" s="51"/>
      <c r="C126" s="53"/>
      <c r="D126" s="54"/>
      <c r="E126" s="55"/>
      <c r="F126" s="55"/>
      <c r="G126" s="55"/>
      <c r="H126" s="46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0"/>
      <c r="AI126" s="55"/>
      <c r="AJ126" s="55"/>
      <c r="AK126" s="10"/>
      <c r="AL126" s="10"/>
      <c r="AM126" s="11"/>
      <c r="AN126" s="10"/>
      <c r="AO126" s="11"/>
      <c r="AY126" s="10"/>
      <c r="AZ126" s="11"/>
      <c r="BJ126" s="10"/>
      <c r="BK126" s="11"/>
      <c r="BU126" s="10"/>
      <c r="BV126" s="11"/>
    </row>
    <row r="127" customFormat="false" ht="12.75" hidden="false" customHeight="false" outlineLevel="0" collapsed="false">
      <c r="B127" s="51"/>
      <c r="C127" s="53"/>
      <c r="D127" s="54"/>
      <c r="E127" s="55"/>
      <c r="F127" s="55"/>
      <c r="G127" s="55"/>
      <c r="H127" s="46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0"/>
      <c r="AI127" s="55"/>
      <c r="AJ127" s="55"/>
      <c r="AK127" s="10"/>
      <c r="AL127" s="10"/>
      <c r="AM127" s="11"/>
      <c r="AN127" s="10"/>
      <c r="AO127" s="11"/>
      <c r="AY127" s="10"/>
      <c r="AZ127" s="11"/>
      <c r="BJ127" s="10"/>
      <c r="BK127" s="11"/>
      <c r="BU127" s="10"/>
      <c r="BV127" s="11"/>
    </row>
    <row r="128" customFormat="false" ht="12.75" hidden="false" customHeight="false" outlineLevel="0" collapsed="false">
      <c r="B128" s="51"/>
      <c r="C128" s="53"/>
      <c r="D128" s="54"/>
      <c r="E128" s="55"/>
      <c r="F128" s="55"/>
      <c r="G128" s="55"/>
      <c r="H128" s="46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0"/>
      <c r="AI128" s="55"/>
      <c r="AJ128" s="55"/>
      <c r="AK128" s="10"/>
      <c r="AL128" s="10"/>
      <c r="AM128" s="11"/>
      <c r="AN128" s="10"/>
      <c r="AO128" s="11"/>
      <c r="AY128" s="10"/>
      <c r="AZ128" s="11"/>
      <c r="BJ128" s="10"/>
      <c r="BK128" s="11"/>
      <c r="BU128" s="10"/>
      <c r="BV128" s="11"/>
    </row>
    <row r="129" customFormat="false" ht="12.75" hidden="false" customHeight="false" outlineLevel="0" collapsed="false">
      <c r="B129" s="51"/>
      <c r="C129" s="53"/>
      <c r="D129" s="54"/>
      <c r="E129" s="55"/>
      <c r="F129" s="55"/>
      <c r="G129" s="55"/>
      <c r="H129" s="46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0"/>
      <c r="AI129" s="55"/>
      <c r="AJ129" s="55"/>
      <c r="AK129" s="10"/>
      <c r="AL129" s="10"/>
      <c r="AM129" s="11"/>
      <c r="AN129" s="10"/>
      <c r="AO129" s="11"/>
      <c r="AY129" s="10"/>
      <c r="AZ129" s="11"/>
      <c r="BJ129" s="10"/>
      <c r="BK129" s="11"/>
      <c r="BU129" s="10"/>
      <c r="BV129" s="11"/>
    </row>
    <row r="130" customFormat="false" ht="12.75" hidden="false" customHeight="false" outlineLevel="0" collapsed="false">
      <c r="B130" s="51"/>
      <c r="C130" s="53"/>
      <c r="D130" s="54"/>
      <c r="E130" s="55"/>
      <c r="F130" s="55"/>
      <c r="G130" s="55"/>
      <c r="H130" s="46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0"/>
      <c r="AI130" s="55"/>
      <c r="AJ130" s="55"/>
      <c r="AK130" s="10"/>
      <c r="AL130" s="10"/>
      <c r="AM130" s="11"/>
      <c r="AN130" s="10"/>
      <c r="AO130" s="11"/>
      <c r="AY130" s="10"/>
      <c r="AZ130" s="11"/>
      <c r="BJ130" s="10"/>
      <c r="BK130" s="11"/>
      <c r="BU130" s="10"/>
      <c r="BV130" s="11"/>
    </row>
    <row r="131" customFormat="false" ht="12.75" hidden="false" customHeight="false" outlineLevel="0" collapsed="false">
      <c r="B131" s="51"/>
      <c r="C131" s="53"/>
      <c r="D131" s="54"/>
      <c r="E131" s="55"/>
      <c r="F131" s="55"/>
      <c r="G131" s="55"/>
      <c r="H131" s="46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0"/>
      <c r="AI131" s="55"/>
      <c r="AJ131" s="55"/>
      <c r="AK131" s="10"/>
      <c r="AL131" s="10"/>
      <c r="AM131" s="11"/>
      <c r="AN131" s="10"/>
      <c r="AO131" s="11"/>
      <c r="AY131" s="10"/>
      <c r="AZ131" s="11"/>
      <c r="BJ131" s="10"/>
      <c r="BK131" s="11"/>
      <c r="BU131" s="10"/>
      <c r="BV131" s="11"/>
    </row>
    <row r="132" customFormat="false" ht="12.75" hidden="false" customHeight="false" outlineLevel="0" collapsed="false">
      <c r="B132" s="51"/>
      <c r="C132" s="53"/>
      <c r="D132" s="54"/>
      <c r="E132" s="55"/>
      <c r="F132" s="55"/>
      <c r="G132" s="55"/>
      <c r="H132" s="46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0"/>
      <c r="AI132" s="55"/>
      <c r="AJ132" s="55"/>
      <c r="AK132" s="10"/>
      <c r="AL132" s="10"/>
      <c r="AM132" s="11"/>
      <c r="AN132" s="10"/>
      <c r="AO132" s="11"/>
      <c r="AY132" s="10"/>
      <c r="AZ132" s="11"/>
      <c r="BJ132" s="10"/>
      <c r="BK132" s="11"/>
      <c r="BU132" s="10"/>
      <c r="BV132" s="11"/>
    </row>
    <row r="133" customFormat="false" ht="12.75" hidden="false" customHeight="false" outlineLevel="0" collapsed="false">
      <c r="B133" s="51"/>
      <c r="C133" s="53"/>
      <c r="D133" s="54"/>
      <c r="E133" s="55"/>
      <c r="F133" s="55"/>
      <c r="G133" s="55"/>
      <c r="H133" s="46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0"/>
      <c r="AI133" s="55"/>
      <c r="AJ133" s="55"/>
      <c r="AK133" s="10"/>
      <c r="AL133" s="10"/>
      <c r="AM133" s="11"/>
      <c r="AN133" s="10"/>
      <c r="AO133" s="11"/>
      <c r="AY133" s="10"/>
      <c r="AZ133" s="11"/>
      <c r="BJ133" s="10"/>
      <c r="BK133" s="11"/>
      <c r="BU133" s="10"/>
      <c r="BV133" s="11"/>
    </row>
    <row r="134" customFormat="false" ht="13.5" hidden="false" customHeight="false" outlineLevel="0" collapsed="false">
      <c r="B134" s="51"/>
      <c r="C134" s="53"/>
      <c r="D134" s="56"/>
      <c r="E134" s="55"/>
      <c r="F134" s="55"/>
      <c r="G134" s="55"/>
      <c r="H134" s="46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0"/>
      <c r="AI134" s="10"/>
      <c r="AJ134" s="10"/>
      <c r="AK134" s="10"/>
      <c r="AL134" s="10"/>
      <c r="AM134" s="11"/>
      <c r="AN134" s="10"/>
      <c r="AO134" s="11"/>
      <c r="AY134" s="10"/>
      <c r="AZ134" s="11"/>
      <c r="BJ134" s="10"/>
      <c r="BK134" s="11"/>
      <c r="BU134" s="10"/>
      <c r="BV134" s="11"/>
    </row>
    <row r="135" customFormat="false" ht="12.75" hidden="false" customHeight="false" outlineLevel="0" collapsed="false">
      <c r="B135" s="51"/>
      <c r="C135" s="53"/>
      <c r="D135" s="57"/>
      <c r="E135" s="55"/>
      <c r="F135" s="55"/>
      <c r="G135" s="55"/>
      <c r="H135" s="46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0"/>
      <c r="AI135" s="10"/>
      <c r="AJ135" s="10"/>
      <c r="AK135" s="10"/>
      <c r="AL135" s="10"/>
      <c r="AM135" s="11"/>
      <c r="AN135" s="10"/>
      <c r="AO135" s="11"/>
      <c r="AY135" s="10"/>
      <c r="AZ135" s="11"/>
      <c r="BJ135" s="10"/>
      <c r="BK135" s="11"/>
      <c r="BU135" s="10"/>
      <c r="BV135" s="11"/>
    </row>
    <row r="136" customFormat="false" ht="13.5" hidden="false" customHeight="false" outlineLevel="0" collapsed="false">
      <c r="B136" s="51"/>
      <c r="C136" s="53"/>
      <c r="D136" s="58"/>
      <c r="E136" s="55"/>
      <c r="F136" s="55"/>
      <c r="G136" s="55"/>
      <c r="H136" s="46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0"/>
      <c r="AI136" s="10"/>
      <c r="AJ136" s="10"/>
      <c r="AK136" s="10"/>
      <c r="AL136" s="10"/>
      <c r="AM136" s="11"/>
      <c r="AN136" s="10"/>
      <c r="AO136" s="11"/>
      <c r="AY136" s="10"/>
      <c r="AZ136" s="11"/>
      <c r="BJ136" s="10"/>
      <c r="BK136" s="11"/>
      <c r="BU136" s="10"/>
      <c r="BV136" s="11"/>
    </row>
    <row r="137" customFormat="false" ht="13.5" hidden="false" customHeight="false" outlineLevel="0" collapsed="false">
      <c r="B137" s="51"/>
      <c r="C137" s="53"/>
      <c r="D137" s="58"/>
      <c r="E137" s="55"/>
      <c r="F137" s="55"/>
      <c r="G137" s="55"/>
      <c r="H137" s="46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0"/>
      <c r="AI137" s="10"/>
      <c r="AJ137" s="10"/>
      <c r="AK137" s="10"/>
      <c r="AL137" s="10"/>
      <c r="AM137" s="11"/>
      <c r="AN137" s="10"/>
      <c r="AO137" s="11"/>
      <c r="AY137" s="10"/>
      <c r="AZ137" s="11"/>
      <c r="BJ137" s="10"/>
      <c r="BK137" s="11"/>
      <c r="BU137" s="10"/>
      <c r="BV137" s="11"/>
    </row>
    <row r="138" customFormat="false" ht="12.75" hidden="false" customHeight="false" outlineLevel="0" collapsed="false">
      <c r="B138" s="51"/>
      <c r="C138" s="53"/>
      <c r="D138" s="59"/>
      <c r="E138" s="55"/>
      <c r="F138" s="55"/>
      <c r="G138" s="55"/>
      <c r="H138" s="46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0"/>
      <c r="AI138" s="10"/>
      <c r="AJ138" s="10"/>
      <c r="AK138" s="10"/>
      <c r="AL138" s="10"/>
      <c r="AM138" s="11"/>
      <c r="AN138" s="10"/>
      <c r="AO138" s="11"/>
      <c r="AY138" s="10"/>
      <c r="AZ138" s="11"/>
      <c r="BJ138" s="10"/>
      <c r="BK138" s="11"/>
      <c r="BU138" s="10"/>
      <c r="BV138" s="11"/>
    </row>
    <row r="139" customFormat="false" ht="12.75" hidden="false" customHeight="false" outlineLevel="0" collapsed="false">
      <c r="B139" s="51"/>
      <c r="C139" s="53"/>
      <c r="D139" s="59"/>
      <c r="E139" s="55"/>
      <c r="F139" s="55"/>
      <c r="G139" s="55"/>
      <c r="H139" s="46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0"/>
      <c r="AI139" s="10"/>
      <c r="AJ139" s="10"/>
      <c r="AK139" s="10"/>
      <c r="AL139" s="10"/>
      <c r="AM139" s="11"/>
      <c r="AN139" s="10"/>
      <c r="AO139" s="11"/>
      <c r="AY139" s="10"/>
      <c r="AZ139" s="11"/>
      <c r="BJ139" s="10"/>
      <c r="BK139" s="11"/>
      <c r="BU139" s="10"/>
      <c r="BV139" s="11"/>
    </row>
    <row r="140" customFormat="false" ht="12.75" hidden="false" customHeight="false" outlineLevel="0" collapsed="false">
      <c r="B140" s="51"/>
      <c r="C140" s="53"/>
      <c r="D140" s="59"/>
      <c r="E140" s="55"/>
      <c r="F140" s="55"/>
      <c r="G140" s="55"/>
      <c r="H140" s="46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0"/>
      <c r="AI140" s="10"/>
      <c r="AJ140" s="10"/>
      <c r="AK140" s="10"/>
      <c r="AL140" s="10"/>
      <c r="AM140" s="11"/>
      <c r="AN140" s="10"/>
      <c r="AO140" s="11"/>
      <c r="AY140" s="10"/>
      <c r="AZ140" s="11"/>
      <c r="BJ140" s="10"/>
      <c r="BK140" s="11"/>
      <c r="BU140" s="10"/>
      <c r="BV140" s="11"/>
    </row>
    <row r="141" customFormat="false" ht="12.75" hidden="false" customHeight="false" outlineLevel="0" collapsed="false">
      <c r="B141" s="51"/>
      <c r="C141" s="53"/>
      <c r="D141" s="59"/>
      <c r="E141" s="55"/>
      <c r="F141" s="55"/>
      <c r="G141" s="55"/>
      <c r="H141" s="46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0"/>
      <c r="AI141" s="10"/>
      <c r="AJ141" s="10"/>
      <c r="AK141" s="10"/>
      <c r="AL141" s="10"/>
      <c r="AM141" s="11"/>
      <c r="AN141" s="10"/>
      <c r="AO141" s="11"/>
      <c r="AY141" s="10"/>
      <c r="AZ141" s="11"/>
      <c r="BJ141" s="10"/>
      <c r="BK141" s="11"/>
      <c r="BU141" s="10"/>
      <c r="BV141" s="11"/>
    </row>
    <row r="142" customFormat="false" ht="12.75" hidden="false" customHeight="false" outlineLevel="0" collapsed="false">
      <c r="B142" s="51"/>
      <c r="C142" s="53"/>
      <c r="D142" s="59"/>
      <c r="E142" s="55"/>
      <c r="F142" s="55"/>
      <c r="G142" s="55"/>
      <c r="H142" s="46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0"/>
      <c r="AI142" s="10"/>
      <c r="AJ142" s="10"/>
      <c r="AK142" s="10"/>
      <c r="AL142" s="10"/>
      <c r="AM142" s="11"/>
      <c r="AN142" s="10"/>
      <c r="AO142" s="11"/>
      <c r="AY142" s="10"/>
      <c r="AZ142" s="11"/>
      <c r="BJ142" s="10"/>
      <c r="BK142" s="11"/>
      <c r="BU142" s="10"/>
      <c r="BV142" s="11"/>
    </row>
    <row r="143" customFormat="false" ht="12.75" hidden="false" customHeight="false" outlineLevel="0" collapsed="false">
      <c r="B143" s="51"/>
      <c r="C143" s="53"/>
      <c r="D143" s="59"/>
      <c r="E143" s="55"/>
      <c r="F143" s="55"/>
      <c r="G143" s="55"/>
      <c r="H143" s="46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0"/>
      <c r="AK143" s="10"/>
      <c r="AL143" s="10"/>
      <c r="AM143" s="11"/>
      <c r="AN143" s="10"/>
      <c r="AO143" s="11"/>
      <c r="AY143" s="10"/>
      <c r="AZ143" s="11"/>
      <c r="BJ143" s="10"/>
      <c r="BK143" s="11"/>
      <c r="BU143" s="10"/>
      <c r="BV143" s="11"/>
    </row>
    <row r="144" customFormat="false" ht="12.75" hidden="false" customHeight="false" outlineLevel="0" collapsed="false">
      <c r="B144" s="51"/>
      <c r="C144" s="53"/>
      <c r="D144" s="59"/>
      <c r="E144" s="55"/>
      <c r="F144" s="55"/>
      <c r="G144" s="55"/>
      <c r="H144" s="46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0"/>
      <c r="AI144" s="10"/>
      <c r="AJ144" s="10"/>
      <c r="AK144" s="10"/>
      <c r="AL144" s="10"/>
      <c r="AM144" s="11"/>
      <c r="AN144" s="10"/>
      <c r="AO144" s="11"/>
      <c r="AY144" s="10"/>
      <c r="AZ144" s="11"/>
      <c r="BJ144" s="10"/>
      <c r="BK144" s="11"/>
      <c r="BU144" s="10"/>
      <c r="BV144" s="11"/>
    </row>
    <row r="145" customFormat="false" ht="12.75" hidden="false" customHeight="false" outlineLevel="0" collapsed="false">
      <c r="B145" s="51"/>
      <c r="C145" s="53"/>
      <c r="D145" s="59"/>
      <c r="E145" s="55"/>
      <c r="F145" s="55"/>
      <c r="G145" s="55"/>
      <c r="H145" s="46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0"/>
      <c r="AI145" s="10"/>
      <c r="AJ145" s="10"/>
      <c r="AK145" s="10"/>
      <c r="AL145" s="10"/>
      <c r="AM145" s="11"/>
      <c r="AN145" s="10"/>
      <c r="AO145" s="11"/>
      <c r="AY145" s="10"/>
      <c r="AZ145" s="11"/>
      <c r="BJ145" s="10"/>
      <c r="BK145" s="11"/>
      <c r="BU145" s="10"/>
      <c r="BV145" s="11"/>
    </row>
    <row r="146" customFormat="false" ht="12.75" hidden="false" customHeight="false" outlineLevel="0" collapsed="false">
      <c r="B146" s="51"/>
      <c r="C146" s="53"/>
      <c r="D146" s="59"/>
      <c r="E146" s="55"/>
      <c r="F146" s="55"/>
      <c r="G146" s="55"/>
      <c r="H146" s="46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0"/>
      <c r="AI146" s="10"/>
      <c r="AJ146" s="10"/>
      <c r="AK146" s="10"/>
      <c r="AL146" s="10"/>
      <c r="AM146" s="11"/>
      <c r="AN146" s="10"/>
      <c r="AO146" s="11"/>
      <c r="AY146" s="10"/>
      <c r="AZ146" s="11"/>
      <c r="BJ146" s="10"/>
      <c r="BK146" s="11"/>
      <c r="BU146" s="10"/>
      <c r="BV146" s="11"/>
    </row>
    <row r="147" customFormat="false" ht="12.75" hidden="false" customHeight="false" outlineLevel="0" collapsed="false">
      <c r="B147" s="51"/>
      <c r="C147" s="53"/>
      <c r="D147" s="59"/>
      <c r="E147" s="55"/>
      <c r="F147" s="55"/>
      <c r="G147" s="55"/>
      <c r="H147" s="46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0"/>
      <c r="AI147" s="10"/>
      <c r="AJ147" s="10"/>
      <c r="AK147" s="10"/>
      <c r="AL147" s="10"/>
      <c r="AM147" s="11"/>
      <c r="AN147" s="10"/>
      <c r="AO147" s="11"/>
      <c r="AY147" s="10"/>
      <c r="AZ147" s="11"/>
      <c r="BJ147" s="10"/>
      <c r="BK147" s="11"/>
      <c r="BU147" s="10"/>
      <c r="BV147" s="11"/>
    </row>
    <row r="148" customFormat="false" ht="12.75" hidden="false" customHeight="false" outlineLevel="0" collapsed="false">
      <c r="B148" s="51"/>
      <c r="C148" s="53"/>
      <c r="D148" s="59"/>
      <c r="E148" s="55"/>
      <c r="F148" s="55"/>
      <c r="G148" s="55"/>
      <c r="H148" s="46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0"/>
      <c r="AI148" s="10"/>
      <c r="AJ148" s="10"/>
      <c r="AK148" s="10"/>
      <c r="AL148" s="10"/>
      <c r="AM148" s="11"/>
      <c r="AN148" s="10"/>
      <c r="AO148" s="11"/>
      <c r="AY148" s="10"/>
      <c r="AZ148" s="11"/>
      <c r="BJ148" s="10"/>
      <c r="BK148" s="11"/>
      <c r="BU148" s="10"/>
      <c r="BV148" s="11"/>
    </row>
    <row r="149" customFormat="false" ht="12.75" hidden="false" customHeight="false" outlineLevel="0" collapsed="false">
      <c r="B149" s="51"/>
      <c r="C149" s="53"/>
      <c r="D149" s="59"/>
      <c r="E149" s="55"/>
      <c r="F149" s="55"/>
      <c r="G149" s="55"/>
      <c r="H149" s="46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0"/>
      <c r="AI149" s="10"/>
      <c r="AJ149" s="10"/>
      <c r="AK149" s="10"/>
      <c r="AL149" s="10"/>
      <c r="AM149" s="11"/>
      <c r="AN149" s="10"/>
      <c r="AO149" s="11"/>
      <c r="AY149" s="10"/>
      <c r="AZ149" s="11"/>
      <c r="BJ149" s="10"/>
      <c r="BK149" s="11"/>
      <c r="BU149" s="10"/>
      <c r="BV149" s="11"/>
    </row>
    <row r="150" customFormat="false" ht="12.75" hidden="false" customHeight="false" outlineLevel="0" collapsed="false">
      <c r="B150" s="51"/>
      <c r="C150" s="53"/>
      <c r="D150" s="59"/>
      <c r="E150" s="55"/>
      <c r="F150" s="55"/>
      <c r="G150" s="55"/>
      <c r="H150" s="46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0"/>
      <c r="AI150" s="10"/>
      <c r="AJ150" s="10"/>
      <c r="AK150" s="10"/>
      <c r="AL150" s="10"/>
      <c r="AM150" s="11"/>
      <c r="AN150" s="10"/>
      <c r="AO150" s="11"/>
      <c r="AY150" s="10"/>
      <c r="AZ150" s="11"/>
      <c r="BJ150" s="10"/>
      <c r="BK150" s="11"/>
      <c r="BU150" s="10"/>
      <c r="BV150" s="11"/>
    </row>
    <row r="151" customFormat="false" ht="12.75" hidden="false" customHeight="false" outlineLevel="0" collapsed="false">
      <c r="B151" s="51"/>
      <c r="C151" s="53"/>
      <c r="D151" s="59"/>
      <c r="E151" s="55"/>
      <c r="F151" s="55"/>
      <c r="G151" s="55"/>
      <c r="H151" s="46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0"/>
      <c r="AI151" s="10"/>
      <c r="AJ151" s="10"/>
      <c r="AK151" s="10"/>
      <c r="AL151" s="10"/>
      <c r="AM151" s="11"/>
      <c r="AN151" s="10"/>
      <c r="AO151" s="11"/>
      <c r="AY151" s="10"/>
      <c r="AZ151" s="11"/>
      <c r="BJ151" s="10"/>
      <c r="BK151" s="11"/>
      <c r="BU151" s="10"/>
      <c r="BV151" s="11"/>
    </row>
    <row r="152" customFormat="false" ht="12.75" hidden="false" customHeight="false" outlineLevel="0" collapsed="false">
      <c r="B152" s="51"/>
      <c r="C152" s="53"/>
      <c r="D152" s="59"/>
      <c r="E152" s="55"/>
      <c r="F152" s="55"/>
      <c r="G152" s="55"/>
      <c r="H152" s="46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0"/>
      <c r="AI152" s="10"/>
      <c r="AJ152" s="10"/>
      <c r="AK152" s="10"/>
      <c r="AL152" s="10"/>
      <c r="AM152" s="11"/>
      <c r="AN152" s="10"/>
      <c r="AO152" s="11"/>
      <c r="AY152" s="10"/>
      <c r="AZ152" s="11"/>
      <c r="BJ152" s="10"/>
      <c r="BK152" s="11"/>
      <c r="BU152" s="10"/>
      <c r="BV152" s="11"/>
    </row>
    <row r="153" customFormat="false" ht="12.75" hidden="false" customHeight="false" outlineLevel="0" collapsed="false">
      <c r="B153" s="51"/>
      <c r="C153" s="53"/>
      <c r="D153" s="59"/>
      <c r="E153" s="55"/>
      <c r="F153" s="55"/>
      <c r="G153" s="55"/>
      <c r="H153" s="46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0"/>
      <c r="AI153" s="10"/>
      <c r="AJ153" s="10"/>
      <c r="AK153" s="10"/>
      <c r="AL153" s="10"/>
      <c r="AM153" s="11"/>
      <c r="AN153" s="10"/>
      <c r="AO153" s="11"/>
      <c r="AY153" s="10"/>
      <c r="AZ153" s="11"/>
      <c r="BJ153" s="10"/>
      <c r="BK153" s="11"/>
      <c r="BU153" s="10"/>
      <c r="BV153" s="11"/>
    </row>
    <row r="154" customFormat="false" ht="12.75" hidden="false" customHeight="false" outlineLevel="0" collapsed="false">
      <c r="B154" s="51"/>
      <c r="C154" s="53"/>
      <c r="D154" s="59"/>
      <c r="E154" s="55"/>
      <c r="F154" s="55"/>
      <c r="G154" s="55"/>
      <c r="H154" s="46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0"/>
      <c r="AI154" s="10"/>
      <c r="AJ154" s="10"/>
      <c r="AK154" s="10"/>
      <c r="AL154" s="10"/>
      <c r="AM154" s="11"/>
      <c r="AN154" s="10"/>
      <c r="AO154" s="11"/>
      <c r="AY154" s="10"/>
      <c r="AZ154" s="11"/>
      <c r="BJ154" s="10"/>
      <c r="BK154" s="11"/>
      <c r="BU154" s="10"/>
      <c r="BV154" s="11"/>
    </row>
    <row r="155" customFormat="false" ht="12.75" hidden="false" customHeight="false" outlineLevel="0" collapsed="false">
      <c r="B155" s="51"/>
      <c r="C155" s="53"/>
      <c r="D155" s="59"/>
      <c r="E155" s="55"/>
      <c r="F155" s="55"/>
      <c r="G155" s="55"/>
      <c r="H155" s="46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0"/>
      <c r="AI155" s="10"/>
      <c r="AJ155" s="10"/>
      <c r="AK155" s="10"/>
      <c r="AL155" s="10"/>
      <c r="AM155" s="11"/>
      <c r="AN155" s="10"/>
      <c r="AO155" s="11"/>
      <c r="AY155" s="10"/>
      <c r="AZ155" s="11"/>
      <c r="BJ155" s="10"/>
      <c r="BK155" s="11"/>
      <c r="BU155" s="10"/>
      <c r="BV155" s="11"/>
    </row>
    <row r="156" customFormat="false" ht="12.75" hidden="false" customHeight="false" outlineLevel="0" collapsed="false">
      <c r="B156" s="51"/>
      <c r="C156" s="53"/>
      <c r="D156" s="59"/>
      <c r="E156" s="55"/>
      <c r="F156" s="55"/>
      <c r="G156" s="55"/>
      <c r="H156" s="46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0"/>
      <c r="AI156" s="10"/>
      <c r="AJ156" s="10"/>
      <c r="AK156" s="10"/>
      <c r="AL156" s="10"/>
      <c r="AM156" s="11"/>
      <c r="AN156" s="10"/>
      <c r="AO156" s="11"/>
      <c r="AY156" s="10"/>
      <c r="AZ156" s="11"/>
      <c r="BJ156" s="10"/>
      <c r="BK156" s="11"/>
      <c r="BU156" s="10"/>
      <c r="BV156" s="11"/>
    </row>
    <row r="157" customFormat="false" ht="12.75" hidden="false" customHeight="false" outlineLevel="0" collapsed="false">
      <c r="B157" s="51"/>
      <c r="C157" s="53"/>
      <c r="D157" s="59"/>
      <c r="E157" s="55"/>
      <c r="F157" s="55"/>
      <c r="G157" s="55"/>
      <c r="H157" s="46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0"/>
      <c r="AI157" s="10"/>
      <c r="AJ157" s="10"/>
      <c r="AK157" s="10"/>
      <c r="AL157" s="10"/>
      <c r="AM157" s="11"/>
      <c r="AN157" s="10"/>
      <c r="AO157" s="11"/>
      <c r="AY157" s="10"/>
      <c r="AZ157" s="11"/>
      <c r="BJ157" s="10"/>
      <c r="BK157" s="11"/>
      <c r="BU157" s="10"/>
      <c r="BV157" s="11"/>
    </row>
    <row r="158" customFormat="false" ht="12.75" hidden="false" customHeight="false" outlineLevel="0" collapsed="false">
      <c r="B158" s="51"/>
      <c r="C158" s="53"/>
      <c r="D158" s="59"/>
      <c r="E158" s="55"/>
      <c r="F158" s="55"/>
      <c r="G158" s="55"/>
      <c r="H158" s="46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0"/>
      <c r="AI158" s="10"/>
      <c r="AJ158" s="10"/>
      <c r="AK158" s="10"/>
      <c r="AL158" s="10"/>
      <c r="AM158" s="11"/>
      <c r="AN158" s="10"/>
      <c r="AO158" s="11"/>
      <c r="AY158" s="10"/>
      <c r="AZ158" s="11"/>
      <c r="BJ158" s="10"/>
      <c r="BK158" s="11"/>
      <c r="BU158" s="10"/>
      <c r="BV158" s="11"/>
    </row>
    <row r="159" customFormat="false" ht="12.75" hidden="false" customHeight="false" outlineLevel="0" collapsed="false">
      <c r="B159" s="51"/>
      <c r="C159" s="53"/>
      <c r="D159" s="59"/>
      <c r="E159" s="55"/>
      <c r="F159" s="55"/>
      <c r="G159" s="55"/>
      <c r="H159" s="46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0"/>
      <c r="AI159" s="10"/>
      <c r="AJ159" s="10"/>
      <c r="AK159" s="10"/>
      <c r="AL159" s="10"/>
      <c r="AM159" s="11"/>
      <c r="AN159" s="10"/>
      <c r="AO159" s="11"/>
      <c r="AY159" s="10"/>
      <c r="AZ159" s="11"/>
      <c r="BJ159" s="10"/>
      <c r="BK159" s="11"/>
      <c r="BU159" s="10"/>
      <c r="BV159" s="11"/>
    </row>
    <row r="160" customFormat="false" ht="12.75" hidden="false" customHeight="false" outlineLevel="0" collapsed="false">
      <c r="B160" s="51"/>
      <c r="C160" s="53"/>
      <c r="D160" s="59"/>
      <c r="E160" s="55"/>
      <c r="F160" s="55"/>
      <c r="G160" s="55"/>
      <c r="H160" s="46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0"/>
      <c r="AI160" s="10"/>
      <c r="AJ160" s="10"/>
      <c r="AK160" s="10"/>
      <c r="AL160" s="10"/>
      <c r="AM160" s="11"/>
      <c r="AN160" s="10"/>
      <c r="AO160" s="11"/>
      <c r="AY160" s="10"/>
      <c r="AZ160" s="11"/>
      <c r="BJ160" s="10"/>
      <c r="BK160" s="11"/>
      <c r="BU160" s="10"/>
      <c r="BV160" s="11"/>
    </row>
    <row r="161" customFormat="false" ht="12.75" hidden="false" customHeight="false" outlineLevel="0" collapsed="false">
      <c r="B161" s="51"/>
      <c r="C161" s="53"/>
      <c r="D161" s="59"/>
      <c r="E161" s="55"/>
      <c r="F161" s="55"/>
      <c r="G161" s="55"/>
      <c r="H161" s="46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0"/>
      <c r="AI161" s="10"/>
      <c r="AJ161" s="10"/>
      <c r="AK161" s="10"/>
      <c r="AL161" s="10"/>
      <c r="AM161" s="11"/>
      <c r="AN161" s="10"/>
      <c r="AO161" s="11"/>
      <c r="AY161" s="10"/>
      <c r="AZ161" s="11"/>
      <c r="BJ161" s="10"/>
      <c r="BK161" s="11"/>
      <c r="BU161" s="10"/>
      <c r="BV161" s="11"/>
    </row>
    <row r="162" customFormat="false" ht="12.75" hidden="false" customHeight="false" outlineLevel="0" collapsed="false">
      <c r="B162" s="51"/>
      <c r="C162" s="53"/>
      <c r="D162" s="59"/>
      <c r="E162" s="55"/>
      <c r="F162" s="55"/>
      <c r="G162" s="55"/>
      <c r="H162" s="46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0"/>
      <c r="AI162" s="10"/>
      <c r="AJ162" s="10"/>
      <c r="AK162" s="10"/>
      <c r="AL162" s="10"/>
      <c r="AM162" s="11"/>
      <c r="AN162" s="10"/>
      <c r="AO162" s="11"/>
      <c r="AY162" s="10"/>
      <c r="AZ162" s="11"/>
      <c r="BJ162" s="10"/>
      <c r="BK162" s="11"/>
      <c r="BU162" s="10"/>
      <c r="BV162" s="11"/>
    </row>
    <row r="163" customFormat="false" ht="12.75" hidden="false" customHeight="false" outlineLevel="0" collapsed="false">
      <c r="B163" s="51"/>
      <c r="C163" s="53"/>
      <c r="D163" s="59"/>
      <c r="E163" s="55"/>
      <c r="F163" s="55"/>
      <c r="G163" s="55"/>
      <c r="H163" s="46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0"/>
      <c r="AI163" s="10"/>
      <c r="AJ163" s="10"/>
      <c r="AK163" s="10"/>
      <c r="AL163" s="10"/>
      <c r="AM163" s="11"/>
      <c r="AN163" s="10"/>
      <c r="AO163" s="11"/>
      <c r="AY163" s="10"/>
      <c r="AZ163" s="11"/>
      <c r="BJ163" s="10"/>
      <c r="BK163" s="11"/>
      <c r="BU163" s="10"/>
      <c r="BV163" s="11"/>
    </row>
    <row r="164" customFormat="false" ht="12.75" hidden="false" customHeight="false" outlineLevel="0" collapsed="false">
      <c r="B164" s="51"/>
      <c r="C164" s="53"/>
      <c r="D164" s="59"/>
      <c r="E164" s="55"/>
      <c r="F164" s="55"/>
      <c r="G164" s="55"/>
      <c r="H164" s="46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0"/>
      <c r="AI164" s="10"/>
      <c r="AJ164" s="10"/>
      <c r="AK164" s="10"/>
      <c r="AL164" s="10"/>
      <c r="AM164" s="11"/>
      <c r="AN164" s="10"/>
      <c r="AO164" s="11"/>
      <c r="AY164" s="10"/>
      <c r="AZ164" s="11"/>
      <c r="BJ164" s="10"/>
      <c r="BK164" s="11"/>
      <c r="BU164" s="10"/>
      <c r="BV164" s="11"/>
    </row>
    <row r="165" customFormat="false" ht="12.75" hidden="false" customHeight="false" outlineLevel="0" collapsed="false">
      <c r="B165" s="51"/>
      <c r="C165" s="53"/>
      <c r="D165" s="59"/>
      <c r="E165" s="55"/>
      <c r="F165" s="55"/>
      <c r="G165" s="55"/>
      <c r="H165" s="46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0"/>
      <c r="AI165" s="10"/>
      <c r="AJ165" s="10"/>
      <c r="AK165" s="10"/>
      <c r="AL165" s="10"/>
      <c r="AM165" s="11"/>
      <c r="AN165" s="10"/>
      <c r="AO165" s="11"/>
      <c r="AY165" s="10"/>
      <c r="AZ165" s="11"/>
      <c r="BJ165" s="10"/>
      <c r="BK165" s="11"/>
      <c r="BU165" s="10"/>
      <c r="BV165" s="11"/>
    </row>
    <row r="166" customFormat="false" ht="12.75" hidden="false" customHeight="false" outlineLevel="0" collapsed="false">
      <c r="B166" s="51"/>
      <c r="C166" s="53"/>
      <c r="D166" s="59"/>
      <c r="E166" s="55"/>
      <c r="F166" s="55"/>
      <c r="G166" s="55"/>
      <c r="H166" s="46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0"/>
      <c r="AI166" s="10"/>
      <c r="AJ166" s="10"/>
      <c r="AK166" s="10"/>
      <c r="AL166" s="10"/>
      <c r="AM166" s="11"/>
      <c r="AN166" s="10"/>
      <c r="AO166" s="11"/>
      <c r="AY166" s="10"/>
      <c r="AZ166" s="11"/>
      <c r="BJ166" s="10"/>
      <c r="BK166" s="11"/>
      <c r="BU166" s="10"/>
      <c r="BV166" s="11"/>
    </row>
    <row r="167" customFormat="false" ht="12.75" hidden="false" customHeight="false" outlineLevel="0" collapsed="false">
      <c r="B167" s="51"/>
      <c r="C167" s="53"/>
      <c r="D167" s="59"/>
      <c r="E167" s="55"/>
      <c r="F167" s="55"/>
      <c r="G167" s="55"/>
      <c r="H167" s="46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0"/>
      <c r="AI167" s="10"/>
      <c r="AJ167" s="10"/>
      <c r="AK167" s="10"/>
      <c r="AL167" s="10"/>
      <c r="AM167" s="11"/>
      <c r="AN167" s="10"/>
      <c r="AO167" s="11"/>
      <c r="AY167" s="10"/>
      <c r="AZ167" s="11"/>
      <c r="BJ167" s="10"/>
      <c r="BK167" s="11"/>
      <c r="BU167" s="10"/>
      <c r="BV167" s="11"/>
    </row>
    <row r="168" customFormat="false" ht="12.75" hidden="false" customHeight="false" outlineLevel="0" collapsed="false">
      <c r="B168" s="60"/>
      <c r="C168" s="59"/>
      <c r="D168" s="59"/>
      <c r="E168" s="55"/>
      <c r="F168" s="55"/>
      <c r="G168" s="55"/>
      <c r="H168" s="46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0"/>
      <c r="AI168" s="10"/>
      <c r="AJ168" s="10"/>
      <c r="AK168" s="10"/>
      <c r="AL168" s="10"/>
      <c r="AM168" s="11"/>
      <c r="AN168" s="10"/>
      <c r="AO168" s="11"/>
      <c r="AY168" s="10"/>
      <c r="AZ168" s="11"/>
      <c r="BJ168" s="10"/>
      <c r="BK168" s="11"/>
      <c r="BU168" s="10"/>
      <c r="BV168" s="11"/>
    </row>
    <row r="169" customFormat="false" ht="12.75" hidden="false" customHeight="false" outlineLevel="0" collapsed="false">
      <c r="B169" s="60"/>
      <c r="C169" s="59"/>
      <c r="D169" s="59"/>
      <c r="E169" s="55"/>
      <c r="F169" s="55"/>
      <c r="G169" s="55"/>
      <c r="H169" s="46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0"/>
      <c r="AI169" s="10"/>
      <c r="AJ169" s="10"/>
      <c r="AK169" s="10"/>
      <c r="AL169" s="10"/>
      <c r="AM169" s="11"/>
      <c r="AN169" s="10"/>
      <c r="AO169" s="11"/>
      <c r="AY169" s="10"/>
      <c r="AZ169" s="11"/>
      <c r="BJ169" s="10"/>
      <c r="BK169" s="11"/>
      <c r="BU169" s="10"/>
      <c r="BV169" s="11"/>
    </row>
    <row r="170" customFormat="false" ht="12.75" hidden="false" customHeight="false" outlineLevel="0" collapsed="false">
      <c r="B170" s="60"/>
      <c r="C170" s="59"/>
      <c r="D170" s="59"/>
      <c r="E170" s="55"/>
      <c r="F170" s="55"/>
      <c r="G170" s="55"/>
      <c r="H170" s="46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0"/>
      <c r="AI170" s="10"/>
      <c r="AJ170" s="10"/>
      <c r="AK170" s="10"/>
      <c r="AL170" s="10"/>
      <c r="AM170" s="11"/>
      <c r="AN170" s="10"/>
      <c r="AO170" s="11"/>
      <c r="AY170" s="10"/>
      <c r="AZ170" s="11"/>
      <c r="BJ170" s="10"/>
      <c r="BK170" s="11"/>
      <c r="BU170" s="10"/>
      <c r="BV170" s="11"/>
    </row>
    <row r="171" customFormat="false" ht="12.75" hidden="false" customHeight="false" outlineLevel="0" collapsed="false">
      <c r="B171" s="60"/>
      <c r="C171" s="59"/>
      <c r="D171" s="59"/>
      <c r="E171" s="55"/>
      <c r="F171" s="55"/>
      <c r="G171" s="55"/>
      <c r="H171" s="46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0"/>
      <c r="AI171" s="10"/>
      <c r="AJ171" s="10"/>
      <c r="AK171" s="10"/>
      <c r="AL171" s="10"/>
      <c r="AM171" s="11"/>
      <c r="AN171" s="10"/>
      <c r="AO171" s="11"/>
      <c r="AY171" s="10"/>
      <c r="AZ171" s="11"/>
      <c r="BJ171" s="10"/>
      <c r="BK171" s="11"/>
      <c r="BU171" s="10"/>
      <c r="BV171" s="11"/>
    </row>
    <row r="172" customFormat="false" ht="12.75" hidden="false" customHeight="false" outlineLevel="0" collapsed="false">
      <c r="B172" s="60"/>
      <c r="C172" s="59"/>
      <c r="D172" s="59"/>
      <c r="E172" s="55"/>
      <c r="F172" s="55"/>
      <c r="G172" s="55"/>
      <c r="H172" s="46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0"/>
      <c r="AI172" s="10"/>
      <c r="AJ172" s="10"/>
      <c r="AK172" s="10"/>
      <c r="AL172" s="10"/>
      <c r="AM172" s="11"/>
      <c r="AN172" s="10"/>
      <c r="AO172" s="11"/>
      <c r="AY172" s="10"/>
      <c r="AZ172" s="11"/>
      <c r="BJ172" s="10"/>
      <c r="BK172" s="11"/>
      <c r="BU172" s="10"/>
      <c r="BV172" s="11"/>
    </row>
    <row r="173" customFormat="false" ht="12.75" hidden="false" customHeight="false" outlineLevel="0" collapsed="false">
      <c r="B173" s="60"/>
      <c r="C173" s="59"/>
      <c r="D173" s="59"/>
      <c r="E173" s="55"/>
      <c r="F173" s="55"/>
      <c r="G173" s="55"/>
      <c r="H173" s="46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0"/>
      <c r="AI173" s="10"/>
      <c r="AJ173" s="10"/>
      <c r="AK173" s="10"/>
      <c r="AL173" s="10"/>
      <c r="AM173" s="11"/>
      <c r="AN173" s="10"/>
      <c r="AO173" s="11"/>
      <c r="AY173" s="10"/>
      <c r="AZ173" s="11"/>
      <c r="BJ173" s="10"/>
      <c r="BK173" s="11"/>
      <c r="BU173" s="10"/>
      <c r="BV173" s="11"/>
    </row>
    <row r="174" customFormat="false" ht="12.75" hidden="false" customHeight="false" outlineLevel="0" collapsed="false">
      <c r="B174" s="60"/>
      <c r="C174" s="59"/>
      <c r="D174" s="59"/>
      <c r="E174" s="55"/>
      <c r="F174" s="55"/>
      <c r="G174" s="55"/>
      <c r="H174" s="46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0"/>
      <c r="AI174" s="10"/>
      <c r="AJ174" s="10"/>
      <c r="AK174" s="10"/>
      <c r="AL174" s="10"/>
      <c r="AM174" s="11"/>
      <c r="AN174" s="10"/>
      <c r="AO174" s="11"/>
      <c r="AY174" s="10"/>
      <c r="AZ174" s="11"/>
      <c r="BJ174" s="10"/>
      <c r="BK174" s="11"/>
      <c r="BU174" s="10"/>
      <c r="BV174" s="11"/>
    </row>
    <row r="175" customFormat="false" ht="12.75" hidden="false" customHeight="false" outlineLevel="0" collapsed="false">
      <c r="B175" s="60"/>
      <c r="C175" s="59"/>
      <c r="D175" s="59"/>
      <c r="E175" s="55"/>
      <c r="F175" s="55"/>
      <c r="G175" s="55"/>
      <c r="H175" s="46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0"/>
      <c r="AI175" s="10"/>
      <c r="AJ175" s="10"/>
      <c r="AK175" s="10"/>
      <c r="AL175" s="10"/>
      <c r="AM175" s="11"/>
      <c r="AN175" s="10"/>
      <c r="AO175" s="11"/>
      <c r="AY175" s="10"/>
      <c r="AZ175" s="11"/>
      <c r="BJ175" s="10"/>
      <c r="BK175" s="11"/>
      <c r="BU175" s="10"/>
      <c r="BV175" s="11"/>
    </row>
    <row r="176" customFormat="false" ht="12.75" hidden="false" customHeight="false" outlineLevel="0" collapsed="false">
      <c r="B176" s="60"/>
      <c r="C176" s="59"/>
      <c r="D176" s="59"/>
      <c r="E176" s="55"/>
      <c r="F176" s="55"/>
      <c r="G176" s="55"/>
      <c r="H176" s="46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0"/>
      <c r="AI176" s="10"/>
      <c r="AJ176" s="10"/>
      <c r="AK176" s="10"/>
      <c r="AL176" s="10"/>
      <c r="AM176" s="11"/>
      <c r="AN176" s="10"/>
      <c r="AO176" s="11"/>
      <c r="AY176" s="10"/>
      <c r="AZ176" s="11"/>
      <c r="BJ176" s="10"/>
      <c r="BK176" s="11"/>
      <c r="BU176" s="10"/>
      <c r="BV176" s="11"/>
    </row>
    <row r="177" customFormat="false" ht="12.75" hidden="false" customHeight="false" outlineLevel="0" collapsed="false">
      <c r="B177" s="60"/>
      <c r="C177" s="59"/>
      <c r="D177" s="59"/>
      <c r="E177" s="55"/>
      <c r="F177" s="55"/>
      <c r="G177" s="55"/>
      <c r="H177" s="46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0"/>
      <c r="AI177" s="10"/>
      <c r="AJ177" s="10"/>
      <c r="AK177" s="10"/>
      <c r="AL177" s="10"/>
      <c r="AM177" s="11"/>
      <c r="AN177" s="10"/>
      <c r="AO177" s="11"/>
      <c r="AY177" s="10"/>
      <c r="AZ177" s="11"/>
      <c r="BJ177" s="10"/>
      <c r="BK177" s="11"/>
      <c r="BU177" s="10"/>
      <c r="BV177" s="11"/>
    </row>
    <row r="178" customFormat="false" ht="12.75" hidden="false" customHeight="false" outlineLevel="0" collapsed="false">
      <c r="B178" s="60"/>
      <c r="C178" s="59"/>
      <c r="D178" s="59"/>
      <c r="E178" s="55"/>
      <c r="F178" s="55"/>
      <c r="G178" s="55"/>
      <c r="H178" s="46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0"/>
      <c r="AI178" s="10"/>
      <c r="AJ178" s="10"/>
      <c r="AK178" s="10"/>
      <c r="AL178" s="10"/>
      <c r="AM178" s="11"/>
      <c r="AN178" s="10"/>
      <c r="AO178" s="11"/>
      <c r="AY178" s="10"/>
      <c r="AZ178" s="11"/>
      <c r="BJ178" s="10"/>
      <c r="BK178" s="11"/>
      <c r="BU178" s="10"/>
      <c r="BV178" s="11"/>
    </row>
    <row r="179" customFormat="false" ht="12.75" hidden="false" customHeight="false" outlineLevel="0" collapsed="false">
      <c r="B179" s="60"/>
      <c r="C179" s="59"/>
      <c r="D179" s="59"/>
      <c r="E179" s="55"/>
      <c r="F179" s="55"/>
      <c r="G179" s="55"/>
      <c r="H179" s="46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0"/>
      <c r="AI179" s="10"/>
      <c r="AJ179" s="10"/>
      <c r="AK179" s="10"/>
      <c r="AL179" s="10"/>
      <c r="AM179" s="11"/>
      <c r="AN179" s="10"/>
      <c r="AO179" s="11"/>
      <c r="AY179" s="10"/>
      <c r="AZ179" s="11"/>
      <c r="BJ179" s="10"/>
      <c r="BK179" s="11"/>
      <c r="BU179" s="10"/>
      <c r="BV179" s="11"/>
    </row>
    <row r="180" customFormat="false" ht="12.75" hidden="false" customHeight="false" outlineLevel="0" collapsed="false">
      <c r="B180" s="60"/>
      <c r="C180" s="59"/>
      <c r="D180" s="59"/>
      <c r="E180" s="55"/>
      <c r="F180" s="55"/>
      <c r="G180" s="55"/>
      <c r="H180" s="46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0"/>
      <c r="AI180" s="10"/>
      <c r="AJ180" s="10"/>
      <c r="AK180" s="10"/>
      <c r="AL180" s="10"/>
      <c r="AM180" s="11"/>
      <c r="AN180" s="10"/>
      <c r="AO180" s="11"/>
      <c r="AY180" s="10"/>
      <c r="AZ180" s="11"/>
      <c r="BJ180" s="10"/>
      <c r="BK180" s="11"/>
      <c r="BU180" s="10"/>
      <c r="BV180" s="11"/>
    </row>
  </sheetData>
  <printOptions headings="true" gridLines="tru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16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A3" activeCellId="0" sqref="A3:IV161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1" min="1" style="179" width="9.14"/>
    <col collapsed="false" customWidth="false" hidden="false" outlineLevel="0" max="27" min="2" style="180" width="9.14"/>
    <col collapsed="false" customWidth="true" hidden="false" outlineLevel="0" max="28" min="28" style="180" width="9.99"/>
    <col collapsed="false" customWidth="false" hidden="false" outlineLevel="0" max="257" min="29" style="180" width="9.14"/>
  </cols>
  <sheetData>
    <row r="1" customFormat="false" ht="11.25" hidden="false" customHeight="false" outlineLevel="0" collapsed="false">
      <c r="A1" s="180"/>
      <c r="B1" s="180" t="n">
        <f aca="false">B3</f>
        <v>-3</v>
      </c>
      <c r="C1" s="180" t="n">
        <f aca="false">C3</f>
        <v>-2.95</v>
      </c>
      <c r="D1" s="180" t="n">
        <f aca="false">D3</f>
        <v>-2.9</v>
      </c>
      <c r="E1" s="180" t="n">
        <f aca="false">E3</f>
        <v>-2.85</v>
      </c>
      <c r="F1" s="180" t="n">
        <f aca="false">F3</f>
        <v>-2.8</v>
      </c>
      <c r="G1" s="180" t="n">
        <f aca="false">G3</f>
        <v>-2.75</v>
      </c>
      <c r="H1" s="180" t="n">
        <f aca="false">H3</f>
        <v>-2.7</v>
      </c>
      <c r="I1" s="180" t="n">
        <f aca="false">I3</f>
        <v>-2.65</v>
      </c>
      <c r="J1" s="180" t="n">
        <f aca="false">J3</f>
        <v>-2.6</v>
      </c>
      <c r="K1" s="180" t="n">
        <f aca="false">K3</f>
        <v>-2.55</v>
      </c>
      <c r="L1" s="180" t="n">
        <f aca="false">L3</f>
        <v>-2.5</v>
      </c>
      <c r="M1" s="180" t="n">
        <f aca="false">M3</f>
        <v>-2.45</v>
      </c>
      <c r="N1" s="180" t="n">
        <f aca="false">N3</f>
        <v>-2.4</v>
      </c>
      <c r="O1" s="180" t="n">
        <f aca="false">O3</f>
        <v>-2.35</v>
      </c>
      <c r="P1" s="180" t="n">
        <f aca="false">P3</f>
        <v>-2.3</v>
      </c>
      <c r="Q1" s="180" t="n">
        <f aca="false">Q3</f>
        <v>-2.25</v>
      </c>
      <c r="R1" s="180" t="n">
        <f aca="false">R3</f>
        <v>-2.2</v>
      </c>
      <c r="S1" s="180" t="n">
        <f aca="false">S3</f>
        <v>-2.15</v>
      </c>
      <c r="T1" s="180" t="n">
        <f aca="false">T3</f>
        <v>-2.1</v>
      </c>
      <c r="U1" s="180" t="n">
        <f aca="false">U3</f>
        <v>-2</v>
      </c>
      <c r="V1" s="180" t="n">
        <f aca="false">V3</f>
        <v>-1.9</v>
      </c>
      <c r="W1" s="180" t="n">
        <f aca="false">W3</f>
        <v>-1.8</v>
      </c>
      <c r="X1" s="180" t="n">
        <f aca="false">X3</f>
        <v>-1.7</v>
      </c>
      <c r="Y1" s="180" t="n">
        <f aca="false">Y3</f>
        <v>-1.6</v>
      </c>
      <c r="Z1" s="180" t="n">
        <f aca="false">Z3</f>
        <v>-1.5</v>
      </c>
      <c r="AA1" s="180" t="n">
        <f aca="false">AA3</f>
        <v>-1.4</v>
      </c>
      <c r="AB1" s="180" t="n">
        <f aca="false">AB3</f>
        <v>-1.3</v>
      </c>
      <c r="AC1" s="180" t="n">
        <f aca="false">AC3</f>
        <v>-1.2</v>
      </c>
      <c r="AD1" s="180" t="n">
        <f aca="false">AD3</f>
        <v>-1.1</v>
      </c>
      <c r="AE1" s="180" t="n">
        <f aca="false">AE3</f>
        <v>-1</v>
      </c>
      <c r="AF1" s="180" t="n">
        <f aca="false">AF3</f>
        <v>-0.9</v>
      </c>
      <c r="AG1" s="180" t="n">
        <f aca="false">AG3</f>
        <v>-0.8</v>
      </c>
      <c r="AH1" s="180" t="n">
        <f aca="false">AH3</f>
        <v>-0.7</v>
      </c>
      <c r="AI1" s="180" t="n">
        <f aca="false">AI3</f>
        <v>-0.6</v>
      </c>
      <c r="AJ1" s="180" t="n">
        <f aca="false">AJ3</f>
        <v>-0.5</v>
      </c>
      <c r="AK1" s="180" t="n">
        <f aca="false">AK3</f>
        <v>-0.4</v>
      </c>
      <c r="AL1" s="180" t="n">
        <f aca="false">AL3</f>
        <v>-0.3</v>
      </c>
      <c r="AM1" s="180" t="n">
        <f aca="false">AM3</f>
        <v>-0.2</v>
      </c>
      <c r="AN1" s="180" t="n">
        <f aca="false">AN3</f>
        <v>-0.1</v>
      </c>
      <c r="AO1" s="180" t="n">
        <f aca="false">AO3</f>
        <v>0</v>
      </c>
      <c r="AP1" s="180" t="n">
        <f aca="false">AP3</f>
        <v>0.1</v>
      </c>
      <c r="AQ1" s="180" t="n">
        <f aca="false">AQ3</f>
        <v>0.2</v>
      </c>
      <c r="AR1" s="180" t="n">
        <f aca="false">AR3</f>
        <v>0.3</v>
      </c>
      <c r="AS1" s="180" t="n">
        <f aca="false">AS3</f>
        <v>0.4</v>
      </c>
      <c r="AT1" s="180" t="n">
        <f aca="false">AT3</f>
        <v>0.5</v>
      </c>
      <c r="AU1" s="180" t="n">
        <f aca="false">AU3</f>
        <v>0.6</v>
      </c>
      <c r="AV1" s="180" t="n">
        <f aca="false">AV3</f>
        <v>0.7</v>
      </c>
      <c r="AW1" s="180" t="n">
        <f aca="false">AW3</f>
        <v>0.8</v>
      </c>
      <c r="AX1" s="180" t="n">
        <f aca="false">AX3</f>
        <v>0.9</v>
      </c>
      <c r="AY1" s="180" t="n">
        <f aca="false">AY3</f>
        <v>1</v>
      </c>
      <c r="AZ1" s="180" t="n">
        <f aca="false">AZ3</f>
        <v>1.1</v>
      </c>
      <c r="BA1" s="180" t="n">
        <f aca="false">BA3</f>
        <v>1.2</v>
      </c>
      <c r="BB1" s="180" t="n">
        <f aca="false">BB3</f>
        <v>1.3</v>
      </c>
      <c r="BC1" s="180" t="n">
        <f aca="false">BC3</f>
        <v>1.4</v>
      </c>
      <c r="BD1" s="180" t="n">
        <f aca="false">BD3</f>
        <v>1.5</v>
      </c>
      <c r="BE1" s="180" t="n">
        <f aca="false">BE3</f>
        <v>1.6</v>
      </c>
      <c r="BF1" s="180" t="n">
        <f aca="false">BF3</f>
        <v>1.7</v>
      </c>
      <c r="BG1" s="180" t="n">
        <f aca="false">BG3</f>
        <v>1.8</v>
      </c>
      <c r="BH1" s="180" t="n">
        <f aca="false">BH3</f>
        <v>1.9</v>
      </c>
      <c r="BI1" s="180" t="n">
        <f aca="false">BI3</f>
        <v>2</v>
      </c>
      <c r="BJ1" s="180" t="n">
        <f aca="false">BJ3</f>
        <v>2.1</v>
      </c>
      <c r="BK1" s="180" t="n">
        <f aca="false">BK3</f>
        <v>2.2</v>
      </c>
      <c r="BL1" s="180" t="n">
        <f aca="false">BL3</f>
        <v>2.3</v>
      </c>
      <c r="BM1" s="180" t="n">
        <f aca="false">BM3</f>
        <v>2.4</v>
      </c>
      <c r="BN1" s="180" t="n">
        <f aca="false">BN3</f>
        <v>2.5</v>
      </c>
      <c r="BO1" s="180" t="n">
        <f aca="false">BO3</f>
        <v>2.6</v>
      </c>
      <c r="BP1" s="180" t="n">
        <f aca="false">BP3</f>
        <v>2.7</v>
      </c>
      <c r="BQ1" s="180" t="n">
        <f aca="false">BQ3</f>
        <v>2.8</v>
      </c>
      <c r="BR1" s="180" t="n">
        <f aca="false">BR3</f>
        <v>2.9</v>
      </c>
      <c r="BS1" s="180" t="n">
        <f aca="false">BS3</f>
        <v>3</v>
      </c>
      <c r="BT1" s="180" t="n">
        <f aca="false">BT3</f>
        <v>3.1</v>
      </c>
      <c r="BU1" s="180" t="n">
        <f aca="false">BU3</f>
        <v>3.2</v>
      </c>
      <c r="BV1" s="180" t="n">
        <f aca="false">BV3</f>
        <v>3.3</v>
      </c>
      <c r="BW1" s="180" t="n">
        <f aca="false">BW3</f>
        <v>3.4</v>
      </c>
      <c r="BX1" s="180" t="n">
        <f aca="false">BX3</f>
        <v>3.5</v>
      </c>
      <c r="BY1" s="180" t="n">
        <f aca="false">BY3</f>
        <v>3.6</v>
      </c>
      <c r="BZ1" s="180" t="n">
        <f aca="false">BZ3</f>
        <v>3.7</v>
      </c>
      <c r="CA1" s="180" t="n">
        <f aca="false">CA3</f>
        <v>3.8</v>
      </c>
      <c r="CB1" s="180" t="n">
        <f aca="false">CB3</f>
        <v>3.9</v>
      </c>
      <c r="CC1" s="180" t="n">
        <f aca="false">CC3</f>
        <v>4</v>
      </c>
      <c r="CD1" s="180" t="n">
        <f aca="false">CD3</f>
        <v>4.1</v>
      </c>
      <c r="CE1" s="180" t="n">
        <f aca="false">CE3</f>
        <v>4.15</v>
      </c>
      <c r="CF1" s="180" t="n">
        <f aca="false">CF3</f>
        <v>4.2</v>
      </c>
      <c r="CG1" s="180" t="n">
        <f aca="false">CG3</f>
        <v>4.25</v>
      </c>
      <c r="CH1" s="180" t="n">
        <f aca="false">CH3</f>
        <v>4.3</v>
      </c>
      <c r="CI1" s="180" t="n">
        <f aca="false">CI3</f>
        <v>4.35</v>
      </c>
      <c r="CJ1" s="180" t="n">
        <f aca="false">CJ3</f>
        <v>4.4</v>
      </c>
      <c r="CK1" s="180" t="n">
        <f aca="false">CK3</f>
        <v>4.45</v>
      </c>
      <c r="CL1" s="180" t="n">
        <f aca="false">CL3</f>
        <v>4.5</v>
      </c>
      <c r="CM1" s="180" t="n">
        <f aca="false">CM3</f>
        <v>4.55</v>
      </c>
      <c r="CN1" s="180" t="n">
        <f aca="false">CN3</f>
        <v>4.6</v>
      </c>
      <c r="CO1" s="180" t="n">
        <f aca="false">CO3</f>
        <v>4.65</v>
      </c>
      <c r="CP1" s="180" t="n">
        <f aca="false">CP3</f>
        <v>4.7</v>
      </c>
      <c r="CQ1" s="180" t="n">
        <f aca="false">CQ3</f>
        <v>4.75</v>
      </c>
      <c r="CR1" s="180" t="n">
        <f aca="false">CR3</f>
        <v>4.8</v>
      </c>
      <c r="CS1" s="180" t="n">
        <f aca="false">CS3</f>
        <v>4.85</v>
      </c>
      <c r="CT1" s="180" t="n">
        <f aca="false">CT3</f>
        <v>4.9</v>
      </c>
      <c r="CU1" s="180" t="n">
        <f aca="false">CU3</f>
        <v>4.95</v>
      </c>
      <c r="CV1" s="180" t="n">
        <f aca="false">CV3</f>
        <v>5</v>
      </c>
      <c r="CW1" s="180" t="n">
        <f aca="false">CW3</f>
        <v>5.05</v>
      </c>
      <c r="CX1" s="180" t="n">
        <f aca="false">CX3</f>
        <v>5.1</v>
      </c>
      <c r="CY1" s="180" t="n">
        <f aca="false">CY3</f>
        <v>5.15</v>
      </c>
      <c r="CZ1" s="180" t="n">
        <f aca="false">CZ3</f>
        <v>5.2</v>
      </c>
      <c r="DA1" s="180" t="n">
        <f aca="false">DA3</f>
        <v>5.25</v>
      </c>
      <c r="DB1" s="180" t="n">
        <f aca="false">DB3</f>
        <v>5.3</v>
      </c>
      <c r="DC1" s="180" t="n">
        <f aca="false">DC3</f>
        <v>5.35</v>
      </c>
      <c r="DD1" s="180" t="n">
        <f aca="false">DD3</f>
        <v>5.4</v>
      </c>
      <c r="DE1" s="180" t="n">
        <f aca="false">DE3</f>
        <v>5.45</v>
      </c>
      <c r="DF1" s="180" t="n">
        <f aca="false">DF3</f>
        <v>5.5</v>
      </c>
      <c r="DG1" s="180" t="n">
        <f aca="false">DG3</f>
        <v>5.55</v>
      </c>
      <c r="DH1" s="180" t="n">
        <f aca="false">DH3</f>
        <v>5.6</v>
      </c>
      <c r="DI1" s="180" t="n">
        <f aca="false">DI3</f>
        <v>5.65</v>
      </c>
      <c r="DJ1" s="180" t="n">
        <f aca="false">DJ3</f>
        <v>5.7</v>
      </c>
      <c r="DK1" s="180" t="n">
        <f aca="false">DK3</f>
        <v>5.75</v>
      </c>
      <c r="DL1" s="180" t="n">
        <f aca="false">DL3</f>
        <v>5.8</v>
      </c>
      <c r="DM1" s="180" t="n">
        <f aca="false">DM3</f>
        <v>5.85</v>
      </c>
      <c r="DN1" s="180" t="n">
        <f aca="false">DN3</f>
        <v>5.9</v>
      </c>
      <c r="DO1" s="180" t="n">
        <f aca="false">DO3</f>
        <v>6</v>
      </c>
      <c r="DP1" s="180" t="n">
        <f aca="false">DP3</f>
        <v>6.05</v>
      </c>
      <c r="DQ1" s="180" t="n">
        <f aca="false">DQ3</f>
        <v>6.1</v>
      </c>
      <c r="DR1" s="180" t="n">
        <f aca="false">DR3</f>
        <v>6.15</v>
      </c>
      <c r="DS1" s="180" t="n">
        <f aca="false">DS3</f>
        <v>6.2</v>
      </c>
      <c r="DT1" s="180" t="n">
        <f aca="false">DT3</f>
        <v>6.25</v>
      </c>
      <c r="DU1" s="180" t="n">
        <f aca="false">DU3</f>
        <v>6.3</v>
      </c>
      <c r="DV1" s="180" t="n">
        <f aca="false">DV3</f>
        <v>6.35</v>
      </c>
      <c r="DW1" s="180" t="n">
        <f aca="false">DW3</f>
        <v>6.4</v>
      </c>
      <c r="DX1" s="180" t="n">
        <f aca="false">DX3</f>
        <v>6.45</v>
      </c>
      <c r="DY1" s="180" t="n">
        <f aca="false">DY3</f>
        <v>6.5</v>
      </c>
      <c r="DZ1" s="180" t="n">
        <f aca="false">DZ3</f>
        <v>6.55</v>
      </c>
      <c r="EA1" s="180" t="n">
        <f aca="false">EA3</f>
        <v>6.6</v>
      </c>
      <c r="EB1" s="180" t="n">
        <f aca="false">EB3</f>
        <v>6.65</v>
      </c>
      <c r="EC1" s="180" t="n">
        <f aca="false">EC3</f>
        <v>6.7</v>
      </c>
      <c r="ED1" s="180" t="n">
        <f aca="false">ED3</f>
        <v>6.75</v>
      </c>
      <c r="EE1" s="180" t="n">
        <f aca="false">EE3</f>
        <v>6.8</v>
      </c>
      <c r="EF1" s="180" t="n">
        <f aca="false">EF3</f>
        <v>6.85</v>
      </c>
      <c r="EG1" s="180" t="n">
        <f aca="false">EG3</f>
        <v>6.9</v>
      </c>
      <c r="EH1" s="180" t="n">
        <f aca="false">EH3</f>
        <v>6.95</v>
      </c>
      <c r="EI1" s="180" t="n">
        <f aca="false">EI3</f>
        <v>7</v>
      </c>
      <c r="EJ1" s="180" t="n">
        <f aca="false">EJ3</f>
        <v>7.05</v>
      </c>
      <c r="EK1" s="180" t="n">
        <f aca="false">EK3</f>
        <v>7.1</v>
      </c>
      <c r="EL1" s="180" t="n">
        <f aca="false">EL3</f>
        <v>7.15</v>
      </c>
      <c r="EM1" s="180" t="n">
        <f aca="false">EM3</f>
        <v>7.2</v>
      </c>
      <c r="EN1" s="180" t="n">
        <f aca="false">EN3</f>
        <v>7.25</v>
      </c>
      <c r="EO1" s="180" t="n">
        <f aca="false">EO3</f>
        <v>7.3</v>
      </c>
      <c r="EP1" s="180" t="n">
        <f aca="false">EP3</f>
        <v>7.35</v>
      </c>
      <c r="EQ1" s="180" t="n">
        <f aca="false">EQ3</f>
        <v>7.4</v>
      </c>
      <c r="ER1" s="180" t="n">
        <f aca="false">ER3</f>
        <v>7.45</v>
      </c>
      <c r="ES1" s="180" t="n">
        <f aca="false">ES3</f>
        <v>7.5</v>
      </c>
      <c r="ET1" s="180" t="n">
        <f aca="false">ET3</f>
        <v>7.55</v>
      </c>
      <c r="EU1" s="180" t="n">
        <f aca="false">EU3</f>
        <v>7.6</v>
      </c>
      <c r="EV1" s="180" t="n">
        <f aca="false">EV3</f>
        <v>7.65</v>
      </c>
      <c r="EW1" s="180" t="n">
        <f aca="false">EW3</f>
        <v>7.7</v>
      </c>
      <c r="EX1" s="180" t="n">
        <f aca="false">EX3</f>
        <v>7.75</v>
      </c>
      <c r="EY1" s="180" t="n">
        <f aca="false">EY3</f>
        <v>7.8</v>
      </c>
      <c r="EZ1" s="180" t="n">
        <f aca="false">EZ3</f>
        <v>7.85</v>
      </c>
      <c r="FA1" s="180" t="n">
        <f aca="false">FA3</f>
        <v>7.9</v>
      </c>
      <c r="FB1" s="180" t="n">
        <f aca="false">FB3</f>
        <v>7.95</v>
      </c>
      <c r="FC1" s="180" t="n">
        <f aca="false">FC3</f>
        <v>8</v>
      </c>
      <c r="FD1" s="180" t="n">
        <f aca="false">FD3</f>
        <v>8.1</v>
      </c>
      <c r="FE1" s="180" t="n">
        <f aca="false">FE3</f>
        <v>8.2</v>
      </c>
      <c r="FF1" s="180" t="n">
        <f aca="false">FF3</f>
        <v>8.3</v>
      </c>
      <c r="FG1" s="180" t="n">
        <f aca="false">FG3</f>
        <v>8.4</v>
      </c>
      <c r="FH1" s="180" t="n">
        <f aca="false">FH3</f>
        <v>8.5</v>
      </c>
      <c r="FI1" s="180" t="n">
        <f aca="false">FI3</f>
        <v>8.6</v>
      </c>
      <c r="FJ1" s="180" t="n">
        <f aca="false">FJ3</f>
        <v>8.7</v>
      </c>
      <c r="FK1" s="180" t="n">
        <f aca="false">FK3</f>
        <v>8.8</v>
      </c>
      <c r="FL1" s="180" t="n">
        <f aca="false">FL3</f>
        <v>8.9</v>
      </c>
      <c r="FM1" s="180" t="n">
        <f aca="false">FM3</f>
        <v>9</v>
      </c>
      <c r="FN1" s="180" t="n">
        <f aca="false">FN3</f>
        <v>9.1</v>
      </c>
      <c r="FO1" s="180" t="n">
        <f aca="false">FO3</f>
        <v>9.2</v>
      </c>
      <c r="FP1" s="180" t="n">
        <f aca="false">FP3</f>
        <v>9.3</v>
      </c>
      <c r="FQ1" s="180" t="n">
        <f aca="false">FQ3</f>
        <v>9.4</v>
      </c>
      <c r="FR1" s="180" t="n">
        <f aca="false">FR3</f>
        <v>9.5</v>
      </c>
      <c r="FS1" s="180" t="n">
        <f aca="false">FS3</f>
        <v>9.59999999999999</v>
      </c>
      <c r="FT1" s="180" t="n">
        <f aca="false">FT3</f>
        <v>9.69999999999999</v>
      </c>
      <c r="FU1" s="180" t="n">
        <f aca="false">FU3</f>
        <v>9.79999999999999</v>
      </c>
      <c r="FV1" s="180" t="n">
        <f aca="false">FV3</f>
        <v>9.89999999999999</v>
      </c>
      <c r="FW1" s="180" t="n">
        <f aca="false">FW3</f>
        <v>9.99999999999999</v>
      </c>
      <c r="FX1" s="180" t="n">
        <f aca="false">FX3</f>
        <v>10.1</v>
      </c>
      <c r="FY1" s="180" t="n">
        <f aca="false">FY3</f>
        <v>10.2</v>
      </c>
      <c r="FZ1" s="180" t="n">
        <f aca="false">FZ3</f>
        <v>10.3</v>
      </c>
      <c r="GA1" s="180" t="n">
        <f aca="false">GA3</f>
        <v>10.4</v>
      </c>
      <c r="GB1" s="180" t="n">
        <f aca="false">GB3</f>
        <v>10.5</v>
      </c>
      <c r="GC1" s="180" t="n">
        <f aca="false">GC3</f>
        <v>10.6</v>
      </c>
      <c r="GD1" s="180" t="n">
        <f aca="false">GD3</f>
        <v>10.7</v>
      </c>
      <c r="GE1" s="180" t="n">
        <f aca="false">GE3</f>
        <v>10.8</v>
      </c>
      <c r="GF1" s="180" t="n">
        <f aca="false">GF3</f>
        <v>10.9</v>
      </c>
      <c r="GG1" s="180" t="n">
        <f aca="false">GG3</f>
        <v>11</v>
      </c>
      <c r="GH1" s="180" t="n">
        <f aca="false">GH3</f>
        <v>11.1</v>
      </c>
      <c r="GI1" s="180" t="n">
        <f aca="false">GI3</f>
        <v>11.2</v>
      </c>
      <c r="GJ1" s="180" t="n">
        <f aca="false">GJ3</f>
        <v>11.3</v>
      </c>
      <c r="GK1" s="180" t="n">
        <f aca="false">GK3</f>
        <v>11.4</v>
      </c>
      <c r="GL1" s="180" t="n">
        <f aca="false">GL3</f>
        <v>11.5</v>
      </c>
      <c r="GM1" s="180" t="n">
        <f aca="false">GM3</f>
        <v>11.6</v>
      </c>
      <c r="GN1" s="180" t="n">
        <f aca="false">GN3</f>
        <v>11.7</v>
      </c>
      <c r="GO1" s="180" t="n">
        <f aca="false">GO3</f>
        <v>11.8</v>
      </c>
      <c r="GP1" s="180" t="n">
        <f aca="false">GP3</f>
        <v>11.9</v>
      </c>
      <c r="GQ1" s="180" t="n">
        <f aca="false">GQ3</f>
        <v>12</v>
      </c>
      <c r="GR1" s="180" t="n">
        <f aca="false">GR3</f>
        <v>12.1</v>
      </c>
      <c r="GS1" s="180" t="n">
        <f aca="false">GS3</f>
        <v>12.2</v>
      </c>
      <c r="GT1" s="180" t="n">
        <f aca="false">GT3</f>
        <v>12.3</v>
      </c>
      <c r="GU1" s="180" t="n">
        <f aca="false">GU3</f>
        <v>12.4</v>
      </c>
      <c r="GV1" s="180" t="n">
        <f aca="false">GV3</f>
        <v>12.5</v>
      </c>
      <c r="GW1" s="180" t="n">
        <f aca="false">GW3</f>
        <v>12.6</v>
      </c>
      <c r="GX1" s="180" t="n">
        <f aca="false">GX3</f>
        <v>12.7</v>
      </c>
      <c r="GY1" s="180" t="n">
        <f aca="false">GY3</f>
        <v>12.8</v>
      </c>
      <c r="GZ1" s="180" t="n">
        <f aca="false">GZ3</f>
        <v>12.9</v>
      </c>
      <c r="HA1" s="180" t="n">
        <f aca="false">HA3</f>
        <v>13</v>
      </c>
      <c r="HB1" s="180" t="n">
        <f aca="false">HB3</f>
        <v>13.1</v>
      </c>
      <c r="HC1" s="180" t="n">
        <f aca="false">HC3</f>
        <v>13.2</v>
      </c>
      <c r="HD1" s="180" t="n">
        <f aca="false">HD3</f>
        <v>13.3</v>
      </c>
      <c r="HE1" s="180" t="n">
        <f aca="false">HE3</f>
        <v>13.4</v>
      </c>
      <c r="HF1" s="180" t="n">
        <f aca="false">HF3</f>
        <v>13.5</v>
      </c>
      <c r="HG1" s="180" t="n">
        <f aca="false">HG3</f>
        <v>13.6</v>
      </c>
      <c r="HH1" s="180" t="n">
        <f aca="false">HH3</f>
        <v>13.7</v>
      </c>
      <c r="HI1" s="180" t="n">
        <f aca="false">HI3</f>
        <v>13.8</v>
      </c>
      <c r="HJ1" s="180" t="n">
        <f aca="false">HJ3</f>
        <v>13.9</v>
      </c>
      <c r="HK1" s="180" t="n">
        <f aca="false">HK3</f>
        <v>14</v>
      </c>
      <c r="HL1" s="180" t="n">
        <f aca="false">HL3</f>
        <v>14.1</v>
      </c>
      <c r="HM1" s="180" t="n">
        <f aca="false">HM3</f>
        <v>14.2</v>
      </c>
      <c r="HN1" s="180" t="n">
        <f aca="false">HN3</f>
        <v>14.3</v>
      </c>
      <c r="HO1" s="180" t="n">
        <f aca="false">HO3</f>
        <v>14.4</v>
      </c>
      <c r="HP1" s="180" t="n">
        <f aca="false">HP3</f>
        <v>14.5</v>
      </c>
      <c r="HQ1" s="180" t="n">
        <f aca="false">HQ3</f>
        <v>14.6</v>
      </c>
      <c r="HR1" s="180" t="n">
        <f aca="false">HR3</f>
        <v>14.7</v>
      </c>
      <c r="HS1" s="180" t="n">
        <f aca="false">HS3</f>
        <v>14.8</v>
      </c>
      <c r="HT1" s="180" t="n">
        <f aca="false">HT3</f>
        <v>14.9</v>
      </c>
      <c r="HU1" s="180" t="n">
        <f aca="false">HU3</f>
        <v>15</v>
      </c>
      <c r="HV1" s="180" t="n">
        <f aca="false">HV3</f>
        <v>15.1</v>
      </c>
      <c r="HW1" s="180" t="n">
        <f aca="false">HW3</f>
        <v>15.2</v>
      </c>
      <c r="HX1" s="180" t="n">
        <f aca="false">HX3</f>
        <v>15.3</v>
      </c>
      <c r="HY1" s="180" t="n">
        <f aca="false">HY3</f>
        <v>15.4</v>
      </c>
      <c r="HZ1" s="180" t="n">
        <f aca="false">HZ3</f>
        <v>15.5</v>
      </c>
      <c r="IA1" s="180" t="n">
        <f aca="false">IA3</f>
        <v>15.6</v>
      </c>
      <c r="IB1" s="180" t="n">
        <f aca="false">IB3</f>
        <v>15.7</v>
      </c>
      <c r="IC1" s="180" t="n">
        <f aca="false">IC3</f>
        <v>15.8</v>
      </c>
      <c r="ID1" s="180" t="n">
        <f aca="false">ID3</f>
        <v>15.9</v>
      </c>
      <c r="IE1" s="180" t="n">
        <f aca="false">IE3</f>
        <v>16</v>
      </c>
      <c r="IF1" s="180" t="n">
        <f aca="false">IF3</f>
        <v>16.1</v>
      </c>
      <c r="IG1" s="180" t="n">
        <f aca="false">IG3</f>
        <v>16.2</v>
      </c>
      <c r="IH1" s="180" t="n">
        <f aca="false">IH3</f>
        <v>16.3</v>
      </c>
      <c r="II1" s="180" t="n">
        <f aca="false">II3</f>
        <v>16.4</v>
      </c>
      <c r="IJ1" s="180" t="n">
        <f aca="false">IJ3</f>
        <v>16.5</v>
      </c>
      <c r="IK1" s="180" t="n">
        <f aca="false">IK3</f>
        <v>16.6</v>
      </c>
      <c r="IL1" s="180" t="n">
        <f aca="false">IL3</f>
        <v>16.7</v>
      </c>
      <c r="IM1" s="180" t="n">
        <f aca="false">IM3</f>
        <v>16.8</v>
      </c>
      <c r="IN1" s="180" t="n">
        <f aca="false">IN3</f>
        <v>16.9</v>
      </c>
      <c r="IO1" s="180" t="n">
        <f aca="false">IO3</f>
        <v>17</v>
      </c>
      <c r="IP1" s="180" t="n">
        <f aca="false">IP3</f>
        <v>17.1</v>
      </c>
      <c r="IQ1" s="180" t="n">
        <f aca="false">IQ3</f>
        <v>17.2</v>
      </c>
      <c r="IR1" s="180" t="n">
        <f aca="false">IR3</f>
        <v>17.3</v>
      </c>
      <c r="IS1" s="180" t="n">
        <f aca="false">IS3</f>
        <v>17.4</v>
      </c>
      <c r="IT1" s="180" t="n">
        <f aca="false">IT3</f>
        <v>17.5</v>
      </c>
      <c r="IU1" s="180" t="n">
        <f aca="false">IU3</f>
        <v>17.6</v>
      </c>
      <c r="IV1" s="180" t="n">
        <f aca="false">IV3</f>
        <v>17.7</v>
      </c>
    </row>
    <row r="2" customFormat="false" ht="11.25" hidden="false" customHeight="false" outlineLevel="0" collapsed="false">
      <c r="B2" s="180" t="n">
        <v>2</v>
      </c>
      <c r="C2" s="180" t="n">
        <f aca="false">B2+1</f>
        <v>3</v>
      </c>
      <c r="D2" s="180" t="n">
        <f aca="false">C2+1</f>
        <v>4</v>
      </c>
      <c r="E2" s="180" t="n">
        <f aca="false">D2+1</f>
        <v>5</v>
      </c>
      <c r="F2" s="180" t="n">
        <f aca="false">E2+1</f>
        <v>6</v>
      </c>
      <c r="G2" s="180" t="n">
        <f aca="false">F2+1</f>
        <v>7</v>
      </c>
      <c r="H2" s="180" t="n">
        <f aca="false">G2+1</f>
        <v>8</v>
      </c>
      <c r="I2" s="180" t="n">
        <f aca="false">H2+1</f>
        <v>9</v>
      </c>
      <c r="J2" s="180" t="n">
        <f aca="false">I2+1</f>
        <v>10</v>
      </c>
      <c r="K2" s="180" t="n">
        <f aca="false">J2+1</f>
        <v>11</v>
      </c>
      <c r="L2" s="180" t="n">
        <f aca="false">K2+1</f>
        <v>12</v>
      </c>
      <c r="M2" s="180" t="n">
        <f aca="false">L2+1</f>
        <v>13</v>
      </c>
      <c r="N2" s="180" t="n">
        <f aca="false">M2+1</f>
        <v>14</v>
      </c>
      <c r="O2" s="180" t="n">
        <f aca="false">N2+1</f>
        <v>15</v>
      </c>
      <c r="P2" s="180" t="n">
        <f aca="false">O2+1</f>
        <v>16</v>
      </c>
      <c r="Q2" s="180" t="n">
        <f aca="false">P2+1</f>
        <v>17</v>
      </c>
      <c r="R2" s="180" t="n">
        <f aca="false">Q2+1</f>
        <v>18</v>
      </c>
      <c r="S2" s="180" t="n">
        <f aca="false">R2+1</f>
        <v>19</v>
      </c>
      <c r="T2" s="180" t="n">
        <f aca="false">S2+1</f>
        <v>20</v>
      </c>
      <c r="U2" s="180" t="n">
        <f aca="false">T2+1</f>
        <v>21</v>
      </c>
      <c r="V2" s="180" t="n">
        <f aca="false">U2+1</f>
        <v>22</v>
      </c>
      <c r="W2" s="180" t="n">
        <f aca="false">V2+1</f>
        <v>23</v>
      </c>
      <c r="X2" s="180" t="n">
        <f aca="false">W2+1</f>
        <v>24</v>
      </c>
      <c r="Y2" s="180" t="n">
        <f aca="false">X2+1</f>
        <v>25</v>
      </c>
      <c r="Z2" s="180" t="n">
        <f aca="false">Y2+1</f>
        <v>26</v>
      </c>
      <c r="AA2" s="180" t="n">
        <f aca="false">Z2+1</f>
        <v>27</v>
      </c>
      <c r="AB2" s="180" t="n">
        <f aca="false">AA2+1</f>
        <v>28</v>
      </c>
      <c r="AC2" s="180" t="n">
        <f aca="false">AB2+1</f>
        <v>29</v>
      </c>
      <c r="AD2" s="180" t="n">
        <f aca="false">AC2+1</f>
        <v>30</v>
      </c>
      <c r="AE2" s="180" t="n">
        <f aca="false">AD2+1</f>
        <v>31</v>
      </c>
      <c r="AF2" s="180" t="n">
        <f aca="false">AE2+1</f>
        <v>32</v>
      </c>
      <c r="AG2" s="180" t="n">
        <f aca="false">AF2+1</f>
        <v>33</v>
      </c>
      <c r="AH2" s="180" t="n">
        <f aca="false">AG2+1</f>
        <v>34</v>
      </c>
      <c r="AI2" s="180" t="n">
        <f aca="false">AH2+1</f>
        <v>35</v>
      </c>
      <c r="AJ2" s="180" t="n">
        <f aca="false">AI2+1</f>
        <v>36</v>
      </c>
      <c r="AK2" s="180" t="n">
        <f aca="false">AJ2+1</f>
        <v>37</v>
      </c>
      <c r="AL2" s="180" t="n">
        <f aca="false">AK2+1</f>
        <v>38</v>
      </c>
      <c r="AM2" s="180" t="n">
        <f aca="false">AL2+1</f>
        <v>39</v>
      </c>
      <c r="AN2" s="180" t="n">
        <f aca="false">AM2+1</f>
        <v>40</v>
      </c>
      <c r="AO2" s="180" t="n">
        <f aca="false">AN2+1</f>
        <v>41</v>
      </c>
      <c r="AP2" s="180" t="n">
        <f aca="false">AO2+1</f>
        <v>42</v>
      </c>
      <c r="AQ2" s="180" t="n">
        <f aca="false">AP2+1</f>
        <v>43</v>
      </c>
      <c r="AR2" s="180" t="n">
        <f aca="false">AQ2+1</f>
        <v>44</v>
      </c>
      <c r="AS2" s="180" t="n">
        <f aca="false">AR2+1</f>
        <v>45</v>
      </c>
      <c r="AT2" s="180" t="n">
        <f aca="false">AS2+1</f>
        <v>46</v>
      </c>
      <c r="AU2" s="180" t="n">
        <f aca="false">AT2+1</f>
        <v>47</v>
      </c>
      <c r="AV2" s="180" t="n">
        <f aca="false">AU2+1</f>
        <v>48</v>
      </c>
      <c r="AW2" s="180" t="n">
        <f aca="false">AV2+1</f>
        <v>49</v>
      </c>
      <c r="AX2" s="180" t="n">
        <f aca="false">AW2+1</f>
        <v>50</v>
      </c>
      <c r="AY2" s="180" t="n">
        <f aca="false">AX2+1</f>
        <v>51</v>
      </c>
      <c r="AZ2" s="180" t="n">
        <f aca="false">AY2+1</f>
        <v>52</v>
      </c>
      <c r="BA2" s="180" t="n">
        <f aca="false">AZ2+1</f>
        <v>53</v>
      </c>
      <c r="BB2" s="180" t="n">
        <f aca="false">BA2+1</f>
        <v>54</v>
      </c>
      <c r="BC2" s="180" t="n">
        <f aca="false">BB2+1</f>
        <v>55</v>
      </c>
      <c r="BD2" s="180" t="n">
        <f aca="false">BC2+1</f>
        <v>56</v>
      </c>
      <c r="BE2" s="180" t="n">
        <f aca="false">BD2+1</f>
        <v>57</v>
      </c>
      <c r="BF2" s="180" t="n">
        <f aca="false">BE2+1</f>
        <v>58</v>
      </c>
      <c r="BG2" s="180" t="n">
        <f aca="false">BF2+1</f>
        <v>59</v>
      </c>
      <c r="BH2" s="180" t="n">
        <f aca="false">BG2+1</f>
        <v>60</v>
      </c>
      <c r="BI2" s="180" t="n">
        <f aca="false">BH2+1</f>
        <v>61</v>
      </c>
      <c r="BJ2" s="180" t="n">
        <f aca="false">BI2+1</f>
        <v>62</v>
      </c>
      <c r="BK2" s="180" t="n">
        <f aca="false">BJ2+1</f>
        <v>63</v>
      </c>
      <c r="BL2" s="180" t="n">
        <f aca="false">BK2+1</f>
        <v>64</v>
      </c>
      <c r="BM2" s="180" t="n">
        <f aca="false">BL2+1</f>
        <v>65</v>
      </c>
      <c r="BN2" s="180" t="n">
        <f aca="false">BM2+1</f>
        <v>66</v>
      </c>
      <c r="BO2" s="180" t="n">
        <f aca="false">BN2+1</f>
        <v>67</v>
      </c>
      <c r="BP2" s="180" t="n">
        <f aca="false">BO2+1</f>
        <v>68</v>
      </c>
      <c r="BQ2" s="180" t="n">
        <f aca="false">BP2+1</f>
        <v>69</v>
      </c>
      <c r="BR2" s="180" t="n">
        <f aca="false">BQ2+1</f>
        <v>70</v>
      </c>
      <c r="BS2" s="180" t="n">
        <f aca="false">BR2+1</f>
        <v>71</v>
      </c>
      <c r="BT2" s="180" t="n">
        <f aca="false">BS2+1</f>
        <v>72</v>
      </c>
      <c r="BU2" s="180" t="n">
        <f aca="false">BT2+1</f>
        <v>73</v>
      </c>
      <c r="BV2" s="180" t="n">
        <f aca="false">BU2+1</f>
        <v>74</v>
      </c>
      <c r="BW2" s="180" t="n">
        <f aca="false">BV2+1</f>
        <v>75</v>
      </c>
      <c r="BX2" s="180" t="n">
        <f aca="false">BW2+1</f>
        <v>76</v>
      </c>
      <c r="BY2" s="180" t="n">
        <f aca="false">BX2+1</f>
        <v>77</v>
      </c>
      <c r="BZ2" s="180" t="n">
        <f aca="false">BY2+1</f>
        <v>78</v>
      </c>
      <c r="CA2" s="180" t="n">
        <f aca="false">BZ2+1</f>
        <v>79</v>
      </c>
      <c r="CB2" s="180" t="n">
        <f aca="false">CA2+1</f>
        <v>80</v>
      </c>
      <c r="CC2" s="180" t="n">
        <f aca="false">CB2+1</f>
        <v>81</v>
      </c>
      <c r="CD2" s="180" t="n">
        <f aca="false">CC2+1</f>
        <v>82</v>
      </c>
      <c r="CE2" s="180" t="n">
        <f aca="false">CD2+1</f>
        <v>83</v>
      </c>
      <c r="CF2" s="180" t="n">
        <f aca="false">CE2+1</f>
        <v>84</v>
      </c>
      <c r="CG2" s="180" t="n">
        <f aca="false">CF2+1</f>
        <v>85</v>
      </c>
      <c r="CH2" s="180" t="n">
        <f aca="false">CG2+1</f>
        <v>86</v>
      </c>
      <c r="CI2" s="180" t="n">
        <f aca="false">CH2+1</f>
        <v>87</v>
      </c>
      <c r="CJ2" s="180" t="n">
        <f aca="false">CI2+1</f>
        <v>88</v>
      </c>
      <c r="CK2" s="180" t="n">
        <f aca="false">CJ2+1</f>
        <v>89</v>
      </c>
      <c r="CL2" s="180" t="n">
        <f aca="false">CK2+1</f>
        <v>90</v>
      </c>
      <c r="CM2" s="180" t="n">
        <f aca="false">CL2+1</f>
        <v>91</v>
      </c>
      <c r="CN2" s="180" t="n">
        <f aca="false">CM2+1</f>
        <v>92</v>
      </c>
      <c r="CO2" s="180" t="n">
        <f aca="false">CN2+1</f>
        <v>93</v>
      </c>
      <c r="CP2" s="180" t="n">
        <f aca="false">CO2+1</f>
        <v>94</v>
      </c>
      <c r="CQ2" s="180" t="n">
        <f aca="false">CP2+1</f>
        <v>95</v>
      </c>
      <c r="CR2" s="180" t="n">
        <f aca="false">CQ2+1</f>
        <v>96</v>
      </c>
      <c r="CS2" s="180" t="n">
        <f aca="false">CR2+1</f>
        <v>97</v>
      </c>
      <c r="CT2" s="180" t="n">
        <f aca="false">CS2+1</f>
        <v>98</v>
      </c>
      <c r="CU2" s="180" t="n">
        <f aca="false">CT2+1</f>
        <v>99</v>
      </c>
      <c r="CV2" s="180" t="n">
        <f aca="false">CU2+1</f>
        <v>100</v>
      </c>
      <c r="CW2" s="180" t="n">
        <f aca="false">CV2+1</f>
        <v>101</v>
      </c>
      <c r="CX2" s="180" t="n">
        <f aca="false">CW2+1</f>
        <v>102</v>
      </c>
      <c r="CY2" s="180" t="n">
        <f aca="false">CX2+1</f>
        <v>103</v>
      </c>
      <c r="CZ2" s="180" t="n">
        <f aca="false">CY2+1</f>
        <v>104</v>
      </c>
      <c r="DA2" s="180" t="n">
        <f aca="false">CZ2+1</f>
        <v>105</v>
      </c>
      <c r="DB2" s="180" t="n">
        <f aca="false">DA2+1</f>
        <v>106</v>
      </c>
      <c r="DC2" s="180" t="n">
        <f aca="false">DB2+1</f>
        <v>107</v>
      </c>
      <c r="DD2" s="180" t="n">
        <f aca="false">DC2+1</f>
        <v>108</v>
      </c>
      <c r="DE2" s="180" t="n">
        <f aca="false">DD2+1</f>
        <v>109</v>
      </c>
      <c r="DF2" s="180" t="n">
        <f aca="false">DE2+1</f>
        <v>110</v>
      </c>
      <c r="DG2" s="180" t="n">
        <f aca="false">DF2+1</f>
        <v>111</v>
      </c>
      <c r="DH2" s="180" t="n">
        <f aca="false">DG2+1</f>
        <v>112</v>
      </c>
      <c r="DI2" s="180" t="n">
        <f aca="false">DH2+1</f>
        <v>113</v>
      </c>
      <c r="DJ2" s="180" t="n">
        <f aca="false">DI2+1</f>
        <v>114</v>
      </c>
      <c r="DK2" s="180" t="n">
        <f aca="false">DJ2+1</f>
        <v>115</v>
      </c>
      <c r="DL2" s="180" t="n">
        <f aca="false">DK2+1</f>
        <v>116</v>
      </c>
      <c r="DM2" s="180" t="n">
        <f aca="false">DL2+1</f>
        <v>117</v>
      </c>
      <c r="DN2" s="180" t="n">
        <f aca="false">DM2+1</f>
        <v>118</v>
      </c>
      <c r="DO2" s="180" t="n">
        <f aca="false">DN2+1</f>
        <v>119</v>
      </c>
      <c r="DP2" s="180" t="n">
        <f aca="false">DO2+1</f>
        <v>120</v>
      </c>
      <c r="DQ2" s="180" t="n">
        <f aca="false">DP2+1</f>
        <v>121</v>
      </c>
      <c r="DR2" s="180" t="n">
        <f aca="false">DQ2+1</f>
        <v>122</v>
      </c>
      <c r="DS2" s="180" t="n">
        <f aca="false">DR2+1</f>
        <v>123</v>
      </c>
      <c r="DT2" s="180" t="n">
        <f aca="false">DS2+1</f>
        <v>124</v>
      </c>
      <c r="DU2" s="180" t="n">
        <f aca="false">DT2+1</f>
        <v>125</v>
      </c>
      <c r="DV2" s="180" t="n">
        <f aca="false">DU2+1</f>
        <v>126</v>
      </c>
      <c r="DW2" s="180" t="n">
        <f aca="false">DV2+1</f>
        <v>127</v>
      </c>
      <c r="DX2" s="180" t="n">
        <f aca="false">DW2+1</f>
        <v>128</v>
      </c>
      <c r="DY2" s="180" t="n">
        <f aca="false">DX2+1</f>
        <v>129</v>
      </c>
      <c r="DZ2" s="180" t="n">
        <f aca="false">DY2+1</f>
        <v>130</v>
      </c>
      <c r="EA2" s="180" t="n">
        <f aca="false">DZ2+1</f>
        <v>131</v>
      </c>
      <c r="EB2" s="180" t="n">
        <f aca="false">EA2+1</f>
        <v>132</v>
      </c>
      <c r="EC2" s="180" t="n">
        <f aca="false">EB2+1</f>
        <v>133</v>
      </c>
      <c r="ED2" s="180" t="n">
        <f aca="false">EC2+1</f>
        <v>134</v>
      </c>
      <c r="EE2" s="180" t="n">
        <f aca="false">ED2+1</f>
        <v>135</v>
      </c>
      <c r="EF2" s="180" t="n">
        <f aca="false">EE2+1</f>
        <v>136</v>
      </c>
      <c r="EG2" s="180" t="n">
        <f aca="false">EF2+1</f>
        <v>137</v>
      </c>
      <c r="EH2" s="180" t="n">
        <f aca="false">EG2+1</f>
        <v>138</v>
      </c>
      <c r="EI2" s="180" t="n">
        <f aca="false">EH2+1</f>
        <v>139</v>
      </c>
      <c r="EJ2" s="180" t="n">
        <f aca="false">EI2+1</f>
        <v>140</v>
      </c>
      <c r="EK2" s="180" t="n">
        <f aca="false">EJ2+1</f>
        <v>141</v>
      </c>
      <c r="EL2" s="180" t="n">
        <f aca="false">EK2+1</f>
        <v>142</v>
      </c>
      <c r="EM2" s="180" t="n">
        <f aca="false">EL2+1</f>
        <v>143</v>
      </c>
      <c r="EN2" s="180" t="n">
        <f aca="false">EM2+1</f>
        <v>144</v>
      </c>
      <c r="EO2" s="180" t="n">
        <f aca="false">EN2+1</f>
        <v>145</v>
      </c>
      <c r="EP2" s="180" t="n">
        <f aca="false">EO2+1</f>
        <v>146</v>
      </c>
      <c r="EQ2" s="180" t="n">
        <f aca="false">EP2+1</f>
        <v>147</v>
      </c>
      <c r="ER2" s="180" t="n">
        <f aca="false">EQ2+1</f>
        <v>148</v>
      </c>
      <c r="ES2" s="180" t="n">
        <f aca="false">ER2+1</f>
        <v>149</v>
      </c>
      <c r="ET2" s="180" t="n">
        <f aca="false">ES2+1</f>
        <v>150</v>
      </c>
      <c r="EU2" s="180" t="n">
        <f aca="false">ET2+1</f>
        <v>151</v>
      </c>
      <c r="EV2" s="180" t="n">
        <f aca="false">EU2+1</f>
        <v>152</v>
      </c>
      <c r="EW2" s="180" t="n">
        <f aca="false">EV2+1</f>
        <v>153</v>
      </c>
      <c r="EX2" s="180" t="n">
        <f aca="false">EW2+1</f>
        <v>154</v>
      </c>
      <c r="EY2" s="180" t="n">
        <f aca="false">EX2+1</f>
        <v>155</v>
      </c>
      <c r="EZ2" s="180" t="n">
        <f aca="false">EY2+1</f>
        <v>156</v>
      </c>
      <c r="FA2" s="180" t="n">
        <f aca="false">EZ2+1</f>
        <v>157</v>
      </c>
      <c r="FB2" s="180" t="n">
        <f aca="false">FA2+1</f>
        <v>158</v>
      </c>
      <c r="FC2" s="180" t="n">
        <f aca="false">FB2+1</f>
        <v>159</v>
      </c>
      <c r="FD2" s="180" t="n">
        <f aca="false">FC2+1</f>
        <v>160</v>
      </c>
      <c r="FE2" s="180" t="n">
        <f aca="false">FD2+1</f>
        <v>161</v>
      </c>
      <c r="FF2" s="180" t="n">
        <f aca="false">FE2+1</f>
        <v>162</v>
      </c>
      <c r="FG2" s="180" t="n">
        <f aca="false">FF2+1</f>
        <v>163</v>
      </c>
      <c r="FH2" s="180" t="n">
        <f aca="false">FG2+1</f>
        <v>164</v>
      </c>
      <c r="FI2" s="180" t="n">
        <f aca="false">FH2+1</f>
        <v>165</v>
      </c>
      <c r="FJ2" s="180" t="n">
        <f aca="false">FI2+1</f>
        <v>166</v>
      </c>
      <c r="FK2" s="180" t="n">
        <f aca="false">FJ2+1</f>
        <v>167</v>
      </c>
      <c r="FL2" s="180" t="n">
        <f aca="false">FK2+1</f>
        <v>168</v>
      </c>
      <c r="FM2" s="180" t="n">
        <f aca="false">FL2+1</f>
        <v>169</v>
      </c>
      <c r="FN2" s="180" t="n">
        <f aca="false">FM2+1</f>
        <v>170</v>
      </c>
      <c r="FO2" s="180" t="n">
        <f aca="false">FN2+1</f>
        <v>171</v>
      </c>
      <c r="FP2" s="180" t="n">
        <f aca="false">FO2+1</f>
        <v>172</v>
      </c>
      <c r="FQ2" s="180" t="n">
        <f aca="false">FP2+1</f>
        <v>173</v>
      </c>
      <c r="FR2" s="180" t="n">
        <f aca="false">FQ2+1</f>
        <v>174</v>
      </c>
      <c r="FS2" s="180" t="n">
        <f aca="false">FR2+1</f>
        <v>175</v>
      </c>
      <c r="FT2" s="180" t="n">
        <f aca="false">FS2+1</f>
        <v>176</v>
      </c>
      <c r="FU2" s="180" t="n">
        <f aca="false">FT2+1</f>
        <v>177</v>
      </c>
      <c r="FV2" s="180" t="n">
        <f aca="false">FU2+1</f>
        <v>178</v>
      </c>
      <c r="FW2" s="180" t="n">
        <f aca="false">FV2+1</f>
        <v>179</v>
      </c>
      <c r="FX2" s="180" t="n">
        <f aca="false">FW2+1</f>
        <v>180</v>
      </c>
      <c r="FY2" s="180" t="n">
        <f aca="false">FX2+1</f>
        <v>181</v>
      </c>
      <c r="FZ2" s="180" t="n">
        <f aca="false">FY2+1</f>
        <v>182</v>
      </c>
      <c r="GA2" s="180" t="n">
        <f aca="false">FZ2+1</f>
        <v>183</v>
      </c>
      <c r="GB2" s="180" t="n">
        <f aca="false">GA2+1</f>
        <v>184</v>
      </c>
      <c r="GC2" s="180" t="n">
        <f aca="false">GB2+1</f>
        <v>185</v>
      </c>
      <c r="GD2" s="180" t="n">
        <f aca="false">GC2+1</f>
        <v>186</v>
      </c>
      <c r="GE2" s="180" t="n">
        <f aca="false">GD2+1</f>
        <v>187</v>
      </c>
      <c r="GF2" s="180" t="n">
        <f aca="false">GE2+1</f>
        <v>188</v>
      </c>
      <c r="GG2" s="180" t="n">
        <f aca="false">GF2+1</f>
        <v>189</v>
      </c>
      <c r="GH2" s="180" t="n">
        <f aca="false">GG2+1</f>
        <v>190</v>
      </c>
      <c r="GI2" s="180" t="n">
        <f aca="false">GH2+1</f>
        <v>191</v>
      </c>
      <c r="GJ2" s="180" t="n">
        <f aca="false">GI2+1</f>
        <v>192</v>
      </c>
      <c r="GK2" s="180" t="n">
        <f aca="false">GJ2+1</f>
        <v>193</v>
      </c>
      <c r="GL2" s="180" t="n">
        <f aca="false">GK2+1</f>
        <v>194</v>
      </c>
      <c r="GM2" s="180" t="n">
        <f aca="false">GL2+1</f>
        <v>195</v>
      </c>
      <c r="GN2" s="180" t="n">
        <f aca="false">GM2+1</f>
        <v>196</v>
      </c>
      <c r="GO2" s="180" t="n">
        <f aca="false">GN2+1</f>
        <v>197</v>
      </c>
      <c r="GP2" s="180" t="n">
        <f aca="false">GO2+1</f>
        <v>198</v>
      </c>
      <c r="GQ2" s="180" t="n">
        <f aca="false">GP2+1</f>
        <v>199</v>
      </c>
      <c r="GR2" s="180" t="n">
        <f aca="false">GQ2+1</f>
        <v>200</v>
      </c>
      <c r="GS2" s="180" t="n">
        <f aca="false">GR2+1</f>
        <v>201</v>
      </c>
      <c r="GT2" s="180" t="n">
        <f aca="false">GS2+1</f>
        <v>202</v>
      </c>
      <c r="GU2" s="180" t="n">
        <f aca="false">GT2+1</f>
        <v>203</v>
      </c>
      <c r="GV2" s="180" t="n">
        <f aca="false">GU2+1</f>
        <v>204</v>
      </c>
      <c r="GW2" s="180" t="n">
        <f aca="false">GV2+1</f>
        <v>205</v>
      </c>
      <c r="GX2" s="180" t="n">
        <f aca="false">GW2+1</f>
        <v>206</v>
      </c>
      <c r="GY2" s="180" t="n">
        <f aca="false">GX2+1</f>
        <v>207</v>
      </c>
      <c r="GZ2" s="180" t="n">
        <f aca="false">GY2+1</f>
        <v>208</v>
      </c>
      <c r="HA2" s="180" t="n">
        <f aca="false">GZ2+1</f>
        <v>209</v>
      </c>
      <c r="HB2" s="180" t="n">
        <f aca="false">HA2+1</f>
        <v>210</v>
      </c>
      <c r="HC2" s="180" t="n">
        <f aca="false">HB2+1</f>
        <v>211</v>
      </c>
      <c r="HD2" s="180" t="n">
        <f aca="false">HC2+1</f>
        <v>212</v>
      </c>
      <c r="HE2" s="180" t="n">
        <f aca="false">HD2+1</f>
        <v>213</v>
      </c>
      <c r="HF2" s="180" t="n">
        <f aca="false">HE2+1</f>
        <v>214</v>
      </c>
      <c r="HG2" s="180" t="n">
        <f aca="false">HF2+1</f>
        <v>215</v>
      </c>
      <c r="HH2" s="180" t="n">
        <f aca="false">HG2+1</f>
        <v>216</v>
      </c>
      <c r="HI2" s="180" t="n">
        <f aca="false">HH2+1</f>
        <v>217</v>
      </c>
      <c r="HJ2" s="180" t="n">
        <f aca="false">HI2+1</f>
        <v>218</v>
      </c>
      <c r="HK2" s="180" t="n">
        <f aca="false">HJ2+1</f>
        <v>219</v>
      </c>
      <c r="HL2" s="180" t="n">
        <f aca="false">HK2+1</f>
        <v>220</v>
      </c>
      <c r="HM2" s="180" t="n">
        <f aca="false">HL2+1</f>
        <v>221</v>
      </c>
      <c r="HN2" s="180" t="n">
        <f aca="false">HM2+1</f>
        <v>222</v>
      </c>
      <c r="HO2" s="180" t="n">
        <f aca="false">HN2+1</f>
        <v>223</v>
      </c>
      <c r="HP2" s="180" t="n">
        <f aca="false">HO2+1</f>
        <v>224</v>
      </c>
      <c r="HQ2" s="180" t="n">
        <f aca="false">HP2+1</f>
        <v>225</v>
      </c>
      <c r="HR2" s="180" t="n">
        <f aca="false">HQ2+1</f>
        <v>226</v>
      </c>
      <c r="HS2" s="180" t="n">
        <f aca="false">HR2+1</f>
        <v>227</v>
      </c>
      <c r="HT2" s="180" t="n">
        <f aca="false">HS2+1</f>
        <v>228</v>
      </c>
      <c r="HU2" s="180" t="n">
        <f aca="false">HT2+1</f>
        <v>229</v>
      </c>
      <c r="HV2" s="180" t="n">
        <f aca="false">HU2+1</f>
        <v>230</v>
      </c>
      <c r="HW2" s="180" t="n">
        <f aca="false">HV2+1</f>
        <v>231</v>
      </c>
      <c r="HX2" s="180" t="n">
        <f aca="false">HW2+1</f>
        <v>232</v>
      </c>
      <c r="HY2" s="180" t="n">
        <f aca="false">HX2+1</f>
        <v>233</v>
      </c>
      <c r="HZ2" s="180" t="n">
        <f aca="false">HY2+1</f>
        <v>234</v>
      </c>
      <c r="IA2" s="180" t="n">
        <f aca="false">HZ2+1</f>
        <v>235</v>
      </c>
      <c r="IB2" s="180" t="n">
        <f aca="false">IA2+1</f>
        <v>236</v>
      </c>
      <c r="IC2" s="180" t="n">
        <f aca="false">IB2+1</f>
        <v>237</v>
      </c>
      <c r="ID2" s="180" t="n">
        <f aca="false">IC2+1</f>
        <v>238</v>
      </c>
      <c r="IE2" s="180" t="n">
        <f aca="false">ID2+1</f>
        <v>239</v>
      </c>
      <c r="IF2" s="180" t="n">
        <f aca="false">IE2+1</f>
        <v>240</v>
      </c>
      <c r="IG2" s="180" t="n">
        <f aca="false">IF2+1</f>
        <v>241</v>
      </c>
      <c r="IH2" s="180" t="n">
        <f aca="false">IG2+1</f>
        <v>242</v>
      </c>
      <c r="II2" s="180" t="n">
        <f aca="false">IH2+1</f>
        <v>243</v>
      </c>
      <c r="IJ2" s="180" t="n">
        <f aca="false">II2+1</f>
        <v>244</v>
      </c>
      <c r="IK2" s="180" t="n">
        <f aca="false">IJ2+1</f>
        <v>245</v>
      </c>
      <c r="IL2" s="180" t="n">
        <f aca="false">IK2+1</f>
        <v>246</v>
      </c>
      <c r="IM2" s="180" t="n">
        <f aca="false">IL2+1</f>
        <v>247</v>
      </c>
      <c r="IN2" s="180" t="n">
        <f aca="false">IM2+1</f>
        <v>248</v>
      </c>
      <c r="IO2" s="180" t="n">
        <f aca="false">IN2+1</f>
        <v>249</v>
      </c>
      <c r="IP2" s="180" t="n">
        <f aca="false">IO2+1</f>
        <v>250</v>
      </c>
      <c r="IQ2" s="180" t="n">
        <f aca="false">IP2+1</f>
        <v>251</v>
      </c>
      <c r="IR2" s="180" t="n">
        <f aca="false">IQ2+1</f>
        <v>252</v>
      </c>
      <c r="IS2" s="180" t="n">
        <f aca="false">IR2+1</f>
        <v>253</v>
      </c>
      <c r="IT2" s="180" t="n">
        <f aca="false">IS2+1</f>
        <v>254</v>
      </c>
      <c r="IU2" s="180" t="n">
        <f aca="false">IT2+1</f>
        <v>255</v>
      </c>
      <c r="IV2" s="180" t="n">
        <f aca="false">IU2+1</f>
        <v>256</v>
      </c>
    </row>
    <row r="3" customFormat="false" ht="12.75" hidden="false" customHeight="false" outlineLevel="0" collapsed="false">
      <c r="A3" s="181"/>
      <c r="B3" s="182" t="n">
        <v>-3</v>
      </c>
      <c r="C3" s="182" t="n">
        <v>-2.95</v>
      </c>
      <c r="D3" s="182" t="n">
        <v>-2.9</v>
      </c>
      <c r="E3" s="182" t="n">
        <v>-2.85</v>
      </c>
      <c r="F3" s="182" t="n">
        <v>-2.8</v>
      </c>
      <c r="G3" s="182" t="n">
        <v>-2.75</v>
      </c>
      <c r="H3" s="182" t="n">
        <v>-2.7</v>
      </c>
      <c r="I3" s="182" t="n">
        <v>-2.65</v>
      </c>
      <c r="J3" s="182" t="n">
        <v>-2.6</v>
      </c>
      <c r="K3" s="182" t="n">
        <v>-2.55</v>
      </c>
      <c r="L3" s="183" t="n">
        <v>-2.5</v>
      </c>
      <c r="M3" s="183" t="n">
        <v>-2.45</v>
      </c>
      <c r="N3" s="183" t="n">
        <v>-2.4</v>
      </c>
      <c r="O3" s="183" t="n">
        <v>-2.35</v>
      </c>
      <c r="P3" s="183" t="n">
        <v>-2.3</v>
      </c>
      <c r="Q3" s="183" t="n">
        <v>-2.25</v>
      </c>
      <c r="R3" s="183" t="n">
        <v>-2.2</v>
      </c>
      <c r="S3" s="183" t="n">
        <v>-2.15</v>
      </c>
      <c r="T3" s="183" t="n">
        <v>-2.1</v>
      </c>
      <c r="U3" s="183" t="n">
        <v>-2</v>
      </c>
      <c r="V3" s="183" t="n">
        <v>-1.9</v>
      </c>
      <c r="W3" s="183" t="n">
        <v>-1.8</v>
      </c>
      <c r="X3" s="183" t="n">
        <v>-1.7</v>
      </c>
      <c r="Y3" s="183" t="n">
        <v>-1.6</v>
      </c>
      <c r="Z3" s="183" t="n">
        <v>-1.5</v>
      </c>
      <c r="AA3" s="183" t="n">
        <v>-1.4</v>
      </c>
      <c r="AB3" s="183" t="n">
        <v>-1.3</v>
      </c>
      <c r="AC3" s="183" t="n">
        <v>-1.2</v>
      </c>
      <c r="AD3" s="183" t="n">
        <v>-1.1</v>
      </c>
      <c r="AE3" s="183" t="n">
        <v>-1</v>
      </c>
      <c r="AF3" s="183" t="n">
        <v>-0.9</v>
      </c>
      <c r="AG3" s="183" t="n">
        <v>-0.8</v>
      </c>
      <c r="AH3" s="183" t="n">
        <v>-0.7</v>
      </c>
      <c r="AI3" s="183" t="n">
        <v>-0.6</v>
      </c>
      <c r="AJ3" s="183" t="n">
        <v>-0.5</v>
      </c>
      <c r="AK3" s="183" t="n">
        <v>-0.4</v>
      </c>
      <c r="AL3" s="183" t="n">
        <v>-0.3</v>
      </c>
      <c r="AM3" s="183" t="n">
        <v>-0.2</v>
      </c>
      <c r="AN3" s="183" t="n">
        <v>-0.1</v>
      </c>
      <c r="AO3" s="183" t="n">
        <v>0</v>
      </c>
      <c r="AP3" s="183" t="n">
        <v>0.1</v>
      </c>
      <c r="AQ3" s="183" t="n">
        <v>0.2</v>
      </c>
      <c r="AR3" s="183" t="n">
        <v>0.3</v>
      </c>
      <c r="AS3" s="183" t="n">
        <v>0.4</v>
      </c>
      <c r="AT3" s="183" t="n">
        <v>0.5</v>
      </c>
      <c r="AU3" s="183" t="n">
        <v>0.6</v>
      </c>
      <c r="AV3" s="183" t="n">
        <v>0.7</v>
      </c>
      <c r="AW3" s="183" t="n">
        <v>0.8</v>
      </c>
      <c r="AX3" s="183" t="n">
        <v>0.9</v>
      </c>
      <c r="AY3" s="183" t="n">
        <v>1</v>
      </c>
      <c r="AZ3" s="183" t="n">
        <v>1.1</v>
      </c>
      <c r="BA3" s="183" t="n">
        <v>1.2</v>
      </c>
      <c r="BB3" s="183" t="n">
        <v>1.3</v>
      </c>
      <c r="BC3" s="183" t="n">
        <v>1.4</v>
      </c>
      <c r="BD3" s="183" t="n">
        <v>1.5</v>
      </c>
      <c r="BE3" s="183" t="n">
        <v>1.6</v>
      </c>
      <c r="BF3" s="183" t="n">
        <v>1.7</v>
      </c>
      <c r="BG3" s="183" t="n">
        <v>1.8</v>
      </c>
      <c r="BH3" s="183" t="n">
        <v>1.9</v>
      </c>
      <c r="BI3" s="183" t="n">
        <v>2</v>
      </c>
      <c r="BJ3" s="183" t="n">
        <v>2.1</v>
      </c>
      <c r="BK3" s="183" t="n">
        <v>2.2</v>
      </c>
      <c r="BL3" s="183" t="n">
        <v>2.3</v>
      </c>
      <c r="BM3" s="183" t="n">
        <v>2.4</v>
      </c>
      <c r="BN3" s="183" t="n">
        <v>2.5</v>
      </c>
      <c r="BO3" s="183" t="n">
        <v>2.6</v>
      </c>
      <c r="BP3" s="183" t="n">
        <v>2.7</v>
      </c>
      <c r="BQ3" s="183" t="n">
        <v>2.8</v>
      </c>
      <c r="BR3" s="183" t="n">
        <v>2.9</v>
      </c>
      <c r="BS3" s="183" t="n">
        <v>3</v>
      </c>
      <c r="BT3" s="183" t="n">
        <v>3.1</v>
      </c>
      <c r="BU3" s="183" t="n">
        <v>3.2</v>
      </c>
      <c r="BV3" s="183" t="n">
        <v>3.3</v>
      </c>
      <c r="BW3" s="183" t="n">
        <v>3.4</v>
      </c>
      <c r="BX3" s="183" t="n">
        <v>3.5</v>
      </c>
      <c r="BY3" s="183" t="n">
        <v>3.6</v>
      </c>
      <c r="BZ3" s="183" t="n">
        <v>3.7</v>
      </c>
      <c r="CA3" s="183" t="n">
        <v>3.8</v>
      </c>
      <c r="CB3" s="183" t="n">
        <v>3.9</v>
      </c>
      <c r="CC3" s="183" t="n">
        <v>4</v>
      </c>
      <c r="CD3" s="183" t="n">
        <v>4.1</v>
      </c>
      <c r="CE3" s="183" t="n">
        <v>4.15</v>
      </c>
      <c r="CF3" s="183" t="n">
        <v>4.2</v>
      </c>
      <c r="CG3" s="183" t="n">
        <v>4.25</v>
      </c>
      <c r="CH3" s="183" t="n">
        <v>4.3</v>
      </c>
      <c r="CI3" s="183" t="n">
        <v>4.35</v>
      </c>
      <c r="CJ3" s="183" t="n">
        <v>4.4</v>
      </c>
      <c r="CK3" s="183" t="n">
        <v>4.45</v>
      </c>
      <c r="CL3" s="183" t="n">
        <v>4.5</v>
      </c>
      <c r="CM3" s="183" t="n">
        <v>4.55</v>
      </c>
      <c r="CN3" s="183" t="n">
        <v>4.6</v>
      </c>
      <c r="CO3" s="183" t="n">
        <v>4.65</v>
      </c>
      <c r="CP3" s="183" t="n">
        <v>4.7</v>
      </c>
      <c r="CQ3" s="183" t="n">
        <v>4.75</v>
      </c>
      <c r="CR3" s="183" t="n">
        <v>4.8</v>
      </c>
      <c r="CS3" s="183" t="n">
        <v>4.85</v>
      </c>
      <c r="CT3" s="183" t="n">
        <v>4.9</v>
      </c>
      <c r="CU3" s="183" t="n">
        <v>4.95</v>
      </c>
      <c r="CV3" s="183" t="n">
        <v>5</v>
      </c>
      <c r="CW3" s="183" t="n">
        <v>5.05</v>
      </c>
      <c r="CX3" s="183" t="n">
        <v>5.1</v>
      </c>
      <c r="CY3" s="183" t="n">
        <v>5.15</v>
      </c>
      <c r="CZ3" s="183" t="n">
        <v>5.2</v>
      </c>
      <c r="DA3" s="183" t="n">
        <v>5.25</v>
      </c>
      <c r="DB3" s="183" t="n">
        <v>5.3</v>
      </c>
      <c r="DC3" s="183" t="n">
        <v>5.35</v>
      </c>
      <c r="DD3" s="183" t="n">
        <v>5.4</v>
      </c>
      <c r="DE3" s="183" t="n">
        <v>5.45</v>
      </c>
      <c r="DF3" s="183" t="n">
        <v>5.5</v>
      </c>
      <c r="DG3" s="183" t="n">
        <v>5.55</v>
      </c>
      <c r="DH3" s="183" t="n">
        <v>5.6</v>
      </c>
      <c r="DI3" s="183" t="n">
        <v>5.65</v>
      </c>
      <c r="DJ3" s="183" t="n">
        <v>5.7</v>
      </c>
      <c r="DK3" s="183" t="n">
        <v>5.75</v>
      </c>
      <c r="DL3" s="183" t="n">
        <v>5.8</v>
      </c>
      <c r="DM3" s="183" t="n">
        <v>5.85</v>
      </c>
      <c r="DN3" s="183" t="n">
        <v>5.9</v>
      </c>
      <c r="DO3" s="183" t="n">
        <v>6</v>
      </c>
      <c r="DP3" s="183" t="n">
        <v>6.05</v>
      </c>
      <c r="DQ3" s="183" t="n">
        <v>6.1</v>
      </c>
      <c r="DR3" s="183" t="n">
        <v>6.15</v>
      </c>
      <c r="DS3" s="183" t="n">
        <v>6.2</v>
      </c>
      <c r="DT3" s="183" t="n">
        <v>6.25</v>
      </c>
      <c r="DU3" s="183" t="n">
        <v>6.3</v>
      </c>
      <c r="DV3" s="183" t="n">
        <v>6.35</v>
      </c>
      <c r="DW3" s="183" t="n">
        <v>6.4</v>
      </c>
      <c r="DX3" s="183" t="n">
        <v>6.45</v>
      </c>
      <c r="DY3" s="183" t="n">
        <v>6.5</v>
      </c>
      <c r="DZ3" s="183" t="n">
        <v>6.55</v>
      </c>
      <c r="EA3" s="183" t="n">
        <v>6.6</v>
      </c>
      <c r="EB3" s="183" t="n">
        <v>6.65</v>
      </c>
      <c r="EC3" s="183" t="n">
        <v>6.7</v>
      </c>
      <c r="ED3" s="183" t="n">
        <v>6.75</v>
      </c>
      <c r="EE3" s="183" t="n">
        <v>6.8</v>
      </c>
      <c r="EF3" s="183" t="n">
        <v>6.85</v>
      </c>
      <c r="EG3" s="183" t="n">
        <v>6.9</v>
      </c>
      <c r="EH3" s="183" t="n">
        <v>6.95</v>
      </c>
      <c r="EI3" s="183" t="n">
        <v>7</v>
      </c>
      <c r="EJ3" s="183" t="n">
        <v>7.05</v>
      </c>
      <c r="EK3" s="183" t="n">
        <v>7.1</v>
      </c>
      <c r="EL3" s="180" t="n">
        <v>7.15</v>
      </c>
      <c r="EM3" s="180" t="n">
        <v>7.2</v>
      </c>
      <c r="EN3" s="180" t="n">
        <v>7.25</v>
      </c>
      <c r="EO3" s="180" t="n">
        <v>7.3</v>
      </c>
      <c r="EP3" s="180" t="n">
        <v>7.35</v>
      </c>
      <c r="EQ3" s="180" t="n">
        <v>7.4</v>
      </c>
      <c r="ER3" s="180" t="n">
        <v>7.45</v>
      </c>
      <c r="ES3" s="180" t="n">
        <v>7.5</v>
      </c>
      <c r="ET3" s="180" t="n">
        <v>7.55</v>
      </c>
      <c r="EU3" s="180" t="n">
        <v>7.6</v>
      </c>
      <c r="EV3" s="180" t="n">
        <v>7.65</v>
      </c>
      <c r="EW3" s="180" t="n">
        <v>7.7</v>
      </c>
      <c r="EX3" s="180" t="n">
        <v>7.75</v>
      </c>
      <c r="EY3" s="180" t="n">
        <v>7.8</v>
      </c>
      <c r="EZ3" s="180" t="n">
        <v>7.85</v>
      </c>
      <c r="FA3" s="180" t="n">
        <v>7.9</v>
      </c>
      <c r="FB3" s="180" t="n">
        <v>7.95</v>
      </c>
      <c r="FC3" s="180" t="n">
        <v>8</v>
      </c>
      <c r="FD3" s="180" t="n">
        <v>8.1</v>
      </c>
      <c r="FE3" s="180" t="n">
        <v>8.2</v>
      </c>
      <c r="FF3" s="180" t="n">
        <v>8.3</v>
      </c>
      <c r="FG3" s="180" t="n">
        <v>8.4</v>
      </c>
      <c r="FH3" s="180" t="n">
        <v>8.5</v>
      </c>
      <c r="FI3" s="180" t="n">
        <v>8.6</v>
      </c>
      <c r="FJ3" s="180" t="n">
        <v>8.7</v>
      </c>
      <c r="FK3" s="180" t="n">
        <v>8.8</v>
      </c>
      <c r="FL3" s="180" t="n">
        <v>8.9</v>
      </c>
      <c r="FM3" s="180" t="n">
        <v>9</v>
      </c>
      <c r="FN3" s="180" t="n">
        <v>9.1</v>
      </c>
      <c r="FO3" s="180" t="n">
        <v>9.2</v>
      </c>
      <c r="FP3" s="180" t="n">
        <v>9.3</v>
      </c>
      <c r="FQ3" s="180" t="n">
        <v>9.4</v>
      </c>
      <c r="FR3" s="180" t="n">
        <v>9.5</v>
      </c>
      <c r="FS3" s="180" t="n">
        <v>9.59999999999999</v>
      </c>
      <c r="FT3" s="180" t="n">
        <v>9.69999999999999</v>
      </c>
      <c r="FU3" s="180" t="n">
        <v>9.79999999999999</v>
      </c>
      <c r="FV3" s="180" t="n">
        <v>9.89999999999999</v>
      </c>
      <c r="FW3" s="180" t="n">
        <v>9.99999999999999</v>
      </c>
      <c r="FX3" s="180" t="n">
        <v>10.1</v>
      </c>
      <c r="FY3" s="180" t="n">
        <v>10.2</v>
      </c>
      <c r="FZ3" s="180" t="n">
        <v>10.3</v>
      </c>
      <c r="GA3" s="180" t="n">
        <v>10.4</v>
      </c>
      <c r="GB3" s="180" t="n">
        <v>10.5</v>
      </c>
      <c r="GC3" s="180" t="n">
        <v>10.6</v>
      </c>
      <c r="GD3" s="180" t="n">
        <v>10.7</v>
      </c>
      <c r="GE3" s="180" t="n">
        <v>10.8</v>
      </c>
      <c r="GF3" s="180" t="n">
        <v>10.9</v>
      </c>
      <c r="GG3" s="180" t="n">
        <v>11</v>
      </c>
      <c r="GH3" s="180" t="n">
        <v>11.1</v>
      </c>
      <c r="GI3" s="180" t="n">
        <v>11.2</v>
      </c>
      <c r="GJ3" s="180" t="n">
        <v>11.3</v>
      </c>
      <c r="GK3" s="180" t="n">
        <v>11.4</v>
      </c>
      <c r="GL3" s="180" t="n">
        <v>11.5</v>
      </c>
      <c r="GM3" s="180" t="n">
        <v>11.6</v>
      </c>
      <c r="GN3" s="180" t="n">
        <v>11.7</v>
      </c>
      <c r="GO3" s="180" t="n">
        <v>11.8</v>
      </c>
      <c r="GP3" s="180" t="n">
        <v>11.9</v>
      </c>
      <c r="GQ3" s="180" t="n">
        <v>12</v>
      </c>
      <c r="GR3" s="180" t="n">
        <v>12.1</v>
      </c>
      <c r="GS3" s="180" t="n">
        <v>12.2</v>
      </c>
      <c r="GT3" s="180" t="n">
        <v>12.3</v>
      </c>
      <c r="GU3" s="180" t="n">
        <v>12.4</v>
      </c>
      <c r="GV3" s="180" t="n">
        <v>12.5</v>
      </c>
      <c r="GW3" s="180" t="n">
        <v>12.6</v>
      </c>
      <c r="GX3" s="180" t="n">
        <v>12.7</v>
      </c>
      <c r="GY3" s="180" t="n">
        <v>12.8</v>
      </c>
      <c r="GZ3" s="180" t="n">
        <v>12.9</v>
      </c>
      <c r="HA3" s="180" t="n">
        <v>13</v>
      </c>
      <c r="HB3" s="180" t="n">
        <v>13.1</v>
      </c>
      <c r="HC3" s="180" t="n">
        <v>13.2</v>
      </c>
      <c r="HD3" s="180" t="n">
        <v>13.3</v>
      </c>
      <c r="HE3" s="180" t="n">
        <v>13.4</v>
      </c>
      <c r="HF3" s="180" t="n">
        <v>13.5</v>
      </c>
      <c r="HG3" s="180" t="n">
        <v>13.6</v>
      </c>
      <c r="HH3" s="180" t="n">
        <v>13.7</v>
      </c>
      <c r="HI3" s="180" t="n">
        <v>13.8</v>
      </c>
      <c r="HJ3" s="180" t="n">
        <v>13.9</v>
      </c>
      <c r="HK3" s="180" t="n">
        <v>14</v>
      </c>
      <c r="HL3" s="180" t="n">
        <v>14.1</v>
      </c>
      <c r="HM3" s="180" t="n">
        <v>14.2</v>
      </c>
      <c r="HN3" s="180" t="n">
        <v>14.3</v>
      </c>
      <c r="HO3" s="180" t="n">
        <v>14.4</v>
      </c>
      <c r="HP3" s="180" t="n">
        <v>14.5</v>
      </c>
      <c r="HQ3" s="180" t="n">
        <v>14.6</v>
      </c>
      <c r="HR3" s="180" t="n">
        <v>14.7</v>
      </c>
      <c r="HS3" s="180" t="n">
        <v>14.8</v>
      </c>
      <c r="HT3" s="180" t="n">
        <v>14.9</v>
      </c>
      <c r="HU3" s="180" t="n">
        <v>15</v>
      </c>
      <c r="HV3" s="180" t="n">
        <v>15.1</v>
      </c>
      <c r="HW3" s="180" t="n">
        <v>15.2</v>
      </c>
      <c r="HX3" s="180" t="n">
        <v>15.3</v>
      </c>
      <c r="HY3" s="180" t="n">
        <v>15.4</v>
      </c>
      <c r="HZ3" s="180" t="n">
        <v>15.5</v>
      </c>
      <c r="IA3" s="180" t="n">
        <v>15.6</v>
      </c>
      <c r="IB3" s="180" t="n">
        <v>15.7</v>
      </c>
      <c r="IC3" s="180" t="n">
        <v>15.8</v>
      </c>
      <c r="ID3" s="180" t="n">
        <v>15.9</v>
      </c>
      <c r="IE3" s="180" t="n">
        <v>16</v>
      </c>
      <c r="IF3" s="180" t="n">
        <v>16.1</v>
      </c>
      <c r="IG3" s="180" t="n">
        <v>16.2</v>
      </c>
      <c r="IH3" s="180" t="n">
        <v>16.3</v>
      </c>
      <c r="II3" s="180" t="n">
        <v>16.4</v>
      </c>
      <c r="IJ3" s="180" t="n">
        <v>16.5</v>
      </c>
      <c r="IK3" s="180" t="n">
        <v>16.6</v>
      </c>
      <c r="IL3" s="180" t="n">
        <v>16.7</v>
      </c>
      <c r="IM3" s="180" t="n">
        <v>16.8</v>
      </c>
      <c r="IN3" s="180" t="n">
        <v>16.9</v>
      </c>
      <c r="IO3" s="180" t="n">
        <v>17</v>
      </c>
      <c r="IP3" s="180" t="n">
        <v>17.1</v>
      </c>
      <c r="IQ3" s="180" t="n">
        <v>17.2</v>
      </c>
      <c r="IR3" s="180" t="n">
        <v>17.3</v>
      </c>
      <c r="IS3" s="180" t="n">
        <v>17.4</v>
      </c>
      <c r="IT3" s="180" t="n">
        <v>17.5</v>
      </c>
      <c r="IU3" s="180" t="n">
        <v>17.6</v>
      </c>
      <c r="IV3" s="180" t="n">
        <v>17.7</v>
      </c>
    </row>
    <row r="4" customFormat="false" ht="12.75" hidden="false" customHeight="false" outlineLevel="0" collapsed="false">
      <c r="A4" s="184" t="n">
        <v>36800</v>
      </c>
      <c r="B4" s="185" t="n">
        <v>-5.0525148234375</v>
      </c>
      <c r="C4" s="185" t="n">
        <v>-4.97676185015626</v>
      </c>
      <c r="D4" s="185" t="n">
        <v>-4.901008876875</v>
      </c>
      <c r="E4" s="185" t="n">
        <v>-4.82525590359376</v>
      </c>
      <c r="F4" s="185" t="n">
        <v>-4.7495029303125</v>
      </c>
      <c r="G4" s="185" t="n">
        <v>-4.67374995703126</v>
      </c>
      <c r="H4" s="185" t="n">
        <v>-4.59799698375</v>
      </c>
      <c r="I4" s="185" t="n">
        <v>-4.52224401046876</v>
      </c>
      <c r="J4" s="185" t="n">
        <v>-4.4464910371875</v>
      </c>
      <c r="K4" s="185" t="n">
        <v>-4.37073806390626</v>
      </c>
      <c r="L4" s="185" t="n">
        <v>-4.294985090625</v>
      </c>
      <c r="M4" s="185" t="n">
        <v>-4.21923211734375</v>
      </c>
      <c r="N4" s="185" t="n">
        <v>-4.1434791440625</v>
      </c>
      <c r="O4" s="185" t="n">
        <v>-4.06772617078125</v>
      </c>
      <c r="P4" s="185" t="n">
        <v>-3.9919731975</v>
      </c>
      <c r="Q4" s="185" t="n">
        <v>-3.91622022421875</v>
      </c>
      <c r="R4" s="185" t="n">
        <v>-3.8404672509375</v>
      </c>
      <c r="S4" s="185" t="n">
        <v>-3.76471427765625</v>
      </c>
      <c r="T4" s="185" t="n">
        <v>-3.688961304375</v>
      </c>
      <c r="U4" s="185" t="n">
        <v>-3.61320833109375</v>
      </c>
      <c r="V4" s="186" t="n">
        <v>-3.5374553578125</v>
      </c>
      <c r="W4" s="185" t="n">
        <v>-3.46170238453125</v>
      </c>
      <c r="X4" s="186" t="n">
        <v>-3.38594941125</v>
      </c>
      <c r="Y4" s="185" t="n">
        <v>-3.31019643796875</v>
      </c>
      <c r="Z4" s="186" t="n">
        <v>-3.2344434646875</v>
      </c>
      <c r="AA4" s="185" t="n">
        <v>-3.15869049140625</v>
      </c>
      <c r="AB4" s="187" t="n">
        <v>-3.082937518125</v>
      </c>
      <c r="AC4" s="185" t="n">
        <v>-3.00718454484375</v>
      </c>
      <c r="AD4" s="187" t="n">
        <v>-2.9314315715625</v>
      </c>
      <c r="AE4" s="185" t="n">
        <v>-2.85567859828125</v>
      </c>
      <c r="AF4" s="185" t="n">
        <v>-2.779925625</v>
      </c>
      <c r="AG4" s="185" t="n">
        <v>-2.7080878125</v>
      </c>
      <c r="AH4" s="185" t="n">
        <v>-2.63625</v>
      </c>
      <c r="AI4" s="185" t="n">
        <v>-2.568125</v>
      </c>
      <c r="AJ4" s="185" t="n">
        <v>-2.5</v>
      </c>
      <c r="AK4" s="185" t="n">
        <v>-2</v>
      </c>
      <c r="AL4" s="185" t="n">
        <v>-1.5</v>
      </c>
      <c r="AM4" s="185" t="n">
        <v>-1</v>
      </c>
      <c r="AN4" s="185" t="n">
        <v>-0.5</v>
      </c>
      <c r="AO4" s="185" t="n">
        <v>0</v>
      </c>
      <c r="AP4" s="185" t="n">
        <v>0.35</v>
      </c>
      <c r="AQ4" s="185" t="n">
        <v>0.7</v>
      </c>
      <c r="AR4" s="185" t="n">
        <v>1.05</v>
      </c>
      <c r="AS4" s="185" t="n">
        <v>1.4</v>
      </c>
      <c r="AT4" s="185" t="n">
        <v>1.75</v>
      </c>
      <c r="AU4" s="185" t="n">
        <v>2.1</v>
      </c>
      <c r="AV4" s="185" t="n">
        <v>2.45</v>
      </c>
      <c r="AW4" s="185" t="n">
        <v>2.7825</v>
      </c>
      <c r="AX4" s="185" t="n">
        <v>3.115</v>
      </c>
      <c r="AY4" s="185" t="n">
        <v>3.430875</v>
      </c>
      <c r="AZ4" s="185" t="n">
        <v>3.74675</v>
      </c>
      <c r="BA4" s="185" t="n">
        <v>4.04683125</v>
      </c>
      <c r="BB4" s="185" t="n">
        <v>4.3469125</v>
      </c>
      <c r="BC4" s="185" t="n">
        <v>4.6319896875</v>
      </c>
      <c r="BD4" s="185" t="n">
        <v>4.917066875</v>
      </c>
      <c r="BE4" s="185" t="n">
        <v>5.187890203125</v>
      </c>
      <c r="BF4" s="185" t="n">
        <v>5.45871353125</v>
      </c>
      <c r="BG4" s="185" t="n">
        <v>5.71599569296875</v>
      </c>
      <c r="BH4" s="185" t="n">
        <v>5.9732778546875</v>
      </c>
      <c r="BI4" s="185" t="n">
        <v>6.21769590832031</v>
      </c>
      <c r="BJ4" s="185" t="n">
        <v>6.46211396195312</v>
      </c>
      <c r="BK4" s="185" t="n">
        <v>6.69431111290429</v>
      </c>
      <c r="BL4" s="185" t="n">
        <v>6.92650826385546</v>
      </c>
      <c r="BM4" s="185" t="n">
        <v>7.14709555725908</v>
      </c>
      <c r="BN4" s="185" t="n">
        <v>7.36768285066269</v>
      </c>
      <c r="BO4" s="185" t="n">
        <v>7.57724077939612</v>
      </c>
      <c r="BP4" s="185" t="n">
        <v>7.78679870812955</v>
      </c>
      <c r="BQ4" s="185" t="n">
        <v>7.98587874042631</v>
      </c>
      <c r="BR4" s="185" t="n">
        <v>8.18495877272307</v>
      </c>
      <c r="BS4" s="185" t="n">
        <v>8.374084803405</v>
      </c>
      <c r="BT4" s="185" t="n">
        <v>8.56321083408692</v>
      </c>
      <c r="BU4" s="185" t="n">
        <v>8.75233686476884</v>
      </c>
      <c r="BV4" s="185" t="n">
        <v>8.94146289545076</v>
      </c>
      <c r="BW4" s="185" t="n">
        <v>9.13058892613269</v>
      </c>
      <c r="BX4" s="185" t="n">
        <v>9.31971495681461</v>
      </c>
      <c r="BY4" s="185" t="n">
        <v>9.50884098749653</v>
      </c>
      <c r="BZ4" s="185" t="n">
        <v>9.69796701817846</v>
      </c>
      <c r="CA4" s="185" t="n">
        <v>9.88709304886038</v>
      </c>
      <c r="CB4" s="185" t="n">
        <v>10.0762190795423</v>
      </c>
      <c r="CC4" s="185" t="n">
        <v>10.2653451102242</v>
      </c>
      <c r="CD4" s="185" t="n">
        <v>10.4544711409061</v>
      </c>
      <c r="CE4" s="185" t="n">
        <v>10.6435971715881</v>
      </c>
      <c r="CF4" s="185" t="n">
        <v>10.83272320227</v>
      </c>
      <c r="CG4" s="185" t="n">
        <v>11.0218492329519</v>
      </c>
      <c r="CH4" s="185" t="n">
        <v>11.2109752636338</v>
      </c>
      <c r="CI4" s="185" t="n">
        <v>11.4001012943158</v>
      </c>
      <c r="CJ4" s="185" t="n">
        <v>11.5892273249977</v>
      </c>
      <c r="CK4" s="185" t="n">
        <v>11.7783533556796</v>
      </c>
      <c r="CL4" s="185" t="n">
        <v>11.9674793863615</v>
      </c>
      <c r="CM4" s="185" t="n">
        <v>12.1566054170435</v>
      </c>
      <c r="CN4" s="185" t="n">
        <v>12.3457314477254</v>
      </c>
      <c r="CO4" s="185" t="n">
        <v>12.5348574784073</v>
      </c>
      <c r="CP4" s="185" t="n">
        <v>12.7239835090892</v>
      </c>
      <c r="CQ4" s="185" t="n">
        <v>12.9131095397711</v>
      </c>
      <c r="CR4" s="185" t="n">
        <v>13.1022355704531</v>
      </c>
      <c r="CS4" s="185" t="n">
        <v>13.291361601135</v>
      </c>
      <c r="CT4" s="185" t="n">
        <v>13.4804876318169</v>
      </c>
      <c r="CU4" s="185" t="n">
        <v>13.6696136624988</v>
      </c>
      <c r="CV4" s="185" t="n">
        <v>13.8587396931808</v>
      </c>
      <c r="CW4" s="185" t="n">
        <v>14.0478657238627</v>
      </c>
      <c r="CX4" s="185" t="n">
        <v>14.2369917545446</v>
      </c>
      <c r="CY4" s="185" t="n">
        <v>14.4261177852265</v>
      </c>
      <c r="CZ4" s="185" t="n">
        <v>14.6152438159084</v>
      </c>
      <c r="DA4" s="185" t="n">
        <v>14.8043698465904</v>
      </c>
      <c r="DB4" s="185" t="n">
        <v>14.9934958772723</v>
      </c>
      <c r="DC4" s="185" t="n">
        <v>15.1826219079542</v>
      </c>
      <c r="DD4" s="185" t="n">
        <v>15.3717479386361</v>
      </c>
      <c r="DE4" s="185" t="n">
        <v>15.5608739693181</v>
      </c>
      <c r="DF4" s="185" t="n">
        <v>15.75</v>
      </c>
      <c r="DG4" s="185" t="n">
        <v>15.9391260306819</v>
      </c>
      <c r="DH4" s="185" t="n">
        <v>16.1282520613638</v>
      </c>
      <c r="DI4" s="185" t="n">
        <v>16.3173780920458</v>
      </c>
      <c r="DJ4" s="185" t="n">
        <v>16.5065041227277</v>
      </c>
      <c r="DK4" s="185" t="n">
        <v>16.6956301534096</v>
      </c>
      <c r="DL4" s="185" t="n">
        <v>16.8847561840915</v>
      </c>
      <c r="DM4" s="185" t="n">
        <v>17.0738822147734</v>
      </c>
      <c r="DN4" s="185" t="n">
        <v>17.2630082454554</v>
      </c>
      <c r="DO4" s="185" t="n">
        <v>17.4521342761373</v>
      </c>
      <c r="DP4" s="185" t="n">
        <v>17.6412603068192</v>
      </c>
      <c r="DQ4" s="185" t="n">
        <v>17.8303863375011</v>
      </c>
      <c r="DR4" s="185" t="n">
        <v>18.0195123681831</v>
      </c>
      <c r="DS4" s="185" t="n">
        <v>18.208638398865</v>
      </c>
      <c r="DT4" s="185" t="n">
        <v>18.3977644295469</v>
      </c>
      <c r="DU4" s="185" t="n">
        <v>18.5868904602288</v>
      </c>
      <c r="DV4" s="185" t="n">
        <v>18.7760164909107</v>
      </c>
      <c r="DW4" s="185" t="n">
        <v>18.9651425215927</v>
      </c>
      <c r="DX4" s="185" t="n">
        <v>19.1542685522746</v>
      </c>
      <c r="DY4" s="185" t="n">
        <v>19.3433945829565</v>
      </c>
      <c r="DZ4" s="185" t="n">
        <v>19.5325206136384</v>
      </c>
      <c r="EA4" s="185" t="n">
        <v>19.7216466443204</v>
      </c>
      <c r="EB4" s="185" t="n">
        <v>19.9107726750023</v>
      </c>
      <c r="EC4" s="185" t="n">
        <v>20.0998987056842</v>
      </c>
      <c r="ED4" s="185" t="n">
        <v>20.2890247363661</v>
      </c>
      <c r="EE4" s="185" t="n">
        <v>20.4781507670481</v>
      </c>
      <c r="EF4" s="185" t="n">
        <v>20.66727679773</v>
      </c>
      <c r="EG4" s="185" t="n">
        <v>20.8564028284119</v>
      </c>
      <c r="EH4" s="185" t="n">
        <v>21.0455288590938</v>
      </c>
      <c r="EI4" s="185" t="n">
        <v>21.2346548897757</v>
      </c>
      <c r="EJ4" s="185" t="n">
        <v>21.4237809204577</v>
      </c>
      <c r="EK4" s="185" t="n">
        <v>21.6129069511396</v>
      </c>
      <c r="EL4" s="180" t="n">
        <v>21.8020329818215</v>
      </c>
      <c r="EM4" s="180" t="n">
        <v>21.9911590125034</v>
      </c>
      <c r="EN4" s="180" t="n">
        <v>22.1802850431854</v>
      </c>
      <c r="EO4" s="180" t="n">
        <v>22.3694110738673</v>
      </c>
      <c r="EP4" s="180" t="n">
        <v>22.5585371045492</v>
      </c>
      <c r="EQ4" s="180" t="n">
        <v>22.7476631352311</v>
      </c>
      <c r="ER4" s="180" t="n">
        <v>22.936789165913</v>
      </c>
      <c r="ES4" s="180" t="n">
        <v>23.125915196595</v>
      </c>
      <c r="ET4" s="180" t="n">
        <v>23.3150412272769</v>
      </c>
      <c r="EU4" s="180" t="n">
        <v>23.5041672579588</v>
      </c>
      <c r="EV4" s="180" t="n">
        <v>23.6932932886407</v>
      </c>
      <c r="EW4" s="180" t="n">
        <v>23.8824193193227</v>
      </c>
      <c r="EX4" s="180" t="n">
        <v>24.0715453500046</v>
      </c>
      <c r="EY4" s="180" t="n">
        <v>24.2606713806865</v>
      </c>
      <c r="EZ4" s="180" t="n">
        <v>24.4497974113684</v>
      </c>
      <c r="FA4" s="180" t="n">
        <v>24.6389234420504</v>
      </c>
      <c r="FB4" s="180" t="n">
        <v>24.8280494727323</v>
      </c>
      <c r="FC4" s="180" t="n">
        <v>25.0171755034142</v>
      </c>
      <c r="FD4" s="180" t="n">
        <v>25.2063015340961</v>
      </c>
      <c r="FE4" s="180" t="n">
        <v>25.395427564778</v>
      </c>
      <c r="FF4" s="180" t="n">
        <v>25.58455359546</v>
      </c>
      <c r="FG4" s="180" t="n">
        <v>25.7736796261419</v>
      </c>
      <c r="FH4" s="180" t="n">
        <v>25.9628056568238</v>
      </c>
      <c r="FI4" s="180" t="n">
        <v>26.1519316875057</v>
      </c>
      <c r="FJ4" s="180" t="n">
        <v>26.3410577181877</v>
      </c>
      <c r="FK4" s="180" t="n">
        <v>26.5301837488696</v>
      </c>
      <c r="FL4" s="180" t="n">
        <v>26.7193097795515</v>
      </c>
      <c r="FM4" s="180" t="n">
        <v>26.9084358102334</v>
      </c>
      <c r="FN4" s="180" t="n">
        <v>27.0975618409153</v>
      </c>
      <c r="FO4" s="180" t="n">
        <v>27.2866878715973</v>
      </c>
      <c r="FP4" s="180" t="n">
        <v>27.4758139022792</v>
      </c>
      <c r="FQ4" s="180" t="n">
        <v>27.6649399329611</v>
      </c>
      <c r="FR4" s="180" t="n">
        <v>27.854065963643</v>
      </c>
      <c r="FS4" s="180" t="n">
        <v>28.043191994325</v>
      </c>
      <c r="FT4" s="180" t="n">
        <v>28.2323180250069</v>
      </c>
      <c r="FU4" s="180" t="n">
        <v>28.4214440556888</v>
      </c>
      <c r="FV4" s="180" t="n">
        <v>28.6105700863707</v>
      </c>
      <c r="FW4" s="180" t="n">
        <v>28.7996961170526</v>
      </c>
      <c r="FX4" s="180" t="n">
        <v>28.9888221477346</v>
      </c>
      <c r="FY4" s="180" t="n">
        <v>29.1779481784165</v>
      </c>
      <c r="FZ4" s="180" t="n">
        <v>29.3670742090984</v>
      </c>
      <c r="GA4" s="180" t="n">
        <v>29.5562002397803</v>
      </c>
      <c r="GB4" s="180" t="n">
        <v>29.7453262704623</v>
      </c>
      <c r="GC4" s="180" t="n">
        <v>29.9344523011442</v>
      </c>
      <c r="GD4" s="180" t="n">
        <v>30.1235783318261</v>
      </c>
      <c r="GE4" s="180" t="n">
        <v>30.312704362508</v>
      </c>
      <c r="GF4" s="180" t="n">
        <v>30.5018303931899</v>
      </c>
      <c r="GG4" s="180" t="n">
        <v>30.6909564238719</v>
      </c>
      <c r="GH4" s="180" t="n">
        <v>30.8800824545538</v>
      </c>
      <c r="GI4" s="180" t="n">
        <v>31.0692084852357</v>
      </c>
      <c r="GJ4" s="180" t="n">
        <v>31.2583345159176</v>
      </c>
      <c r="GK4" s="180" t="n">
        <v>31.4474605465996</v>
      </c>
      <c r="GL4" s="180" t="n">
        <v>31.6365865772815</v>
      </c>
      <c r="GM4" s="180" t="n">
        <v>31.8257126079634</v>
      </c>
      <c r="GN4" s="180" t="n">
        <v>32.0148386386453</v>
      </c>
      <c r="GO4" s="180" t="n">
        <v>32.2039646693273</v>
      </c>
      <c r="GP4" s="180" t="n">
        <v>32.3930907000092</v>
      </c>
      <c r="GQ4" s="180" t="n">
        <v>32.5822167306911</v>
      </c>
      <c r="GR4" s="180" t="n">
        <v>32.771342761373</v>
      </c>
      <c r="GS4" s="180" t="n">
        <v>32.960468792055</v>
      </c>
      <c r="GT4" s="180" t="n">
        <v>33.1495948227369</v>
      </c>
      <c r="GU4" s="180" t="n">
        <v>33.3387208534188</v>
      </c>
      <c r="GV4" s="180" t="n">
        <v>33.5278468841007</v>
      </c>
      <c r="GW4" s="180" t="n">
        <v>33.7169729147826</v>
      </c>
      <c r="GX4" s="180" t="n">
        <v>33.9060989454646</v>
      </c>
      <c r="GY4" s="180" t="n">
        <v>34.0952249761465</v>
      </c>
      <c r="GZ4" s="180" t="n">
        <v>34.2843510068284</v>
      </c>
      <c r="HA4" s="180" t="n">
        <v>34.4734770375103</v>
      </c>
      <c r="HB4" s="180" t="n">
        <v>34.6626030681923</v>
      </c>
      <c r="HC4" s="180" t="n">
        <v>34.8517290988742</v>
      </c>
      <c r="HD4" s="180" t="n">
        <v>35.0408551295561</v>
      </c>
      <c r="HE4" s="180" t="n">
        <v>35.229981160238</v>
      </c>
      <c r="HF4" s="180" t="n">
        <v>35.4191071909199</v>
      </c>
      <c r="HG4" s="180" t="n">
        <v>35.6082332216019</v>
      </c>
      <c r="HH4" s="180" t="n">
        <v>35.7973592522838</v>
      </c>
      <c r="HI4" s="180" t="n">
        <v>35.9864852829657</v>
      </c>
      <c r="HJ4" s="180" t="n">
        <v>36.1756113136476</v>
      </c>
      <c r="HK4" s="180" t="n">
        <v>36.3647373443296</v>
      </c>
      <c r="HL4" s="180" t="n">
        <v>36.5538633750115</v>
      </c>
      <c r="HM4" s="180" t="n">
        <v>36.7429894056934</v>
      </c>
      <c r="HN4" s="180" t="n">
        <v>36.9321154363753</v>
      </c>
      <c r="HO4" s="180" t="n">
        <v>37.1212414670572</v>
      </c>
      <c r="HP4" s="180" t="n">
        <v>37.3103674977392</v>
      </c>
      <c r="HQ4" s="180" t="n">
        <v>37.4994935284211</v>
      </c>
      <c r="HR4" s="180" t="n">
        <v>37.688619559103</v>
      </c>
      <c r="HS4" s="180" t="n">
        <v>37.8777455897849</v>
      </c>
      <c r="HT4" s="180" t="n">
        <v>38.0668716204669</v>
      </c>
      <c r="HU4" s="180" t="n">
        <v>38.2559976511488</v>
      </c>
      <c r="HV4" s="180" t="n">
        <v>38.4451236818307</v>
      </c>
      <c r="HW4" s="180" t="n">
        <v>38.6342497125126</v>
      </c>
      <c r="HX4" s="180" t="n">
        <v>38.8233757431945</v>
      </c>
      <c r="HY4" s="180" t="n">
        <v>39.0125017738765</v>
      </c>
      <c r="HZ4" s="180" t="n">
        <v>39.2016278045584</v>
      </c>
      <c r="IA4" s="180" t="n">
        <v>39.3907538352403</v>
      </c>
      <c r="IB4" s="180" t="n">
        <v>39.5798798659222</v>
      </c>
      <c r="IC4" s="180" t="n">
        <v>39.7690058966042</v>
      </c>
      <c r="ID4" s="180" t="n">
        <v>39.9581319272861</v>
      </c>
      <c r="IE4" s="180" t="n">
        <v>40.147257957968</v>
      </c>
      <c r="IF4" s="180" t="n">
        <v>40.3363839886499</v>
      </c>
      <c r="IG4" s="180" t="n">
        <v>40.5255100193319</v>
      </c>
      <c r="IH4" s="180" t="n">
        <v>40.7146360500138</v>
      </c>
      <c r="II4" s="180" t="n">
        <v>40.9037620806957</v>
      </c>
      <c r="IJ4" s="180" t="n">
        <v>41.0928881113776</v>
      </c>
      <c r="IK4" s="180" t="n">
        <v>41.2820141420595</v>
      </c>
      <c r="IL4" s="180" t="n">
        <v>41.4711401727415</v>
      </c>
      <c r="IM4" s="180" t="n">
        <v>41.6602662034234</v>
      </c>
      <c r="IN4" s="180" t="n">
        <v>41.8493922341053</v>
      </c>
      <c r="IO4" s="180" t="n">
        <v>42.0385182647872</v>
      </c>
      <c r="IP4" s="180" t="n">
        <v>42.2276442954692</v>
      </c>
      <c r="IQ4" s="180" t="n">
        <v>42.4167703261511</v>
      </c>
      <c r="IR4" s="180" t="n">
        <v>42.605896356833</v>
      </c>
      <c r="IS4" s="180" t="n">
        <v>42.7950223875149</v>
      </c>
      <c r="IT4" s="180" t="n">
        <v>42.9841484181968</v>
      </c>
      <c r="IU4" s="180" t="n">
        <v>43.1732744488788</v>
      </c>
      <c r="IV4" s="180" t="n">
        <v>43.3624004795607</v>
      </c>
    </row>
    <row r="5" customFormat="false" ht="12.75" hidden="false" customHeight="false" outlineLevel="0" collapsed="false">
      <c r="A5" s="184" t="n">
        <v>36831</v>
      </c>
      <c r="B5" s="185" t="n">
        <v>-5.0525148234375</v>
      </c>
      <c r="C5" s="185" t="n">
        <v>-4.97676185015626</v>
      </c>
      <c r="D5" s="185" t="n">
        <v>-4.901008876875</v>
      </c>
      <c r="E5" s="185" t="n">
        <v>-4.82525590359376</v>
      </c>
      <c r="F5" s="185" t="n">
        <v>-4.7495029303125</v>
      </c>
      <c r="G5" s="185" t="n">
        <v>-4.67374995703126</v>
      </c>
      <c r="H5" s="185" t="n">
        <v>-4.59799698375</v>
      </c>
      <c r="I5" s="185" t="n">
        <v>-4.52224401046876</v>
      </c>
      <c r="J5" s="185" t="n">
        <v>-4.4464910371875</v>
      </c>
      <c r="K5" s="185" t="n">
        <v>-4.37073806390626</v>
      </c>
      <c r="L5" s="185" t="n">
        <v>-4.294985090625</v>
      </c>
      <c r="M5" s="185" t="n">
        <v>-4.21923211734375</v>
      </c>
      <c r="N5" s="185" t="n">
        <v>-4.1434791440625</v>
      </c>
      <c r="O5" s="185" t="n">
        <v>-4.06772617078125</v>
      </c>
      <c r="P5" s="185" t="n">
        <v>-3.9919731975</v>
      </c>
      <c r="Q5" s="185" t="n">
        <v>-3.91622022421875</v>
      </c>
      <c r="R5" s="185" t="n">
        <v>-3.8404672509375</v>
      </c>
      <c r="S5" s="185" t="n">
        <v>-3.76471427765625</v>
      </c>
      <c r="T5" s="185" t="n">
        <v>-3.688961304375</v>
      </c>
      <c r="U5" s="185" t="n">
        <v>-3.61320833109375</v>
      </c>
      <c r="V5" s="186" t="n">
        <v>-3.5374553578125</v>
      </c>
      <c r="W5" s="185" t="n">
        <v>-3.46170238453125</v>
      </c>
      <c r="X5" s="186" t="n">
        <v>-3.38594941125</v>
      </c>
      <c r="Y5" s="185" t="n">
        <v>-3.31019643796875</v>
      </c>
      <c r="Z5" s="186" t="n">
        <v>-3.2344434646875</v>
      </c>
      <c r="AA5" s="185" t="n">
        <v>-3.15869049140625</v>
      </c>
      <c r="AB5" s="187" t="n">
        <v>-3.082937518125</v>
      </c>
      <c r="AC5" s="185" t="n">
        <v>-3.00718454484375</v>
      </c>
      <c r="AD5" s="187" t="n">
        <v>-2.9314315715625</v>
      </c>
      <c r="AE5" s="185" t="n">
        <v>-2.85567859828125</v>
      </c>
      <c r="AF5" s="185" t="n">
        <v>-2.779925625</v>
      </c>
      <c r="AG5" s="185" t="n">
        <v>-2.7080878125</v>
      </c>
      <c r="AH5" s="185" t="n">
        <v>-2.63625</v>
      </c>
      <c r="AI5" s="185" t="n">
        <v>-2.568125</v>
      </c>
      <c r="AJ5" s="185" t="n">
        <v>-2.5</v>
      </c>
      <c r="AK5" s="185" t="n">
        <v>-2</v>
      </c>
      <c r="AL5" s="185" t="n">
        <v>-1.5</v>
      </c>
      <c r="AM5" s="185" t="n">
        <v>-1</v>
      </c>
      <c r="AN5" s="185" t="n">
        <v>-0.5</v>
      </c>
      <c r="AO5" s="185" t="n">
        <v>0</v>
      </c>
      <c r="AP5" s="185" t="n">
        <v>0.3</v>
      </c>
      <c r="AQ5" s="185" t="n">
        <v>0.6</v>
      </c>
      <c r="AR5" s="185" t="n">
        <v>0.9</v>
      </c>
      <c r="AS5" s="185" t="n">
        <v>1.2</v>
      </c>
      <c r="AT5" s="185" t="n">
        <v>1.5</v>
      </c>
      <c r="AU5" s="185" t="n">
        <v>1.8</v>
      </c>
      <c r="AV5" s="185" t="n">
        <v>2.1</v>
      </c>
      <c r="AW5" s="185" t="n">
        <v>2.385</v>
      </c>
      <c r="AX5" s="185" t="n">
        <v>2.67</v>
      </c>
      <c r="AY5" s="185" t="n">
        <v>2.94075</v>
      </c>
      <c r="AZ5" s="185" t="n">
        <v>3.2115</v>
      </c>
      <c r="BA5" s="185" t="n">
        <v>3.4687125</v>
      </c>
      <c r="BB5" s="185" t="n">
        <v>3.725925</v>
      </c>
      <c r="BC5" s="185" t="n">
        <v>3.970276875</v>
      </c>
      <c r="BD5" s="185" t="n">
        <v>4.21462875</v>
      </c>
      <c r="BE5" s="185" t="n">
        <v>4.44676303125</v>
      </c>
      <c r="BF5" s="185" t="n">
        <v>4.6788973125</v>
      </c>
      <c r="BG5" s="185" t="n">
        <v>4.8994248796875</v>
      </c>
      <c r="BH5" s="185" t="n">
        <v>5.119952446875</v>
      </c>
      <c r="BI5" s="185" t="n">
        <v>5.32945363570312</v>
      </c>
      <c r="BJ5" s="185" t="n">
        <v>5.53895482453125</v>
      </c>
      <c r="BK5" s="185" t="n">
        <v>5.73798095391797</v>
      </c>
      <c r="BL5" s="185" t="n">
        <v>5.93700708330468</v>
      </c>
      <c r="BM5" s="185" t="n">
        <v>6.12608190622207</v>
      </c>
      <c r="BN5" s="185" t="n">
        <v>6.31515672913945</v>
      </c>
      <c r="BO5" s="185" t="n">
        <v>6.49477781091096</v>
      </c>
      <c r="BP5" s="185" t="n">
        <v>6.67439889268248</v>
      </c>
      <c r="BQ5" s="185" t="n">
        <v>6.84503892036542</v>
      </c>
      <c r="BR5" s="185" t="n">
        <v>7.01567894804835</v>
      </c>
      <c r="BS5" s="185" t="n">
        <v>7.17778697434714</v>
      </c>
      <c r="BT5" s="185" t="n">
        <v>7.33989500064593</v>
      </c>
      <c r="BU5" s="185" t="n">
        <v>7.50200302694473</v>
      </c>
      <c r="BV5" s="185" t="n">
        <v>7.66411105324352</v>
      </c>
      <c r="BW5" s="185" t="n">
        <v>7.82621907954231</v>
      </c>
      <c r="BX5" s="185" t="n">
        <v>7.9883271058411</v>
      </c>
      <c r="BY5" s="185" t="n">
        <v>8.15043513213989</v>
      </c>
      <c r="BZ5" s="185" t="n">
        <v>8.31254315843868</v>
      </c>
      <c r="CA5" s="185" t="n">
        <v>8.47465118473747</v>
      </c>
      <c r="CB5" s="185" t="n">
        <v>8.63675921103626</v>
      </c>
      <c r="CC5" s="185" t="n">
        <v>8.79886723733506</v>
      </c>
      <c r="CD5" s="185" t="n">
        <v>8.96097526363385</v>
      </c>
      <c r="CE5" s="185" t="n">
        <v>9.12308328993264</v>
      </c>
      <c r="CF5" s="185" t="n">
        <v>9.28519131623143</v>
      </c>
      <c r="CG5" s="185" t="n">
        <v>9.44729934253023</v>
      </c>
      <c r="CH5" s="185" t="n">
        <v>9.60940736882901</v>
      </c>
      <c r="CI5" s="185" t="n">
        <v>9.77151539512781</v>
      </c>
      <c r="CJ5" s="185" t="n">
        <v>9.9336234214266</v>
      </c>
      <c r="CK5" s="185" t="n">
        <v>10.0957314477254</v>
      </c>
      <c r="CL5" s="185" t="n">
        <v>10.2578394740242</v>
      </c>
      <c r="CM5" s="185" t="n">
        <v>10.419947500323</v>
      </c>
      <c r="CN5" s="185" t="n">
        <v>10.5820555266218</v>
      </c>
      <c r="CO5" s="185" t="n">
        <v>10.7441635529206</v>
      </c>
      <c r="CP5" s="185" t="n">
        <v>10.9062715792193</v>
      </c>
      <c r="CQ5" s="185" t="n">
        <v>11.0683796055182</v>
      </c>
      <c r="CR5" s="185" t="n">
        <v>11.2304876318169</v>
      </c>
      <c r="CS5" s="185" t="n">
        <v>11.3925956581157</v>
      </c>
      <c r="CT5" s="185" t="n">
        <v>11.5547036844145</v>
      </c>
      <c r="CU5" s="185" t="n">
        <v>11.7168117107133</v>
      </c>
      <c r="CV5" s="185" t="n">
        <v>11.8789197370121</v>
      </c>
      <c r="CW5" s="185" t="n">
        <v>12.0410277633109</v>
      </c>
      <c r="CX5" s="185" t="n">
        <v>12.2031357896097</v>
      </c>
      <c r="CY5" s="185" t="n">
        <v>12.3652438159085</v>
      </c>
      <c r="CZ5" s="185" t="n">
        <v>12.5273518422073</v>
      </c>
      <c r="DA5" s="185" t="n">
        <v>12.6894598685061</v>
      </c>
      <c r="DB5" s="185" t="n">
        <v>12.8515678948048</v>
      </c>
      <c r="DC5" s="185" t="n">
        <v>13.0136759211037</v>
      </c>
      <c r="DD5" s="185" t="n">
        <v>13.1757839474024</v>
      </c>
      <c r="DE5" s="185" t="n">
        <v>13.3378919737012</v>
      </c>
      <c r="DF5" s="185" t="n">
        <v>13.5</v>
      </c>
      <c r="DG5" s="185" t="n">
        <v>13.6621080262988</v>
      </c>
      <c r="DH5" s="185" t="n">
        <v>13.8242160525976</v>
      </c>
      <c r="DI5" s="185" t="n">
        <v>13.9863240788964</v>
      </c>
      <c r="DJ5" s="185" t="n">
        <v>14.1484321051952</v>
      </c>
      <c r="DK5" s="185" t="n">
        <v>14.310540131494</v>
      </c>
      <c r="DL5" s="185" t="n">
        <v>14.4726481577928</v>
      </c>
      <c r="DM5" s="185" t="n">
        <v>14.6347561840916</v>
      </c>
      <c r="DN5" s="185" t="n">
        <v>14.7968642103903</v>
      </c>
      <c r="DO5" s="185" t="n">
        <v>14.9589722366892</v>
      </c>
      <c r="DP5" s="185" t="n">
        <v>15.1210802629879</v>
      </c>
      <c r="DQ5" s="185" t="n">
        <v>15.2831882892868</v>
      </c>
      <c r="DR5" s="185" t="n">
        <v>15.4452963155855</v>
      </c>
      <c r="DS5" s="185" t="n">
        <v>15.6074043418843</v>
      </c>
      <c r="DT5" s="185" t="n">
        <v>15.7695123681831</v>
      </c>
      <c r="DU5" s="185" t="n">
        <v>15.9316203944819</v>
      </c>
      <c r="DV5" s="185" t="n">
        <v>16.0937284207807</v>
      </c>
      <c r="DW5" s="185" t="n">
        <v>16.2558364470795</v>
      </c>
      <c r="DX5" s="185" t="n">
        <v>16.4179444733783</v>
      </c>
      <c r="DY5" s="185" t="n">
        <v>16.5800524996771</v>
      </c>
      <c r="DZ5" s="185" t="n">
        <v>16.7421605259758</v>
      </c>
      <c r="EA5" s="185" t="n">
        <v>16.9042685522747</v>
      </c>
      <c r="EB5" s="185" t="n">
        <v>17.0663765785734</v>
      </c>
      <c r="EC5" s="185" t="n">
        <v>17.2284846048723</v>
      </c>
      <c r="ED5" s="185" t="n">
        <v>17.390592631171</v>
      </c>
      <c r="EE5" s="185" t="n">
        <v>17.5527006574698</v>
      </c>
      <c r="EF5" s="185" t="n">
        <v>17.7148086837686</v>
      </c>
      <c r="EG5" s="185" t="n">
        <v>17.8769167100674</v>
      </c>
      <c r="EH5" s="185" t="n">
        <v>18.0390247363662</v>
      </c>
      <c r="EI5" s="185" t="n">
        <v>18.201132762665</v>
      </c>
      <c r="EJ5" s="185" t="n">
        <v>18.3632407889637</v>
      </c>
      <c r="EK5" s="185" t="n">
        <v>18.5253488152626</v>
      </c>
      <c r="EL5" s="180" t="n">
        <v>18.6874568415613</v>
      </c>
      <c r="EM5" s="180" t="n">
        <v>18.8495648678602</v>
      </c>
      <c r="EN5" s="180" t="n">
        <v>19.0116728941589</v>
      </c>
      <c r="EO5" s="180" t="n">
        <v>19.1737809204578</v>
      </c>
      <c r="EP5" s="180" t="n">
        <v>19.3358889467565</v>
      </c>
      <c r="EQ5" s="180" t="n">
        <v>19.4979969730554</v>
      </c>
      <c r="ER5" s="180" t="n">
        <v>19.6601049993541</v>
      </c>
      <c r="ES5" s="180" t="n">
        <v>19.8222130256529</v>
      </c>
      <c r="ET5" s="180" t="n">
        <v>19.9843210519516</v>
      </c>
      <c r="EU5" s="180" t="n">
        <v>20.1464290782505</v>
      </c>
      <c r="EV5" s="180" t="n">
        <v>20.3085371045492</v>
      </c>
      <c r="EW5" s="180" t="n">
        <v>20.4706451308481</v>
      </c>
      <c r="EX5" s="180" t="n">
        <v>20.6327531571468</v>
      </c>
      <c r="EY5" s="180" t="n">
        <v>20.7948611834457</v>
      </c>
      <c r="EZ5" s="180" t="n">
        <v>20.9569692097444</v>
      </c>
      <c r="FA5" s="180" t="n">
        <v>21.1190772360433</v>
      </c>
      <c r="FB5" s="180" t="n">
        <v>21.281185262342</v>
      </c>
      <c r="FC5" s="180" t="n">
        <v>21.4432932886409</v>
      </c>
      <c r="FD5" s="180" t="n">
        <v>21.6054013149396</v>
      </c>
      <c r="FE5" s="180" t="n">
        <v>21.7675093412384</v>
      </c>
      <c r="FF5" s="180" t="n">
        <v>21.9296173675371</v>
      </c>
      <c r="FG5" s="180" t="n">
        <v>22.091725393836</v>
      </c>
      <c r="FH5" s="180" t="n">
        <v>22.2538334201347</v>
      </c>
      <c r="FI5" s="180" t="n">
        <v>22.4159414464336</v>
      </c>
      <c r="FJ5" s="180" t="n">
        <v>22.5780494727323</v>
      </c>
      <c r="FK5" s="180" t="n">
        <v>22.7401574990312</v>
      </c>
      <c r="FL5" s="180" t="n">
        <v>22.9022655253299</v>
      </c>
      <c r="FM5" s="180" t="n">
        <v>23.0643735516288</v>
      </c>
      <c r="FN5" s="180" t="n">
        <v>23.2264815779275</v>
      </c>
      <c r="FO5" s="180" t="n">
        <v>23.3885896042264</v>
      </c>
      <c r="FP5" s="180" t="n">
        <v>23.550697630525</v>
      </c>
      <c r="FQ5" s="180" t="n">
        <v>23.712805656824</v>
      </c>
      <c r="FR5" s="180" t="n">
        <v>23.8749136831226</v>
      </c>
      <c r="FS5" s="180" t="n">
        <v>24.0370217094215</v>
      </c>
      <c r="FT5" s="180" t="n">
        <v>24.1991297357202</v>
      </c>
      <c r="FU5" s="180" t="n">
        <v>24.3612377620191</v>
      </c>
      <c r="FV5" s="180" t="n">
        <v>24.5233457883178</v>
      </c>
      <c r="FW5" s="180" t="n">
        <v>24.6854538146167</v>
      </c>
      <c r="FX5" s="180" t="n">
        <v>24.8475618409154</v>
      </c>
      <c r="FY5" s="180" t="n">
        <v>25.0096698672143</v>
      </c>
      <c r="FZ5" s="180" t="n">
        <v>25.1717778935129</v>
      </c>
      <c r="GA5" s="180" t="n">
        <v>25.3338859198119</v>
      </c>
      <c r="GB5" s="180" t="n">
        <v>25.4959939461105</v>
      </c>
      <c r="GC5" s="180" t="n">
        <v>25.6581019724095</v>
      </c>
      <c r="GD5" s="180" t="n">
        <v>25.8202099987081</v>
      </c>
      <c r="GE5" s="180" t="n">
        <v>25.9823180250071</v>
      </c>
      <c r="GF5" s="180" t="n">
        <v>26.1444260513057</v>
      </c>
      <c r="GG5" s="180" t="n">
        <v>26.3065340776046</v>
      </c>
      <c r="GH5" s="180" t="n">
        <v>26.4686421039033</v>
      </c>
      <c r="GI5" s="180" t="n">
        <v>26.6307501302022</v>
      </c>
      <c r="GJ5" s="180" t="n">
        <v>26.7928581565009</v>
      </c>
      <c r="GK5" s="180" t="n">
        <v>26.9549661827998</v>
      </c>
      <c r="GL5" s="180" t="n">
        <v>27.1170742090984</v>
      </c>
      <c r="GM5" s="180" t="n">
        <v>27.2791822353974</v>
      </c>
      <c r="GN5" s="180" t="n">
        <v>27.441290261696</v>
      </c>
      <c r="GO5" s="180" t="n">
        <v>27.603398287995</v>
      </c>
      <c r="GP5" s="180" t="n">
        <v>27.7655063142936</v>
      </c>
      <c r="GQ5" s="180" t="n">
        <v>27.9276143405926</v>
      </c>
      <c r="GR5" s="180" t="n">
        <v>28.0897223668912</v>
      </c>
      <c r="GS5" s="180" t="n">
        <v>28.2518303931901</v>
      </c>
      <c r="GT5" s="180" t="n">
        <v>28.4139384194888</v>
      </c>
      <c r="GU5" s="180" t="n">
        <v>28.5760464457877</v>
      </c>
      <c r="GV5" s="180" t="n">
        <v>28.7381544720863</v>
      </c>
      <c r="GW5" s="180" t="n">
        <v>28.9002624983853</v>
      </c>
      <c r="GX5" s="180" t="n">
        <v>29.0623705246839</v>
      </c>
      <c r="GY5" s="180" t="n">
        <v>29.2244785509829</v>
      </c>
      <c r="GZ5" s="180" t="n">
        <v>29.3865865772815</v>
      </c>
      <c r="HA5" s="180" t="n">
        <v>29.5486946035805</v>
      </c>
      <c r="HB5" s="180" t="n">
        <v>29.7108026298791</v>
      </c>
      <c r="HC5" s="180" t="n">
        <v>29.8729106561781</v>
      </c>
      <c r="HD5" s="180" t="n">
        <v>30.0350186824767</v>
      </c>
      <c r="HE5" s="180" t="n">
        <v>30.1971267087757</v>
      </c>
      <c r="HF5" s="180" t="n">
        <v>30.3592347350742</v>
      </c>
      <c r="HG5" s="180" t="n">
        <v>30.5213427613732</v>
      </c>
      <c r="HH5" s="180" t="n">
        <v>30.6834507876718</v>
      </c>
      <c r="HI5" s="180" t="n">
        <v>30.8455588139708</v>
      </c>
      <c r="HJ5" s="180" t="n">
        <v>31.0076668402694</v>
      </c>
      <c r="HK5" s="180" t="n">
        <v>31.1697748665684</v>
      </c>
      <c r="HL5" s="180" t="n">
        <v>31.331882892867</v>
      </c>
      <c r="HM5" s="180" t="n">
        <v>31.493990919166</v>
      </c>
      <c r="HN5" s="180" t="n">
        <v>31.6560989454646</v>
      </c>
      <c r="HO5" s="180" t="n">
        <v>31.8182069717636</v>
      </c>
      <c r="HP5" s="180" t="n">
        <v>31.9803149980622</v>
      </c>
      <c r="HQ5" s="180" t="n">
        <v>32.1424230243612</v>
      </c>
      <c r="HR5" s="180" t="n">
        <v>32.3045310506597</v>
      </c>
      <c r="HS5" s="180" t="n">
        <v>32.4666390769588</v>
      </c>
      <c r="HT5" s="180" t="n">
        <v>32.6287471032573</v>
      </c>
      <c r="HU5" s="180" t="n">
        <v>32.7908551295564</v>
      </c>
      <c r="HV5" s="180" t="n">
        <v>32.9529631558549</v>
      </c>
      <c r="HW5" s="180" t="n">
        <v>33.1150711821539</v>
      </c>
      <c r="HX5" s="180" t="n">
        <v>33.2771792084525</v>
      </c>
      <c r="HY5" s="180" t="n">
        <v>33.4392872347515</v>
      </c>
      <c r="HZ5" s="180" t="n">
        <v>33.60139526105</v>
      </c>
      <c r="IA5" s="180" t="n">
        <v>33.7635032873491</v>
      </c>
      <c r="IB5" s="180" t="n">
        <v>33.9256113136476</v>
      </c>
      <c r="IC5" s="180" t="n">
        <v>34.0877193399467</v>
      </c>
      <c r="ID5" s="180" t="n">
        <v>34.2498273662452</v>
      </c>
      <c r="IE5" s="180" t="n">
        <v>34.4119353925443</v>
      </c>
      <c r="IF5" s="180" t="n">
        <v>34.5740434188428</v>
      </c>
      <c r="IG5" s="180" t="n">
        <v>34.7361514451419</v>
      </c>
      <c r="IH5" s="180" t="n">
        <v>34.8982594714404</v>
      </c>
      <c r="II5" s="180" t="n">
        <v>35.0603674977395</v>
      </c>
      <c r="IJ5" s="180" t="n">
        <v>35.2224755240379</v>
      </c>
      <c r="IK5" s="180" t="n">
        <v>35.3845835503371</v>
      </c>
      <c r="IL5" s="180" t="n">
        <v>35.5466915766355</v>
      </c>
      <c r="IM5" s="180" t="n">
        <v>35.7087996029347</v>
      </c>
      <c r="IN5" s="180" t="n">
        <v>35.8709076292331</v>
      </c>
      <c r="IO5" s="180" t="n">
        <v>36.0330156555323</v>
      </c>
      <c r="IP5" s="180" t="n">
        <v>36.1951236818307</v>
      </c>
      <c r="IQ5" s="180" t="n">
        <v>36.3572317081299</v>
      </c>
      <c r="IR5" s="180" t="n">
        <v>36.5193397344282</v>
      </c>
      <c r="IS5" s="180" t="n">
        <v>36.6814477607275</v>
      </c>
      <c r="IT5" s="180" t="n">
        <v>36.8435557870258</v>
      </c>
      <c r="IU5" s="180" t="n">
        <v>37.005663813325</v>
      </c>
      <c r="IV5" s="180" t="n">
        <v>37.1677718396234</v>
      </c>
    </row>
    <row r="6" customFormat="false" ht="12.75" hidden="false" customHeight="false" outlineLevel="0" collapsed="false">
      <c r="A6" s="184" t="n">
        <v>36861</v>
      </c>
      <c r="B6" s="185" t="n">
        <v>-5.0525148234375</v>
      </c>
      <c r="C6" s="185" t="n">
        <v>-4.97676185015626</v>
      </c>
      <c r="D6" s="185" t="n">
        <v>-4.901008876875</v>
      </c>
      <c r="E6" s="185" t="n">
        <v>-4.82525590359376</v>
      </c>
      <c r="F6" s="185" t="n">
        <v>-4.7495029303125</v>
      </c>
      <c r="G6" s="185" t="n">
        <v>-4.67374995703126</v>
      </c>
      <c r="H6" s="185" t="n">
        <v>-4.59799698375</v>
      </c>
      <c r="I6" s="185" t="n">
        <v>-4.52224401046876</v>
      </c>
      <c r="J6" s="185" t="n">
        <v>-4.4464910371875</v>
      </c>
      <c r="K6" s="185" t="n">
        <v>-4.37073806390626</v>
      </c>
      <c r="L6" s="185" t="n">
        <v>-4.294985090625</v>
      </c>
      <c r="M6" s="185" t="n">
        <v>-4.21923211734375</v>
      </c>
      <c r="N6" s="185" t="n">
        <v>-4.1434791440625</v>
      </c>
      <c r="O6" s="185" t="n">
        <v>-4.06772617078125</v>
      </c>
      <c r="P6" s="185" t="n">
        <v>-3.9919731975</v>
      </c>
      <c r="Q6" s="185" t="n">
        <v>-3.91622022421875</v>
      </c>
      <c r="R6" s="185" t="n">
        <v>-3.8404672509375</v>
      </c>
      <c r="S6" s="185" t="n">
        <v>-3.76471427765625</v>
      </c>
      <c r="T6" s="185" t="n">
        <v>-3.688961304375</v>
      </c>
      <c r="U6" s="185" t="n">
        <v>-3.61320833109375</v>
      </c>
      <c r="V6" s="186" t="n">
        <v>-3.5374553578125</v>
      </c>
      <c r="W6" s="185" t="n">
        <v>-3.46170238453125</v>
      </c>
      <c r="X6" s="186" t="n">
        <v>-3.38594941125</v>
      </c>
      <c r="Y6" s="185" t="n">
        <v>-3.31019643796875</v>
      </c>
      <c r="Z6" s="186" t="n">
        <v>-3.2344434646875</v>
      </c>
      <c r="AA6" s="185" t="n">
        <v>-3.15869049140625</v>
      </c>
      <c r="AB6" s="187" t="n">
        <v>-3.082937518125</v>
      </c>
      <c r="AC6" s="185" t="n">
        <v>-3.00718454484375</v>
      </c>
      <c r="AD6" s="187" t="n">
        <v>-2.9314315715625</v>
      </c>
      <c r="AE6" s="185" t="n">
        <v>-2.85567859828125</v>
      </c>
      <c r="AF6" s="185" t="n">
        <v>-2.779925625</v>
      </c>
      <c r="AG6" s="185" t="n">
        <v>-2.7080878125</v>
      </c>
      <c r="AH6" s="185" t="n">
        <v>-2.63625</v>
      </c>
      <c r="AI6" s="185" t="n">
        <v>-2.568125</v>
      </c>
      <c r="AJ6" s="185" t="n">
        <v>-2.5</v>
      </c>
      <c r="AK6" s="185" t="n">
        <v>-2</v>
      </c>
      <c r="AL6" s="185" t="n">
        <v>-1.5</v>
      </c>
      <c r="AM6" s="185" t="n">
        <v>-1</v>
      </c>
      <c r="AN6" s="185" t="n">
        <v>-0.5</v>
      </c>
      <c r="AO6" s="185" t="n">
        <v>0</v>
      </c>
      <c r="AP6" s="185" t="n">
        <v>0.3</v>
      </c>
      <c r="AQ6" s="185" t="n">
        <v>0.6</v>
      </c>
      <c r="AR6" s="185" t="n">
        <v>0.9</v>
      </c>
      <c r="AS6" s="185" t="n">
        <v>1.2</v>
      </c>
      <c r="AT6" s="185" t="n">
        <v>1.5</v>
      </c>
      <c r="AU6" s="185" t="n">
        <v>1.8</v>
      </c>
      <c r="AV6" s="185" t="n">
        <v>2.1</v>
      </c>
      <c r="AW6" s="185" t="n">
        <v>2.385</v>
      </c>
      <c r="AX6" s="185" t="n">
        <v>2.67</v>
      </c>
      <c r="AY6" s="185" t="n">
        <v>2.94075</v>
      </c>
      <c r="AZ6" s="185" t="n">
        <v>3.2115</v>
      </c>
      <c r="BA6" s="185" t="n">
        <v>3.4687125</v>
      </c>
      <c r="BB6" s="185" t="n">
        <v>3.725925</v>
      </c>
      <c r="BC6" s="185" t="n">
        <v>3.970276875</v>
      </c>
      <c r="BD6" s="185" t="n">
        <v>4.21462875</v>
      </c>
      <c r="BE6" s="185" t="n">
        <v>4.44676303125</v>
      </c>
      <c r="BF6" s="185" t="n">
        <v>4.6788973125</v>
      </c>
      <c r="BG6" s="185" t="n">
        <v>4.8994248796875</v>
      </c>
      <c r="BH6" s="185" t="n">
        <v>5.119952446875</v>
      </c>
      <c r="BI6" s="185" t="n">
        <v>5.32945363570312</v>
      </c>
      <c r="BJ6" s="185" t="n">
        <v>5.53895482453125</v>
      </c>
      <c r="BK6" s="185" t="n">
        <v>5.73798095391797</v>
      </c>
      <c r="BL6" s="185" t="n">
        <v>5.93700708330468</v>
      </c>
      <c r="BM6" s="185" t="n">
        <v>6.12608190622207</v>
      </c>
      <c r="BN6" s="185" t="n">
        <v>6.31515672913945</v>
      </c>
      <c r="BO6" s="185" t="n">
        <v>6.49477781091096</v>
      </c>
      <c r="BP6" s="185" t="n">
        <v>6.67439889268248</v>
      </c>
      <c r="BQ6" s="185" t="n">
        <v>6.84503892036542</v>
      </c>
      <c r="BR6" s="185" t="n">
        <v>7.01567894804835</v>
      </c>
      <c r="BS6" s="185" t="n">
        <v>7.17778697434714</v>
      </c>
      <c r="BT6" s="185" t="n">
        <v>7.33989500064593</v>
      </c>
      <c r="BU6" s="185" t="n">
        <v>7.50200302694473</v>
      </c>
      <c r="BV6" s="185" t="n">
        <v>7.66411105324352</v>
      </c>
      <c r="BW6" s="185" t="n">
        <v>7.82621907954231</v>
      </c>
      <c r="BX6" s="185" t="n">
        <v>7.9883271058411</v>
      </c>
      <c r="BY6" s="185" t="n">
        <v>8.15043513213989</v>
      </c>
      <c r="BZ6" s="185" t="n">
        <v>8.31254315843868</v>
      </c>
      <c r="CA6" s="185" t="n">
        <v>8.47465118473747</v>
      </c>
      <c r="CB6" s="185" t="n">
        <v>8.63675921103626</v>
      </c>
      <c r="CC6" s="185" t="n">
        <v>8.79886723733506</v>
      </c>
      <c r="CD6" s="185" t="n">
        <v>8.96097526363385</v>
      </c>
      <c r="CE6" s="185" t="n">
        <v>9.12308328993264</v>
      </c>
      <c r="CF6" s="185" t="n">
        <v>9.28519131623143</v>
      </c>
      <c r="CG6" s="185" t="n">
        <v>9.44729934253023</v>
      </c>
      <c r="CH6" s="185" t="n">
        <v>9.60940736882901</v>
      </c>
      <c r="CI6" s="185" t="n">
        <v>9.77151539512781</v>
      </c>
      <c r="CJ6" s="185" t="n">
        <v>9.9336234214266</v>
      </c>
      <c r="CK6" s="185" t="n">
        <v>10.0957314477254</v>
      </c>
      <c r="CL6" s="185" t="n">
        <v>10.2578394740242</v>
      </c>
      <c r="CM6" s="185" t="n">
        <v>10.419947500323</v>
      </c>
      <c r="CN6" s="185" t="n">
        <v>10.5820555266218</v>
      </c>
      <c r="CO6" s="185" t="n">
        <v>10.7441635529206</v>
      </c>
      <c r="CP6" s="185" t="n">
        <v>10.9062715792193</v>
      </c>
      <c r="CQ6" s="185" t="n">
        <v>11.0683796055182</v>
      </c>
      <c r="CR6" s="185" t="n">
        <v>11.2304876318169</v>
      </c>
      <c r="CS6" s="185" t="n">
        <v>11.3925956581157</v>
      </c>
      <c r="CT6" s="185" t="n">
        <v>11.5547036844145</v>
      </c>
      <c r="CU6" s="185" t="n">
        <v>11.7168117107133</v>
      </c>
      <c r="CV6" s="185" t="n">
        <v>11.8789197370121</v>
      </c>
      <c r="CW6" s="185" t="n">
        <v>12.0410277633109</v>
      </c>
      <c r="CX6" s="185" t="n">
        <v>12.2031357896097</v>
      </c>
      <c r="CY6" s="185" t="n">
        <v>12.3652438159085</v>
      </c>
      <c r="CZ6" s="185" t="n">
        <v>12.5273518422073</v>
      </c>
      <c r="DA6" s="185" t="n">
        <v>12.6894598685061</v>
      </c>
      <c r="DB6" s="185" t="n">
        <v>12.8515678948048</v>
      </c>
      <c r="DC6" s="185" t="n">
        <v>13.0136759211037</v>
      </c>
      <c r="DD6" s="185" t="n">
        <v>13.1757839474024</v>
      </c>
      <c r="DE6" s="185" t="n">
        <v>13.3378919737012</v>
      </c>
      <c r="DF6" s="185" t="n">
        <v>13.5</v>
      </c>
      <c r="DG6" s="185" t="n">
        <v>13.6621080262988</v>
      </c>
      <c r="DH6" s="185" t="n">
        <v>13.8242160525976</v>
      </c>
      <c r="DI6" s="185" t="n">
        <v>13.9863240788964</v>
      </c>
      <c r="DJ6" s="185" t="n">
        <v>14.1484321051952</v>
      </c>
      <c r="DK6" s="185" t="n">
        <v>14.310540131494</v>
      </c>
      <c r="DL6" s="185" t="n">
        <v>14.4726481577928</v>
      </c>
      <c r="DM6" s="185" t="n">
        <v>14.6347561840916</v>
      </c>
      <c r="DN6" s="185" t="n">
        <v>14.7968642103903</v>
      </c>
      <c r="DO6" s="185" t="n">
        <v>14.9589722366892</v>
      </c>
      <c r="DP6" s="185" t="n">
        <v>15.1210802629879</v>
      </c>
      <c r="DQ6" s="185" t="n">
        <v>15.2831882892868</v>
      </c>
      <c r="DR6" s="185" t="n">
        <v>15.4452963155855</v>
      </c>
      <c r="DS6" s="185" t="n">
        <v>15.6074043418843</v>
      </c>
      <c r="DT6" s="185" t="n">
        <v>15.7695123681831</v>
      </c>
      <c r="DU6" s="185" t="n">
        <v>15.9316203944819</v>
      </c>
      <c r="DV6" s="185" t="n">
        <v>16.0937284207807</v>
      </c>
      <c r="DW6" s="185" t="n">
        <v>16.2558364470795</v>
      </c>
      <c r="DX6" s="185" t="n">
        <v>16.4179444733783</v>
      </c>
      <c r="DY6" s="185" t="n">
        <v>16.5800524996771</v>
      </c>
      <c r="DZ6" s="185" t="n">
        <v>16.7421605259758</v>
      </c>
      <c r="EA6" s="185" t="n">
        <v>16.9042685522747</v>
      </c>
      <c r="EB6" s="185" t="n">
        <v>17.0663765785734</v>
      </c>
      <c r="EC6" s="185" t="n">
        <v>17.2284846048723</v>
      </c>
      <c r="ED6" s="185" t="n">
        <v>17.390592631171</v>
      </c>
      <c r="EE6" s="185" t="n">
        <v>17.5527006574698</v>
      </c>
      <c r="EF6" s="185" t="n">
        <v>17.7148086837686</v>
      </c>
      <c r="EG6" s="185" t="n">
        <v>17.8769167100674</v>
      </c>
      <c r="EH6" s="185" t="n">
        <v>18.0390247363662</v>
      </c>
      <c r="EI6" s="185" t="n">
        <v>18.201132762665</v>
      </c>
      <c r="EJ6" s="185" t="n">
        <v>18.3632407889637</v>
      </c>
      <c r="EK6" s="185" t="n">
        <v>18.5253488152626</v>
      </c>
      <c r="EL6" s="180" t="n">
        <v>18.6874568415613</v>
      </c>
      <c r="EM6" s="180" t="n">
        <v>18.8495648678602</v>
      </c>
      <c r="EN6" s="180" t="n">
        <v>19.0116728941589</v>
      </c>
      <c r="EO6" s="180" t="n">
        <v>19.1737809204578</v>
      </c>
      <c r="EP6" s="180" t="n">
        <v>19.3358889467565</v>
      </c>
      <c r="EQ6" s="180" t="n">
        <v>19.4979969730554</v>
      </c>
      <c r="ER6" s="180" t="n">
        <v>19.6601049993541</v>
      </c>
      <c r="ES6" s="180" t="n">
        <v>19.8222130256529</v>
      </c>
      <c r="ET6" s="180" t="n">
        <v>19.9843210519516</v>
      </c>
      <c r="EU6" s="180" t="n">
        <v>20.1464290782505</v>
      </c>
      <c r="EV6" s="180" t="n">
        <v>20.3085371045492</v>
      </c>
      <c r="EW6" s="180" t="n">
        <v>20.4706451308481</v>
      </c>
      <c r="EX6" s="180" t="n">
        <v>20.6327531571468</v>
      </c>
      <c r="EY6" s="180" t="n">
        <v>20.7948611834457</v>
      </c>
      <c r="EZ6" s="180" t="n">
        <v>20.9569692097444</v>
      </c>
      <c r="FA6" s="180" t="n">
        <v>21.1190772360433</v>
      </c>
      <c r="FB6" s="180" t="n">
        <v>21.281185262342</v>
      </c>
      <c r="FC6" s="180" t="n">
        <v>21.4432932886409</v>
      </c>
      <c r="FD6" s="180" t="n">
        <v>21.6054013149396</v>
      </c>
      <c r="FE6" s="180" t="n">
        <v>21.7675093412384</v>
      </c>
      <c r="FF6" s="180" t="n">
        <v>21.9296173675371</v>
      </c>
      <c r="FG6" s="180" t="n">
        <v>22.091725393836</v>
      </c>
      <c r="FH6" s="180" t="n">
        <v>22.2538334201347</v>
      </c>
      <c r="FI6" s="180" t="n">
        <v>22.4159414464336</v>
      </c>
      <c r="FJ6" s="180" t="n">
        <v>22.5780494727323</v>
      </c>
      <c r="FK6" s="180" t="n">
        <v>22.7401574990312</v>
      </c>
      <c r="FL6" s="180" t="n">
        <v>22.9022655253299</v>
      </c>
      <c r="FM6" s="180" t="n">
        <v>23.0643735516288</v>
      </c>
      <c r="FN6" s="180" t="n">
        <v>23.2264815779275</v>
      </c>
      <c r="FO6" s="180" t="n">
        <v>23.3885896042264</v>
      </c>
      <c r="FP6" s="180" t="n">
        <v>23.550697630525</v>
      </c>
      <c r="FQ6" s="180" t="n">
        <v>23.712805656824</v>
      </c>
      <c r="FR6" s="180" t="n">
        <v>23.8749136831226</v>
      </c>
      <c r="FS6" s="180" t="n">
        <v>24.0370217094215</v>
      </c>
      <c r="FT6" s="180" t="n">
        <v>24.1991297357202</v>
      </c>
      <c r="FU6" s="180" t="n">
        <v>24.3612377620191</v>
      </c>
      <c r="FV6" s="180" t="n">
        <v>24.5233457883178</v>
      </c>
      <c r="FW6" s="180" t="n">
        <v>24.6854538146167</v>
      </c>
      <c r="FX6" s="180" t="n">
        <v>24.8475618409154</v>
      </c>
      <c r="FY6" s="180" t="n">
        <v>25.0096698672143</v>
      </c>
      <c r="FZ6" s="180" t="n">
        <v>25.1717778935129</v>
      </c>
      <c r="GA6" s="180" t="n">
        <v>25.3338859198119</v>
      </c>
      <c r="GB6" s="180" t="n">
        <v>25.4959939461105</v>
      </c>
      <c r="GC6" s="180" t="n">
        <v>25.6581019724095</v>
      </c>
      <c r="GD6" s="180" t="n">
        <v>25.8202099987081</v>
      </c>
      <c r="GE6" s="180" t="n">
        <v>25.9823180250071</v>
      </c>
      <c r="GF6" s="180" t="n">
        <v>26.1444260513057</v>
      </c>
      <c r="GG6" s="180" t="n">
        <v>26.3065340776046</v>
      </c>
      <c r="GH6" s="180" t="n">
        <v>26.4686421039033</v>
      </c>
      <c r="GI6" s="180" t="n">
        <v>26.6307501302022</v>
      </c>
      <c r="GJ6" s="180" t="n">
        <v>26.7928581565009</v>
      </c>
      <c r="GK6" s="180" t="n">
        <v>26.9549661827998</v>
      </c>
      <c r="GL6" s="180" t="n">
        <v>27.1170742090984</v>
      </c>
      <c r="GM6" s="180" t="n">
        <v>27.2791822353974</v>
      </c>
      <c r="GN6" s="180" t="n">
        <v>27.441290261696</v>
      </c>
      <c r="GO6" s="180" t="n">
        <v>27.603398287995</v>
      </c>
      <c r="GP6" s="180" t="n">
        <v>27.7655063142936</v>
      </c>
      <c r="GQ6" s="180" t="n">
        <v>27.9276143405926</v>
      </c>
      <c r="GR6" s="180" t="n">
        <v>28.0897223668912</v>
      </c>
      <c r="GS6" s="180" t="n">
        <v>28.2518303931901</v>
      </c>
      <c r="GT6" s="180" t="n">
        <v>28.4139384194888</v>
      </c>
      <c r="GU6" s="180" t="n">
        <v>28.5760464457877</v>
      </c>
      <c r="GV6" s="180" t="n">
        <v>28.7381544720863</v>
      </c>
      <c r="GW6" s="180" t="n">
        <v>28.9002624983853</v>
      </c>
      <c r="GX6" s="180" t="n">
        <v>29.0623705246839</v>
      </c>
      <c r="GY6" s="180" t="n">
        <v>29.2244785509829</v>
      </c>
      <c r="GZ6" s="180" t="n">
        <v>29.3865865772815</v>
      </c>
      <c r="HA6" s="180" t="n">
        <v>29.5486946035805</v>
      </c>
      <c r="HB6" s="180" t="n">
        <v>29.7108026298791</v>
      </c>
      <c r="HC6" s="180" t="n">
        <v>29.8729106561781</v>
      </c>
      <c r="HD6" s="180" t="n">
        <v>30.0350186824767</v>
      </c>
      <c r="HE6" s="180" t="n">
        <v>30.1971267087757</v>
      </c>
      <c r="HF6" s="180" t="n">
        <v>30.3592347350742</v>
      </c>
      <c r="HG6" s="180" t="n">
        <v>30.5213427613732</v>
      </c>
      <c r="HH6" s="180" t="n">
        <v>30.6834507876718</v>
      </c>
      <c r="HI6" s="180" t="n">
        <v>30.8455588139708</v>
      </c>
      <c r="HJ6" s="180" t="n">
        <v>31.0076668402694</v>
      </c>
      <c r="HK6" s="180" t="n">
        <v>31.1697748665684</v>
      </c>
      <c r="HL6" s="180" t="n">
        <v>31.331882892867</v>
      </c>
      <c r="HM6" s="180" t="n">
        <v>31.493990919166</v>
      </c>
      <c r="HN6" s="180" t="n">
        <v>31.6560989454646</v>
      </c>
      <c r="HO6" s="180" t="n">
        <v>31.8182069717636</v>
      </c>
      <c r="HP6" s="180" t="n">
        <v>31.9803149980622</v>
      </c>
      <c r="HQ6" s="180" t="n">
        <v>32.1424230243612</v>
      </c>
      <c r="HR6" s="180" t="n">
        <v>32.3045310506597</v>
      </c>
      <c r="HS6" s="180" t="n">
        <v>32.4666390769588</v>
      </c>
      <c r="HT6" s="180" t="n">
        <v>32.6287471032573</v>
      </c>
      <c r="HU6" s="180" t="n">
        <v>32.7908551295564</v>
      </c>
      <c r="HV6" s="180" t="n">
        <v>32.9529631558549</v>
      </c>
      <c r="HW6" s="180" t="n">
        <v>33.1150711821539</v>
      </c>
      <c r="HX6" s="180" t="n">
        <v>33.2771792084525</v>
      </c>
      <c r="HY6" s="180" t="n">
        <v>33.4392872347515</v>
      </c>
      <c r="HZ6" s="180" t="n">
        <v>33.60139526105</v>
      </c>
      <c r="IA6" s="180" t="n">
        <v>33.7635032873491</v>
      </c>
      <c r="IB6" s="180" t="n">
        <v>33.9256113136476</v>
      </c>
      <c r="IC6" s="180" t="n">
        <v>34.0877193399467</v>
      </c>
      <c r="ID6" s="180" t="n">
        <v>34.2498273662452</v>
      </c>
      <c r="IE6" s="180" t="n">
        <v>34.4119353925443</v>
      </c>
      <c r="IF6" s="180" t="n">
        <v>34.5740434188428</v>
      </c>
      <c r="IG6" s="180" t="n">
        <v>34.7361514451419</v>
      </c>
      <c r="IH6" s="180" t="n">
        <v>34.8982594714404</v>
      </c>
      <c r="II6" s="180" t="n">
        <v>35.0603674977395</v>
      </c>
      <c r="IJ6" s="180" t="n">
        <v>35.2224755240379</v>
      </c>
      <c r="IK6" s="180" t="n">
        <v>35.3845835503371</v>
      </c>
      <c r="IL6" s="180" t="n">
        <v>35.5466915766355</v>
      </c>
      <c r="IM6" s="180" t="n">
        <v>35.7087996029347</v>
      </c>
      <c r="IN6" s="180" t="n">
        <v>35.8709076292331</v>
      </c>
      <c r="IO6" s="180" t="n">
        <v>36.0330156555323</v>
      </c>
      <c r="IP6" s="180" t="n">
        <v>36.1951236818307</v>
      </c>
      <c r="IQ6" s="180" t="n">
        <v>36.3572317081299</v>
      </c>
      <c r="IR6" s="180" t="n">
        <v>36.5193397344282</v>
      </c>
      <c r="IS6" s="180" t="n">
        <v>36.6814477607275</v>
      </c>
      <c r="IT6" s="180" t="n">
        <v>36.8435557870258</v>
      </c>
      <c r="IU6" s="180" t="n">
        <v>37.005663813325</v>
      </c>
      <c r="IV6" s="180" t="n">
        <v>37.1677718396234</v>
      </c>
    </row>
    <row r="7" customFormat="false" ht="12.75" hidden="false" customHeight="false" outlineLevel="0" collapsed="false">
      <c r="A7" s="184" t="n">
        <v>36892</v>
      </c>
      <c r="B7" s="185" t="n">
        <v>-5.0525148234375</v>
      </c>
      <c r="C7" s="185" t="n">
        <v>-4.97676185015626</v>
      </c>
      <c r="D7" s="185" t="n">
        <v>-4.901008876875</v>
      </c>
      <c r="E7" s="185" t="n">
        <v>-4.82525590359376</v>
      </c>
      <c r="F7" s="185" t="n">
        <v>-4.7495029303125</v>
      </c>
      <c r="G7" s="185" t="n">
        <v>-4.67374995703126</v>
      </c>
      <c r="H7" s="185" t="n">
        <v>-4.59799698375</v>
      </c>
      <c r="I7" s="185" t="n">
        <v>-4.52224401046876</v>
      </c>
      <c r="J7" s="185" t="n">
        <v>-4.4464910371875</v>
      </c>
      <c r="K7" s="185" t="n">
        <v>-4.37073806390626</v>
      </c>
      <c r="L7" s="185" t="n">
        <v>-4.294985090625</v>
      </c>
      <c r="M7" s="185" t="n">
        <v>-4.21923211734375</v>
      </c>
      <c r="N7" s="185" t="n">
        <v>-4.1434791440625</v>
      </c>
      <c r="O7" s="185" t="n">
        <v>-4.06772617078125</v>
      </c>
      <c r="P7" s="185" t="n">
        <v>-3.9919731975</v>
      </c>
      <c r="Q7" s="185" t="n">
        <v>-3.91622022421875</v>
      </c>
      <c r="R7" s="185" t="n">
        <v>-3.8404672509375</v>
      </c>
      <c r="S7" s="185" t="n">
        <v>-3.76471427765625</v>
      </c>
      <c r="T7" s="185" t="n">
        <v>-3.688961304375</v>
      </c>
      <c r="U7" s="185" t="n">
        <v>-3.61320833109375</v>
      </c>
      <c r="V7" s="186" t="n">
        <v>-3.5374553578125</v>
      </c>
      <c r="W7" s="185" t="n">
        <v>-3.46170238453125</v>
      </c>
      <c r="X7" s="186" t="n">
        <v>-3.38594941125</v>
      </c>
      <c r="Y7" s="185" t="n">
        <v>-3.31019643796875</v>
      </c>
      <c r="Z7" s="186" t="n">
        <v>-3.2344434646875</v>
      </c>
      <c r="AA7" s="185" t="n">
        <v>-3.15869049140625</v>
      </c>
      <c r="AB7" s="187" t="n">
        <v>-3.082937518125</v>
      </c>
      <c r="AC7" s="185" t="n">
        <v>-3.00718454484375</v>
      </c>
      <c r="AD7" s="187" t="n">
        <v>-2.9314315715625</v>
      </c>
      <c r="AE7" s="185" t="n">
        <v>-2.85567859828125</v>
      </c>
      <c r="AF7" s="185" t="n">
        <v>-2.779925625</v>
      </c>
      <c r="AG7" s="185" t="n">
        <v>-2.7080878125</v>
      </c>
      <c r="AH7" s="185" t="n">
        <v>-2.63625</v>
      </c>
      <c r="AI7" s="185" t="n">
        <v>-2.568125</v>
      </c>
      <c r="AJ7" s="185" t="n">
        <v>-2.5</v>
      </c>
      <c r="AK7" s="185" t="n">
        <v>-2</v>
      </c>
      <c r="AL7" s="185" t="n">
        <v>-1.5</v>
      </c>
      <c r="AM7" s="185" t="n">
        <v>-1</v>
      </c>
      <c r="AN7" s="185" t="n">
        <v>-0.5</v>
      </c>
      <c r="AO7" s="185" t="n">
        <v>0</v>
      </c>
      <c r="AP7" s="185" t="n">
        <v>0.3</v>
      </c>
      <c r="AQ7" s="185" t="n">
        <v>0.6</v>
      </c>
      <c r="AR7" s="185" t="n">
        <v>0.9</v>
      </c>
      <c r="AS7" s="185" t="n">
        <v>1.2</v>
      </c>
      <c r="AT7" s="185" t="n">
        <v>1.5</v>
      </c>
      <c r="AU7" s="185" t="n">
        <v>1.8</v>
      </c>
      <c r="AV7" s="185" t="n">
        <v>2.1</v>
      </c>
      <c r="AW7" s="185" t="n">
        <v>2.385</v>
      </c>
      <c r="AX7" s="185" t="n">
        <v>2.67</v>
      </c>
      <c r="AY7" s="185" t="n">
        <v>2.94075</v>
      </c>
      <c r="AZ7" s="185" t="n">
        <v>3.2115</v>
      </c>
      <c r="BA7" s="185" t="n">
        <v>3.4687125</v>
      </c>
      <c r="BB7" s="185" t="n">
        <v>3.725925</v>
      </c>
      <c r="BC7" s="185" t="n">
        <v>3.970276875</v>
      </c>
      <c r="BD7" s="185" t="n">
        <v>4.21462875</v>
      </c>
      <c r="BE7" s="185" t="n">
        <v>4.44676303125</v>
      </c>
      <c r="BF7" s="185" t="n">
        <v>4.6788973125</v>
      </c>
      <c r="BG7" s="185" t="n">
        <v>4.8994248796875</v>
      </c>
      <c r="BH7" s="185" t="n">
        <v>5.119952446875</v>
      </c>
      <c r="BI7" s="185" t="n">
        <v>5.32945363570312</v>
      </c>
      <c r="BJ7" s="185" t="n">
        <v>5.53895482453125</v>
      </c>
      <c r="BK7" s="185" t="n">
        <v>5.73798095391797</v>
      </c>
      <c r="BL7" s="185" t="n">
        <v>5.93700708330468</v>
      </c>
      <c r="BM7" s="185" t="n">
        <v>6.12608190622207</v>
      </c>
      <c r="BN7" s="185" t="n">
        <v>6.31515672913945</v>
      </c>
      <c r="BO7" s="185" t="n">
        <v>6.49477781091096</v>
      </c>
      <c r="BP7" s="185" t="n">
        <v>6.67439889268248</v>
      </c>
      <c r="BQ7" s="185" t="n">
        <v>6.84503892036542</v>
      </c>
      <c r="BR7" s="185" t="n">
        <v>7.01567894804835</v>
      </c>
      <c r="BS7" s="185" t="n">
        <v>7.17778697434714</v>
      </c>
      <c r="BT7" s="185" t="n">
        <v>7.33989500064593</v>
      </c>
      <c r="BU7" s="185" t="n">
        <v>7.50200302694473</v>
      </c>
      <c r="BV7" s="185" t="n">
        <v>7.66411105324352</v>
      </c>
      <c r="BW7" s="185" t="n">
        <v>7.82621907954231</v>
      </c>
      <c r="BX7" s="185" t="n">
        <v>7.9883271058411</v>
      </c>
      <c r="BY7" s="185" t="n">
        <v>8.15043513213989</v>
      </c>
      <c r="BZ7" s="185" t="n">
        <v>8.31254315843868</v>
      </c>
      <c r="CA7" s="185" t="n">
        <v>8.47465118473747</v>
      </c>
      <c r="CB7" s="185" t="n">
        <v>8.63675921103626</v>
      </c>
      <c r="CC7" s="185" t="n">
        <v>8.79886723733506</v>
      </c>
      <c r="CD7" s="185" t="n">
        <v>8.96097526363385</v>
      </c>
      <c r="CE7" s="185" t="n">
        <v>9.12308328993264</v>
      </c>
      <c r="CF7" s="185" t="n">
        <v>9.28519131623143</v>
      </c>
      <c r="CG7" s="185" t="n">
        <v>9.44729934253023</v>
      </c>
      <c r="CH7" s="185" t="n">
        <v>9.60940736882901</v>
      </c>
      <c r="CI7" s="185" t="n">
        <v>9.77151539512781</v>
      </c>
      <c r="CJ7" s="185" t="n">
        <v>9.9336234214266</v>
      </c>
      <c r="CK7" s="185" t="n">
        <v>10.0957314477254</v>
      </c>
      <c r="CL7" s="185" t="n">
        <v>10.2578394740242</v>
      </c>
      <c r="CM7" s="185" t="n">
        <v>10.419947500323</v>
      </c>
      <c r="CN7" s="185" t="n">
        <v>10.5820555266218</v>
      </c>
      <c r="CO7" s="185" t="n">
        <v>10.7441635529206</v>
      </c>
      <c r="CP7" s="185" t="n">
        <v>10.9062715792193</v>
      </c>
      <c r="CQ7" s="185" t="n">
        <v>11.0683796055182</v>
      </c>
      <c r="CR7" s="185" t="n">
        <v>11.2304876318169</v>
      </c>
      <c r="CS7" s="185" t="n">
        <v>11.3925956581157</v>
      </c>
      <c r="CT7" s="185" t="n">
        <v>11.5547036844145</v>
      </c>
      <c r="CU7" s="185" t="n">
        <v>11.7168117107133</v>
      </c>
      <c r="CV7" s="185" t="n">
        <v>11.8789197370121</v>
      </c>
      <c r="CW7" s="185" t="n">
        <v>12.0410277633109</v>
      </c>
      <c r="CX7" s="185" t="n">
        <v>12.2031357896097</v>
      </c>
      <c r="CY7" s="185" t="n">
        <v>12.3652438159085</v>
      </c>
      <c r="CZ7" s="185" t="n">
        <v>12.5273518422073</v>
      </c>
      <c r="DA7" s="185" t="n">
        <v>12.6894598685061</v>
      </c>
      <c r="DB7" s="185" t="n">
        <v>12.8515678948048</v>
      </c>
      <c r="DC7" s="185" t="n">
        <v>13.0136759211037</v>
      </c>
      <c r="DD7" s="185" t="n">
        <v>13.1757839474024</v>
      </c>
      <c r="DE7" s="185" t="n">
        <v>13.3378919737012</v>
      </c>
      <c r="DF7" s="185" t="n">
        <v>13.5</v>
      </c>
      <c r="DG7" s="185" t="n">
        <v>13.6621080262988</v>
      </c>
      <c r="DH7" s="185" t="n">
        <v>13.8242160525976</v>
      </c>
      <c r="DI7" s="185" t="n">
        <v>13.9863240788964</v>
      </c>
      <c r="DJ7" s="185" t="n">
        <v>14.1484321051952</v>
      </c>
      <c r="DK7" s="185" t="n">
        <v>14.310540131494</v>
      </c>
      <c r="DL7" s="185" t="n">
        <v>14.4726481577928</v>
      </c>
      <c r="DM7" s="185" t="n">
        <v>14.6347561840916</v>
      </c>
      <c r="DN7" s="185" t="n">
        <v>14.7968642103903</v>
      </c>
      <c r="DO7" s="185" t="n">
        <v>14.9589722366892</v>
      </c>
      <c r="DP7" s="185" t="n">
        <v>15.1210802629879</v>
      </c>
      <c r="DQ7" s="185" t="n">
        <v>15.2831882892868</v>
      </c>
      <c r="DR7" s="185" t="n">
        <v>15.4452963155855</v>
      </c>
      <c r="DS7" s="185" t="n">
        <v>15.6074043418843</v>
      </c>
      <c r="DT7" s="185" t="n">
        <v>15.7695123681831</v>
      </c>
      <c r="DU7" s="185" t="n">
        <v>15.9316203944819</v>
      </c>
      <c r="DV7" s="185" t="n">
        <v>16.0937284207807</v>
      </c>
      <c r="DW7" s="185" t="n">
        <v>16.2558364470795</v>
      </c>
      <c r="DX7" s="185" t="n">
        <v>16.4179444733783</v>
      </c>
      <c r="DY7" s="185" t="n">
        <v>16.5800524996771</v>
      </c>
      <c r="DZ7" s="185" t="n">
        <v>16.7421605259758</v>
      </c>
      <c r="EA7" s="185" t="n">
        <v>16.9042685522747</v>
      </c>
      <c r="EB7" s="185" t="n">
        <v>17.0663765785734</v>
      </c>
      <c r="EC7" s="185" t="n">
        <v>17.2284846048723</v>
      </c>
      <c r="ED7" s="185" t="n">
        <v>17.390592631171</v>
      </c>
      <c r="EE7" s="185" t="n">
        <v>17.5527006574698</v>
      </c>
      <c r="EF7" s="185" t="n">
        <v>17.7148086837686</v>
      </c>
      <c r="EG7" s="185" t="n">
        <v>17.8769167100674</v>
      </c>
      <c r="EH7" s="185" t="n">
        <v>18.0390247363662</v>
      </c>
      <c r="EI7" s="185" t="n">
        <v>18.201132762665</v>
      </c>
      <c r="EJ7" s="185" t="n">
        <v>18.3632407889637</v>
      </c>
      <c r="EK7" s="185" t="n">
        <v>18.5253488152626</v>
      </c>
      <c r="EL7" s="180" t="n">
        <v>18.6874568415613</v>
      </c>
      <c r="EM7" s="180" t="n">
        <v>18.8495648678602</v>
      </c>
      <c r="EN7" s="180" t="n">
        <v>19.0116728941589</v>
      </c>
      <c r="EO7" s="180" t="n">
        <v>19.1737809204578</v>
      </c>
      <c r="EP7" s="180" t="n">
        <v>19.3358889467565</v>
      </c>
      <c r="EQ7" s="180" t="n">
        <v>19.4979969730554</v>
      </c>
      <c r="ER7" s="180" t="n">
        <v>19.6601049993541</v>
      </c>
      <c r="ES7" s="180" t="n">
        <v>19.8222130256529</v>
      </c>
      <c r="ET7" s="180" t="n">
        <v>19.9843210519516</v>
      </c>
      <c r="EU7" s="180" t="n">
        <v>20.1464290782505</v>
      </c>
      <c r="EV7" s="180" t="n">
        <v>20.3085371045492</v>
      </c>
      <c r="EW7" s="180" t="n">
        <v>20.4706451308481</v>
      </c>
      <c r="EX7" s="180" t="n">
        <v>20.6327531571468</v>
      </c>
      <c r="EY7" s="180" t="n">
        <v>20.7948611834457</v>
      </c>
      <c r="EZ7" s="180" t="n">
        <v>20.9569692097444</v>
      </c>
      <c r="FA7" s="180" t="n">
        <v>21.1190772360433</v>
      </c>
      <c r="FB7" s="180" t="n">
        <v>21.281185262342</v>
      </c>
      <c r="FC7" s="180" t="n">
        <v>21.4432932886409</v>
      </c>
      <c r="FD7" s="180" t="n">
        <v>21.6054013149396</v>
      </c>
      <c r="FE7" s="180" t="n">
        <v>21.7675093412384</v>
      </c>
      <c r="FF7" s="180" t="n">
        <v>21.9296173675371</v>
      </c>
      <c r="FG7" s="180" t="n">
        <v>22.091725393836</v>
      </c>
      <c r="FH7" s="180" t="n">
        <v>22.2538334201347</v>
      </c>
      <c r="FI7" s="180" t="n">
        <v>22.4159414464336</v>
      </c>
      <c r="FJ7" s="180" t="n">
        <v>22.5780494727323</v>
      </c>
      <c r="FK7" s="180" t="n">
        <v>22.7401574990312</v>
      </c>
      <c r="FL7" s="180" t="n">
        <v>22.9022655253299</v>
      </c>
      <c r="FM7" s="180" t="n">
        <v>23.0643735516288</v>
      </c>
      <c r="FN7" s="180" t="n">
        <v>23.2264815779275</v>
      </c>
      <c r="FO7" s="180" t="n">
        <v>23.3885896042264</v>
      </c>
      <c r="FP7" s="180" t="n">
        <v>23.550697630525</v>
      </c>
      <c r="FQ7" s="180" t="n">
        <v>23.712805656824</v>
      </c>
      <c r="FR7" s="180" t="n">
        <v>23.8749136831226</v>
      </c>
      <c r="FS7" s="180" t="n">
        <v>24.0370217094215</v>
      </c>
      <c r="FT7" s="180" t="n">
        <v>24.1991297357202</v>
      </c>
      <c r="FU7" s="180" t="n">
        <v>24.3612377620191</v>
      </c>
      <c r="FV7" s="180" t="n">
        <v>24.5233457883178</v>
      </c>
      <c r="FW7" s="180" t="n">
        <v>24.6854538146167</v>
      </c>
      <c r="FX7" s="180" t="n">
        <v>24.8475618409154</v>
      </c>
      <c r="FY7" s="180" t="n">
        <v>25.0096698672143</v>
      </c>
      <c r="FZ7" s="180" t="n">
        <v>25.1717778935129</v>
      </c>
      <c r="GA7" s="180" t="n">
        <v>25.3338859198119</v>
      </c>
      <c r="GB7" s="180" t="n">
        <v>25.4959939461105</v>
      </c>
      <c r="GC7" s="180" t="n">
        <v>25.6581019724095</v>
      </c>
      <c r="GD7" s="180" t="n">
        <v>25.8202099987081</v>
      </c>
      <c r="GE7" s="180" t="n">
        <v>25.9823180250071</v>
      </c>
      <c r="GF7" s="180" t="n">
        <v>26.1444260513057</v>
      </c>
      <c r="GG7" s="180" t="n">
        <v>26.3065340776046</v>
      </c>
      <c r="GH7" s="180" t="n">
        <v>26.4686421039033</v>
      </c>
      <c r="GI7" s="180" t="n">
        <v>26.6307501302022</v>
      </c>
      <c r="GJ7" s="180" t="n">
        <v>26.7928581565009</v>
      </c>
      <c r="GK7" s="180" t="n">
        <v>26.9549661827998</v>
      </c>
      <c r="GL7" s="180" t="n">
        <v>27.1170742090984</v>
      </c>
      <c r="GM7" s="180" t="n">
        <v>27.2791822353974</v>
      </c>
      <c r="GN7" s="180" t="n">
        <v>27.441290261696</v>
      </c>
      <c r="GO7" s="180" t="n">
        <v>27.603398287995</v>
      </c>
      <c r="GP7" s="180" t="n">
        <v>27.7655063142936</v>
      </c>
      <c r="GQ7" s="180" t="n">
        <v>27.9276143405926</v>
      </c>
      <c r="GR7" s="180" t="n">
        <v>28.0897223668912</v>
      </c>
      <c r="GS7" s="180" t="n">
        <v>28.2518303931901</v>
      </c>
      <c r="GT7" s="180" t="n">
        <v>28.4139384194888</v>
      </c>
      <c r="GU7" s="180" t="n">
        <v>28.5760464457877</v>
      </c>
      <c r="GV7" s="180" t="n">
        <v>28.7381544720863</v>
      </c>
      <c r="GW7" s="180" t="n">
        <v>28.9002624983853</v>
      </c>
      <c r="GX7" s="180" t="n">
        <v>29.0623705246839</v>
      </c>
      <c r="GY7" s="180" t="n">
        <v>29.2244785509829</v>
      </c>
      <c r="GZ7" s="180" t="n">
        <v>29.3865865772815</v>
      </c>
      <c r="HA7" s="180" t="n">
        <v>29.5486946035805</v>
      </c>
      <c r="HB7" s="180" t="n">
        <v>29.7108026298791</v>
      </c>
      <c r="HC7" s="180" t="n">
        <v>29.8729106561781</v>
      </c>
      <c r="HD7" s="180" t="n">
        <v>30.0350186824767</v>
      </c>
      <c r="HE7" s="180" t="n">
        <v>30.1971267087757</v>
      </c>
      <c r="HF7" s="180" t="n">
        <v>30.3592347350742</v>
      </c>
      <c r="HG7" s="180" t="n">
        <v>30.5213427613732</v>
      </c>
      <c r="HH7" s="180" t="n">
        <v>30.6834507876718</v>
      </c>
      <c r="HI7" s="180" t="n">
        <v>30.8455588139708</v>
      </c>
      <c r="HJ7" s="180" t="n">
        <v>31.0076668402694</v>
      </c>
      <c r="HK7" s="180" t="n">
        <v>31.1697748665684</v>
      </c>
      <c r="HL7" s="180" t="n">
        <v>31.331882892867</v>
      </c>
      <c r="HM7" s="180" t="n">
        <v>31.493990919166</v>
      </c>
      <c r="HN7" s="180" t="n">
        <v>31.6560989454646</v>
      </c>
      <c r="HO7" s="180" t="n">
        <v>31.8182069717636</v>
      </c>
      <c r="HP7" s="180" t="n">
        <v>31.9803149980622</v>
      </c>
      <c r="HQ7" s="180" t="n">
        <v>32.1424230243612</v>
      </c>
      <c r="HR7" s="180" t="n">
        <v>32.3045310506597</v>
      </c>
      <c r="HS7" s="180" t="n">
        <v>32.4666390769588</v>
      </c>
      <c r="HT7" s="180" t="n">
        <v>32.6287471032573</v>
      </c>
      <c r="HU7" s="180" t="n">
        <v>32.7908551295564</v>
      </c>
      <c r="HV7" s="180" t="n">
        <v>32.9529631558549</v>
      </c>
      <c r="HW7" s="180" t="n">
        <v>33.1150711821539</v>
      </c>
      <c r="HX7" s="180" t="n">
        <v>33.2771792084525</v>
      </c>
      <c r="HY7" s="180" t="n">
        <v>33.4392872347515</v>
      </c>
      <c r="HZ7" s="180" t="n">
        <v>33.60139526105</v>
      </c>
      <c r="IA7" s="180" t="n">
        <v>33.7635032873491</v>
      </c>
      <c r="IB7" s="180" t="n">
        <v>33.9256113136476</v>
      </c>
      <c r="IC7" s="180" t="n">
        <v>34.0877193399467</v>
      </c>
      <c r="ID7" s="180" t="n">
        <v>34.2498273662452</v>
      </c>
      <c r="IE7" s="180" t="n">
        <v>34.4119353925443</v>
      </c>
      <c r="IF7" s="180" t="n">
        <v>34.5740434188428</v>
      </c>
      <c r="IG7" s="180" t="n">
        <v>34.7361514451419</v>
      </c>
      <c r="IH7" s="180" t="n">
        <v>34.8982594714404</v>
      </c>
      <c r="II7" s="180" t="n">
        <v>35.0603674977395</v>
      </c>
      <c r="IJ7" s="180" t="n">
        <v>35.2224755240379</v>
      </c>
      <c r="IK7" s="180" t="n">
        <v>35.3845835503371</v>
      </c>
      <c r="IL7" s="180" t="n">
        <v>35.5466915766355</v>
      </c>
      <c r="IM7" s="180" t="n">
        <v>35.7087996029347</v>
      </c>
      <c r="IN7" s="180" t="n">
        <v>35.8709076292331</v>
      </c>
      <c r="IO7" s="180" t="n">
        <v>36.0330156555323</v>
      </c>
      <c r="IP7" s="180" t="n">
        <v>36.1951236818307</v>
      </c>
      <c r="IQ7" s="180" t="n">
        <v>36.3572317081299</v>
      </c>
      <c r="IR7" s="180" t="n">
        <v>36.5193397344282</v>
      </c>
      <c r="IS7" s="180" t="n">
        <v>36.6814477607275</v>
      </c>
      <c r="IT7" s="180" t="n">
        <v>36.8435557870258</v>
      </c>
      <c r="IU7" s="180" t="n">
        <v>37.005663813325</v>
      </c>
      <c r="IV7" s="180" t="n">
        <v>37.1677718396234</v>
      </c>
    </row>
    <row r="8" customFormat="false" ht="12.75" hidden="false" customHeight="false" outlineLevel="0" collapsed="false">
      <c r="A8" s="184" t="n">
        <v>36923</v>
      </c>
      <c r="B8" s="185" t="n">
        <v>-5.0525148234375</v>
      </c>
      <c r="C8" s="185" t="n">
        <v>-4.97676185015626</v>
      </c>
      <c r="D8" s="185" t="n">
        <v>-4.901008876875</v>
      </c>
      <c r="E8" s="185" t="n">
        <v>-4.82525590359376</v>
      </c>
      <c r="F8" s="185" t="n">
        <v>-4.7495029303125</v>
      </c>
      <c r="G8" s="185" t="n">
        <v>-4.67374995703126</v>
      </c>
      <c r="H8" s="185" t="n">
        <v>-4.59799698375</v>
      </c>
      <c r="I8" s="185" t="n">
        <v>-4.52224401046876</v>
      </c>
      <c r="J8" s="185" t="n">
        <v>-4.4464910371875</v>
      </c>
      <c r="K8" s="185" t="n">
        <v>-4.37073806390626</v>
      </c>
      <c r="L8" s="185" t="n">
        <v>-4.294985090625</v>
      </c>
      <c r="M8" s="185" t="n">
        <v>-4.21923211734375</v>
      </c>
      <c r="N8" s="185" t="n">
        <v>-4.1434791440625</v>
      </c>
      <c r="O8" s="185" t="n">
        <v>-4.06772617078125</v>
      </c>
      <c r="P8" s="185" t="n">
        <v>-3.9919731975</v>
      </c>
      <c r="Q8" s="185" t="n">
        <v>-3.91622022421875</v>
      </c>
      <c r="R8" s="185" t="n">
        <v>-3.8404672509375</v>
      </c>
      <c r="S8" s="185" t="n">
        <v>-3.76471427765625</v>
      </c>
      <c r="T8" s="185" t="n">
        <v>-3.688961304375</v>
      </c>
      <c r="U8" s="185" t="n">
        <v>-3.61320833109375</v>
      </c>
      <c r="V8" s="186" t="n">
        <v>-3.5374553578125</v>
      </c>
      <c r="W8" s="185" t="n">
        <v>-3.46170238453125</v>
      </c>
      <c r="X8" s="186" t="n">
        <v>-3.38594941125</v>
      </c>
      <c r="Y8" s="185" t="n">
        <v>-3.31019643796875</v>
      </c>
      <c r="Z8" s="186" t="n">
        <v>-3.2344434646875</v>
      </c>
      <c r="AA8" s="185" t="n">
        <v>-3.15869049140625</v>
      </c>
      <c r="AB8" s="187" t="n">
        <v>-3.082937518125</v>
      </c>
      <c r="AC8" s="185" t="n">
        <v>-3.00718454484375</v>
      </c>
      <c r="AD8" s="187" t="n">
        <v>-2.9314315715625</v>
      </c>
      <c r="AE8" s="185" t="n">
        <v>-2.85567859828125</v>
      </c>
      <c r="AF8" s="185" t="n">
        <v>-2.779925625</v>
      </c>
      <c r="AG8" s="185" t="n">
        <v>-2.7080878125</v>
      </c>
      <c r="AH8" s="185" t="n">
        <v>-2.63625</v>
      </c>
      <c r="AI8" s="185" t="n">
        <v>-2.568125</v>
      </c>
      <c r="AJ8" s="185" t="n">
        <v>-2.5</v>
      </c>
      <c r="AK8" s="185" t="n">
        <v>-2</v>
      </c>
      <c r="AL8" s="185" t="n">
        <v>-1.5</v>
      </c>
      <c r="AM8" s="185" t="n">
        <v>-1</v>
      </c>
      <c r="AN8" s="185" t="n">
        <v>-0.5</v>
      </c>
      <c r="AO8" s="185" t="n">
        <v>0</v>
      </c>
      <c r="AP8" s="185" t="n">
        <v>0.3</v>
      </c>
      <c r="AQ8" s="185" t="n">
        <v>0.6</v>
      </c>
      <c r="AR8" s="185" t="n">
        <v>0.9</v>
      </c>
      <c r="AS8" s="185" t="n">
        <v>1.2</v>
      </c>
      <c r="AT8" s="185" t="n">
        <v>1.5</v>
      </c>
      <c r="AU8" s="185" t="n">
        <v>1.8</v>
      </c>
      <c r="AV8" s="185" t="n">
        <v>2.1</v>
      </c>
      <c r="AW8" s="185" t="n">
        <v>2.385</v>
      </c>
      <c r="AX8" s="185" t="n">
        <v>2.67</v>
      </c>
      <c r="AY8" s="185" t="n">
        <v>2.94075</v>
      </c>
      <c r="AZ8" s="185" t="n">
        <v>3.2115</v>
      </c>
      <c r="BA8" s="185" t="n">
        <v>3.4687125</v>
      </c>
      <c r="BB8" s="185" t="n">
        <v>3.725925</v>
      </c>
      <c r="BC8" s="185" t="n">
        <v>3.970276875</v>
      </c>
      <c r="BD8" s="185" t="n">
        <v>4.21462875</v>
      </c>
      <c r="BE8" s="185" t="n">
        <v>4.44676303125</v>
      </c>
      <c r="BF8" s="185" t="n">
        <v>4.6788973125</v>
      </c>
      <c r="BG8" s="185" t="n">
        <v>4.8994248796875</v>
      </c>
      <c r="BH8" s="185" t="n">
        <v>5.119952446875</v>
      </c>
      <c r="BI8" s="185" t="n">
        <v>5.32945363570312</v>
      </c>
      <c r="BJ8" s="185" t="n">
        <v>5.53895482453125</v>
      </c>
      <c r="BK8" s="185" t="n">
        <v>5.73798095391797</v>
      </c>
      <c r="BL8" s="185" t="n">
        <v>5.93700708330468</v>
      </c>
      <c r="BM8" s="185" t="n">
        <v>6.12608190622207</v>
      </c>
      <c r="BN8" s="185" t="n">
        <v>6.31515672913945</v>
      </c>
      <c r="BO8" s="185" t="n">
        <v>6.49477781091096</v>
      </c>
      <c r="BP8" s="185" t="n">
        <v>6.67439889268248</v>
      </c>
      <c r="BQ8" s="185" t="n">
        <v>6.84503892036542</v>
      </c>
      <c r="BR8" s="185" t="n">
        <v>7.01567894804835</v>
      </c>
      <c r="BS8" s="185" t="n">
        <v>7.17778697434714</v>
      </c>
      <c r="BT8" s="185" t="n">
        <v>7.33989500064593</v>
      </c>
      <c r="BU8" s="185" t="n">
        <v>7.50200302694473</v>
      </c>
      <c r="BV8" s="185" t="n">
        <v>7.66411105324352</v>
      </c>
      <c r="BW8" s="185" t="n">
        <v>7.82621907954231</v>
      </c>
      <c r="BX8" s="185" t="n">
        <v>7.9883271058411</v>
      </c>
      <c r="BY8" s="185" t="n">
        <v>8.15043513213989</v>
      </c>
      <c r="BZ8" s="185" t="n">
        <v>8.31254315843868</v>
      </c>
      <c r="CA8" s="185" t="n">
        <v>8.47465118473747</v>
      </c>
      <c r="CB8" s="185" t="n">
        <v>8.63675921103626</v>
      </c>
      <c r="CC8" s="185" t="n">
        <v>8.79886723733506</v>
      </c>
      <c r="CD8" s="185" t="n">
        <v>8.96097526363385</v>
      </c>
      <c r="CE8" s="185" t="n">
        <v>9.12308328993264</v>
      </c>
      <c r="CF8" s="185" t="n">
        <v>9.28519131623143</v>
      </c>
      <c r="CG8" s="185" t="n">
        <v>9.44729934253023</v>
      </c>
      <c r="CH8" s="185" t="n">
        <v>9.60940736882901</v>
      </c>
      <c r="CI8" s="185" t="n">
        <v>9.77151539512781</v>
      </c>
      <c r="CJ8" s="185" t="n">
        <v>9.9336234214266</v>
      </c>
      <c r="CK8" s="185" t="n">
        <v>10.0957314477254</v>
      </c>
      <c r="CL8" s="185" t="n">
        <v>10.2578394740242</v>
      </c>
      <c r="CM8" s="185" t="n">
        <v>10.419947500323</v>
      </c>
      <c r="CN8" s="185" t="n">
        <v>10.5820555266218</v>
      </c>
      <c r="CO8" s="185" t="n">
        <v>10.7441635529206</v>
      </c>
      <c r="CP8" s="185" t="n">
        <v>10.9062715792193</v>
      </c>
      <c r="CQ8" s="185" t="n">
        <v>11.0683796055182</v>
      </c>
      <c r="CR8" s="185" t="n">
        <v>11.2304876318169</v>
      </c>
      <c r="CS8" s="185" t="n">
        <v>11.3925956581157</v>
      </c>
      <c r="CT8" s="185" t="n">
        <v>11.5547036844145</v>
      </c>
      <c r="CU8" s="185" t="n">
        <v>11.7168117107133</v>
      </c>
      <c r="CV8" s="185" t="n">
        <v>11.8789197370121</v>
      </c>
      <c r="CW8" s="185" t="n">
        <v>12.0410277633109</v>
      </c>
      <c r="CX8" s="185" t="n">
        <v>12.2031357896097</v>
      </c>
      <c r="CY8" s="185" t="n">
        <v>12.3652438159085</v>
      </c>
      <c r="CZ8" s="185" t="n">
        <v>12.5273518422073</v>
      </c>
      <c r="DA8" s="185" t="n">
        <v>12.6894598685061</v>
      </c>
      <c r="DB8" s="185" t="n">
        <v>12.8515678948048</v>
      </c>
      <c r="DC8" s="185" t="n">
        <v>13.0136759211037</v>
      </c>
      <c r="DD8" s="185" t="n">
        <v>13.1757839474024</v>
      </c>
      <c r="DE8" s="185" t="n">
        <v>13.3378919737012</v>
      </c>
      <c r="DF8" s="185" t="n">
        <v>13.5</v>
      </c>
      <c r="DG8" s="185" t="n">
        <v>13.6621080262988</v>
      </c>
      <c r="DH8" s="185" t="n">
        <v>13.8242160525976</v>
      </c>
      <c r="DI8" s="185" t="n">
        <v>13.9863240788964</v>
      </c>
      <c r="DJ8" s="185" t="n">
        <v>14.1484321051952</v>
      </c>
      <c r="DK8" s="185" t="n">
        <v>14.310540131494</v>
      </c>
      <c r="DL8" s="185" t="n">
        <v>14.4726481577928</v>
      </c>
      <c r="DM8" s="185" t="n">
        <v>14.6347561840916</v>
      </c>
      <c r="DN8" s="185" t="n">
        <v>14.7968642103903</v>
      </c>
      <c r="DO8" s="185" t="n">
        <v>14.9589722366892</v>
      </c>
      <c r="DP8" s="185" t="n">
        <v>15.1210802629879</v>
      </c>
      <c r="DQ8" s="185" t="n">
        <v>15.2831882892868</v>
      </c>
      <c r="DR8" s="185" t="n">
        <v>15.4452963155855</v>
      </c>
      <c r="DS8" s="185" t="n">
        <v>15.6074043418843</v>
      </c>
      <c r="DT8" s="185" t="n">
        <v>15.7695123681831</v>
      </c>
      <c r="DU8" s="185" t="n">
        <v>15.9316203944819</v>
      </c>
      <c r="DV8" s="185" t="n">
        <v>16.0937284207807</v>
      </c>
      <c r="DW8" s="185" t="n">
        <v>16.2558364470795</v>
      </c>
      <c r="DX8" s="185" t="n">
        <v>16.4179444733783</v>
      </c>
      <c r="DY8" s="185" t="n">
        <v>16.5800524996771</v>
      </c>
      <c r="DZ8" s="185" t="n">
        <v>16.7421605259758</v>
      </c>
      <c r="EA8" s="185" t="n">
        <v>16.9042685522747</v>
      </c>
      <c r="EB8" s="185" t="n">
        <v>17.0663765785734</v>
      </c>
      <c r="EC8" s="185" t="n">
        <v>17.2284846048723</v>
      </c>
      <c r="ED8" s="185" t="n">
        <v>17.390592631171</v>
      </c>
      <c r="EE8" s="185" t="n">
        <v>17.5527006574698</v>
      </c>
      <c r="EF8" s="185" t="n">
        <v>17.7148086837686</v>
      </c>
      <c r="EG8" s="185" t="n">
        <v>17.8769167100674</v>
      </c>
      <c r="EH8" s="185" t="n">
        <v>18.0390247363662</v>
      </c>
      <c r="EI8" s="185" t="n">
        <v>18.201132762665</v>
      </c>
      <c r="EJ8" s="185" t="n">
        <v>18.3632407889637</v>
      </c>
      <c r="EK8" s="185" t="n">
        <v>18.5253488152626</v>
      </c>
      <c r="EL8" s="180" t="n">
        <v>18.6874568415613</v>
      </c>
      <c r="EM8" s="180" t="n">
        <v>18.8495648678602</v>
      </c>
      <c r="EN8" s="180" t="n">
        <v>19.0116728941589</v>
      </c>
      <c r="EO8" s="180" t="n">
        <v>19.1737809204578</v>
      </c>
      <c r="EP8" s="180" t="n">
        <v>19.3358889467565</v>
      </c>
      <c r="EQ8" s="180" t="n">
        <v>19.4979969730554</v>
      </c>
      <c r="ER8" s="180" t="n">
        <v>19.6601049993541</v>
      </c>
      <c r="ES8" s="180" t="n">
        <v>19.8222130256529</v>
      </c>
      <c r="ET8" s="180" t="n">
        <v>19.9843210519516</v>
      </c>
      <c r="EU8" s="180" t="n">
        <v>20.1464290782505</v>
      </c>
      <c r="EV8" s="180" t="n">
        <v>20.3085371045492</v>
      </c>
      <c r="EW8" s="180" t="n">
        <v>20.4706451308481</v>
      </c>
      <c r="EX8" s="180" t="n">
        <v>20.6327531571468</v>
      </c>
      <c r="EY8" s="180" t="n">
        <v>20.7948611834457</v>
      </c>
      <c r="EZ8" s="180" t="n">
        <v>20.9569692097444</v>
      </c>
      <c r="FA8" s="180" t="n">
        <v>21.1190772360433</v>
      </c>
      <c r="FB8" s="180" t="n">
        <v>21.281185262342</v>
      </c>
      <c r="FC8" s="180" t="n">
        <v>21.4432932886409</v>
      </c>
      <c r="FD8" s="180" t="n">
        <v>21.6054013149396</v>
      </c>
      <c r="FE8" s="180" t="n">
        <v>21.7675093412384</v>
      </c>
      <c r="FF8" s="180" t="n">
        <v>21.9296173675371</v>
      </c>
      <c r="FG8" s="180" t="n">
        <v>22.091725393836</v>
      </c>
      <c r="FH8" s="180" t="n">
        <v>22.2538334201347</v>
      </c>
      <c r="FI8" s="180" t="n">
        <v>22.4159414464336</v>
      </c>
      <c r="FJ8" s="180" t="n">
        <v>22.5780494727323</v>
      </c>
      <c r="FK8" s="180" t="n">
        <v>22.7401574990312</v>
      </c>
      <c r="FL8" s="180" t="n">
        <v>22.9022655253299</v>
      </c>
      <c r="FM8" s="180" t="n">
        <v>23.0643735516288</v>
      </c>
      <c r="FN8" s="180" t="n">
        <v>23.2264815779275</v>
      </c>
      <c r="FO8" s="180" t="n">
        <v>23.3885896042264</v>
      </c>
      <c r="FP8" s="180" t="n">
        <v>23.550697630525</v>
      </c>
      <c r="FQ8" s="180" t="n">
        <v>23.712805656824</v>
      </c>
      <c r="FR8" s="180" t="n">
        <v>23.8749136831226</v>
      </c>
      <c r="FS8" s="180" t="n">
        <v>24.0370217094215</v>
      </c>
      <c r="FT8" s="180" t="n">
        <v>24.1991297357202</v>
      </c>
      <c r="FU8" s="180" t="n">
        <v>24.3612377620191</v>
      </c>
      <c r="FV8" s="180" t="n">
        <v>24.5233457883178</v>
      </c>
      <c r="FW8" s="180" t="n">
        <v>24.6854538146167</v>
      </c>
      <c r="FX8" s="180" t="n">
        <v>24.8475618409154</v>
      </c>
      <c r="FY8" s="180" t="n">
        <v>25.0096698672143</v>
      </c>
      <c r="FZ8" s="180" t="n">
        <v>25.1717778935129</v>
      </c>
      <c r="GA8" s="180" t="n">
        <v>25.3338859198119</v>
      </c>
      <c r="GB8" s="180" t="n">
        <v>25.4959939461105</v>
      </c>
      <c r="GC8" s="180" t="n">
        <v>25.6581019724095</v>
      </c>
      <c r="GD8" s="180" t="n">
        <v>25.8202099987081</v>
      </c>
      <c r="GE8" s="180" t="n">
        <v>25.9823180250071</v>
      </c>
      <c r="GF8" s="180" t="n">
        <v>26.1444260513057</v>
      </c>
      <c r="GG8" s="180" t="n">
        <v>26.3065340776046</v>
      </c>
      <c r="GH8" s="180" t="n">
        <v>26.4686421039033</v>
      </c>
      <c r="GI8" s="180" t="n">
        <v>26.6307501302022</v>
      </c>
      <c r="GJ8" s="180" t="n">
        <v>26.7928581565009</v>
      </c>
      <c r="GK8" s="180" t="n">
        <v>26.9549661827998</v>
      </c>
      <c r="GL8" s="180" t="n">
        <v>27.1170742090984</v>
      </c>
      <c r="GM8" s="180" t="n">
        <v>27.2791822353974</v>
      </c>
      <c r="GN8" s="180" t="n">
        <v>27.441290261696</v>
      </c>
      <c r="GO8" s="180" t="n">
        <v>27.603398287995</v>
      </c>
      <c r="GP8" s="180" t="n">
        <v>27.7655063142936</v>
      </c>
      <c r="GQ8" s="180" t="n">
        <v>27.9276143405926</v>
      </c>
      <c r="GR8" s="180" t="n">
        <v>28.0897223668912</v>
      </c>
      <c r="GS8" s="180" t="n">
        <v>28.2518303931901</v>
      </c>
      <c r="GT8" s="180" t="n">
        <v>28.4139384194888</v>
      </c>
      <c r="GU8" s="180" t="n">
        <v>28.5760464457877</v>
      </c>
      <c r="GV8" s="180" t="n">
        <v>28.7381544720863</v>
      </c>
      <c r="GW8" s="180" t="n">
        <v>28.9002624983853</v>
      </c>
      <c r="GX8" s="180" t="n">
        <v>29.0623705246839</v>
      </c>
      <c r="GY8" s="180" t="n">
        <v>29.2244785509829</v>
      </c>
      <c r="GZ8" s="180" t="n">
        <v>29.3865865772815</v>
      </c>
      <c r="HA8" s="180" t="n">
        <v>29.5486946035805</v>
      </c>
      <c r="HB8" s="180" t="n">
        <v>29.7108026298791</v>
      </c>
      <c r="HC8" s="180" t="n">
        <v>29.8729106561781</v>
      </c>
      <c r="HD8" s="180" t="n">
        <v>30.0350186824767</v>
      </c>
      <c r="HE8" s="180" t="n">
        <v>30.1971267087757</v>
      </c>
      <c r="HF8" s="180" t="n">
        <v>30.3592347350742</v>
      </c>
      <c r="HG8" s="180" t="n">
        <v>30.5213427613732</v>
      </c>
      <c r="HH8" s="180" t="n">
        <v>30.6834507876718</v>
      </c>
      <c r="HI8" s="180" t="n">
        <v>30.8455588139708</v>
      </c>
      <c r="HJ8" s="180" t="n">
        <v>31.0076668402694</v>
      </c>
      <c r="HK8" s="180" t="n">
        <v>31.1697748665684</v>
      </c>
      <c r="HL8" s="180" t="n">
        <v>31.331882892867</v>
      </c>
      <c r="HM8" s="180" t="n">
        <v>31.493990919166</v>
      </c>
      <c r="HN8" s="180" t="n">
        <v>31.6560989454646</v>
      </c>
      <c r="HO8" s="180" t="n">
        <v>31.8182069717636</v>
      </c>
      <c r="HP8" s="180" t="n">
        <v>31.9803149980622</v>
      </c>
      <c r="HQ8" s="180" t="n">
        <v>32.1424230243612</v>
      </c>
      <c r="HR8" s="180" t="n">
        <v>32.3045310506597</v>
      </c>
      <c r="HS8" s="180" t="n">
        <v>32.4666390769588</v>
      </c>
      <c r="HT8" s="180" t="n">
        <v>32.6287471032573</v>
      </c>
      <c r="HU8" s="180" t="n">
        <v>32.7908551295564</v>
      </c>
      <c r="HV8" s="180" t="n">
        <v>32.9529631558549</v>
      </c>
      <c r="HW8" s="180" t="n">
        <v>33.1150711821539</v>
      </c>
      <c r="HX8" s="180" t="n">
        <v>33.2771792084525</v>
      </c>
      <c r="HY8" s="180" t="n">
        <v>33.4392872347515</v>
      </c>
      <c r="HZ8" s="180" t="n">
        <v>33.60139526105</v>
      </c>
      <c r="IA8" s="180" t="n">
        <v>33.7635032873491</v>
      </c>
      <c r="IB8" s="180" t="n">
        <v>33.9256113136476</v>
      </c>
      <c r="IC8" s="180" t="n">
        <v>34.0877193399467</v>
      </c>
      <c r="ID8" s="180" t="n">
        <v>34.2498273662452</v>
      </c>
      <c r="IE8" s="180" t="n">
        <v>34.4119353925443</v>
      </c>
      <c r="IF8" s="180" t="n">
        <v>34.5740434188428</v>
      </c>
      <c r="IG8" s="180" t="n">
        <v>34.7361514451419</v>
      </c>
      <c r="IH8" s="180" t="n">
        <v>34.8982594714404</v>
      </c>
      <c r="II8" s="180" t="n">
        <v>35.0603674977395</v>
      </c>
      <c r="IJ8" s="180" t="n">
        <v>35.2224755240379</v>
      </c>
      <c r="IK8" s="180" t="n">
        <v>35.3845835503371</v>
      </c>
      <c r="IL8" s="180" t="n">
        <v>35.5466915766355</v>
      </c>
      <c r="IM8" s="180" t="n">
        <v>35.7087996029347</v>
      </c>
      <c r="IN8" s="180" t="n">
        <v>35.8709076292331</v>
      </c>
      <c r="IO8" s="180" t="n">
        <v>36.0330156555323</v>
      </c>
      <c r="IP8" s="180" t="n">
        <v>36.1951236818307</v>
      </c>
      <c r="IQ8" s="180" t="n">
        <v>36.3572317081299</v>
      </c>
      <c r="IR8" s="180" t="n">
        <v>36.5193397344282</v>
      </c>
      <c r="IS8" s="180" t="n">
        <v>36.6814477607275</v>
      </c>
      <c r="IT8" s="180" t="n">
        <v>36.8435557870258</v>
      </c>
      <c r="IU8" s="180" t="n">
        <v>37.005663813325</v>
      </c>
      <c r="IV8" s="180" t="n">
        <v>37.1677718396234</v>
      </c>
    </row>
    <row r="9" customFormat="false" ht="12.75" hidden="false" customHeight="false" outlineLevel="0" collapsed="false">
      <c r="A9" s="184" t="n">
        <v>36951</v>
      </c>
      <c r="B9" s="185" t="n">
        <v>-5.0525148234375</v>
      </c>
      <c r="C9" s="185" t="n">
        <v>-4.97676185015626</v>
      </c>
      <c r="D9" s="185" t="n">
        <v>-4.901008876875</v>
      </c>
      <c r="E9" s="185" t="n">
        <v>-4.82525590359376</v>
      </c>
      <c r="F9" s="185" t="n">
        <v>-4.7495029303125</v>
      </c>
      <c r="G9" s="185" t="n">
        <v>-4.67374995703126</v>
      </c>
      <c r="H9" s="185" t="n">
        <v>-4.59799698375</v>
      </c>
      <c r="I9" s="185" t="n">
        <v>-4.52224401046876</v>
      </c>
      <c r="J9" s="185" t="n">
        <v>-4.4464910371875</v>
      </c>
      <c r="K9" s="185" t="n">
        <v>-4.37073806390626</v>
      </c>
      <c r="L9" s="185" t="n">
        <v>-4.294985090625</v>
      </c>
      <c r="M9" s="185" t="n">
        <v>-4.21923211734375</v>
      </c>
      <c r="N9" s="185" t="n">
        <v>-4.1434791440625</v>
      </c>
      <c r="O9" s="185" t="n">
        <v>-4.06772617078125</v>
      </c>
      <c r="P9" s="185" t="n">
        <v>-3.9919731975</v>
      </c>
      <c r="Q9" s="185" t="n">
        <v>-3.91622022421875</v>
      </c>
      <c r="R9" s="185" t="n">
        <v>-3.8404672509375</v>
      </c>
      <c r="S9" s="185" t="n">
        <v>-3.76471427765625</v>
      </c>
      <c r="T9" s="185" t="n">
        <v>-3.688961304375</v>
      </c>
      <c r="U9" s="185" t="n">
        <v>-3.61320833109375</v>
      </c>
      <c r="V9" s="186" t="n">
        <v>-3.5374553578125</v>
      </c>
      <c r="W9" s="185" t="n">
        <v>-3.46170238453125</v>
      </c>
      <c r="X9" s="186" t="n">
        <v>-3.38594941125</v>
      </c>
      <c r="Y9" s="185" t="n">
        <v>-3.31019643796875</v>
      </c>
      <c r="Z9" s="186" t="n">
        <v>-3.2344434646875</v>
      </c>
      <c r="AA9" s="185" t="n">
        <v>-3.15869049140625</v>
      </c>
      <c r="AB9" s="187" t="n">
        <v>-3.082937518125</v>
      </c>
      <c r="AC9" s="185" t="n">
        <v>-3.00718454484375</v>
      </c>
      <c r="AD9" s="187" t="n">
        <v>-2.9314315715625</v>
      </c>
      <c r="AE9" s="185" t="n">
        <v>-2.85567859828125</v>
      </c>
      <c r="AF9" s="185" t="n">
        <v>-2.779925625</v>
      </c>
      <c r="AG9" s="185" t="n">
        <v>-2.7080878125</v>
      </c>
      <c r="AH9" s="185" t="n">
        <v>-2.63625</v>
      </c>
      <c r="AI9" s="185" t="n">
        <v>-2.568125</v>
      </c>
      <c r="AJ9" s="185" t="n">
        <v>-2.5</v>
      </c>
      <c r="AK9" s="185" t="n">
        <v>-2</v>
      </c>
      <c r="AL9" s="185" t="n">
        <v>-1.5</v>
      </c>
      <c r="AM9" s="185" t="n">
        <v>-1</v>
      </c>
      <c r="AN9" s="185" t="n">
        <v>-0.5</v>
      </c>
      <c r="AO9" s="185" t="n">
        <v>0</v>
      </c>
      <c r="AP9" s="185" t="n">
        <v>0.3</v>
      </c>
      <c r="AQ9" s="185" t="n">
        <v>0.6</v>
      </c>
      <c r="AR9" s="185" t="n">
        <v>0.9</v>
      </c>
      <c r="AS9" s="185" t="n">
        <v>1.2</v>
      </c>
      <c r="AT9" s="185" t="n">
        <v>1.5</v>
      </c>
      <c r="AU9" s="185" t="n">
        <v>1.8</v>
      </c>
      <c r="AV9" s="185" t="n">
        <v>2.1</v>
      </c>
      <c r="AW9" s="185" t="n">
        <v>2.385</v>
      </c>
      <c r="AX9" s="185" t="n">
        <v>2.67</v>
      </c>
      <c r="AY9" s="185" t="n">
        <v>2.94075</v>
      </c>
      <c r="AZ9" s="185" t="n">
        <v>3.2115</v>
      </c>
      <c r="BA9" s="185" t="n">
        <v>3.4687125</v>
      </c>
      <c r="BB9" s="185" t="n">
        <v>3.725925</v>
      </c>
      <c r="BC9" s="185" t="n">
        <v>3.970276875</v>
      </c>
      <c r="BD9" s="185" t="n">
        <v>4.21462875</v>
      </c>
      <c r="BE9" s="185" t="n">
        <v>4.44676303125</v>
      </c>
      <c r="BF9" s="185" t="n">
        <v>4.6788973125</v>
      </c>
      <c r="BG9" s="185" t="n">
        <v>4.8994248796875</v>
      </c>
      <c r="BH9" s="185" t="n">
        <v>5.119952446875</v>
      </c>
      <c r="BI9" s="185" t="n">
        <v>5.32945363570312</v>
      </c>
      <c r="BJ9" s="185" t="n">
        <v>5.53895482453125</v>
      </c>
      <c r="BK9" s="185" t="n">
        <v>5.73798095391797</v>
      </c>
      <c r="BL9" s="185" t="n">
        <v>5.93700708330468</v>
      </c>
      <c r="BM9" s="185" t="n">
        <v>6.12608190622207</v>
      </c>
      <c r="BN9" s="185" t="n">
        <v>6.31515672913945</v>
      </c>
      <c r="BO9" s="185" t="n">
        <v>6.49477781091096</v>
      </c>
      <c r="BP9" s="185" t="n">
        <v>6.67439889268248</v>
      </c>
      <c r="BQ9" s="185" t="n">
        <v>6.84503892036542</v>
      </c>
      <c r="BR9" s="185" t="n">
        <v>7.01567894804835</v>
      </c>
      <c r="BS9" s="185" t="n">
        <v>7.17778697434714</v>
      </c>
      <c r="BT9" s="185" t="n">
        <v>7.33989500064593</v>
      </c>
      <c r="BU9" s="185" t="n">
        <v>7.50200302694473</v>
      </c>
      <c r="BV9" s="185" t="n">
        <v>7.66411105324352</v>
      </c>
      <c r="BW9" s="185" t="n">
        <v>7.82621907954231</v>
      </c>
      <c r="BX9" s="185" t="n">
        <v>7.9883271058411</v>
      </c>
      <c r="BY9" s="185" t="n">
        <v>8.15043513213989</v>
      </c>
      <c r="BZ9" s="185" t="n">
        <v>8.31254315843868</v>
      </c>
      <c r="CA9" s="185" t="n">
        <v>8.47465118473747</v>
      </c>
      <c r="CB9" s="185" t="n">
        <v>8.63675921103626</v>
      </c>
      <c r="CC9" s="185" t="n">
        <v>8.79886723733506</v>
      </c>
      <c r="CD9" s="185" t="n">
        <v>8.96097526363385</v>
      </c>
      <c r="CE9" s="185" t="n">
        <v>9.12308328993264</v>
      </c>
      <c r="CF9" s="185" t="n">
        <v>9.28519131623143</v>
      </c>
      <c r="CG9" s="185" t="n">
        <v>9.44729934253023</v>
      </c>
      <c r="CH9" s="185" t="n">
        <v>9.60940736882901</v>
      </c>
      <c r="CI9" s="185" t="n">
        <v>9.77151539512781</v>
      </c>
      <c r="CJ9" s="185" t="n">
        <v>9.9336234214266</v>
      </c>
      <c r="CK9" s="185" t="n">
        <v>10.0957314477254</v>
      </c>
      <c r="CL9" s="185" t="n">
        <v>10.2578394740242</v>
      </c>
      <c r="CM9" s="185" t="n">
        <v>10.419947500323</v>
      </c>
      <c r="CN9" s="185" t="n">
        <v>10.5820555266218</v>
      </c>
      <c r="CO9" s="185" t="n">
        <v>10.7441635529206</v>
      </c>
      <c r="CP9" s="185" t="n">
        <v>10.9062715792193</v>
      </c>
      <c r="CQ9" s="185" t="n">
        <v>11.0683796055182</v>
      </c>
      <c r="CR9" s="185" t="n">
        <v>11.2304876318169</v>
      </c>
      <c r="CS9" s="185" t="n">
        <v>11.3925956581157</v>
      </c>
      <c r="CT9" s="185" t="n">
        <v>11.5547036844145</v>
      </c>
      <c r="CU9" s="185" t="n">
        <v>11.7168117107133</v>
      </c>
      <c r="CV9" s="185" t="n">
        <v>11.8789197370121</v>
      </c>
      <c r="CW9" s="185" t="n">
        <v>12.0410277633109</v>
      </c>
      <c r="CX9" s="185" t="n">
        <v>12.2031357896097</v>
      </c>
      <c r="CY9" s="185" t="n">
        <v>12.3652438159085</v>
      </c>
      <c r="CZ9" s="185" t="n">
        <v>12.5273518422073</v>
      </c>
      <c r="DA9" s="185" t="n">
        <v>12.6894598685061</v>
      </c>
      <c r="DB9" s="185" t="n">
        <v>12.8515678948048</v>
      </c>
      <c r="DC9" s="185" t="n">
        <v>13.0136759211037</v>
      </c>
      <c r="DD9" s="185" t="n">
        <v>13.1757839474024</v>
      </c>
      <c r="DE9" s="185" t="n">
        <v>13.3378919737012</v>
      </c>
      <c r="DF9" s="185" t="n">
        <v>13.5</v>
      </c>
      <c r="DG9" s="185" t="n">
        <v>13.6621080262988</v>
      </c>
      <c r="DH9" s="185" t="n">
        <v>13.8242160525976</v>
      </c>
      <c r="DI9" s="185" t="n">
        <v>13.9863240788964</v>
      </c>
      <c r="DJ9" s="185" t="n">
        <v>14.1484321051952</v>
      </c>
      <c r="DK9" s="185" t="n">
        <v>14.310540131494</v>
      </c>
      <c r="DL9" s="185" t="n">
        <v>14.4726481577928</v>
      </c>
      <c r="DM9" s="185" t="n">
        <v>14.6347561840916</v>
      </c>
      <c r="DN9" s="185" t="n">
        <v>14.7968642103903</v>
      </c>
      <c r="DO9" s="185" t="n">
        <v>14.9589722366892</v>
      </c>
      <c r="DP9" s="185" t="n">
        <v>15.1210802629879</v>
      </c>
      <c r="DQ9" s="185" t="n">
        <v>15.2831882892868</v>
      </c>
      <c r="DR9" s="185" t="n">
        <v>15.4452963155855</v>
      </c>
      <c r="DS9" s="185" t="n">
        <v>15.6074043418843</v>
      </c>
      <c r="DT9" s="185" t="n">
        <v>15.7695123681831</v>
      </c>
      <c r="DU9" s="185" t="n">
        <v>15.9316203944819</v>
      </c>
      <c r="DV9" s="185" t="n">
        <v>16.0937284207807</v>
      </c>
      <c r="DW9" s="185" t="n">
        <v>16.2558364470795</v>
      </c>
      <c r="DX9" s="185" t="n">
        <v>16.4179444733783</v>
      </c>
      <c r="DY9" s="185" t="n">
        <v>16.5800524996771</v>
      </c>
      <c r="DZ9" s="185" t="n">
        <v>16.7421605259758</v>
      </c>
      <c r="EA9" s="185" t="n">
        <v>16.9042685522747</v>
      </c>
      <c r="EB9" s="185" t="n">
        <v>17.0663765785734</v>
      </c>
      <c r="EC9" s="185" t="n">
        <v>17.2284846048723</v>
      </c>
      <c r="ED9" s="185" t="n">
        <v>17.390592631171</v>
      </c>
      <c r="EE9" s="185" t="n">
        <v>17.5527006574698</v>
      </c>
      <c r="EF9" s="185" t="n">
        <v>17.7148086837686</v>
      </c>
      <c r="EG9" s="185" t="n">
        <v>17.8769167100674</v>
      </c>
      <c r="EH9" s="185" t="n">
        <v>18.0390247363662</v>
      </c>
      <c r="EI9" s="185" t="n">
        <v>18.201132762665</v>
      </c>
      <c r="EJ9" s="185" t="n">
        <v>18.3632407889637</v>
      </c>
      <c r="EK9" s="185" t="n">
        <v>18.5253488152626</v>
      </c>
      <c r="EL9" s="180" t="n">
        <v>18.6874568415613</v>
      </c>
      <c r="EM9" s="180" t="n">
        <v>18.8495648678602</v>
      </c>
      <c r="EN9" s="180" t="n">
        <v>19.0116728941589</v>
      </c>
      <c r="EO9" s="180" t="n">
        <v>19.1737809204578</v>
      </c>
      <c r="EP9" s="180" t="n">
        <v>19.3358889467565</v>
      </c>
      <c r="EQ9" s="180" t="n">
        <v>19.4979969730554</v>
      </c>
      <c r="ER9" s="180" t="n">
        <v>19.6601049993541</v>
      </c>
      <c r="ES9" s="180" t="n">
        <v>19.8222130256529</v>
      </c>
      <c r="ET9" s="180" t="n">
        <v>19.9843210519516</v>
      </c>
      <c r="EU9" s="180" t="n">
        <v>20.1464290782505</v>
      </c>
      <c r="EV9" s="180" t="n">
        <v>20.3085371045492</v>
      </c>
      <c r="EW9" s="180" t="n">
        <v>20.4706451308481</v>
      </c>
      <c r="EX9" s="180" t="n">
        <v>20.6327531571468</v>
      </c>
      <c r="EY9" s="180" t="n">
        <v>20.7948611834457</v>
      </c>
      <c r="EZ9" s="180" t="n">
        <v>20.9569692097444</v>
      </c>
      <c r="FA9" s="180" t="n">
        <v>21.1190772360433</v>
      </c>
      <c r="FB9" s="180" t="n">
        <v>21.281185262342</v>
      </c>
      <c r="FC9" s="180" t="n">
        <v>21.4432932886409</v>
      </c>
      <c r="FD9" s="180" t="n">
        <v>21.6054013149396</v>
      </c>
      <c r="FE9" s="180" t="n">
        <v>21.7675093412384</v>
      </c>
      <c r="FF9" s="180" t="n">
        <v>21.9296173675371</v>
      </c>
      <c r="FG9" s="180" t="n">
        <v>22.091725393836</v>
      </c>
      <c r="FH9" s="180" t="n">
        <v>22.2538334201347</v>
      </c>
      <c r="FI9" s="180" t="n">
        <v>22.4159414464336</v>
      </c>
      <c r="FJ9" s="180" t="n">
        <v>22.5780494727323</v>
      </c>
      <c r="FK9" s="180" t="n">
        <v>22.7401574990312</v>
      </c>
      <c r="FL9" s="180" t="n">
        <v>22.9022655253299</v>
      </c>
      <c r="FM9" s="180" t="n">
        <v>23.0643735516288</v>
      </c>
      <c r="FN9" s="180" t="n">
        <v>23.2264815779275</v>
      </c>
      <c r="FO9" s="180" t="n">
        <v>23.3885896042264</v>
      </c>
      <c r="FP9" s="180" t="n">
        <v>23.550697630525</v>
      </c>
      <c r="FQ9" s="180" t="n">
        <v>23.712805656824</v>
      </c>
      <c r="FR9" s="180" t="n">
        <v>23.8749136831226</v>
      </c>
      <c r="FS9" s="180" t="n">
        <v>24.0370217094215</v>
      </c>
      <c r="FT9" s="180" t="n">
        <v>24.1991297357202</v>
      </c>
      <c r="FU9" s="180" t="n">
        <v>24.3612377620191</v>
      </c>
      <c r="FV9" s="180" t="n">
        <v>24.5233457883178</v>
      </c>
      <c r="FW9" s="180" t="n">
        <v>24.6854538146167</v>
      </c>
      <c r="FX9" s="180" t="n">
        <v>24.8475618409154</v>
      </c>
      <c r="FY9" s="180" t="n">
        <v>25.0096698672143</v>
      </c>
      <c r="FZ9" s="180" t="n">
        <v>25.1717778935129</v>
      </c>
      <c r="GA9" s="180" t="n">
        <v>25.3338859198119</v>
      </c>
      <c r="GB9" s="180" t="n">
        <v>25.4959939461105</v>
      </c>
      <c r="GC9" s="180" t="n">
        <v>25.6581019724095</v>
      </c>
      <c r="GD9" s="180" t="n">
        <v>25.8202099987081</v>
      </c>
      <c r="GE9" s="180" t="n">
        <v>25.9823180250071</v>
      </c>
      <c r="GF9" s="180" t="n">
        <v>26.1444260513057</v>
      </c>
      <c r="GG9" s="180" t="n">
        <v>26.3065340776046</v>
      </c>
      <c r="GH9" s="180" t="n">
        <v>26.4686421039033</v>
      </c>
      <c r="GI9" s="180" t="n">
        <v>26.6307501302022</v>
      </c>
      <c r="GJ9" s="180" t="n">
        <v>26.7928581565009</v>
      </c>
      <c r="GK9" s="180" t="n">
        <v>26.9549661827998</v>
      </c>
      <c r="GL9" s="180" t="n">
        <v>27.1170742090984</v>
      </c>
      <c r="GM9" s="180" t="n">
        <v>27.2791822353974</v>
      </c>
      <c r="GN9" s="180" t="n">
        <v>27.441290261696</v>
      </c>
      <c r="GO9" s="180" t="n">
        <v>27.603398287995</v>
      </c>
      <c r="GP9" s="180" t="n">
        <v>27.7655063142936</v>
      </c>
      <c r="GQ9" s="180" t="n">
        <v>27.9276143405926</v>
      </c>
      <c r="GR9" s="180" t="n">
        <v>28.0897223668912</v>
      </c>
      <c r="GS9" s="180" t="n">
        <v>28.2518303931901</v>
      </c>
      <c r="GT9" s="180" t="n">
        <v>28.4139384194888</v>
      </c>
      <c r="GU9" s="180" t="n">
        <v>28.5760464457877</v>
      </c>
      <c r="GV9" s="180" t="n">
        <v>28.7381544720863</v>
      </c>
      <c r="GW9" s="180" t="n">
        <v>28.9002624983853</v>
      </c>
      <c r="GX9" s="180" t="n">
        <v>29.0623705246839</v>
      </c>
      <c r="GY9" s="180" t="n">
        <v>29.2244785509829</v>
      </c>
      <c r="GZ9" s="180" t="n">
        <v>29.3865865772815</v>
      </c>
      <c r="HA9" s="180" t="n">
        <v>29.5486946035805</v>
      </c>
      <c r="HB9" s="180" t="n">
        <v>29.7108026298791</v>
      </c>
      <c r="HC9" s="180" t="n">
        <v>29.8729106561781</v>
      </c>
      <c r="HD9" s="180" t="n">
        <v>30.0350186824767</v>
      </c>
      <c r="HE9" s="180" t="n">
        <v>30.1971267087757</v>
      </c>
      <c r="HF9" s="180" t="n">
        <v>30.3592347350742</v>
      </c>
      <c r="HG9" s="180" t="n">
        <v>30.5213427613732</v>
      </c>
      <c r="HH9" s="180" t="n">
        <v>30.6834507876718</v>
      </c>
      <c r="HI9" s="180" t="n">
        <v>30.8455588139708</v>
      </c>
      <c r="HJ9" s="180" t="n">
        <v>31.0076668402694</v>
      </c>
      <c r="HK9" s="180" t="n">
        <v>31.1697748665684</v>
      </c>
      <c r="HL9" s="180" t="n">
        <v>31.331882892867</v>
      </c>
      <c r="HM9" s="180" t="n">
        <v>31.493990919166</v>
      </c>
      <c r="HN9" s="180" t="n">
        <v>31.6560989454646</v>
      </c>
      <c r="HO9" s="180" t="n">
        <v>31.8182069717636</v>
      </c>
      <c r="HP9" s="180" t="n">
        <v>31.9803149980622</v>
      </c>
      <c r="HQ9" s="180" t="n">
        <v>32.1424230243612</v>
      </c>
      <c r="HR9" s="180" t="n">
        <v>32.3045310506597</v>
      </c>
      <c r="HS9" s="180" t="n">
        <v>32.4666390769588</v>
      </c>
      <c r="HT9" s="180" t="n">
        <v>32.6287471032573</v>
      </c>
      <c r="HU9" s="180" t="n">
        <v>32.7908551295564</v>
      </c>
      <c r="HV9" s="180" t="n">
        <v>32.9529631558549</v>
      </c>
      <c r="HW9" s="180" t="n">
        <v>33.1150711821539</v>
      </c>
      <c r="HX9" s="180" t="n">
        <v>33.2771792084525</v>
      </c>
      <c r="HY9" s="180" t="n">
        <v>33.4392872347515</v>
      </c>
      <c r="HZ9" s="180" t="n">
        <v>33.60139526105</v>
      </c>
      <c r="IA9" s="180" t="n">
        <v>33.7635032873491</v>
      </c>
      <c r="IB9" s="180" t="n">
        <v>33.9256113136476</v>
      </c>
      <c r="IC9" s="180" t="n">
        <v>34.0877193399467</v>
      </c>
      <c r="ID9" s="180" t="n">
        <v>34.2498273662452</v>
      </c>
      <c r="IE9" s="180" t="n">
        <v>34.4119353925443</v>
      </c>
      <c r="IF9" s="180" t="n">
        <v>34.5740434188428</v>
      </c>
      <c r="IG9" s="180" t="n">
        <v>34.7361514451419</v>
      </c>
      <c r="IH9" s="180" t="n">
        <v>34.8982594714404</v>
      </c>
      <c r="II9" s="180" t="n">
        <v>35.0603674977395</v>
      </c>
      <c r="IJ9" s="180" t="n">
        <v>35.2224755240379</v>
      </c>
      <c r="IK9" s="180" t="n">
        <v>35.3845835503371</v>
      </c>
      <c r="IL9" s="180" t="n">
        <v>35.5466915766355</v>
      </c>
      <c r="IM9" s="180" t="n">
        <v>35.7087996029347</v>
      </c>
      <c r="IN9" s="180" t="n">
        <v>35.8709076292331</v>
      </c>
      <c r="IO9" s="180" t="n">
        <v>36.0330156555323</v>
      </c>
      <c r="IP9" s="180" t="n">
        <v>36.1951236818307</v>
      </c>
      <c r="IQ9" s="180" t="n">
        <v>36.3572317081299</v>
      </c>
      <c r="IR9" s="180" t="n">
        <v>36.5193397344282</v>
      </c>
      <c r="IS9" s="180" t="n">
        <v>36.6814477607275</v>
      </c>
      <c r="IT9" s="180" t="n">
        <v>36.8435557870258</v>
      </c>
      <c r="IU9" s="180" t="n">
        <v>37.005663813325</v>
      </c>
      <c r="IV9" s="180" t="n">
        <v>37.1677718396234</v>
      </c>
    </row>
    <row r="10" customFormat="false" ht="12.75" hidden="false" customHeight="false" outlineLevel="0" collapsed="false">
      <c r="A10" s="184" t="n">
        <v>36982</v>
      </c>
      <c r="B10" s="185" t="n">
        <v>-2.52625741171875</v>
      </c>
      <c r="C10" s="185" t="n">
        <v>-2.48838092507813</v>
      </c>
      <c r="D10" s="185" t="n">
        <v>-2.4505044384375</v>
      </c>
      <c r="E10" s="185" t="n">
        <v>-2.41262795179688</v>
      </c>
      <c r="F10" s="185" t="n">
        <v>-2.37475146515625</v>
      </c>
      <c r="G10" s="185" t="n">
        <v>-2.33687497851563</v>
      </c>
      <c r="H10" s="185" t="n">
        <v>-2.298998491875</v>
      </c>
      <c r="I10" s="185" t="n">
        <v>-2.26112200523438</v>
      </c>
      <c r="J10" s="185" t="n">
        <v>-2.22324551859375</v>
      </c>
      <c r="K10" s="185" t="n">
        <v>-2.18536903195313</v>
      </c>
      <c r="L10" s="185" t="n">
        <v>-2.1474925453125</v>
      </c>
      <c r="M10" s="185" t="n">
        <v>-2.10961605867188</v>
      </c>
      <c r="N10" s="185" t="n">
        <v>-2.07173957203125</v>
      </c>
      <c r="O10" s="185" t="n">
        <v>-2.03386308539063</v>
      </c>
      <c r="P10" s="185" t="n">
        <v>-1.99598659875</v>
      </c>
      <c r="Q10" s="185" t="n">
        <v>-1.95811011210938</v>
      </c>
      <c r="R10" s="185" t="n">
        <v>-1.92023362546875</v>
      </c>
      <c r="S10" s="185" t="n">
        <v>-1.88235713882813</v>
      </c>
      <c r="T10" s="185" t="n">
        <v>-1.8444806521875</v>
      </c>
      <c r="U10" s="185" t="n">
        <v>-1.80660416554688</v>
      </c>
      <c r="V10" s="186" t="n">
        <v>-1.76872767890625</v>
      </c>
      <c r="W10" s="185" t="n">
        <v>-1.73085119226563</v>
      </c>
      <c r="X10" s="186" t="n">
        <v>-1.692974705625</v>
      </c>
      <c r="Y10" s="185" t="n">
        <v>-1.65509821898438</v>
      </c>
      <c r="Z10" s="186" t="n">
        <v>-1.61722173234375</v>
      </c>
      <c r="AA10" s="185" t="n">
        <v>-1.57934524570313</v>
      </c>
      <c r="AB10" s="187" t="n">
        <v>-1.5414687590625</v>
      </c>
      <c r="AC10" s="185" t="n">
        <v>-1.50359227242188</v>
      </c>
      <c r="AD10" s="187" t="n">
        <v>-1.46571578578125</v>
      </c>
      <c r="AE10" s="185" t="n">
        <v>-1.42783929914063</v>
      </c>
      <c r="AF10" s="185" t="n">
        <v>-1.3899628125</v>
      </c>
      <c r="AG10" s="185" t="n">
        <v>-1.35404390625</v>
      </c>
      <c r="AH10" s="188" t="n">
        <v>-1.318125</v>
      </c>
      <c r="AI10" s="185" t="n">
        <v>-1.2840625</v>
      </c>
      <c r="AJ10" s="185" t="n">
        <v>-1.25</v>
      </c>
      <c r="AK10" s="185" t="n">
        <v>-1</v>
      </c>
      <c r="AL10" s="185" t="n">
        <v>-0.75</v>
      </c>
      <c r="AM10" s="185" t="n">
        <v>-0.5</v>
      </c>
      <c r="AN10" s="185" t="n">
        <v>-0.25</v>
      </c>
      <c r="AO10" s="185" t="n">
        <v>0</v>
      </c>
      <c r="AP10" s="185" t="n">
        <v>0.25</v>
      </c>
      <c r="AQ10" s="185" t="n">
        <v>0.5</v>
      </c>
      <c r="AR10" s="185" t="n">
        <v>0.75</v>
      </c>
      <c r="AS10" s="185" t="n">
        <v>1</v>
      </c>
      <c r="AT10" s="185" t="n">
        <v>1.25</v>
      </c>
      <c r="AU10" s="185" t="n">
        <v>1.5</v>
      </c>
      <c r="AV10" s="185" t="n">
        <v>1.75</v>
      </c>
      <c r="AW10" s="185" t="n">
        <v>1.9875</v>
      </c>
      <c r="AX10" s="185" t="n">
        <v>2.225</v>
      </c>
      <c r="AY10" s="185" t="n">
        <v>2.450625</v>
      </c>
      <c r="AZ10" s="185" t="n">
        <v>2.67625</v>
      </c>
      <c r="BA10" s="185" t="n">
        <v>2.89059375</v>
      </c>
      <c r="BB10" s="185" t="n">
        <v>3.1049375</v>
      </c>
      <c r="BC10" s="185" t="n">
        <v>3.3085640625</v>
      </c>
      <c r="BD10" s="185" t="n">
        <v>3.512190625</v>
      </c>
      <c r="BE10" s="185" t="n">
        <v>3.705635859375</v>
      </c>
      <c r="BF10" s="185" t="n">
        <v>3.89908109375</v>
      </c>
      <c r="BG10" s="185" t="n">
        <v>4.08285406640625</v>
      </c>
      <c r="BH10" s="185" t="n">
        <v>4.2666270390625</v>
      </c>
      <c r="BI10" s="185" t="n">
        <v>4.44121136308594</v>
      </c>
      <c r="BJ10" s="185" t="n">
        <v>4.61579568710937</v>
      </c>
      <c r="BK10" s="185" t="n">
        <v>4.78165079493164</v>
      </c>
      <c r="BL10" s="185" t="n">
        <v>4.94750590275391</v>
      </c>
      <c r="BM10" s="185" t="n">
        <v>5.10506825518506</v>
      </c>
      <c r="BN10" s="185" t="n">
        <v>5.26263060761621</v>
      </c>
      <c r="BO10" s="185" t="n">
        <v>5.4123148424258</v>
      </c>
      <c r="BP10" s="185" t="n">
        <v>5.5619990772354</v>
      </c>
      <c r="BQ10" s="185" t="n">
        <v>5.70419910030451</v>
      </c>
      <c r="BR10" s="185" t="n">
        <v>5.84639912337363</v>
      </c>
      <c r="BS10" s="185" t="n">
        <v>5.98148914528929</v>
      </c>
      <c r="BT10" s="185" t="n">
        <v>6.11657916720495</v>
      </c>
      <c r="BU10" s="185" t="n">
        <v>6.25166918912061</v>
      </c>
      <c r="BV10" s="185" t="n">
        <v>6.38675921103626</v>
      </c>
      <c r="BW10" s="185" t="n">
        <v>6.52184923295192</v>
      </c>
      <c r="BX10" s="185" t="n">
        <v>6.65693925486758</v>
      </c>
      <c r="BY10" s="185" t="n">
        <v>6.79202927678324</v>
      </c>
      <c r="BZ10" s="185" t="n">
        <v>6.9271192986989</v>
      </c>
      <c r="CA10" s="185" t="n">
        <v>7.06220932061456</v>
      </c>
      <c r="CB10" s="185" t="n">
        <v>7.19729934253022</v>
      </c>
      <c r="CC10" s="185" t="n">
        <v>7.33238936444588</v>
      </c>
      <c r="CD10" s="185" t="n">
        <v>7.46747938636154</v>
      </c>
      <c r="CE10" s="185" t="n">
        <v>7.60256940827719</v>
      </c>
      <c r="CF10" s="185" t="n">
        <v>7.73765943019285</v>
      </c>
      <c r="CG10" s="185" t="n">
        <v>7.87274945210851</v>
      </c>
      <c r="CH10" s="185" t="n">
        <v>8.00783947402417</v>
      </c>
      <c r="CI10" s="185" t="n">
        <v>8.14292949593983</v>
      </c>
      <c r="CJ10" s="185" t="n">
        <v>8.27801951785549</v>
      </c>
      <c r="CK10" s="185" t="n">
        <v>8.41310953977115</v>
      </c>
      <c r="CL10" s="185" t="n">
        <v>8.54819956168681</v>
      </c>
      <c r="CM10" s="185" t="n">
        <v>8.68328958360246</v>
      </c>
      <c r="CN10" s="185" t="n">
        <v>8.81837960551813</v>
      </c>
      <c r="CO10" s="185" t="n">
        <v>8.95346962743378</v>
      </c>
      <c r="CP10" s="185" t="n">
        <v>9.08855964934945</v>
      </c>
      <c r="CQ10" s="185" t="n">
        <v>9.2236496712651</v>
      </c>
      <c r="CR10" s="185" t="n">
        <v>9.35873969318077</v>
      </c>
      <c r="CS10" s="185" t="n">
        <v>9.49382971509641</v>
      </c>
      <c r="CT10" s="185" t="n">
        <v>9.62891973701209</v>
      </c>
      <c r="CU10" s="185" t="n">
        <v>9.76400975892773</v>
      </c>
      <c r="CV10" s="185" t="n">
        <v>9.89909978084341</v>
      </c>
      <c r="CW10" s="185" t="n">
        <v>10.034189802759</v>
      </c>
      <c r="CX10" s="185" t="n">
        <v>10.1692798246747</v>
      </c>
      <c r="CY10" s="185" t="n">
        <v>10.3043698465904</v>
      </c>
      <c r="CZ10" s="185" t="n">
        <v>10.439459868506</v>
      </c>
      <c r="DA10" s="185" t="n">
        <v>10.5745498904217</v>
      </c>
      <c r="DB10" s="185" t="n">
        <v>10.7096399123374</v>
      </c>
      <c r="DC10" s="185" t="n">
        <v>10.844729934253</v>
      </c>
      <c r="DD10" s="185" t="n">
        <v>10.9798199561687</v>
      </c>
      <c r="DE10" s="185" t="n">
        <v>11.1149099780843</v>
      </c>
      <c r="DF10" s="185" t="n">
        <v>11.25</v>
      </c>
      <c r="DG10" s="185" t="n">
        <v>11.3850900219156</v>
      </c>
      <c r="DH10" s="185" t="n">
        <v>11.5201800438313</v>
      </c>
      <c r="DI10" s="185" t="n">
        <v>11.655270065747</v>
      </c>
      <c r="DJ10" s="185" t="n">
        <v>11.7903600876626</v>
      </c>
      <c r="DK10" s="185" t="n">
        <v>11.9254501095783</v>
      </c>
      <c r="DL10" s="185" t="n">
        <v>12.060540131494</v>
      </c>
      <c r="DM10" s="185" t="n">
        <v>12.1956301534096</v>
      </c>
      <c r="DN10" s="185" t="n">
        <v>12.3307201753253</v>
      </c>
      <c r="DO10" s="185" t="n">
        <v>12.4658101972409</v>
      </c>
      <c r="DP10" s="185" t="n">
        <v>12.6009002191566</v>
      </c>
      <c r="DQ10" s="185" t="n">
        <v>12.7359902410722</v>
      </c>
      <c r="DR10" s="185" t="n">
        <v>12.8710802629879</v>
      </c>
      <c r="DS10" s="185" t="n">
        <v>13.0061702849035</v>
      </c>
      <c r="DT10" s="185" t="n">
        <v>13.1412603068192</v>
      </c>
      <c r="DU10" s="185" t="n">
        <v>13.2763503287349</v>
      </c>
      <c r="DV10" s="185" t="n">
        <v>13.4114403506506</v>
      </c>
      <c r="DW10" s="185" t="n">
        <v>13.5465303725662</v>
      </c>
      <c r="DX10" s="185" t="n">
        <v>13.6816203944819</v>
      </c>
      <c r="DY10" s="185" t="n">
        <v>13.8167104163975</v>
      </c>
      <c r="DZ10" s="185" t="n">
        <v>13.9518004383132</v>
      </c>
      <c r="EA10" s="185" t="n">
        <v>14.0868904602288</v>
      </c>
      <c r="EB10" s="185" t="n">
        <v>14.2219804821445</v>
      </c>
      <c r="EC10" s="185" t="n">
        <v>14.3570705040601</v>
      </c>
      <c r="ED10" s="185" t="n">
        <v>14.4921605259758</v>
      </c>
      <c r="EE10" s="185" t="n">
        <v>14.6272505478914</v>
      </c>
      <c r="EF10" s="185" t="n">
        <v>14.7623405698071</v>
      </c>
      <c r="EG10" s="185" t="n">
        <v>14.8974305917228</v>
      </c>
      <c r="EH10" s="185" t="n">
        <v>15.0325206136385</v>
      </c>
      <c r="EI10" s="185" t="n">
        <v>15.1676106355541</v>
      </c>
      <c r="EJ10" s="185" t="n">
        <v>15.3027006574698</v>
      </c>
      <c r="EK10" s="185" t="n">
        <v>15.4377906793854</v>
      </c>
      <c r="EL10" s="180" t="n">
        <v>15.5728807013011</v>
      </c>
      <c r="EM10" s="180" t="n">
        <v>15.7079707232167</v>
      </c>
      <c r="EN10" s="180" t="n">
        <v>15.8430607451324</v>
      </c>
      <c r="EO10" s="180" t="n">
        <v>15.978150767048</v>
      </c>
      <c r="EP10" s="180" t="n">
        <v>16.1132407889637</v>
      </c>
      <c r="EQ10" s="180" t="n">
        <v>16.2483308108793</v>
      </c>
      <c r="ER10" s="180" t="n">
        <v>16.3834208327951</v>
      </c>
      <c r="ES10" s="180" t="n">
        <v>16.5185108547107</v>
      </c>
      <c r="ET10" s="180" t="n">
        <v>16.6536008766264</v>
      </c>
      <c r="EU10" s="180" t="n">
        <v>16.788690898542</v>
      </c>
      <c r="EV10" s="180" t="n">
        <v>16.9237809204577</v>
      </c>
      <c r="EW10" s="180" t="n">
        <v>17.0588709423733</v>
      </c>
      <c r="EX10" s="180" t="n">
        <v>17.193960964289</v>
      </c>
      <c r="EY10" s="180" t="n">
        <v>17.3290509862046</v>
      </c>
      <c r="EZ10" s="180" t="n">
        <v>17.4641410081203</v>
      </c>
      <c r="FA10" s="180" t="n">
        <v>17.5992310300359</v>
      </c>
      <c r="FB10" s="180" t="n">
        <v>17.7343210519517</v>
      </c>
      <c r="FC10" s="180" t="n">
        <v>17.8694110738672</v>
      </c>
      <c r="FD10" s="180" t="n">
        <v>18.004501095783</v>
      </c>
      <c r="FE10" s="180" t="n">
        <v>18.1395911176986</v>
      </c>
      <c r="FF10" s="180" t="n">
        <v>18.2746811396143</v>
      </c>
      <c r="FG10" s="180" t="n">
        <v>18.4097711615299</v>
      </c>
      <c r="FH10" s="180" t="n">
        <v>18.5448611834456</v>
      </c>
      <c r="FI10" s="180" t="n">
        <v>18.6799512053612</v>
      </c>
      <c r="FJ10" s="180" t="n">
        <v>18.8150412272769</v>
      </c>
      <c r="FK10" s="180" t="n">
        <v>18.9501312491925</v>
      </c>
      <c r="FL10" s="180" t="n">
        <v>19.0852212711083</v>
      </c>
      <c r="FM10" s="180" t="n">
        <v>19.2203112930238</v>
      </c>
      <c r="FN10" s="180" t="n">
        <v>19.3554013149396</v>
      </c>
      <c r="FO10" s="180" t="n">
        <v>19.4904913368551</v>
      </c>
      <c r="FP10" s="180" t="n">
        <v>19.6255813587709</v>
      </c>
      <c r="FQ10" s="180" t="n">
        <v>19.7606713806865</v>
      </c>
      <c r="FR10" s="180" t="n">
        <v>19.8957614026022</v>
      </c>
      <c r="FS10" s="180" t="n">
        <v>20.0308514245178</v>
      </c>
      <c r="FT10" s="180" t="n">
        <v>20.1659414464336</v>
      </c>
      <c r="FU10" s="180" t="n">
        <v>20.3010314683491</v>
      </c>
      <c r="FV10" s="180" t="n">
        <v>20.4361214902649</v>
      </c>
      <c r="FW10" s="180" t="n">
        <v>20.5712115121804</v>
      </c>
      <c r="FX10" s="180" t="n">
        <v>20.7063015340962</v>
      </c>
      <c r="FY10" s="180" t="n">
        <v>20.8413915560117</v>
      </c>
      <c r="FZ10" s="180" t="n">
        <v>20.9764815779275</v>
      </c>
      <c r="GA10" s="180" t="n">
        <v>21.1115715998431</v>
      </c>
      <c r="GB10" s="180" t="n">
        <v>21.2466616217588</v>
      </c>
      <c r="GC10" s="180" t="n">
        <v>21.3817516436744</v>
      </c>
      <c r="GD10" s="180" t="n">
        <v>21.5168416655902</v>
      </c>
      <c r="GE10" s="180" t="n">
        <v>21.6519316875057</v>
      </c>
      <c r="GF10" s="180" t="n">
        <v>21.7870217094215</v>
      </c>
      <c r="GG10" s="180" t="n">
        <v>21.922111731337</v>
      </c>
      <c r="GH10" s="180" t="n">
        <v>22.0572017532528</v>
      </c>
      <c r="GI10" s="180" t="n">
        <v>22.1922917751683</v>
      </c>
      <c r="GJ10" s="180" t="n">
        <v>22.3273817970841</v>
      </c>
      <c r="GK10" s="180" t="n">
        <v>22.4624718189996</v>
      </c>
      <c r="GL10" s="180" t="n">
        <v>22.5975618409154</v>
      </c>
      <c r="GM10" s="180" t="n">
        <v>22.732651862831</v>
      </c>
      <c r="GN10" s="180" t="n">
        <v>22.8677418847468</v>
      </c>
      <c r="GO10" s="180" t="n">
        <v>23.0028319066623</v>
      </c>
      <c r="GP10" s="180" t="n">
        <v>23.1379219285781</v>
      </c>
      <c r="GQ10" s="180" t="n">
        <v>23.2730119504936</v>
      </c>
      <c r="GR10" s="180" t="n">
        <v>23.4081019724094</v>
      </c>
      <c r="GS10" s="180" t="n">
        <v>23.5431919943249</v>
      </c>
      <c r="GT10" s="180" t="n">
        <v>23.6782820162407</v>
      </c>
      <c r="GU10" s="180" t="n">
        <v>23.8133720381562</v>
      </c>
      <c r="GV10" s="180" t="n">
        <v>23.948462060072</v>
      </c>
      <c r="GW10" s="180" t="n">
        <v>24.0835520819875</v>
      </c>
      <c r="GX10" s="180" t="n">
        <v>24.2186421039034</v>
      </c>
      <c r="GY10" s="180" t="n">
        <v>24.3537321258189</v>
      </c>
      <c r="GZ10" s="180" t="n">
        <v>24.4888221477347</v>
      </c>
      <c r="HA10" s="180" t="n">
        <v>24.6239121696502</v>
      </c>
      <c r="HB10" s="180" t="n">
        <v>24.759002191566</v>
      </c>
      <c r="HC10" s="180" t="n">
        <v>24.8940922134815</v>
      </c>
      <c r="HD10" s="180" t="n">
        <v>25.0291822353973</v>
      </c>
      <c r="HE10" s="180" t="n">
        <v>25.1642722573128</v>
      </c>
      <c r="HF10" s="180" t="n">
        <v>25.2993622792286</v>
      </c>
      <c r="HG10" s="180" t="n">
        <v>25.4344523011441</v>
      </c>
      <c r="HH10" s="180" t="n">
        <v>25.56954232306</v>
      </c>
      <c r="HI10" s="180" t="n">
        <v>25.7046323449754</v>
      </c>
      <c r="HJ10" s="180" t="n">
        <v>25.8397223668913</v>
      </c>
      <c r="HK10" s="180" t="n">
        <v>25.9748123888068</v>
      </c>
      <c r="HL10" s="180" t="n">
        <v>26.1099024107226</v>
      </c>
      <c r="HM10" s="180" t="n">
        <v>26.2449924326381</v>
      </c>
      <c r="HN10" s="180" t="n">
        <v>26.3800824545539</v>
      </c>
      <c r="HO10" s="180" t="n">
        <v>26.5151724764694</v>
      </c>
      <c r="HP10" s="180" t="n">
        <v>26.6502624983852</v>
      </c>
      <c r="HQ10" s="180" t="n">
        <v>26.7853525203007</v>
      </c>
      <c r="HR10" s="180" t="n">
        <v>26.9204425422166</v>
      </c>
      <c r="HS10" s="180" t="n">
        <v>27.055532564132</v>
      </c>
      <c r="HT10" s="180" t="n">
        <v>27.1906225860479</v>
      </c>
      <c r="HU10" s="180" t="n">
        <v>27.3257126079633</v>
      </c>
      <c r="HV10" s="180" t="n">
        <v>27.4608026298792</v>
      </c>
      <c r="HW10" s="180" t="n">
        <v>27.5958926517947</v>
      </c>
      <c r="HX10" s="180" t="n">
        <v>27.7309826737105</v>
      </c>
      <c r="HY10" s="180" t="n">
        <v>27.866072695626</v>
      </c>
      <c r="HZ10" s="180" t="n">
        <v>28.0011627175419</v>
      </c>
      <c r="IA10" s="180" t="n">
        <v>28.1362527394573</v>
      </c>
      <c r="IB10" s="180" t="n">
        <v>28.2713427613732</v>
      </c>
      <c r="IC10" s="180" t="n">
        <v>28.4064327832886</v>
      </c>
      <c r="ID10" s="180" t="n">
        <v>28.5415228052045</v>
      </c>
      <c r="IE10" s="180" t="n">
        <v>28.6766128271199</v>
      </c>
      <c r="IF10" s="180" t="n">
        <v>28.8117028490358</v>
      </c>
      <c r="IG10" s="180" t="n">
        <v>28.9467928709512</v>
      </c>
      <c r="IH10" s="180" t="n">
        <v>29.0818828928671</v>
      </c>
      <c r="II10" s="180" t="n">
        <v>29.2169729147826</v>
      </c>
      <c r="IJ10" s="180" t="n">
        <v>29.3520629366985</v>
      </c>
      <c r="IK10" s="180" t="n">
        <v>29.4871529586139</v>
      </c>
      <c r="IL10" s="180" t="n">
        <v>29.6222429805298</v>
      </c>
      <c r="IM10" s="180" t="n">
        <v>29.7573330024452</v>
      </c>
      <c r="IN10" s="180" t="n">
        <v>29.8924230243611</v>
      </c>
      <c r="IO10" s="180" t="n">
        <v>30.0275130462765</v>
      </c>
      <c r="IP10" s="180" t="n">
        <v>30.1626030681924</v>
      </c>
      <c r="IQ10" s="180" t="n">
        <v>30.2976930901078</v>
      </c>
      <c r="IR10" s="180" t="n">
        <v>30.4327831120237</v>
      </c>
      <c r="IS10" s="180" t="n">
        <v>30.5678731339392</v>
      </c>
      <c r="IT10" s="180" t="n">
        <v>30.7029631558551</v>
      </c>
      <c r="IU10" s="180" t="n">
        <v>30.8380531777705</v>
      </c>
      <c r="IV10" s="180" t="n">
        <v>30.9731431996864</v>
      </c>
    </row>
    <row r="11" customFormat="false" ht="12.75" hidden="false" customHeight="false" outlineLevel="0" collapsed="false">
      <c r="A11" s="184" t="n">
        <v>37012</v>
      </c>
      <c r="B11" s="185" t="n">
        <v>-2.52625741171875</v>
      </c>
      <c r="C11" s="185" t="n">
        <v>-2.48838092507813</v>
      </c>
      <c r="D11" s="185" t="n">
        <v>-2.4505044384375</v>
      </c>
      <c r="E11" s="185" t="n">
        <v>-2.41262795179688</v>
      </c>
      <c r="F11" s="185" t="n">
        <v>-2.37475146515625</v>
      </c>
      <c r="G11" s="185" t="n">
        <v>-2.33687497851563</v>
      </c>
      <c r="H11" s="185" t="n">
        <v>-2.298998491875</v>
      </c>
      <c r="I11" s="185" t="n">
        <v>-2.26112200523438</v>
      </c>
      <c r="J11" s="185" t="n">
        <v>-2.22324551859375</v>
      </c>
      <c r="K11" s="185" t="n">
        <v>-2.18536903195313</v>
      </c>
      <c r="L11" s="185" t="n">
        <v>-2.1474925453125</v>
      </c>
      <c r="M11" s="185" t="n">
        <v>-2.10961605867188</v>
      </c>
      <c r="N11" s="185" t="n">
        <v>-2.07173957203125</v>
      </c>
      <c r="O11" s="185" t="n">
        <v>-2.03386308539063</v>
      </c>
      <c r="P11" s="185" t="n">
        <v>-1.99598659875</v>
      </c>
      <c r="Q11" s="185" t="n">
        <v>-1.95811011210938</v>
      </c>
      <c r="R11" s="185" t="n">
        <v>-1.92023362546875</v>
      </c>
      <c r="S11" s="185" t="n">
        <v>-1.88235713882813</v>
      </c>
      <c r="T11" s="185" t="n">
        <v>-1.8444806521875</v>
      </c>
      <c r="U11" s="185" t="n">
        <v>-1.80660416554688</v>
      </c>
      <c r="V11" s="186" t="n">
        <v>-1.76872767890625</v>
      </c>
      <c r="W11" s="185" t="n">
        <v>-1.73085119226563</v>
      </c>
      <c r="X11" s="186" t="n">
        <v>-1.692974705625</v>
      </c>
      <c r="Y11" s="185" t="n">
        <v>-1.65509821898438</v>
      </c>
      <c r="Z11" s="186" t="n">
        <v>-1.61722173234375</v>
      </c>
      <c r="AA11" s="185" t="n">
        <v>-1.57934524570313</v>
      </c>
      <c r="AB11" s="187" t="n">
        <v>-1.5414687590625</v>
      </c>
      <c r="AC11" s="185" t="n">
        <v>-1.50359227242188</v>
      </c>
      <c r="AD11" s="187" t="n">
        <v>-1.46571578578125</v>
      </c>
      <c r="AE11" s="185" t="n">
        <v>-1.42783929914063</v>
      </c>
      <c r="AF11" s="185" t="n">
        <v>-1.3899628125</v>
      </c>
      <c r="AG11" s="185" t="n">
        <v>-1.35404390625</v>
      </c>
      <c r="AH11" s="188" t="n">
        <v>-1.318125</v>
      </c>
      <c r="AI11" s="185" t="n">
        <v>-1.2840625</v>
      </c>
      <c r="AJ11" s="185" t="n">
        <v>-1.25</v>
      </c>
      <c r="AK11" s="185" t="n">
        <v>-1</v>
      </c>
      <c r="AL11" s="185" t="n">
        <v>-0.75</v>
      </c>
      <c r="AM11" s="185" t="n">
        <v>-0.5</v>
      </c>
      <c r="AN11" s="185" t="n">
        <v>-0.25</v>
      </c>
      <c r="AO11" s="185" t="n">
        <v>0</v>
      </c>
      <c r="AP11" s="185" t="n">
        <v>0.25</v>
      </c>
      <c r="AQ11" s="185" t="n">
        <v>0.5</v>
      </c>
      <c r="AR11" s="185" t="n">
        <v>0.75</v>
      </c>
      <c r="AS11" s="185" t="n">
        <v>1</v>
      </c>
      <c r="AT11" s="185" t="n">
        <v>1.25</v>
      </c>
      <c r="AU11" s="185" t="n">
        <v>1.5</v>
      </c>
      <c r="AV11" s="185" t="n">
        <v>1.75</v>
      </c>
      <c r="AW11" s="185" t="n">
        <v>1.9875</v>
      </c>
      <c r="AX11" s="185" t="n">
        <v>2.225</v>
      </c>
      <c r="AY11" s="185" t="n">
        <v>2.450625</v>
      </c>
      <c r="AZ11" s="185" t="n">
        <v>2.67625</v>
      </c>
      <c r="BA11" s="185" t="n">
        <v>2.89059375</v>
      </c>
      <c r="BB11" s="185" t="n">
        <v>3.1049375</v>
      </c>
      <c r="BC11" s="185" t="n">
        <v>3.3085640625</v>
      </c>
      <c r="BD11" s="185" t="n">
        <v>3.512190625</v>
      </c>
      <c r="BE11" s="185" t="n">
        <v>3.705635859375</v>
      </c>
      <c r="BF11" s="185" t="n">
        <v>3.89908109375</v>
      </c>
      <c r="BG11" s="185" t="n">
        <v>4.08285406640625</v>
      </c>
      <c r="BH11" s="185" t="n">
        <v>4.2666270390625</v>
      </c>
      <c r="BI11" s="185" t="n">
        <v>4.44121136308594</v>
      </c>
      <c r="BJ11" s="185" t="n">
        <v>4.61579568710937</v>
      </c>
      <c r="BK11" s="185" t="n">
        <v>4.78165079493164</v>
      </c>
      <c r="BL11" s="185" t="n">
        <v>4.94750590275391</v>
      </c>
      <c r="BM11" s="185" t="n">
        <v>5.10506825518506</v>
      </c>
      <c r="BN11" s="185" t="n">
        <v>5.26263060761621</v>
      </c>
      <c r="BO11" s="185" t="n">
        <v>5.4123148424258</v>
      </c>
      <c r="BP11" s="185" t="n">
        <v>5.5619990772354</v>
      </c>
      <c r="BQ11" s="185" t="n">
        <v>5.70419910030451</v>
      </c>
      <c r="BR11" s="185" t="n">
        <v>5.84639912337363</v>
      </c>
      <c r="BS11" s="185" t="n">
        <v>5.98148914528929</v>
      </c>
      <c r="BT11" s="185" t="n">
        <v>6.11657916720495</v>
      </c>
      <c r="BU11" s="185" t="n">
        <v>6.25166918912061</v>
      </c>
      <c r="BV11" s="185" t="n">
        <v>6.38675921103626</v>
      </c>
      <c r="BW11" s="185" t="n">
        <v>6.52184923295192</v>
      </c>
      <c r="BX11" s="185" t="n">
        <v>6.65693925486758</v>
      </c>
      <c r="BY11" s="185" t="n">
        <v>6.79202927678324</v>
      </c>
      <c r="BZ11" s="185" t="n">
        <v>6.9271192986989</v>
      </c>
      <c r="CA11" s="185" t="n">
        <v>7.06220932061456</v>
      </c>
      <c r="CB11" s="185" t="n">
        <v>7.19729934253022</v>
      </c>
      <c r="CC11" s="185" t="n">
        <v>7.33238936444588</v>
      </c>
      <c r="CD11" s="185" t="n">
        <v>7.46747938636154</v>
      </c>
      <c r="CE11" s="185" t="n">
        <v>7.60256940827719</v>
      </c>
      <c r="CF11" s="185" t="n">
        <v>7.73765943019285</v>
      </c>
      <c r="CG11" s="185" t="n">
        <v>7.87274945210851</v>
      </c>
      <c r="CH11" s="185" t="n">
        <v>8.00783947402417</v>
      </c>
      <c r="CI11" s="185" t="n">
        <v>8.14292949593983</v>
      </c>
      <c r="CJ11" s="185" t="n">
        <v>8.27801951785549</v>
      </c>
      <c r="CK11" s="185" t="n">
        <v>8.41310953977115</v>
      </c>
      <c r="CL11" s="185" t="n">
        <v>8.54819956168681</v>
      </c>
      <c r="CM11" s="185" t="n">
        <v>8.68328958360246</v>
      </c>
      <c r="CN11" s="185" t="n">
        <v>8.81837960551813</v>
      </c>
      <c r="CO11" s="185" t="n">
        <v>8.95346962743378</v>
      </c>
      <c r="CP11" s="185" t="n">
        <v>9.08855964934945</v>
      </c>
      <c r="CQ11" s="185" t="n">
        <v>9.2236496712651</v>
      </c>
      <c r="CR11" s="185" t="n">
        <v>9.35873969318077</v>
      </c>
      <c r="CS11" s="185" t="n">
        <v>9.49382971509641</v>
      </c>
      <c r="CT11" s="185" t="n">
        <v>9.62891973701209</v>
      </c>
      <c r="CU11" s="185" t="n">
        <v>9.76400975892773</v>
      </c>
      <c r="CV11" s="185" t="n">
        <v>9.89909978084341</v>
      </c>
      <c r="CW11" s="185" t="n">
        <v>10.034189802759</v>
      </c>
      <c r="CX11" s="185" t="n">
        <v>10.1692798246747</v>
      </c>
      <c r="CY11" s="185" t="n">
        <v>10.3043698465904</v>
      </c>
      <c r="CZ11" s="185" t="n">
        <v>10.439459868506</v>
      </c>
      <c r="DA11" s="185" t="n">
        <v>10.5745498904217</v>
      </c>
      <c r="DB11" s="185" t="n">
        <v>10.7096399123374</v>
      </c>
      <c r="DC11" s="185" t="n">
        <v>10.844729934253</v>
      </c>
      <c r="DD11" s="185" t="n">
        <v>10.9798199561687</v>
      </c>
      <c r="DE11" s="185" t="n">
        <v>11.1149099780843</v>
      </c>
      <c r="DF11" s="185" t="n">
        <v>11.25</v>
      </c>
      <c r="DG11" s="185" t="n">
        <v>11.3850900219156</v>
      </c>
      <c r="DH11" s="185" t="n">
        <v>11.5201800438313</v>
      </c>
      <c r="DI11" s="185" t="n">
        <v>11.655270065747</v>
      </c>
      <c r="DJ11" s="185" t="n">
        <v>11.7903600876626</v>
      </c>
      <c r="DK11" s="185" t="n">
        <v>11.9254501095783</v>
      </c>
      <c r="DL11" s="185" t="n">
        <v>12.060540131494</v>
      </c>
      <c r="DM11" s="185" t="n">
        <v>12.1956301534096</v>
      </c>
      <c r="DN11" s="185" t="n">
        <v>12.3307201753253</v>
      </c>
      <c r="DO11" s="185" t="n">
        <v>12.4658101972409</v>
      </c>
      <c r="DP11" s="185" t="n">
        <v>12.6009002191566</v>
      </c>
      <c r="DQ11" s="185" t="n">
        <v>12.7359902410722</v>
      </c>
      <c r="DR11" s="185" t="n">
        <v>12.8710802629879</v>
      </c>
      <c r="DS11" s="185" t="n">
        <v>13.0061702849035</v>
      </c>
      <c r="DT11" s="185" t="n">
        <v>13.1412603068192</v>
      </c>
      <c r="DU11" s="185" t="n">
        <v>13.2763503287349</v>
      </c>
      <c r="DV11" s="185" t="n">
        <v>13.4114403506506</v>
      </c>
      <c r="DW11" s="185" t="n">
        <v>13.5465303725662</v>
      </c>
      <c r="DX11" s="185" t="n">
        <v>13.6816203944819</v>
      </c>
      <c r="DY11" s="185" t="n">
        <v>13.8167104163975</v>
      </c>
      <c r="DZ11" s="185" t="n">
        <v>13.9518004383132</v>
      </c>
      <c r="EA11" s="185" t="n">
        <v>14.0868904602288</v>
      </c>
      <c r="EB11" s="185" t="n">
        <v>14.2219804821445</v>
      </c>
      <c r="EC11" s="185" t="n">
        <v>14.3570705040601</v>
      </c>
      <c r="ED11" s="185" t="n">
        <v>14.4921605259758</v>
      </c>
      <c r="EE11" s="185" t="n">
        <v>14.6272505478914</v>
      </c>
      <c r="EF11" s="185" t="n">
        <v>14.7623405698071</v>
      </c>
      <c r="EG11" s="185" t="n">
        <v>14.8974305917228</v>
      </c>
      <c r="EH11" s="185" t="n">
        <v>15.0325206136385</v>
      </c>
      <c r="EI11" s="185" t="n">
        <v>15.1676106355541</v>
      </c>
      <c r="EJ11" s="185" t="n">
        <v>15.3027006574698</v>
      </c>
      <c r="EK11" s="185" t="n">
        <v>15.4377906793854</v>
      </c>
      <c r="EL11" s="180" t="n">
        <v>15.5728807013011</v>
      </c>
      <c r="EM11" s="180" t="n">
        <v>15.7079707232167</v>
      </c>
      <c r="EN11" s="180" t="n">
        <v>15.8430607451324</v>
      </c>
      <c r="EO11" s="180" t="n">
        <v>15.978150767048</v>
      </c>
      <c r="EP11" s="180" t="n">
        <v>16.1132407889637</v>
      </c>
      <c r="EQ11" s="180" t="n">
        <v>16.2483308108793</v>
      </c>
      <c r="ER11" s="180" t="n">
        <v>16.3834208327951</v>
      </c>
      <c r="ES11" s="180" t="n">
        <v>16.5185108547107</v>
      </c>
      <c r="ET11" s="180" t="n">
        <v>16.6536008766264</v>
      </c>
      <c r="EU11" s="180" t="n">
        <v>16.788690898542</v>
      </c>
      <c r="EV11" s="180" t="n">
        <v>16.9237809204577</v>
      </c>
      <c r="EW11" s="180" t="n">
        <v>17.0588709423733</v>
      </c>
      <c r="EX11" s="180" t="n">
        <v>17.193960964289</v>
      </c>
      <c r="EY11" s="180" t="n">
        <v>17.3290509862046</v>
      </c>
      <c r="EZ11" s="180" t="n">
        <v>17.4641410081203</v>
      </c>
      <c r="FA11" s="180" t="n">
        <v>17.5992310300359</v>
      </c>
      <c r="FB11" s="180" t="n">
        <v>17.7343210519517</v>
      </c>
      <c r="FC11" s="180" t="n">
        <v>17.8694110738672</v>
      </c>
      <c r="FD11" s="180" t="n">
        <v>18.004501095783</v>
      </c>
      <c r="FE11" s="180" t="n">
        <v>18.1395911176986</v>
      </c>
      <c r="FF11" s="180" t="n">
        <v>18.2746811396143</v>
      </c>
      <c r="FG11" s="180" t="n">
        <v>18.4097711615299</v>
      </c>
      <c r="FH11" s="180" t="n">
        <v>18.5448611834456</v>
      </c>
      <c r="FI11" s="180" t="n">
        <v>18.6799512053612</v>
      </c>
      <c r="FJ11" s="180" t="n">
        <v>18.8150412272769</v>
      </c>
      <c r="FK11" s="180" t="n">
        <v>18.9501312491925</v>
      </c>
      <c r="FL11" s="180" t="n">
        <v>19.0852212711083</v>
      </c>
      <c r="FM11" s="180" t="n">
        <v>19.2203112930238</v>
      </c>
      <c r="FN11" s="180" t="n">
        <v>19.3554013149396</v>
      </c>
      <c r="FO11" s="180" t="n">
        <v>19.4904913368551</v>
      </c>
      <c r="FP11" s="180" t="n">
        <v>19.6255813587709</v>
      </c>
      <c r="FQ11" s="180" t="n">
        <v>19.7606713806865</v>
      </c>
      <c r="FR11" s="180" t="n">
        <v>19.8957614026022</v>
      </c>
      <c r="FS11" s="180" t="n">
        <v>20.0308514245178</v>
      </c>
      <c r="FT11" s="180" t="n">
        <v>20.1659414464336</v>
      </c>
      <c r="FU11" s="180" t="n">
        <v>20.3010314683491</v>
      </c>
      <c r="FV11" s="180" t="n">
        <v>20.4361214902649</v>
      </c>
      <c r="FW11" s="180" t="n">
        <v>20.5712115121804</v>
      </c>
      <c r="FX11" s="180" t="n">
        <v>20.7063015340962</v>
      </c>
      <c r="FY11" s="180" t="n">
        <v>20.8413915560117</v>
      </c>
      <c r="FZ11" s="180" t="n">
        <v>20.9764815779275</v>
      </c>
      <c r="GA11" s="180" t="n">
        <v>21.1115715998431</v>
      </c>
      <c r="GB11" s="180" t="n">
        <v>21.2466616217588</v>
      </c>
      <c r="GC11" s="180" t="n">
        <v>21.3817516436744</v>
      </c>
      <c r="GD11" s="180" t="n">
        <v>21.5168416655902</v>
      </c>
      <c r="GE11" s="180" t="n">
        <v>21.6519316875057</v>
      </c>
      <c r="GF11" s="180" t="n">
        <v>21.7870217094215</v>
      </c>
      <c r="GG11" s="180" t="n">
        <v>21.922111731337</v>
      </c>
      <c r="GH11" s="180" t="n">
        <v>22.0572017532528</v>
      </c>
      <c r="GI11" s="180" t="n">
        <v>22.1922917751683</v>
      </c>
      <c r="GJ11" s="180" t="n">
        <v>22.3273817970841</v>
      </c>
      <c r="GK11" s="180" t="n">
        <v>22.4624718189996</v>
      </c>
      <c r="GL11" s="180" t="n">
        <v>22.5975618409154</v>
      </c>
      <c r="GM11" s="180" t="n">
        <v>22.732651862831</v>
      </c>
      <c r="GN11" s="180" t="n">
        <v>22.8677418847468</v>
      </c>
      <c r="GO11" s="180" t="n">
        <v>23.0028319066623</v>
      </c>
      <c r="GP11" s="180" t="n">
        <v>23.1379219285781</v>
      </c>
      <c r="GQ11" s="180" t="n">
        <v>23.2730119504936</v>
      </c>
      <c r="GR11" s="180" t="n">
        <v>23.4081019724094</v>
      </c>
      <c r="GS11" s="180" t="n">
        <v>23.5431919943249</v>
      </c>
      <c r="GT11" s="180" t="n">
        <v>23.6782820162407</v>
      </c>
      <c r="GU11" s="180" t="n">
        <v>23.8133720381562</v>
      </c>
      <c r="GV11" s="180" t="n">
        <v>23.948462060072</v>
      </c>
      <c r="GW11" s="180" t="n">
        <v>24.0835520819875</v>
      </c>
      <c r="GX11" s="180" t="n">
        <v>24.2186421039034</v>
      </c>
      <c r="GY11" s="180" t="n">
        <v>24.3537321258189</v>
      </c>
      <c r="GZ11" s="180" t="n">
        <v>24.4888221477347</v>
      </c>
      <c r="HA11" s="180" t="n">
        <v>24.6239121696502</v>
      </c>
      <c r="HB11" s="180" t="n">
        <v>24.759002191566</v>
      </c>
      <c r="HC11" s="180" t="n">
        <v>24.8940922134815</v>
      </c>
      <c r="HD11" s="180" t="n">
        <v>25.0291822353973</v>
      </c>
      <c r="HE11" s="180" t="n">
        <v>25.1642722573128</v>
      </c>
      <c r="HF11" s="180" t="n">
        <v>25.2993622792286</v>
      </c>
      <c r="HG11" s="180" t="n">
        <v>25.4344523011441</v>
      </c>
      <c r="HH11" s="180" t="n">
        <v>25.56954232306</v>
      </c>
      <c r="HI11" s="180" t="n">
        <v>25.7046323449754</v>
      </c>
      <c r="HJ11" s="180" t="n">
        <v>25.8397223668913</v>
      </c>
      <c r="HK11" s="180" t="n">
        <v>25.9748123888068</v>
      </c>
      <c r="HL11" s="180" t="n">
        <v>26.1099024107226</v>
      </c>
      <c r="HM11" s="180" t="n">
        <v>26.2449924326381</v>
      </c>
      <c r="HN11" s="180" t="n">
        <v>26.3800824545539</v>
      </c>
      <c r="HO11" s="180" t="n">
        <v>26.5151724764694</v>
      </c>
      <c r="HP11" s="180" t="n">
        <v>26.6502624983852</v>
      </c>
      <c r="HQ11" s="180" t="n">
        <v>26.7853525203007</v>
      </c>
      <c r="HR11" s="180" t="n">
        <v>26.9204425422166</v>
      </c>
      <c r="HS11" s="180" t="n">
        <v>27.055532564132</v>
      </c>
      <c r="HT11" s="180" t="n">
        <v>27.1906225860479</v>
      </c>
      <c r="HU11" s="180" t="n">
        <v>27.3257126079633</v>
      </c>
      <c r="HV11" s="180" t="n">
        <v>27.4608026298792</v>
      </c>
      <c r="HW11" s="180" t="n">
        <v>27.5958926517947</v>
      </c>
      <c r="HX11" s="180" t="n">
        <v>27.7309826737105</v>
      </c>
      <c r="HY11" s="180" t="n">
        <v>27.866072695626</v>
      </c>
      <c r="HZ11" s="180" t="n">
        <v>28.0011627175419</v>
      </c>
      <c r="IA11" s="180" t="n">
        <v>28.1362527394573</v>
      </c>
      <c r="IB11" s="180" t="n">
        <v>28.2713427613732</v>
      </c>
      <c r="IC11" s="180" t="n">
        <v>28.4064327832886</v>
      </c>
      <c r="ID11" s="180" t="n">
        <v>28.5415228052045</v>
      </c>
      <c r="IE11" s="180" t="n">
        <v>28.6766128271199</v>
      </c>
      <c r="IF11" s="180" t="n">
        <v>28.8117028490358</v>
      </c>
      <c r="IG11" s="180" t="n">
        <v>28.9467928709512</v>
      </c>
      <c r="IH11" s="180" t="n">
        <v>29.0818828928671</v>
      </c>
      <c r="II11" s="180" t="n">
        <v>29.2169729147826</v>
      </c>
      <c r="IJ11" s="180" t="n">
        <v>29.3520629366985</v>
      </c>
      <c r="IK11" s="180" t="n">
        <v>29.4871529586139</v>
      </c>
      <c r="IL11" s="180" t="n">
        <v>29.6222429805298</v>
      </c>
      <c r="IM11" s="180" t="n">
        <v>29.7573330024452</v>
      </c>
      <c r="IN11" s="180" t="n">
        <v>29.8924230243611</v>
      </c>
      <c r="IO11" s="180" t="n">
        <v>30.0275130462765</v>
      </c>
      <c r="IP11" s="180" t="n">
        <v>30.1626030681924</v>
      </c>
      <c r="IQ11" s="180" t="n">
        <v>30.2976930901078</v>
      </c>
      <c r="IR11" s="180" t="n">
        <v>30.4327831120237</v>
      </c>
      <c r="IS11" s="180" t="n">
        <v>30.5678731339392</v>
      </c>
      <c r="IT11" s="180" t="n">
        <v>30.7029631558551</v>
      </c>
      <c r="IU11" s="180" t="n">
        <v>30.8380531777705</v>
      </c>
      <c r="IV11" s="180" t="n">
        <v>30.9731431996864</v>
      </c>
    </row>
    <row r="12" customFormat="false" ht="12.75" hidden="false" customHeight="false" outlineLevel="0" collapsed="false">
      <c r="A12" s="184" t="n">
        <v>37043</v>
      </c>
      <c r="B12" s="185" t="n">
        <v>-2.52625741171875</v>
      </c>
      <c r="C12" s="185" t="n">
        <v>-2.48838092507813</v>
      </c>
      <c r="D12" s="185" t="n">
        <v>-2.4505044384375</v>
      </c>
      <c r="E12" s="185" t="n">
        <v>-2.41262795179688</v>
      </c>
      <c r="F12" s="185" t="n">
        <v>-2.37475146515625</v>
      </c>
      <c r="G12" s="185" t="n">
        <v>-2.33687497851563</v>
      </c>
      <c r="H12" s="185" t="n">
        <v>-2.298998491875</v>
      </c>
      <c r="I12" s="185" t="n">
        <v>-2.26112200523438</v>
      </c>
      <c r="J12" s="185" t="n">
        <v>-2.22324551859375</v>
      </c>
      <c r="K12" s="185" t="n">
        <v>-2.18536903195313</v>
      </c>
      <c r="L12" s="185" t="n">
        <v>-2.1474925453125</v>
      </c>
      <c r="M12" s="185" t="n">
        <v>-2.10961605867188</v>
      </c>
      <c r="N12" s="185" t="n">
        <v>-2.07173957203125</v>
      </c>
      <c r="O12" s="185" t="n">
        <v>-2.03386308539063</v>
      </c>
      <c r="P12" s="185" t="n">
        <v>-1.99598659875</v>
      </c>
      <c r="Q12" s="185" t="n">
        <v>-1.95811011210938</v>
      </c>
      <c r="R12" s="185" t="n">
        <v>-1.92023362546875</v>
      </c>
      <c r="S12" s="185" t="n">
        <v>-1.88235713882813</v>
      </c>
      <c r="T12" s="185" t="n">
        <v>-1.8444806521875</v>
      </c>
      <c r="U12" s="185" t="n">
        <v>-1.80660416554688</v>
      </c>
      <c r="V12" s="186" t="n">
        <v>-1.76872767890625</v>
      </c>
      <c r="W12" s="185" t="n">
        <v>-1.73085119226563</v>
      </c>
      <c r="X12" s="186" t="n">
        <v>-1.692974705625</v>
      </c>
      <c r="Y12" s="185" t="n">
        <v>-1.65509821898438</v>
      </c>
      <c r="Z12" s="186" t="n">
        <v>-1.61722173234375</v>
      </c>
      <c r="AA12" s="185" t="n">
        <v>-1.57934524570313</v>
      </c>
      <c r="AB12" s="187" t="n">
        <v>-1.5414687590625</v>
      </c>
      <c r="AC12" s="185" t="n">
        <v>-1.50359227242188</v>
      </c>
      <c r="AD12" s="187" t="n">
        <v>-1.46571578578125</v>
      </c>
      <c r="AE12" s="185" t="n">
        <v>-1.42783929914063</v>
      </c>
      <c r="AF12" s="185" t="n">
        <v>-1.3899628125</v>
      </c>
      <c r="AG12" s="185" t="n">
        <v>-1.35404390625</v>
      </c>
      <c r="AH12" s="188" t="n">
        <v>-1.318125</v>
      </c>
      <c r="AI12" s="185" t="n">
        <v>-1.2840625</v>
      </c>
      <c r="AJ12" s="185" t="n">
        <v>-1.25</v>
      </c>
      <c r="AK12" s="185" t="n">
        <v>-1</v>
      </c>
      <c r="AL12" s="185" t="n">
        <v>-0.75</v>
      </c>
      <c r="AM12" s="185" t="n">
        <v>-0.5</v>
      </c>
      <c r="AN12" s="185" t="n">
        <v>-0.25</v>
      </c>
      <c r="AO12" s="185" t="n">
        <v>0</v>
      </c>
      <c r="AP12" s="185" t="n">
        <v>0.25</v>
      </c>
      <c r="AQ12" s="185" t="n">
        <v>0.5</v>
      </c>
      <c r="AR12" s="185" t="n">
        <v>0.75</v>
      </c>
      <c r="AS12" s="185" t="n">
        <v>1</v>
      </c>
      <c r="AT12" s="185" t="n">
        <v>1.25</v>
      </c>
      <c r="AU12" s="185" t="n">
        <v>1.5</v>
      </c>
      <c r="AV12" s="185" t="n">
        <v>1.75</v>
      </c>
      <c r="AW12" s="185" t="n">
        <v>1.9875</v>
      </c>
      <c r="AX12" s="185" t="n">
        <v>2.225</v>
      </c>
      <c r="AY12" s="185" t="n">
        <v>2.450625</v>
      </c>
      <c r="AZ12" s="185" t="n">
        <v>2.67625</v>
      </c>
      <c r="BA12" s="185" t="n">
        <v>2.89059375</v>
      </c>
      <c r="BB12" s="185" t="n">
        <v>3.1049375</v>
      </c>
      <c r="BC12" s="185" t="n">
        <v>3.3085640625</v>
      </c>
      <c r="BD12" s="185" t="n">
        <v>3.512190625</v>
      </c>
      <c r="BE12" s="185" t="n">
        <v>3.705635859375</v>
      </c>
      <c r="BF12" s="185" t="n">
        <v>3.89908109375</v>
      </c>
      <c r="BG12" s="185" t="n">
        <v>4.08285406640625</v>
      </c>
      <c r="BH12" s="185" t="n">
        <v>4.2666270390625</v>
      </c>
      <c r="BI12" s="185" t="n">
        <v>4.44121136308594</v>
      </c>
      <c r="BJ12" s="185" t="n">
        <v>4.61579568710937</v>
      </c>
      <c r="BK12" s="185" t="n">
        <v>4.78165079493164</v>
      </c>
      <c r="BL12" s="185" t="n">
        <v>4.94750590275391</v>
      </c>
      <c r="BM12" s="185" t="n">
        <v>5.10506825518506</v>
      </c>
      <c r="BN12" s="185" t="n">
        <v>5.26263060761621</v>
      </c>
      <c r="BO12" s="185" t="n">
        <v>5.4123148424258</v>
      </c>
      <c r="BP12" s="185" t="n">
        <v>5.5619990772354</v>
      </c>
      <c r="BQ12" s="185" t="n">
        <v>5.70419910030451</v>
      </c>
      <c r="BR12" s="185" t="n">
        <v>5.84639912337363</v>
      </c>
      <c r="BS12" s="185" t="n">
        <v>5.98148914528929</v>
      </c>
      <c r="BT12" s="185" t="n">
        <v>6.11657916720495</v>
      </c>
      <c r="BU12" s="185" t="n">
        <v>6.25166918912061</v>
      </c>
      <c r="BV12" s="185" t="n">
        <v>6.38675921103626</v>
      </c>
      <c r="BW12" s="185" t="n">
        <v>6.52184923295192</v>
      </c>
      <c r="BX12" s="185" t="n">
        <v>6.65693925486758</v>
      </c>
      <c r="BY12" s="185" t="n">
        <v>6.79202927678324</v>
      </c>
      <c r="BZ12" s="185" t="n">
        <v>6.9271192986989</v>
      </c>
      <c r="CA12" s="185" t="n">
        <v>7.06220932061456</v>
      </c>
      <c r="CB12" s="185" t="n">
        <v>7.19729934253022</v>
      </c>
      <c r="CC12" s="185" t="n">
        <v>7.33238936444588</v>
      </c>
      <c r="CD12" s="185" t="n">
        <v>7.46747938636154</v>
      </c>
      <c r="CE12" s="185" t="n">
        <v>7.60256940827719</v>
      </c>
      <c r="CF12" s="185" t="n">
        <v>7.73765943019285</v>
      </c>
      <c r="CG12" s="185" t="n">
        <v>7.87274945210851</v>
      </c>
      <c r="CH12" s="185" t="n">
        <v>8.00783947402417</v>
      </c>
      <c r="CI12" s="185" t="n">
        <v>8.14292949593983</v>
      </c>
      <c r="CJ12" s="185" t="n">
        <v>8.27801951785549</v>
      </c>
      <c r="CK12" s="185" t="n">
        <v>8.41310953977115</v>
      </c>
      <c r="CL12" s="185" t="n">
        <v>8.54819956168681</v>
      </c>
      <c r="CM12" s="185" t="n">
        <v>8.68328958360246</v>
      </c>
      <c r="CN12" s="185" t="n">
        <v>8.81837960551813</v>
      </c>
      <c r="CO12" s="185" t="n">
        <v>8.95346962743378</v>
      </c>
      <c r="CP12" s="185" t="n">
        <v>9.08855964934945</v>
      </c>
      <c r="CQ12" s="185" t="n">
        <v>9.2236496712651</v>
      </c>
      <c r="CR12" s="185" t="n">
        <v>9.35873969318077</v>
      </c>
      <c r="CS12" s="185" t="n">
        <v>9.49382971509641</v>
      </c>
      <c r="CT12" s="185" t="n">
        <v>9.62891973701209</v>
      </c>
      <c r="CU12" s="185" t="n">
        <v>9.76400975892773</v>
      </c>
      <c r="CV12" s="185" t="n">
        <v>9.89909978084341</v>
      </c>
      <c r="CW12" s="185" t="n">
        <v>10.034189802759</v>
      </c>
      <c r="CX12" s="185" t="n">
        <v>10.1692798246747</v>
      </c>
      <c r="CY12" s="185" t="n">
        <v>10.3043698465904</v>
      </c>
      <c r="CZ12" s="185" t="n">
        <v>10.439459868506</v>
      </c>
      <c r="DA12" s="185" t="n">
        <v>10.5745498904217</v>
      </c>
      <c r="DB12" s="185" t="n">
        <v>10.7096399123374</v>
      </c>
      <c r="DC12" s="185" t="n">
        <v>10.844729934253</v>
      </c>
      <c r="DD12" s="185" t="n">
        <v>10.9798199561687</v>
      </c>
      <c r="DE12" s="185" t="n">
        <v>11.1149099780843</v>
      </c>
      <c r="DF12" s="185" t="n">
        <v>11.25</v>
      </c>
      <c r="DG12" s="185" t="n">
        <v>11.3850900219156</v>
      </c>
      <c r="DH12" s="185" t="n">
        <v>11.5201800438313</v>
      </c>
      <c r="DI12" s="185" t="n">
        <v>11.655270065747</v>
      </c>
      <c r="DJ12" s="185" t="n">
        <v>11.7903600876626</v>
      </c>
      <c r="DK12" s="185" t="n">
        <v>11.9254501095783</v>
      </c>
      <c r="DL12" s="185" t="n">
        <v>12.060540131494</v>
      </c>
      <c r="DM12" s="185" t="n">
        <v>12.1956301534096</v>
      </c>
      <c r="DN12" s="185" t="n">
        <v>12.3307201753253</v>
      </c>
      <c r="DO12" s="185" t="n">
        <v>12.4658101972409</v>
      </c>
      <c r="DP12" s="185" t="n">
        <v>12.6009002191566</v>
      </c>
      <c r="DQ12" s="185" t="n">
        <v>12.7359902410722</v>
      </c>
      <c r="DR12" s="185" t="n">
        <v>12.8710802629879</v>
      </c>
      <c r="DS12" s="185" t="n">
        <v>13.0061702849035</v>
      </c>
      <c r="DT12" s="185" t="n">
        <v>13.1412603068192</v>
      </c>
      <c r="DU12" s="185" t="n">
        <v>13.2763503287349</v>
      </c>
      <c r="DV12" s="185" t="n">
        <v>13.4114403506506</v>
      </c>
      <c r="DW12" s="185" t="n">
        <v>13.5465303725662</v>
      </c>
      <c r="DX12" s="185" t="n">
        <v>13.6816203944819</v>
      </c>
      <c r="DY12" s="185" t="n">
        <v>13.8167104163975</v>
      </c>
      <c r="DZ12" s="185" t="n">
        <v>13.9518004383132</v>
      </c>
      <c r="EA12" s="185" t="n">
        <v>14.0868904602288</v>
      </c>
      <c r="EB12" s="185" t="n">
        <v>14.2219804821445</v>
      </c>
      <c r="EC12" s="185" t="n">
        <v>14.3570705040601</v>
      </c>
      <c r="ED12" s="185" t="n">
        <v>14.4921605259758</v>
      </c>
      <c r="EE12" s="185" t="n">
        <v>14.6272505478914</v>
      </c>
      <c r="EF12" s="185" t="n">
        <v>14.7623405698071</v>
      </c>
      <c r="EG12" s="185" t="n">
        <v>14.8974305917228</v>
      </c>
      <c r="EH12" s="185" t="n">
        <v>15.0325206136385</v>
      </c>
      <c r="EI12" s="185" t="n">
        <v>15.1676106355541</v>
      </c>
      <c r="EJ12" s="185" t="n">
        <v>15.3027006574698</v>
      </c>
      <c r="EK12" s="185" t="n">
        <v>15.4377906793854</v>
      </c>
      <c r="EL12" s="180" t="n">
        <v>15.5728807013011</v>
      </c>
      <c r="EM12" s="180" t="n">
        <v>15.7079707232167</v>
      </c>
      <c r="EN12" s="180" t="n">
        <v>15.8430607451324</v>
      </c>
      <c r="EO12" s="180" t="n">
        <v>15.978150767048</v>
      </c>
      <c r="EP12" s="180" t="n">
        <v>16.1132407889637</v>
      </c>
      <c r="EQ12" s="180" t="n">
        <v>16.2483308108793</v>
      </c>
      <c r="ER12" s="180" t="n">
        <v>16.3834208327951</v>
      </c>
      <c r="ES12" s="180" t="n">
        <v>16.5185108547107</v>
      </c>
      <c r="ET12" s="180" t="n">
        <v>16.6536008766264</v>
      </c>
      <c r="EU12" s="180" t="n">
        <v>16.788690898542</v>
      </c>
      <c r="EV12" s="180" t="n">
        <v>16.9237809204577</v>
      </c>
      <c r="EW12" s="180" t="n">
        <v>17.0588709423733</v>
      </c>
      <c r="EX12" s="180" t="n">
        <v>17.193960964289</v>
      </c>
      <c r="EY12" s="180" t="n">
        <v>17.3290509862046</v>
      </c>
      <c r="EZ12" s="180" t="n">
        <v>17.4641410081203</v>
      </c>
      <c r="FA12" s="180" t="n">
        <v>17.5992310300359</v>
      </c>
      <c r="FB12" s="180" t="n">
        <v>17.7343210519517</v>
      </c>
      <c r="FC12" s="180" t="n">
        <v>17.8694110738672</v>
      </c>
      <c r="FD12" s="180" t="n">
        <v>18.004501095783</v>
      </c>
      <c r="FE12" s="180" t="n">
        <v>18.1395911176986</v>
      </c>
      <c r="FF12" s="180" t="n">
        <v>18.2746811396143</v>
      </c>
      <c r="FG12" s="180" t="n">
        <v>18.4097711615299</v>
      </c>
      <c r="FH12" s="180" t="n">
        <v>18.5448611834456</v>
      </c>
      <c r="FI12" s="180" t="n">
        <v>18.6799512053612</v>
      </c>
      <c r="FJ12" s="180" t="n">
        <v>18.8150412272769</v>
      </c>
      <c r="FK12" s="180" t="n">
        <v>18.9501312491925</v>
      </c>
      <c r="FL12" s="180" t="n">
        <v>19.0852212711083</v>
      </c>
      <c r="FM12" s="180" t="n">
        <v>19.2203112930238</v>
      </c>
      <c r="FN12" s="180" t="n">
        <v>19.3554013149396</v>
      </c>
      <c r="FO12" s="180" t="n">
        <v>19.4904913368551</v>
      </c>
      <c r="FP12" s="180" t="n">
        <v>19.6255813587709</v>
      </c>
      <c r="FQ12" s="180" t="n">
        <v>19.7606713806865</v>
      </c>
      <c r="FR12" s="180" t="n">
        <v>19.8957614026022</v>
      </c>
      <c r="FS12" s="180" t="n">
        <v>20.0308514245178</v>
      </c>
      <c r="FT12" s="180" t="n">
        <v>20.1659414464336</v>
      </c>
      <c r="FU12" s="180" t="n">
        <v>20.3010314683491</v>
      </c>
      <c r="FV12" s="180" t="n">
        <v>20.4361214902649</v>
      </c>
      <c r="FW12" s="180" t="n">
        <v>20.5712115121804</v>
      </c>
      <c r="FX12" s="180" t="n">
        <v>20.7063015340962</v>
      </c>
      <c r="FY12" s="180" t="n">
        <v>20.8413915560117</v>
      </c>
      <c r="FZ12" s="180" t="n">
        <v>20.9764815779275</v>
      </c>
      <c r="GA12" s="180" t="n">
        <v>21.1115715998431</v>
      </c>
      <c r="GB12" s="180" t="n">
        <v>21.2466616217588</v>
      </c>
      <c r="GC12" s="180" t="n">
        <v>21.3817516436744</v>
      </c>
      <c r="GD12" s="180" t="n">
        <v>21.5168416655902</v>
      </c>
      <c r="GE12" s="180" t="n">
        <v>21.6519316875057</v>
      </c>
      <c r="GF12" s="180" t="n">
        <v>21.7870217094215</v>
      </c>
      <c r="GG12" s="180" t="n">
        <v>21.922111731337</v>
      </c>
      <c r="GH12" s="180" t="n">
        <v>22.0572017532528</v>
      </c>
      <c r="GI12" s="180" t="n">
        <v>22.1922917751683</v>
      </c>
      <c r="GJ12" s="180" t="n">
        <v>22.3273817970841</v>
      </c>
      <c r="GK12" s="180" t="n">
        <v>22.4624718189996</v>
      </c>
      <c r="GL12" s="180" t="n">
        <v>22.5975618409154</v>
      </c>
      <c r="GM12" s="180" t="n">
        <v>22.732651862831</v>
      </c>
      <c r="GN12" s="180" t="n">
        <v>22.8677418847468</v>
      </c>
      <c r="GO12" s="180" t="n">
        <v>23.0028319066623</v>
      </c>
      <c r="GP12" s="180" t="n">
        <v>23.1379219285781</v>
      </c>
      <c r="GQ12" s="180" t="n">
        <v>23.2730119504936</v>
      </c>
      <c r="GR12" s="180" t="n">
        <v>23.4081019724094</v>
      </c>
      <c r="GS12" s="180" t="n">
        <v>23.5431919943249</v>
      </c>
      <c r="GT12" s="180" t="n">
        <v>23.6782820162407</v>
      </c>
      <c r="GU12" s="180" t="n">
        <v>23.8133720381562</v>
      </c>
      <c r="GV12" s="180" t="n">
        <v>23.948462060072</v>
      </c>
      <c r="GW12" s="180" t="n">
        <v>24.0835520819875</v>
      </c>
      <c r="GX12" s="180" t="n">
        <v>24.2186421039034</v>
      </c>
      <c r="GY12" s="180" t="n">
        <v>24.3537321258189</v>
      </c>
      <c r="GZ12" s="180" t="n">
        <v>24.4888221477347</v>
      </c>
      <c r="HA12" s="180" t="n">
        <v>24.6239121696502</v>
      </c>
      <c r="HB12" s="180" t="n">
        <v>24.759002191566</v>
      </c>
      <c r="HC12" s="180" t="n">
        <v>24.8940922134815</v>
      </c>
      <c r="HD12" s="180" t="n">
        <v>25.0291822353973</v>
      </c>
      <c r="HE12" s="180" t="n">
        <v>25.1642722573128</v>
      </c>
      <c r="HF12" s="180" t="n">
        <v>25.2993622792286</v>
      </c>
      <c r="HG12" s="180" t="n">
        <v>25.4344523011441</v>
      </c>
      <c r="HH12" s="180" t="n">
        <v>25.56954232306</v>
      </c>
      <c r="HI12" s="180" t="n">
        <v>25.7046323449754</v>
      </c>
      <c r="HJ12" s="180" t="n">
        <v>25.8397223668913</v>
      </c>
      <c r="HK12" s="180" t="n">
        <v>25.9748123888068</v>
      </c>
      <c r="HL12" s="180" t="n">
        <v>26.1099024107226</v>
      </c>
      <c r="HM12" s="180" t="n">
        <v>26.2449924326381</v>
      </c>
      <c r="HN12" s="180" t="n">
        <v>26.3800824545539</v>
      </c>
      <c r="HO12" s="180" t="n">
        <v>26.5151724764694</v>
      </c>
      <c r="HP12" s="180" t="n">
        <v>26.6502624983852</v>
      </c>
      <c r="HQ12" s="180" t="n">
        <v>26.7853525203007</v>
      </c>
      <c r="HR12" s="180" t="n">
        <v>26.9204425422166</v>
      </c>
      <c r="HS12" s="180" t="n">
        <v>27.055532564132</v>
      </c>
      <c r="HT12" s="180" t="n">
        <v>27.1906225860479</v>
      </c>
      <c r="HU12" s="180" t="n">
        <v>27.3257126079633</v>
      </c>
      <c r="HV12" s="180" t="n">
        <v>27.4608026298792</v>
      </c>
      <c r="HW12" s="180" t="n">
        <v>27.5958926517947</v>
      </c>
      <c r="HX12" s="180" t="n">
        <v>27.7309826737105</v>
      </c>
      <c r="HY12" s="180" t="n">
        <v>27.866072695626</v>
      </c>
      <c r="HZ12" s="180" t="n">
        <v>28.0011627175419</v>
      </c>
      <c r="IA12" s="180" t="n">
        <v>28.1362527394573</v>
      </c>
      <c r="IB12" s="180" t="n">
        <v>28.2713427613732</v>
      </c>
      <c r="IC12" s="180" t="n">
        <v>28.4064327832886</v>
      </c>
      <c r="ID12" s="180" t="n">
        <v>28.5415228052045</v>
      </c>
      <c r="IE12" s="180" t="n">
        <v>28.6766128271199</v>
      </c>
      <c r="IF12" s="180" t="n">
        <v>28.8117028490358</v>
      </c>
      <c r="IG12" s="180" t="n">
        <v>28.9467928709512</v>
      </c>
      <c r="IH12" s="180" t="n">
        <v>29.0818828928671</v>
      </c>
      <c r="II12" s="180" t="n">
        <v>29.2169729147826</v>
      </c>
      <c r="IJ12" s="180" t="n">
        <v>29.3520629366985</v>
      </c>
      <c r="IK12" s="180" t="n">
        <v>29.4871529586139</v>
      </c>
      <c r="IL12" s="180" t="n">
        <v>29.6222429805298</v>
      </c>
      <c r="IM12" s="180" t="n">
        <v>29.7573330024452</v>
      </c>
      <c r="IN12" s="180" t="n">
        <v>29.8924230243611</v>
      </c>
      <c r="IO12" s="180" t="n">
        <v>30.0275130462765</v>
      </c>
      <c r="IP12" s="180" t="n">
        <v>30.1626030681924</v>
      </c>
      <c r="IQ12" s="180" t="n">
        <v>30.2976930901078</v>
      </c>
      <c r="IR12" s="180" t="n">
        <v>30.4327831120237</v>
      </c>
      <c r="IS12" s="180" t="n">
        <v>30.5678731339392</v>
      </c>
      <c r="IT12" s="180" t="n">
        <v>30.7029631558551</v>
      </c>
      <c r="IU12" s="180" t="n">
        <v>30.8380531777705</v>
      </c>
      <c r="IV12" s="180" t="n">
        <v>30.9731431996864</v>
      </c>
    </row>
    <row r="13" customFormat="false" ht="12.75" hidden="false" customHeight="false" outlineLevel="0" collapsed="false">
      <c r="A13" s="184" t="n">
        <v>37073</v>
      </c>
      <c r="B13" s="185" t="n">
        <v>-2.52625741171875</v>
      </c>
      <c r="C13" s="185" t="n">
        <v>-2.48838092507813</v>
      </c>
      <c r="D13" s="185" t="n">
        <v>-2.4505044384375</v>
      </c>
      <c r="E13" s="185" t="n">
        <v>-2.41262795179688</v>
      </c>
      <c r="F13" s="185" t="n">
        <v>-2.37475146515625</v>
      </c>
      <c r="G13" s="185" t="n">
        <v>-2.33687497851563</v>
      </c>
      <c r="H13" s="185" t="n">
        <v>-2.298998491875</v>
      </c>
      <c r="I13" s="185" t="n">
        <v>-2.26112200523438</v>
      </c>
      <c r="J13" s="185" t="n">
        <v>-2.22324551859375</v>
      </c>
      <c r="K13" s="185" t="n">
        <v>-2.18536903195313</v>
      </c>
      <c r="L13" s="185" t="n">
        <v>-2.1474925453125</v>
      </c>
      <c r="M13" s="185" t="n">
        <v>-2.10961605867188</v>
      </c>
      <c r="N13" s="185" t="n">
        <v>-2.07173957203125</v>
      </c>
      <c r="O13" s="185" t="n">
        <v>-2.03386308539063</v>
      </c>
      <c r="P13" s="185" t="n">
        <v>-1.99598659875</v>
      </c>
      <c r="Q13" s="185" t="n">
        <v>-1.95811011210938</v>
      </c>
      <c r="R13" s="185" t="n">
        <v>-1.92023362546875</v>
      </c>
      <c r="S13" s="185" t="n">
        <v>-1.88235713882813</v>
      </c>
      <c r="T13" s="185" t="n">
        <v>-1.8444806521875</v>
      </c>
      <c r="U13" s="185" t="n">
        <v>-1.80660416554688</v>
      </c>
      <c r="V13" s="186" t="n">
        <v>-1.76872767890625</v>
      </c>
      <c r="W13" s="185" t="n">
        <v>-1.73085119226563</v>
      </c>
      <c r="X13" s="186" t="n">
        <v>-1.692974705625</v>
      </c>
      <c r="Y13" s="185" t="n">
        <v>-1.65509821898438</v>
      </c>
      <c r="Z13" s="186" t="n">
        <v>-1.61722173234375</v>
      </c>
      <c r="AA13" s="185" t="n">
        <v>-1.57934524570313</v>
      </c>
      <c r="AB13" s="187" t="n">
        <v>-1.5414687590625</v>
      </c>
      <c r="AC13" s="185" t="n">
        <v>-1.50359227242188</v>
      </c>
      <c r="AD13" s="187" t="n">
        <v>-1.46571578578125</v>
      </c>
      <c r="AE13" s="185" t="n">
        <v>-1.42783929914063</v>
      </c>
      <c r="AF13" s="185" t="n">
        <v>-1.3899628125</v>
      </c>
      <c r="AG13" s="185" t="n">
        <v>-1.35404390625</v>
      </c>
      <c r="AH13" s="188" t="n">
        <v>-1.318125</v>
      </c>
      <c r="AI13" s="185" t="n">
        <v>-1.2840625</v>
      </c>
      <c r="AJ13" s="185" t="n">
        <v>-1.25</v>
      </c>
      <c r="AK13" s="185" t="n">
        <v>-1</v>
      </c>
      <c r="AL13" s="185" t="n">
        <v>-0.75</v>
      </c>
      <c r="AM13" s="185" t="n">
        <v>-0.5</v>
      </c>
      <c r="AN13" s="185" t="n">
        <v>-0.25</v>
      </c>
      <c r="AO13" s="185" t="n">
        <v>0</v>
      </c>
      <c r="AP13" s="185" t="n">
        <v>0.25</v>
      </c>
      <c r="AQ13" s="185" t="n">
        <v>0.5</v>
      </c>
      <c r="AR13" s="185" t="n">
        <v>0.75</v>
      </c>
      <c r="AS13" s="185" t="n">
        <v>1</v>
      </c>
      <c r="AT13" s="185" t="n">
        <v>1.25</v>
      </c>
      <c r="AU13" s="185" t="n">
        <v>1.5</v>
      </c>
      <c r="AV13" s="185" t="n">
        <v>1.75</v>
      </c>
      <c r="AW13" s="185" t="n">
        <v>1.9875</v>
      </c>
      <c r="AX13" s="185" t="n">
        <v>2.225</v>
      </c>
      <c r="AY13" s="185" t="n">
        <v>2.450625</v>
      </c>
      <c r="AZ13" s="185" t="n">
        <v>2.67625</v>
      </c>
      <c r="BA13" s="185" t="n">
        <v>2.89059375</v>
      </c>
      <c r="BB13" s="185" t="n">
        <v>3.1049375</v>
      </c>
      <c r="BC13" s="185" t="n">
        <v>3.3085640625</v>
      </c>
      <c r="BD13" s="185" t="n">
        <v>3.512190625</v>
      </c>
      <c r="BE13" s="185" t="n">
        <v>3.705635859375</v>
      </c>
      <c r="BF13" s="185" t="n">
        <v>3.89908109375</v>
      </c>
      <c r="BG13" s="185" t="n">
        <v>4.08285406640625</v>
      </c>
      <c r="BH13" s="185" t="n">
        <v>4.2666270390625</v>
      </c>
      <c r="BI13" s="185" t="n">
        <v>4.44121136308594</v>
      </c>
      <c r="BJ13" s="185" t="n">
        <v>4.61579568710937</v>
      </c>
      <c r="BK13" s="185" t="n">
        <v>4.78165079493164</v>
      </c>
      <c r="BL13" s="185" t="n">
        <v>4.94750590275391</v>
      </c>
      <c r="BM13" s="185" t="n">
        <v>5.10506825518506</v>
      </c>
      <c r="BN13" s="185" t="n">
        <v>5.26263060761621</v>
      </c>
      <c r="BO13" s="185" t="n">
        <v>5.4123148424258</v>
      </c>
      <c r="BP13" s="185" t="n">
        <v>5.5619990772354</v>
      </c>
      <c r="BQ13" s="185" t="n">
        <v>5.70419910030451</v>
      </c>
      <c r="BR13" s="185" t="n">
        <v>5.84639912337363</v>
      </c>
      <c r="BS13" s="185" t="n">
        <v>5.98148914528929</v>
      </c>
      <c r="BT13" s="185" t="n">
        <v>6.11657916720495</v>
      </c>
      <c r="BU13" s="185" t="n">
        <v>6.25166918912061</v>
      </c>
      <c r="BV13" s="185" t="n">
        <v>6.38675921103626</v>
      </c>
      <c r="BW13" s="185" t="n">
        <v>6.52184923295192</v>
      </c>
      <c r="BX13" s="185" t="n">
        <v>6.65693925486758</v>
      </c>
      <c r="BY13" s="185" t="n">
        <v>6.79202927678324</v>
      </c>
      <c r="BZ13" s="185" t="n">
        <v>6.9271192986989</v>
      </c>
      <c r="CA13" s="185" t="n">
        <v>7.06220932061456</v>
      </c>
      <c r="CB13" s="185" t="n">
        <v>7.19729934253022</v>
      </c>
      <c r="CC13" s="185" t="n">
        <v>7.33238936444588</v>
      </c>
      <c r="CD13" s="185" t="n">
        <v>7.46747938636154</v>
      </c>
      <c r="CE13" s="185" t="n">
        <v>7.60256940827719</v>
      </c>
      <c r="CF13" s="185" t="n">
        <v>7.73765943019285</v>
      </c>
      <c r="CG13" s="185" t="n">
        <v>7.87274945210851</v>
      </c>
      <c r="CH13" s="185" t="n">
        <v>8.00783947402417</v>
      </c>
      <c r="CI13" s="185" t="n">
        <v>8.14292949593983</v>
      </c>
      <c r="CJ13" s="185" t="n">
        <v>8.27801951785549</v>
      </c>
      <c r="CK13" s="185" t="n">
        <v>8.41310953977115</v>
      </c>
      <c r="CL13" s="185" t="n">
        <v>8.54819956168681</v>
      </c>
      <c r="CM13" s="185" t="n">
        <v>8.68328958360246</v>
      </c>
      <c r="CN13" s="185" t="n">
        <v>8.81837960551813</v>
      </c>
      <c r="CO13" s="185" t="n">
        <v>8.95346962743378</v>
      </c>
      <c r="CP13" s="185" t="n">
        <v>9.08855964934945</v>
      </c>
      <c r="CQ13" s="185" t="n">
        <v>9.2236496712651</v>
      </c>
      <c r="CR13" s="185" t="n">
        <v>9.35873969318077</v>
      </c>
      <c r="CS13" s="185" t="n">
        <v>9.49382971509641</v>
      </c>
      <c r="CT13" s="185" t="n">
        <v>9.62891973701209</v>
      </c>
      <c r="CU13" s="185" t="n">
        <v>9.76400975892773</v>
      </c>
      <c r="CV13" s="185" t="n">
        <v>9.89909978084341</v>
      </c>
      <c r="CW13" s="185" t="n">
        <v>10.034189802759</v>
      </c>
      <c r="CX13" s="185" t="n">
        <v>10.1692798246747</v>
      </c>
      <c r="CY13" s="185" t="n">
        <v>10.3043698465904</v>
      </c>
      <c r="CZ13" s="185" t="n">
        <v>10.439459868506</v>
      </c>
      <c r="DA13" s="185" t="n">
        <v>10.5745498904217</v>
      </c>
      <c r="DB13" s="185" t="n">
        <v>10.7096399123374</v>
      </c>
      <c r="DC13" s="185" t="n">
        <v>10.844729934253</v>
      </c>
      <c r="DD13" s="185" t="n">
        <v>10.9798199561687</v>
      </c>
      <c r="DE13" s="185" t="n">
        <v>11.1149099780843</v>
      </c>
      <c r="DF13" s="185" t="n">
        <v>11.25</v>
      </c>
      <c r="DG13" s="185" t="n">
        <v>11.3850900219156</v>
      </c>
      <c r="DH13" s="185" t="n">
        <v>11.5201800438313</v>
      </c>
      <c r="DI13" s="185" t="n">
        <v>11.655270065747</v>
      </c>
      <c r="DJ13" s="185" t="n">
        <v>11.7903600876626</v>
      </c>
      <c r="DK13" s="185" t="n">
        <v>11.9254501095783</v>
      </c>
      <c r="DL13" s="185" t="n">
        <v>12.060540131494</v>
      </c>
      <c r="DM13" s="185" t="n">
        <v>12.1956301534096</v>
      </c>
      <c r="DN13" s="185" t="n">
        <v>12.3307201753253</v>
      </c>
      <c r="DO13" s="185" t="n">
        <v>12.4658101972409</v>
      </c>
      <c r="DP13" s="185" t="n">
        <v>12.6009002191566</v>
      </c>
      <c r="DQ13" s="185" t="n">
        <v>12.7359902410722</v>
      </c>
      <c r="DR13" s="185" t="n">
        <v>12.8710802629879</v>
      </c>
      <c r="DS13" s="185" t="n">
        <v>13.0061702849035</v>
      </c>
      <c r="DT13" s="185" t="n">
        <v>13.1412603068192</v>
      </c>
      <c r="DU13" s="185" t="n">
        <v>13.2763503287349</v>
      </c>
      <c r="DV13" s="185" t="n">
        <v>13.4114403506506</v>
      </c>
      <c r="DW13" s="185" t="n">
        <v>13.5465303725662</v>
      </c>
      <c r="DX13" s="185" t="n">
        <v>13.6816203944819</v>
      </c>
      <c r="DY13" s="185" t="n">
        <v>13.8167104163975</v>
      </c>
      <c r="DZ13" s="185" t="n">
        <v>13.9518004383132</v>
      </c>
      <c r="EA13" s="185" t="n">
        <v>14.0868904602288</v>
      </c>
      <c r="EB13" s="185" t="n">
        <v>14.2219804821445</v>
      </c>
      <c r="EC13" s="185" t="n">
        <v>14.3570705040601</v>
      </c>
      <c r="ED13" s="185" t="n">
        <v>14.4921605259758</v>
      </c>
      <c r="EE13" s="185" t="n">
        <v>14.6272505478914</v>
      </c>
      <c r="EF13" s="185" t="n">
        <v>14.7623405698071</v>
      </c>
      <c r="EG13" s="185" t="n">
        <v>14.8974305917228</v>
      </c>
      <c r="EH13" s="185" t="n">
        <v>15.0325206136385</v>
      </c>
      <c r="EI13" s="185" t="n">
        <v>15.1676106355541</v>
      </c>
      <c r="EJ13" s="185" t="n">
        <v>15.3027006574698</v>
      </c>
      <c r="EK13" s="185" t="n">
        <v>15.4377906793854</v>
      </c>
      <c r="EL13" s="180" t="n">
        <v>15.5728807013011</v>
      </c>
      <c r="EM13" s="180" t="n">
        <v>15.7079707232167</v>
      </c>
      <c r="EN13" s="180" t="n">
        <v>15.8430607451324</v>
      </c>
      <c r="EO13" s="180" t="n">
        <v>15.978150767048</v>
      </c>
      <c r="EP13" s="180" t="n">
        <v>16.1132407889637</v>
      </c>
      <c r="EQ13" s="180" t="n">
        <v>16.2483308108793</v>
      </c>
      <c r="ER13" s="180" t="n">
        <v>16.3834208327951</v>
      </c>
      <c r="ES13" s="180" t="n">
        <v>16.5185108547107</v>
      </c>
      <c r="ET13" s="180" t="n">
        <v>16.6536008766264</v>
      </c>
      <c r="EU13" s="180" t="n">
        <v>16.788690898542</v>
      </c>
      <c r="EV13" s="180" t="n">
        <v>16.9237809204577</v>
      </c>
      <c r="EW13" s="180" t="n">
        <v>17.0588709423733</v>
      </c>
      <c r="EX13" s="180" t="n">
        <v>17.193960964289</v>
      </c>
      <c r="EY13" s="180" t="n">
        <v>17.3290509862046</v>
      </c>
      <c r="EZ13" s="180" t="n">
        <v>17.4641410081203</v>
      </c>
      <c r="FA13" s="180" t="n">
        <v>17.5992310300359</v>
      </c>
      <c r="FB13" s="180" t="n">
        <v>17.7343210519517</v>
      </c>
      <c r="FC13" s="180" t="n">
        <v>17.8694110738672</v>
      </c>
      <c r="FD13" s="180" t="n">
        <v>18.004501095783</v>
      </c>
      <c r="FE13" s="180" t="n">
        <v>18.1395911176986</v>
      </c>
      <c r="FF13" s="180" t="n">
        <v>18.2746811396143</v>
      </c>
      <c r="FG13" s="180" t="n">
        <v>18.4097711615299</v>
      </c>
      <c r="FH13" s="180" t="n">
        <v>18.5448611834456</v>
      </c>
      <c r="FI13" s="180" t="n">
        <v>18.6799512053612</v>
      </c>
      <c r="FJ13" s="180" t="n">
        <v>18.8150412272769</v>
      </c>
      <c r="FK13" s="180" t="n">
        <v>18.9501312491925</v>
      </c>
      <c r="FL13" s="180" t="n">
        <v>19.0852212711083</v>
      </c>
      <c r="FM13" s="180" t="n">
        <v>19.2203112930238</v>
      </c>
      <c r="FN13" s="180" t="n">
        <v>19.3554013149396</v>
      </c>
      <c r="FO13" s="180" t="n">
        <v>19.4904913368551</v>
      </c>
      <c r="FP13" s="180" t="n">
        <v>19.6255813587709</v>
      </c>
      <c r="FQ13" s="180" t="n">
        <v>19.7606713806865</v>
      </c>
      <c r="FR13" s="180" t="n">
        <v>19.8957614026022</v>
      </c>
      <c r="FS13" s="180" t="n">
        <v>20.0308514245178</v>
      </c>
      <c r="FT13" s="180" t="n">
        <v>20.1659414464336</v>
      </c>
      <c r="FU13" s="180" t="n">
        <v>20.3010314683491</v>
      </c>
      <c r="FV13" s="180" t="n">
        <v>20.4361214902649</v>
      </c>
      <c r="FW13" s="180" t="n">
        <v>20.5712115121804</v>
      </c>
      <c r="FX13" s="180" t="n">
        <v>20.7063015340962</v>
      </c>
      <c r="FY13" s="180" t="n">
        <v>20.8413915560117</v>
      </c>
      <c r="FZ13" s="180" t="n">
        <v>20.9764815779275</v>
      </c>
      <c r="GA13" s="180" t="n">
        <v>21.1115715998431</v>
      </c>
      <c r="GB13" s="180" t="n">
        <v>21.2466616217588</v>
      </c>
      <c r="GC13" s="180" t="n">
        <v>21.3817516436744</v>
      </c>
      <c r="GD13" s="180" t="n">
        <v>21.5168416655902</v>
      </c>
      <c r="GE13" s="180" t="n">
        <v>21.6519316875057</v>
      </c>
      <c r="GF13" s="180" t="n">
        <v>21.7870217094215</v>
      </c>
      <c r="GG13" s="180" t="n">
        <v>21.922111731337</v>
      </c>
      <c r="GH13" s="180" t="n">
        <v>22.0572017532528</v>
      </c>
      <c r="GI13" s="180" t="n">
        <v>22.1922917751683</v>
      </c>
      <c r="GJ13" s="180" t="n">
        <v>22.3273817970841</v>
      </c>
      <c r="GK13" s="180" t="n">
        <v>22.4624718189996</v>
      </c>
      <c r="GL13" s="180" t="n">
        <v>22.5975618409154</v>
      </c>
      <c r="GM13" s="180" t="n">
        <v>22.732651862831</v>
      </c>
      <c r="GN13" s="180" t="n">
        <v>22.8677418847468</v>
      </c>
      <c r="GO13" s="180" t="n">
        <v>23.0028319066623</v>
      </c>
      <c r="GP13" s="180" t="n">
        <v>23.1379219285781</v>
      </c>
      <c r="GQ13" s="180" t="n">
        <v>23.2730119504936</v>
      </c>
      <c r="GR13" s="180" t="n">
        <v>23.4081019724094</v>
      </c>
      <c r="GS13" s="180" t="n">
        <v>23.5431919943249</v>
      </c>
      <c r="GT13" s="180" t="n">
        <v>23.6782820162407</v>
      </c>
      <c r="GU13" s="180" t="n">
        <v>23.8133720381562</v>
      </c>
      <c r="GV13" s="180" t="n">
        <v>23.948462060072</v>
      </c>
      <c r="GW13" s="180" t="n">
        <v>24.0835520819875</v>
      </c>
      <c r="GX13" s="180" t="n">
        <v>24.2186421039034</v>
      </c>
      <c r="GY13" s="180" t="n">
        <v>24.3537321258189</v>
      </c>
      <c r="GZ13" s="180" t="n">
        <v>24.4888221477347</v>
      </c>
      <c r="HA13" s="180" t="n">
        <v>24.6239121696502</v>
      </c>
      <c r="HB13" s="180" t="n">
        <v>24.759002191566</v>
      </c>
      <c r="HC13" s="180" t="n">
        <v>24.8940922134815</v>
      </c>
      <c r="HD13" s="180" t="n">
        <v>25.0291822353973</v>
      </c>
      <c r="HE13" s="180" t="n">
        <v>25.1642722573128</v>
      </c>
      <c r="HF13" s="180" t="n">
        <v>25.2993622792286</v>
      </c>
      <c r="HG13" s="180" t="n">
        <v>25.4344523011441</v>
      </c>
      <c r="HH13" s="180" t="n">
        <v>25.56954232306</v>
      </c>
      <c r="HI13" s="180" t="n">
        <v>25.7046323449754</v>
      </c>
      <c r="HJ13" s="180" t="n">
        <v>25.8397223668913</v>
      </c>
      <c r="HK13" s="180" t="n">
        <v>25.9748123888068</v>
      </c>
      <c r="HL13" s="180" t="n">
        <v>26.1099024107226</v>
      </c>
      <c r="HM13" s="180" t="n">
        <v>26.2449924326381</v>
      </c>
      <c r="HN13" s="180" t="n">
        <v>26.3800824545539</v>
      </c>
      <c r="HO13" s="180" t="n">
        <v>26.5151724764694</v>
      </c>
      <c r="HP13" s="180" t="n">
        <v>26.6502624983852</v>
      </c>
      <c r="HQ13" s="180" t="n">
        <v>26.7853525203007</v>
      </c>
      <c r="HR13" s="180" t="n">
        <v>26.9204425422166</v>
      </c>
      <c r="HS13" s="180" t="n">
        <v>27.055532564132</v>
      </c>
      <c r="HT13" s="180" t="n">
        <v>27.1906225860479</v>
      </c>
      <c r="HU13" s="180" t="n">
        <v>27.3257126079633</v>
      </c>
      <c r="HV13" s="180" t="n">
        <v>27.4608026298792</v>
      </c>
      <c r="HW13" s="180" t="n">
        <v>27.5958926517947</v>
      </c>
      <c r="HX13" s="180" t="n">
        <v>27.7309826737105</v>
      </c>
      <c r="HY13" s="180" t="n">
        <v>27.866072695626</v>
      </c>
      <c r="HZ13" s="180" t="n">
        <v>28.0011627175419</v>
      </c>
      <c r="IA13" s="180" t="n">
        <v>28.1362527394573</v>
      </c>
      <c r="IB13" s="180" t="n">
        <v>28.2713427613732</v>
      </c>
      <c r="IC13" s="180" t="n">
        <v>28.4064327832886</v>
      </c>
      <c r="ID13" s="180" t="n">
        <v>28.5415228052045</v>
      </c>
      <c r="IE13" s="180" t="n">
        <v>28.6766128271199</v>
      </c>
      <c r="IF13" s="180" t="n">
        <v>28.8117028490358</v>
      </c>
      <c r="IG13" s="180" t="n">
        <v>28.9467928709512</v>
      </c>
      <c r="IH13" s="180" t="n">
        <v>29.0818828928671</v>
      </c>
      <c r="II13" s="180" t="n">
        <v>29.2169729147826</v>
      </c>
      <c r="IJ13" s="180" t="n">
        <v>29.3520629366985</v>
      </c>
      <c r="IK13" s="180" t="n">
        <v>29.4871529586139</v>
      </c>
      <c r="IL13" s="180" t="n">
        <v>29.6222429805298</v>
      </c>
      <c r="IM13" s="180" t="n">
        <v>29.7573330024452</v>
      </c>
      <c r="IN13" s="180" t="n">
        <v>29.8924230243611</v>
      </c>
      <c r="IO13" s="180" t="n">
        <v>30.0275130462765</v>
      </c>
      <c r="IP13" s="180" t="n">
        <v>30.1626030681924</v>
      </c>
      <c r="IQ13" s="180" t="n">
        <v>30.2976930901078</v>
      </c>
      <c r="IR13" s="180" t="n">
        <v>30.4327831120237</v>
      </c>
      <c r="IS13" s="180" t="n">
        <v>30.5678731339392</v>
      </c>
      <c r="IT13" s="180" t="n">
        <v>30.7029631558551</v>
      </c>
      <c r="IU13" s="180" t="n">
        <v>30.8380531777705</v>
      </c>
      <c r="IV13" s="180" t="n">
        <v>30.9731431996864</v>
      </c>
    </row>
    <row r="14" customFormat="false" ht="12.75" hidden="false" customHeight="false" outlineLevel="0" collapsed="false">
      <c r="A14" s="184" t="n">
        <v>37104</v>
      </c>
      <c r="B14" s="185" t="n">
        <v>-2.52625741171875</v>
      </c>
      <c r="C14" s="185" t="n">
        <v>-2.48838092507813</v>
      </c>
      <c r="D14" s="185" t="n">
        <v>-2.4505044384375</v>
      </c>
      <c r="E14" s="185" t="n">
        <v>-2.41262795179688</v>
      </c>
      <c r="F14" s="185" t="n">
        <v>-2.37475146515625</v>
      </c>
      <c r="G14" s="185" t="n">
        <v>-2.33687497851563</v>
      </c>
      <c r="H14" s="185" t="n">
        <v>-2.298998491875</v>
      </c>
      <c r="I14" s="185" t="n">
        <v>-2.26112200523438</v>
      </c>
      <c r="J14" s="185" t="n">
        <v>-2.22324551859375</v>
      </c>
      <c r="K14" s="185" t="n">
        <v>-2.18536903195313</v>
      </c>
      <c r="L14" s="185" t="n">
        <v>-2.1474925453125</v>
      </c>
      <c r="M14" s="185" t="n">
        <v>-2.10961605867188</v>
      </c>
      <c r="N14" s="185" t="n">
        <v>-2.07173957203125</v>
      </c>
      <c r="O14" s="185" t="n">
        <v>-2.03386308539063</v>
      </c>
      <c r="P14" s="185" t="n">
        <v>-1.99598659875</v>
      </c>
      <c r="Q14" s="185" t="n">
        <v>-1.95811011210938</v>
      </c>
      <c r="R14" s="185" t="n">
        <v>-1.92023362546875</v>
      </c>
      <c r="S14" s="185" t="n">
        <v>-1.88235713882813</v>
      </c>
      <c r="T14" s="185" t="n">
        <v>-1.8444806521875</v>
      </c>
      <c r="U14" s="185" t="n">
        <v>-1.80660416554688</v>
      </c>
      <c r="V14" s="186" t="n">
        <v>-1.76872767890625</v>
      </c>
      <c r="W14" s="185" t="n">
        <v>-1.73085119226563</v>
      </c>
      <c r="X14" s="186" t="n">
        <v>-1.692974705625</v>
      </c>
      <c r="Y14" s="185" t="n">
        <v>-1.65509821898438</v>
      </c>
      <c r="Z14" s="186" t="n">
        <v>-1.61722173234375</v>
      </c>
      <c r="AA14" s="185" t="n">
        <v>-1.57934524570313</v>
      </c>
      <c r="AB14" s="187" t="n">
        <v>-1.5414687590625</v>
      </c>
      <c r="AC14" s="185" t="n">
        <v>-1.50359227242188</v>
      </c>
      <c r="AD14" s="187" t="n">
        <v>-1.46571578578125</v>
      </c>
      <c r="AE14" s="185" t="n">
        <v>-1.42783929914063</v>
      </c>
      <c r="AF14" s="185" t="n">
        <v>-1.3899628125</v>
      </c>
      <c r="AG14" s="185" t="n">
        <v>-1.35404390625</v>
      </c>
      <c r="AH14" s="188" t="n">
        <v>-1.318125</v>
      </c>
      <c r="AI14" s="185" t="n">
        <v>-1.2840625</v>
      </c>
      <c r="AJ14" s="185" t="n">
        <v>-1.25</v>
      </c>
      <c r="AK14" s="185" t="n">
        <v>-1</v>
      </c>
      <c r="AL14" s="185" t="n">
        <v>-0.75</v>
      </c>
      <c r="AM14" s="185" t="n">
        <v>-0.5</v>
      </c>
      <c r="AN14" s="185" t="n">
        <v>-0.25</v>
      </c>
      <c r="AO14" s="185" t="n">
        <v>0</v>
      </c>
      <c r="AP14" s="185" t="n">
        <v>0.25</v>
      </c>
      <c r="AQ14" s="185" t="n">
        <v>0.5</v>
      </c>
      <c r="AR14" s="185" t="n">
        <v>0.75</v>
      </c>
      <c r="AS14" s="185" t="n">
        <v>1</v>
      </c>
      <c r="AT14" s="185" t="n">
        <v>1.25</v>
      </c>
      <c r="AU14" s="185" t="n">
        <v>1.5</v>
      </c>
      <c r="AV14" s="185" t="n">
        <v>1.75</v>
      </c>
      <c r="AW14" s="185" t="n">
        <v>1.9875</v>
      </c>
      <c r="AX14" s="185" t="n">
        <v>2.225</v>
      </c>
      <c r="AY14" s="185" t="n">
        <v>2.450625</v>
      </c>
      <c r="AZ14" s="185" t="n">
        <v>2.67625</v>
      </c>
      <c r="BA14" s="185" t="n">
        <v>2.89059375</v>
      </c>
      <c r="BB14" s="185" t="n">
        <v>3.1049375</v>
      </c>
      <c r="BC14" s="185" t="n">
        <v>3.3085640625</v>
      </c>
      <c r="BD14" s="185" t="n">
        <v>3.512190625</v>
      </c>
      <c r="BE14" s="185" t="n">
        <v>3.705635859375</v>
      </c>
      <c r="BF14" s="185" t="n">
        <v>3.89908109375</v>
      </c>
      <c r="BG14" s="185" t="n">
        <v>4.08285406640625</v>
      </c>
      <c r="BH14" s="185" t="n">
        <v>4.2666270390625</v>
      </c>
      <c r="BI14" s="185" t="n">
        <v>4.44121136308594</v>
      </c>
      <c r="BJ14" s="185" t="n">
        <v>4.61579568710937</v>
      </c>
      <c r="BK14" s="185" t="n">
        <v>4.78165079493164</v>
      </c>
      <c r="BL14" s="185" t="n">
        <v>4.94750590275391</v>
      </c>
      <c r="BM14" s="185" t="n">
        <v>5.10506825518506</v>
      </c>
      <c r="BN14" s="185" t="n">
        <v>5.26263060761621</v>
      </c>
      <c r="BO14" s="185" t="n">
        <v>5.4123148424258</v>
      </c>
      <c r="BP14" s="185" t="n">
        <v>5.5619990772354</v>
      </c>
      <c r="BQ14" s="185" t="n">
        <v>5.70419910030451</v>
      </c>
      <c r="BR14" s="185" t="n">
        <v>5.84639912337363</v>
      </c>
      <c r="BS14" s="185" t="n">
        <v>5.98148914528929</v>
      </c>
      <c r="BT14" s="185" t="n">
        <v>6.11657916720495</v>
      </c>
      <c r="BU14" s="185" t="n">
        <v>6.25166918912061</v>
      </c>
      <c r="BV14" s="185" t="n">
        <v>6.38675921103626</v>
      </c>
      <c r="BW14" s="185" t="n">
        <v>6.52184923295192</v>
      </c>
      <c r="BX14" s="185" t="n">
        <v>6.65693925486758</v>
      </c>
      <c r="BY14" s="185" t="n">
        <v>6.79202927678324</v>
      </c>
      <c r="BZ14" s="185" t="n">
        <v>6.9271192986989</v>
      </c>
      <c r="CA14" s="185" t="n">
        <v>7.06220932061456</v>
      </c>
      <c r="CB14" s="185" t="n">
        <v>7.19729934253022</v>
      </c>
      <c r="CC14" s="185" t="n">
        <v>7.33238936444588</v>
      </c>
      <c r="CD14" s="185" t="n">
        <v>7.46747938636154</v>
      </c>
      <c r="CE14" s="185" t="n">
        <v>7.60256940827719</v>
      </c>
      <c r="CF14" s="185" t="n">
        <v>7.73765943019285</v>
      </c>
      <c r="CG14" s="185" t="n">
        <v>7.87274945210851</v>
      </c>
      <c r="CH14" s="185" t="n">
        <v>8.00783947402417</v>
      </c>
      <c r="CI14" s="185" t="n">
        <v>8.14292949593983</v>
      </c>
      <c r="CJ14" s="185" t="n">
        <v>8.27801951785549</v>
      </c>
      <c r="CK14" s="185" t="n">
        <v>8.41310953977115</v>
      </c>
      <c r="CL14" s="185" t="n">
        <v>8.54819956168681</v>
      </c>
      <c r="CM14" s="185" t="n">
        <v>8.68328958360246</v>
      </c>
      <c r="CN14" s="185" t="n">
        <v>8.81837960551813</v>
      </c>
      <c r="CO14" s="185" t="n">
        <v>8.95346962743378</v>
      </c>
      <c r="CP14" s="185" t="n">
        <v>9.08855964934945</v>
      </c>
      <c r="CQ14" s="185" t="n">
        <v>9.2236496712651</v>
      </c>
      <c r="CR14" s="185" t="n">
        <v>9.35873969318077</v>
      </c>
      <c r="CS14" s="185" t="n">
        <v>9.49382971509641</v>
      </c>
      <c r="CT14" s="185" t="n">
        <v>9.62891973701209</v>
      </c>
      <c r="CU14" s="185" t="n">
        <v>9.76400975892773</v>
      </c>
      <c r="CV14" s="185" t="n">
        <v>9.89909978084341</v>
      </c>
      <c r="CW14" s="185" t="n">
        <v>10.034189802759</v>
      </c>
      <c r="CX14" s="185" t="n">
        <v>10.1692798246747</v>
      </c>
      <c r="CY14" s="185" t="n">
        <v>10.3043698465904</v>
      </c>
      <c r="CZ14" s="185" t="n">
        <v>10.439459868506</v>
      </c>
      <c r="DA14" s="185" t="n">
        <v>10.5745498904217</v>
      </c>
      <c r="DB14" s="185" t="n">
        <v>10.7096399123374</v>
      </c>
      <c r="DC14" s="185" t="n">
        <v>10.844729934253</v>
      </c>
      <c r="DD14" s="185" t="n">
        <v>10.9798199561687</v>
      </c>
      <c r="DE14" s="185" t="n">
        <v>11.1149099780843</v>
      </c>
      <c r="DF14" s="185" t="n">
        <v>11.25</v>
      </c>
      <c r="DG14" s="185" t="n">
        <v>11.3850900219156</v>
      </c>
      <c r="DH14" s="185" t="n">
        <v>11.5201800438313</v>
      </c>
      <c r="DI14" s="185" t="n">
        <v>11.655270065747</v>
      </c>
      <c r="DJ14" s="185" t="n">
        <v>11.7903600876626</v>
      </c>
      <c r="DK14" s="185" t="n">
        <v>11.9254501095783</v>
      </c>
      <c r="DL14" s="185" t="n">
        <v>12.060540131494</v>
      </c>
      <c r="DM14" s="185" t="n">
        <v>12.1956301534096</v>
      </c>
      <c r="DN14" s="185" t="n">
        <v>12.3307201753253</v>
      </c>
      <c r="DO14" s="185" t="n">
        <v>12.4658101972409</v>
      </c>
      <c r="DP14" s="185" t="n">
        <v>12.6009002191566</v>
      </c>
      <c r="DQ14" s="185" t="n">
        <v>12.7359902410722</v>
      </c>
      <c r="DR14" s="185" t="n">
        <v>12.8710802629879</v>
      </c>
      <c r="DS14" s="185" t="n">
        <v>13.0061702849035</v>
      </c>
      <c r="DT14" s="185" t="n">
        <v>13.1412603068192</v>
      </c>
      <c r="DU14" s="185" t="n">
        <v>13.2763503287349</v>
      </c>
      <c r="DV14" s="185" t="n">
        <v>13.4114403506506</v>
      </c>
      <c r="DW14" s="185" t="n">
        <v>13.5465303725662</v>
      </c>
      <c r="DX14" s="185" t="n">
        <v>13.6816203944819</v>
      </c>
      <c r="DY14" s="185" t="n">
        <v>13.8167104163975</v>
      </c>
      <c r="DZ14" s="185" t="n">
        <v>13.9518004383132</v>
      </c>
      <c r="EA14" s="185" t="n">
        <v>14.0868904602288</v>
      </c>
      <c r="EB14" s="185" t="n">
        <v>14.2219804821445</v>
      </c>
      <c r="EC14" s="185" t="n">
        <v>14.3570705040601</v>
      </c>
      <c r="ED14" s="185" t="n">
        <v>14.4921605259758</v>
      </c>
      <c r="EE14" s="185" t="n">
        <v>14.6272505478914</v>
      </c>
      <c r="EF14" s="185" t="n">
        <v>14.7623405698071</v>
      </c>
      <c r="EG14" s="185" t="n">
        <v>14.8974305917228</v>
      </c>
      <c r="EH14" s="185" t="n">
        <v>15.0325206136385</v>
      </c>
      <c r="EI14" s="185" t="n">
        <v>15.1676106355541</v>
      </c>
      <c r="EJ14" s="185" t="n">
        <v>15.3027006574698</v>
      </c>
      <c r="EK14" s="185" t="n">
        <v>15.4377906793854</v>
      </c>
      <c r="EL14" s="180" t="n">
        <v>15.5728807013011</v>
      </c>
      <c r="EM14" s="180" t="n">
        <v>15.7079707232167</v>
      </c>
      <c r="EN14" s="180" t="n">
        <v>15.8430607451324</v>
      </c>
      <c r="EO14" s="180" t="n">
        <v>15.978150767048</v>
      </c>
      <c r="EP14" s="180" t="n">
        <v>16.1132407889637</v>
      </c>
      <c r="EQ14" s="180" t="n">
        <v>16.2483308108793</v>
      </c>
      <c r="ER14" s="180" t="n">
        <v>16.3834208327951</v>
      </c>
      <c r="ES14" s="180" t="n">
        <v>16.5185108547107</v>
      </c>
      <c r="ET14" s="180" t="n">
        <v>16.6536008766264</v>
      </c>
      <c r="EU14" s="180" t="n">
        <v>16.788690898542</v>
      </c>
      <c r="EV14" s="180" t="n">
        <v>16.9237809204577</v>
      </c>
      <c r="EW14" s="180" t="n">
        <v>17.0588709423733</v>
      </c>
      <c r="EX14" s="180" t="n">
        <v>17.193960964289</v>
      </c>
      <c r="EY14" s="180" t="n">
        <v>17.3290509862046</v>
      </c>
      <c r="EZ14" s="180" t="n">
        <v>17.4641410081203</v>
      </c>
      <c r="FA14" s="180" t="n">
        <v>17.5992310300359</v>
      </c>
      <c r="FB14" s="180" t="n">
        <v>17.7343210519517</v>
      </c>
      <c r="FC14" s="180" t="n">
        <v>17.8694110738672</v>
      </c>
      <c r="FD14" s="180" t="n">
        <v>18.004501095783</v>
      </c>
      <c r="FE14" s="180" t="n">
        <v>18.1395911176986</v>
      </c>
      <c r="FF14" s="180" t="n">
        <v>18.2746811396143</v>
      </c>
      <c r="FG14" s="180" t="n">
        <v>18.4097711615299</v>
      </c>
      <c r="FH14" s="180" t="n">
        <v>18.5448611834456</v>
      </c>
      <c r="FI14" s="180" t="n">
        <v>18.6799512053612</v>
      </c>
      <c r="FJ14" s="180" t="n">
        <v>18.8150412272769</v>
      </c>
      <c r="FK14" s="180" t="n">
        <v>18.9501312491925</v>
      </c>
      <c r="FL14" s="180" t="n">
        <v>19.0852212711083</v>
      </c>
      <c r="FM14" s="180" t="n">
        <v>19.2203112930238</v>
      </c>
      <c r="FN14" s="180" t="n">
        <v>19.3554013149396</v>
      </c>
      <c r="FO14" s="180" t="n">
        <v>19.4904913368551</v>
      </c>
      <c r="FP14" s="180" t="n">
        <v>19.6255813587709</v>
      </c>
      <c r="FQ14" s="180" t="n">
        <v>19.7606713806865</v>
      </c>
      <c r="FR14" s="180" t="n">
        <v>19.8957614026022</v>
      </c>
      <c r="FS14" s="180" t="n">
        <v>20.0308514245178</v>
      </c>
      <c r="FT14" s="180" t="n">
        <v>20.1659414464336</v>
      </c>
      <c r="FU14" s="180" t="n">
        <v>20.3010314683491</v>
      </c>
      <c r="FV14" s="180" t="n">
        <v>20.4361214902649</v>
      </c>
      <c r="FW14" s="180" t="n">
        <v>20.5712115121804</v>
      </c>
      <c r="FX14" s="180" t="n">
        <v>20.7063015340962</v>
      </c>
      <c r="FY14" s="180" t="n">
        <v>20.8413915560117</v>
      </c>
      <c r="FZ14" s="180" t="n">
        <v>20.9764815779275</v>
      </c>
      <c r="GA14" s="180" t="n">
        <v>21.1115715998431</v>
      </c>
      <c r="GB14" s="180" t="n">
        <v>21.2466616217588</v>
      </c>
      <c r="GC14" s="180" t="n">
        <v>21.3817516436744</v>
      </c>
      <c r="GD14" s="180" t="n">
        <v>21.5168416655902</v>
      </c>
      <c r="GE14" s="180" t="n">
        <v>21.6519316875057</v>
      </c>
      <c r="GF14" s="180" t="n">
        <v>21.7870217094215</v>
      </c>
      <c r="GG14" s="180" t="n">
        <v>21.922111731337</v>
      </c>
      <c r="GH14" s="180" t="n">
        <v>22.0572017532528</v>
      </c>
      <c r="GI14" s="180" t="n">
        <v>22.1922917751683</v>
      </c>
      <c r="GJ14" s="180" t="n">
        <v>22.3273817970841</v>
      </c>
      <c r="GK14" s="180" t="n">
        <v>22.4624718189996</v>
      </c>
      <c r="GL14" s="180" t="n">
        <v>22.5975618409154</v>
      </c>
      <c r="GM14" s="180" t="n">
        <v>22.732651862831</v>
      </c>
      <c r="GN14" s="180" t="n">
        <v>22.8677418847468</v>
      </c>
      <c r="GO14" s="180" t="n">
        <v>23.0028319066623</v>
      </c>
      <c r="GP14" s="180" t="n">
        <v>23.1379219285781</v>
      </c>
      <c r="GQ14" s="180" t="n">
        <v>23.2730119504936</v>
      </c>
      <c r="GR14" s="180" t="n">
        <v>23.4081019724094</v>
      </c>
      <c r="GS14" s="180" t="n">
        <v>23.5431919943249</v>
      </c>
      <c r="GT14" s="180" t="n">
        <v>23.6782820162407</v>
      </c>
      <c r="GU14" s="180" t="n">
        <v>23.8133720381562</v>
      </c>
      <c r="GV14" s="180" t="n">
        <v>23.948462060072</v>
      </c>
      <c r="GW14" s="180" t="n">
        <v>24.0835520819875</v>
      </c>
      <c r="GX14" s="180" t="n">
        <v>24.2186421039034</v>
      </c>
      <c r="GY14" s="180" t="n">
        <v>24.3537321258189</v>
      </c>
      <c r="GZ14" s="180" t="n">
        <v>24.4888221477347</v>
      </c>
      <c r="HA14" s="180" t="n">
        <v>24.6239121696502</v>
      </c>
      <c r="HB14" s="180" t="n">
        <v>24.759002191566</v>
      </c>
      <c r="HC14" s="180" t="n">
        <v>24.8940922134815</v>
      </c>
      <c r="HD14" s="180" t="n">
        <v>25.0291822353973</v>
      </c>
      <c r="HE14" s="180" t="n">
        <v>25.1642722573128</v>
      </c>
      <c r="HF14" s="180" t="n">
        <v>25.2993622792286</v>
      </c>
      <c r="HG14" s="180" t="n">
        <v>25.4344523011441</v>
      </c>
      <c r="HH14" s="180" t="n">
        <v>25.56954232306</v>
      </c>
      <c r="HI14" s="180" t="n">
        <v>25.7046323449754</v>
      </c>
      <c r="HJ14" s="180" t="n">
        <v>25.8397223668913</v>
      </c>
      <c r="HK14" s="180" t="n">
        <v>25.9748123888068</v>
      </c>
      <c r="HL14" s="180" t="n">
        <v>26.1099024107226</v>
      </c>
      <c r="HM14" s="180" t="n">
        <v>26.2449924326381</v>
      </c>
      <c r="HN14" s="180" t="n">
        <v>26.3800824545539</v>
      </c>
      <c r="HO14" s="180" t="n">
        <v>26.5151724764694</v>
      </c>
      <c r="HP14" s="180" t="n">
        <v>26.6502624983852</v>
      </c>
      <c r="HQ14" s="180" t="n">
        <v>26.7853525203007</v>
      </c>
      <c r="HR14" s="180" t="n">
        <v>26.9204425422166</v>
      </c>
      <c r="HS14" s="180" t="n">
        <v>27.055532564132</v>
      </c>
      <c r="HT14" s="180" t="n">
        <v>27.1906225860479</v>
      </c>
      <c r="HU14" s="180" t="n">
        <v>27.3257126079633</v>
      </c>
      <c r="HV14" s="180" t="n">
        <v>27.4608026298792</v>
      </c>
      <c r="HW14" s="180" t="n">
        <v>27.5958926517947</v>
      </c>
      <c r="HX14" s="180" t="n">
        <v>27.7309826737105</v>
      </c>
      <c r="HY14" s="180" t="n">
        <v>27.866072695626</v>
      </c>
      <c r="HZ14" s="180" t="n">
        <v>28.0011627175419</v>
      </c>
      <c r="IA14" s="180" t="n">
        <v>28.1362527394573</v>
      </c>
      <c r="IB14" s="180" t="n">
        <v>28.2713427613732</v>
      </c>
      <c r="IC14" s="180" t="n">
        <v>28.4064327832886</v>
      </c>
      <c r="ID14" s="180" t="n">
        <v>28.5415228052045</v>
      </c>
      <c r="IE14" s="180" t="n">
        <v>28.6766128271199</v>
      </c>
      <c r="IF14" s="180" t="n">
        <v>28.8117028490358</v>
      </c>
      <c r="IG14" s="180" t="n">
        <v>28.9467928709512</v>
      </c>
      <c r="IH14" s="180" t="n">
        <v>29.0818828928671</v>
      </c>
      <c r="II14" s="180" t="n">
        <v>29.2169729147826</v>
      </c>
      <c r="IJ14" s="180" t="n">
        <v>29.3520629366985</v>
      </c>
      <c r="IK14" s="180" t="n">
        <v>29.4871529586139</v>
      </c>
      <c r="IL14" s="180" t="n">
        <v>29.6222429805298</v>
      </c>
      <c r="IM14" s="180" t="n">
        <v>29.7573330024452</v>
      </c>
      <c r="IN14" s="180" t="n">
        <v>29.8924230243611</v>
      </c>
      <c r="IO14" s="180" t="n">
        <v>30.0275130462765</v>
      </c>
      <c r="IP14" s="180" t="n">
        <v>30.1626030681924</v>
      </c>
      <c r="IQ14" s="180" t="n">
        <v>30.2976930901078</v>
      </c>
      <c r="IR14" s="180" t="n">
        <v>30.4327831120237</v>
      </c>
      <c r="IS14" s="180" t="n">
        <v>30.5678731339392</v>
      </c>
      <c r="IT14" s="180" t="n">
        <v>30.7029631558551</v>
      </c>
      <c r="IU14" s="180" t="n">
        <v>30.8380531777705</v>
      </c>
      <c r="IV14" s="180" t="n">
        <v>30.9731431996864</v>
      </c>
    </row>
    <row r="15" customFormat="false" ht="12.75" hidden="false" customHeight="false" outlineLevel="0" collapsed="false">
      <c r="A15" s="184" t="n">
        <v>37135</v>
      </c>
      <c r="B15" s="185" t="n">
        <v>-2.52625741171875</v>
      </c>
      <c r="C15" s="185" t="n">
        <v>-2.48838092507813</v>
      </c>
      <c r="D15" s="185" t="n">
        <v>-2.4505044384375</v>
      </c>
      <c r="E15" s="185" t="n">
        <v>-2.41262795179688</v>
      </c>
      <c r="F15" s="185" t="n">
        <v>-2.37475146515625</v>
      </c>
      <c r="G15" s="185" t="n">
        <v>-2.33687497851563</v>
      </c>
      <c r="H15" s="185" t="n">
        <v>-2.298998491875</v>
      </c>
      <c r="I15" s="185" t="n">
        <v>-2.26112200523438</v>
      </c>
      <c r="J15" s="185" t="n">
        <v>-2.22324551859375</v>
      </c>
      <c r="K15" s="185" t="n">
        <v>-2.18536903195313</v>
      </c>
      <c r="L15" s="185" t="n">
        <v>-2.1474925453125</v>
      </c>
      <c r="M15" s="185" t="n">
        <v>-2.10961605867188</v>
      </c>
      <c r="N15" s="185" t="n">
        <v>-2.07173957203125</v>
      </c>
      <c r="O15" s="185" t="n">
        <v>-2.03386308539063</v>
      </c>
      <c r="P15" s="185" t="n">
        <v>-1.99598659875</v>
      </c>
      <c r="Q15" s="185" t="n">
        <v>-1.95811011210938</v>
      </c>
      <c r="R15" s="185" t="n">
        <v>-1.92023362546875</v>
      </c>
      <c r="S15" s="185" t="n">
        <v>-1.88235713882813</v>
      </c>
      <c r="T15" s="185" t="n">
        <v>-1.8444806521875</v>
      </c>
      <c r="U15" s="185" t="n">
        <v>-1.80660416554688</v>
      </c>
      <c r="V15" s="186" t="n">
        <v>-1.76872767890625</v>
      </c>
      <c r="W15" s="185" t="n">
        <v>-1.73085119226563</v>
      </c>
      <c r="X15" s="186" t="n">
        <v>-1.692974705625</v>
      </c>
      <c r="Y15" s="185" t="n">
        <v>-1.65509821898438</v>
      </c>
      <c r="Z15" s="186" t="n">
        <v>-1.61722173234375</v>
      </c>
      <c r="AA15" s="185" t="n">
        <v>-1.57934524570313</v>
      </c>
      <c r="AB15" s="187" t="n">
        <v>-1.5414687590625</v>
      </c>
      <c r="AC15" s="185" t="n">
        <v>-1.50359227242188</v>
      </c>
      <c r="AD15" s="187" t="n">
        <v>-1.46571578578125</v>
      </c>
      <c r="AE15" s="185" t="n">
        <v>-1.42783929914063</v>
      </c>
      <c r="AF15" s="185" t="n">
        <v>-1.3899628125</v>
      </c>
      <c r="AG15" s="185" t="n">
        <v>-1.35404390625</v>
      </c>
      <c r="AH15" s="188" t="n">
        <v>-1.318125</v>
      </c>
      <c r="AI15" s="185" t="n">
        <v>-1.2840625</v>
      </c>
      <c r="AJ15" s="185" t="n">
        <v>-1.25</v>
      </c>
      <c r="AK15" s="185" t="n">
        <v>-1</v>
      </c>
      <c r="AL15" s="185" t="n">
        <v>-0.75</v>
      </c>
      <c r="AM15" s="185" t="n">
        <v>-0.5</v>
      </c>
      <c r="AN15" s="185" t="n">
        <v>-0.25</v>
      </c>
      <c r="AO15" s="185" t="n">
        <v>0</v>
      </c>
      <c r="AP15" s="185" t="n">
        <v>0.25</v>
      </c>
      <c r="AQ15" s="185" t="n">
        <v>0.5</v>
      </c>
      <c r="AR15" s="185" t="n">
        <v>0.75</v>
      </c>
      <c r="AS15" s="185" t="n">
        <v>1</v>
      </c>
      <c r="AT15" s="185" t="n">
        <v>1.25</v>
      </c>
      <c r="AU15" s="185" t="n">
        <v>1.5</v>
      </c>
      <c r="AV15" s="185" t="n">
        <v>1.75</v>
      </c>
      <c r="AW15" s="185" t="n">
        <v>1.9875</v>
      </c>
      <c r="AX15" s="185" t="n">
        <v>2.225</v>
      </c>
      <c r="AY15" s="185" t="n">
        <v>2.450625</v>
      </c>
      <c r="AZ15" s="185" t="n">
        <v>2.67625</v>
      </c>
      <c r="BA15" s="185" t="n">
        <v>2.89059375</v>
      </c>
      <c r="BB15" s="185" t="n">
        <v>3.1049375</v>
      </c>
      <c r="BC15" s="185" t="n">
        <v>3.3085640625</v>
      </c>
      <c r="BD15" s="185" t="n">
        <v>3.512190625</v>
      </c>
      <c r="BE15" s="185" t="n">
        <v>3.705635859375</v>
      </c>
      <c r="BF15" s="185" t="n">
        <v>3.89908109375</v>
      </c>
      <c r="BG15" s="185" t="n">
        <v>4.08285406640625</v>
      </c>
      <c r="BH15" s="185" t="n">
        <v>4.2666270390625</v>
      </c>
      <c r="BI15" s="185" t="n">
        <v>4.44121136308594</v>
      </c>
      <c r="BJ15" s="185" t="n">
        <v>4.61579568710937</v>
      </c>
      <c r="BK15" s="185" t="n">
        <v>4.78165079493164</v>
      </c>
      <c r="BL15" s="185" t="n">
        <v>4.94750590275391</v>
      </c>
      <c r="BM15" s="185" t="n">
        <v>5.10506825518506</v>
      </c>
      <c r="BN15" s="185" t="n">
        <v>5.26263060761621</v>
      </c>
      <c r="BO15" s="185" t="n">
        <v>5.4123148424258</v>
      </c>
      <c r="BP15" s="185" t="n">
        <v>5.5619990772354</v>
      </c>
      <c r="BQ15" s="185" t="n">
        <v>5.70419910030451</v>
      </c>
      <c r="BR15" s="185" t="n">
        <v>5.84639912337363</v>
      </c>
      <c r="BS15" s="185" t="n">
        <v>5.98148914528929</v>
      </c>
      <c r="BT15" s="185" t="n">
        <v>6.11657916720495</v>
      </c>
      <c r="BU15" s="185" t="n">
        <v>6.25166918912061</v>
      </c>
      <c r="BV15" s="185" t="n">
        <v>6.38675921103626</v>
      </c>
      <c r="BW15" s="185" t="n">
        <v>6.52184923295192</v>
      </c>
      <c r="BX15" s="185" t="n">
        <v>6.65693925486758</v>
      </c>
      <c r="BY15" s="185" t="n">
        <v>6.79202927678324</v>
      </c>
      <c r="BZ15" s="185" t="n">
        <v>6.9271192986989</v>
      </c>
      <c r="CA15" s="185" t="n">
        <v>7.06220932061456</v>
      </c>
      <c r="CB15" s="185" t="n">
        <v>7.19729934253022</v>
      </c>
      <c r="CC15" s="185" t="n">
        <v>7.33238936444588</v>
      </c>
      <c r="CD15" s="185" t="n">
        <v>7.46747938636154</v>
      </c>
      <c r="CE15" s="185" t="n">
        <v>7.60256940827719</v>
      </c>
      <c r="CF15" s="185" t="n">
        <v>7.73765943019285</v>
      </c>
      <c r="CG15" s="185" t="n">
        <v>7.87274945210851</v>
      </c>
      <c r="CH15" s="185" t="n">
        <v>8.00783947402417</v>
      </c>
      <c r="CI15" s="185" t="n">
        <v>8.14292949593983</v>
      </c>
      <c r="CJ15" s="185" t="n">
        <v>8.27801951785549</v>
      </c>
      <c r="CK15" s="185" t="n">
        <v>8.41310953977115</v>
      </c>
      <c r="CL15" s="185" t="n">
        <v>8.54819956168681</v>
      </c>
      <c r="CM15" s="185" t="n">
        <v>8.68328958360246</v>
      </c>
      <c r="CN15" s="185" t="n">
        <v>8.81837960551813</v>
      </c>
      <c r="CO15" s="185" t="n">
        <v>8.95346962743378</v>
      </c>
      <c r="CP15" s="185" t="n">
        <v>9.08855964934945</v>
      </c>
      <c r="CQ15" s="185" t="n">
        <v>9.2236496712651</v>
      </c>
      <c r="CR15" s="185" t="n">
        <v>9.35873969318077</v>
      </c>
      <c r="CS15" s="185" t="n">
        <v>9.49382971509641</v>
      </c>
      <c r="CT15" s="185" t="n">
        <v>9.62891973701209</v>
      </c>
      <c r="CU15" s="185" t="n">
        <v>9.76400975892773</v>
      </c>
      <c r="CV15" s="185" t="n">
        <v>9.89909978084341</v>
      </c>
      <c r="CW15" s="185" t="n">
        <v>10.034189802759</v>
      </c>
      <c r="CX15" s="185" t="n">
        <v>10.1692798246747</v>
      </c>
      <c r="CY15" s="185" t="n">
        <v>10.3043698465904</v>
      </c>
      <c r="CZ15" s="185" t="n">
        <v>10.439459868506</v>
      </c>
      <c r="DA15" s="185" t="n">
        <v>10.5745498904217</v>
      </c>
      <c r="DB15" s="185" t="n">
        <v>10.7096399123374</v>
      </c>
      <c r="DC15" s="185" t="n">
        <v>10.844729934253</v>
      </c>
      <c r="DD15" s="185" t="n">
        <v>10.9798199561687</v>
      </c>
      <c r="DE15" s="185" t="n">
        <v>11.1149099780843</v>
      </c>
      <c r="DF15" s="185" t="n">
        <v>11.25</v>
      </c>
      <c r="DG15" s="185" t="n">
        <v>11.3850900219156</v>
      </c>
      <c r="DH15" s="185" t="n">
        <v>11.5201800438313</v>
      </c>
      <c r="DI15" s="185" t="n">
        <v>11.655270065747</v>
      </c>
      <c r="DJ15" s="185" t="n">
        <v>11.7903600876626</v>
      </c>
      <c r="DK15" s="185" t="n">
        <v>11.9254501095783</v>
      </c>
      <c r="DL15" s="185" t="n">
        <v>12.060540131494</v>
      </c>
      <c r="DM15" s="185" t="n">
        <v>12.1956301534096</v>
      </c>
      <c r="DN15" s="185" t="n">
        <v>12.3307201753253</v>
      </c>
      <c r="DO15" s="185" t="n">
        <v>12.4658101972409</v>
      </c>
      <c r="DP15" s="185" t="n">
        <v>12.6009002191566</v>
      </c>
      <c r="DQ15" s="185" t="n">
        <v>12.7359902410722</v>
      </c>
      <c r="DR15" s="185" t="n">
        <v>12.8710802629879</v>
      </c>
      <c r="DS15" s="185" t="n">
        <v>13.0061702849035</v>
      </c>
      <c r="DT15" s="185" t="n">
        <v>13.1412603068192</v>
      </c>
      <c r="DU15" s="185" t="n">
        <v>13.2763503287349</v>
      </c>
      <c r="DV15" s="185" t="n">
        <v>13.4114403506506</v>
      </c>
      <c r="DW15" s="185" t="n">
        <v>13.5465303725662</v>
      </c>
      <c r="DX15" s="185" t="n">
        <v>13.6816203944819</v>
      </c>
      <c r="DY15" s="185" t="n">
        <v>13.8167104163975</v>
      </c>
      <c r="DZ15" s="185" t="n">
        <v>13.9518004383132</v>
      </c>
      <c r="EA15" s="185" t="n">
        <v>14.0868904602288</v>
      </c>
      <c r="EB15" s="185" t="n">
        <v>14.2219804821445</v>
      </c>
      <c r="EC15" s="185" t="n">
        <v>14.3570705040601</v>
      </c>
      <c r="ED15" s="185" t="n">
        <v>14.4921605259758</v>
      </c>
      <c r="EE15" s="185" t="n">
        <v>14.6272505478914</v>
      </c>
      <c r="EF15" s="185" t="n">
        <v>14.7623405698071</v>
      </c>
      <c r="EG15" s="185" t="n">
        <v>14.8974305917228</v>
      </c>
      <c r="EH15" s="185" t="n">
        <v>15.0325206136385</v>
      </c>
      <c r="EI15" s="185" t="n">
        <v>15.1676106355541</v>
      </c>
      <c r="EJ15" s="185" t="n">
        <v>15.3027006574698</v>
      </c>
      <c r="EK15" s="185" t="n">
        <v>15.4377906793854</v>
      </c>
      <c r="EL15" s="180" t="n">
        <v>15.5728807013011</v>
      </c>
      <c r="EM15" s="180" t="n">
        <v>15.7079707232167</v>
      </c>
      <c r="EN15" s="180" t="n">
        <v>15.8430607451324</v>
      </c>
      <c r="EO15" s="180" t="n">
        <v>15.978150767048</v>
      </c>
      <c r="EP15" s="180" t="n">
        <v>16.1132407889637</v>
      </c>
      <c r="EQ15" s="180" t="n">
        <v>16.2483308108793</v>
      </c>
      <c r="ER15" s="180" t="n">
        <v>16.3834208327951</v>
      </c>
      <c r="ES15" s="180" t="n">
        <v>16.5185108547107</v>
      </c>
      <c r="ET15" s="180" t="n">
        <v>16.6536008766264</v>
      </c>
      <c r="EU15" s="180" t="n">
        <v>16.788690898542</v>
      </c>
      <c r="EV15" s="180" t="n">
        <v>16.9237809204577</v>
      </c>
      <c r="EW15" s="180" t="n">
        <v>17.0588709423733</v>
      </c>
      <c r="EX15" s="180" t="n">
        <v>17.193960964289</v>
      </c>
      <c r="EY15" s="180" t="n">
        <v>17.3290509862046</v>
      </c>
      <c r="EZ15" s="180" t="n">
        <v>17.4641410081203</v>
      </c>
      <c r="FA15" s="180" t="n">
        <v>17.5992310300359</v>
      </c>
      <c r="FB15" s="180" t="n">
        <v>17.7343210519517</v>
      </c>
      <c r="FC15" s="180" t="n">
        <v>17.8694110738672</v>
      </c>
      <c r="FD15" s="180" t="n">
        <v>18.004501095783</v>
      </c>
      <c r="FE15" s="180" t="n">
        <v>18.1395911176986</v>
      </c>
      <c r="FF15" s="180" t="n">
        <v>18.2746811396143</v>
      </c>
      <c r="FG15" s="180" t="n">
        <v>18.4097711615299</v>
      </c>
      <c r="FH15" s="180" t="n">
        <v>18.5448611834456</v>
      </c>
      <c r="FI15" s="180" t="n">
        <v>18.6799512053612</v>
      </c>
      <c r="FJ15" s="180" t="n">
        <v>18.8150412272769</v>
      </c>
      <c r="FK15" s="180" t="n">
        <v>18.9501312491925</v>
      </c>
      <c r="FL15" s="180" t="n">
        <v>19.0852212711083</v>
      </c>
      <c r="FM15" s="180" t="n">
        <v>19.2203112930238</v>
      </c>
      <c r="FN15" s="180" t="n">
        <v>19.3554013149396</v>
      </c>
      <c r="FO15" s="180" t="n">
        <v>19.4904913368551</v>
      </c>
      <c r="FP15" s="180" t="n">
        <v>19.6255813587709</v>
      </c>
      <c r="FQ15" s="180" t="n">
        <v>19.7606713806865</v>
      </c>
      <c r="FR15" s="180" t="n">
        <v>19.8957614026022</v>
      </c>
      <c r="FS15" s="180" t="n">
        <v>20.0308514245178</v>
      </c>
      <c r="FT15" s="180" t="n">
        <v>20.1659414464336</v>
      </c>
      <c r="FU15" s="180" t="n">
        <v>20.3010314683491</v>
      </c>
      <c r="FV15" s="180" t="n">
        <v>20.4361214902649</v>
      </c>
      <c r="FW15" s="180" t="n">
        <v>20.5712115121804</v>
      </c>
      <c r="FX15" s="180" t="n">
        <v>20.7063015340962</v>
      </c>
      <c r="FY15" s="180" t="n">
        <v>20.8413915560117</v>
      </c>
      <c r="FZ15" s="180" t="n">
        <v>20.9764815779275</v>
      </c>
      <c r="GA15" s="180" t="n">
        <v>21.1115715998431</v>
      </c>
      <c r="GB15" s="180" t="n">
        <v>21.2466616217588</v>
      </c>
      <c r="GC15" s="180" t="n">
        <v>21.3817516436744</v>
      </c>
      <c r="GD15" s="180" t="n">
        <v>21.5168416655902</v>
      </c>
      <c r="GE15" s="180" t="n">
        <v>21.6519316875057</v>
      </c>
      <c r="GF15" s="180" t="n">
        <v>21.7870217094215</v>
      </c>
      <c r="GG15" s="180" t="n">
        <v>21.922111731337</v>
      </c>
      <c r="GH15" s="180" t="n">
        <v>22.0572017532528</v>
      </c>
      <c r="GI15" s="180" t="n">
        <v>22.1922917751683</v>
      </c>
      <c r="GJ15" s="180" t="n">
        <v>22.3273817970841</v>
      </c>
      <c r="GK15" s="180" t="n">
        <v>22.4624718189996</v>
      </c>
      <c r="GL15" s="180" t="n">
        <v>22.5975618409154</v>
      </c>
      <c r="GM15" s="180" t="n">
        <v>22.732651862831</v>
      </c>
      <c r="GN15" s="180" t="n">
        <v>22.8677418847468</v>
      </c>
      <c r="GO15" s="180" t="n">
        <v>23.0028319066623</v>
      </c>
      <c r="GP15" s="180" t="n">
        <v>23.1379219285781</v>
      </c>
      <c r="GQ15" s="180" t="n">
        <v>23.2730119504936</v>
      </c>
      <c r="GR15" s="180" t="n">
        <v>23.4081019724094</v>
      </c>
      <c r="GS15" s="180" t="n">
        <v>23.5431919943249</v>
      </c>
      <c r="GT15" s="180" t="n">
        <v>23.6782820162407</v>
      </c>
      <c r="GU15" s="180" t="n">
        <v>23.8133720381562</v>
      </c>
      <c r="GV15" s="180" t="n">
        <v>23.948462060072</v>
      </c>
      <c r="GW15" s="180" t="n">
        <v>24.0835520819875</v>
      </c>
      <c r="GX15" s="180" t="n">
        <v>24.2186421039034</v>
      </c>
      <c r="GY15" s="180" t="n">
        <v>24.3537321258189</v>
      </c>
      <c r="GZ15" s="180" t="n">
        <v>24.4888221477347</v>
      </c>
      <c r="HA15" s="180" t="n">
        <v>24.6239121696502</v>
      </c>
      <c r="HB15" s="180" t="n">
        <v>24.759002191566</v>
      </c>
      <c r="HC15" s="180" t="n">
        <v>24.8940922134815</v>
      </c>
      <c r="HD15" s="180" t="n">
        <v>25.0291822353973</v>
      </c>
      <c r="HE15" s="180" t="n">
        <v>25.1642722573128</v>
      </c>
      <c r="HF15" s="180" t="n">
        <v>25.2993622792286</v>
      </c>
      <c r="HG15" s="180" t="n">
        <v>25.4344523011441</v>
      </c>
      <c r="HH15" s="180" t="n">
        <v>25.56954232306</v>
      </c>
      <c r="HI15" s="180" t="n">
        <v>25.7046323449754</v>
      </c>
      <c r="HJ15" s="180" t="n">
        <v>25.8397223668913</v>
      </c>
      <c r="HK15" s="180" t="n">
        <v>25.9748123888068</v>
      </c>
      <c r="HL15" s="180" t="n">
        <v>26.1099024107226</v>
      </c>
      <c r="HM15" s="180" t="n">
        <v>26.2449924326381</v>
      </c>
      <c r="HN15" s="180" t="n">
        <v>26.3800824545539</v>
      </c>
      <c r="HO15" s="180" t="n">
        <v>26.5151724764694</v>
      </c>
      <c r="HP15" s="180" t="n">
        <v>26.6502624983852</v>
      </c>
      <c r="HQ15" s="180" t="n">
        <v>26.7853525203007</v>
      </c>
      <c r="HR15" s="180" t="n">
        <v>26.9204425422166</v>
      </c>
      <c r="HS15" s="180" t="n">
        <v>27.055532564132</v>
      </c>
      <c r="HT15" s="180" t="n">
        <v>27.1906225860479</v>
      </c>
      <c r="HU15" s="180" t="n">
        <v>27.3257126079633</v>
      </c>
      <c r="HV15" s="180" t="n">
        <v>27.4608026298792</v>
      </c>
      <c r="HW15" s="180" t="n">
        <v>27.5958926517947</v>
      </c>
      <c r="HX15" s="180" t="n">
        <v>27.7309826737105</v>
      </c>
      <c r="HY15" s="180" t="n">
        <v>27.866072695626</v>
      </c>
      <c r="HZ15" s="180" t="n">
        <v>28.0011627175419</v>
      </c>
      <c r="IA15" s="180" t="n">
        <v>28.1362527394573</v>
      </c>
      <c r="IB15" s="180" t="n">
        <v>28.2713427613732</v>
      </c>
      <c r="IC15" s="180" t="n">
        <v>28.4064327832886</v>
      </c>
      <c r="ID15" s="180" t="n">
        <v>28.5415228052045</v>
      </c>
      <c r="IE15" s="180" t="n">
        <v>28.6766128271199</v>
      </c>
      <c r="IF15" s="180" t="n">
        <v>28.8117028490358</v>
      </c>
      <c r="IG15" s="180" t="n">
        <v>28.9467928709512</v>
      </c>
      <c r="IH15" s="180" t="n">
        <v>29.0818828928671</v>
      </c>
      <c r="II15" s="180" t="n">
        <v>29.2169729147826</v>
      </c>
      <c r="IJ15" s="180" t="n">
        <v>29.3520629366985</v>
      </c>
      <c r="IK15" s="180" t="n">
        <v>29.4871529586139</v>
      </c>
      <c r="IL15" s="180" t="n">
        <v>29.6222429805298</v>
      </c>
      <c r="IM15" s="180" t="n">
        <v>29.7573330024452</v>
      </c>
      <c r="IN15" s="180" t="n">
        <v>29.8924230243611</v>
      </c>
      <c r="IO15" s="180" t="n">
        <v>30.0275130462765</v>
      </c>
      <c r="IP15" s="180" t="n">
        <v>30.1626030681924</v>
      </c>
      <c r="IQ15" s="180" t="n">
        <v>30.2976930901078</v>
      </c>
      <c r="IR15" s="180" t="n">
        <v>30.4327831120237</v>
      </c>
      <c r="IS15" s="180" t="n">
        <v>30.5678731339392</v>
      </c>
      <c r="IT15" s="180" t="n">
        <v>30.7029631558551</v>
      </c>
      <c r="IU15" s="180" t="n">
        <v>30.8380531777705</v>
      </c>
      <c r="IV15" s="180" t="n">
        <v>30.9731431996864</v>
      </c>
    </row>
    <row r="16" customFormat="false" ht="12.75" hidden="false" customHeight="false" outlineLevel="0" collapsed="false">
      <c r="A16" s="184" t="n">
        <v>37165</v>
      </c>
      <c r="B16" s="185" t="n">
        <v>-2.52625741171875</v>
      </c>
      <c r="C16" s="185" t="n">
        <v>-2.48838092507813</v>
      </c>
      <c r="D16" s="185" t="n">
        <v>-2.4505044384375</v>
      </c>
      <c r="E16" s="185" t="n">
        <v>-2.41262795179688</v>
      </c>
      <c r="F16" s="185" t="n">
        <v>-2.37475146515625</v>
      </c>
      <c r="G16" s="185" t="n">
        <v>-2.33687497851563</v>
      </c>
      <c r="H16" s="185" t="n">
        <v>-2.298998491875</v>
      </c>
      <c r="I16" s="185" t="n">
        <v>-2.26112200523438</v>
      </c>
      <c r="J16" s="185" t="n">
        <v>-2.22324551859375</v>
      </c>
      <c r="K16" s="185" t="n">
        <v>-2.18536903195313</v>
      </c>
      <c r="L16" s="185" t="n">
        <v>-2.1474925453125</v>
      </c>
      <c r="M16" s="185" t="n">
        <v>-2.10961605867188</v>
      </c>
      <c r="N16" s="185" t="n">
        <v>-2.07173957203125</v>
      </c>
      <c r="O16" s="185" t="n">
        <v>-2.03386308539063</v>
      </c>
      <c r="P16" s="185" t="n">
        <v>-1.99598659875</v>
      </c>
      <c r="Q16" s="185" t="n">
        <v>-1.95811011210938</v>
      </c>
      <c r="R16" s="185" t="n">
        <v>-1.92023362546875</v>
      </c>
      <c r="S16" s="185" t="n">
        <v>-1.88235713882813</v>
      </c>
      <c r="T16" s="185" t="n">
        <v>-1.8444806521875</v>
      </c>
      <c r="U16" s="185" t="n">
        <v>-1.80660416554688</v>
      </c>
      <c r="V16" s="186" t="n">
        <v>-1.76872767890625</v>
      </c>
      <c r="W16" s="185" t="n">
        <v>-1.73085119226563</v>
      </c>
      <c r="X16" s="186" t="n">
        <v>-1.692974705625</v>
      </c>
      <c r="Y16" s="185" t="n">
        <v>-1.65509821898438</v>
      </c>
      <c r="Z16" s="186" t="n">
        <v>-1.61722173234375</v>
      </c>
      <c r="AA16" s="185" t="n">
        <v>-1.57934524570313</v>
      </c>
      <c r="AB16" s="187" t="n">
        <v>-1.5414687590625</v>
      </c>
      <c r="AC16" s="185" t="n">
        <v>-1.50359227242188</v>
      </c>
      <c r="AD16" s="187" t="n">
        <v>-1.46571578578125</v>
      </c>
      <c r="AE16" s="185" t="n">
        <v>-1.42783929914063</v>
      </c>
      <c r="AF16" s="185" t="n">
        <v>-1.3899628125</v>
      </c>
      <c r="AG16" s="185" t="n">
        <v>-1.35404390625</v>
      </c>
      <c r="AH16" s="188" t="n">
        <v>-1.318125</v>
      </c>
      <c r="AI16" s="185" t="n">
        <v>-1.2840625</v>
      </c>
      <c r="AJ16" s="185" t="n">
        <v>-1.25</v>
      </c>
      <c r="AK16" s="185" t="n">
        <v>-1</v>
      </c>
      <c r="AL16" s="185" t="n">
        <v>-0.75</v>
      </c>
      <c r="AM16" s="185" t="n">
        <v>-0.5</v>
      </c>
      <c r="AN16" s="185" t="n">
        <v>-0.25</v>
      </c>
      <c r="AO16" s="185" t="n">
        <v>0</v>
      </c>
      <c r="AP16" s="185" t="n">
        <v>0.25</v>
      </c>
      <c r="AQ16" s="185" t="n">
        <v>0.5</v>
      </c>
      <c r="AR16" s="185" t="n">
        <v>0.75</v>
      </c>
      <c r="AS16" s="185" t="n">
        <v>1</v>
      </c>
      <c r="AT16" s="185" t="n">
        <v>1.25</v>
      </c>
      <c r="AU16" s="185" t="n">
        <v>1.5</v>
      </c>
      <c r="AV16" s="185" t="n">
        <v>1.75</v>
      </c>
      <c r="AW16" s="185" t="n">
        <v>1.9875</v>
      </c>
      <c r="AX16" s="185" t="n">
        <v>2.225</v>
      </c>
      <c r="AY16" s="185" t="n">
        <v>2.450625</v>
      </c>
      <c r="AZ16" s="185" t="n">
        <v>2.67625</v>
      </c>
      <c r="BA16" s="185" t="n">
        <v>2.89059375</v>
      </c>
      <c r="BB16" s="185" t="n">
        <v>3.1049375</v>
      </c>
      <c r="BC16" s="185" t="n">
        <v>3.3085640625</v>
      </c>
      <c r="BD16" s="185" t="n">
        <v>3.512190625</v>
      </c>
      <c r="BE16" s="185" t="n">
        <v>3.705635859375</v>
      </c>
      <c r="BF16" s="185" t="n">
        <v>3.89908109375</v>
      </c>
      <c r="BG16" s="185" t="n">
        <v>4.08285406640625</v>
      </c>
      <c r="BH16" s="185" t="n">
        <v>4.2666270390625</v>
      </c>
      <c r="BI16" s="185" t="n">
        <v>4.44121136308594</v>
      </c>
      <c r="BJ16" s="185" t="n">
        <v>4.61579568710937</v>
      </c>
      <c r="BK16" s="185" t="n">
        <v>4.78165079493164</v>
      </c>
      <c r="BL16" s="185" t="n">
        <v>4.94750590275391</v>
      </c>
      <c r="BM16" s="185" t="n">
        <v>5.10506825518506</v>
      </c>
      <c r="BN16" s="185" t="n">
        <v>5.26263060761621</v>
      </c>
      <c r="BO16" s="185" t="n">
        <v>5.4123148424258</v>
      </c>
      <c r="BP16" s="185" t="n">
        <v>5.5619990772354</v>
      </c>
      <c r="BQ16" s="185" t="n">
        <v>5.70419910030451</v>
      </c>
      <c r="BR16" s="185" t="n">
        <v>5.84639912337363</v>
      </c>
      <c r="BS16" s="185" t="n">
        <v>5.98148914528929</v>
      </c>
      <c r="BT16" s="185" t="n">
        <v>6.11657916720495</v>
      </c>
      <c r="BU16" s="185" t="n">
        <v>6.25166918912061</v>
      </c>
      <c r="BV16" s="185" t="n">
        <v>6.38675921103626</v>
      </c>
      <c r="BW16" s="185" t="n">
        <v>6.52184923295192</v>
      </c>
      <c r="BX16" s="185" t="n">
        <v>6.65693925486758</v>
      </c>
      <c r="BY16" s="185" t="n">
        <v>6.79202927678324</v>
      </c>
      <c r="BZ16" s="185" t="n">
        <v>6.9271192986989</v>
      </c>
      <c r="CA16" s="185" t="n">
        <v>7.06220932061456</v>
      </c>
      <c r="CB16" s="185" t="n">
        <v>7.19729934253022</v>
      </c>
      <c r="CC16" s="185" t="n">
        <v>7.33238936444588</v>
      </c>
      <c r="CD16" s="185" t="n">
        <v>7.46747938636154</v>
      </c>
      <c r="CE16" s="185" t="n">
        <v>7.60256940827719</v>
      </c>
      <c r="CF16" s="185" t="n">
        <v>7.73765943019285</v>
      </c>
      <c r="CG16" s="185" t="n">
        <v>7.87274945210851</v>
      </c>
      <c r="CH16" s="185" t="n">
        <v>8.00783947402417</v>
      </c>
      <c r="CI16" s="185" t="n">
        <v>8.14292949593983</v>
      </c>
      <c r="CJ16" s="185" t="n">
        <v>8.27801951785549</v>
      </c>
      <c r="CK16" s="185" t="n">
        <v>8.41310953977115</v>
      </c>
      <c r="CL16" s="185" t="n">
        <v>8.54819956168681</v>
      </c>
      <c r="CM16" s="185" t="n">
        <v>8.68328958360246</v>
      </c>
      <c r="CN16" s="185" t="n">
        <v>8.81837960551813</v>
      </c>
      <c r="CO16" s="185" t="n">
        <v>8.95346962743378</v>
      </c>
      <c r="CP16" s="185" t="n">
        <v>9.08855964934945</v>
      </c>
      <c r="CQ16" s="185" t="n">
        <v>9.2236496712651</v>
      </c>
      <c r="CR16" s="185" t="n">
        <v>9.35873969318077</v>
      </c>
      <c r="CS16" s="185" t="n">
        <v>9.49382971509641</v>
      </c>
      <c r="CT16" s="185" t="n">
        <v>9.62891973701209</v>
      </c>
      <c r="CU16" s="185" t="n">
        <v>9.76400975892773</v>
      </c>
      <c r="CV16" s="185" t="n">
        <v>9.89909978084341</v>
      </c>
      <c r="CW16" s="185" t="n">
        <v>10.034189802759</v>
      </c>
      <c r="CX16" s="185" t="n">
        <v>10.1692798246747</v>
      </c>
      <c r="CY16" s="185" t="n">
        <v>10.3043698465904</v>
      </c>
      <c r="CZ16" s="185" t="n">
        <v>10.439459868506</v>
      </c>
      <c r="DA16" s="185" t="n">
        <v>10.5745498904217</v>
      </c>
      <c r="DB16" s="185" t="n">
        <v>10.7096399123374</v>
      </c>
      <c r="DC16" s="185" t="n">
        <v>10.844729934253</v>
      </c>
      <c r="DD16" s="185" t="n">
        <v>10.9798199561687</v>
      </c>
      <c r="DE16" s="185" t="n">
        <v>11.1149099780843</v>
      </c>
      <c r="DF16" s="185" t="n">
        <v>11.25</v>
      </c>
      <c r="DG16" s="185" t="n">
        <v>11.3850900219156</v>
      </c>
      <c r="DH16" s="185" t="n">
        <v>11.5201800438313</v>
      </c>
      <c r="DI16" s="185" t="n">
        <v>11.655270065747</v>
      </c>
      <c r="DJ16" s="185" t="n">
        <v>11.7903600876626</v>
      </c>
      <c r="DK16" s="185" t="n">
        <v>11.9254501095783</v>
      </c>
      <c r="DL16" s="185" t="n">
        <v>12.060540131494</v>
      </c>
      <c r="DM16" s="185" t="n">
        <v>12.1956301534096</v>
      </c>
      <c r="DN16" s="185" t="n">
        <v>12.3307201753253</v>
      </c>
      <c r="DO16" s="185" t="n">
        <v>12.4658101972409</v>
      </c>
      <c r="DP16" s="185" t="n">
        <v>12.6009002191566</v>
      </c>
      <c r="DQ16" s="185" t="n">
        <v>12.7359902410722</v>
      </c>
      <c r="DR16" s="185" t="n">
        <v>12.8710802629879</v>
      </c>
      <c r="DS16" s="185" t="n">
        <v>13.0061702849035</v>
      </c>
      <c r="DT16" s="185" t="n">
        <v>13.1412603068192</v>
      </c>
      <c r="DU16" s="185" t="n">
        <v>13.2763503287349</v>
      </c>
      <c r="DV16" s="185" t="n">
        <v>13.4114403506506</v>
      </c>
      <c r="DW16" s="185" t="n">
        <v>13.5465303725662</v>
      </c>
      <c r="DX16" s="185" t="n">
        <v>13.6816203944819</v>
      </c>
      <c r="DY16" s="185" t="n">
        <v>13.8167104163975</v>
      </c>
      <c r="DZ16" s="185" t="n">
        <v>13.9518004383132</v>
      </c>
      <c r="EA16" s="185" t="n">
        <v>14.0868904602288</v>
      </c>
      <c r="EB16" s="185" t="n">
        <v>14.2219804821445</v>
      </c>
      <c r="EC16" s="185" t="n">
        <v>14.3570705040601</v>
      </c>
      <c r="ED16" s="185" t="n">
        <v>14.4921605259758</v>
      </c>
      <c r="EE16" s="185" t="n">
        <v>14.6272505478914</v>
      </c>
      <c r="EF16" s="185" t="n">
        <v>14.7623405698071</v>
      </c>
      <c r="EG16" s="185" t="n">
        <v>14.8974305917228</v>
      </c>
      <c r="EH16" s="185" t="n">
        <v>15.0325206136385</v>
      </c>
      <c r="EI16" s="185" t="n">
        <v>15.1676106355541</v>
      </c>
      <c r="EJ16" s="185" t="n">
        <v>15.3027006574698</v>
      </c>
      <c r="EK16" s="185" t="n">
        <v>15.4377906793854</v>
      </c>
      <c r="EL16" s="180" t="n">
        <v>15.5728807013011</v>
      </c>
      <c r="EM16" s="180" t="n">
        <v>15.7079707232167</v>
      </c>
      <c r="EN16" s="180" t="n">
        <v>15.8430607451324</v>
      </c>
      <c r="EO16" s="180" t="n">
        <v>15.978150767048</v>
      </c>
      <c r="EP16" s="180" t="n">
        <v>16.1132407889637</v>
      </c>
      <c r="EQ16" s="180" t="n">
        <v>16.2483308108793</v>
      </c>
      <c r="ER16" s="180" t="n">
        <v>16.3834208327951</v>
      </c>
      <c r="ES16" s="180" t="n">
        <v>16.5185108547107</v>
      </c>
      <c r="ET16" s="180" t="n">
        <v>16.6536008766264</v>
      </c>
      <c r="EU16" s="180" t="n">
        <v>16.788690898542</v>
      </c>
      <c r="EV16" s="180" t="n">
        <v>16.9237809204577</v>
      </c>
      <c r="EW16" s="180" t="n">
        <v>17.0588709423733</v>
      </c>
      <c r="EX16" s="180" t="n">
        <v>17.193960964289</v>
      </c>
      <c r="EY16" s="180" t="n">
        <v>17.3290509862046</v>
      </c>
      <c r="EZ16" s="180" t="n">
        <v>17.4641410081203</v>
      </c>
      <c r="FA16" s="180" t="n">
        <v>17.5992310300359</v>
      </c>
      <c r="FB16" s="180" t="n">
        <v>17.7343210519517</v>
      </c>
      <c r="FC16" s="180" t="n">
        <v>17.8694110738672</v>
      </c>
      <c r="FD16" s="180" t="n">
        <v>18.004501095783</v>
      </c>
      <c r="FE16" s="180" t="n">
        <v>18.1395911176986</v>
      </c>
      <c r="FF16" s="180" t="n">
        <v>18.2746811396143</v>
      </c>
      <c r="FG16" s="180" t="n">
        <v>18.4097711615299</v>
      </c>
      <c r="FH16" s="180" t="n">
        <v>18.5448611834456</v>
      </c>
      <c r="FI16" s="180" t="n">
        <v>18.6799512053612</v>
      </c>
      <c r="FJ16" s="180" t="n">
        <v>18.8150412272769</v>
      </c>
      <c r="FK16" s="180" t="n">
        <v>18.9501312491925</v>
      </c>
      <c r="FL16" s="180" t="n">
        <v>19.0852212711083</v>
      </c>
      <c r="FM16" s="180" t="n">
        <v>19.2203112930238</v>
      </c>
      <c r="FN16" s="180" t="n">
        <v>19.3554013149396</v>
      </c>
      <c r="FO16" s="180" t="n">
        <v>19.4904913368551</v>
      </c>
      <c r="FP16" s="180" t="n">
        <v>19.6255813587709</v>
      </c>
      <c r="FQ16" s="180" t="n">
        <v>19.7606713806865</v>
      </c>
      <c r="FR16" s="180" t="n">
        <v>19.8957614026022</v>
      </c>
      <c r="FS16" s="180" t="n">
        <v>20.0308514245178</v>
      </c>
      <c r="FT16" s="180" t="n">
        <v>20.1659414464336</v>
      </c>
      <c r="FU16" s="180" t="n">
        <v>20.3010314683491</v>
      </c>
      <c r="FV16" s="180" t="n">
        <v>20.4361214902649</v>
      </c>
      <c r="FW16" s="180" t="n">
        <v>20.5712115121804</v>
      </c>
      <c r="FX16" s="180" t="n">
        <v>20.7063015340962</v>
      </c>
      <c r="FY16" s="180" t="n">
        <v>20.8413915560117</v>
      </c>
      <c r="FZ16" s="180" t="n">
        <v>20.9764815779275</v>
      </c>
      <c r="GA16" s="180" t="n">
        <v>21.1115715998431</v>
      </c>
      <c r="GB16" s="180" t="n">
        <v>21.2466616217588</v>
      </c>
      <c r="GC16" s="180" t="n">
        <v>21.3817516436744</v>
      </c>
      <c r="GD16" s="180" t="n">
        <v>21.5168416655902</v>
      </c>
      <c r="GE16" s="180" t="n">
        <v>21.6519316875057</v>
      </c>
      <c r="GF16" s="180" t="n">
        <v>21.7870217094215</v>
      </c>
      <c r="GG16" s="180" t="n">
        <v>21.922111731337</v>
      </c>
      <c r="GH16" s="180" t="n">
        <v>22.0572017532528</v>
      </c>
      <c r="GI16" s="180" t="n">
        <v>22.1922917751683</v>
      </c>
      <c r="GJ16" s="180" t="n">
        <v>22.3273817970841</v>
      </c>
      <c r="GK16" s="180" t="n">
        <v>22.4624718189996</v>
      </c>
      <c r="GL16" s="180" t="n">
        <v>22.5975618409154</v>
      </c>
      <c r="GM16" s="180" t="n">
        <v>22.732651862831</v>
      </c>
      <c r="GN16" s="180" t="n">
        <v>22.8677418847468</v>
      </c>
      <c r="GO16" s="180" t="n">
        <v>23.0028319066623</v>
      </c>
      <c r="GP16" s="180" t="n">
        <v>23.1379219285781</v>
      </c>
      <c r="GQ16" s="180" t="n">
        <v>23.2730119504936</v>
      </c>
      <c r="GR16" s="180" t="n">
        <v>23.4081019724094</v>
      </c>
      <c r="GS16" s="180" t="n">
        <v>23.5431919943249</v>
      </c>
      <c r="GT16" s="180" t="n">
        <v>23.6782820162407</v>
      </c>
      <c r="GU16" s="180" t="n">
        <v>23.8133720381562</v>
      </c>
      <c r="GV16" s="180" t="n">
        <v>23.948462060072</v>
      </c>
      <c r="GW16" s="180" t="n">
        <v>24.0835520819875</v>
      </c>
      <c r="GX16" s="180" t="n">
        <v>24.2186421039034</v>
      </c>
      <c r="GY16" s="180" t="n">
        <v>24.3537321258189</v>
      </c>
      <c r="GZ16" s="180" t="n">
        <v>24.4888221477347</v>
      </c>
      <c r="HA16" s="180" t="n">
        <v>24.6239121696502</v>
      </c>
      <c r="HB16" s="180" t="n">
        <v>24.759002191566</v>
      </c>
      <c r="HC16" s="180" t="n">
        <v>24.8940922134815</v>
      </c>
      <c r="HD16" s="180" t="n">
        <v>25.0291822353973</v>
      </c>
      <c r="HE16" s="180" t="n">
        <v>25.1642722573128</v>
      </c>
      <c r="HF16" s="180" t="n">
        <v>25.2993622792286</v>
      </c>
      <c r="HG16" s="180" t="n">
        <v>25.4344523011441</v>
      </c>
      <c r="HH16" s="180" t="n">
        <v>25.56954232306</v>
      </c>
      <c r="HI16" s="180" t="n">
        <v>25.7046323449754</v>
      </c>
      <c r="HJ16" s="180" t="n">
        <v>25.8397223668913</v>
      </c>
      <c r="HK16" s="180" t="n">
        <v>25.9748123888068</v>
      </c>
      <c r="HL16" s="180" t="n">
        <v>26.1099024107226</v>
      </c>
      <c r="HM16" s="180" t="n">
        <v>26.2449924326381</v>
      </c>
      <c r="HN16" s="180" t="n">
        <v>26.3800824545539</v>
      </c>
      <c r="HO16" s="180" t="n">
        <v>26.5151724764694</v>
      </c>
      <c r="HP16" s="180" t="n">
        <v>26.6502624983852</v>
      </c>
      <c r="HQ16" s="180" t="n">
        <v>26.7853525203007</v>
      </c>
      <c r="HR16" s="180" t="n">
        <v>26.9204425422166</v>
      </c>
      <c r="HS16" s="180" t="n">
        <v>27.055532564132</v>
      </c>
      <c r="HT16" s="180" t="n">
        <v>27.1906225860479</v>
      </c>
      <c r="HU16" s="180" t="n">
        <v>27.3257126079633</v>
      </c>
      <c r="HV16" s="180" t="n">
        <v>27.4608026298792</v>
      </c>
      <c r="HW16" s="180" t="n">
        <v>27.5958926517947</v>
      </c>
      <c r="HX16" s="180" t="n">
        <v>27.7309826737105</v>
      </c>
      <c r="HY16" s="180" t="n">
        <v>27.866072695626</v>
      </c>
      <c r="HZ16" s="180" t="n">
        <v>28.0011627175419</v>
      </c>
      <c r="IA16" s="180" t="n">
        <v>28.1362527394573</v>
      </c>
      <c r="IB16" s="180" t="n">
        <v>28.2713427613732</v>
      </c>
      <c r="IC16" s="180" t="n">
        <v>28.4064327832886</v>
      </c>
      <c r="ID16" s="180" t="n">
        <v>28.5415228052045</v>
      </c>
      <c r="IE16" s="180" t="n">
        <v>28.6766128271199</v>
      </c>
      <c r="IF16" s="180" t="n">
        <v>28.8117028490358</v>
      </c>
      <c r="IG16" s="180" t="n">
        <v>28.9467928709512</v>
      </c>
      <c r="IH16" s="180" t="n">
        <v>29.0818828928671</v>
      </c>
      <c r="II16" s="180" t="n">
        <v>29.2169729147826</v>
      </c>
      <c r="IJ16" s="180" t="n">
        <v>29.3520629366985</v>
      </c>
      <c r="IK16" s="180" t="n">
        <v>29.4871529586139</v>
      </c>
      <c r="IL16" s="180" t="n">
        <v>29.6222429805298</v>
      </c>
      <c r="IM16" s="180" t="n">
        <v>29.7573330024452</v>
      </c>
      <c r="IN16" s="180" t="n">
        <v>29.8924230243611</v>
      </c>
      <c r="IO16" s="180" t="n">
        <v>30.0275130462765</v>
      </c>
      <c r="IP16" s="180" t="n">
        <v>30.1626030681924</v>
      </c>
      <c r="IQ16" s="180" t="n">
        <v>30.2976930901078</v>
      </c>
      <c r="IR16" s="180" t="n">
        <v>30.4327831120237</v>
      </c>
      <c r="IS16" s="180" t="n">
        <v>30.5678731339392</v>
      </c>
      <c r="IT16" s="180" t="n">
        <v>30.7029631558551</v>
      </c>
      <c r="IU16" s="180" t="n">
        <v>30.8380531777705</v>
      </c>
      <c r="IV16" s="180" t="n">
        <v>30.9731431996864</v>
      </c>
    </row>
    <row r="17" customFormat="false" ht="12.75" hidden="false" customHeight="false" outlineLevel="0" collapsed="false">
      <c r="A17" s="189" t="n">
        <v>37196</v>
      </c>
      <c r="B17" s="185" t="n">
        <v>-2.021005929375</v>
      </c>
      <c r="C17" s="185" t="n">
        <v>-1.9907047400625</v>
      </c>
      <c r="D17" s="185" t="n">
        <v>-1.96040355075</v>
      </c>
      <c r="E17" s="185" t="n">
        <v>-1.9301023614375</v>
      </c>
      <c r="F17" s="185" t="n">
        <v>-1.899801172125</v>
      </c>
      <c r="G17" s="185" t="n">
        <v>-1.8694999828125</v>
      </c>
      <c r="H17" s="185" t="n">
        <v>-1.8391987935</v>
      </c>
      <c r="I17" s="185" t="n">
        <v>-1.8088976041875</v>
      </c>
      <c r="J17" s="185" t="n">
        <v>-1.778596414875</v>
      </c>
      <c r="K17" s="185" t="n">
        <v>-1.7482952255625</v>
      </c>
      <c r="L17" s="185" t="n">
        <v>-1.71799403625</v>
      </c>
      <c r="M17" s="185" t="n">
        <v>-1.6876928469375</v>
      </c>
      <c r="N17" s="185" t="n">
        <v>-1.657391657625</v>
      </c>
      <c r="O17" s="185" t="n">
        <v>-1.6270904683125</v>
      </c>
      <c r="P17" s="185" t="n">
        <v>-1.596789279</v>
      </c>
      <c r="Q17" s="185" t="n">
        <v>-1.5664880896875</v>
      </c>
      <c r="R17" s="185" t="n">
        <v>-1.536186900375</v>
      </c>
      <c r="S17" s="185" t="n">
        <v>-1.5058857110625</v>
      </c>
      <c r="T17" s="185" t="n">
        <v>-1.47558452175</v>
      </c>
      <c r="U17" s="185" t="n">
        <v>-1.4452833324375</v>
      </c>
      <c r="V17" s="186" t="n">
        <v>-1.414982143125</v>
      </c>
      <c r="W17" s="185" t="n">
        <v>-1.3846809538125</v>
      </c>
      <c r="X17" s="186" t="n">
        <v>-1.3543797645</v>
      </c>
      <c r="Y17" s="185" t="n">
        <v>-1.3240785751875</v>
      </c>
      <c r="Z17" s="186" t="n">
        <v>-1.293777385875</v>
      </c>
      <c r="AA17" s="185" t="n">
        <v>-1.2634761965625</v>
      </c>
      <c r="AB17" s="187" t="n">
        <v>-1.23317500725</v>
      </c>
      <c r="AC17" s="185" t="n">
        <v>-1.2028738179375</v>
      </c>
      <c r="AD17" s="187" t="n">
        <v>-1.172572628625</v>
      </c>
      <c r="AE17" s="185" t="n">
        <v>-1.1422714393125</v>
      </c>
      <c r="AF17" s="185" t="n">
        <v>-1.11197025</v>
      </c>
      <c r="AG17" s="190" t="n">
        <v>-1.083235125</v>
      </c>
      <c r="AH17" s="190" t="n">
        <v>-1.0545</v>
      </c>
      <c r="AI17" s="190" t="n">
        <v>-1.02725</v>
      </c>
      <c r="AJ17" s="190" t="n">
        <v>-1</v>
      </c>
      <c r="AK17" s="190" t="n">
        <v>-0.8</v>
      </c>
      <c r="AL17" s="190" t="n">
        <v>-0.6</v>
      </c>
      <c r="AM17" s="190" t="n">
        <v>-0.4</v>
      </c>
      <c r="AN17" s="190" t="n">
        <v>-0.2</v>
      </c>
      <c r="AO17" s="190" t="n">
        <v>0</v>
      </c>
      <c r="AP17" s="190" t="n">
        <v>0.2</v>
      </c>
      <c r="AQ17" s="190" t="n">
        <v>0.4</v>
      </c>
      <c r="AR17" s="190" t="n">
        <v>0.6</v>
      </c>
      <c r="AS17" s="190" t="n">
        <v>0.8</v>
      </c>
      <c r="AT17" s="190" t="n">
        <v>1</v>
      </c>
      <c r="AU17" s="190" t="n">
        <v>1.2</v>
      </c>
      <c r="AV17" s="190" t="n">
        <v>1.4</v>
      </c>
      <c r="AW17" s="190" t="n">
        <v>1.58</v>
      </c>
      <c r="AX17" s="190" t="n">
        <v>1.76</v>
      </c>
      <c r="AY17" s="190" t="n">
        <v>1.922</v>
      </c>
      <c r="AZ17" s="190" t="n">
        <v>2.084</v>
      </c>
      <c r="BA17" s="190" t="n">
        <v>2.2298</v>
      </c>
      <c r="BB17" s="190" t="n">
        <v>2.3756</v>
      </c>
      <c r="BC17" s="190" t="n">
        <v>2.50682</v>
      </c>
      <c r="BD17" s="190" t="n">
        <v>2.63804</v>
      </c>
      <c r="BE17" s="190" t="n">
        <v>2.756138</v>
      </c>
      <c r="BF17" s="190" t="n">
        <v>2.874236</v>
      </c>
      <c r="BG17" s="190" t="n">
        <v>2.9805242</v>
      </c>
      <c r="BH17" s="190" t="n">
        <v>3.0868124</v>
      </c>
      <c r="BI17" s="190" t="n">
        <v>3.18247178</v>
      </c>
      <c r="BJ17" s="190" t="n">
        <v>3.27813116</v>
      </c>
      <c r="BK17" s="190" t="n">
        <v>3.364224602</v>
      </c>
      <c r="BL17" s="190" t="n">
        <v>3.450318044</v>
      </c>
      <c r="BM17" s="190" t="n">
        <v>3.5278021418</v>
      </c>
      <c r="BN17" s="190" t="n">
        <v>3.6052862396</v>
      </c>
      <c r="BO17" s="190" t="n">
        <v>3.67502192762</v>
      </c>
      <c r="BP17" s="190" t="n">
        <v>3.74475761564</v>
      </c>
      <c r="BQ17" s="190" t="n">
        <v>3.81449330366</v>
      </c>
      <c r="BR17" s="190" t="n">
        <v>3.88422899168</v>
      </c>
      <c r="BS17" s="190" t="n">
        <v>3.9539646797</v>
      </c>
      <c r="BT17" s="190" t="n">
        <v>4.02370036772</v>
      </c>
      <c r="BU17" s="190" t="n">
        <v>4.09343605574</v>
      </c>
      <c r="BV17" s="190" t="n">
        <v>4.16317174376</v>
      </c>
      <c r="BW17" s="190" t="n">
        <v>4.23290743178</v>
      </c>
      <c r="BX17" s="190" t="n">
        <v>4.3026431198</v>
      </c>
      <c r="BY17" s="190" t="n">
        <v>4.37237880782</v>
      </c>
      <c r="BZ17" s="190" t="n">
        <v>4.44211449584</v>
      </c>
      <c r="CA17" s="190" t="n">
        <v>4.51185018386</v>
      </c>
      <c r="CB17" s="190" t="n">
        <v>4.58158587188</v>
      </c>
      <c r="CC17" s="190" t="n">
        <v>4.6513215599</v>
      </c>
      <c r="CD17" s="190" t="n">
        <v>4.72105724792</v>
      </c>
      <c r="CE17" s="190" t="n">
        <v>4.79079293594</v>
      </c>
      <c r="CF17" s="190" t="n">
        <v>4.86052862396</v>
      </c>
      <c r="CG17" s="190" t="n">
        <v>4.93026431198</v>
      </c>
      <c r="CH17" s="190" t="n">
        <v>5</v>
      </c>
      <c r="CI17" s="190" t="n">
        <v>5.06973568801999</v>
      </c>
      <c r="CJ17" s="190" t="n">
        <v>5.13947137603999</v>
      </c>
      <c r="CK17" s="190" t="n">
        <v>5.20920706405999</v>
      </c>
      <c r="CL17" s="190" t="n">
        <v>5.27894275207999</v>
      </c>
      <c r="CM17" s="190" t="n">
        <v>5.34867844009999</v>
      </c>
      <c r="CN17" s="190" t="n">
        <v>5.41841412811999</v>
      </c>
      <c r="CO17" s="190" t="n">
        <v>5.48814981613999</v>
      </c>
      <c r="CP17" s="190" t="n">
        <v>5.55788550415999</v>
      </c>
      <c r="CQ17" s="190" t="n">
        <v>5.62762119217999</v>
      </c>
      <c r="CR17" s="190" t="n">
        <v>5.69735688019999</v>
      </c>
      <c r="CS17" s="190" t="n">
        <v>5.76709256821999</v>
      </c>
      <c r="CT17" s="190" t="n">
        <v>5.83682825623999</v>
      </c>
      <c r="CU17" s="190" t="n">
        <v>5.90656394425999</v>
      </c>
      <c r="CV17" s="190" t="n">
        <v>5.97629963227999</v>
      </c>
      <c r="CW17" s="190" t="n">
        <v>6.04603532029999</v>
      </c>
      <c r="CX17" s="190" t="n">
        <v>6.11577100831999</v>
      </c>
      <c r="CY17" s="190" t="n">
        <v>6.18550669633999</v>
      </c>
      <c r="CZ17" s="190" t="n">
        <v>6.25524238435999</v>
      </c>
      <c r="DA17" s="190" t="n">
        <v>6.32497807237999</v>
      </c>
      <c r="DB17" s="190" t="n">
        <v>6.39471376039999</v>
      </c>
      <c r="DC17" s="190" t="n">
        <v>6.46444944841999</v>
      </c>
      <c r="DD17" s="190" t="n">
        <v>6.53418513643999</v>
      </c>
      <c r="DE17" s="190" t="n">
        <v>6.60392082445999</v>
      </c>
      <c r="DF17" s="190" t="n">
        <v>6.67365651247999</v>
      </c>
      <c r="DG17" s="190" t="n">
        <v>6.74339220049999</v>
      </c>
      <c r="DH17" s="190" t="n">
        <v>6.81312788851999</v>
      </c>
      <c r="DI17" s="190" t="n">
        <v>6.88286357653999</v>
      </c>
      <c r="DJ17" s="190" t="n">
        <v>6.95259926455999</v>
      </c>
      <c r="DK17" s="190" t="n">
        <v>7.02233495257999</v>
      </c>
      <c r="DL17" s="190" t="n">
        <v>7.09207064059999</v>
      </c>
      <c r="DM17" s="190" t="n">
        <v>7.16180632861999</v>
      </c>
      <c r="DN17" s="190" t="n">
        <v>7.23154201663999</v>
      </c>
      <c r="DO17" s="190" t="n">
        <v>7.30127770465999</v>
      </c>
      <c r="DP17" s="190" t="n">
        <v>7.37101339267999</v>
      </c>
      <c r="DQ17" s="190" t="n">
        <v>7.44074908069999</v>
      </c>
      <c r="DR17" s="190" t="n">
        <v>7.51048476871999</v>
      </c>
      <c r="DS17" s="190" t="n">
        <v>7.58022045673999</v>
      </c>
      <c r="DT17" s="190" t="n">
        <v>7.64995614475999</v>
      </c>
      <c r="DU17" s="190" t="n">
        <v>7.71969183277999</v>
      </c>
      <c r="DV17" s="190" t="n">
        <v>7.78942752079998</v>
      </c>
      <c r="DW17" s="190" t="n">
        <v>7.85916320881998</v>
      </c>
      <c r="DX17" s="190" t="n">
        <v>7.92889889683998</v>
      </c>
      <c r="DY17" s="190" t="n">
        <v>7.99863458485998</v>
      </c>
      <c r="DZ17" s="190" t="n">
        <v>8.06837027287998</v>
      </c>
      <c r="EA17" s="190" t="n">
        <v>8.13810596089998</v>
      </c>
      <c r="EB17" s="190" t="n">
        <v>8.20784164891998</v>
      </c>
      <c r="EC17" s="190" t="n">
        <v>8.27757733693998</v>
      </c>
      <c r="ED17" s="190" t="n">
        <v>8.34731302495998</v>
      </c>
      <c r="EE17" s="190" t="n">
        <v>8.41704871297998</v>
      </c>
      <c r="EF17" s="190" t="n">
        <v>8.48678440099998</v>
      </c>
      <c r="EG17" s="190" t="n">
        <v>8.55652008901998</v>
      </c>
      <c r="EH17" s="190" t="n">
        <v>8.62625577703998</v>
      </c>
      <c r="EI17" s="190" t="n">
        <v>8.69599146505998</v>
      </c>
      <c r="EJ17" s="190" t="n">
        <v>8.76572715307998</v>
      </c>
      <c r="EK17" s="190" t="n">
        <v>8.83546284109998</v>
      </c>
      <c r="EL17" s="180" t="n">
        <v>8.90519852911998</v>
      </c>
      <c r="EM17" s="180" t="n">
        <v>8.97493421713998</v>
      </c>
      <c r="EN17" s="180" t="n">
        <v>9.04466990515998</v>
      </c>
      <c r="EO17" s="180" t="n">
        <v>9.11440559317998</v>
      </c>
      <c r="EP17" s="180" t="n">
        <v>9.18414128119998</v>
      </c>
      <c r="EQ17" s="180" t="n">
        <v>9.25387696921998</v>
      </c>
      <c r="ER17" s="180" t="n">
        <v>9.32361265723998</v>
      </c>
      <c r="ES17" s="180" t="n">
        <v>9.39334834525998</v>
      </c>
      <c r="ET17" s="180" t="n">
        <v>9.46308403327998</v>
      </c>
      <c r="EU17" s="180" t="n">
        <v>9.53281972129998</v>
      </c>
      <c r="EV17" s="180" t="n">
        <v>9.60255540931998</v>
      </c>
      <c r="EW17" s="180" t="n">
        <v>9.67229109733998</v>
      </c>
      <c r="EX17" s="180" t="n">
        <v>9.74202678535998</v>
      </c>
      <c r="EY17" s="180" t="n">
        <v>9.81176247337998</v>
      </c>
      <c r="EZ17" s="180" t="n">
        <v>9.88149816139998</v>
      </c>
      <c r="FA17" s="180" t="n">
        <v>9.95123384941998</v>
      </c>
      <c r="FB17" s="180" t="n">
        <v>10.02096953744</v>
      </c>
      <c r="FC17" s="180" t="n">
        <v>10.09070522546</v>
      </c>
      <c r="FD17" s="180" t="n">
        <v>10.16044091348</v>
      </c>
      <c r="FE17" s="180" t="n">
        <v>10.2301766015</v>
      </c>
      <c r="FF17" s="180" t="n">
        <v>10.29991228952</v>
      </c>
      <c r="FG17" s="180" t="n">
        <v>10.36964797754</v>
      </c>
      <c r="FH17" s="180" t="n">
        <v>10.43938366556</v>
      </c>
      <c r="FI17" s="180" t="n">
        <v>10.50911935358</v>
      </c>
      <c r="FJ17" s="180" t="n">
        <v>10.5788550416</v>
      </c>
      <c r="FK17" s="180" t="n">
        <v>10.64859072962</v>
      </c>
      <c r="FL17" s="180" t="n">
        <v>10.71832641764</v>
      </c>
      <c r="FM17" s="180" t="n">
        <v>10.78806210566</v>
      </c>
      <c r="FN17" s="180" t="n">
        <v>10.85779779368</v>
      </c>
      <c r="FO17" s="180" t="n">
        <v>10.9275334817</v>
      </c>
      <c r="FP17" s="180" t="n">
        <v>10.99726916972</v>
      </c>
      <c r="FQ17" s="180" t="n">
        <v>11.06700485774</v>
      </c>
      <c r="FR17" s="180" t="n">
        <v>11.13674054576</v>
      </c>
      <c r="FS17" s="180" t="n">
        <v>11.20647623378</v>
      </c>
      <c r="FT17" s="180" t="n">
        <v>11.2762119218</v>
      </c>
      <c r="FU17" s="180" t="n">
        <v>11.34594760982</v>
      </c>
      <c r="FV17" s="180" t="n">
        <v>11.41568329784</v>
      </c>
      <c r="FW17" s="180" t="n">
        <v>11.48541898586</v>
      </c>
      <c r="FX17" s="180" t="n">
        <v>11.55515467388</v>
      </c>
      <c r="FY17" s="180" t="n">
        <v>11.6248903619</v>
      </c>
      <c r="FZ17" s="180" t="n">
        <v>11.69462604992</v>
      </c>
      <c r="GA17" s="180" t="n">
        <v>11.76436173794</v>
      </c>
      <c r="GB17" s="180" t="n">
        <v>11.83409742596</v>
      </c>
      <c r="GC17" s="180" t="n">
        <v>11.90383311398</v>
      </c>
      <c r="GD17" s="180" t="n">
        <v>11.973568802</v>
      </c>
      <c r="GE17" s="180" t="n">
        <v>12.04330449002</v>
      </c>
      <c r="GF17" s="180" t="n">
        <v>12.11304017804</v>
      </c>
      <c r="GG17" s="180" t="n">
        <v>12.18277586606</v>
      </c>
      <c r="GH17" s="180" t="n">
        <v>12.25251155408</v>
      </c>
      <c r="GI17" s="180" t="n">
        <v>12.3222472421</v>
      </c>
      <c r="GJ17" s="180" t="n">
        <v>12.39198293012</v>
      </c>
      <c r="GK17" s="180" t="n">
        <v>12.46171861814</v>
      </c>
      <c r="GL17" s="180" t="n">
        <v>12.53145430616</v>
      </c>
      <c r="GM17" s="180" t="n">
        <v>12.60118999418</v>
      </c>
      <c r="GN17" s="180" t="n">
        <v>12.6709256822</v>
      </c>
      <c r="GO17" s="180" t="n">
        <v>12.74066137022</v>
      </c>
      <c r="GP17" s="180" t="n">
        <v>12.81039705824</v>
      </c>
      <c r="GQ17" s="180" t="n">
        <v>12.88013274626</v>
      </c>
      <c r="GR17" s="180" t="n">
        <v>12.94986843428</v>
      </c>
      <c r="GS17" s="180" t="n">
        <v>13.0196041223</v>
      </c>
      <c r="GT17" s="180" t="n">
        <v>13.08933981032</v>
      </c>
      <c r="GU17" s="180" t="n">
        <v>13.15907549834</v>
      </c>
      <c r="GV17" s="180" t="n">
        <v>13.22881118636</v>
      </c>
      <c r="GW17" s="180" t="n">
        <v>13.29854687438</v>
      </c>
      <c r="GX17" s="180" t="n">
        <v>13.3682825624</v>
      </c>
      <c r="GY17" s="180" t="n">
        <v>13.43801825042</v>
      </c>
      <c r="GZ17" s="180" t="n">
        <v>13.50775393844</v>
      </c>
      <c r="HA17" s="180" t="n">
        <v>13.57748962646</v>
      </c>
      <c r="HB17" s="180" t="n">
        <v>13.64722531448</v>
      </c>
      <c r="HC17" s="180" t="n">
        <v>13.7169610025</v>
      </c>
      <c r="HD17" s="180" t="n">
        <v>13.78669669052</v>
      </c>
      <c r="HE17" s="180" t="n">
        <v>13.85643237854</v>
      </c>
      <c r="HF17" s="180" t="n">
        <v>13.92616806656</v>
      </c>
      <c r="HG17" s="180" t="n">
        <v>13.99590375458</v>
      </c>
      <c r="HH17" s="180" t="n">
        <v>14.0656394426</v>
      </c>
      <c r="HI17" s="180" t="n">
        <v>14.13537513062</v>
      </c>
      <c r="HJ17" s="180" t="n">
        <v>14.20511081864</v>
      </c>
      <c r="HK17" s="180" t="n">
        <v>14.27484650666</v>
      </c>
      <c r="HL17" s="180" t="n">
        <v>14.34458219468</v>
      </c>
      <c r="HM17" s="180" t="n">
        <v>14.4143178827</v>
      </c>
      <c r="HN17" s="180" t="n">
        <v>14.48405357072</v>
      </c>
      <c r="HO17" s="180" t="n">
        <v>14.55378925874</v>
      </c>
      <c r="HP17" s="180" t="n">
        <v>14.62352494676</v>
      </c>
      <c r="HQ17" s="180" t="n">
        <v>14.69326063478</v>
      </c>
      <c r="HR17" s="180" t="n">
        <v>14.7629963228</v>
      </c>
      <c r="HS17" s="180" t="n">
        <v>14.83273201082</v>
      </c>
      <c r="HT17" s="180" t="n">
        <v>14.90246769884</v>
      </c>
      <c r="HU17" s="180" t="n">
        <v>14.97220338686</v>
      </c>
      <c r="HV17" s="180" t="n">
        <v>15.04193907488</v>
      </c>
      <c r="HW17" s="180" t="n">
        <v>15.1116747629</v>
      </c>
      <c r="HX17" s="180" t="n">
        <v>15.18141045092</v>
      </c>
      <c r="HY17" s="180" t="n">
        <v>15.25114613894</v>
      </c>
      <c r="HZ17" s="180" t="n">
        <v>15.32088182696</v>
      </c>
      <c r="IA17" s="180" t="n">
        <v>15.39061751498</v>
      </c>
      <c r="IB17" s="180" t="n">
        <v>15.460353203</v>
      </c>
      <c r="IC17" s="180" t="n">
        <v>15.53008889102</v>
      </c>
      <c r="ID17" s="180" t="n">
        <v>15.59982457904</v>
      </c>
      <c r="IE17" s="180" t="n">
        <v>15.66956026706</v>
      </c>
      <c r="IF17" s="180" t="n">
        <v>15.73929595508</v>
      </c>
      <c r="IG17" s="180" t="n">
        <v>15.8090316431</v>
      </c>
      <c r="IH17" s="180" t="n">
        <v>15.87876733112</v>
      </c>
      <c r="II17" s="180" t="n">
        <v>15.94850301914</v>
      </c>
      <c r="IJ17" s="180" t="n">
        <v>16.01823870716</v>
      </c>
      <c r="IK17" s="180" t="n">
        <v>16.08797439518</v>
      </c>
      <c r="IL17" s="180" t="n">
        <v>16.1577100832</v>
      </c>
      <c r="IM17" s="180" t="n">
        <v>16.22744577122</v>
      </c>
      <c r="IN17" s="180" t="n">
        <v>16.29718145924</v>
      </c>
      <c r="IO17" s="180" t="n">
        <v>16.36691714726</v>
      </c>
      <c r="IP17" s="180" t="n">
        <v>16.43665283528</v>
      </c>
      <c r="IQ17" s="180" t="n">
        <v>16.5063885233</v>
      </c>
      <c r="IR17" s="180" t="n">
        <v>16.57612421132</v>
      </c>
      <c r="IS17" s="180" t="n">
        <v>16.64585989934</v>
      </c>
      <c r="IT17" s="180" t="n">
        <v>16.71559558736</v>
      </c>
      <c r="IU17" s="180" t="n">
        <v>16.78533127538</v>
      </c>
      <c r="IV17" s="180" t="n">
        <v>16.8550669634</v>
      </c>
    </row>
    <row r="18" customFormat="false" ht="12.75" hidden="false" customHeight="false" outlineLevel="0" collapsed="false">
      <c r="A18" s="189" t="n">
        <v>37226</v>
      </c>
      <c r="B18" s="185" t="n">
        <v>-2.021005929375</v>
      </c>
      <c r="C18" s="185" t="n">
        <v>-1.9907047400625</v>
      </c>
      <c r="D18" s="185" t="n">
        <v>-1.96040355075</v>
      </c>
      <c r="E18" s="185" t="n">
        <v>-1.9301023614375</v>
      </c>
      <c r="F18" s="185" t="n">
        <v>-1.899801172125</v>
      </c>
      <c r="G18" s="185" t="n">
        <v>-1.8694999828125</v>
      </c>
      <c r="H18" s="185" t="n">
        <v>-1.8391987935</v>
      </c>
      <c r="I18" s="185" t="n">
        <v>-1.8088976041875</v>
      </c>
      <c r="J18" s="185" t="n">
        <v>-1.778596414875</v>
      </c>
      <c r="K18" s="185" t="n">
        <v>-1.7482952255625</v>
      </c>
      <c r="L18" s="185" t="n">
        <v>-1.71799403625</v>
      </c>
      <c r="M18" s="185" t="n">
        <v>-1.6876928469375</v>
      </c>
      <c r="N18" s="185" t="n">
        <v>-1.657391657625</v>
      </c>
      <c r="O18" s="185" t="n">
        <v>-1.6270904683125</v>
      </c>
      <c r="P18" s="185" t="n">
        <v>-1.596789279</v>
      </c>
      <c r="Q18" s="185" t="n">
        <v>-1.5664880896875</v>
      </c>
      <c r="R18" s="185" t="n">
        <v>-1.536186900375</v>
      </c>
      <c r="S18" s="185" t="n">
        <v>-1.5058857110625</v>
      </c>
      <c r="T18" s="185" t="n">
        <v>-1.47558452175</v>
      </c>
      <c r="U18" s="185" t="n">
        <v>-1.4452833324375</v>
      </c>
      <c r="V18" s="186" t="n">
        <v>-1.414982143125</v>
      </c>
      <c r="W18" s="185" t="n">
        <v>-1.3846809538125</v>
      </c>
      <c r="X18" s="186" t="n">
        <v>-1.3543797645</v>
      </c>
      <c r="Y18" s="185" t="n">
        <v>-1.3240785751875</v>
      </c>
      <c r="Z18" s="186" t="n">
        <v>-1.293777385875</v>
      </c>
      <c r="AA18" s="185" t="n">
        <v>-1.2634761965625</v>
      </c>
      <c r="AB18" s="187" t="n">
        <v>-1.23317500725</v>
      </c>
      <c r="AC18" s="185" t="n">
        <v>-1.2028738179375</v>
      </c>
      <c r="AD18" s="187" t="n">
        <v>-1.172572628625</v>
      </c>
      <c r="AE18" s="185" t="n">
        <v>-1.1422714393125</v>
      </c>
      <c r="AF18" s="185" t="n">
        <v>-1.11197025</v>
      </c>
      <c r="AG18" s="190" t="n">
        <v>-1.083235125</v>
      </c>
      <c r="AH18" s="190" t="n">
        <v>-1.0545</v>
      </c>
      <c r="AI18" s="190" t="n">
        <v>-1.02725</v>
      </c>
      <c r="AJ18" s="190" t="n">
        <v>-1</v>
      </c>
      <c r="AK18" s="190" t="n">
        <v>-0.8</v>
      </c>
      <c r="AL18" s="190" t="n">
        <v>-0.6</v>
      </c>
      <c r="AM18" s="190" t="n">
        <v>-0.4</v>
      </c>
      <c r="AN18" s="190" t="n">
        <v>-0.2</v>
      </c>
      <c r="AO18" s="190" t="n">
        <v>0</v>
      </c>
      <c r="AP18" s="190" t="n">
        <v>0.2</v>
      </c>
      <c r="AQ18" s="190" t="n">
        <v>0.4</v>
      </c>
      <c r="AR18" s="190" t="n">
        <v>0.6</v>
      </c>
      <c r="AS18" s="190" t="n">
        <v>0.8</v>
      </c>
      <c r="AT18" s="190" t="n">
        <v>1</v>
      </c>
      <c r="AU18" s="190" t="n">
        <v>1.2</v>
      </c>
      <c r="AV18" s="190" t="n">
        <v>1.4</v>
      </c>
      <c r="AW18" s="190" t="n">
        <v>1.58</v>
      </c>
      <c r="AX18" s="190" t="n">
        <v>1.76</v>
      </c>
      <c r="AY18" s="190" t="n">
        <v>1.922</v>
      </c>
      <c r="AZ18" s="190" t="n">
        <v>2.084</v>
      </c>
      <c r="BA18" s="190" t="n">
        <v>2.2298</v>
      </c>
      <c r="BB18" s="190" t="n">
        <v>2.3756</v>
      </c>
      <c r="BC18" s="190" t="n">
        <v>2.50682</v>
      </c>
      <c r="BD18" s="190" t="n">
        <v>2.63804</v>
      </c>
      <c r="BE18" s="190" t="n">
        <v>2.756138</v>
      </c>
      <c r="BF18" s="190" t="n">
        <v>2.874236</v>
      </c>
      <c r="BG18" s="190" t="n">
        <v>2.9805242</v>
      </c>
      <c r="BH18" s="190" t="n">
        <v>3.0868124</v>
      </c>
      <c r="BI18" s="190" t="n">
        <v>3.18247178</v>
      </c>
      <c r="BJ18" s="190" t="n">
        <v>3.27813116</v>
      </c>
      <c r="BK18" s="190" t="n">
        <v>3.364224602</v>
      </c>
      <c r="BL18" s="190" t="n">
        <v>3.450318044</v>
      </c>
      <c r="BM18" s="190" t="n">
        <v>3.5278021418</v>
      </c>
      <c r="BN18" s="190" t="n">
        <v>3.6052862396</v>
      </c>
      <c r="BO18" s="190" t="n">
        <v>3.67502192762</v>
      </c>
      <c r="BP18" s="190" t="n">
        <v>3.74475761564</v>
      </c>
      <c r="BQ18" s="190" t="n">
        <v>3.81449330366</v>
      </c>
      <c r="BR18" s="190" t="n">
        <v>3.88422899168</v>
      </c>
      <c r="BS18" s="190" t="n">
        <v>3.9539646797</v>
      </c>
      <c r="BT18" s="190" t="n">
        <v>4.02370036772</v>
      </c>
      <c r="BU18" s="190" t="n">
        <v>4.09343605574</v>
      </c>
      <c r="BV18" s="190" t="n">
        <v>4.16317174376</v>
      </c>
      <c r="BW18" s="190" t="n">
        <v>4.23290743178</v>
      </c>
      <c r="BX18" s="190" t="n">
        <v>4.3026431198</v>
      </c>
      <c r="BY18" s="190" t="n">
        <v>4.37237880782</v>
      </c>
      <c r="BZ18" s="190" t="n">
        <v>4.44211449584</v>
      </c>
      <c r="CA18" s="190" t="n">
        <v>4.51185018386</v>
      </c>
      <c r="CB18" s="190" t="n">
        <v>4.58158587188</v>
      </c>
      <c r="CC18" s="190" t="n">
        <v>4.6513215599</v>
      </c>
      <c r="CD18" s="190" t="n">
        <v>4.72105724792</v>
      </c>
      <c r="CE18" s="190" t="n">
        <v>4.79079293594</v>
      </c>
      <c r="CF18" s="190" t="n">
        <v>4.86052862396</v>
      </c>
      <c r="CG18" s="190" t="n">
        <v>4.93026431198</v>
      </c>
      <c r="CH18" s="190" t="n">
        <v>5</v>
      </c>
      <c r="CI18" s="190" t="n">
        <v>5.06973568801999</v>
      </c>
      <c r="CJ18" s="190" t="n">
        <v>5.13947137603999</v>
      </c>
      <c r="CK18" s="190" t="n">
        <v>5.20920706405999</v>
      </c>
      <c r="CL18" s="190" t="n">
        <v>5.27894275207999</v>
      </c>
      <c r="CM18" s="190" t="n">
        <v>5.34867844009999</v>
      </c>
      <c r="CN18" s="190" t="n">
        <v>5.41841412811999</v>
      </c>
      <c r="CO18" s="190" t="n">
        <v>5.48814981613999</v>
      </c>
      <c r="CP18" s="190" t="n">
        <v>5.55788550415999</v>
      </c>
      <c r="CQ18" s="190" t="n">
        <v>5.62762119217999</v>
      </c>
      <c r="CR18" s="190" t="n">
        <v>5.69735688019999</v>
      </c>
      <c r="CS18" s="190" t="n">
        <v>5.76709256821999</v>
      </c>
      <c r="CT18" s="190" t="n">
        <v>5.83682825623999</v>
      </c>
      <c r="CU18" s="190" t="n">
        <v>5.90656394425999</v>
      </c>
      <c r="CV18" s="190" t="n">
        <v>5.97629963227999</v>
      </c>
      <c r="CW18" s="190" t="n">
        <v>6.04603532029999</v>
      </c>
      <c r="CX18" s="190" t="n">
        <v>6.11577100831999</v>
      </c>
      <c r="CY18" s="190" t="n">
        <v>6.18550669633999</v>
      </c>
      <c r="CZ18" s="190" t="n">
        <v>6.25524238435999</v>
      </c>
      <c r="DA18" s="190" t="n">
        <v>6.32497807237999</v>
      </c>
      <c r="DB18" s="190" t="n">
        <v>6.39471376039999</v>
      </c>
      <c r="DC18" s="190" t="n">
        <v>6.46444944841999</v>
      </c>
      <c r="DD18" s="190" t="n">
        <v>6.53418513643999</v>
      </c>
      <c r="DE18" s="190" t="n">
        <v>6.60392082445999</v>
      </c>
      <c r="DF18" s="190" t="n">
        <v>6.67365651247999</v>
      </c>
      <c r="DG18" s="190" t="n">
        <v>6.74339220049999</v>
      </c>
      <c r="DH18" s="190" t="n">
        <v>6.81312788851999</v>
      </c>
      <c r="DI18" s="190" t="n">
        <v>6.88286357653999</v>
      </c>
      <c r="DJ18" s="190" t="n">
        <v>6.95259926455999</v>
      </c>
      <c r="DK18" s="190" t="n">
        <v>7.02233495257999</v>
      </c>
      <c r="DL18" s="190" t="n">
        <v>7.09207064059999</v>
      </c>
      <c r="DM18" s="190" t="n">
        <v>7.16180632861999</v>
      </c>
      <c r="DN18" s="190" t="n">
        <v>7.23154201663999</v>
      </c>
      <c r="DO18" s="190" t="n">
        <v>7.30127770465999</v>
      </c>
      <c r="DP18" s="190" t="n">
        <v>7.37101339267999</v>
      </c>
      <c r="DQ18" s="190" t="n">
        <v>7.44074908069999</v>
      </c>
      <c r="DR18" s="190" t="n">
        <v>7.51048476871999</v>
      </c>
      <c r="DS18" s="190" t="n">
        <v>7.58022045673999</v>
      </c>
      <c r="DT18" s="190" t="n">
        <v>7.64995614475999</v>
      </c>
      <c r="DU18" s="190" t="n">
        <v>7.71969183277999</v>
      </c>
      <c r="DV18" s="190" t="n">
        <v>7.78942752079998</v>
      </c>
      <c r="DW18" s="190" t="n">
        <v>7.85916320881998</v>
      </c>
      <c r="DX18" s="190" t="n">
        <v>7.92889889683998</v>
      </c>
      <c r="DY18" s="190" t="n">
        <v>7.99863458485998</v>
      </c>
      <c r="DZ18" s="190" t="n">
        <v>8.06837027287998</v>
      </c>
      <c r="EA18" s="190" t="n">
        <v>8.13810596089998</v>
      </c>
      <c r="EB18" s="190" t="n">
        <v>8.20784164891998</v>
      </c>
      <c r="EC18" s="190" t="n">
        <v>8.27757733693998</v>
      </c>
      <c r="ED18" s="190" t="n">
        <v>8.34731302495998</v>
      </c>
      <c r="EE18" s="190" t="n">
        <v>8.41704871297998</v>
      </c>
      <c r="EF18" s="190" t="n">
        <v>8.48678440099998</v>
      </c>
      <c r="EG18" s="190" t="n">
        <v>8.55652008901998</v>
      </c>
      <c r="EH18" s="190" t="n">
        <v>8.62625577703998</v>
      </c>
      <c r="EI18" s="190" t="n">
        <v>8.69599146505998</v>
      </c>
      <c r="EJ18" s="190" t="n">
        <v>8.76572715307998</v>
      </c>
      <c r="EK18" s="190" t="n">
        <v>8.83546284109998</v>
      </c>
      <c r="EL18" s="180" t="n">
        <v>8.90519852911998</v>
      </c>
      <c r="EM18" s="180" t="n">
        <v>8.97493421713998</v>
      </c>
      <c r="EN18" s="180" t="n">
        <v>9.04466990515998</v>
      </c>
      <c r="EO18" s="180" t="n">
        <v>9.11440559317998</v>
      </c>
      <c r="EP18" s="180" t="n">
        <v>9.18414128119998</v>
      </c>
      <c r="EQ18" s="180" t="n">
        <v>9.25387696921998</v>
      </c>
      <c r="ER18" s="180" t="n">
        <v>9.32361265723998</v>
      </c>
      <c r="ES18" s="180" t="n">
        <v>9.39334834525998</v>
      </c>
      <c r="ET18" s="180" t="n">
        <v>9.46308403327998</v>
      </c>
      <c r="EU18" s="180" t="n">
        <v>9.53281972129998</v>
      </c>
      <c r="EV18" s="180" t="n">
        <v>9.60255540931998</v>
      </c>
      <c r="EW18" s="180" t="n">
        <v>9.67229109733998</v>
      </c>
      <c r="EX18" s="180" t="n">
        <v>9.74202678535998</v>
      </c>
      <c r="EY18" s="180" t="n">
        <v>9.81176247337998</v>
      </c>
      <c r="EZ18" s="180" t="n">
        <v>9.88149816139998</v>
      </c>
      <c r="FA18" s="180" t="n">
        <v>9.95123384941998</v>
      </c>
      <c r="FB18" s="180" t="n">
        <v>10.02096953744</v>
      </c>
      <c r="FC18" s="180" t="n">
        <v>10.09070522546</v>
      </c>
      <c r="FD18" s="180" t="n">
        <v>10.16044091348</v>
      </c>
      <c r="FE18" s="180" t="n">
        <v>10.2301766015</v>
      </c>
      <c r="FF18" s="180" t="n">
        <v>10.29991228952</v>
      </c>
      <c r="FG18" s="180" t="n">
        <v>10.36964797754</v>
      </c>
      <c r="FH18" s="180" t="n">
        <v>10.43938366556</v>
      </c>
      <c r="FI18" s="180" t="n">
        <v>10.50911935358</v>
      </c>
      <c r="FJ18" s="180" t="n">
        <v>10.5788550416</v>
      </c>
      <c r="FK18" s="180" t="n">
        <v>10.64859072962</v>
      </c>
      <c r="FL18" s="180" t="n">
        <v>10.71832641764</v>
      </c>
      <c r="FM18" s="180" t="n">
        <v>10.78806210566</v>
      </c>
      <c r="FN18" s="180" t="n">
        <v>10.85779779368</v>
      </c>
      <c r="FO18" s="180" t="n">
        <v>10.9275334817</v>
      </c>
      <c r="FP18" s="180" t="n">
        <v>10.99726916972</v>
      </c>
      <c r="FQ18" s="180" t="n">
        <v>11.06700485774</v>
      </c>
      <c r="FR18" s="180" t="n">
        <v>11.13674054576</v>
      </c>
      <c r="FS18" s="180" t="n">
        <v>11.20647623378</v>
      </c>
      <c r="FT18" s="180" t="n">
        <v>11.2762119218</v>
      </c>
      <c r="FU18" s="180" t="n">
        <v>11.34594760982</v>
      </c>
      <c r="FV18" s="180" t="n">
        <v>11.41568329784</v>
      </c>
      <c r="FW18" s="180" t="n">
        <v>11.48541898586</v>
      </c>
      <c r="FX18" s="180" t="n">
        <v>11.55515467388</v>
      </c>
      <c r="FY18" s="180" t="n">
        <v>11.6248903619</v>
      </c>
      <c r="FZ18" s="180" t="n">
        <v>11.69462604992</v>
      </c>
      <c r="GA18" s="180" t="n">
        <v>11.76436173794</v>
      </c>
      <c r="GB18" s="180" t="n">
        <v>11.83409742596</v>
      </c>
      <c r="GC18" s="180" t="n">
        <v>11.90383311398</v>
      </c>
      <c r="GD18" s="180" t="n">
        <v>11.973568802</v>
      </c>
      <c r="GE18" s="180" t="n">
        <v>12.04330449002</v>
      </c>
      <c r="GF18" s="180" t="n">
        <v>12.11304017804</v>
      </c>
      <c r="GG18" s="180" t="n">
        <v>12.18277586606</v>
      </c>
      <c r="GH18" s="180" t="n">
        <v>12.25251155408</v>
      </c>
      <c r="GI18" s="180" t="n">
        <v>12.3222472421</v>
      </c>
      <c r="GJ18" s="180" t="n">
        <v>12.39198293012</v>
      </c>
      <c r="GK18" s="180" t="n">
        <v>12.46171861814</v>
      </c>
      <c r="GL18" s="180" t="n">
        <v>12.53145430616</v>
      </c>
      <c r="GM18" s="180" t="n">
        <v>12.60118999418</v>
      </c>
      <c r="GN18" s="180" t="n">
        <v>12.6709256822</v>
      </c>
      <c r="GO18" s="180" t="n">
        <v>12.74066137022</v>
      </c>
      <c r="GP18" s="180" t="n">
        <v>12.81039705824</v>
      </c>
      <c r="GQ18" s="180" t="n">
        <v>12.88013274626</v>
      </c>
      <c r="GR18" s="180" t="n">
        <v>12.94986843428</v>
      </c>
      <c r="GS18" s="180" t="n">
        <v>13.0196041223</v>
      </c>
      <c r="GT18" s="180" t="n">
        <v>13.08933981032</v>
      </c>
      <c r="GU18" s="180" t="n">
        <v>13.15907549834</v>
      </c>
      <c r="GV18" s="180" t="n">
        <v>13.22881118636</v>
      </c>
      <c r="GW18" s="180" t="n">
        <v>13.29854687438</v>
      </c>
      <c r="GX18" s="180" t="n">
        <v>13.3682825624</v>
      </c>
      <c r="GY18" s="180" t="n">
        <v>13.43801825042</v>
      </c>
      <c r="GZ18" s="180" t="n">
        <v>13.50775393844</v>
      </c>
      <c r="HA18" s="180" t="n">
        <v>13.57748962646</v>
      </c>
      <c r="HB18" s="180" t="n">
        <v>13.64722531448</v>
      </c>
      <c r="HC18" s="180" t="n">
        <v>13.7169610025</v>
      </c>
      <c r="HD18" s="180" t="n">
        <v>13.78669669052</v>
      </c>
      <c r="HE18" s="180" t="n">
        <v>13.85643237854</v>
      </c>
      <c r="HF18" s="180" t="n">
        <v>13.92616806656</v>
      </c>
      <c r="HG18" s="180" t="n">
        <v>13.99590375458</v>
      </c>
      <c r="HH18" s="180" t="n">
        <v>14.0656394426</v>
      </c>
      <c r="HI18" s="180" t="n">
        <v>14.13537513062</v>
      </c>
      <c r="HJ18" s="180" t="n">
        <v>14.20511081864</v>
      </c>
      <c r="HK18" s="180" t="n">
        <v>14.27484650666</v>
      </c>
      <c r="HL18" s="180" t="n">
        <v>14.34458219468</v>
      </c>
      <c r="HM18" s="180" t="n">
        <v>14.4143178827</v>
      </c>
      <c r="HN18" s="180" t="n">
        <v>14.48405357072</v>
      </c>
      <c r="HO18" s="180" t="n">
        <v>14.55378925874</v>
      </c>
      <c r="HP18" s="180" t="n">
        <v>14.62352494676</v>
      </c>
      <c r="HQ18" s="180" t="n">
        <v>14.69326063478</v>
      </c>
      <c r="HR18" s="180" t="n">
        <v>14.7629963228</v>
      </c>
      <c r="HS18" s="180" t="n">
        <v>14.83273201082</v>
      </c>
      <c r="HT18" s="180" t="n">
        <v>14.90246769884</v>
      </c>
      <c r="HU18" s="180" t="n">
        <v>14.97220338686</v>
      </c>
      <c r="HV18" s="180" t="n">
        <v>15.04193907488</v>
      </c>
      <c r="HW18" s="180" t="n">
        <v>15.1116747629</v>
      </c>
      <c r="HX18" s="180" t="n">
        <v>15.18141045092</v>
      </c>
      <c r="HY18" s="180" t="n">
        <v>15.25114613894</v>
      </c>
      <c r="HZ18" s="180" t="n">
        <v>15.32088182696</v>
      </c>
      <c r="IA18" s="180" t="n">
        <v>15.39061751498</v>
      </c>
      <c r="IB18" s="180" t="n">
        <v>15.460353203</v>
      </c>
      <c r="IC18" s="180" t="n">
        <v>15.53008889102</v>
      </c>
      <c r="ID18" s="180" t="n">
        <v>15.59982457904</v>
      </c>
      <c r="IE18" s="180" t="n">
        <v>15.66956026706</v>
      </c>
      <c r="IF18" s="180" t="n">
        <v>15.73929595508</v>
      </c>
      <c r="IG18" s="180" t="n">
        <v>15.8090316431</v>
      </c>
      <c r="IH18" s="180" t="n">
        <v>15.87876733112</v>
      </c>
      <c r="II18" s="180" t="n">
        <v>15.94850301914</v>
      </c>
      <c r="IJ18" s="180" t="n">
        <v>16.01823870716</v>
      </c>
      <c r="IK18" s="180" t="n">
        <v>16.08797439518</v>
      </c>
      <c r="IL18" s="180" t="n">
        <v>16.1577100832</v>
      </c>
      <c r="IM18" s="180" t="n">
        <v>16.22744577122</v>
      </c>
      <c r="IN18" s="180" t="n">
        <v>16.29718145924</v>
      </c>
      <c r="IO18" s="180" t="n">
        <v>16.36691714726</v>
      </c>
      <c r="IP18" s="180" t="n">
        <v>16.43665283528</v>
      </c>
      <c r="IQ18" s="180" t="n">
        <v>16.5063885233</v>
      </c>
      <c r="IR18" s="180" t="n">
        <v>16.57612421132</v>
      </c>
      <c r="IS18" s="180" t="n">
        <v>16.64585989934</v>
      </c>
      <c r="IT18" s="180" t="n">
        <v>16.71559558736</v>
      </c>
      <c r="IU18" s="180" t="n">
        <v>16.78533127538</v>
      </c>
      <c r="IV18" s="180" t="n">
        <v>16.8550669634</v>
      </c>
    </row>
    <row r="19" customFormat="false" ht="12.75" hidden="false" customHeight="false" outlineLevel="0" collapsed="false">
      <c r="A19" s="189" t="n">
        <v>37257</v>
      </c>
      <c r="B19" s="185" t="n">
        <v>-2.021005929375</v>
      </c>
      <c r="C19" s="185" t="n">
        <v>-1.9907047400625</v>
      </c>
      <c r="D19" s="185" t="n">
        <v>-1.96040355075</v>
      </c>
      <c r="E19" s="185" t="n">
        <v>-1.9301023614375</v>
      </c>
      <c r="F19" s="185" t="n">
        <v>-1.899801172125</v>
      </c>
      <c r="G19" s="185" t="n">
        <v>-1.8694999828125</v>
      </c>
      <c r="H19" s="185" t="n">
        <v>-1.8391987935</v>
      </c>
      <c r="I19" s="185" t="n">
        <v>-1.8088976041875</v>
      </c>
      <c r="J19" s="185" t="n">
        <v>-1.778596414875</v>
      </c>
      <c r="K19" s="185" t="n">
        <v>-1.7482952255625</v>
      </c>
      <c r="L19" s="185" t="n">
        <v>-1.71799403625</v>
      </c>
      <c r="M19" s="185" t="n">
        <v>-1.6876928469375</v>
      </c>
      <c r="N19" s="185" t="n">
        <v>-1.657391657625</v>
      </c>
      <c r="O19" s="185" t="n">
        <v>-1.6270904683125</v>
      </c>
      <c r="P19" s="185" t="n">
        <v>-1.596789279</v>
      </c>
      <c r="Q19" s="185" t="n">
        <v>-1.5664880896875</v>
      </c>
      <c r="R19" s="185" t="n">
        <v>-1.536186900375</v>
      </c>
      <c r="S19" s="185" t="n">
        <v>-1.5058857110625</v>
      </c>
      <c r="T19" s="185" t="n">
        <v>-1.47558452175</v>
      </c>
      <c r="U19" s="185" t="n">
        <v>-1.4452833324375</v>
      </c>
      <c r="V19" s="186" t="n">
        <v>-1.414982143125</v>
      </c>
      <c r="W19" s="185" t="n">
        <v>-1.3846809538125</v>
      </c>
      <c r="X19" s="186" t="n">
        <v>-1.3543797645</v>
      </c>
      <c r="Y19" s="185" t="n">
        <v>-1.3240785751875</v>
      </c>
      <c r="Z19" s="186" t="n">
        <v>-1.293777385875</v>
      </c>
      <c r="AA19" s="185" t="n">
        <v>-1.2634761965625</v>
      </c>
      <c r="AB19" s="187" t="n">
        <v>-1.23317500725</v>
      </c>
      <c r="AC19" s="185" t="n">
        <v>-1.2028738179375</v>
      </c>
      <c r="AD19" s="187" t="n">
        <v>-1.172572628625</v>
      </c>
      <c r="AE19" s="185" t="n">
        <v>-1.1422714393125</v>
      </c>
      <c r="AF19" s="185" t="n">
        <v>-1.11197025</v>
      </c>
      <c r="AG19" s="190" t="n">
        <v>-1.083235125</v>
      </c>
      <c r="AH19" s="190" t="n">
        <v>-1.0545</v>
      </c>
      <c r="AI19" s="190" t="n">
        <v>-1.02725</v>
      </c>
      <c r="AJ19" s="190" t="n">
        <v>-1</v>
      </c>
      <c r="AK19" s="190" t="n">
        <v>-0.8</v>
      </c>
      <c r="AL19" s="190" t="n">
        <v>-0.6</v>
      </c>
      <c r="AM19" s="190" t="n">
        <v>-0.4</v>
      </c>
      <c r="AN19" s="190" t="n">
        <v>-0.2</v>
      </c>
      <c r="AO19" s="190" t="n">
        <v>0</v>
      </c>
      <c r="AP19" s="190" t="n">
        <v>0.2</v>
      </c>
      <c r="AQ19" s="190" t="n">
        <v>0.4</v>
      </c>
      <c r="AR19" s="190" t="n">
        <v>0.6</v>
      </c>
      <c r="AS19" s="190" t="n">
        <v>0.8</v>
      </c>
      <c r="AT19" s="190" t="n">
        <v>1</v>
      </c>
      <c r="AU19" s="190" t="n">
        <v>1.2</v>
      </c>
      <c r="AV19" s="190" t="n">
        <v>1.4</v>
      </c>
      <c r="AW19" s="190" t="n">
        <v>1.58</v>
      </c>
      <c r="AX19" s="190" t="n">
        <v>1.76</v>
      </c>
      <c r="AY19" s="190" t="n">
        <v>1.922</v>
      </c>
      <c r="AZ19" s="190" t="n">
        <v>2.084</v>
      </c>
      <c r="BA19" s="190" t="n">
        <v>2.2298</v>
      </c>
      <c r="BB19" s="190" t="n">
        <v>2.3756</v>
      </c>
      <c r="BC19" s="190" t="n">
        <v>2.50682</v>
      </c>
      <c r="BD19" s="190" t="n">
        <v>2.63804</v>
      </c>
      <c r="BE19" s="190" t="n">
        <v>2.756138</v>
      </c>
      <c r="BF19" s="190" t="n">
        <v>2.874236</v>
      </c>
      <c r="BG19" s="190" t="n">
        <v>2.9805242</v>
      </c>
      <c r="BH19" s="190" t="n">
        <v>3.0868124</v>
      </c>
      <c r="BI19" s="190" t="n">
        <v>3.18247178</v>
      </c>
      <c r="BJ19" s="190" t="n">
        <v>3.27813116</v>
      </c>
      <c r="BK19" s="190" t="n">
        <v>3.364224602</v>
      </c>
      <c r="BL19" s="190" t="n">
        <v>3.450318044</v>
      </c>
      <c r="BM19" s="190" t="n">
        <v>3.5278021418</v>
      </c>
      <c r="BN19" s="190" t="n">
        <v>3.6052862396</v>
      </c>
      <c r="BO19" s="190" t="n">
        <v>3.67502192762</v>
      </c>
      <c r="BP19" s="190" t="n">
        <v>3.74475761564</v>
      </c>
      <c r="BQ19" s="190" t="n">
        <v>3.81449330366</v>
      </c>
      <c r="BR19" s="190" t="n">
        <v>3.88422899168</v>
      </c>
      <c r="BS19" s="190" t="n">
        <v>3.9539646797</v>
      </c>
      <c r="BT19" s="190" t="n">
        <v>4.02370036772</v>
      </c>
      <c r="BU19" s="190" t="n">
        <v>4.09343605574</v>
      </c>
      <c r="BV19" s="190" t="n">
        <v>4.16317174376</v>
      </c>
      <c r="BW19" s="190" t="n">
        <v>4.23290743178</v>
      </c>
      <c r="BX19" s="190" t="n">
        <v>4.3026431198</v>
      </c>
      <c r="BY19" s="190" t="n">
        <v>4.37237880782</v>
      </c>
      <c r="BZ19" s="190" t="n">
        <v>4.44211449584</v>
      </c>
      <c r="CA19" s="190" t="n">
        <v>4.51185018386</v>
      </c>
      <c r="CB19" s="190" t="n">
        <v>4.58158587188</v>
      </c>
      <c r="CC19" s="190" t="n">
        <v>4.6513215599</v>
      </c>
      <c r="CD19" s="190" t="n">
        <v>4.72105724792</v>
      </c>
      <c r="CE19" s="190" t="n">
        <v>4.79079293594</v>
      </c>
      <c r="CF19" s="190" t="n">
        <v>4.86052862396</v>
      </c>
      <c r="CG19" s="190" t="n">
        <v>4.93026431198</v>
      </c>
      <c r="CH19" s="190" t="n">
        <v>5</v>
      </c>
      <c r="CI19" s="190" t="n">
        <v>5.06973568801999</v>
      </c>
      <c r="CJ19" s="190" t="n">
        <v>5.13947137603999</v>
      </c>
      <c r="CK19" s="190" t="n">
        <v>5.20920706405999</v>
      </c>
      <c r="CL19" s="190" t="n">
        <v>5.27894275207999</v>
      </c>
      <c r="CM19" s="190" t="n">
        <v>5.34867844009999</v>
      </c>
      <c r="CN19" s="190" t="n">
        <v>5.41841412811999</v>
      </c>
      <c r="CO19" s="190" t="n">
        <v>5.48814981613999</v>
      </c>
      <c r="CP19" s="190" t="n">
        <v>5.55788550415999</v>
      </c>
      <c r="CQ19" s="190" t="n">
        <v>5.62762119217999</v>
      </c>
      <c r="CR19" s="190" t="n">
        <v>5.69735688019999</v>
      </c>
      <c r="CS19" s="190" t="n">
        <v>5.76709256821999</v>
      </c>
      <c r="CT19" s="190" t="n">
        <v>5.83682825623999</v>
      </c>
      <c r="CU19" s="190" t="n">
        <v>5.90656394425999</v>
      </c>
      <c r="CV19" s="190" t="n">
        <v>5.97629963227999</v>
      </c>
      <c r="CW19" s="190" t="n">
        <v>6.04603532029999</v>
      </c>
      <c r="CX19" s="190" t="n">
        <v>6.11577100831999</v>
      </c>
      <c r="CY19" s="190" t="n">
        <v>6.18550669633999</v>
      </c>
      <c r="CZ19" s="190" t="n">
        <v>6.25524238435999</v>
      </c>
      <c r="DA19" s="190" t="n">
        <v>6.32497807237999</v>
      </c>
      <c r="DB19" s="190" t="n">
        <v>6.39471376039999</v>
      </c>
      <c r="DC19" s="190" t="n">
        <v>6.46444944841999</v>
      </c>
      <c r="DD19" s="190" t="n">
        <v>6.53418513643999</v>
      </c>
      <c r="DE19" s="190" t="n">
        <v>6.60392082445999</v>
      </c>
      <c r="DF19" s="190" t="n">
        <v>6.67365651247999</v>
      </c>
      <c r="DG19" s="190" t="n">
        <v>6.74339220049999</v>
      </c>
      <c r="DH19" s="190" t="n">
        <v>6.81312788851999</v>
      </c>
      <c r="DI19" s="190" t="n">
        <v>6.88286357653999</v>
      </c>
      <c r="DJ19" s="190" t="n">
        <v>6.95259926455999</v>
      </c>
      <c r="DK19" s="190" t="n">
        <v>7.02233495257999</v>
      </c>
      <c r="DL19" s="190" t="n">
        <v>7.09207064059999</v>
      </c>
      <c r="DM19" s="190" t="n">
        <v>7.16180632861999</v>
      </c>
      <c r="DN19" s="190" t="n">
        <v>7.23154201663999</v>
      </c>
      <c r="DO19" s="190" t="n">
        <v>7.30127770465999</v>
      </c>
      <c r="DP19" s="190" t="n">
        <v>7.37101339267999</v>
      </c>
      <c r="DQ19" s="190" t="n">
        <v>7.44074908069999</v>
      </c>
      <c r="DR19" s="190" t="n">
        <v>7.51048476871999</v>
      </c>
      <c r="DS19" s="190" t="n">
        <v>7.58022045673999</v>
      </c>
      <c r="DT19" s="190" t="n">
        <v>7.64995614475999</v>
      </c>
      <c r="DU19" s="190" t="n">
        <v>7.71969183277999</v>
      </c>
      <c r="DV19" s="190" t="n">
        <v>7.78942752079998</v>
      </c>
      <c r="DW19" s="190" t="n">
        <v>7.85916320881998</v>
      </c>
      <c r="DX19" s="190" t="n">
        <v>7.92889889683998</v>
      </c>
      <c r="DY19" s="190" t="n">
        <v>7.99863458485998</v>
      </c>
      <c r="DZ19" s="190" t="n">
        <v>8.06837027287998</v>
      </c>
      <c r="EA19" s="190" t="n">
        <v>8.13810596089998</v>
      </c>
      <c r="EB19" s="190" t="n">
        <v>8.20784164891998</v>
      </c>
      <c r="EC19" s="190" t="n">
        <v>8.27757733693998</v>
      </c>
      <c r="ED19" s="190" t="n">
        <v>8.34731302495998</v>
      </c>
      <c r="EE19" s="190" t="n">
        <v>8.41704871297998</v>
      </c>
      <c r="EF19" s="190" t="n">
        <v>8.48678440099998</v>
      </c>
      <c r="EG19" s="190" t="n">
        <v>8.55652008901998</v>
      </c>
      <c r="EH19" s="190" t="n">
        <v>8.62625577703998</v>
      </c>
      <c r="EI19" s="190" t="n">
        <v>8.69599146505998</v>
      </c>
      <c r="EJ19" s="190" t="n">
        <v>8.76572715307998</v>
      </c>
      <c r="EK19" s="190" t="n">
        <v>8.83546284109998</v>
      </c>
      <c r="EL19" s="180" t="n">
        <v>8.90519852911998</v>
      </c>
      <c r="EM19" s="180" t="n">
        <v>8.97493421713998</v>
      </c>
      <c r="EN19" s="180" t="n">
        <v>9.04466990515998</v>
      </c>
      <c r="EO19" s="180" t="n">
        <v>9.11440559317998</v>
      </c>
      <c r="EP19" s="180" t="n">
        <v>9.18414128119998</v>
      </c>
      <c r="EQ19" s="180" t="n">
        <v>9.25387696921998</v>
      </c>
      <c r="ER19" s="180" t="n">
        <v>9.32361265723998</v>
      </c>
      <c r="ES19" s="180" t="n">
        <v>9.39334834525998</v>
      </c>
      <c r="ET19" s="180" t="n">
        <v>9.46308403327998</v>
      </c>
      <c r="EU19" s="180" t="n">
        <v>9.53281972129998</v>
      </c>
      <c r="EV19" s="180" t="n">
        <v>9.60255540931998</v>
      </c>
      <c r="EW19" s="180" t="n">
        <v>9.67229109733998</v>
      </c>
      <c r="EX19" s="180" t="n">
        <v>9.74202678535998</v>
      </c>
      <c r="EY19" s="180" t="n">
        <v>9.81176247337998</v>
      </c>
      <c r="EZ19" s="180" t="n">
        <v>9.88149816139998</v>
      </c>
      <c r="FA19" s="180" t="n">
        <v>9.95123384941998</v>
      </c>
      <c r="FB19" s="180" t="n">
        <v>10.02096953744</v>
      </c>
      <c r="FC19" s="180" t="n">
        <v>10.09070522546</v>
      </c>
      <c r="FD19" s="180" t="n">
        <v>10.16044091348</v>
      </c>
      <c r="FE19" s="180" t="n">
        <v>10.2301766015</v>
      </c>
      <c r="FF19" s="180" t="n">
        <v>10.29991228952</v>
      </c>
      <c r="FG19" s="180" t="n">
        <v>10.36964797754</v>
      </c>
      <c r="FH19" s="180" t="n">
        <v>10.43938366556</v>
      </c>
      <c r="FI19" s="180" t="n">
        <v>10.50911935358</v>
      </c>
      <c r="FJ19" s="180" t="n">
        <v>10.5788550416</v>
      </c>
      <c r="FK19" s="180" t="n">
        <v>10.64859072962</v>
      </c>
      <c r="FL19" s="180" t="n">
        <v>10.71832641764</v>
      </c>
      <c r="FM19" s="180" t="n">
        <v>10.78806210566</v>
      </c>
      <c r="FN19" s="180" t="n">
        <v>10.85779779368</v>
      </c>
      <c r="FO19" s="180" t="n">
        <v>10.9275334817</v>
      </c>
      <c r="FP19" s="180" t="n">
        <v>10.99726916972</v>
      </c>
      <c r="FQ19" s="180" t="n">
        <v>11.06700485774</v>
      </c>
      <c r="FR19" s="180" t="n">
        <v>11.13674054576</v>
      </c>
      <c r="FS19" s="180" t="n">
        <v>11.20647623378</v>
      </c>
      <c r="FT19" s="180" t="n">
        <v>11.2762119218</v>
      </c>
      <c r="FU19" s="180" t="n">
        <v>11.34594760982</v>
      </c>
      <c r="FV19" s="180" t="n">
        <v>11.41568329784</v>
      </c>
      <c r="FW19" s="180" t="n">
        <v>11.48541898586</v>
      </c>
      <c r="FX19" s="180" t="n">
        <v>11.55515467388</v>
      </c>
      <c r="FY19" s="180" t="n">
        <v>11.6248903619</v>
      </c>
      <c r="FZ19" s="180" t="n">
        <v>11.69462604992</v>
      </c>
      <c r="GA19" s="180" t="n">
        <v>11.76436173794</v>
      </c>
      <c r="GB19" s="180" t="n">
        <v>11.83409742596</v>
      </c>
      <c r="GC19" s="180" t="n">
        <v>11.90383311398</v>
      </c>
      <c r="GD19" s="180" t="n">
        <v>11.973568802</v>
      </c>
      <c r="GE19" s="180" t="n">
        <v>12.04330449002</v>
      </c>
      <c r="GF19" s="180" t="n">
        <v>12.11304017804</v>
      </c>
      <c r="GG19" s="180" t="n">
        <v>12.18277586606</v>
      </c>
      <c r="GH19" s="180" t="n">
        <v>12.25251155408</v>
      </c>
      <c r="GI19" s="180" t="n">
        <v>12.3222472421</v>
      </c>
      <c r="GJ19" s="180" t="n">
        <v>12.39198293012</v>
      </c>
      <c r="GK19" s="180" t="n">
        <v>12.46171861814</v>
      </c>
      <c r="GL19" s="180" t="n">
        <v>12.53145430616</v>
      </c>
      <c r="GM19" s="180" t="n">
        <v>12.60118999418</v>
      </c>
      <c r="GN19" s="180" t="n">
        <v>12.6709256822</v>
      </c>
      <c r="GO19" s="180" t="n">
        <v>12.74066137022</v>
      </c>
      <c r="GP19" s="180" t="n">
        <v>12.81039705824</v>
      </c>
      <c r="GQ19" s="180" t="n">
        <v>12.88013274626</v>
      </c>
      <c r="GR19" s="180" t="n">
        <v>12.94986843428</v>
      </c>
      <c r="GS19" s="180" t="n">
        <v>13.0196041223</v>
      </c>
      <c r="GT19" s="180" t="n">
        <v>13.08933981032</v>
      </c>
      <c r="GU19" s="180" t="n">
        <v>13.15907549834</v>
      </c>
      <c r="GV19" s="180" t="n">
        <v>13.22881118636</v>
      </c>
      <c r="GW19" s="180" t="n">
        <v>13.29854687438</v>
      </c>
      <c r="GX19" s="180" t="n">
        <v>13.3682825624</v>
      </c>
      <c r="GY19" s="180" t="n">
        <v>13.43801825042</v>
      </c>
      <c r="GZ19" s="180" t="n">
        <v>13.50775393844</v>
      </c>
      <c r="HA19" s="180" t="n">
        <v>13.57748962646</v>
      </c>
      <c r="HB19" s="180" t="n">
        <v>13.64722531448</v>
      </c>
      <c r="HC19" s="180" t="n">
        <v>13.7169610025</v>
      </c>
      <c r="HD19" s="180" t="n">
        <v>13.78669669052</v>
      </c>
      <c r="HE19" s="180" t="n">
        <v>13.85643237854</v>
      </c>
      <c r="HF19" s="180" t="n">
        <v>13.92616806656</v>
      </c>
      <c r="HG19" s="180" t="n">
        <v>13.99590375458</v>
      </c>
      <c r="HH19" s="180" t="n">
        <v>14.0656394426</v>
      </c>
      <c r="HI19" s="180" t="n">
        <v>14.13537513062</v>
      </c>
      <c r="HJ19" s="180" t="n">
        <v>14.20511081864</v>
      </c>
      <c r="HK19" s="180" t="n">
        <v>14.27484650666</v>
      </c>
      <c r="HL19" s="180" t="n">
        <v>14.34458219468</v>
      </c>
      <c r="HM19" s="180" t="n">
        <v>14.4143178827</v>
      </c>
      <c r="HN19" s="180" t="n">
        <v>14.48405357072</v>
      </c>
      <c r="HO19" s="180" t="n">
        <v>14.55378925874</v>
      </c>
      <c r="HP19" s="180" t="n">
        <v>14.62352494676</v>
      </c>
      <c r="HQ19" s="180" t="n">
        <v>14.69326063478</v>
      </c>
      <c r="HR19" s="180" t="n">
        <v>14.7629963228</v>
      </c>
      <c r="HS19" s="180" t="n">
        <v>14.83273201082</v>
      </c>
      <c r="HT19" s="180" t="n">
        <v>14.90246769884</v>
      </c>
      <c r="HU19" s="180" t="n">
        <v>14.97220338686</v>
      </c>
      <c r="HV19" s="180" t="n">
        <v>15.04193907488</v>
      </c>
      <c r="HW19" s="180" t="n">
        <v>15.1116747629</v>
      </c>
      <c r="HX19" s="180" t="n">
        <v>15.18141045092</v>
      </c>
      <c r="HY19" s="180" t="n">
        <v>15.25114613894</v>
      </c>
      <c r="HZ19" s="180" t="n">
        <v>15.32088182696</v>
      </c>
      <c r="IA19" s="180" t="n">
        <v>15.39061751498</v>
      </c>
      <c r="IB19" s="180" t="n">
        <v>15.460353203</v>
      </c>
      <c r="IC19" s="180" t="n">
        <v>15.53008889102</v>
      </c>
      <c r="ID19" s="180" t="n">
        <v>15.59982457904</v>
      </c>
      <c r="IE19" s="180" t="n">
        <v>15.66956026706</v>
      </c>
      <c r="IF19" s="180" t="n">
        <v>15.73929595508</v>
      </c>
      <c r="IG19" s="180" t="n">
        <v>15.8090316431</v>
      </c>
      <c r="IH19" s="180" t="n">
        <v>15.87876733112</v>
      </c>
      <c r="II19" s="180" t="n">
        <v>15.94850301914</v>
      </c>
      <c r="IJ19" s="180" t="n">
        <v>16.01823870716</v>
      </c>
      <c r="IK19" s="180" t="n">
        <v>16.08797439518</v>
      </c>
      <c r="IL19" s="180" t="n">
        <v>16.1577100832</v>
      </c>
      <c r="IM19" s="180" t="n">
        <v>16.22744577122</v>
      </c>
      <c r="IN19" s="180" t="n">
        <v>16.29718145924</v>
      </c>
      <c r="IO19" s="180" t="n">
        <v>16.36691714726</v>
      </c>
      <c r="IP19" s="180" t="n">
        <v>16.43665283528</v>
      </c>
      <c r="IQ19" s="180" t="n">
        <v>16.5063885233</v>
      </c>
      <c r="IR19" s="180" t="n">
        <v>16.57612421132</v>
      </c>
      <c r="IS19" s="180" t="n">
        <v>16.64585989934</v>
      </c>
      <c r="IT19" s="180" t="n">
        <v>16.71559558736</v>
      </c>
      <c r="IU19" s="180" t="n">
        <v>16.78533127538</v>
      </c>
      <c r="IV19" s="180" t="n">
        <v>16.8550669634</v>
      </c>
    </row>
    <row r="20" customFormat="false" ht="12.75" hidden="false" customHeight="false" outlineLevel="0" collapsed="false">
      <c r="A20" s="189" t="n">
        <v>37288</v>
      </c>
      <c r="B20" s="185" t="n">
        <v>-2.021005929375</v>
      </c>
      <c r="C20" s="185" t="n">
        <v>-1.9907047400625</v>
      </c>
      <c r="D20" s="185" t="n">
        <v>-1.96040355075</v>
      </c>
      <c r="E20" s="185" t="n">
        <v>-1.9301023614375</v>
      </c>
      <c r="F20" s="185" t="n">
        <v>-1.899801172125</v>
      </c>
      <c r="G20" s="185" t="n">
        <v>-1.8694999828125</v>
      </c>
      <c r="H20" s="185" t="n">
        <v>-1.8391987935</v>
      </c>
      <c r="I20" s="185" t="n">
        <v>-1.8088976041875</v>
      </c>
      <c r="J20" s="185" t="n">
        <v>-1.778596414875</v>
      </c>
      <c r="K20" s="185" t="n">
        <v>-1.7482952255625</v>
      </c>
      <c r="L20" s="185" t="n">
        <v>-1.71799403625</v>
      </c>
      <c r="M20" s="185" t="n">
        <v>-1.6876928469375</v>
      </c>
      <c r="N20" s="185" t="n">
        <v>-1.657391657625</v>
      </c>
      <c r="O20" s="185" t="n">
        <v>-1.6270904683125</v>
      </c>
      <c r="P20" s="185" t="n">
        <v>-1.596789279</v>
      </c>
      <c r="Q20" s="185" t="n">
        <v>-1.5664880896875</v>
      </c>
      <c r="R20" s="185" t="n">
        <v>-1.536186900375</v>
      </c>
      <c r="S20" s="185" t="n">
        <v>-1.5058857110625</v>
      </c>
      <c r="T20" s="185" t="n">
        <v>-1.47558452175</v>
      </c>
      <c r="U20" s="185" t="n">
        <v>-1.4452833324375</v>
      </c>
      <c r="V20" s="186" t="n">
        <v>-1.414982143125</v>
      </c>
      <c r="W20" s="185" t="n">
        <v>-1.3846809538125</v>
      </c>
      <c r="X20" s="186" t="n">
        <v>-1.3543797645</v>
      </c>
      <c r="Y20" s="185" t="n">
        <v>-1.3240785751875</v>
      </c>
      <c r="Z20" s="186" t="n">
        <v>-1.293777385875</v>
      </c>
      <c r="AA20" s="185" t="n">
        <v>-1.2634761965625</v>
      </c>
      <c r="AB20" s="187" t="n">
        <v>-1.23317500725</v>
      </c>
      <c r="AC20" s="185" t="n">
        <v>-1.2028738179375</v>
      </c>
      <c r="AD20" s="187" t="n">
        <v>-1.172572628625</v>
      </c>
      <c r="AE20" s="185" t="n">
        <v>-1.1422714393125</v>
      </c>
      <c r="AF20" s="185" t="n">
        <v>-1.11197025</v>
      </c>
      <c r="AG20" s="190" t="n">
        <v>-1.083235125</v>
      </c>
      <c r="AH20" s="190" t="n">
        <v>-1.0545</v>
      </c>
      <c r="AI20" s="190" t="n">
        <v>-1.02725</v>
      </c>
      <c r="AJ20" s="190" t="n">
        <v>-1</v>
      </c>
      <c r="AK20" s="190" t="n">
        <v>-0.8</v>
      </c>
      <c r="AL20" s="190" t="n">
        <v>-0.6</v>
      </c>
      <c r="AM20" s="190" t="n">
        <v>-0.4</v>
      </c>
      <c r="AN20" s="190" t="n">
        <v>-0.2</v>
      </c>
      <c r="AO20" s="190" t="n">
        <v>0</v>
      </c>
      <c r="AP20" s="190" t="n">
        <v>0.2</v>
      </c>
      <c r="AQ20" s="190" t="n">
        <v>0.4</v>
      </c>
      <c r="AR20" s="190" t="n">
        <v>0.6</v>
      </c>
      <c r="AS20" s="190" t="n">
        <v>0.8</v>
      </c>
      <c r="AT20" s="190" t="n">
        <v>1</v>
      </c>
      <c r="AU20" s="190" t="n">
        <v>1.2</v>
      </c>
      <c r="AV20" s="190" t="n">
        <v>1.4</v>
      </c>
      <c r="AW20" s="190" t="n">
        <v>1.58</v>
      </c>
      <c r="AX20" s="190" t="n">
        <v>1.76</v>
      </c>
      <c r="AY20" s="190" t="n">
        <v>1.922</v>
      </c>
      <c r="AZ20" s="190" t="n">
        <v>2.084</v>
      </c>
      <c r="BA20" s="190" t="n">
        <v>2.2298</v>
      </c>
      <c r="BB20" s="190" t="n">
        <v>2.3756</v>
      </c>
      <c r="BC20" s="190" t="n">
        <v>2.50682</v>
      </c>
      <c r="BD20" s="190" t="n">
        <v>2.63804</v>
      </c>
      <c r="BE20" s="190" t="n">
        <v>2.756138</v>
      </c>
      <c r="BF20" s="190" t="n">
        <v>2.874236</v>
      </c>
      <c r="BG20" s="190" t="n">
        <v>2.9805242</v>
      </c>
      <c r="BH20" s="190" t="n">
        <v>3.0868124</v>
      </c>
      <c r="BI20" s="190" t="n">
        <v>3.18247178</v>
      </c>
      <c r="BJ20" s="190" t="n">
        <v>3.27813116</v>
      </c>
      <c r="BK20" s="190" t="n">
        <v>3.364224602</v>
      </c>
      <c r="BL20" s="190" t="n">
        <v>3.450318044</v>
      </c>
      <c r="BM20" s="190" t="n">
        <v>3.5278021418</v>
      </c>
      <c r="BN20" s="190" t="n">
        <v>3.6052862396</v>
      </c>
      <c r="BO20" s="190" t="n">
        <v>3.67502192762</v>
      </c>
      <c r="BP20" s="190" t="n">
        <v>3.74475761564</v>
      </c>
      <c r="BQ20" s="190" t="n">
        <v>3.81449330366</v>
      </c>
      <c r="BR20" s="190" t="n">
        <v>3.88422899168</v>
      </c>
      <c r="BS20" s="190" t="n">
        <v>3.9539646797</v>
      </c>
      <c r="BT20" s="190" t="n">
        <v>4.02370036772</v>
      </c>
      <c r="BU20" s="190" t="n">
        <v>4.09343605574</v>
      </c>
      <c r="BV20" s="190" t="n">
        <v>4.16317174376</v>
      </c>
      <c r="BW20" s="190" t="n">
        <v>4.23290743178</v>
      </c>
      <c r="BX20" s="190" t="n">
        <v>4.3026431198</v>
      </c>
      <c r="BY20" s="190" t="n">
        <v>4.37237880782</v>
      </c>
      <c r="BZ20" s="190" t="n">
        <v>4.44211449584</v>
      </c>
      <c r="CA20" s="190" t="n">
        <v>4.51185018386</v>
      </c>
      <c r="CB20" s="190" t="n">
        <v>4.58158587188</v>
      </c>
      <c r="CC20" s="190" t="n">
        <v>4.6513215599</v>
      </c>
      <c r="CD20" s="190" t="n">
        <v>4.72105724792</v>
      </c>
      <c r="CE20" s="190" t="n">
        <v>4.79079293594</v>
      </c>
      <c r="CF20" s="190" t="n">
        <v>4.86052862396</v>
      </c>
      <c r="CG20" s="190" t="n">
        <v>4.93026431198</v>
      </c>
      <c r="CH20" s="190" t="n">
        <v>5</v>
      </c>
      <c r="CI20" s="190" t="n">
        <v>5.06973568801999</v>
      </c>
      <c r="CJ20" s="190" t="n">
        <v>5.13947137603999</v>
      </c>
      <c r="CK20" s="190" t="n">
        <v>5.20920706405999</v>
      </c>
      <c r="CL20" s="190" t="n">
        <v>5.27894275207999</v>
      </c>
      <c r="CM20" s="190" t="n">
        <v>5.34867844009999</v>
      </c>
      <c r="CN20" s="190" t="n">
        <v>5.41841412811999</v>
      </c>
      <c r="CO20" s="190" t="n">
        <v>5.48814981613999</v>
      </c>
      <c r="CP20" s="190" t="n">
        <v>5.55788550415999</v>
      </c>
      <c r="CQ20" s="190" t="n">
        <v>5.62762119217999</v>
      </c>
      <c r="CR20" s="190" t="n">
        <v>5.69735688019999</v>
      </c>
      <c r="CS20" s="190" t="n">
        <v>5.76709256821999</v>
      </c>
      <c r="CT20" s="190" t="n">
        <v>5.83682825623999</v>
      </c>
      <c r="CU20" s="190" t="n">
        <v>5.90656394425999</v>
      </c>
      <c r="CV20" s="190" t="n">
        <v>5.97629963227999</v>
      </c>
      <c r="CW20" s="190" t="n">
        <v>6.04603532029999</v>
      </c>
      <c r="CX20" s="190" t="n">
        <v>6.11577100831999</v>
      </c>
      <c r="CY20" s="190" t="n">
        <v>6.18550669633999</v>
      </c>
      <c r="CZ20" s="190" t="n">
        <v>6.25524238435999</v>
      </c>
      <c r="DA20" s="190" t="n">
        <v>6.32497807237999</v>
      </c>
      <c r="DB20" s="190" t="n">
        <v>6.39471376039999</v>
      </c>
      <c r="DC20" s="190" t="n">
        <v>6.46444944841999</v>
      </c>
      <c r="DD20" s="190" t="n">
        <v>6.53418513643999</v>
      </c>
      <c r="DE20" s="190" t="n">
        <v>6.60392082445999</v>
      </c>
      <c r="DF20" s="190" t="n">
        <v>6.67365651247999</v>
      </c>
      <c r="DG20" s="190" t="n">
        <v>6.74339220049999</v>
      </c>
      <c r="DH20" s="190" t="n">
        <v>6.81312788851999</v>
      </c>
      <c r="DI20" s="190" t="n">
        <v>6.88286357653999</v>
      </c>
      <c r="DJ20" s="190" t="n">
        <v>6.95259926455999</v>
      </c>
      <c r="DK20" s="190" t="n">
        <v>7.02233495257999</v>
      </c>
      <c r="DL20" s="190" t="n">
        <v>7.09207064059999</v>
      </c>
      <c r="DM20" s="190" t="n">
        <v>7.16180632861999</v>
      </c>
      <c r="DN20" s="190" t="n">
        <v>7.23154201663999</v>
      </c>
      <c r="DO20" s="190" t="n">
        <v>7.30127770465999</v>
      </c>
      <c r="DP20" s="190" t="n">
        <v>7.37101339267999</v>
      </c>
      <c r="DQ20" s="190" t="n">
        <v>7.44074908069999</v>
      </c>
      <c r="DR20" s="190" t="n">
        <v>7.51048476871999</v>
      </c>
      <c r="DS20" s="190" t="n">
        <v>7.58022045673999</v>
      </c>
      <c r="DT20" s="190" t="n">
        <v>7.64995614475999</v>
      </c>
      <c r="DU20" s="190" t="n">
        <v>7.71969183277999</v>
      </c>
      <c r="DV20" s="190" t="n">
        <v>7.78942752079998</v>
      </c>
      <c r="DW20" s="190" t="n">
        <v>7.85916320881998</v>
      </c>
      <c r="DX20" s="190" t="n">
        <v>7.92889889683998</v>
      </c>
      <c r="DY20" s="190" t="n">
        <v>7.99863458485998</v>
      </c>
      <c r="DZ20" s="190" t="n">
        <v>8.06837027287998</v>
      </c>
      <c r="EA20" s="190" t="n">
        <v>8.13810596089998</v>
      </c>
      <c r="EB20" s="190" t="n">
        <v>8.20784164891998</v>
      </c>
      <c r="EC20" s="190" t="n">
        <v>8.27757733693998</v>
      </c>
      <c r="ED20" s="190" t="n">
        <v>8.34731302495998</v>
      </c>
      <c r="EE20" s="190" t="n">
        <v>8.41704871297998</v>
      </c>
      <c r="EF20" s="190" t="n">
        <v>8.48678440099998</v>
      </c>
      <c r="EG20" s="190" t="n">
        <v>8.55652008901998</v>
      </c>
      <c r="EH20" s="190" t="n">
        <v>8.62625577703998</v>
      </c>
      <c r="EI20" s="190" t="n">
        <v>8.69599146505998</v>
      </c>
      <c r="EJ20" s="190" t="n">
        <v>8.76572715307998</v>
      </c>
      <c r="EK20" s="190" t="n">
        <v>8.83546284109998</v>
      </c>
      <c r="EL20" s="180" t="n">
        <v>8.90519852911998</v>
      </c>
      <c r="EM20" s="180" t="n">
        <v>8.97493421713998</v>
      </c>
      <c r="EN20" s="180" t="n">
        <v>9.04466990515998</v>
      </c>
      <c r="EO20" s="180" t="n">
        <v>9.11440559317998</v>
      </c>
      <c r="EP20" s="180" t="n">
        <v>9.18414128119998</v>
      </c>
      <c r="EQ20" s="180" t="n">
        <v>9.25387696921998</v>
      </c>
      <c r="ER20" s="180" t="n">
        <v>9.32361265723998</v>
      </c>
      <c r="ES20" s="180" t="n">
        <v>9.39334834525998</v>
      </c>
      <c r="ET20" s="180" t="n">
        <v>9.46308403327998</v>
      </c>
      <c r="EU20" s="180" t="n">
        <v>9.53281972129998</v>
      </c>
      <c r="EV20" s="180" t="n">
        <v>9.60255540931998</v>
      </c>
      <c r="EW20" s="180" t="n">
        <v>9.67229109733998</v>
      </c>
      <c r="EX20" s="180" t="n">
        <v>9.74202678535998</v>
      </c>
      <c r="EY20" s="180" t="n">
        <v>9.81176247337998</v>
      </c>
      <c r="EZ20" s="180" t="n">
        <v>9.88149816139998</v>
      </c>
      <c r="FA20" s="180" t="n">
        <v>9.95123384941998</v>
      </c>
      <c r="FB20" s="180" t="n">
        <v>10.02096953744</v>
      </c>
      <c r="FC20" s="180" t="n">
        <v>10.09070522546</v>
      </c>
      <c r="FD20" s="180" t="n">
        <v>10.16044091348</v>
      </c>
      <c r="FE20" s="180" t="n">
        <v>10.2301766015</v>
      </c>
      <c r="FF20" s="180" t="n">
        <v>10.29991228952</v>
      </c>
      <c r="FG20" s="180" t="n">
        <v>10.36964797754</v>
      </c>
      <c r="FH20" s="180" t="n">
        <v>10.43938366556</v>
      </c>
      <c r="FI20" s="180" t="n">
        <v>10.50911935358</v>
      </c>
      <c r="FJ20" s="180" t="n">
        <v>10.5788550416</v>
      </c>
      <c r="FK20" s="180" t="n">
        <v>10.64859072962</v>
      </c>
      <c r="FL20" s="180" t="n">
        <v>10.71832641764</v>
      </c>
      <c r="FM20" s="180" t="n">
        <v>10.78806210566</v>
      </c>
      <c r="FN20" s="180" t="n">
        <v>10.85779779368</v>
      </c>
      <c r="FO20" s="180" t="n">
        <v>10.9275334817</v>
      </c>
      <c r="FP20" s="180" t="n">
        <v>10.99726916972</v>
      </c>
      <c r="FQ20" s="180" t="n">
        <v>11.06700485774</v>
      </c>
      <c r="FR20" s="180" t="n">
        <v>11.13674054576</v>
      </c>
      <c r="FS20" s="180" t="n">
        <v>11.20647623378</v>
      </c>
      <c r="FT20" s="180" t="n">
        <v>11.2762119218</v>
      </c>
      <c r="FU20" s="180" t="n">
        <v>11.34594760982</v>
      </c>
      <c r="FV20" s="180" t="n">
        <v>11.41568329784</v>
      </c>
      <c r="FW20" s="180" t="n">
        <v>11.48541898586</v>
      </c>
      <c r="FX20" s="180" t="n">
        <v>11.55515467388</v>
      </c>
      <c r="FY20" s="180" t="n">
        <v>11.6248903619</v>
      </c>
      <c r="FZ20" s="180" t="n">
        <v>11.69462604992</v>
      </c>
      <c r="GA20" s="180" t="n">
        <v>11.76436173794</v>
      </c>
      <c r="GB20" s="180" t="n">
        <v>11.83409742596</v>
      </c>
      <c r="GC20" s="180" t="n">
        <v>11.90383311398</v>
      </c>
      <c r="GD20" s="180" t="n">
        <v>11.973568802</v>
      </c>
      <c r="GE20" s="180" t="n">
        <v>12.04330449002</v>
      </c>
      <c r="GF20" s="180" t="n">
        <v>12.11304017804</v>
      </c>
      <c r="GG20" s="180" t="n">
        <v>12.18277586606</v>
      </c>
      <c r="GH20" s="180" t="n">
        <v>12.25251155408</v>
      </c>
      <c r="GI20" s="180" t="n">
        <v>12.3222472421</v>
      </c>
      <c r="GJ20" s="180" t="n">
        <v>12.39198293012</v>
      </c>
      <c r="GK20" s="180" t="n">
        <v>12.46171861814</v>
      </c>
      <c r="GL20" s="180" t="n">
        <v>12.53145430616</v>
      </c>
      <c r="GM20" s="180" t="n">
        <v>12.60118999418</v>
      </c>
      <c r="GN20" s="180" t="n">
        <v>12.6709256822</v>
      </c>
      <c r="GO20" s="180" t="n">
        <v>12.74066137022</v>
      </c>
      <c r="GP20" s="180" t="n">
        <v>12.81039705824</v>
      </c>
      <c r="GQ20" s="180" t="n">
        <v>12.88013274626</v>
      </c>
      <c r="GR20" s="180" t="n">
        <v>12.94986843428</v>
      </c>
      <c r="GS20" s="180" t="n">
        <v>13.0196041223</v>
      </c>
      <c r="GT20" s="180" t="n">
        <v>13.08933981032</v>
      </c>
      <c r="GU20" s="180" t="n">
        <v>13.15907549834</v>
      </c>
      <c r="GV20" s="180" t="n">
        <v>13.22881118636</v>
      </c>
      <c r="GW20" s="180" t="n">
        <v>13.29854687438</v>
      </c>
      <c r="GX20" s="180" t="n">
        <v>13.3682825624</v>
      </c>
      <c r="GY20" s="180" t="n">
        <v>13.43801825042</v>
      </c>
      <c r="GZ20" s="180" t="n">
        <v>13.50775393844</v>
      </c>
      <c r="HA20" s="180" t="n">
        <v>13.57748962646</v>
      </c>
      <c r="HB20" s="180" t="n">
        <v>13.64722531448</v>
      </c>
      <c r="HC20" s="180" t="n">
        <v>13.7169610025</v>
      </c>
      <c r="HD20" s="180" t="n">
        <v>13.78669669052</v>
      </c>
      <c r="HE20" s="180" t="n">
        <v>13.85643237854</v>
      </c>
      <c r="HF20" s="180" t="n">
        <v>13.92616806656</v>
      </c>
      <c r="HG20" s="180" t="n">
        <v>13.99590375458</v>
      </c>
      <c r="HH20" s="180" t="n">
        <v>14.0656394426</v>
      </c>
      <c r="HI20" s="180" t="n">
        <v>14.13537513062</v>
      </c>
      <c r="HJ20" s="180" t="n">
        <v>14.20511081864</v>
      </c>
      <c r="HK20" s="180" t="n">
        <v>14.27484650666</v>
      </c>
      <c r="HL20" s="180" t="n">
        <v>14.34458219468</v>
      </c>
      <c r="HM20" s="180" t="n">
        <v>14.4143178827</v>
      </c>
      <c r="HN20" s="180" t="n">
        <v>14.48405357072</v>
      </c>
      <c r="HO20" s="180" t="n">
        <v>14.55378925874</v>
      </c>
      <c r="HP20" s="180" t="n">
        <v>14.62352494676</v>
      </c>
      <c r="HQ20" s="180" t="n">
        <v>14.69326063478</v>
      </c>
      <c r="HR20" s="180" t="n">
        <v>14.7629963228</v>
      </c>
      <c r="HS20" s="180" t="n">
        <v>14.83273201082</v>
      </c>
      <c r="HT20" s="180" t="n">
        <v>14.90246769884</v>
      </c>
      <c r="HU20" s="180" t="n">
        <v>14.97220338686</v>
      </c>
      <c r="HV20" s="180" t="n">
        <v>15.04193907488</v>
      </c>
      <c r="HW20" s="180" t="n">
        <v>15.1116747629</v>
      </c>
      <c r="HX20" s="180" t="n">
        <v>15.18141045092</v>
      </c>
      <c r="HY20" s="180" t="n">
        <v>15.25114613894</v>
      </c>
      <c r="HZ20" s="180" t="n">
        <v>15.32088182696</v>
      </c>
      <c r="IA20" s="180" t="n">
        <v>15.39061751498</v>
      </c>
      <c r="IB20" s="180" t="n">
        <v>15.460353203</v>
      </c>
      <c r="IC20" s="180" t="n">
        <v>15.53008889102</v>
      </c>
      <c r="ID20" s="180" t="n">
        <v>15.59982457904</v>
      </c>
      <c r="IE20" s="180" t="n">
        <v>15.66956026706</v>
      </c>
      <c r="IF20" s="180" t="n">
        <v>15.73929595508</v>
      </c>
      <c r="IG20" s="180" t="n">
        <v>15.8090316431</v>
      </c>
      <c r="IH20" s="180" t="n">
        <v>15.87876733112</v>
      </c>
      <c r="II20" s="180" t="n">
        <v>15.94850301914</v>
      </c>
      <c r="IJ20" s="180" t="n">
        <v>16.01823870716</v>
      </c>
      <c r="IK20" s="180" t="n">
        <v>16.08797439518</v>
      </c>
      <c r="IL20" s="180" t="n">
        <v>16.1577100832</v>
      </c>
      <c r="IM20" s="180" t="n">
        <v>16.22744577122</v>
      </c>
      <c r="IN20" s="180" t="n">
        <v>16.29718145924</v>
      </c>
      <c r="IO20" s="180" t="n">
        <v>16.36691714726</v>
      </c>
      <c r="IP20" s="180" t="n">
        <v>16.43665283528</v>
      </c>
      <c r="IQ20" s="180" t="n">
        <v>16.5063885233</v>
      </c>
      <c r="IR20" s="180" t="n">
        <v>16.57612421132</v>
      </c>
      <c r="IS20" s="180" t="n">
        <v>16.64585989934</v>
      </c>
      <c r="IT20" s="180" t="n">
        <v>16.71559558736</v>
      </c>
      <c r="IU20" s="180" t="n">
        <v>16.78533127538</v>
      </c>
      <c r="IV20" s="180" t="n">
        <v>16.8550669634</v>
      </c>
    </row>
    <row r="21" customFormat="false" ht="12.75" hidden="false" customHeight="false" outlineLevel="0" collapsed="false">
      <c r="A21" s="189" t="n">
        <v>37316</v>
      </c>
      <c r="B21" s="185" t="n">
        <v>-2.021005929375</v>
      </c>
      <c r="C21" s="185" t="n">
        <v>-1.9907047400625</v>
      </c>
      <c r="D21" s="185" t="n">
        <v>-1.96040355075</v>
      </c>
      <c r="E21" s="185" t="n">
        <v>-1.9301023614375</v>
      </c>
      <c r="F21" s="185" t="n">
        <v>-1.899801172125</v>
      </c>
      <c r="G21" s="185" t="n">
        <v>-1.8694999828125</v>
      </c>
      <c r="H21" s="185" t="n">
        <v>-1.8391987935</v>
      </c>
      <c r="I21" s="185" t="n">
        <v>-1.8088976041875</v>
      </c>
      <c r="J21" s="185" t="n">
        <v>-1.778596414875</v>
      </c>
      <c r="K21" s="185" t="n">
        <v>-1.7482952255625</v>
      </c>
      <c r="L21" s="185" t="n">
        <v>-1.71799403625</v>
      </c>
      <c r="M21" s="185" t="n">
        <v>-1.6876928469375</v>
      </c>
      <c r="N21" s="185" t="n">
        <v>-1.657391657625</v>
      </c>
      <c r="O21" s="185" t="n">
        <v>-1.6270904683125</v>
      </c>
      <c r="P21" s="185" t="n">
        <v>-1.596789279</v>
      </c>
      <c r="Q21" s="185" t="n">
        <v>-1.5664880896875</v>
      </c>
      <c r="R21" s="185" t="n">
        <v>-1.536186900375</v>
      </c>
      <c r="S21" s="185" t="n">
        <v>-1.5058857110625</v>
      </c>
      <c r="T21" s="185" t="n">
        <v>-1.47558452175</v>
      </c>
      <c r="U21" s="185" t="n">
        <v>-1.4452833324375</v>
      </c>
      <c r="V21" s="186" t="n">
        <v>-1.414982143125</v>
      </c>
      <c r="W21" s="185" t="n">
        <v>-1.3846809538125</v>
      </c>
      <c r="X21" s="186" t="n">
        <v>-1.3543797645</v>
      </c>
      <c r="Y21" s="185" t="n">
        <v>-1.3240785751875</v>
      </c>
      <c r="Z21" s="186" t="n">
        <v>-1.293777385875</v>
      </c>
      <c r="AA21" s="185" t="n">
        <v>-1.2634761965625</v>
      </c>
      <c r="AB21" s="187" t="n">
        <v>-1.23317500725</v>
      </c>
      <c r="AC21" s="185" t="n">
        <v>-1.2028738179375</v>
      </c>
      <c r="AD21" s="187" t="n">
        <v>-1.172572628625</v>
      </c>
      <c r="AE21" s="185" t="n">
        <v>-1.1422714393125</v>
      </c>
      <c r="AF21" s="185" t="n">
        <v>-1.11197025</v>
      </c>
      <c r="AG21" s="190" t="n">
        <v>-1.083235125</v>
      </c>
      <c r="AH21" s="190" t="n">
        <v>-1.0545</v>
      </c>
      <c r="AI21" s="190" t="n">
        <v>-1.02725</v>
      </c>
      <c r="AJ21" s="190" t="n">
        <v>-1</v>
      </c>
      <c r="AK21" s="190" t="n">
        <v>-0.8</v>
      </c>
      <c r="AL21" s="190" t="n">
        <v>-0.6</v>
      </c>
      <c r="AM21" s="190" t="n">
        <v>-0.4</v>
      </c>
      <c r="AN21" s="190" t="n">
        <v>-0.2</v>
      </c>
      <c r="AO21" s="190" t="n">
        <v>0</v>
      </c>
      <c r="AP21" s="190" t="n">
        <v>0.2</v>
      </c>
      <c r="AQ21" s="190" t="n">
        <v>0.4</v>
      </c>
      <c r="AR21" s="190" t="n">
        <v>0.6</v>
      </c>
      <c r="AS21" s="190" t="n">
        <v>0.8</v>
      </c>
      <c r="AT21" s="190" t="n">
        <v>1</v>
      </c>
      <c r="AU21" s="190" t="n">
        <v>1.2</v>
      </c>
      <c r="AV21" s="190" t="n">
        <v>1.4</v>
      </c>
      <c r="AW21" s="190" t="n">
        <v>1.58</v>
      </c>
      <c r="AX21" s="190" t="n">
        <v>1.76</v>
      </c>
      <c r="AY21" s="190" t="n">
        <v>1.922</v>
      </c>
      <c r="AZ21" s="190" t="n">
        <v>2.084</v>
      </c>
      <c r="BA21" s="190" t="n">
        <v>2.2298</v>
      </c>
      <c r="BB21" s="190" t="n">
        <v>2.3756</v>
      </c>
      <c r="BC21" s="190" t="n">
        <v>2.50682</v>
      </c>
      <c r="BD21" s="190" t="n">
        <v>2.63804</v>
      </c>
      <c r="BE21" s="190" t="n">
        <v>2.756138</v>
      </c>
      <c r="BF21" s="190" t="n">
        <v>2.874236</v>
      </c>
      <c r="BG21" s="190" t="n">
        <v>2.9805242</v>
      </c>
      <c r="BH21" s="190" t="n">
        <v>3.0868124</v>
      </c>
      <c r="BI21" s="190" t="n">
        <v>3.18247178</v>
      </c>
      <c r="BJ21" s="190" t="n">
        <v>3.27813116</v>
      </c>
      <c r="BK21" s="190" t="n">
        <v>3.364224602</v>
      </c>
      <c r="BL21" s="190" t="n">
        <v>3.450318044</v>
      </c>
      <c r="BM21" s="190" t="n">
        <v>3.5278021418</v>
      </c>
      <c r="BN21" s="190" t="n">
        <v>3.6052862396</v>
      </c>
      <c r="BO21" s="190" t="n">
        <v>3.67502192762</v>
      </c>
      <c r="BP21" s="190" t="n">
        <v>3.74475761564</v>
      </c>
      <c r="BQ21" s="190" t="n">
        <v>3.81449330366</v>
      </c>
      <c r="BR21" s="190" t="n">
        <v>3.88422899168</v>
      </c>
      <c r="BS21" s="190" t="n">
        <v>3.9539646797</v>
      </c>
      <c r="BT21" s="190" t="n">
        <v>4.02370036772</v>
      </c>
      <c r="BU21" s="190" t="n">
        <v>4.09343605574</v>
      </c>
      <c r="BV21" s="190" t="n">
        <v>4.16317174376</v>
      </c>
      <c r="BW21" s="190" t="n">
        <v>4.23290743178</v>
      </c>
      <c r="BX21" s="190" t="n">
        <v>4.3026431198</v>
      </c>
      <c r="BY21" s="190" t="n">
        <v>4.37237880782</v>
      </c>
      <c r="BZ21" s="190" t="n">
        <v>4.44211449584</v>
      </c>
      <c r="CA21" s="190" t="n">
        <v>4.51185018386</v>
      </c>
      <c r="CB21" s="190" t="n">
        <v>4.58158587188</v>
      </c>
      <c r="CC21" s="190" t="n">
        <v>4.6513215599</v>
      </c>
      <c r="CD21" s="190" t="n">
        <v>4.72105724792</v>
      </c>
      <c r="CE21" s="190" t="n">
        <v>4.79079293594</v>
      </c>
      <c r="CF21" s="190" t="n">
        <v>4.86052862396</v>
      </c>
      <c r="CG21" s="190" t="n">
        <v>4.93026431198</v>
      </c>
      <c r="CH21" s="190" t="n">
        <v>5</v>
      </c>
      <c r="CI21" s="190" t="n">
        <v>5.06973568801999</v>
      </c>
      <c r="CJ21" s="190" t="n">
        <v>5.13947137603999</v>
      </c>
      <c r="CK21" s="190" t="n">
        <v>5.20920706405999</v>
      </c>
      <c r="CL21" s="190" t="n">
        <v>5.27894275207999</v>
      </c>
      <c r="CM21" s="190" t="n">
        <v>5.34867844009999</v>
      </c>
      <c r="CN21" s="190" t="n">
        <v>5.41841412811999</v>
      </c>
      <c r="CO21" s="190" t="n">
        <v>5.48814981613999</v>
      </c>
      <c r="CP21" s="190" t="n">
        <v>5.55788550415999</v>
      </c>
      <c r="CQ21" s="190" t="n">
        <v>5.62762119217999</v>
      </c>
      <c r="CR21" s="190" t="n">
        <v>5.69735688019999</v>
      </c>
      <c r="CS21" s="190" t="n">
        <v>5.76709256821999</v>
      </c>
      <c r="CT21" s="190" t="n">
        <v>5.83682825623999</v>
      </c>
      <c r="CU21" s="190" t="n">
        <v>5.90656394425999</v>
      </c>
      <c r="CV21" s="190" t="n">
        <v>5.97629963227999</v>
      </c>
      <c r="CW21" s="190" t="n">
        <v>6.04603532029999</v>
      </c>
      <c r="CX21" s="190" t="n">
        <v>6.11577100831999</v>
      </c>
      <c r="CY21" s="190" t="n">
        <v>6.18550669633999</v>
      </c>
      <c r="CZ21" s="190" t="n">
        <v>6.25524238435999</v>
      </c>
      <c r="DA21" s="190" t="n">
        <v>6.32497807237999</v>
      </c>
      <c r="DB21" s="190" t="n">
        <v>6.39471376039999</v>
      </c>
      <c r="DC21" s="190" t="n">
        <v>6.46444944841999</v>
      </c>
      <c r="DD21" s="190" t="n">
        <v>6.53418513643999</v>
      </c>
      <c r="DE21" s="190" t="n">
        <v>6.60392082445999</v>
      </c>
      <c r="DF21" s="190" t="n">
        <v>6.67365651247999</v>
      </c>
      <c r="DG21" s="190" t="n">
        <v>6.74339220049999</v>
      </c>
      <c r="DH21" s="190" t="n">
        <v>6.81312788851999</v>
      </c>
      <c r="DI21" s="190" t="n">
        <v>6.88286357653999</v>
      </c>
      <c r="DJ21" s="190" t="n">
        <v>6.95259926455999</v>
      </c>
      <c r="DK21" s="190" t="n">
        <v>7.02233495257999</v>
      </c>
      <c r="DL21" s="190" t="n">
        <v>7.09207064059999</v>
      </c>
      <c r="DM21" s="190" t="n">
        <v>7.16180632861999</v>
      </c>
      <c r="DN21" s="190" t="n">
        <v>7.23154201663999</v>
      </c>
      <c r="DO21" s="190" t="n">
        <v>7.30127770465999</v>
      </c>
      <c r="DP21" s="190" t="n">
        <v>7.37101339267999</v>
      </c>
      <c r="DQ21" s="190" t="n">
        <v>7.44074908069999</v>
      </c>
      <c r="DR21" s="190" t="n">
        <v>7.51048476871999</v>
      </c>
      <c r="DS21" s="190" t="n">
        <v>7.58022045673999</v>
      </c>
      <c r="DT21" s="190" t="n">
        <v>7.64995614475999</v>
      </c>
      <c r="DU21" s="190" t="n">
        <v>7.71969183277999</v>
      </c>
      <c r="DV21" s="190" t="n">
        <v>7.78942752079998</v>
      </c>
      <c r="DW21" s="190" t="n">
        <v>7.85916320881998</v>
      </c>
      <c r="DX21" s="190" t="n">
        <v>7.92889889683998</v>
      </c>
      <c r="DY21" s="190" t="n">
        <v>7.99863458485998</v>
      </c>
      <c r="DZ21" s="190" t="n">
        <v>8.06837027287998</v>
      </c>
      <c r="EA21" s="190" t="n">
        <v>8.13810596089998</v>
      </c>
      <c r="EB21" s="190" t="n">
        <v>8.20784164891998</v>
      </c>
      <c r="EC21" s="190" t="n">
        <v>8.27757733693998</v>
      </c>
      <c r="ED21" s="190" t="n">
        <v>8.34731302495998</v>
      </c>
      <c r="EE21" s="190" t="n">
        <v>8.41704871297998</v>
      </c>
      <c r="EF21" s="190" t="n">
        <v>8.48678440099998</v>
      </c>
      <c r="EG21" s="190" t="n">
        <v>8.55652008901998</v>
      </c>
      <c r="EH21" s="190" t="n">
        <v>8.62625577703998</v>
      </c>
      <c r="EI21" s="190" t="n">
        <v>8.69599146505998</v>
      </c>
      <c r="EJ21" s="190" t="n">
        <v>8.76572715307998</v>
      </c>
      <c r="EK21" s="190" t="n">
        <v>8.83546284109998</v>
      </c>
      <c r="EL21" s="180" t="n">
        <v>8.90519852911998</v>
      </c>
      <c r="EM21" s="180" t="n">
        <v>8.97493421713998</v>
      </c>
      <c r="EN21" s="180" t="n">
        <v>9.04466990515998</v>
      </c>
      <c r="EO21" s="180" t="n">
        <v>9.11440559317998</v>
      </c>
      <c r="EP21" s="180" t="n">
        <v>9.18414128119998</v>
      </c>
      <c r="EQ21" s="180" t="n">
        <v>9.25387696921998</v>
      </c>
      <c r="ER21" s="180" t="n">
        <v>9.32361265723998</v>
      </c>
      <c r="ES21" s="180" t="n">
        <v>9.39334834525998</v>
      </c>
      <c r="ET21" s="180" t="n">
        <v>9.46308403327998</v>
      </c>
      <c r="EU21" s="180" t="n">
        <v>9.53281972129998</v>
      </c>
      <c r="EV21" s="180" t="n">
        <v>9.60255540931998</v>
      </c>
      <c r="EW21" s="180" t="n">
        <v>9.67229109733998</v>
      </c>
      <c r="EX21" s="180" t="n">
        <v>9.74202678535998</v>
      </c>
      <c r="EY21" s="180" t="n">
        <v>9.81176247337998</v>
      </c>
      <c r="EZ21" s="180" t="n">
        <v>9.88149816139998</v>
      </c>
      <c r="FA21" s="180" t="n">
        <v>9.95123384941998</v>
      </c>
      <c r="FB21" s="180" t="n">
        <v>10.02096953744</v>
      </c>
      <c r="FC21" s="180" t="n">
        <v>10.09070522546</v>
      </c>
      <c r="FD21" s="180" t="n">
        <v>10.16044091348</v>
      </c>
      <c r="FE21" s="180" t="n">
        <v>10.2301766015</v>
      </c>
      <c r="FF21" s="180" t="n">
        <v>10.29991228952</v>
      </c>
      <c r="FG21" s="180" t="n">
        <v>10.36964797754</v>
      </c>
      <c r="FH21" s="180" t="n">
        <v>10.43938366556</v>
      </c>
      <c r="FI21" s="180" t="n">
        <v>10.50911935358</v>
      </c>
      <c r="FJ21" s="180" t="n">
        <v>10.5788550416</v>
      </c>
      <c r="FK21" s="180" t="n">
        <v>10.64859072962</v>
      </c>
      <c r="FL21" s="180" t="n">
        <v>10.71832641764</v>
      </c>
      <c r="FM21" s="180" t="n">
        <v>10.78806210566</v>
      </c>
      <c r="FN21" s="180" t="n">
        <v>10.85779779368</v>
      </c>
      <c r="FO21" s="180" t="n">
        <v>10.9275334817</v>
      </c>
      <c r="FP21" s="180" t="n">
        <v>10.99726916972</v>
      </c>
      <c r="FQ21" s="180" t="n">
        <v>11.06700485774</v>
      </c>
      <c r="FR21" s="180" t="n">
        <v>11.13674054576</v>
      </c>
      <c r="FS21" s="180" t="n">
        <v>11.20647623378</v>
      </c>
      <c r="FT21" s="180" t="n">
        <v>11.2762119218</v>
      </c>
      <c r="FU21" s="180" t="n">
        <v>11.34594760982</v>
      </c>
      <c r="FV21" s="180" t="n">
        <v>11.41568329784</v>
      </c>
      <c r="FW21" s="180" t="n">
        <v>11.48541898586</v>
      </c>
      <c r="FX21" s="180" t="n">
        <v>11.55515467388</v>
      </c>
      <c r="FY21" s="180" t="n">
        <v>11.6248903619</v>
      </c>
      <c r="FZ21" s="180" t="n">
        <v>11.69462604992</v>
      </c>
      <c r="GA21" s="180" t="n">
        <v>11.76436173794</v>
      </c>
      <c r="GB21" s="180" t="n">
        <v>11.83409742596</v>
      </c>
      <c r="GC21" s="180" t="n">
        <v>11.90383311398</v>
      </c>
      <c r="GD21" s="180" t="n">
        <v>11.973568802</v>
      </c>
      <c r="GE21" s="180" t="n">
        <v>12.04330449002</v>
      </c>
      <c r="GF21" s="180" t="n">
        <v>12.11304017804</v>
      </c>
      <c r="GG21" s="180" t="n">
        <v>12.18277586606</v>
      </c>
      <c r="GH21" s="180" t="n">
        <v>12.25251155408</v>
      </c>
      <c r="GI21" s="180" t="n">
        <v>12.3222472421</v>
      </c>
      <c r="GJ21" s="180" t="n">
        <v>12.39198293012</v>
      </c>
      <c r="GK21" s="180" t="n">
        <v>12.46171861814</v>
      </c>
      <c r="GL21" s="180" t="n">
        <v>12.53145430616</v>
      </c>
      <c r="GM21" s="180" t="n">
        <v>12.60118999418</v>
      </c>
      <c r="GN21" s="180" t="n">
        <v>12.6709256822</v>
      </c>
      <c r="GO21" s="180" t="n">
        <v>12.74066137022</v>
      </c>
      <c r="GP21" s="180" t="n">
        <v>12.81039705824</v>
      </c>
      <c r="GQ21" s="180" t="n">
        <v>12.88013274626</v>
      </c>
      <c r="GR21" s="180" t="n">
        <v>12.94986843428</v>
      </c>
      <c r="GS21" s="180" t="n">
        <v>13.0196041223</v>
      </c>
      <c r="GT21" s="180" t="n">
        <v>13.08933981032</v>
      </c>
      <c r="GU21" s="180" t="n">
        <v>13.15907549834</v>
      </c>
      <c r="GV21" s="180" t="n">
        <v>13.22881118636</v>
      </c>
      <c r="GW21" s="180" t="n">
        <v>13.29854687438</v>
      </c>
      <c r="GX21" s="180" t="n">
        <v>13.3682825624</v>
      </c>
      <c r="GY21" s="180" t="n">
        <v>13.43801825042</v>
      </c>
      <c r="GZ21" s="180" t="n">
        <v>13.50775393844</v>
      </c>
      <c r="HA21" s="180" t="n">
        <v>13.57748962646</v>
      </c>
      <c r="HB21" s="180" t="n">
        <v>13.64722531448</v>
      </c>
      <c r="HC21" s="180" t="n">
        <v>13.7169610025</v>
      </c>
      <c r="HD21" s="180" t="n">
        <v>13.78669669052</v>
      </c>
      <c r="HE21" s="180" t="n">
        <v>13.85643237854</v>
      </c>
      <c r="HF21" s="180" t="n">
        <v>13.92616806656</v>
      </c>
      <c r="HG21" s="180" t="n">
        <v>13.99590375458</v>
      </c>
      <c r="HH21" s="180" t="n">
        <v>14.0656394426</v>
      </c>
      <c r="HI21" s="180" t="n">
        <v>14.13537513062</v>
      </c>
      <c r="HJ21" s="180" t="n">
        <v>14.20511081864</v>
      </c>
      <c r="HK21" s="180" t="n">
        <v>14.27484650666</v>
      </c>
      <c r="HL21" s="180" t="n">
        <v>14.34458219468</v>
      </c>
      <c r="HM21" s="180" t="n">
        <v>14.4143178827</v>
      </c>
      <c r="HN21" s="180" t="n">
        <v>14.48405357072</v>
      </c>
      <c r="HO21" s="180" t="n">
        <v>14.55378925874</v>
      </c>
      <c r="HP21" s="180" t="n">
        <v>14.62352494676</v>
      </c>
      <c r="HQ21" s="180" t="n">
        <v>14.69326063478</v>
      </c>
      <c r="HR21" s="180" t="n">
        <v>14.7629963228</v>
      </c>
      <c r="HS21" s="180" t="n">
        <v>14.83273201082</v>
      </c>
      <c r="HT21" s="180" t="n">
        <v>14.90246769884</v>
      </c>
      <c r="HU21" s="180" t="n">
        <v>14.97220338686</v>
      </c>
      <c r="HV21" s="180" t="n">
        <v>15.04193907488</v>
      </c>
      <c r="HW21" s="180" t="n">
        <v>15.1116747629</v>
      </c>
      <c r="HX21" s="180" t="n">
        <v>15.18141045092</v>
      </c>
      <c r="HY21" s="180" t="n">
        <v>15.25114613894</v>
      </c>
      <c r="HZ21" s="180" t="n">
        <v>15.32088182696</v>
      </c>
      <c r="IA21" s="180" t="n">
        <v>15.39061751498</v>
      </c>
      <c r="IB21" s="180" t="n">
        <v>15.460353203</v>
      </c>
      <c r="IC21" s="180" t="n">
        <v>15.53008889102</v>
      </c>
      <c r="ID21" s="180" t="n">
        <v>15.59982457904</v>
      </c>
      <c r="IE21" s="180" t="n">
        <v>15.66956026706</v>
      </c>
      <c r="IF21" s="180" t="n">
        <v>15.73929595508</v>
      </c>
      <c r="IG21" s="180" t="n">
        <v>15.8090316431</v>
      </c>
      <c r="IH21" s="180" t="n">
        <v>15.87876733112</v>
      </c>
      <c r="II21" s="180" t="n">
        <v>15.94850301914</v>
      </c>
      <c r="IJ21" s="180" t="n">
        <v>16.01823870716</v>
      </c>
      <c r="IK21" s="180" t="n">
        <v>16.08797439518</v>
      </c>
      <c r="IL21" s="180" t="n">
        <v>16.1577100832</v>
      </c>
      <c r="IM21" s="180" t="n">
        <v>16.22744577122</v>
      </c>
      <c r="IN21" s="180" t="n">
        <v>16.29718145924</v>
      </c>
      <c r="IO21" s="180" t="n">
        <v>16.36691714726</v>
      </c>
      <c r="IP21" s="180" t="n">
        <v>16.43665283528</v>
      </c>
      <c r="IQ21" s="180" t="n">
        <v>16.5063885233</v>
      </c>
      <c r="IR21" s="180" t="n">
        <v>16.57612421132</v>
      </c>
      <c r="IS21" s="180" t="n">
        <v>16.64585989934</v>
      </c>
      <c r="IT21" s="180" t="n">
        <v>16.71559558736</v>
      </c>
      <c r="IU21" s="180" t="n">
        <v>16.78533127538</v>
      </c>
      <c r="IV21" s="180" t="n">
        <v>16.8550669634</v>
      </c>
    </row>
    <row r="22" customFormat="false" ht="12.75" hidden="false" customHeight="false" outlineLevel="0" collapsed="false">
      <c r="A22" s="189" t="n">
        <v>37347</v>
      </c>
      <c r="B22" s="185" t="n">
        <v>-2.021005929375</v>
      </c>
      <c r="C22" s="185" t="n">
        <v>-1.9907047400625</v>
      </c>
      <c r="D22" s="185" t="n">
        <v>-1.96040355075</v>
      </c>
      <c r="E22" s="185" t="n">
        <v>-1.9301023614375</v>
      </c>
      <c r="F22" s="185" t="n">
        <v>-1.899801172125</v>
      </c>
      <c r="G22" s="185" t="n">
        <v>-1.8694999828125</v>
      </c>
      <c r="H22" s="185" t="n">
        <v>-1.8391987935</v>
      </c>
      <c r="I22" s="185" t="n">
        <v>-1.8088976041875</v>
      </c>
      <c r="J22" s="185" t="n">
        <v>-1.778596414875</v>
      </c>
      <c r="K22" s="185" t="n">
        <v>-1.7482952255625</v>
      </c>
      <c r="L22" s="185" t="n">
        <v>-1.71799403625</v>
      </c>
      <c r="M22" s="185" t="n">
        <v>-1.6876928469375</v>
      </c>
      <c r="N22" s="185" t="n">
        <v>-1.657391657625</v>
      </c>
      <c r="O22" s="185" t="n">
        <v>-1.6270904683125</v>
      </c>
      <c r="P22" s="185" t="n">
        <v>-1.596789279</v>
      </c>
      <c r="Q22" s="185" t="n">
        <v>-1.5664880896875</v>
      </c>
      <c r="R22" s="185" t="n">
        <v>-1.536186900375</v>
      </c>
      <c r="S22" s="185" t="n">
        <v>-1.5058857110625</v>
      </c>
      <c r="T22" s="185" t="n">
        <v>-1.47558452175</v>
      </c>
      <c r="U22" s="185" t="n">
        <v>-1.4452833324375</v>
      </c>
      <c r="V22" s="186" t="n">
        <v>-1.414982143125</v>
      </c>
      <c r="W22" s="185" t="n">
        <v>-1.3846809538125</v>
      </c>
      <c r="X22" s="186" t="n">
        <v>-1.3543797645</v>
      </c>
      <c r="Y22" s="185" t="n">
        <v>-1.3240785751875</v>
      </c>
      <c r="Z22" s="186" t="n">
        <v>-1.293777385875</v>
      </c>
      <c r="AA22" s="185" t="n">
        <v>-1.2634761965625</v>
      </c>
      <c r="AB22" s="187" t="n">
        <v>-1.23317500725</v>
      </c>
      <c r="AC22" s="185" t="n">
        <v>-1.2028738179375</v>
      </c>
      <c r="AD22" s="187" t="n">
        <v>-1.172572628625</v>
      </c>
      <c r="AE22" s="185" t="n">
        <v>-1.1422714393125</v>
      </c>
      <c r="AF22" s="185" t="n">
        <v>-1.11197025</v>
      </c>
      <c r="AG22" s="190" t="n">
        <v>-1.083235125</v>
      </c>
      <c r="AH22" s="190" t="n">
        <v>-1.0545</v>
      </c>
      <c r="AI22" s="190" t="n">
        <v>-1.02725</v>
      </c>
      <c r="AJ22" s="190" t="n">
        <v>-1</v>
      </c>
      <c r="AK22" s="190" t="n">
        <v>-0.8</v>
      </c>
      <c r="AL22" s="190" t="n">
        <v>-0.6</v>
      </c>
      <c r="AM22" s="190" t="n">
        <v>-0.4</v>
      </c>
      <c r="AN22" s="190" t="n">
        <v>-0.2</v>
      </c>
      <c r="AO22" s="190" t="n">
        <v>0</v>
      </c>
      <c r="AP22" s="190" t="n">
        <v>0.2</v>
      </c>
      <c r="AQ22" s="190" t="n">
        <v>0.4</v>
      </c>
      <c r="AR22" s="190" t="n">
        <v>0.6</v>
      </c>
      <c r="AS22" s="190" t="n">
        <v>0.8</v>
      </c>
      <c r="AT22" s="190" t="n">
        <v>1</v>
      </c>
      <c r="AU22" s="190" t="n">
        <v>1.2</v>
      </c>
      <c r="AV22" s="190" t="n">
        <v>1.4</v>
      </c>
      <c r="AW22" s="190" t="n">
        <v>1.58</v>
      </c>
      <c r="AX22" s="190" t="n">
        <v>1.76</v>
      </c>
      <c r="AY22" s="190" t="n">
        <v>1.922</v>
      </c>
      <c r="AZ22" s="190" t="n">
        <v>2.084</v>
      </c>
      <c r="BA22" s="190" t="n">
        <v>2.2298</v>
      </c>
      <c r="BB22" s="190" t="n">
        <v>2.3756</v>
      </c>
      <c r="BC22" s="190" t="n">
        <v>2.50682</v>
      </c>
      <c r="BD22" s="190" t="n">
        <v>2.63804</v>
      </c>
      <c r="BE22" s="190" t="n">
        <v>2.756138</v>
      </c>
      <c r="BF22" s="190" t="n">
        <v>2.874236</v>
      </c>
      <c r="BG22" s="190" t="n">
        <v>2.9805242</v>
      </c>
      <c r="BH22" s="190" t="n">
        <v>3.0868124</v>
      </c>
      <c r="BI22" s="190" t="n">
        <v>3.18247178</v>
      </c>
      <c r="BJ22" s="190" t="n">
        <v>3.27813116</v>
      </c>
      <c r="BK22" s="190" t="n">
        <v>3.364224602</v>
      </c>
      <c r="BL22" s="190" t="n">
        <v>3.450318044</v>
      </c>
      <c r="BM22" s="190" t="n">
        <v>3.5278021418</v>
      </c>
      <c r="BN22" s="190" t="n">
        <v>3.6052862396</v>
      </c>
      <c r="BO22" s="190" t="n">
        <v>3.67502192762</v>
      </c>
      <c r="BP22" s="190" t="n">
        <v>3.74475761564</v>
      </c>
      <c r="BQ22" s="190" t="n">
        <v>3.81449330366</v>
      </c>
      <c r="BR22" s="190" t="n">
        <v>3.88422899168</v>
      </c>
      <c r="BS22" s="190" t="n">
        <v>3.9539646797</v>
      </c>
      <c r="BT22" s="190" t="n">
        <v>4.02370036772</v>
      </c>
      <c r="BU22" s="190" t="n">
        <v>4.09343605574</v>
      </c>
      <c r="BV22" s="190" t="n">
        <v>4.16317174376</v>
      </c>
      <c r="BW22" s="190" t="n">
        <v>4.23290743178</v>
      </c>
      <c r="BX22" s="190" t="n">
        <v>4.3026431198</v>
      </c>
      <c r="BY22" s="190" t="n">
        <v>4.37237880782</v>
      </c>
      <c r="BZ22" s="190" t="n">
        <v>4.44211449584</v>
      </c>
      <c r="CA22" s="190" t="n">
        <v>4.51185018386</v>
      </c>
      <c r="CB22" s="190" t="n">
        <v>4.58158587188</v>
      </c>
      <c r="CC22" s="190" t="n">
        <v>4.6513215599</v>
      </c>
      <c r="CD22" s="190" t="n">
        <v>4.72105724792</v>
      </c>
      <c r="CE22" s="190" t="n">
        <v>4.79079293594</v>
      </c>
      <c r="CF22" s="190" t="n">
        <v>4.86052862396</v>
      </c>
      <c r="CG22" s="190" t="n">
        <v>4.93026431198</v>
      </c>
      <c r="CH22" s="190" t="n">
        <v>5</v>
      </c>
      <c r="CI22" s="190" t="n">
        <v>5.06973568801999</v>
      </c>
      <c r="CJ22" s="190" t="n">
        <v>5.13947137603999</v>
      </c>
      <c r="CK22" s="190" t="n">
        <v>5.20920706405999</v>
      </c>
      <c r="CL22" s="190" t="n">
        <v>5.27894275207999</v>
      </c>
      <c r="CM22" s="190" t="n">
        <v>5.34867844009999</v>
      </c>
      <c r="CN22" s="190" t="n">
        <v>5.41841412811999</v>
      </c>
      <c r="CO22" s="190" t="n">
        <v>5.48814981613999</v>
      </c>
      <c r="CP22" s="190" t="n">
        <v>5.55788550415999</v>
      </c>
      <c r="CQ22" s="190" t="n">
        <v>5.62762119217999</v>
      </c>
      <c r="CR22" s="190" t="n">
        <v>5.69735688019999</v>
      </c>
      <c r="CS22" s="190" t="n">
        <v>5.76709256821999</v>
      </c>
      <c r="CT22" s="190" t="n">
        <v>5.83682825623999</v>
      </c>
      <c r="CU22" s="190" t="n">
        <v>5.90656394425999</v>
      </c>
      <c r="CV22" s="190" t="n">
        <v>5.97629963227999</v>
      </c>
      <c r="CW22" s="190" t="n">
        <v>6.04603532029999</v>
      </c>
      <c r="CX22" s="190" t="n">
        <v>6.11577100831999</v>
      </c>
      <c r="CY22" s="190" t="n">
        <v>6.18550669633999</v>
      </c>
      <c r="CZ22" s="190" t="n">
        <v>6.25524238435999</v>
      </c>
      <c r="DA22" s="190" t="n">
        <v>6.32497807237999</v>
      </c>
      <c r="DB22" s="190" t="n">
        <v>6.39471376039999</v>
      </c>
      <c r="DC22" s="190" t="n">
        <v>6.46444944841999</v>
      </c>
      <c r="DD22" s="190" t="n">
        <v>6.53418513643999</v>
      </c>
      <c r="DE22" s="190" t="n">
        <v>6.60392082445999</v>
      </c>
      <c r="DF22" s="190" t="n">
        <v>6.67365651247999</v>
      </c>
      <c r="DG22" s="190" t="n">
        <v>6.74339220049999</v>
      </c>
      <c r="DH22" s="190" t="n">
        <v>6.81312788851999</v>
      </c>
      <c r="DI22" s="190" t="n">
        <v>6.88286357653999</v>
      </c>
      <c r="DJ22" s="190" t="n">
        <v>6.95259926455999</v>
      </c>
      <c r="DK22" s="190" t="n">
        <v>7.02233495257999</v>
      </c>
      <c r="DL22" s="190" t="n">
        <v>7.09207064059999</v>
      </c>
      <c r="DM22" s="190" t="n">
        <v>7.16180632861999</v>
      </c>
      <c r="DN22" s="190" t="n">
        <v>7.23154201663999</v>
      </c>
      <c r="DO22" s="190" t="n">
        <v>7.30127770465999</v>
      </c>
      <c r="DP22" s="190" t="n">
        <v>7.37101339267999</v>
      </c>
      <c r="DQ22" s="190" t="n">
        <v>7.44074908069999</v>
      </c>
      <c r="DR22" s="190" t="n">
        <v>7.51048476871999</v>
      </c>
      <c r="DS22" s="190" t="n">
        <v>7.58022045673999</v>
      </c>
      <c r="DT22" s="190" t="n">
        <v>7.64995614475999</v>
      </c>
      <c r="DU22" s="190" t="n">
        <v>7.71969183277999</v>
      </c>
      <c r="DV22" s="190" t="n">
        <v>7.78942752079998</v>
      </c>
      <c r="DW22" s="190" t="n">
        <v>7.85916320881998</v>
      </c>
      <c r="DX22" s="190" t="n">
        <v>7.92889889683998</v>
      </c>
      <c r="DY22" s="190" t="n">
        <v>7.99863458485998</v>
      </c>
      <c r="DZ22" s="190" t="n">
        <v>8.06837027287998</v>
      </c>
      <c r="EA22" s="190" t="n">
        <v>8.13810596089998</v>
      </c>
      <c r="EB22" s="190" t="n">
        <v>8.20784164891998</v>
      </c>
      <c r="EC22" s="190" t="n">
        <v>8.27757733693998</v>
      </c>
      <c r="ED22" s="190" t="n">
        <v>8.34731302495998</v>
      </c>
      <c r="EE22" s="190" t="n">
        <v>8.41704871297998</v>
      </c>
      <c r="EF22" s="190" t="n">
        <v>8.48678440099998</v>
      </c>
      <c r="EG22" s="190" t="n">
        <v>8.55652008901998</v>
      </c>
      <c r="EH22" s="190" t="n">
        <v>8.62625577703998</v>
      </c>
      <c r="EI22" s="190" t="n">
        <v>8.69599146505998</v>
      </c>
      <c r="EJ22" s="190" t="n">
        <v>8.76572715307998</v>
      </c>
      <c r="EK22" s="190" t="n">
        <v>8.83546284109998</v>
      </c>
      <c r="EL22" s="180" t="n">
        <v>8.90519852911998</v>
      </c>
      <c r="EM22" s="180" t="n">
        <v>8.97493421713998</v>
      </c>
      <c r="EN22" s="180" t="n">
        <v>9.04466990515998</v>
      </c>
      <c r="EO22" s="180" t="n">
        <v>9.11440559317998</v>
      </c>
      <c r="EP22" s="180" t="n">
        <v>9.18414128119998</v>
      </c>
      <c r="EQ22" s="180" t="n">
        <v>9.25387696921998</v>
      </c>
      <c r="ER22" s="180" t="n">
        <v>9.32361265723998</v>
      </c>
      <c r="ES22" s="180" t="n">
        <v>9.39334834525998</v>
      </c>
      <c r="ET22" s="180" t="n">
        <v>9.46308403327998</v>
      </c>
      <c r="EU22" s="180" t="n">
        <v>9.53281972129998</v>
      </c>
      <c r="EV22" s="180" t="n">
        <v>9.60255540931998</v>
      </c>
      <c r="EW22" s="180" t="n">
        <v>9.67229109733998</v>
      </c>
      <c r="EX22" s="180" t="n">
        <v>9.74202678535998</v>
      </c>
      <c r="EY22" s="180" t="n">
        <v>9.81176247337998</v>
      </c>
      <c r="EZ22" s="180" t="n">
        <v>9.88149816139998</v>
      </c>
      <c r="FA22" s="180" t="n">
        <v>9.95123384941998</v>
      </c>
      <c r="FB22" s="180" t="n">
        <v>10.02096953744</v>
      </c>
      <c r="FC22" s="180" t="n">
        <v>10.09070522546</v>
      </c>
      <c r="FD22" s="180" t="n">
        <v>10.16044091348</v>
      </c>
      <c r="FE22" s="180" t="n">
        <v>10.2301766015</v>
      </c>
      <c r="FF22" s="180" t="n">
        <v>10.29991228952</v>
      </c>
      <c r="FG22" s="180" t="n">
        <v>10.36964797754</v>
      </c>
      <c r="FH22" s="180" t="n">
        <v>10.43938366556</v>
      </c>
      <c r="FI22" s="180" t="n">
        <v>10.50911935358</v>
      </c>
      <c r="FJ22" s="180" t="n">
        <v>10.5788550416</v>
      </c>
      <c r="FK22" s="180" t="n">
        <v>10.64859072962</v>
      </c>
      <c r="FL22" s="180" t="n">
        <v>10.71832641764</v>
      </c>
      <c r="FM22" s="180" t="n">
        <v>10.78806210566</v>
      </c>
      <c r="FN22" s="180" t="n">
        <v>10.85779779368</v>
      </c>
      <c r="FO22" s="180" t="n">
        <v>10.9275334817</v>
      </c>
      <c r="FP22" s="180" t="n">
        <v>10.99726916972</v>
      </c>
      <c r="FQ22" s="180" t="n">
        <v>11.06700485774</v>
      </c>
      <c r="FR22" s="180" t="n">
        <v>11.13674054576</v>
      </c>
      <c r="FS22" s="180" t="n">
        <v>11.20647623378</v>
      </c>
      <c r="FT22" s="180" t="n">
        <v>11.2762119218</v>
      </c>
      <c r="FU22" s="180" t="n">
        <v>11.34594760982</v>
      </c>
      <c r="FV22" s="180" t="n">
        <v>11.41568329784</v>
      </c>
      <c r="FW22" s="180" t="n">
        <v>11.48541898586</v>
      </c>
      <c r="FX22" s="180" t="n">
        <v>11.55515467388</v>
      </c>
      <c r="FY22" s="180" t="n">
        <v>11.6248903619</v>
      </c>
      <c r="FZ22" s="180" t="n">
        <v>11.69462604992</v>
      </c>
      <c r="GA22" s="180" t="n">
        <v>11.76436173794</v>
      </c>
      <c r="GB22" s="180" t="n">
        <v>11.83409742596</v>
      </c>
      <c r="GC22" s="180" t="n">
        <v>11.90383311398</v>
      </c>
      <c r="GD22" s="180" t="n">
        <v>11.973568802</v>
      </c>
      <c r="GE22" s="180" t="n">
        <v>12.04330449002</v>
      </c>
      <c r="GF22" s="180" t="n">
        <v>12.11304017804</v>
      </c>
      <c r="GG22" s="180" t="n">
        <v>12.18277586606</v>
      </c>
      <c r="GH22" s="180" t="n">
        <v>12.25251155408</v>
      </c>
      <c r="GI22" s="180" t="n">
        <v>12.3222472421</v>
      </c>
      <c r="GJ22" s="180" t="n">
        <v>12.39198293012</v>
      </c>
      <c r="GK22" s="180" t="n">
        <v>12.46171861814</v>
      </c>
      <c r="GL22" s="180" t="n">
        <v>12.53145430616</v>
      </c>
      <c r="GM22" s="180" t="n">
        <v>12.60118999418</v>
      </c>
      <c r="GN22" s="180" t="n">
        <v>12.6709256822</v>
      </c>
      <c r="GO22" s="180" t="n">
        <v>12.74066137022</v>
      </c>
      <c r="GP22" s="180" t="n">
        <v>12.81039705824</v>
      </c>
      <c r="GQ22" s="180" t="n">
        <v>12.88013274626</v>
      </c>
      <c r="GR22" s="180" t="n">
        <v>12.94986843428</v>
      </c>
      <c r="GS22" s="180" t="n">
        <v>13.0196041223</v>
      </c>
      <c r="GT22" s="180" t="n">
        <v>13.08933981032</v>
      </c>
      <c r="GU22" s="180" t="n">
        <v>13.15907549834</v>
      </c>
      <c r="GV22" s="180" t="n">
        <v>13.22881118636</v>
      </c>
      <c r="GW22" s="180" t="n">
        <v>13.29854687438</v>
      </c>
      <c r="GX22" s="180" t="n">
        <v>13.3682825624</v>
      </c>
      <c r="GY22" s="180" t="n">
        <v>13.43801825042</v>
      </c>
      <c r="GZ22" s="180" t="n">
        <v>13.50775393844</v>
      </c>
      <c r="HA22" s="180" t="n">
        <v>13.57748962646</v>
      </c>
      <c r="HB22" s="180" t="n">
        <v>13.64722531448</v>
      </c>
      <c r="HC22" s="180" t="n">
        <v>13.7169610025</v>
      </c>
      <c r="HD22" s="180" t="n">
        <v>13.78669669052</v>
      </c>
      <c r="HE22" s="180" t="n">
        <v>13.85643237854</v>
      </c>
      <c r="HF22" s="180" t="n">
        <v>13.92616806656</v>
      </c>
      <c r="HG22" s="180" t="n">
        <v>13.99590375458</v>
      </c>
      <c r="HH22" s="180" t="n">
        <v>14.0656394426</v>
      </c>
      <c r="HI22" s="180" t="n">
        <v>14.13537513062</v>
      </c>
      <c r="HJ22" s="180" t="n">
        <v>14.20511081864</v>
      </c>
      <c r="HK22" s="180" t="n">
        <v>14.27484650666</v>
      </c>
      <c r="HL22" s="180" t="n">
        <v>14.34458219468</v>
      </c>
      <c r="HM22" s="180" t="n">
        <v>14.4143178827</v>
      </c>
      <c r="HN22" s="180" t="n">
        <v>14.48405357072</v>
      </c>
      <c r="HO22" s="180" t="n">
        <v>14.55378925874</v>
      </c>
      <c r="HP22" s="180" t="n">
        <v>14.62352494676</v>
      </c>
      <c r="HQ22" s="180" t="n">
        <v>14.69326063478</v>
      </c>
      <c r="HR22" s="180" t="n">
        <v>14.7629963228</v>
      </c>
      <c r="HS22" s="180" t="n">
        <v>14.83273201082</v>
      </c>
      <c r="HT22" s="180" t="n">
        <v>14.90246769884</v>
      </c>
      <c r="HU22" s="180" t="n">
        <v>14.97220338686</v>
      </c>
      <c r="HV22" s="180" t="n">
        <v>15.04193907488</v>
      </c>
      <c r="HW22" s="180" t="n">
        <v>15.1116747629</v>
      </c>
      <c r="HX22" s="180" t="n">
        <v>15.18141045092</v>
      </c>
      <c r="HY22" s="180" t="n">
        <v>15.25114613894</v>
      </c>
      <c r="HZ22" s="180" t="n">
        <v>15.32088182696</v>
      </c>
      <c r="IA22" s="180" t="n">
        <v>15.39061751498</v>
      </c>
      <c r="IB22" s="180" t="n">
        <v>15.460353203</v>
      </c>
      <c r="IC22" s="180" t="n">
        <v>15.53008889102</v>
      </c>
      <c r="ID22" s="180" t="n">
        <v>15.59982457904</v>
      </c>
      <c r="IE22" s="180" t="n">
        <v>15.66956026706</v>
      </c>
      <c r="IF22" s="180" t="n">
        <v>15.73929595508</v>
      </c>
      <c r="IG22" s="180" t="n">
        <v>15.8090316431</v>
      </c>
      <c r="IH22" s="180" t="n">
        <v>15.87876733112</v>
      </c>
      <c r="II22" s="180" t="n">
        <v>15.94850301914</v>
      </c>
      <c r="IJ22" s="180" t="n">
        <v>16.01823870716</v>
      </c>
      <c r="IK22" s="180" t="n">
        <v>16.08797439518</v>
      </c>
      <c r="IL22" s="180" t="n">
        <v>16.1577100832</v>
      </c>
      <c r="IM22" s="180" t="n">
        <v>16.22744577122</v>
      </c>
      <c r="IN22" s="180" t="n">
        <v>16.29718145924</v>
      </c>
      <c r="IO22" s="180" t="n">
        <v>16.36691714726</v>
      </c>
      <c r="IP22" s="180" t="n">
        <v>16.43665283528</v>
      </c>
      <c r="IQ22" s="180" t="n">
        <v>16.5063885233</v>
      </c>
      <c r="IR22" s="180" t="n">
        <v>16.57612421132</v>
      </c>
      <c r="IS22" s="180" t="n">
        <v>16.64585989934</v>
      </c>
      <c r="IT22" s="180" t="n">
        <v>16.71559558736</v>
      </c>
      <c r="IU22" s="180" t="n">
        <v>16.78533127538</v>
      </c>
      <c r="IV22" s="180" t="n">
        <v>16.8550669634</v>
      </c>
    </row>
    <row r="23" customFormat="false" ht="12.75" hidden="false" customHeight="false" outlineLevel="0" collapsed="false">
      <c r="A23" s="189" t="n">
        <v>37377</v>
      </c>
      <c r="B23" s="185" t="n">
        <v>-2.021005929375</v>
      </c>
      <c r="C23" s="185" t="n">
        <v>-1.9907047400625</v>
      </c>
      <c r="D23" s="185" t="n">
        <v>-1.96040355075</v>
      </c>
      <c r="E23" s="185" t="n">
        <v>-1.9301023614375</v>
      </c>
      <c r="F23" s="185" t="n">
        <v>-1.899801172125</v>
      </c>
      <c r="G23" s="185" t="n">
        <v>-1.8694999828125</v>
      </c>
      <c r="H23" s="185" t="n">
        <v>-1.8391987935</v>
      </c>
      <c r="I23" s="185" t="n">
        <v>-1.8088976041875</v>
      </c>
      <c r="J23" s="185" t="n">
        <v>-1.778596414875</v>
      </c>
      <c r="K23" s="185" t="n">
        <v>-1.7482952255625</v>
      </c>
      <c r="L23" s="185" t="n">
        <v>-1.71799403625</v>
      </c>
      <c r="M23" s="185" t="n">
        <v>-1.6876928469375</v>
      </c>
      <c r="N23" s="185" t="n">
        <v>-1.657391657625</v>
      </c>
      <c r="O23" s="185" t="n">
        <v>-1.6270904683125</v>
      </c>
      <c r="P23" s="185" t="n">
        <v>-1.596789279</v>
      </c>
      <c r="Q23" s="185" t="n">
        <v>-1.5664880896875</v>
      </c>
      <c r="R23" s="185" t="n">
        <v>-1.536186900375</v>
      </c>
      <c r="S23" s="185" t="n">
        <v>-1.5058857110625</v>
      </c>
      <c r="T23" s="185" t="n">
        <v>-1.47558452175</v>
      </c>
      <c r="U23" s="185" t="n">
        <v>-1.4452833324375</v>
      </c>
      <c r="V23" s="186" t="n">
        <v>-1.414982143125</v>
      </c>
      <c r="W23" s="185" t="n">
        <v>-1.3846809538125</v>
      </c>
      <c r="X23" s="186" t="n">
        <v>-1.3543797645</v>
      </c>
      <c r="Y23" s="185" t="n">
        <v>-1.3240785751875</v>
      </c>
      <c r="Z23" s="186" t="n">
        <v>-1.293777385875</v>
      </c>
      <c r="AA23" s="185" t="n">
        <v>-1.2634761965625</v>
      </c>
      <c r="AB23" s="187" t="n">
        <v>-1.23317500725</v>
      </c>
      <c r="AC23" s="185" t="n">
        <v>-1.2028738179375</v>
      </c>
      <c r="AD23" s="187" t="n">
        <v>-1.172572628625</v>
      </c>
      <c r="AE23" s="185" t="n">
        <v>-1.1422714393125</v>
      </c>
      <c r="AF23" s="185" t="n">
        <v>-1.11197025</v>
      </c>
      <c r="AG23" s="190" t="n">
        <v>-1.083235125</v>
      </c>
      <c r="AH23" s="190" t="n">
        <v>-1.0545</v>
      </c>
      <c r="AI23" s="190" t="n">
        <v>-1.02725</v>
      </c>
      <c r="AJ23" s="190" t="n">
        <v>-1</v>
      </c>
      <c r="AK23" s="190" t="n">
        <v>-0.8</v>
      </c>
      <c r="AL23" s="190" t="n">
        <v>-0.6</v>
      </c>
      <c r="AM23" s="190" t="n">
        <v>-0.4</v>
      </c>
      <c r="AN23" s="190" t="n">
        <v>-0.2</v>
      </c>
      <c r="AO23" s="190" t="n">
        <v>0</v>
      </c>
      <c r="AP23" s="190" t="n">
        <v>0.2</v>
      </c>
      <c r="AQ23" s="190" t="n">
        <v>0.4</v>
      </c>
      <c r="AR23" s="190" t="n">
        <v>0.6</v>
      </c>
      <c r="AS23" s="190" t="n">
        <v>0.8</v>
      </c>
      <c r="AT23" s="190" t="n">
        <v>1</v>
      </c>
      <c r="AU23" s="190" t="n">
        <v>1.2</v>
      </c>
      <c r="AV23" s="190" t="n">
        <v>1.4</v>
      </c>
      <c r="AW23" s="190" t="n">
        <v>1.58</v>
      </c>
      <c r="AX23" s="190" t="n">
        <v>1.76</v>
      </c>
      <c r="AY23" s="190" t="n">
        <v>1.922</v>
      </c>
      <c r="AZ23" s="190" t="n">
        <v>2.084</v>
      </c>
      <c r="BA23" s="190" t="n">
        <v>2.2298</v>
      </c>
      <c r="BB23" s="190" t="n">
        <v>2.3756</v>
      </c>
      <c r="BC23" s="190" t="n">
        <v>2.50682</v>
      </c>
      <c r="BD23" s="190" t="n">
        <v>2.63804</v>
      </c>
      <c r="BE23" s="190" t="n">
        <v>2.756138</v>
      </c>
      <c r="BF23" s="190" t="n">
        <v>2.874236</v>
      </c>
      <c r="BG23" s="190" t="n">
        <v>2.9805242</v>
      </c>
      <c r="BH23" s="190" t="n">
        <v>3.0868124</v>
      </c>
      <c r="BI23" s="190" t="n">
        <v>3.18247178</v>
      </c>
      <c r="BJ23" s="190" t="n">
        <v>3.27813116</v>
      </c>
      <c r="BK23" s="190" t="n">
        <v>3.364224602</v>
      </c>
      <c r="BL23" s="190" t="n">
        <v>3.450318044</v>
      </c>
      <c r="BM23" s="190" t="n">
        <v>3.5278021418</v>
      </c>
      <c r="BN23" s="190" t="n">
        <v>3.6052862396</v>
      </c>
      <c r="BO23" s="190" t="n">
        <v>3.67502192762</v>
      </c>
      <c r="BP23" s="190" t="n">
        <v>3.74475761564</v>
      </c>
      <c r="BQ23" s="190" t="n">
        <v>3.81449330366</v>
      </c>
      <c r="BR23" s="190" t="n">
        <v>3.88422899168</v>
      </c>
      <c r="BS23" s="190" t="n">
        <v>3.9539646797</v>
      </c>
      <c r="BT23" s="190" t="n">
        <v>4.02370036772</v>
      </c>
      <c r="BU23" s="190" t="n">
        <v>4.09343605574</v>
      </c>
      <c r="BV23" s="190" t="n">
        <v>4.16317174376</v>
      </c>
      <c r="BW23" s="190" t="n">
        <v>4.23290743178</v>
      </c>
      <c r="BX23" s="190" t="n">
        <v>4.3026431198</v>
      </c>
      <c r="BY23" s="190" t="n">
        <v>4.37237880782</v>
      </c>
      <c r="BZ23" s="190" t="n">
        <v>4.44211449584</v>
      </c>
      <c r="CA23" s="190" t="n">
        <v>4.51185018386</v>
      </c>
      <c r="CB23" s="190" t="n">
        <v>4.58158587188</v>
      </c>
      <c r="CC23" s="190" t="n">
        <v>4.6513215599</v>
      </c>
      <c r="CD23" s="190" t="n">
        <v>4.72105724792</v>
      </c>
      <c r="CE23" s="190" t="n">
        <v>4.79079293594</v>
      </c>
      <c r="CF23" s="190" t="n">
        <v>4.86052862396</v>
      </c>
      <c r="CG23" s="190" t="n">
        <v>4.93026431198</v>
      </c>
      <c r="CH23" s="190" t="n">
        <v>5</v>
      </c>
      <c r="CI23" s="190" t="n">
        <v>5.06973568801999</v>
      </c>
      <c r="CJ23" s="190" t="n">
        <v>5.13947137603999</v>
      </c>
      <c r="CK23" s="190" t="n">
        <v>5.20920706405999</v>
      </c>
      <c r="CL23" s="190" t="n">
        <v>5.27894275207999</v>
      </c>
      <c r="CM23" s="190" t="n">
        <v>5.34867844009999</v>
      </c>
      <c r="CN23" s="190" t="n">
        <v>5.41841412811999</v>
      </c>
      <c r="CO23" s="190" t="n">
        <v>5.48814981613999</v>
      </c>
      <c r="CP23" s="190" t="n">
        <v>5.55788550415999</v>
      </c>
      <c r="CQ23" s="190" t="n">
        <v>5.62762119217999</v>
      </c>
      <c r="CR23" s="190" t="n">
        <v>5.69735688019999</v>
      </c>
      <c r="CS23" s="190" t="n">
        <v>5.76709256821999</v>
      </c>
      <c r="CT23" s="190" t="n">
        <v>5.83682825623999</v>
      </c>
      <c r="CU23" s="190" t="n">
        <v>5.90656394425999</v>
      </c>
      <c r="CV23" s="190" t="n">
        <v>5.97629963227999</v>
      </c>
      <c r="CW23" s="190" t="n">
        <v>6.04603532029999</v>
      </c>
      <c r="CX23" s="190" t="n">
        <v>6.11577100831999</v>
      </c>
      <c r="CY23" s="190" t="n">
        <v>6.18550669633999</v>
      </c>
      <c r="CZ23" s="190" t="n">
        <v>6.25524238435999</v>
      </c>
      <c r="DA23" s="190" t="n">
        <v>6.32497807237999</v>
      </c>
      <c r="DB23" s="190" t="n">
        <v>6.39471376039999</v>
      </c>
      <c r="DC23" s="190" t="n">
        <v>6.46444944841999</v>
      </c>
      <c r="DD23" s="190" t="n">
        <v>6.53418513643999</v>
      </c>
      <c r="DE23" s="190" t="n">
        <v>6.60392082445999</v>
      </c>
      <c r="DF23" s="190" t="n">
        <v>6.67365651247999</v>
      </c>
      <c r="DG23" s="190" t="n">
        <v>6.74339220049999</v>
      </c>
      <c r="DH23" s="190" t="n">
        <v>6.81312788851999</v>
      </c>
      <c r="DI23" s="190" t="n">
        <v>6.88286357653999</v>
      </c>
      <c r="DJ23" s="190" t="n">
        <v>6.95259926455999</v>
      </c>
      <c r="DK23" s="190" t="n">
        <v>7.02233495257999</v>
      </c>
      <c r="DL23" s="190" t="n">
        <v>7.09207064059999</v>
      </c>
      <c r="DM23" s="190" t="n">
        <v>7.16180632861999</v>
      </c>
      <c r="DN23" s="190" t="n">
        <v>7.23154201663999</v>
      </c>
      <c r="DO23" s="190" t="n">
        <v>7.30127770465999</v>
      </c>
      <c r="DP23" s="190" t="n">
        <v>7.37101339267999</v>
      </c>
      <c r="DQ23" s="190" t="n">
        <v>7.44074908069999</v>
      </c>
      <c r="DR23" s="190" t="n">
        <v>7.51048476871999</v>
      </c>
      <c r="DS23" s="190" t="n">
        <v>7.58022045673999</v>
      </c>
      <c r="DT23" s="190" t="n">
        <v>7.64995614475999</v>
      </c>
      <c r="DU23" s="190" t="n">
        <v>7.71969183277999</v>
      </c>
      <c r="DV23" s="190" t="n">
        <v>7.78942752079998</v>
      </c>
      <c r="DW23" s="190" t="n">
        <v>7.85916320881998</v>
      </c>
      <c r="DX23" s="190" t="n">
        <v>7.92889889683998</v>
      </c>
      <c r="DY23" s="190" t="n">
        <v>7.99863458485998</v>
      </c>
      <c r="DZ23" s="190" t="n">
        <v>8.06837027287998</v>
      </c>
      <c r="EA23" s="190" t="n">
        <v>8.13810596089998</v>
      </c>
      <c r="EB23" s="190" t="n">
        <v>8.20784164891998</v>
      </c>
      <c r="EC23" s="190" t="n">
        <v>8.27757733693998</v>
      </c>
      <c r="ED23" s="190" t="n">
        <v>8.34731302495998</v>
      </c>
      <c r="EE23" s="190" t="n">
        <v>8.41704871297998</v>
      </c>
      <c r="EF23" s="190" t="n">
        <v>8.48678440099998</v>
      </c>
      <c r="EG23" s="190" t="n">
        <v>8.55652008901998</v>
      </c>
      <c r="EH23" s="190" t="n">
        <v>8.62625577703998</v>
      </c>
      <c r="EI23" s="190" t="n">
        <v>8.69599146505998</v>
      </c>
      <c r="EJ23" s="190" t="n">
        <v>8.76572715307998</v>
      </c>
      <c r="EK23" s="190" t="n">
        <v>8.83546284109998</v>
      </c>
      <c r="EL23" s="180" t="n">
        <v>8.90519852911998</v>
      </c>
      <c r="EM23" s="180" t="n">
        <v>8.97493421713998</v>
      </c>
      <c r="EN23" s="180" t="n">
        <v>9.04466990515998</v>
      </c>
      <c r="EO23" s="180" t="n">
        <v>9.11440559317998</v>
      </c>
      <c r="EP23" s="180" t="n">
        <v>9.18414128119998</v>
      </c>
      <c r="EQ23" s="180" t="n">
        <v>9.25387696921998</v>
      </c>
      <c r="ER23" s="180" t="n">
        <v>9.32361265723998</v>
      </c>
      <c r="ES23" s="180" t="n">
        <v>9.39334834525998</v>
      </c>
      <c r="ET23" s="180" t="n">
        <v>9.46308403327998</v>
      </c>
      <c r="EU23" s="180" t="n">
        <v>9.53281972129998</v>
      </c>
      <c r="EV23" s="180" t="n">
        <v>9.60255540931998</v>
      </c>
      <c r="EW23" s="180" t="n">
        <v>9.67229109733998</v>
      </c>
      <c r="EX23" s="180" t="n">
        <v>9.74202678535998</v>
      </c>
      <c r="EY23" s="180" t="n">
        <v>9.81176247337998</v>
      </c>
      <c r="EZ23" s="180" t="n">
        <v>9.88149816139998</v>
      </c>
      <c r="FA23" s="180" t="n">
        <v>9.95123384941998</v>
      </c>
      <c r="FB23" s="180" t="n">
        <v>10.02096953744</v>
      </c>
      <c r="FC23" s="180" t="n">
        <v>10.09070522546</v>
      </c>
      <c r="FD23" s="180" t="n">
        <v>10.16044091348</v>
      </c>
      <c r="FE23" s="180" t="n">
        <v>10.2301766015</v>
      </c>
      <c r="FF23" s="180" t="n">
        <v>10.29991228952</v>
      </c>
      <c r="FG23" s="180" t="n">
        <v>10.36964797754</v>
      </c>
      <c r="FH23" s="180" t="n">
        <v>10.43938366556</v>
      </c>
      <c r="FI23" s="180" t="n">
        <v>10.50911935358</v>
      </c>
      <c r="FJ23" s="180" t="n">
        <v>10.5788550416</v>
      </c>
      <c r="FK23" s="180" t="n">
        <v>10.64859072962</v>
      </c>
      <c r="FL23" s="180" t="n">
        <v>10.71832641764</v>
      </c>
      <c r="FM23" s="180" t="n">
        <v>10.78806210566</v>
      </c>
      <c r="FN23" s="180" t="n">
        <v>10.85779779368</v>
      </c>
      <c r="FO23" s="180" t="n">
        <v>10.9275334817</v>
      </c>
      <c r="FP23" s="180" t="n">
        <v>10.99726916972</v>
      </c>
      <c r="FQ23" s="180" t="n">
        <v>11.06700485774</v>
      </c>
      <c r="FR23" s="180" t="n">
        <v>11.13674054576</v>
      </c>
      <c r="FS23" s="180" t="n">
        <v>11.20647623378</v>
      </c>
      <c r="FT23" s="180" t="n">
        <v>11.2762119218</v>
      </c>
      <c r="FU23" s="180" t="n">
        <v>11.34594760982</v>
      </c>
      <c r="FV23" s="180" t="n">
        <v>11.41568329784</v>
      </c>
      <c r="FW23" s="180" t="n">
        <v>11.48541898586</v>
      </c>
      <c r="FX23" s="180" t="n">
        <v>11.55515467388</v>
      </c>
      <c r="FY23" s="180" t="n">
        <v>11.6248903619</v>
      </c>
      <c r="FZ23" s="180" t="n">
        <v>11.69462604992</v>
      </c>
      <c r="GA23" s="180" t="n">
        <v>11.76436173794</v>
      </c>
      <c r="GB23" s="180" t="n">
        <v>11.83409742596</v>
      </c>
      <c r="GC23" s="180" t="n">
        <v>11.90383311398</v>
      </c>
      <c r="GD23" s="180" t="n">
        <v>11.973568802</v>
      </c>
      <c r="GE23" s="180" t="n">
        <v>12.04330449002</v>
      </c>
      <c r="GF23" s="180" t="n">
        <v>12.11304017804</v>
      </c>
      <c r="GG23" s="180" t="n">
        <v>12.18277586606</v>
      </c>
      <c r="GH23" s="180" t="n">
        <v>12.25251155408</v>
      </c>
      <c r="GI23" s="180" t="n">
        <v>12.3222472421</v>
      </c>
      <c r="GJ23" s="180" t="n">
        <v>12.39198293012</v>
      </c>
      <c r="GK23" s="180" t="n">
        <v>12.46171861814</v>
      </c>
      <c r="GL23" s="180" t="n">
        <v>12.53145430616</v>
      </c>
      <c r="GM23" s="180" t="n">
        <v>12.60118999418</v>
      </c>
      <c r="GN23" s="180" t="n">
        <v>12.6709256822</v>
      </c>
      <c r="GO23" s="180" t="n">
        <v>12.74066137022</v>
      </c>
      <c r="GP23" s="180" t="n">
        <v>12.81039705824</v>
      </c>
      <c r="GQ23" s="180" t="n">
        <v>12.88013274626</v>
      </c>
      <c r="GR23" s="180" t="n">
        <v>12.94986843428</v>
      </c>
      <c r="GS23" s="180" t="n">
        <v>13.0196041223</v>
      </c>
      <c r="GT23" s="180" t="n">
        <v>13.08933981032</v>
      </c>
      <c r="GU23" s="180" t="n">
        <v>13.15907549834</v>
      </c>
      <c r="GV23" s="180" t="n">
        <v>13.22881118636</v>
      </c>
      <c r="GW23" s="180" t="n">
        <v>13.29854687438</v>
      </c>
      <c r="GX23" s="180" t="n">
        <v>13.3682825624</v>
      </c>
      <c r="GY23" s="180" t="n">
        <v>13.43801825042</v>
      </c>
      <c r="GZ23" s="180" t="n">
        <v>13.50775393844</v>
      </c>
      <c r="HA23" s="180" t="n">
        <v>13.57748962646</v>
      </c>
      <c r="HB23" s="180" t="n">
        <v>13.64722531448</v>
      </c>
      <c r="HC23" s="180" t="n">
        <v>13.7169610025</v>
      </c>
      <c r="HD23" s="180" t="n">
        <v>13.78669669052</v>
      </c>
      <c r="HE23" s="180" t="n">
        <v>13.85643237854</v>
      </c>
      <c r="HF23" s="180" t="n">
        <v>13.92616806656</v>
      </c>
      <c r="HG23" s="180" t="n">
        <v>13.99590375458</v>
      </c>
      <c r="HH23" s="180" t="n">
        <v>14.0656394426</v>
      </c>
      <c r="HI23" s="180" t="n">
        <v>14.13537513062</v>
      </c>
      <c r="HJ23" s="180" t="n">
        <v>14.20511081864</v>
      </c>
      <c r="HK23" s="180" t="n">
        <v>14.27484650666</v>
      </c>
      <c r="HL23" s="180" t="n">
        <v>14.34458219468</v>
      </c>
      <c r="HM23" s="180" t="n">
        <v>14.4143178827</v>
      </c>
      <c r="HN23" s="180" t="n">
        <v>14.48405357072</v>
      </c>
      <c r="HO23" s="180" t="n">
        <v>14.55378925874</v>
      </c>
      <c r="HP23" s="180" t="n">
        <v>14.62352494676</v>
      </c>
      <c r="HQ23" s="180" t="n">
        <v>14.69326063478</v>
      </c>
      <c r="HR23" s="180" t="n">
        <v>14.7629963228</v>
      </c>
      <c r="HS23" s="180" t="n">
        <v>14.83273201082</v>
      </c>
      <c r="HT23" s="180" t="n">
        <v>14.90246769884</v>
      </c>
      <c r="HU23" s="180" t="n">
        <v>14.97220338686</v>
      </c>
      <c r="HV23" s="180" t="n">
        <v>15.04193907488</v>
      </c>
      <c r="HW23" s="180" t="n">
        <v>15.1116747629</v>
      </c>
      <c r="HX23" s="180" t="n">
        <v>15.18141045092</v>
      </c>
      <c r="HY23" s="180" t="n">
        <v>15.25114613894</v>
      </c>
      <c r="HZ23" s="180" t="n">
        <v>15.32088182696</v>
      </c>
      <c r="IA23" s="180" t="n">
        <v>15.39061751498</v>
      </c>
      <c r="IB23" s="180" t="n">
        <v>15.460353203</v>
      </c>
      <c r="IC23" s="180" t="n">
        <v>15.53008889102</v>
      </c>
      <c r="ID23" s="180" t="n">
        <v>15.59982457904</v>
      </c>
      <c r="IE23" s="180" t="n">
        <v>15.66956026706</v>
      </c>
      <c r="IF23" s="180" t="n">
        <v>15.73929595508</v>
      </c>
      <c r="IG23" s="180" t="n">
        <v>15.8090316431</v>
      </c>
      <c r="IH23" s="180" t="n">
        <v>15.87876733112</v>
      </c>
      <c r="II23" s="180" t="n">
        <v>15.94850301914</v>
      </c>
      <c r="IJ23" s="180" t="n">
        <v>16.01823870716</v>
      </c>
      <c r="IK23" s="180" t="n">
        <v>16.08797439518</v>
      </c>
      <c r="IL23" s="180" t="n">
        <v>16.1577100832</v>
      </c>
      <c r="IM23" s="180" t="n">
        <v>16.22744577122</v>
      </c>
      <c r="IN23" s="180" t="n">
        <v>16.29718145924</v>
      </c>
      <c r="IO23" s="180" t="n">
        <v>16.36691714726</v>
      </c>
      <c r="IP23" s="180" t="n">
        <v>16.43665283528</v>
      </c>
      <c r="IQ23" s="180" t="n">
        <v>16.5063885233</v>
      </c>
      <c r="IR23" s="180" t="n">
        <v>16.57612421132</v>
      </c>
      <c r="IS23" s="180" t="n">
        <v>16.64585989934</v>
      </c>
      <c r="IT23" s="180" t="n">
        <v>16.71559558736</v>
      </c>
      <c r="IU23" s="180" t="n">
        <v>16.78533127538</v>
      </c>
      <c r="IV23" s="180" t="n">
        <v>16.8550669634</v>
      </c>
    </row>
    <row r="24" customFormat="false" ht="12.75" hidden="false" customHeight="false" outlineLevel="0" collapsed="false">
      <c r="A24" s="189" t="n">
        <v>37408</v>
      </c>
      <c r="B24" s="185" t="n">
        <v>-2.021005929375</v>
      </c>
      <c r="C24" s="185" t="n">
        <v>-1.9907047400625</v>
      </c>
      <c r="D24" s="185" t="n">
        <v>-1.96040355075</v>
      </c>
      <c r="E24" s="185" t="n">
        <v>-1.9301023614375</v>
      </c>
      <c r="F24" s="185" t="n">
        <v>-1.899801172125</v>
      </c>
      <c r="G24" s="185" t="n">
        <v>-1.8694999828125</v>
      </c>
      <c r="H24" s="185" t="n">
        <v>-1.8391987935</v>
      </c>
      <c r="I24" s="185" t="n">
        <v>-1.8088976041875</v>
      </c>
      <c r="J24" s="185" t="n">
        <v>-1.778596414875</v>
      </c>
      <c r="K24" s="185" t="n">
        <v>-1.7482952255625</v>
      </c>
      <c r="L24" s="185" t="n">
        <v>-1.71799403625</v>
      </c>
      <c r="M24" s="185" t="n">
        <v>-1.6876928469375</v>
      </c>
      <c r="N24" s="185" t="n">
        <v>-1.657391657625</v>
      </c>
      <c r="O24" s="185" t="n">
        <v>-1.6270904683125</v>
      </c>
      <c r="P24" s="185" t="n">
        <v>-1.596789279</v>
      </c>
      <c r="Q24" s="185" t="n">
        <v>-1.5664880896875</v>
      </c>
      <c r="R24" s="185" t="n">
        <v>-1.536186900375</v>
      </c>
      <c r="S24" s="185" t="n">
        <v>-1.5058857110625</v>
      </c>
      <c r="T24" s="185" t="n">
        <v>-1.47558452175</v>
      </c>
      <c r="U24" s="185" t="n">
        <v>-1.4452833324375</v>
      </c>
      <c r="V24" s="186" t="n">
        <v>-1.414982143125</v>
      </c>
      <c r="W24" s="185" t="n">
        <v>-1.3846809538125</v>
      </c>
      <c r="X24" s="186" t="n">
        <v>-1.3543797645</v>
      </c>
      <c r="Y24" s="185" t="n">
        <v>-1.3240785751875</v>
      </c>
      <c r="Z24" s="186" t="n">
        <v>-1.293777385875</v>
      </c>
      <c r="AA24" s="185" t="n">
        <v>-1.2634761965625</v>
      </c>
      <c r="AB24" s="187" t="n">
        <v>-1.23317500725</v>
      </c>
      <c r="AC24" s="185" t="n">
        <v>-1.2028738179375</v>
      </c>
      <c r="AD24" s="187" t="n">
        <v>-1.172572628625</v>
      </c>
      <c r="AE24" s="185" t="n">
        <v>-1.1422714393125</v>
      </c>
      <c r="AF24" s="185" t="n">
        <v>-1.11197025</v>
      </c>
      <c r="AG24" s="190" t="n">
        <v>-1.083235125</v>
      </c>
      <c r="AH24" s="190" t="n">
        <v>-1.0545</v>
      </c>
      <c r="AI24" s="190" t="n">
        <v>-1.02725</v>
      </c>
      <c r="AJ24" s="190" t="n">
        <v>-1</v>
      </c>
      <c r="AK24" s="190" t="n">
        <v>-0.8</v>
      </c>
      <c r="AL24" s="190" t="n">
        <v>-0.6</v>
      </c>
      <c r="AM24" s="190" t="n">
        <v>-0.4</v>
      </c>
      <c r="AN24" s="190" t="n">
        <v>-0.2</v>
      </c>
      <c r="AO24" s="190" t="n">
        <v>0</v>
      </c>
      <c r="AP24" s="190" t="n">
        <v>0.2</v>
      </c>
      <c r="AQ24" s="190" t="n">
        <v>0.4</v>
      </c>
      <c r="AR24" s="190" t="n">
        <v>0.6</v>
      </c>
      <c r="AS24" s="190" t="n">
        <v>0.8</v>
      </c>
      <c r="AT24" s="190" t="n">
        <v>1</v>
      </c>
      <c r="AU24" s="190" t="n">
        <v>1.2</v>
      </c>
      <c r="AV24" s="190" t="n">
        <v>1.4</v>
      </c>
      <c r="AW24" s="190" t="n">
        <v>1.58</v>
      </c>
      <c r="AX24" s="190" t="n">
        <v>1.76</v>
      </c>
      <c r="AY24" s="190" t="n">
        <v>1.922</v>
      </c>
      <c r="AZ24" s="190" t="n">
        <v>2.084</v>
      </c>
      <c r="BA24" s="190" t="n">
        <v>2.2298</v>
      </c>
      <c r="BB24" s="190" t="n">
        <v>2.3756</v>
      </c>
      <c r="BC24" s="190" t="n">
        <v>2.50682</v>
      </c>
      <c r="BD24" s="190" t="n">
        <v>2.63804</v>
      </c>
      <c r="BE24" s="190" t="n">
        <v>2.756138</v>
      </c>
      <c r="BF24" s="190" t="n">
        <v>2.874236</v>
      </c>
      <c r="BG24" s="190" t="n">
        <v>2.9805242</v>
      </c>
      <c r="BH24" s="190" t="n">
        <v>3.0868124</v>
      </c>
      <c r="BI24" s="190" t="n">
        <v>3.18247178</v>
      </c>
      <c r="BJ24" s="190" t="n">
        <v>3.27813116</v>
      </c>
      <c r="BK24" s="190" t="n">
        <v>3.364224602</v>
      </c>
      <c r="BL24" s="190" t="n">
        <v>3.450318044</v>
      </c>
      <c r="BM24" s="190" t="n">
        <v>3.5278021418</v>
      </c>
      <c r="BN24" s="190" t="n">
        <v>3.6052862396</v>
      </c>
      <c r="BO24" s="190" t="n">
        <v>3.67502192762</v>
      </c>
      <c r="BP24" s="190" t="n">
        <v>3.74475761564</v>
      </c>
      <c r="BQ24" s="190" t="n">
        <v>3.81449330366</v>
      </c>
      <c r="BR24" s="190" t="n">
        <v>3.88422899168</v>
      </c>
      <c r="BS24" s="190" t="n">
        <v>3.9539646797</v>
      </c>
      <c r="BT24" s="190" t="n">
        <v>4.02370036772</v>
      </c>
      <c r="BU24" s="190" t="n">
        <v>4.09343605574</v>
      </c>
      <c r="BV24" s="190" t="n">
        <v>4.16317174376</v>
      </c>
      <c r="BW24" s="190" t="n">
        <v>4.23290743178</v>
      </c>
      <c r="BX24" s="190" t="n">
        <v>4.3026431198</v>
      </c>
      <c r="BY24" s="190" t="n">
        <v>4.37237880782</v>
      </c>
      <c r="BZ24" s="190" t="n">
        <v>4.44211449584</v>
      </c>
      <c r="CA24" s="190" t="n">
        <v>4.51185018386</v>
      </c>
      <c r="CB24" s="190" t="n">
        <v>4.58158587188</v>
      </c>
      <c r="CC24" s="190" t="n">
        <v>4.6513215599</v>
      </c>
      <c r="CD24" s="190" t="n">
        <v>4.72105724792</v>
      </c>
      <c r="CE24" s="190" t="n">
        <v>4.79079293594</v>
      </c>
      <c r="CF24" s="190" t="n">
        <v>4.86052862396</v>
      </c>
      <c r="CG24" s="190" t="n">
        <v>4.93026431198</v>
      </c>
      <c r="CH24" s="190" t="n">
        <v>5</v>
      </c>
      <c r="CI24" s="190" t="n">
        <v>5.06973568801999</v>
      </c>
      <c r="CJ24" s="190" t="n">
        <v>5.13947137603999</v>
      </c>
      <c r="CK24" s="190" t="n">
        <v>5.20920706405999</v>
      </c>
      <c r="CL24" s="190" t="n">
        <v>5.27894275207999</v>
      </c>
      <c r="CM24" s="190" t="n">
        <v>5.34867844009999</v>
      </c>
      <c r="CN24" s="190" t="n">
        <v>5.41841412811999</v>
      </c>
      <c r="CO24" s="190" t="n">
        <v>5.48814981613999</v>
      </c>
      <c r="CP24" s="190" t="n">
        <v>5.55788550415999</v>
      </c>
      <c r="CQ24" s="190" t="n">
        <v>5.62762119217999</v>
      </c>
      <c r="CR24" s="190" t="n">
        <v>5.69735688019999</v>
      </c>
      <c r="CS24" s="190" t="n">
        <v>5.76709256821999</v>
      </c>
      <c r="CT24" s="190" t="n">
        <v>5.83682825623999</v>
      </c>
      <c r="CU24" s="190" t="n">
        <v>5.90656394425999</v>
      </c>
      <c r="CV24" s="190" t="n">
        <v>5.97629963227999</v>
      </c>
      <c r="CW24" s="190" t="n">
        <v>6.04603532029999</v>
      </c>
      <c r="CX24" s="190" t="n">
        <v>6.11577100831999</v>
      </c>
      <c r="CY24" s="190" t="n">
        <v>6.18550669633999</v>
      </c>
      <c r="CZ24" s="190" t="n">
        <v>6.25524238435999</v>
      </c>
      <c r="DA24" s="190" t="n">
        <v>6.32497807237999</v>
      </c>
      <c r="DB24" s="190" t="n">
        <v>6.39471376039999</v>
      </c>
      <c r="DC24" s="190" t="n">
        <v>6.46444944841999</v>
      </c>
      <c r="DD24" s="190" t="n">
        <v>6.53418513643999</v>
      </c>
      <c r="DE24" s="190" t="n">
        <v>6.60392082445999</v>
      </c>
      <c r="DF24" s="190" t="n">
        <v>6.67365651247999</v>
      </c>
      <c r="DG24" s="190" t="n">
        <v>6.74339220049999</v>
      </c>
      <c r="DH24" s="190" t="n">
        <v>6.81312788851999</v>
      </c>
      <c r="DI24" s="190" t="n">
        <v>6.88286357653999</v>
      </c>
      <c r="DJ24" s="190" t="n">
        <v>6.95259926455999</v>
      </c>
      <c r="DK24" s="190" t="n">
        <v>7.02233495257999</v>
      </c>
      <c r="DL24" s="190" t="n">
        <v>7.09207064059999</v>
      </c>
      <c r="DM24" s="190" t="n">
        <v>7.16180632861999</v>
      </c>
      <c r="DN24" s="190" t="n">
        <v>7.23154201663999</v>
      </c>
      <c r="DO24" s="190" t="n">
        <v>7.30127770465999</v>
      </c>
      <c r="DP24" s="190" t="n">
        <v>7.37101339267999</v>
      </c>
      <c r="DQ24" s="190" t="n">
        <v>7.44074908069999</v>
      </c>
      <c r="DR24" s="190" t="n">
        <v>7.51048476871999</v>
      </c>
      <c r="DS24" s="190" t="n">
        <v>7.58022045673999</v>
      </c>
      <c r="DT24" s="190" t="n">
        <v>7.64995614475999</v>
      </c>
      <c r="DU24" s="190" t="n">
        <v>7.71969183277999</v>
      </c>
      <c r="DV24" s="190" t="n">
        <v>7.78942752079998</v>
      </c>
      <c r="DW24" s="190" t="n">
        <v>7.85916320881998</v>
      </c>
      <c r="DX24" s="190" t="n">
        <v>7.92889889683998</v>
      </c>
      <c r="DY24" s="190" t="n">
        <v>7.99863458485998</v>
      </c>
      <c r="DZ24" s="190" t="n">
        <v>8.06837027287998</v>
      </c>
      <c r="EA24" s="190" t="n">
        <v>8.13810596089998</v>
      </c>
      <c r="EB24" s="190" t="n">
        <v>8.20784164891998</v>
      </c>
      <c r="EC24" s="190" t="n">
        <v>8.27757733693998</v>
      </c>
      <c r="ED24" s="190" t="n">
        <v>8.34731302495998</v>
      </c>
      <c r="EE24" s="190" t="n">
        <v>8.41704871297998</v>
      </c>
      <c r="EF24" s="190" t="n">
        <v>8.48678440099998</v>
      </c>
      <c r="EG24" s="190" t="n">
        <v>8.55652008901998</v>
      </c>
      <c r="EH24" s="190" t="n">
        <v>8.62625577703998</v>
      </c>
      <c r="EI24" s="190" t="n">
        <v>8.69599146505998</v>
      </c>
      <c r="EJ24" s="190" t="n">
        <v>8.76572715307998</v>
      </c>
      <c r="EK24" s="190" t="n">
        <v>8.83546284109998</v>
      </c>
      <c r="EL24" s="180" t="n">
        <v>8.90519852911998</v>
      </c>
      <c r="EM24" s="180" t="n">
        <v>8.97493421713998</v>
      </c>
      <c r="EN24" s="180" t="n">
        <v>9.04466990515998</v>
      </c>
      <c r="EO24" s="180" t="n">
        <v>9.11440559317998</v>
      </c>
      <c r="EP24" s="180" t="n">
        <v>9.18414128119998</v>
      </c>
      <c r="EQ24" s="180" t="n">
        <v>9.25387696921998</v>
      </c>
      <c r="ER24" s="180" t="n">
        <v>9.32361265723998</v>
      </c>
      <c r="ES24" s="180" t="n">
        <v>9.39334834525998</v>
      </c>
      <c r="ET24" s="180" t="n">
        <v>9.46308403327998</v>
      </c>
      <c r="EU24" s="180" t="n">
        <v>9.53281972129998</v>
      </c>
      <c r="EV24" s="180" t="n">
        <v>9.60255540931998</v>
      </c>
      <c r="EW24" s="180" t="n">
        <v>9.67229109733998</v>
      </c>
      <c r="EX24" s="180" t="n">
        <v>9.74202678535998</v>
      </c>
      <c r="EY24" s="180" t="n">
        <v>9.81176247337998</v>
      </c>
      <c r="EZ24" s="180" t="n">
        <v>9.88149816139998</v>
      </c>
      <c r="FA24" s="180" t="n">
        <v>9.95123384941998</v>
      </c>
      <c r="FB24" s="180" t="n">
        <v>10.02096953744</v>
      </c>
      <c r="FC24" s="180" t="n">
        <v>10.09070522546</v>
      </c>
      <c r="FD24" s="180" t="n">
        <v>10.16044091348</v>
      </c>
      <c r="FE24" s="180" t="n">
        <v>10.2301766015</v>
      </c>
      <c r="FF24" s="180" t="n">
        <v>10.29991228952</v>
      </c>
      <c r="FG24" s="180" t="n">
        <v>10.36964797754</v>
      </c>
      <c r="FH24" s="180" t="n">
        <v>10.43938366556</v>
      </c>
      <c r="FI24" s="180" t="n">
        <v>10.50911935358</v>
      </c>
      <c r="FJ24" s="180" t="n">
        <v>10.5788550416</v>
      </c>
      <c r="FK24" s="180" t="n">
        <v>10.64859072962</v>
      </c>
      <c r="FL24" s="180" t="n">
        <v>10.71832641764</v>
      </c>
      <c r="FM24" s="180" t="n">
        <v>10.78806210566</v>
      </c>
      <c r="FN24" s="180" t="n">
        <v>10.85779779368</v>
      </c>
      <c r="FO24" s="180" t="n">
        <v>10.9275334817</v>
      </c>
      <c r="FP24" s="180" t="n">
        <v>10.99726916972</v>
      </c>
      <c r="FQ24" s="180" t="n">
        <v>11.06700485774</v>
      </c>
      <c r="FR24" s="180" t="n">
        <v>11.13674054576</v>
      </c>
      <c r="FS24" s="180" t="n">
        <v>11.20647623378</v>
      </c>
      <c r="FT24" s="180" t="n">
        <v>11.2762119218</v>
      </c>
      <c r="FU24" s="180" t="n">
        <v>11.34594760982</v>
      </c>
      <c r="FV24" s="180" t="n">
        <v>11.41568329784</v>
      </c>
      <c r="FW24" s="180" t="n">
        <v>11.48541898586</v>
      </c>
      <c r="FX24" s="180" t="n">
        <v>11.55515467388</v>
      </c>
      <c r="FY24" s="180" t="n">
        <v>11.6248903619</v>
      </c>
      <c r="FZ24" s="180" t="n">
        <v>11.69462604992</v>
      </c>
      <c r="GA24" s="180" t="n">
        <v>11.76436173794</v>
      </c>
      <c r="GB24" s="180" t="n">
        <v>11.83409742596</v>
      </c>
      <c r="GC24" s="180" t="n">
        <v>11.90383311398</v>
      </c>
      <c r="GD24" s="180" t="n">
        <v>11.973568802</v>
      </c>
      <c r="GE24" s="180" t="n">
        <v>12.04330449002</v>
      </c>
      <c r="GF24" s="180" t="n">
        <v>12.11304017804</v>
      </c>
      <c r="GG24" s="180" t="n">
        <v>12.18277586606</v>
      </c>
      <c r="GH24" s="180" t="n">
        <v>12.25251155408</v>
      </c>
      <c r="GI24" s="180" t="n">
        <v>12.3222472421</v>
      </c>
      <c r="GJ24" s="180" t="n">
        <v>12.39198293012</v>
      </c>
      <c r="GK24" s="180" t="n">
        <v>12.46171861814</v>
      </c>
      <c r="GL24" s="180" t="n">
        <v>12.53145430616</v>
      </c>
      <c r="GM24" s="180" t="n">
        <v>12.60118999418</v>
      </c>
      <c r="GN24" s="180" t="n">
        <v>12.6709256822</v>
      </c>
      <c r="GO24" s="180" t="n">
        <v>12.74066137022</v>
      </c>
      <c r="GP24" s="180" t="n">
        <v>12.81039705824</v>
      </c>
      <c r="GQ24" s="180" t="n">
        <v>12.88013274626</v>
      </c>
      <c r="GR24" s="180" t="n">
        <v>12.94986843428</v>
      </c>
      <c r="GS24" s="180" t="n">
        <v>13.0196041223</v>
      </c>
      <c r="GT24" s="180" t="n">
        <v>13.08933981032</v>
      </c>
      <c r="GU24" s="180" t="n">
        <v>13.15907549834</v>
      </c>
      <c r="GV24" s="180" t="n">
        <v>13.22881118636</v>
      </c>
      <c r="GW24" s="180" t="n">
        <v>13.29854687438</v>
      </c>
      <c r="GX24" s="180" t="n">
        <v>13.3682825624</v>
      </c>
      <c r="GY24" s="180" t="n">
        <v>13.43801825042</v>
      </c>
      <c r="GZ24" s="180" t="n">
        <v>13.50775393844</v>
      </c>
      <c r="HA24" s="180" t="n">
        <v>13.57748962646</v>
      </c>
      <c r="HB24" s="180" t="n">
        <v>13.64722531448</v>
      </c>
      <c r="HC24" s="180" t="n">
        <v>13.7169610025</v>
      </c>
      <c r="HD24" s="180" t="n">
        <v>13.78669669052</v>
      </c>
      <c r="HE24" s="180" t="n">
        <v>13.85643237854</v>
      </c>
      <c r="HF24" s="180" t="n">
        <v>13.92616806656</v>
      </c>
      <c r="HG24" s="180" t="n">
        <v>13.99590375458</v>
      </c>
      <c r="HH24" s="180" t="n">
        <v>14.0656394426</v>
      </c>
      <c r="HI24" s="180" t="n">
        <v>14.13537513062</v>
      </c>
      <c r="HJ24" s="180" t="n">
        <v>14.20511081864</v>
      </c>
      <c r="HK24" s="180" t="n">
        <v>14.27484650666</v>
      </c>
      <c r="HL24" s="180" t="n">
        <v>14.34458219468</v>
      </c>
      <c r="HM24" s="180" t="n">
        <v>14.4143178827</v>
      </c>
      <c r="HN24" s="180" t="n">
        <v>14.48405357072</v>
      </c>
      <c r="HO24" s="180" t="n">
        <v>14.55378925874</v>
      </c>
      <c r="HP24" s="180" t="n">
        <v>14.62352494676</v>
      </c>
      <c r="HQ24" s="180" t="n">
        <v>14.69326063478</v>
      </c>
      <c r="HR24" s="180" t="n">
        <v>14.7629963228</v>
      </c>
      <c r="HS24" s="180" t="n">
        <v>14.83273201082</v>
      </c>
      <c r="HT24" s="180" t="n">
        <v>14.90246769884</v>
      </c>
      <c r="HU24" s="180" t="n">
        <v>14.97220338686</v>
      </c>
      <c r="HV24" s="180" t="n">
        <v>15.04193907488</v>
      </c>
      <c r="HW24" s="180" t="n">
        <v>15.1116747629</v>
      </c>
      <c r="HX24" s="180" t="n">
        <v>15.18141045092</v>
      </c>
      <c r="HY24" s="180" t="n">
        <v>15.25114613894</v>
      </c>
      <c r="HZ24" s="180" t="n">
        <v>15.32088182696</v>
      </c>
      <c r="IA24" s="180" t="n">
        <v>15.39061751498</v>
      </c>
      <c r="IB24" s="180" t="n">
        <v>15.460353203</v>
      </c>
      <c r="IC24" s="180" t="n">
        <v>15.53008889102</v>
      </c>
      <c r="ID24" s="180" t="n">
        <v>15.59982457904</v>
      </c>
      <c r="IE24" s="180" t="n">
        <v>15.66956026706</v>
      </c>
      <c r="IF24" s="180" t="n">
        <v>15.73929595508</v>
      </c>
      <c r="IG24" s="180" t="n">
        <v>15.8090316431</v>
      </c>
      <c r="IH24" s="180" t="n">
        <v>15.87876733112</v>
      </c>
      <c r="II24" s="180" t="n">
        <v>15.94850301914</v>
      </c>
      <c r="IJ24" s="180" t="n">
        <v>16.01823870716</v>
      </c>
      <c r="IK24" s="180" t="n">
        <v>16.08797439518</v>
      </c>
      <c r="IL24" s="180" t="n">
        <v>16.1577100832</v>
      </c>
      <c r="IM24" s="180" t="n">
        <v>16.22744577122</v>
      </c>
      <c r="IN24" s="180" t="n">
        <v>16.29718145924</v>
      </c>
      <c r="IO24" s="180" t="n">
        <v>16.36691714726</v>
      </c>
      <c r="IP24" s="180" t="n">
        <v>16.43665283528</v>
      </c>
      <c r="IQ24" s="180" t="n">
        <v>16.5063885233</v>
      </c>
      <c r="IR24" s="180" t="n">
        <v>16.57612421132</v>
      </c>
      <c r="IS24" s="180" t="n">
        <v>16.64585989934</v>
      </c>
      <c r="IT24" s="180" t="n">
        <v>16.71559558736</v>
      </c>
      <c r="IU24" s="180" t="n">
        <v>16.78533127538</v>
      </c>
      <c r="IV24" s="180" t="n">
        <v>16.8550669634</v>
      </c>
    </row>
    <row r="25" customFormat="false" ht="12.75" hidden="false" customHeight="false" outlineLevel="0" collapsed="false">
      <c r="A25" s="189" t="n">
        <v>37438</v>
      </c>
      <c r="B25" s="185" t="n">
        <v>-2.021005929375</v>
      </c>
      <c r="C25" s="185" t="n">
        <v>-1.9907047400625</v>
      </c>
      <c r="D25" s="185" t="n">
        <v>-1.96040355075</v>
      </c>
      <c r="E25" s="185" t="n">
        <v>-1.9301023614375</v>
      </c>
      <c r="F25" s="185" t="n">
        <v>-1.899801172125</v>
      </c>
      <c r="G25" s="185" t="n">
        <v>-1.8694999828125</v>
      </c>
      <c r="H25" s="185" t="n">
        <v>-1.8391987935</v>
      </c>
      <c r="I25" s="185" t="n">
        <v>-1.8088976041875</v>
      </c>
      <c r="J25" s="185" t="n">
        <v>-1.778596414875</v>
      </c>
      <c r="K25" s="185" t="n">
        <v>-1.7482952255625</v>
      </c>
      <c r="L25" s="185" t="n">
        <v>-1.71799403625</v>
      </c>
      <c r="M25" s="185" t="n">
        <v>-1.6876928469375</v>
      </c>
      <c r="N25" s="185" t="n">
        <v>-1.657391657625</v>
      </c>
      <c r="O25" s="185" t="n">
        <v>-1.6270904683125</v>
      </c>
      <c r="P25" s="185" t="n">
        <v>-1.596789279</v>
      </c>
      <c r="Q25" s="185" t="n">
        <v>-1.5664880896875</v>
      </c>
      <c r="R25" s="185" t="n">
        <v>-1.536186900375</v>
      </c>
      <c r="S25" s="185" t="n">
        <v>-1.5058857110625</v>
      </c>
      <c r="T25" s="185" t="n">
        <v>-1.47558452175</v>
      </c>
      <c r="U25" s="185" t="n">
        <v>-1.4452833324375</v>
      </c>
      <c r="V25" s="186" t="n">
        <v>-1.414982143125</v>
      </c>
      <c r="W25" s="185" t="n">
        <v>-1.3846809538125</v>
      </c>
      <c r="X25" s="186" t="n">
        <v>-1.3543797645</v>
      </c>
      <c r="Y25" s="185" t="n">
        <v>-1.3240785751875</v>
      </c>
      <c r="Z25" s="186" t="n">
        <v>-1.293777385875</v>
      </c>
      <c r="AA25" s="185" t="n">
        <v>-1.2634761965625</v>
      </c>
      <c r="AB25" s="187" t="n">
        <v>-1.23317500725</v>
      </c>
      <c r="AC25" s="185" t="n">
        <v>-1.2028738179375</v>
      </c>
      <c r="AD25" s="187" t="n">
        <v>-1.172572628625</v>
      </c>
      <c r="AE25" s="185" t="n">
        <v>-1.1422714393125</v>
      </c>
      <c r="AF25" s="185" t="n">
        <v>-1.11197025</v>
      </c>
      <c r="AG25" s="190" t="n">
        <v>-1.083235125</v>
      </c>
      <c r="AH25" s="190" t="n">
        <v>-1.0545</v>
      </c>
      <c r="AI25" s="190" t="n">
        <v>-1.02725</v>
      </c>
      <c r="AJ25" s="190" t="n">
        <v>-1</v>
      </c>
      <c r="AK25" s="190" t="n">
        <v>-0.8</v>
      </c>
      <c r="AL25" s="190" t="n">
        <v>-0.6</v>
      </c>
      <c r="AM25" s="190" t="n">
        <v>-0.4</v>
      </c>
      <c r="AN25" s="190" t="n">
        <v>-0.2</v>
      </c>
      <c r="AO25" s="190" t="n">
        <v>0</v>
      </c>
      <c r="AP25" s="190" t="n">
        <v>0.2</v>
      </c>
      <c r="AQ25" s="190" t="n">
        <v>0.4</v>
      </c>
      <c r="AR25" s="190" t="n">
        <v>0.6</v>
      </c>
      <c r="AS25" s="190" t="n">
        <v>0.8</v>
      </c>
      <c r="AT25" s="190" t="n">
        <v>1</v>
      </c>
      <c r="AU25" s="190" t="n">
        <v>1.2</v>
      </c>
      <c r="AV25" s="190" t="n">
        <v>1.4</v>
      </c>
      <c r="AW25" s="190" t="n">
        <v>1.58</v>
      </c>
      <c r="AX25" s="190" t="n">
        <v>1.76</v>
      </c>
      <c r="AY25" s="190" t="n">
        <v>1.922</v>
      </c>
      <c r="AZ25" s="190" t="n">
        <v>2.084</v>
      </c>
      <c r="BA25" s="190" t="n">
        <v>2.2298</v>
      </c>
      <c r="BB25" s="190" t="n">
        <v>2.3756</v>
      </c>
      <c r="BC25" s="190" t="n">
        <v>2.50682</v>
      </c>
      <c r="BD25" s="190" t="n">
        <v>2.63804</v>
      </c>
      <c r="BE25" s="190" t="n">
        <v>2.756138</v>
      </c>
      <c r="BF25" s="190" t="n">
        <v>2.874236</v>
      </c>
      <c r="BG25" s="190" t="n">
        <v>2.9805242</v>
      </c>
      <c r="BH25" s="190" t="n">
        <v>3.0868124</v>
      </c>
      <c r="BI25" s="190" t="n">
        <v>3.18247178</v>
      </c>
      <c r="BJ25" s="190" t="n">
        <v>3.27813116</v>
      </c>
      <c r="BK25" s="190" t="n">
        <v>3.364224602</v>
      </c>
      <c r="BL25" s="190" t="n">
        <v>3.450318044</v>
      </c>
      <c r="BM25" s="190" t="n">
        <v>3.5278021418</v>
      </c>
      <c r="BN25" s="190" t="n">
        <v>3.6052862396</v>
      </c>
      <c r="BO25" s="190" t="n">
        <v>3.67502192762</v>
      </c>
      <c r="BP25" s="190" t="n">
        <v>3.74475761564</v>
      </c>
      <c r="BQ25" s="190" t="n">
        <v>3.81449330366</v>
      </c>
      <c r="BR25" s="190" t="n">
        <v>3.88422899168</v>
      </c>
      <c r="BS25" s="190" t="n">
        <v>3.9539646797</v>
      </c>
      <c r="BT25" s="190" t="n">
        <v>4.02370036772</v>
      </c>
      <c r="BU25" s="190" t="n">
        <v>4.09343605574</v>
      </c>
      <c r="BV25" s="190" t="n">
        <v>4.16317174376</v>
      </c>
      <c r="BW25" s="190" t="n">
        <v>4.23290743178</v>
      </c>
      <c r="BX25" s="190" t="n">
        <v>4.3026431198</v>
      </c>
      <c r="BY25" s="190" t="n">
        <v>4.37237880782</v>
      </c>
      <c r="BZ25" s="190" t="n">
        <v>4.44211449584</v>
      </c>
      <c r="CA25" s="190" t="n">
        <v>4.51185018386</v>
      </c>
      <c r="CB25" s="190" t="n">
        <v>4.58158587188</v>
      </c>
      <c r="CC25" s="190" t="n">
        <v>4.6513215599</v>
      </c>
      <c r="CD25" s="190" t="n">
        <v>4.72105724792</v>
      </c>
      <c r="CE25" s="190" t="n">
        <v>4.79079293594</v>
      </c>
      <c r="CF25" s="190" t="n">
        <v>4.86052862396</v>
      </c>
      <c r="CG25" s="190" t="n">
        <v>4.93026431198</v>
      </c>
      <c r="CH25" s="190" t="n">
        <v>5</v>
      </c>
      <c r="CI25" s="190" t="n">
        <v>5.06973568801999</v>
      </c>
      <c r="CJ25" s="190" t="n">
        <v>5.13947137603999</v>
      </c>
      <c r="CK25" s="190" t="n">
        <v>5.20920706405999</v>
      </c>
      <c r="CL25" s="190" t="n">
        <v>5.27894275207999</v>
      </c>
      <c r="CM25" s="190" t="n">
        <v>5.34867844009999</v>
      </c>
      <c r="CN25" s="190" t="n">
        <v>5.41841412811999</v>
      </c>
      <c r="CO25" s="190" t="n">
        <v>5.48814981613999</v>
      </c>
      <c r="CP25" s="190" t="n">
        <v>5.55788550415999</v>
      </c>
      <c r="CQ25" s="190" t="n">
        <v>5.62762119217999</v>
      </c>
      <c r="CR25" s="190" t="n">
        <v>5.69735688019999</v>
      </c>
      <c r="CS25" s="190" t="n">
        <v>5.76709256821999</v>
      </c>
      <c r="CT25" s="190" t="n">
        <v>5.83682825623999</v>
      </c>
      <c r="CU25" s="190" t="n">
        <v>5.90656394425999</v>
      </c>
      <c r="CV25" s="190" t="n">
        <v>5.97629963227999</v>
      </c>
      <c r="CW25" s="190" t="n">
        <v>6.04603532029999</v>
      </c>
      <c r="CX25" s="190" t="n">
        <v>6.11577100831999</v>
      </c>
      <c r="CY25" s="190" t="n">
        <v>6.18550669633999</v>
      </c>
      <c r="CZ25" s="190" t="n">
        <v>6.25524238435999</v>
      </c>
      <c r="DA25" s="190" t="n">
        <v>6.32497807237999</v>
      </c>
      <c r="DB25" s="190" t="n">
        <v>6.39471376039999</v>
      </c>
      <c r="DC25" s="190" t="n">
        <v>6.46444944841999</v>
      </c>
      <c r="DD25" s="190" t="n">
        <v>6.53418513643999</v>
      </c>
      <c r="DE25" s="190" t="n">
        <v>6.60392082445999</v>
      </c>
      <c r="DF25" s="190" t="n">
        <v>6.67365651247999</v>
      </c>
      <c r="DG25" s="190" t="n">
        <v>6.74339220049999</v>
      </c>
      <c r="DH25" s="190" t="n">
        <v>6.81312788851999</v>
      </c>
      <c r="DI25" s="190" t="n">
        <v>6.88286357653999</v>
      </c>
      <c r="DJ25" s="190" t="n">
        <v>6.95259926455999</v>
      </c>
      <c r="DK25" s="190" t="n">
        <v>7.02233495257999</v>
      </c>
      <c r="DL25" s="190" t="n">
        <v>7.09207064059999</v>
      </c>
      <c r="DM25" s="190" t="n">
        <v>7.16180632861999</v>
      </c>
      <c r="DN25" s="190" t="n">
        <v>7.23154201663999</v>
      </c>
      <c r="DO25" s="190" t="n">
        <v>7.30127770465999</v>
      </c>
      <c r="DP25" s="190" t="n">
        <v>7.37101339267999</v>
      </c>
      <c r="DQ25" s="190" t="n">
        <v>7.44074908069999</v>
      </c>
      <c r="DR25" s="190" t="n">
        <v>7.51048476871999</v>
      </c>
      <c r="DS25" s="190" t="n">
        <v>7.58022045673999</v>
      </c>
      <c r="DT25" s="190" t="n">
        <v>7.64995614475999</v>
      </c>
      <c r="DU25" s="190" t="n">
        <v>7.71969183277999</v>
      </c>
      <c r="DV25" s="190" t="n">
        <v>7.78942752079998</v>
      </c>
      <c r="DW25" s="190" t="n">
        <v>7.85916320881998</v>
      </c>
      <c r="DX25" s="190" t="n">
        <v>7.92889889683998</v>
      </c>
      <c r="DY25" s="190" t="n">
        <v>7.99863458485998</v>
      </c>
      <c r="DZ25" s="190" t="n">
        <v>8.06837027287998</v>
      </c>
      <c r="EA25" s="190" t="n">
        <v>8.13810596089998</v>
      </c>
      <c r="EB25" s="190" t="n">
        <v>8.20784164891998</v>
      </c>
      <c r="EC25" s="190" t="n">
        <v>8.27757733693998</v>
      </c>
      <c r="ED25" s="190" t="n">
        <v>8.34731302495998</v>
      </c>
      <c r="EE25" s="190" t="n">
        <v>8.41704871297998</v>
      </c>
      <c r="EF25" s="190" t="n">
        <v>8.48678440099998</v>
      </c>
      <c r="EG25" s="190" t="n">
        <v>8.55652008901998</v>
      </c>
      <c r="EH25" s="190" t="n">
        <v>8.62625577703998</v>
      </c>
      <c r="EI25" s="190" t="n">
        <v>8.69599146505998</v>
      </c>
      <c r="EJ25" s="190" t="n">
        <v>8.76572715307998</v>
      </c>
      <c r="EK25" s="190" t="n">
        <v>8.83546284109998</v>
      </c>
      <c r="EL25" s="180" t="n">
        <v>8.90519852911998</v>
      </c>
      <c r="EM25" s="180" t="n">
        <v>8.97493421713998</v>
      </c>
      <c r="EN25" s="180" t="n">
        <v>9.04466990515998</v>
      </c>
      <c r="EO25" s="180" t="n">
        <v>9.11440559317998</v>
      </c>
      <c r="EP25" s="180" t="n">
        <v>9.18414128119998</v>
      </c>
      <c r="EQ25" s="180" t="n">
        <v>9.25387696921998</v>
      </c>
      <c r="ER25" s="180" t="n">
        <v>9.32361265723998</v>
      </c>
      <c r="ES25" s="180" t="n">
        <v>9.39334834525998</v>
      </c>
      <c r="ET25" s="180" t="n">
        <v>9.46308403327998</v>
      </c>
      <c r="EU25" s="180" t="n">
        <v>9.53281972129998</v>
      </c>
      <c r="EV25" s="180" t="n">
        <v>9.60255540931998</v>
      </c>
      <c r="EW25" s="180" t="n">
        <v>9.67229109733998</v>
      </c>
      <c r="EX25" s="180" t="n">
        <v>9.74202678535998</v>
      </c>
      <c r="EY25" s="180" t="n">
        <v>9.81176247337998</v>
      </c>
      <c r="EZ25" s="180" t="n">
        <v>9.88149816139998</v>
      </c>
      <c r="FA25" s="180" t="n">
        <v>9.95123384941998</v>
      </c>
      <c r="FB25" s="180" t="n">
        <v>10.02096953744</v>
      </c>
      <c r="FC25" s="180" t="n">
        <v>10.09070522546</v>
      </c>
      <c r="FD25" s="180" t="n">
        <v>10.16044091348</v>
      </c>
      <c r="FE25" s="180" t="n">
        <v>10.2301766015</v>
      </c>
      <c r="FF25" s="180" t="n">
        <v>10.29991228952</v>
      </c>
      <c r="FG25" s="180" t="n">
        <v>10.36964797754</v>
      </c>
      <c r="FH25" s="180" t="n">
        <v>10.43938366556</v>
      </c>
      <c r="FI25" s="180" t="n">
        <v>10.50911935358</v>
      </c>
      <c r="FJ25" s="180" t="n">
        <v>10.5788550416</v>
      </c>
      <c r="FK25" s="180" t="n">
        <v>10.64859072962</v>
      </c>
      <c r="FL25" s="180" t="n">
        <v>10.71832641764</v>
      </c>
      <c r="FM25" s="180" t="n">
        <v>10.78806210566</v>
      </c>
      <c r="FN25" s="180" t="n">
        <v>10.85779779368</v>
      </c>
      <c r="FO25" s="180" t="n">
        <v>10.9275334817</v>
      </c>
      <c r="FP25" s="180" t="n">
        <v>10.99726916972</v>
      </c>
      <c r="FQ25" s="180" t="n">
        <v>11.06700485774</v>
      </c>
      <c r="FR25" s="180" t="n">
        <v>11.13674054576</v>
      </c>
      <c r="FS25" s="180" t="n">
        <v>11.20647623378</v>
      </c>
      <c r="FT25" s="180" t="n">
        <v>11.2762119218</v>
      </c>
      <c r="FU25" s="180" t="n">
        <v>11.34594760982</v>
      </c>
      <c r="FV25" s="180" t="n">
        <v>11.41568329784</v>
      </c>
      <c r="FW25" s="180" t="n">
        <v>11.48541898586</v>
      </c>
      <c r="FX25" s="180" t="n">
        <v>11.55515467388</v>
      </c>
      <c r="FY25" s="180" t="n">
        <v>11.6248903619</v>
      </c>
      <c r="FZ25" s="180" t="n">
        <v>11.69462604992</v>
      </c>
      <c r="GA25" s="180" t="n">
        <v>11.76436173794</v>
      </c>
      <c r="GB25" s="180" t="n">
        <v>11.83409742596</v>
      </c>
      <c r="GC25" s="180" t="n">
        <v>11.90383311398</v>
      </c>
      <c r="GD25" s="180" t="n">
        <v>11.973568802</v>
      </c>
      <c r="GE25" s="180" t="n">
        <v>12.04330449002</v>
      </c>
      <c r="GF25" s="180" t="n">
        <v>12.11304017804</v>
      </c>
      <c r="GG25" s="180" t="n">
        <v>12.18277586606</v>
      </c>
      <c r="GH25" s="180" t="n">
        <v>12.25251155408</v>
      </c>
      <c r="GI25" s="180" t="n">
        <v>12.3222472421</v>
      </c>
      <c r="GJ25" s="180" t="n">
        <v>12.39198293012</v>
      </c>
      <c r="GK25" s="180" t="n">
        <v>12.46171861814</v>
      </c>
      <c r="GL25" s="180" t="n">
        <v>12.53145430616</v>
      </c>
      <c r="GM25" s="180" t="n">
        <v>12.60118999418</v>
      </c>
      <c r="GN25" s="180" t="n">
        <v>12.6709256822</v>
      </c>
      <c r="GO25" s="180" t="n">
        <v>12.74066137022</v>
      </c>
      <c r="GP25" s="180" t="n">
        <v>12.81039705824</v>
      </c>
      <c r="GQ25" s="180" t="n">
        <v>12.88013274626</v>
      </c>
      <c r="GR25" s="180" t="n">
        <v>12.94986843428</v>
      </c>
      <c r="GS25" s="180" t="n">
        <v>13.0196041223</v>
      </c>
      <c r="GT25" s="180" t="n">
        <v>13.08933981032</v>
      </c>
      <c r="GU25" s="180" t="n">
        <v>13.15907549834</v>
      </c>
      <c r="GV25" s="180" t="n">
        <v>13.22881118636</v>
      </c>
      <c r="GW25" s="180" t="n">
        <v>13.29854687438</v>
      </c>
      <c r="GX25" s="180" t="n">
        <v>13.3682825624</v>
      </c>
      <c r="GY25" s="180" t="n">
        <v>13.43801825042</v>
      </c>
      <c r="GZ25" s="180" t="n">
        <v>13.50775393844</v>
      </c>
      <c r="HA25" s="180" t="n">
        <v>13.57748962646</v>
      </c>
      <c r="HB25" s="180" t="n">
        <v>13.64722531448</v>
      </c>
      <c r="HC25" s="180" t="n">
        <v>13.7169610025</v>
      </c>
      <c r="HD25" s="180" t="n">
        <v>13.78669669052</v>
      </c>
      <c r="HE25" s="180" t="n">
        <v>13.85643237854</v>
      </c>
      <c r="HF25" s="180" t="n">
        <v>13.92616806656</v>
      </c>
      <c r="HG25" s="180" t="n">
        <v>13.99590375458</v>
      </c>
      <c r="HH25" s="180" t="n">
        <v>14.0656394426</v>
      </c>
      <c r="HI25" s="180" t="n">
        <v>14.13537513062</v>
      </c>
      <c r="HJ25" s="180" t="n">
        <v>14.20511081864</v>
      </c>
      <c r="HK25" s="180" t="n">
        <v>14.27484650666</v>
      </c>
      <c r="HL25" s="180" t="n">
        <v>14.34458219468</v>
      </c>
      <c r="HM25" s="180" t="n">
        <v>14.4143178827</v>
      </c>
      <c r="HN25" s="180" t="n">
        <v>14.48405357072</v>
      </c>
      <c r="HO25" s="180" t="n">
        <v>14.55378925874</v>
      </c>
      <c r="HP25" s="180" t="n">
        <v>14.62352494676</v>
      </c>
      <c r="HQ25" s="180" t="n">
        <v>14.69326063478</v>
      </c>
      <c r="HR25" s="180" t="n">
        <v>14.7629963228</v>
      </c>
      <c r="HS25" s="180" t="n">
        <v>14.83273201082</v>
      </c>
      <c r="HT25" s="180" t="n">
        <v>14.90246769884</v>
      </c>
      <c r="HU25" s="180" t="n">
        <v>14.97220338686</v>
      </c>
      <c r="HV25" s="180" t="n">
        <v>15.04193907488</v>
      </c>
      <c r="HW25" s="180" t="n">
        <v>15.1116747629</v>
      </c>
      <c r="HX25" s="180" t="n">
        <v>15.18141045092</v>
      </c>
      <c r="HY25" s="180" t="n">
        <v>15.25114613894</v>
      </c>
      <c r="HZ25" s="180" t="n">
        <v>15.32088182696</v>
      </c>
      <c r="IA25" s="180" t="n">
        <v>15.39061751498</v>
      </c>
      <c r="IB25" s="180" t="n">
        <v>15.460353203</v>
      </c>
      <c r="IC25" s="180" t="n">
        <v>15.53008889102</v>
      </c>
      <c r="ID25" s="180" t="n">
        <v>15.59982457904</v>
      </c>
      <c r="IE25" s="180" t="n">
        <v>15.66956026706</v>
      </c>
      <c r="IF25" s="180" t="n">
        <v>15.73929595508</v>
      </c>
      <c r="IG25" s="180" t="n">
        <v>15.8090316431</v>
      </c>
      <c r="IH25" s="180" t="n">
        <v>15.87876733112</v>
      </c>
      <c r="II25" s="180" t="n">
        <v>15.94850301914</v>
      </c>
      <c r="IJ25" s="180" t="n">
        <v>16.01823870716</v>
      </c>
      <c r="IK25" s="180" t="n">
        <v>16.08797439518</v>
      </c>
      <c r="IL25" s="180" t="n">
        <v>16.1577100832</v>
      </c>
      <c r="IM25" s="180" t="n">
        <v>16.22744577122</v>
      </c>
      <c r="IN25" s="180" t="n">
        <v>16.29718145924</v>
      </c>
      <c r="IO25" s="180" t="n">
        <v>16.36691714726</v>
      </c>
      <c r="IP25" s="180" t="n">
        <v>16.43665283528</v>
      </c>
      <c r="IQ25" s="180" t="n">
        <v>16.5063885233</v>
      </c>
      <c r="IR25" s="180" t="n">
        <v>16.57612421132</v>
      </c>
      <c r="IS25" s="180" t="n">
        <v>16.64585989934</v>
      </c>
      <c r="IT25" s="180" t="n">
        <v>16.71559558736</v>
      </c>
      <c r="IU25" s="180" t="n">
        <v>16.78533127538</v>
      </c>
      <c r="IV25" s="180" t="n">
        <v>16.8550669634</v>
      </c>
    </row>
    <row r="26" customFormat="false" ht="12.75" hidden="false" customHeight="false" outlineLevel="0" collapsed="false">
      <c r="A26" s="189" t="n">
        <v>37469</v>
      </c>
      <c r="B26" s="185" t="n">
        <v>-2.021005929375</v>
      </c>
      <c r="C26" s="185" t="n">
        <v>-1.9907047400625</v>
      </c>
      <c r="D26" s="185" t="n">
        <v>-1.96040355075</v>
      </c>
      <c r="E26" s="185" t="n">
        <v>-1.9301023614375</v>
      </c>
      <c r="F26" s="185" t="n">
        <v>-1.899801172125</v>
      </c>
      <c r="G26" s="185" t="n">
        <v>-1.8694999828125</v>
      </c>
      <c r="H26" s="185" t="n">
        <v>-1.8391987935</v>
      </c>
      <c r="I26" s="185" t="n">
        <v>-1.8088976041875</v>
      </c>
      <c r="J26" s="185" t="n">
        <v>-1.778596414875</v>
      </c>
      <c r="K26" s="185" t="n">
        <v>-1.7482952255625</v>
      </c>
      <c r="L26" s="185" t="n">
        <v>-1.71799403625</v>
      </c>
      <c r="M26" s="185" t="n">
        <v>-1.6876928469375</v>
      </c>
      <c r="N26" s="185" t="n">
        <v>-1.657391657625</v>
      </c>
      <c r="O26" s="185" t="n">
        <v>-1.6270904683125</v>
      </c>
      <c r="P26" s="185" t="n">
        <v>-1.596789279</v>
      </c>
      <c r="Q26" s="185" t="n">
        <v>-1.5664880896875</v>
      </c>
      <c r="R26" s="185" t="n">
        <v>-1.536186900375</v>
      </c>
      <c r="S26" s="185" t="n">
        <v>-1.5058857110625</v>
      </c>
      <c r="T26" s="185" t="n">
        <v>-1.47558452175</v>
      </c>
      <c r="U26" s="185" t="n">
        <v>-1.4452833324375</v>
      </c>
      <c r="V26" s="186" t="n">
        <v>-1.414982143125</v>
      </c>
      <c r="W26" s="185" t="n">
        <v>-1.3846809538125</v>
      </c>
      <c r="X26" s="186" t="n">
        <v>-1.3543797645</v>
      </c>
      <c r="Y26" s="185" t="n">
        <v>-1.3240785751875</v>
      </c>
      <c r="Z26" s="186" t="n">
        <v>-1.293777385875</v>
      </c>
      <c r="AA26" s="185" t="n">
        <v>-1.2634761965625</v>
      </c>
      <c r="AB26" s="187" t="n">
        <v>-1.23317500725</v>
      </c>
      <c r="AC26" s="185" t="n">
        <v>-1.2028738179375</v>
      </c>
      <c r="AD26" s="187" t="n">
        <v>-1.172572628625</v>
      </c>
      <c r="AE26" s="185" t="n">
        <v>-1.1422714393125</v>
      </c>
      <c r="AF26" s="185" t="n">
        <v>-1.11197025</v>
      </c>
      <c r="AG26" s="190" t="n">
        <v>-1.083235125</v>
      </c>
      <c r="AH26" s="190" t="n">
        <v>-1.0545</v>
      </c>
      <c r="AI26" s="190" t="n">
        <v>-1.02725</v>
      </c>
      <c r="AJ26" s="190" t="n">
        <v>-1</v>
      </c>
      <c r="AK26" s="190" t="n">
        <v>-0.8</v>
      </c>
      <c r="AL26" s="190" t="n">
        <v>-0.6</v>
      </c>
      <c r="AM26" s="190" t="n">
        <v>-0.4</v>
      </c>
      <c r="AN26" s="190" t="n">
        <v>-0.2</v>
      </c>
      <c r="AO26" s="190" t="n">
        <v>0</v>
      </c>
      <c r="AP26" s="190" t="n">
        <v>0.2</v>
      </c>
      <c r="AQ26" s="190" t="n">
        <v>0.4</v>
      </c>
      <c r="AR26" s="190" t="n">
        <v>0.6</v>
      </c>
      <c r="AS26" s="190" t="n">
        <v>0.8</v>
      </c>
      <c r="AT26" s="190" t="n">
        <v>1</v>
      </c>
      <c r="AU26" s="190" t="n">
        <v>1.2</v>
      </c>
      <c r="AV26" s="190" t="n">
        <v>1.4</v>
      </c>
      <c r="AW26" s="190" t="n">
        <v>1.58</v>
      </c>
      <c r="AX26" s="190" t="n">
        <v>1.76</v>
      </c>
      <c r="AY26" s="190" t="n">
        <v>1.922</v>
      </c>
      <c r="AZ26" s="190" t="n">
        <v>2.084</v>
      </c>
      <c r="BA26" s="190" t="n">
        <v>2.2298</v>
      </c>
      <c r="BB26" s="190" t="n">
        <v>2.3756</v>
      </c>
      <c r="BC26" s="190" t="n">
        <v>2.50682</v>
      </c>
      <c r="BD26" s="190" t="n">
        <v>2.63804</v>
      </c>
      <c r="BE26" s="190" t="n">
        <v>2.756138</v>
      </c>
      <c r="BF26" s="190" t="n">
        <v>2.874236</v>
      </c>
      <c r="BG26" s="190" t="n">
        <v>2.9805242</v>
      </c>
      <c r="BH26" s="190" t="n">
        <v>3.0868124</v>
      </c>
      <c r="BI26" s="190" t="n">
        <v>3.18247178</v>
      </c>
      <c r="BJ26" s="190" t="n">
        <v>3.27813116</v>
      </c>
      <c r="BK26" s="190" t="n">
        <v>3.364224602</v>
      </c>
      <c r="BL26" s="190" t="n">
        <v>3.450318044</v>
      </c>
      <c r="BM26" s="190" t="n">
        <v>3.5278021418</v>
      </c>
      <c r="BN26" s="190" t="n">
        <v>3.6052862396</v>
      </c>
      <c r="BO26" s="190" t="n">
        <v>3.67502192762</v>
      </c>
      <c r="BP26" s="190" t="n">
        <v>3.74475761564</v>
      </c>
      <c r="BQ26" s="190" t="n">
        <v>3.81449330366</v>
      </c>
      <c r="BR26" s="190" t="n">
        <v>3.88422899168</v>
      </c>
      <c r="BS26" s="190" t="n">
        <v>3.9539646797</v>
      </c>
      <c r="BT26" s="190" t="n">
        <v>4.02370036772</v>
      </c>
      <c r="BU26" s="190" t="n">
        <v>4.09343605574</v>
      </c>
      <c r="BV26" s="190" t="n">
        <v>4.16317174376</v>
      </c>
      <c r="BW26" s="190" t="n">
        <v>4.23290743178</v>
      </c>
      <c r="BX26" s="190" t="n">
        <v>4.3026431198</v>
      </c>
      <c r="BY26" s="190" t="n">
        <v>4.37237880782</v>
      </c>
      <c r="BZ26" s="190" t="n">
        <v>4.44211449584</v>
      </c>
      <c r="CA26" s="190" t="n">
        <v>4.51185018386</v>
      </c>
      <c r="CB26" s="190" t="n">
        <v>4.58158587188</v>
      </c>
      <c r="CC26" s="190" t="n">
        <v>4.6513215599</v>
      </c>
      <c r="CD26" s="190" t="n">
        <v>4.72105724792</v>
      </c>
      <c r="CE26" s="190" t="n">
        <v>4.79079293594</v>
      </c>
      <c r="CF26" s="190" t="n">
        <v>4.86052862396</v>
      </c>
      <c r="CG26" s="190" t="n">
        <v>4.93026431198</v>
      </c>
      <c r="CH26" s="190" t="n">
        <v>5</v>
      </c>
      <c r="CI26" s="190" t="n">
        <v>5.06973568801999</v>
      </c>
      <c r="CJ26" s="190" t="n">
        <v>5.13947137603999</v>
      </c>
      <c r="CK26" s="190" t="n">
        <v>5.20920706405999</v>
      </c>
      <c r="CL26" s="190" t="n">
        <v>5.27894275207999</v>
      </c>
      <c r="CM26" s="190" t="n">
        <v>5.34867844009999</v>
      </c>
      <c r="CN26" s="190" t="n">
        <v>5.41841412811999</v>
      </c>
      <c r="CO26" s="190" t="n">
        <v>5.48814981613999</v>
      </c>
      <c r="CP26" s="190" t="n">
        <v>5.55788550415999</v>
      </c>
      <c r="CQ26" s="190" t="n">
        <v>5.62762119217999</v>
      </c>
      <c r="CR26" s="190" t="n">
        <v>5.69735688019999</v>
      </c>
      <c r="CS26" s="190" t="n">
        <v>5.76709256821999</v>
      </c>
      <c r="CT26" s="190" t="n">
        <v>5.83682825623999</v>
      </c>
      <c r="CU26" s="190" t="n">
        <v>5.90656394425999</v>
      </c>
      <c r="CV26" s="190" t="n">
        <v>5.97629963227999</v>
      </c>
      <c r="CW26" s="190" t="n">
        <v>6.04603532029999</v>
      </c>
      <c r="CX26" s="190" t="n">
        <v>6.11577100831999</v>
      </c>
      <c r="CY26" s="190" t="n">
        <v>6.18550669633999</v>
      </c>
      <c r="CZ26" s="190" t="n">
        <v>6.25524238435999</v>
      </c>
      <c r="DA26" s="190" t="n">
        <v>6.32497807237999</v>
      </c>
      <c r="DB26" s="190" t="n">
        <v>6.39471376039999</v>
      </c>
      <c r="DC26" s="190" t="n">
        <v>6.46444944841999</v>
      </c>
      <c r="DD26" s="190" t="n">
        <v>6.53418513643999</v>
      </c>
      <c r="DE26" s="190" t="n">
        <v>6.60392082445999</v>
      </c>
      <c r="DF26" s="190" t="n">
        <v>6.67365651247999</v>
      </c>
      <c r="DG26" s="190" t="n">
        <v>6.74339220049999</v>
      </c>
      <c r="DH26" s="190" t="n">
        <v>6.81312788851999</v>
      </c>
      <c r="DI26" s="190" t="n">
        <v>6.88286357653999</v>
      </c>
      <c r="DJ26" s="190" t="n">
        <v>6.95259926455999</v>
      </c>
      <c r="DK26" s="190" t="n">
        <v>7.02233495257999</v>
      </c>
      <c r="DL26" s="190" t="n">
        <v>7.09207064059999</v>
      </c>
      <c r="DM26" s="190" t="n">
        <v>7.16180632861999</v>
      </c>
      <c r="DN26" s="190" t="n">
        <v>7.23154201663999</v>
      </c>
      <c r="DO26" s="190" t="n">
        <v>7.30127770465999</v>
      </c>
      <c r="DP26" s="190" t="n">
        <v>7.37101339267999</v>
      </c>
      <c r="DQ26" s="190" t="n">
        <v>7.44074908069999</v>
      </c>
      <c r="DR26" s="190" t="n">
        <v>7.51048476871999</v>
      </c>
      <c r="DS26" s="190" t="n">
        <v>7.58022045673999</v>
      </c>
      <c r="DT26" s="190" t="n">
        <v>7.64995614475999</v>
      </c>
      <c r="DU26" s="190" t="n">
        <v>7.71969183277999</v>
      </c>
      <c r="DV26" s="190" t="n">
        <v>7.78942752079998</v>
      </c>
      <c r="DW26" s="190" t="n">
        <v>7.85916320881998</v>
      </c>
      <c r="DX26" s="190" t="n">
        <v>7.92889889683998</v>
      </c>
      <c r="DY26" s="190" t="n">
        <v>7.99863458485998</v>
      </c>
      <c r="DZ26" s="190" t="n">
        <v>8.06837027287998</v>
      </c>
      <c r="EA26" s="190" t="n">
        <v>8.13810596089998</v>
      </c>
      <c r="EB26" s="190" t="n">
        <v>8.20784164891998</v>
      </c>
      <c r="EC26" s="190" t="n">
        <v>8.27757733693998</v>
      </c>
      <c r="ED26" s="190" t="n">
        <v>8.34731302495998</v>
      </c>
      <c r="EE26" s="190" t="n">
        <v>8.41704871297998</v>
      </c>
      <c r="EF26" s="190" t="n">
        <v>8.48678440099998</v>
      </c>
      <c r="EG26" s="190" t="n">
        <v>8.55652008901998</v>
      </c>
      <c r="EH26" s="190" t="n">
        <v>8.62625577703998</v>
      </c>
      <c r="EI26" s="190" t="n">
        <v>8.69599146505998</v>
      </c>
      <c r="EJ26" s="190" t="n">
        <v>8.76572715307998</v>
      </c>
      <c r="EK26" s="190" t="n">
        <v>8.83546284109998</v>
      </c>
      <c r="EL26" s="180" t="n">
        <v>8.90519852911998</v>
      </c>
      <c r="EM26" s="180" t="n">
        <v>8.97493421713998</v>
      </c>
      <c r="EN26" s="180" t="n">
        <v>9.04466990515998</v>
      </c>
      <c r="EO26" s="180" t="n">
        <v>9.11440559317998</v>
      </c>
      <c r="EP26" s="180" t="n">
        <v>9.18414128119998</v>
      </c>
      <c r="EQ26" s="180" t="n">
        <v>9.25387696921998</v>
      </c>
      <c r="ER26" s="180" t="n">
        <v>9.32361265723998</v>
      </c>
      <c r="ES26" s="180" t="n">
        <v>9.39334834525998</v>
      </c>
      <c r="ET26" s="180" t="n">
        <v>9.46308403327998</v>
      </c>
      <c r="EU26" s="180" t="n">
        <v>9.53281972129998</v>
      </c>
      <c r="EV26" s="180" t="n">
        <v>9.60255540931998</v>
      </c>
      <c r="EW26" s="180" t="n">
        <v>9.67229109733998</v>
      </c>
      <c r="EX26" s="180" t="n">
        <v>9.74202678535998</v>
      </c>
      <c r="EY26" s="180" t="n">
        <v>9.81176247337998</v>
      </c>
      <c r="EZ26" s="180" t="n">
        <v>9.88149816139998</v>
      </c>
      <c r="FA26" s="180" t="n">
        <v>9.95123384941998</v>
      </c>
      <c r="FB26" s="180" t="n">
        <v>10.02096953744</v>
      </c>
      <c r="FC26" s="180" t="n">
        <v>10.09070522546</v>
      </c>
      <c r="FD26" s="180" t="n">
        <v>10.16044091348</v>
      </c>
      <c r="FE26" s="180" t="n">
        <v>10.2301766015</v>
      </c>
      <c r="FF26" s="180" t="n">
        <v>10.29991228952</v>
      </c>
      <c r="FG26" s="180" t="n">
        <v>10.36964797754</v>
      </c>
      <c r="FH26" s="180" t="n">
        <v>10.43938366556</v>
      </c>
      <c r="FI26" s="180" t="n">
        <v>10.50911935358</v>
      </c>
      <c r="FJ26" s="180" t="n">
        <v>10.5788550416</v>
      </c>
      <c r="FK26" s="180" t="n">
        <v>10.64859072962</v>
      </c>
      <c r="FL26" s="180" t="n">
        <v>10.71832641764</v>
      </c>
      <c r="FM26" s="180" t="n">
        <v>10.78806210566</v>
      </c>
      <c r="FN26" s="180" t="n">
        <v>10.85779779368</v>
      </c>
      <c r="FO26" s="180" t="n">
        <v>10.9275334817</v>
      </c>
      <c r="FP26" s="180" t="n">
        <v>10.99726916972</v>
      </c>
      <c r="FQ26" s="180" t="n">
        <v>11.06700485774</v>
      </c>
      <c r="FR26" s="180" t="n">
        <v>11.13674054576</v>
      </c>
      <c r="FS26" s="180" t="n">
        <v>11.20647623378</v>
      </c>
      <c r="FT26" s="180" t="n">
        <v>11.2762119218</v>
      </c>
      <c r="FU26" s="180" t="n">
        <v>11.34594760982</v>
      </c>
      <c r="FV26" s="180" t="n">
        <v>11.41568329784</v>
      </c>
      <c r="FW26" s="180" t="n">
        <v>11.48541898586</v>
      </c>
      <c r="FX26" s="180" t="n">
        <v>11.55515467388</v>
      </c>
      <c r="FY26" s="180" t="n">
        <v>11.6248903619</v>
      </c>
      <c r="FZ26" s="180" t="n">
        <v>11.69462604992</v>
      </c>
      <c r="GA26" s="180" t="n">
        <v>11.76436173794</v>
      </c>
      <c r="GB26" s="180" t="n">
        <v>11.83409742596</v>
      </c>
      <c r="GC26" s="180" t="n">
        <v>11.90383311398</v>
      </c>
      <c r="GD26" s="180" t="n">
        <v>11.973568802</v>
      </c>
      <c r="GE26" s="180" t="n">
        <v>12.04330449002</v>
      </c>
      <c r="GF26" s="180" t="n">
        <v>12.11304017804</v>
      </c>
      <c r="GG26" s="180" t="n">
        <v>12.18277586606</v>
      </c>
      <c r="GH26" s="180" t="n">
        <v>12.25251155408</v>
      </c>
      <c r="GI26" s="180" t="n">
        <v>12.3222472421</v>
      </c>
      <c r="GJ26" s="180" t="n">
        <v>12.39198293012</v>
      </c>
      <c r="GK26" s="180" t="n">
        <v>12.46171861814</v>
      </c>
      <c r="GL26" s="180" t="n">
        <v>12.53145430616</v>
      </c>
      <c r="GM26" s="180" t="n">
        <v>12.60118999418</v>
      </c>
      <c r="GN26" s="180" t="n">
        <v>12.6709256822</v>
      </c>
      <c r="GO26" s="180" t="n">
        <v>12.74066137022</v>
      </c>
      <c r="GP26" s="180" t="n">
        <v>12.81039705824</v>
      </c>
      <c r="GQ26" s="180" t="n">
        <v>12.88013274626</v>
      </c>
      <c r="GR26" s="180" t="n">
        <v>12.94986843428</v>
      </c>
      <c r="GS26" s="180" t="n">
        <v>13.0196041223</v>
      </c>
      <c r="GT26" s="180" t="n">
        <v>13.08933981032</v>
      </c>
      <c r="GU26" s="180" t="n">
        <v>13.15907549834</v>
      </c>
      <c r="GV26" s="180" t="n">
        <v>13.22881118636</v>
      </c>
      <c r="GW26" s="180" t="n">
        <v>13.29854687438</v>
      </c>
      <c r="GX26" s="180" t="n">
        <v>13.3682825624</v>
      </c>
      <c r="GY26" s="180" t="n">
        <v>13.43801825042</v>
      </c>
      <c r="GZ26" s="180" t="n">
        <v>13.50775393844</v>
      </c>
      <c r="HA26" s="180" t="n">
        <v>13.57748962646</v>
      </c>
      <c r="HB26" s="180" t="n">
        <v>13.64722531448</v>
      </c>
      <c r="HC26" s="180" t="n">
        <v>13.7169610025</v>
      </c>
      <c r="HD26" s="180" t="n">
        <v>13.78669669052</v>
      </c>
      <c r="HE26" s="180" t="n">
        <v>13.85643237854</v>
      </c>
      <c r="HF26" s="180" t="n">
        <v>13.92616806656</v>
      </c>
      <c r="HG26" s="180" t="n">
        <v>13.99590375458</v>
      </c>
      <c r="HH26" s="180" t="n">
        <v>14.0656394426</v>
      </c>
      <c r="HI26" s="180" t="n">
        <v>14.13537513062</v>
      </c>
      <c r="HJ26" s="180" t="n">
        <v>14.20511081864</v>
      </c>
      <c r="HK26" s="180" t="n">
        <v>14.27484650666</v>
      </c>
      <c r="HL26" s="180" t="n">
        <v>14.34458219468</v>
      </c>
      <c r="HM26" s="180" t="n">
        <v>14.4143178827</v>
      </c>
      <c r="HN26" s="180" t="n">
        <v>14.48405357072</v>
      </c>
      <c r="HO26" s="180" t="n">
        <v>14.55378925874</v>
      </c>
      <c r="HP26" s="180" t="n">
        <v>14.62352494676</v>
      </c>
      <c r="HQ26" s="180" t="n">
        <v>14.69326063478</v>
      </c>
      <c r="HR26" s="180" t="n">
        <v>14.7629963228</v>
      </c>
      <c r="HS26" s="180" t="n">
        <v>14.83273201082</v>
      </c>
      <c r="HT26" s="180" t="n">
        <v>14.90246769884</v>
      </c>
      <c r="HU26" s="180" t="n">
        <v>14.97220338686</v>
      </c>
      <c r="HV26" s="180" t="n">
        <v>15.04193907488</v>
      </c>
      <c r="HW26" s="180" t="n">
        <v>15.1116747629</v>
      </c>
      <c r="HX26" s="180" t="n">
        <v>15.18141045092</v>
      </c>
      <c r="HY26" s="180" t="n">
        <v>15.25114613894</v>
      </c>
      <c r="HZ26" s="180" t="n">
        <v>15.32088182696</v>
      </c>
      <c r="IA26" s="180" t="n">
        <v>15.39061751498</v>
      </c>
      <c r="IB26" s="180" t="n">
        <v>15.460353203</v>
      </c>
      <c r="IC26" s="180" t="n">
        <v>15.53008889102</v>
      </c>
      <c r="ID26" s="180" t="n">
        <v>15.59982457904</v>
      </c>
      <c r="IE26" s="180" t="n">
        <v>15.66956026706</v>
      </c>
      <c r="IF26" s="180" t="n">
        <v>15.73929595508</v>
      </c>
      <c r="IG26" s="180" t="n">
        <v>15.8090316431</v>
      </c>
      <c r="IH26" s="180" t="n">
        <v>15.87876733112</v>
      </c>
      <c r="II26" s="180" t="n">
        <v>15.94850301914</v>
      </c>
      <c r="IJ26" s="180" t="n">
        <v>16.01823870716</v>
      </c>
      <c r="IK26" s="180" t="n">
        <v>16.08797439518</v>
      </c>
      <c r="IL26" s="180" t="n">
        <v>16.1577100832</v>
      </c>
      <c r="IM26" s="180" t="n">
        <v>16.22744577122</v>
      </c>
      <c r="IN26" s="180" t="n">
        <v>16.29718145924</v>
      </c>
      <c r="IO26" s="180" t="n">
        <v>16.36691714726</v>
      </c>
      <c r="IP26" s="180" t="n">
        <v>16.43665283528</v>
      </c>
      <c r="IQ26" s="180" t="n">
        <v>16.5063885233</v>
      </c>
      <c r="IR26" s="180" t="n">
        <v>16.57612421132</v>
      </c>
      <c r="IS26" s="180" t="n">
        <v>16.64585989934</v>
      </c>
      <c r="IT26" s="180" t="n">
        <v>16.71559558736</v>
      </c>
      <c r="IU26" s="180" t="n">
        <v>16.78533127538</v>
      </c>
      <c r="IV26" s="180" t="n">
        <v>16.8550669634</v>
      </c>
    </row>
    <row r="27" customFormat="false" ht="12.75" hidden="false" customHeight="false" outlineLevel="0" collapsed="false">
      <c r="A27" s="189" t="n">
        <v>37500</v>
      </c>
      <c r="B27" s="185" t="n">
        <v>-2.021005929375</v>
      </c>
      <c r="C27" s="185" t="n">
        <v>-1.9907047400625</v>
      </c>
      <c r="D27" s="185" t="n">
        <v>-1.96040355075</v>
      </c>
      <c r="E27" s="185" t="n">
        <v>-1.9301023614375</v>
      </c>
      <c r="F27" s="185" t="n">
        <v>-1.899801172125</v>
      </c>
      <c r="G27" s="185" t="n">
        <v>-1.8694999828125</v>
      </c>
      <c r="H27" s="185" t="n">
        <v>-1.8391987935</v>
      </c>
      <c r="I27" s="185" t="n">
        <v>-1.8088976041875</v>
      </c>
      <c r="J27" s="185" t="n">
        <v>-1.778596414875</v>
      </c>
      <c r="K27" s="185" t="n">
        <v>-1.7482952255625</v>
      </c>
      <c r="L27" s="185" t="n">
        <v>-1.71799403625</v>
      </c>
      <c r="M27" s="185" t="n">
        <v>-1.6876928469375</v>
      </c>
      <c r="N27" s="185" t="n">
        <v>-1.657391657625</v>
      </c>
      <c r="O27" s="185" t="n">
        <v>-1.6270904683125</v>
      </c>
      <c r="P27" s="185" t="n">
        <v>-1.596789279</v>
      </c>
      <c r="Q27" s="185" t="n">
        <v>-1.5664880896875</v>
      </c>
      <c r="R27" s="185" t="n">
        <v>-1.536186900375</v>
      </c>
      <c r="S27" s="185" t="n">
        <v>-1.5058857110625</v>
      </c>
      <c r="T27" s="185" t="n">
        <v>-1.47558452175</v>
      </c>
      <c r="U27" s="185" t="n">
        <v>-1.4452833324375</v>
      </c>
      <c r="V27" s="186" t="n">
        <v>-1.414982143125</v>
      </c>
      <c r="W27" s="185" t="n">
        <v>-1.3846809538125</v>
      </c>
      <c r="X27" s="186" t="n">
        <v>-1.3543797645</v>
      </c>
      <c r="Y27" s="185" t="n">
        <v>-1.3240785751875</v>
      </c>
      <c r="Z27" s="186" t="n">
        <v>-1.293777385875</v>
      </c>
      <c r="AA27" s="185" t="n">
        <v>-1.2634761965625</v>
      </c>
      <c r="AB27" s="187" t="n">
        <v>-1.23317500725</v>
      </c>
      <c r="AC27" s="185" t="n">
        <v>-1.2028738179375</v>
      </c>
      <c r="AD27" s="187" t="n">
        <v>-1.172572628625</v>
      </c>
      <c r="AE27" s="185" t="n">
        <v>-1.1422714393125</v>
      </c>
      <c r="AF27" s="185" t="n">
        <v>-1.11197025</v>
      </c>
      <c r="AG27" s="190" t="n">
        <v>-1.083235125</v>
      </c>
      <c r="AH27" s="190" t="n">
        <v>-1.0545</v>
      </c>
      <c r="AI27" s="190" t="n">
        <v>-1.02725</v>
      </c>
      <c r="AJ27" s="190" t="n">
        <v>-1</v>
      </c>
      <c r="AK27" s="190" t="n">
        <v>-0.8</v>
      </c>
      <c r="AL27" s="190" t="n">
        <v>-0.6</v>
      </c>
      <c r="AM27" s="190" t="n">
        <v>-0.4</v>
      </c>
      <c r="AN27" s="190" t="n">
        <v>-0.2</v>
      </c>
      <c r="AO27" s="190" t="n">
        <v>0</v>
      </c>
      <c r="AP27" s="190" t="n">
        <v>0.2</v>
      </c>
      <c r="AQ27" s="190" t="n">
        <v>0.4</v>
      </c>
      <c r="AR27" s="190" t="n">
        <v>0.6</v>
      </c>
      <c r="AS27" s="190" t="n">
        <v>0.8</v>
      </c>
      <c r="AT27" s="190" t="n">
        <v>1</v>
      </c>
      <c r="AU27" s="190" t="n">
        <v>1.2</v>
      </c>
      <c r="AV27" s="190" t="n">
        <v>1.4</v>
      </c>
      <c r="AW27" s="190" t="n">
        <v>1.58</v>
      </c>
      <c r="AX27" s="190" t="n">
        <v>1.76</v>
      </c>
      <c r="AY27" s="190" t="n">
        <v>1.922</v>
      </c>
      <c r="AZ27" s="190" t="n">
        <v>2.084</v>
      </c>
      <c r="BA27" s="190" t="n">
        <v>2.2298</v>
      </c>
      <c r="BB27" s="190" t="n">
        <v>2.3756</v>
      </c>
      <c r="BC27" s="190" t="n">
        <v>2.50682</v>
      </c>
      <c r="BD27" s="190" t="n">
        <v>2.63804</v>
      </c>
      <c r="BE27" s="190" t="n">
        <v>2.756138</v>
      </c>
      <c r="BF27" s="190" t="n">
        <v>2.874236</v>
      </c>
      <c r="BG27" s="190" t="n">
        <v>2.9805242</v>
      </c>
      <c r="BH27" s="190" t="n">
        <v>3.0868124</v>
      </c>
      <c r="BI27" s="190" t="n">
        <v>3.18247178</v>
      </c>
      <c r="BJ27" s="190" t="n">
        <v>3.27813116</v>
      </c>
      <c r="BK27" s="190" t="n">
        <v>3.364224602</v>
      </c>
      <c r="BL27" s="190" t="n">
        <v>3.450318044</v>
      </c>
      <c r="BM27" s="190" t="n">
        <v>3.5278021418</v>
      </c>
      <c r="BN27" s="190" t="n">
        <v>3.6052862396</v>
      </c>
      <c r="BO27" s="190" t="n">
        <v>3.67502192762</v>
      </c>
      <c r="BP27" s="190" t="n">
        <v>3.74475761564</v>
      </c>
      <c r="BQ27" s="190" t="n">
        <v>3.81449330366</v>
      </c>
      <c r="BR27" s="190" t="n">
        <v>3.88422899168</v>
      </c>
      <c r="BS27" s="190" t="n">
        <v>3.9539646797</v>
      </c>
      <c r="BT27" s="190" t="n">
        <v>4.02370036772</v>
      </c>
      <c r="BU27" s="190" t="n">
        <v>4.09343605574</v>
      </c>
      <c r="BV27" s="190" t="n">
        <v>4.16317174376</v>
      </c>
      <c r="BW27" s="190" t="n">
        <v>4.23290743178</v>
      </c>
      <c r="BX27" s="190" t="n">
        <v>4.3026431198</v>
      </c>
      <c r="BY27" s="190" t="n">
        <v>4.37237880782</v>
      </c>
      <c r="BZ27" s="190" t="n">
        <v>4.44211449584</v>
      </c>
      <c r="CA27" s="190" t="n">
        <v>4.51185018386</v>
      </c>
      <c r="CB27" s="190" t="n">
        <v>4.58158587188</v>
      </c>
      <c r="CC27" s="190" t="n">
        <v>4.6513215599</v>
      </c>
      <c r="CD27" s="190" t="n">
        <v>4.72105724792</v>
      </c>
      <c r="CE27" s="190" t="n">
        <v>4.79079293594</v>
      </c>
      <c r="CF27" s="190" t="n">
        <v>4.86052862396</v>
      </c>
      <c r="CG27" s="190" t="n">
        <v>4.93026431198</v>
      </c>
      <c r="CH27" s="190" t="n">
        <v>5</v>
      </c>
      <c r="CI27" s="190" t="n">
        <v>5.06973568801999</v>
      </c>
      <c r="CJ27" s="190" t="n">
        <v>5.13947137603999</v>
      </c>
      <c r="CK27" s="190" t="n">
        <v>5.20920706405999</v>
      </c>
      <c r="CL27" s="190" t="n">
        <v>5.27894275207999</v>
      </c>
      <c r="CM27" s="190" t="n">
        <v>5.34867844009999</v>
      </c>
      <c r="CN27" s="190" t="n">
        <v>5.41841412811999</v>
      </c>
      <c r="CO27" s="190" t="n">
        <v>5.48814981613999</v>
      </c>
      <c r="CP27" s="190" t="n">
        <v>5.55788550415999</v>
      </c>
      <c r="CQ27" s="190" t="n">
        <v>5.62762119217999</v>
      </c>
      <c r="CR27" s="190" t="n">
        <v>5.69735688019999</v>
      </c>
      <c r="CS27" s="190" t="n">
        <v>5.76709256821999</v>
      </c>
      <c r="CT27" s="190" t="n">
        <v>5.83682825623999</v>
      </c>
      <c r="CU27" s="190" t="n">
        <v>5.90656394425999</v>
      </c>
      <c r="CV27" s="190" t="n">
        <v>5.97629963227999</v>
      </c>
      <c r="CW27" s="190" t="n">
        <v>6.04603532029999</v>
      </c>
      <c r="CX27" s="190" t="n">
        <v>6.11577100831999</v>
      </c>
      <c r="CY27" s="190" t="n">
        <v>6.18550669633999</v>
      </c>
      <c r="CZ27" s="190" t="n">
        <v>6.25524238435999</v>
      </c>
      <c r="DA27" s="190" t="n">
        <v>6.32497807237999</v>
      </c>
      <c r="DB27" s="190" t="n">
        <v>6.39471376039999</v>
      </c>
      <c r="DC27" s="190" t="n">
        <v>6.46444944841999</v>
      </c>
      <c r="DD27" s="190" t="n">
        <v>6.53418513643999</v>
      </c>
      <c r="DE27" s="190" t="n">
        <v>6.60392082445999</v>
      </c>
      <c r="DF27" s="190" t="n">
        <v>6.67365651247999</v>
      </c>
      <c r="DG27" s="190" t="n">
        <v>6.74339220049999</v>
      </c>
      <c r="DH27" s="190" t="n">
        <v>6.81312788851999</v>
      </c>
      <c r="DI27" s="190" t="n">
        <v>6.88286357653999</v>
      </c>
      <c r="DJ27" s="190" t="n">
        <v>6.95259926455999</v>
      </c>
      <c r="DK27" s="190" t="n">
        <v>7.02233495257999</v>
      </c>
      <c r="DL27" s="190" t="n">
        <v>7.09207064059999</v>
      </c>
      <c r="DM27" s="190" t="n">
        <v>7.16180632861999</v>
      </c>
      <c r="DN27" s="190" t="n">
        <v>7.23154201663999</v>
      </c>
      <c r="DO27" s="190" t="n">
        <v>7.30127770465999</v>
      </c>
      <c r="DP27" s="190" t="n">
        <v>7.37101339267999</v>
      </c>
      <c r="DQ27" s="190" t="n">
        <v>7.44074908069999</v>
      </c>
      <c r="DR27" s="190" t="n">
        <v>7.51048476871999</v>
      </c>
      <c r="DS27" s="190" t="n">
        <v>7.58022045673999</v>
      </c>
      <c r="DT27" s="190" t="n">
        <v>7.64995614475999</v>
      </c>
      <c r="DU27" s="190" t="n">
        <v>7.71969183277999</v>
      </c>
      <c r="DV27" s="190" t="n">
        <v>7.78942752079998</v>
      </c>
      <c r="DW27" s="190" t="n">
        <v>7.85916320881998</v>
      </c>
      <c r="DX27" s="190" t="n">
        <v>7.92889889683998</v>
      </c>
      <c r="DY27" s="190" t="n">
        <v>7.99863458485998</v>
      </c>
      <c r="DZ27" s="190" t="n">
        <v>8.06837027287998</v>
      </c>
      <c r="EA27" s="190" t="n">
        <v>8.13810596089998</v>
      </c>
      <c r="EB27" s="190" t="n">
        <v>8.20784164891998</v>
      </c>
      <c r="EC27" s="190" t="n">
        <v>8.27757733693998</v>
      </c>
      <c r="ED27" s="190" t="n">
        <v>8.34731302495998</v>
      </c>
      <c r="EE27" s="190" t="n">
        <v>8.41704871297998</v>
      </c>
      <c r="EF27" s="190" t="n">
        <v>8.48678440099998</v>
      </c>
      <c r="EG27" s="190" t="n">
        <v>8.55652008901998</v>
      </c>
      <c r="EH27" s="190" t="n">
        <v>8.62625577703998</v>
      </c>
      <c r="EI27" s="190" t="n">
        <v>8.69599146505998</v>
      </c>
      <c r="EJ27" s="190" t="n">
        <v>8.76572715307998</v>
      </c>
      <c r="EK27" s="190" t="n">
        <v>8.83546284109998</v>
      </c>
      <c r="EL27" s="180" t="n">
        <v>8.90519852911998</v>
      </c>
      <c r="EM27" s="180" t="n">
        <v>8.97493421713998</v>
      </c>
      <c r="EN27" s="180" t="n">
        <v>9.04466990515998</v>
      </c>
      <c r="EO27" s="180" t="n">
        <v>9.11440559317998</v>
      </c>
      <c r="EP27" s="180" t="n">
        <v>9.18414128119998</v>
      </c>
      <c r="EQ27" s="180" t="n">
        <v>9.25387696921998</v>
      </c>
      <c r="ER27" s="180" t="n">
        <v>9.32361265723998</v>
      </c>
      <c r="ES27" s="180" t="n">
        <v>9.39334834525998</v>
      </c>
      <c r="ET27" s="180" t="n">
        <v>9.46308403327998</v>
      </c>
      <c r="EU27" s="180" t="n">
        <v>9.53281972129998</v>
      </c>
      <c r="EV27" s="180" t="n">
        <v>9.60255540931998</v>
      </c>
      <c r="EW27" s="180" t="n">
        <v>9.67229109733998</v>
      </c>
      <c r="EX27" s="180" t="n">
        <v>9.74202678535998</v>
      </c>
      <c r="EY27" s="180" t="n">
        <v>9.81176247337998</v>
      </c>
      <c r="EZ27" s="180" t="n">
        <v>9.88149816139998</v>
      </c>
      <c r="FA27" s="180" t="n">
        <v>9.95123384941998</v>
      </c>
      <c r="FB27" s="180" t="n">
        <v>10.02096953744</v>
      </c>
      <c r="FC27" s="180" t="n">
        <v>10.09070522546</v>
      </c>
      <c r="FD27" s="180" t="n">
        <v>10.16044091348</v>
      </c>
      <c r="FE27" s="180" t="n">
        <v>10.2301766015</v>
      </c>
      <c r="FF27" s="180" t="n">
        <v>10.29991228952</v>
      </c>
      <c r="FG27" s="180" t="n">
        <v>10.36964797754</v>
      </c>
      <c r="FH27" s="180" t="n">
        <v>10.43938366556</v>
      </c>
      <c r="FI27" s="180" t="n">
        <v>10.50911935358</v>
      </c>
      <c r="FJ27" s="180" t="n">
        <v>10.5788550416</v>
      </c>
      <c r="FK27" s="180" t="n">
        <v>10.64859072962</v>
      </c>
      <c r="FL27" s="180" t="n">
        <v>10.71832641764</v>
      </c>
      <c r="FM27" s="180" t="n">
        <v>10.78806210566</v>
      </c>
      <c r="FN27" s="180" t="n">
        <v>10.85779779368</v>
      </c>
      <c r="FO27" s="180" t="n">
        <v>10.9275334817</v>
      </c>
      <c r="FP27" s="180" t="n">
        <v>10.99726916972</v>
      </c>
      <c r="FQ27" s="180" t="n">
        <v>11.06700485774</v>
      </c>
      <c r="FR27" s="180" t="n">
        <v>11.13674054576</v>
      </c>
      <c r="FS27" s="180" t="n">
        <v>11.20647623378</v>
      </c>
      <c r="FT27" s="180" t="n">
        <v>11.2762119218</v>
      </c>
      <c r="FU27" s="180" t="n">
        <v>11.34594760982</v>
      </c>
      <c r="FV27" s="180" t="n">
        <v>11.41568329784</v>
      </c>
      <c r="FW27" s="180" t="n">
        <v>11.48541898586</v>
      </c>
      <c r="FX27" s="180" t="n">
        <v>11.55515467388</v>
      </c>
      <c r="FY27" s="180" t="n">
        <v>11.6248903619</v>
      </c>
      <c r="FZ27" s="180" t="n">
        <v>11.69462604992</v>
      </c>
      <c r="GA27" s="180" t="n">
        <v>11.76436173794</v>
      </c>
      <c r="GB27" s="180" t="n">
        <v>11.83409742596</v>
      </c>
      <c r="GC27" s="180" t="n">
        <v>11.90383311398</v>
      </c>
      <c r="GD27" s="180" t="n">
        <v>11.973568802</v>
      </c>
      <c r="GE27" s="180" t="n">
        <v>12.04330449002</v>
      </c>
      <c r="GF27" s="180" t="n">
        <v>12.11304017804</v>
      </c>
      <c r="GG27" s="180" t="n">
        <v>12.18277586606</v>
      </c>
      <c r="GH27" s="180" t="n">
        <v>12.25251155408</v>
      </c>
      <c r="GI27" s="180" t="n">
        <v>12.3222472421</v>
      </c>
      <c r="GJ27" s="180" t="n">
        <v>12.39198293012</v>
      </c>
      <c r="GK27" s="180" t="n">
        <v>12.46171861814</v>
      </c>
      <c r="GL27" s="180" t="n">
        <v>12.53145430616</v>
      </c>
      <c r="GM27" s="180" t="n">
        <v>12.60118999418</v>
      </c>
      <c r="GN27" s="180" t="n">
        <v>12.6709256822</v>
      </c>
      <c r="GO27" s="180" t="n">
        <v>12.74066137022</v>
      </c>
      <c r="GP27" s="180" t="n">
        <v>12.81039705824</v>
      </c>
      <c r="GQ27" s="180" t="n">
        <v>12.88013274626</v>
      </c>
      <c r="GR27" s="180" t="n">
        <v>12.94986843428</v>
      </c>
      <c r="GS27" s="180" t="n">
        <v>13.0196041223</v>
      </c>
      <c r="GT27" s="180" t="n">
        <v>13.08933981032</v>
      </c>
      <c r="GU27" s="180" t="n">
        <v>13.15907549834</v>
      </c>
      <c r="GV27" s="180" t="n">
        <v>13.22881118636</v>
      </c>
      <c r="GW27" s="180" t="n">
        <v>13.29854687438</v>
      </c>
      <c r="GX27" s="180" t="n">
        <v>13.3682825624</v>
      </c>
      <c r="GY27" s="180" t="n">
        <v>13.43801825042</v>
      </c>
      <c r="GZ27" s="180" t="n">
        <v>13.50775393844</v>
      </c>
      <c r="HA27" s="180" t="n">
        <v>13.57748962646</v>
      </c>
      <c r="HB27" s="180" t="n">
        <v>13.64722531448</v>
      </c>
      <c r="HC27" s="180" t="n">
        <v>13.7169610025</v>
      </c>
      <c r="HD27" s="180" t="n">
        <v>13.78669669052</v>
      </c>
      <c r="HE27" s="180" t="n">
        <v>13.85643237854</v>
      </c>
      <c r="HF27" s="180" t="n">
        <v>13.92616806656</v>
      </c>
      <c r="HG27" s="180" t="n">
        <v>13.99590375458</v>
      </c>
      <c r="HH27" s="180" t="n">
        <v>14.0656394426</v>
      </c>
      <c r="HI27" s="180" t="n">
        <v>14.13537513062</v>
      </c>
      <c r="HJ27" s="180" t="n">
        <v>14.20511081864</v>
      </c>
      <c r="HK27" s="180" t="n">
        <v>14.27484650666</v>
      </c>
      <c r="HL27" s="180" t="n">
        <v>14.34458219468</v>
      </c>
      <c r="HM27" s="180" t="n">
        <v>14.4143178827</v>
      </c>
      <c r="HN27" s="180" t="n">
        <v>14.48405357072</v>
      </c>
      <c r="HO27" s="180" t="n">
        <v>14.55378925874</v>
      </c>
      <c r="HP27" s="180" t="n">
        <v>14.62352494676</v>
      </c>
      <c r="HQ27" s="180" t="n">
        <v>14.69326063478</v>
      </c>
      <c r="HR27" s="180" t="n">
        <v>14.7629963228</v>
      </c>
      <c r="HS27" s="180" t="n">
        <v>14.83273201082</v>
      </c>
      <c r="HT27" s="180" t="n">
        <v>14.90246769884</v>
      </c>
      <c r="HU27" s="180" t="n">
        <v>14.97220338686</v>
      </c>
      <c r="HV27" s="180" t="n">
        <v>15.04193907488</v>
      </c>
      <c r="HW27" s="180" t="n">
        <v>15.1116747629</v>
      </c>
      <c r="HX27" s="180" t="n">
        <v>15.18141045092</v>
      </c>
      <c r="HY27" s="180" t="n">
        <v>15.25114613894</v>
      </c>
      <c r="HZ27" s="180" t="n">
        <v>15.32088182696</v>
      </c>
      <c r="IA27" s="180" t="n">
        <v>15.39061751498</v>
      </c>
      <c r="IB27" s="180" t="n">
        <v>15.460353203</v>
      </c>
      <c r="IC27" s="180" t="n">
        <v>15.53008889102</v>
      </c>
      <c r="ID27" s="180" t="n">
        <v>15.59982457904</v>
      </c>
      <c r="IE27" s="180" t="n">
        <v>15.66956026706</v>
      </c>
      <c r="IF27" s="180" t="n">
        <v>15.73929595508</v>
      </c>
      <c r="IG27" s="180" t="n">
        <v>15.8090316431</v>
      </c>
      <c r="IH27" s="180" t="n">
        <v>15.87876733112</v>
      </c>
      <c r="II27" s="180" t="n">
        <v>15.94850301914</v>
      </c>
      <c r="IJ27" s="180" t="n">
        <v>16.01823870716</v>
      </c>
      <c r="IK27" s="180" t="n">
        <v>16.08797439518</v>
      </c>
      <c r="IL27" s="180" t="n">
        <v>16.1577100832</v>
      </c>
      <c r="IM27" s="180" t="n">
        <v>16.22744577122</v>
      </c>
      <c r="IN27" s="180" t="n">
        <v>16.29718145924</v>
      </c>
      <c r="IO27" s="180" t="n">
        <v>16.36691714726</v>
      </c>
      <c r="IP27" s="180" t="n">
        <v>16.43665283528</v>
      </c>
      <c r="IQ27" s="180" t="n">
        <v>16.5063885233</v>
      </c>
      <c r="IR27" s="180" t="n">
        <v>16.57612421132</v>
      </c>
      <c r="IS27" s="180" t="n">
        <v>16.64585989934</v>
      </c>
      <c r="IT27" s="180" t="n">
        <v>16.71559558736</v>
      </c>
      <c r="IU27" s="180" t="n">
        <v>16.78533127538</v>
      </c>
      <c r="IV27" s="180" t="n">
        <v>16.8550669634</v>
      </c>
    </row>
    <row r="28" customFormat="false" ht="12.75" hidden="false" customHeight="false" outlineLevel="0" collapsed="false">
      <c r="A28" s="189" t="n">
        <v>37530</v>
      </c>
      <c r="B28" s="185" t="n">
        <v>-2.021005929375</v>
      </c>
      <c r="C28" s="185" t="n">
        <v>-1.9907047400625</v>
      </c>
      <c r="D28" s="185" t="n">
        <v>-1.96040355075</v>
      </c>
      <c r="E28" s="185" t="n">
        <v>-1.9301023614375</v>
      </c>
      <c r="F28" s="185" t="n">
        <v>-1.899801172125</v>
      </c>
      <c r="G28" s="185" t="n">
        <v>-1.8694999828125</v>
      </c>
      <c r="H28" s="185" t="n">
        <v>-1.8391987935</v>
      </c>
      <c r="I28" s="185" t="n">
        <v>-1.8088976041875</v>
      </c>
      <c r="J28" s="185" t="n">
        <v>-1.778596414875</v>
      </c>
      <c r="K28" s="185" t="n">
        <v>-1.7482952255625</v>
      </c>
      <c r="L28" s="185" t="n">
        <v>-1.71799403625</v>
      </c>
      <c r="M28" s="185" t="n">
        <v>-1.6876928469375</v>
      </c>
      <c r="N28" s="185" t="n">
        <v>-1.657391657625</v>
      </c>
      <c r="O28" s="185" t="n">
        <v>-1.6270904683125</v>
      </c>
      <c r="P28" s="185" t="n">
        <v>-1.596789279</v>
      </c>
      <c r="Q28" s="185" t="n">
        <v>-1.5664880896875</v>
      </c>
      <c r="R28" s="185" t="n">
        <v>-1.536186900375</v>
      </c>
      <c r="S28" s="185" t="n">
        <v>-1.5058857110625</v>
      </c>
      <c r="T28" s="185" t="n">
        <v>-1.47558452175</v>
      </c>
      <c r="U28" s="185" t="n">
        <v>-1.4452833324375</v>
      </c>
      <c r="V28" s="186" t="n">
        <v>-1.414982143125</v>
      </c>
      <c r="W28" s="185" t="n">
        <v>-1.3846809538125</v>
      </c>
      <c r="X28" s="186" t="n">
        <v>-1.3543797645</v>
      </c>
      <c r="Y28" s="185" t="n">
        <v>-1.3240785751875</v>
      </c>
      <c r="Z28" s="186" t="n">
        <v>-1.293777385875</v>
      </c>
      <c r="AA28" s="185" t="n">
        <v>-1.2634761965625</v>
      </c>
      <c r="AB28" s="187" t="n">
        <v>-1.23317500725</v>
      </c>
      <c r="AC28" s="185" t="n">
        <v>-1.2028738179375</v>
      </c>
      <c r="AD28" s="187" t="n">
        <v>-1.172572628625</v>
      </c>
      <c r="AE28" s="185" t="n">
        <v>-1.1422714393125</v>
      </c>
      <c r="AF28" s="185" t="n">
        <v>-1.11197025</v>
      </c>
      <c r="AG28" s="190" t="n">
        <v>-1.083235125</v>
      </c>
      <c r="AH28" s="190" t="n">
        <v>-1.0545</v>
      </c>
      <c r="AI28" s="190" t="n">
        <v>-1.02725</v>
      </c>
      <c r="AJ28" s="190" t="n">
        <v>-1</v>
      </c>
      <c r="AK28" s="190" t="n">
        <v>-0.8</v>
      </c>
      <c r="AL28" s="190" t="n">
        <v>-0.6</v>
      </c>
      <c r="AM28" s="190" t="n">
        <v>-0.4</v>
      </c>
      <c r="AN28" s="190" t="n">
        <v>-0.2</v>
      </c>
      <c r="AO28" s="190" t="n">
        <v>0</v>
      </c>
      <c r="AP28" s="190" t="n">
        <v>0.2</v>
      </c>
      <c r="AQ28" s="190" t="n">
        <v>0.4</v>
      </c>
      <c r="AR28" s="190" t="n">
        <v>0.6</v>
      </c>
      <c r="AS28" s="190" t="n">
        <v>0.8</v>
      </c>
      <c r="AT28" s="190" t="n">
        <v>1</v>
      </c>
      <c r="AU28" s="190" t="n">
        <v>1.2</v>
      </c>
      <c r="AV28" s="190" t="n">
        <v>1.4</v>
      </c>
      <c r="AW28" s="190" t="n">
        <v>1.58</v>
      </c>
      <c r="AX28" s="190" t="n">
        <v>1.76</v>
      </c>
      <c r="AY28" s="190" t="n">
        <v>1.922</v>
      </c>
      <c r="AZ28" s="190" t="n">
        <v>2.084</v>
      </c>
      <c r="BA28" s="190" t="n">
        <v>2.2298</v>
      </c>
      <c r="BB28" s="190" t="n">
        <v>2.3756</v>
      </c>
      <c r="BC28" s="190" t="n">
        <v>2.50682</v>
      </c>
      <c r="BD28" s="190" t="n">
        <v>2.63804</v>
      </c>
      <c r="BE28" s="190" t="n">
        <v>2.756138</v>
      </c>
      <c r="BF28" s="190" t="n">
        <v>2.874236</v>
      </c>
      <c r="BG28" s="190" t="n">
        <v>2.9805242</v>
      </c>
      <c r="BH28" s="190" t="n">
        <v>3.0868124</v>
      </c>
      <c r="BI28" s="190" t="n">
        <v>3.18247178</v>
      </c>
      <c r="BJ28" s="190" t="n">
        <v>3.27813116</v>
      </c>
      <c r="BK28" s="190" t="n">
        <v>3.364224602</v>
      </c>
      <c r="BL28" s="190" t="n">
        <v>3.450318044</v>
      </c>
      <c r="BM28" s="190" t="n">
        <v>3.5278021418</v>
      </c>
      <c r="BN28" s="190" t="n">
        <v>3.6052862396</v>
      </c>
      <c r="BO28" s="190" t="n">
        <v>3.67502192762</v>
      </c>
      <c r="BP28" s="190" t="n">
        <v>3.74475761564</v>
      </c>
      <c r="BQ28" s="190" t="n">
        <v>3.81449330366</v>
      </c>
      <c r="BR28" s="190" t="n">
        <v>3.88422899168</v>
      </c>
      <c r="BS28" s="190" t="n">
        <v>3.9539646797</v>
      </c>
      <c r="BT28" s="190" t="n">
        <v>4.02370036772</v>
      </c>
      <c r="BU28" s="190" t="n">
        <v>4.09343605574</v>
      </c>
      <c r="BV28" s="190" t="n">
        <v>4.16317174376</v>
      </c>
      <c r="BW28" s="190" t="n">
        <v>4.23290743178</v>
      </c>
      <c r="BX28" s="190" t="n">
        <v>4.3026431198</v>
      </c>
      <c r="BY28" s="190" t="n">
        <v>4.37237880782</v>
      </c>
      <c r="BZ28" s="190" t="n">
        <v>4.44211449584</v>
      </c>
      <c r="CA28" s="190" t="n">
        <v>4.51185018386</v>
      </c>
      <c r="CB28" s="190" t="n">
        <v>4.58158587188</v>
      </c>
      <c r="CC28" s="190" t="n">
        <v>4.6513215599</v>
      </c>
      <c r="CD28" s="190" t="n">
        <v>4.72105724792</v>
      </c>
      <c r="CE28" s="190" t="n">
        <v>4.79079293594</v>
      </c>
      <c r="CF28" s="190" t="n">
        <v>4.86052862396</v>
      </c>
      <c r="CG28" s="190" t="n">
        <v>4.93026431198</v>
      </c>
      <c r="CH28" s="190" t="n">
        <v>5</v>
      </c>
      <c r="CI28" s="190" t="n">
        <v>5.06973568801999</v>
      </c>
      <c r="CJ28" s="190" t="n">
        <v>5.13947137603999</v>
      </c>
      <c r="CK28" s="190" t="n">
        <v>5.20920706405999</v>
      </c>
      <c r="CL28" s="190" t="n">
        <v>5.27894275207999</v>
      </c>
      <c r="CM28" s="190" t="n">
        <v>5.34867844009999</v>
      </c>
      <c r="CN28" s="190" t="n">
        <v>5.41841412811999</v>
      </c>
      <c r="CO28" s="190" t="n">
        <v>5.48814981613999</v>
      </c>
      <c r="CP28" s="190" t="n">
        <v>5.55788550415999</v>
      </c>
      <c r="CQ28" s="190" t="n">
        <v>5.62762119217999</v>
      </c>
      <c r="CR28" s="190" t="n">
        <v>5.69735688019999</v>
      </c>
      <c r="CS28" s="190" t="n">
        <v>5.76709256821999</v>
      </c>
      <c r="CT28" s="190" t="n">
        <v>5.83682825623999</v>
      </c>
      <c r="CU28" s="190" t="n">
        <v>5.90656394425999</v>
      </c>
      <c r="CV28" s="190" t="n">
        <v>5.97629963227999</v>
      </c>
      <c r="CW28" s="190" t="n">
        <v>6.04603532029999</v>
      </c>
      <c r="CX28" s="190" t="n">
        <v>6.11577100831999</v>
      </c>
      <c r="CY28" s="190" t="n">
        <v>6.18550669633999</v>
      </c>
      <c r="CZ28" s="190" t="n">
        <v>6.25524238435999</v>
      </c>
      <c r="DA28" s="190" t="n">
        <v>6.32497807237999</v>
      </c>
      <c r="DB28" s="190" t="n">
        <v>6.39471376039999</v>
      </c>
      <c r="DC28" s="190" t="n">
        <v>6.46444944841999</v>
      </c>
      <c r="DD28" s="190" t="n">
        <v>6.53418513643999</v>
      </c>
      <c r="DE28" s="190" t="n">
        <v>6.60392082445999</v>
      </c>
      <c r="DF28" s="190" t="n">
        <v>6.67365651247999</v>
      </c>
      <c r="DG28" s="190" t="n">
        <v>6.74339220049999</v>
      </c>
      <c r="DH28" s="190" t="n">
        <v>6.81312788851999</v>
      </c>
      <c r="DI28" s="190" t="n">
        <v>6.88286357653999</v>
      </c>
      <c r="DJ28" s="190" t="n">
        <v>6.95259926455999</v>
      </c>
      <c r="DK28" s="190" t="n">
        <v>7.02233495257999</v>
      </c>
      <c r="DL28" s="190" t="n">
        <v>7.09207064059999</v>
      </c>
      <c r="DM28" s="190" t="n">
        <v>7.16180632861999</v>
      </c>
      <c r="DN28" s="190" t="n">
        <v>7.23154201663999</v>
      </c>
      <c r="DO28" s="190" t="n">
        <v>7.30127770465999</v>
      </c>
      <c r="DP28" s="190" t="n">
        <v>7.37101339267999</v>
      </c>
      <c r="DQ28" s="190" t="n">
        <v>7.44074908069999</v>
      </c>
      <c r="DR28" s="190" t="n">
        <v>7.51048476871999</v>
      </c>
      <c r="DS28" s="190" t="n">
        <v>7.58022045673999</v>
      </c>
      <c r="DT28" s="190" t="n">
        <v>7.64995614475999</v>
      </c>
      <c r="DU28" s="190" t="n">
        <v>7.71969183277999</v>
      </c>
      <c r="DV28" s="190" t="n">
        <v>7.78942752079998</v>
      </c>
      <c r="DW28" s="190" t="n">
        <v>7.85916320881998</v>
      </c>
      <c r="DX28" s="190" t="n">
        <v>7.92889889683998</v>
      </c>
      <c r="DY28" s="190" t="n">
        <v>7.99863458485998</v>
      </c>
      <c r="DZ28" s="190" t="n">
        <v>8.06837027287998</v>
      </c>
      <c r="EA28" s="190" t="n">
        <v>8.13810596089998</v>
      </c>
      <c r="EB28" s="190" t="n">
        <v>8.20784164891998</v>
      </c>
      <c r="EC28" s="190" t="n">
        <v>8.27757733693998</v>
      </c>
      <c r="ED28" s="190" t="n">
        <v>8.34731302495998</v>
      </c>
      <c r="EE28" s="190" t="n">
        <v>8.41704871297998</v>
      </c>
      <c r="EF28" s="190" t="n">
        <v>8.48678440099998</v>
      </c>
      <c r="EG28" s="190" t="n">
        <v>8.55652008901998</v>
      </c>
      <c r="EH28" s="190" t="n">
        <v>8.62625577703998</v>
      </c>
      <c r="EI28" s="190" t="n">
        <v>8.69599146505998</v>
      </c>
      <c r="EJ28" s="190" t="n">
        <v>8.76572715307998</v>
      </c>
      <c r="EK28" s="190" t="n">
        <v>8.83546284109998</v>
      </c>
      <c r="EL28" s="180" t="n">
        <v>8.90519852911998</v>
      </c>
      <c r="EM28" s="180" t="n">
        <v>8.97493421713998</v>
      </c>
      <c r="EN28" s="180" t="n">
        <v>9.04466990515998</v>
      </c>
      <c r="EO28" s="180" t="n">
        <v>9.11440559317998</v>
      </c>
      <c r="EP28" s="180" t="n">
        <v>9.18414128119998</v>
      </c>
      <c r="EQ28" s="180" t="n">
        <v>9.25387696921998</v>
      </c>
      <c r="ER28" s="180" t="n">
        <v>9.32361265723998</v>
      </c>
      <c r="ES28" s="180" t="n">
        <v>9.39334834525998</v>
      </c>
      <c r="ET28" s="180" t="n">
        <v>9.46308403327998</v>
      </c>
      <c r="EU28" s="180" t="n">
        <v>9.53281972129998</v>
      </c>
      <c r="EV28" s="180" t="n">
        <v>9.60255540931998</v>
      </c>
      <c r="EW28" s="180" t="n">
        <v>9.67229109733998</v>
      </c>
      <c r="EX28" s="180" t="n">
        <v>9.74202678535998</v>
      </c>
      <c r="EY28" s="180" t="n">
        <v>9.81176247337998</v>
      </c>
      <c r="EZ28" s="180" t="n">
        <v>9.88149816139998</v>
      </c>
      <c r="FA28" s="180" t="n">
        <v>9.95123384941998</v>
      </c>
      <c r="FB28" s="180" t="n">
        <v>10.02096953744</v>
      </c>
      <c r="FC28" s="180" t="n">
        <v>10.09070522546</v>
      </c>
      <c r="FD28" s="180" t="n">
        <v>10.16044091348</v>
      </c>
      <c r="FE28" s="180" t="n">
        <v>10.2301766015</v>
      </c>
      <c r="FF28" s="180" t="n">
        <v>10.29991228952</v>
      </c>
      <c r="FG28" s="180" t="n">
        <v>10.36964797754</v>
      </c>
      <c r="FH28" s="180" t="n">
        <v>10.43938366556</v>
      </c>
      <c r="FI28" s="180" t="n">
        <v>10.50911935358</v>
      </c>
      <c r="FJ28" s="180" t="n">
        <v>10.5788550416</v>
      </c>
      <c r="FK28" s="180" t="n">
        <v>10.64859072962</v>
      </c>
      <c r="FL28" s="180" t="n">
        <v>10.71832641764</v>
      </c>
      <c r="FM28" s="180" t="n">
        <v>10.78806210566</v>
      </c>
      <c r="FN28" s="180" t="n">
        <v>10.85779779368</v>
      </c>
      <c r="FO28" s="180" t="n">
        <v>10.9275334817</v>
      </c>
      <c r="FP28" s="180" t="n">
        <v>10.99726916972</v>
      </c>
      <c r="FQ28" s="180" t="n">
        <v>11.06700485774</v>
      </c>
      <c r="FR28" s="180" t="n">
        <v>11.13674054576</v>
      </c>
      <c r="FS28" s="180" t="n">
        <v>11.20647623378</v>
      </c>
      <c r="FT28" s="180" t="n">
        <v>11.2762119218</v>
      </c>
      <c r="FU28" s="180" t="n">
        <v>11.34594760982</v>
      </c>
      <c r="FV28" s="180" t="n">
        <v>11.41568329784</v>
      </c>
      <c r="FW28" s="180" t="n">
        <v>11.48541898586</v>
      </c>
      <c r="FX28" s="180" t="n">
        <v>11.55515467388</v>
      </c>
      <c r="FY28" s="180" t="n">
        <v>11.6248903619</v>
      </c>
      <c r="FZ28" s="180" t="n">
        <v>11.69462604992</v>
      </c>
      <c r="GA28" s="180" t="n">
        <v>11.76436173794</v>
      </c>
      <c r="GB28" s="180" t="n">
        <v>11.83409742596</v>
      </c>
      <c r="GC28" s="180" t="n">
        <v>11.90383311398</v>
      </c>
      <c r="GD28" s="180" t="n">
        <v>11.973568802</v>
      </c>
      <c r="GE28" s="180" t="n">
        <v>12.04330449002</v>
      </c>
      <c r="GF28" s="180" t="n">
        <v>12.11304017804</v>
      </c>
      <c r="GG28" s="180" t="n">
        <v>12.18277586606</v>
      </c>
      <c r="GH28" s="180" t="n">
        <v>12.25251155408</v>
      </c>
      <c r="GI28" s="180" t="n">
        <v>12.3222472421</v>
      </c>
      <c r="GJ28" s="180" t="n">
        <v>12.39198293012</v>
      </c>
      <c r="GK28" s="180" t="n">
        <v>12.46171861814</v>
      </c>
      <c r="GL28" s="180" t="n">
        <v>12.53145430616</v>
      </c>
      <c r="GM28" s="180" t="n">
        <v>12.60118999418</v>
      </c>
      <c r="GN28" s="180" t="n">
        <v>12.6709256822</v>
      </c>
      <c r="GO28" s="180" t="n">
        <v>12.74066137022</v>
      </c>
      <c r="GP28" s="180" t="n">
        <v>12.81039705824</v>
      </c>
      <c r="GQ28" s="180" t="n">
        <v>12.88013274626</v>
      </c>
      <c r="GR28" s="180" t="n">
        <v>12.94986843428</v>
      </c>
      <c r="GS28" s="180" t="n">
        <v>13.0196041223</v>
      </c>
      <c r="GT28" s="180" t="n">
        <v>13.08933981032</v>
      </c>
      <c r="GU28" s="180" t="n">
        <v>13.15907549834</v>
      </c>
      <c r="GV28" s="180" t="n">
        <v>13.22881118636</v>
      </c>
      <c r="GW28" s="180" t="n">
        <v>13.29854687438</v>
      </c>
      <c r="GX28" s="180" t="n">
        <v>13.3682825624</v>
      </c>
      <c r="GY28" s="180" t="n">
        <v>13.43801825042</v>
      </c>
      <c r="GZ28" s="180" t="n">
        <v>13.50775393844</v>
      </c>
      <c r="HA28" s="180" t="n">
        <v>13.57748962646</v>
      </c>
      <c r="HB28" s="180" t="n">
        <v>13.64722531448</v>
      </c>
      <c r="HC28" s="180" t="n">
        <v>13.7169610025</v>
      </c>
      <c r="HD28" s="180" t="n">
        <v>13.78669669052</v>
      </c>
      <c r="HE28" s="180" t="n">
        <v>13.85643237854</v>
      </c>
      <c r="HF28" s="180" t="n">
        <v>13.92616806656</v>
      </c>
      <c r="HG28" s="180" t="n">
        <v>13.99590375458</v>
      </c>
      <c r="HH28" s="180" t="n">
        <v>14.0656394426</v>
      </c>
      <c r="HI28" s="180" t="n">
        <v>14.13537513062</v>
      </c>
      <c r="HJ28" s="180" t="n">
        <v>14.20511081864</v>
      </c>
      <c r="HK28" s="180" t="n">
        <v>14.27484650666</v>
      </c>
      <c r="HL28" s="180" t="n">
        <v>14.34458219468</v>
      </c>
      <c r="HM28" s="180" t="n">
        <v>14.4143178827</v>
      </c>
      <c r="HN28" s="180" t="n">
        <v>14.48405357072</v>
      </c>
      <c r="HO28" s="180" t="n">
        <v>14.55378925874</v>
      </c>
      <c r="HP28" s="180" t="n">
        <v>14.62352494676</v>
      </c>
      <c r="HQ28" s="180" t="n">
        <v>14.69326063478</v>
      </c>
      <c r="HR28" s="180" t="n">
        <v>14.7629963228</v>
      </c>
      <c r="HS28" s="180" t="n">
        <v>14.83273201082</v>
      </c>
      <c r="HT28" s="180" t="n">
        <v>14.90246769884</v>
      </c>
      <c r="HU28" s="180" t="n">
        <v>14.97220338686</v>
      </c>
      <c r="HV28" s="180" t="n">
        <v>15.04193907488</v>
      </c>
      <c r="HW28" s="180" t="n">
        <v>15.1116747629</v>
      </c>
      <c r="HX28" s="180" t="n">
        <v>15.18141045092</v>
      </c>
      <c r="HY28" s="180" t="n">
        <v>15.25114613894</v>
      </c>
      <c r="HZ28" s="180" t="n">
        <v>15.32088182696</v>
      </c>
      <c r="IA28" s="180" t="n">
        <v>15.39061751498</v>
      </c>
      <c r="IB28" s="180" t="n">
        <v>15.460353203</v>
      </c>
      <c r="IC28" s="180" t="n">
        <v>15.53008889102</v>
      </c>
      <c r="ID28" s="180" t="n">
        <v>15.59982457904</v>
      </c>
      <c r="IE28" s="180" t="n">
        <v>15.66956026706</v>
      </c>
      <c r="IF28" s="180" t="n">
        <v>15.73929595508</v>
      </c>
      <c r="IG28" s="180" t="n">
        <v>15.8090316431</v>
      </c>
      <c r="IH28" s="180" t="n">
        <v>15.87876733112</v>
      </c>
      <c r="II28" s="180" t="n">
        <v>15.94850301914</v>
      </c>
      <c r="IJ28" s="180" t="n">
        <v>16.01823870716</v>
      </c>
      <c r="IK28" s="180" t="n">
        <v>16.08797439518</v>
      </c>
      <c r="IL28" s="180" t="n">
        <v>16.1577100832</v>
      </c>
      <c r="IM28" s="180" t="n">
        <v>16.22744577122</v>
      </c>
      <c r="IN28" s="180" t="n">
        <v>16.29718145924</v>
      </c>
      <c r="IO28" s="180" t="n">
        <v>16.36691714726</v>
      </c>
      <c r="IP28" s="180" t="n">
        <v>16.43665283528</v>
      </c>
      <c r="IQ28" s="180" t="n">
        <v>16.5063885233</v>
      </c>
      <c r="IR28" s="180" t="n">
        <v>16.57612421132</v>
      </c>
      <c r="IS28" s="180" t="n">
        <v>16.64585989934</v>
      </c>
      <c r="IT28" s="180" t="n">
        <v>16.71559558736</v>
      </c>
      <c r="IU28" s="180" t="n">
        <v>16.78533127538</v>
      </c>
      <c r="IV28" s="180" t="n">
        <v>16.8550669634</v>
      </c>
    </row>
    <row r="29" customFormat="false" ht="12.75" hidden="false" customHeight="false" outlineLevel="0" collapsed="false">
      <c r="A29" s="189" t="n">
        <v>37561</v>
      </c>
      <c r="B29" s="185" t="n">
        <v>-2.021005929375</v>
      </c>
      <c r="C29" s="185" t="n">
        <v>-1.9907047400625</v>
      </c>
      <c r="D29" s="185" t="n">
        <v>-1.96040355075</v>
      </c>
      <c r="E29" s="185" t="n">
        <v>-1.9301023614375</v>
      </c>
      <c r="F29" s="185" t="n">
        <v>-1.899801172125</v>
      </c>
      <c r="G29" s="185" t="n">
        <v>-1.8694999828125</v>
      </c>
      <c r="H29" s="185" t="n">
        <v>-1.8391987935</v>
      </c>
      <c r="I29" s="185" t="n">
        <v>-1.8088976041875</v>
      </c>
      <c r="J29" s="185" t="n">
        <v>-1.778596414875</v>
      </c>
      <c r="K29" s="185" t="n">
        <v>-1.7482952255625</v>
      </c>
      <c r="L29" s="185" t="n">
        <v>-1.71799403625</v>
      </c>
      <c r="M29" s="185" t="n">
        <v>-1.6876928469375</v>
      </c>
      <c r="N29" s="185" t="n">
        <v>-1.657391657625</v>
      </c>
      <c r="O29" s="185" t="n">
        <v>-1.6270904683125</v>
      </c>
      <c r="P29" s="185" t="n">
        <v>-1.596789279</v>
      </c>
      <c r="Q29" s="185" t="n">
        <v>-1.5664880896875</v>
      </c>
      <c r="R29" s="185" t="n">
        <v>-1.536186900375</v>
      </c>
      <c r="S29" s="185" t="n">
        <v>-1.5058857110625</v>
      </c>
      <c r="T29" s="185" t="n">
        <v>-1.47558452175</v>
      </c>
      <c r="U29" s="185" t="n">
        <v>-1.4452833324375</v>
      </c>
      <c r="V29" s="186" t="n">
        <v>-1.414982143125</v>
      </c>
      <c r="W29" s="185" t="n">
        <v>-1.3846809538125</v>
      </c>
      <c r="X29" s="186" t="n">
        <v>-1.3543797645</v>
      </c>
      <c r="Y29" s="185" t="n">
        <v>-1.3240785751875</v>
      </c>
      <c r="Z29" s="186" t="n">
        <v>-1.293777385875</v>
      </c>
      <c r="AA29" s="185" t="n">
        <v>-1.2634761965625</v>
      </c>
      <c r="AB29" s="187" t="n">
        <v>-1.23317500725</v>
      </c>
      <c r="AC29" s="185" t="n">
        <v>-1.2028738179375</v>
      </c>
      <c r="AD29" s="187" t="n">
        <v>-1.172572628625</v>
      </c>
      <c r="AE29" s="185" t="n">
        <v>-1.1422714393125</v>
      </c>
      <c r="AF29" s="185" t="n">
        <v>-1.11197025</v>
      </c>
      <c r="AG29" s="190" t="n">
        <v>-1.083235125</v>
      </c>
      <c r="AH29" s="190" t="n">
        <v>-1.0545</v>
      </c>
      <c r="AI29" s="190" t="n">
        <v>-1.02725</v>
      </c>
      <c r="AJ29" s="190" t="n">
        <v>-1</v>
      </c>
      <c r="AK29" s="190" t="n">
        <v>-0.8</v>
      </c>
      <c r="AL29" s="190" t="n">
        <v>-0.6</v>
      </c>
      <c r="AM29" s="190" t="n">
        <v>-0.4</v>
      </c>
      <c r="AN29" s="190" t="n">
        <v>-0.2</v>
      </c>
      <c r="AO29" s="190" t="n">
        <v>0</v>
      </c>
      <c r="AP29" s="190" t="n">
        <v>0.2</v>
      </c>
      <c r="AQ29" s="190" t="n">
        <v>0.4</v>
      </c>
      <c r="AR29" s="190" t="n">
        <v>0.6</v>
      </c>
      <c r="AS29" s="190" t="n">
        <v>0.8</v>
      </c>
      <c r="AT29" s="190" t="n">
        <v>1</v>
      </c>
      <c r="AU29" s="190" t="n">
        <v>1.2</v>
      </c>
      <c r="AV29" s="190" t="n">
        <v>1.4</v>
      </c>
      <c r="AW29" s="190" t="n">
        <v>1.58</v>
      </c>
      <c r="AX29" s="190" t="n">
        <v>1.76</v>
      </c>
      <c r="AY29" s="190" t="n">
        <v>1.922</v>
      </c>
      <c r="AZ29" s="190" t="n">
        <v>2.084</v>
      </c>
      <c r="BA29" s="190" t="n">
        <v>2.2298</v>
      </c>
      <c r="BB29" s="190" t="n">
        <v>2.3756</v>
      </c>
      <c r="BC29" s="190" t="n">
        <v>2.50682</v>
      </c>
      <c r="BD29" s="190" t="n">
        <v>2.63804</v>
      </c>
      <c r="BE29" s="190" t="n">
        <v>2.756138</v>
      </c>
      <c r="BF29" s="190" t="n">
        <v>2.874236</v>
      </c>
      <c r="BG29" s="190" t="n">
        <v>2.9805242</v>
      </c>
      <c r="BH29" s="190" t="n">
        <v>3.0868124</v>
      </c>
      <c r="BI29" s="190" t="n">
        <v>3.18247178</v>
      </c>
      <c r="BJ29" s="190" t="n">
        <v>3.27813116</v>
      </c>
      <c r="BK29" s="190" t="n">
        <v>3.364224602</v>
      </c>
      <c r="BL29" s="190" t="n">
        <v>3.450318044</v>
      </c>
      <c r="BM29" s="190" t="n">
        <v>3.5278021418</v>
      </c>
      <c r="BN29" s="190" t="n">
        <v>3.6052862396</v>
      </c>
      <c r="BO29" s="190" t="n">
        <v>3.67502192762</v>
      </c>
      <c r="BP29" s="190" t="n">
        <v>3.74475761564</v>
      </c>
      <c r="BQ29" s="190" t="n">
        <v>3.81449330366</v>
      </c>
      <c r="BR29" s="190" t="n">
        <v>3.88422899168</v>
      </c>
      <c r="BS29" s="190" t="n">
        <v>3.9539646797</v>
      </c>
      <c r="BT29" s="190" t="n">
        <v>4.02370036772</v>
      </c>
      <c r="BU29" s="190" t="n">
        <v>4.09343605574</v>
      </c>
      <c r="BV29" s="190" t="n">
        <v>4.16317174376</v>
      </c>
      <c r="BW29" s="190" t="n">
        <v>4.23290743178</v>
      </c>
      <c r="BX29" s="190" t="n">
        <v>4.3026431198</v>
      </c>
      <c r="BY29" s="190" t="n">
        <v>4.37237880782</v>
      </c>
      <c r="BZ29" s="190" t="n">
        <v>4.44211449584</v>
      </c>
      <c r="CA29" s="190" t="n">
        <v>4.51185018386</v>
      </c>
      <c r="CB29" s="190" t="n">
        <v>4.58158587188</v>
      </c>
      <c r="CC29" s="190" t="n">
        <v>4.6513215599</v>
      </c>
      <c r="CD29" s="190" t="n">
        <v>4.72105724792</v>
      </c>
      <c r="CE29" s="190" t="n">
        <v>4.79079293594</v>
      </c>
      <c r="CF29" s="190" t="n">
        <v>4.86052862396</v>
      </c>
      <c r="CG29" s="190" t="n">
        <v>4.93026431198</v>
      </c>
      <c r="CH29" s="190" t="n">
        <v>5</v>
      </c>
      <c r="CI29" s="190" t="n">
        <v>5.06973568801999</v>
      </c>
      <c r="CJ29" s="190" t="n">
        <v>5.13947137603999</v>
      </c>
      <c r="CK29" s="190" t="n">
        <v>5.20920706405999</v>
      </c>
      <c r="CL29" s="190" t="n">
        <v>5.27894275207999</v>
      </c>
      <c r="CM29" s="190" t="n">
        <v>5.34867844009999</v>
      </c>
      <c r="CN29" s="190" t="n">
        <v>5.41841412811999</v>
      </c>
      <c r="CO29" s="190" t="n">
        <v>5.48814981613999</v>
      </c>
      <c r="CP29" s="190" t="n">
        <v>5.55788550415999</v>
      </c>
      <c r="CQ29" s="190" t="n">
        <v>5.62762119217999</v>
      </c>
      <c r="CR29" s="190" t="n">
        <v>5.69735688019999</v>
      </c>
      <c r="CS29" s="190" t="n">
        <v>5.76709256821999</v>
      </c>
      <c r="CT29" s="190" t="n">
        <v>5.83682825623999</v>
      </c>
      <c r="CU29" s="190" t="n">
        <v>5.90656394425999</v>
      </c>
      <c r="CV29" s="190" t="n">
        <v>5.97629963227999</v>
      </c>
      <c r="CW29" s="190" t="n">
        <v>6.04603532029999</v>
      </c>
      <c r="CX29" s="190" t="n">
        <v>6.11577100831999</v>
      </c>
      <c r="CY29" s="190" t="n">
        <v>6.18550669633999</v>
      </c>
      <c r="CZ29" s="190" t="n">
        <v>6.25524238435999</v>
      </c>
      <c r="DA29" s="190" t="n">
        <v>6.32497807237999</v>
      </c>
      <c r="DB29" s="190" t="n">
        <v>6.39471376039999</v>
      </c>
      <c r="DC29" s="190" t="n">
        <v>6.46444944841999</v>
      </c>
      <c r="DD29" s="190" t="n">
        <v>6.53418513643999</v>
      </c>
      <c r="DE29" s="190" t="n">
        <v>6.60392082445999</v>
      </c>
      <c r="DF29" s="190" t="n">
        <v>6.67365651247999</v>
      </c>
      <c r="DG29" s="190" t="n">
        <v>6.74339220049999</v>
      </c>
      <c r="DH29" s="190" t="n">
        <v>6.81312788851999</v>
      </c>
      <c r="DI29" s="190" t="n">
        <v>6.88286357653999</v>
      </c>
      <c r="DJ29" s="190" t="n">
        <v>6.95259926455999</v>
      </c>
      <c r="DK29" s="190" t="n">
        <v>7.02233495257999</v>
      </c>
      <c r="DL29" s="190" t="n">
        <v>7.09207064059999</v>
      </c>
      <c r="DM29" s="190" t="n">
        <v>7.16180632861999</v>
      </c>
      <c r="DN29" s="190" t="n">
        <v>7.23154201663999</v>
      </c>
      <c r="DO29" s="190" t="n">
        <v>7.30127770465999</v>
      </c>
      <c r="DP29" s="190" t="n">
        <v>7.37101339267999</v>
      </c>
      <c r="DQ29" s="190" t="n">
        <v>7.44074908069999</v>
      </c>
      <c r="DR29" s="190" t="n">
        <v>7.51048476871999</v>
      </c>
      <c r="DS29" s="190" t="n">
        <v>7.58022045673999</v>
      </c>
      <c r="DT29" s="190" t="n">
        <v>7.64995614475999</v>
      </c>
      <c r="DU29" s="190" t="n">
        <v>7.71969183277999</v>
      </c>
      <c r="DV29" s="190" t="n">
        <v>7.78942752079998</v>
      </c>
      <c r="DW29" s="190" t="n">
        <v>7.85916320881998</v>
      </c>
      <c r="DX29" s="190" t="n">
        <v>7.92889889683998</v>
      </c>
      <c r="DY29" s="190" t="n">
        <v>7.99863458485998</v>
      </c>
      <c r="DZ29" s="190" t="n">
        <v>8.06837027287998</v>
      </c>
      <c r="EA29" s="190" t="n">
        <v>8.13810596089998</v>
      </c>
      <c r="EB29" s="190" t="n">
        <v>8.20784164891998</v>
      </c>
      <c r="EC29" s="190" t="n">
        <v>8.27757733693998</v>
      </c>
      <c r="ED29" s="190" t="n">
        <v>8.34731302495998</v>
      </c>
      <c r="EE29" s="190" t="n">
        <v>8.41704871297998</v>
      </c>
      <c r="EF29" s="190" t="n">
        <v>8.48678440099998</v>
      </c>
      <c r="EG29" s="190" t="n">
        <v>8.55652008901998</v>
      </c>
      <c r="EH29" s="190" t="n">
        <v>8.62625577703998</v>
      </c>
      <c r="EI29" s="190" t="n">
        <v>8.69599146505998</v>
      </c>
      <c r="EJ29" s="190" t="n">
        <v>8.76572715307998</v>
      </c>
      <c r="EK29" s="190" t="n">
        <v>8.83546284109998</v>
      </c>
      <c r="EL29" s="180" t="n">
        <v>8.90519852911998</v>
      </c>
      <c r="EM29" s="180" t="n">
        <v>8.97493421713998</v>
      </c>
      <c r="EN29" s="180" t="n">
        <v>9.04466990515998</v>
      </c>
      <c r="EO29" s="180" t="n">
        <v>9.11440559317998</v>
      </c>
      <c r="EP29" s="180" t="n">
        <v>9.18414128119998</v>
      </c>
      <c r="EQ29" s="180" t="n">
        <v>9.25387696921998</v>
      </c>
      <c r="ER29" s="180" t="n">
        <v>9.32361265723998</v>
      </c>
      <c r="ES29" s="180" t="n">
        <v>9.39334834525998</v>
      </c>
      <c r="ET29" s="180" t="n">
        <v>9.46308403327998</v>
      </c>
      <c r="EU29" s="180" t="n">
        <v>9.53281972129998</v>
      </c>
      <c r="EV29" s="180" t="n">
        <v>9.60255540931998</v>
      </c>
      <c r="EW29" s="180" t="n">
        <v>9.67229109733998</v>
      </c>
      <c r="EX29" s="180" t="n">
        <v>9.74202678535998</v>
      </c>
      <c r="EY29" s="180" t="n">
        <v>9.81176247337998</v>
      </c>
      <c r="EZ29" s="180" t="n">
        <v>9.88149816139998</v>
      </c>
      <c r="FA29" s="180" t="n">
        <v>9.95123384941998</v>
      </c>
      <c r="FB29" s="180" t="n">
        <v>10.02096953744</v>
      </c>
      <c r="FC29" s="180" t="n">
        <v>10.09070522546</v>
      </c>
      <c r="FD29" s="180" t="n">
        <v>10.16044091348</v>
      </c>
      <c r="FE29" s="180" t="n">
        <v>10.2301766015</v>
      </c>
      <c r="FF29" s="180" t="n">
        <v>10.29991228952</v>
      </c>
      <c r="FG29" s="180" t="n">
        <v>10.36964797754</v>
      </c>
      <c r="FH29" s="180" t="n">
        <v>10.43938366556</v>
      </c>
      <c r="FI29" s="180" t="n">
        <v>10.50911935358</v>
      </c>
      <c r="FJ29" s="180" t="n">
        <v>10.5788550416</v>
      </c>
      <c r="FK29" s="180" t="n">
        <v>10.64859072962</v>
      </c>
      <c r="FL29" s="180" t="n">
        <v>10.71832641764</v>
      </c>
      <c r="FM29" s="180" t="n">
        <v>10.78806210566</v>
      </c>
      <c r="FN29" s="180" t="n">
        <v>10.85779779368</v>
      </c>
      <c r="FO29" s="180" t="n">
        <v>10.9275334817</v>
      </c>
      <c r="FP29" s="180" t="n">
        <v>10.99726916972</v>
      </c>
      <c r="FQ29" s="180" t="n">
        <v>11.06700485774</v>
      </c>
      <c r="FR29" s="180" t="n">
        <v>11.13674054576</v>
      </c>
      <c r="FS29" s="180" t="n">
        <v>11.20647623378</v>
      </c>
      <c r="FT29" s="180" t="n">
        <v>11.2762119218</v>
      </c>
      <c r="FU29" s="180" t="n">
        <v>11.34594760982</v>
      </c>
      <c r="FV29" s="180" t="n">
        <v>11.41568329784</v>
      </c>
      <c r="FW29" s="180" t="n">
        <v>11.48541898586</v>
      </c>
      <c r="FX29" s="180" t="n">
        <v>11.55515467388</v>
      </c>
      <c r="FY29" s="180" t="n">
        <v>11.6248903619</v>
      </c>
      <c r="FZ29" s="180" t="n">
        <v>11.69462604992</v>
      </c>
      <c r="GA29" s="180" t="n">
        <v>11.76436173794</v>
      </c>
      <c r="GB29" s="180" t="n">
        <v>11.83409742596</v>
      </c>
      <c r="GC29" s="180" t="n">
        <v>11.90383311398</v>
      </c>
      <c r="GD29" s="180" t="n">
        <v>11.973568802</v>
      </c>
      <c r="GE29" s="180" t="n">
        <v>12.04330449002</v>
      </c>
      <c r="GF29" s="180" t="n">
        <v>12.11304017804</v>
      </c>
      <c r="GG29" s="180" t="n">
        <v>12.18277586606</v>
      </c>
      <c r="GH29" s="180" t="n">
        <v>12.25251155408</v>
      </c>
      <c r="GI29" s="180" t="n">
        <v>12.3222472421</v>
      </c>
      <c r="GJ29" s="180" t="n">
        <v>12.39198293012</v>
      </c>
      <c r="GK29" s="180" t="n">
        <v>12.46171861814</v>
      </c>
      <c r="GL29" s="180" t="n">
        <v>12.53145430616</v>
      </c>
      <c r="GM29" s="180" t="n">
        <v>12.60118999418</v>
      </c>
      <c r="GN29" s="180" t="n">
        <v>12.6709256822</v>
      </c>
      <c r="GO29" s="180" t="n">
        <v>12.74066137022</v>
      </c>
      <c r="GP29" s="180" t="n">
        <v>12.81039705824</v>
      </c>
      <c r="GQ29" s="180" t="n">
        <v>12.88013274626</v>
      </c>
      <c r="GR29" s="180" t="n">
        <v>12.94986843428</v>
      </c>
      <c r="GS29" s="180" t="n">
        <v>13.0196041223</v>
      </c>
      <c r="GT29" s="180" t="n">
        <v>13.08933981032</v>
      </c>
      <c r="GU29" s="180" t="n">
        <v>13.15907549834</v>
      </c>
      <c r="GV29" s="180" t="n">
        <v>13.22881118636</v>
      </c>
      <c r="GW29" s="180" t="n">
        <v>13.29854687438</v>
      </c>
      <c r="GX29" s="180" t="n">
        <v>13.3682825624</v>
      </c>
      <c r="GY29" s="180" t="n">
        <v>13.43801825042</v>
      </c>
      <c r="GZ29" s="180" t="n">
        <v>13.50775393844</v>
      </c>
      <c r="HA29" s="180" t="n">
        <v>13.57748962646</v>
      </c>
      <c r="HB29" s="180" t="n">
        <v>13.64722531448</v>
      </c>
      <c r="HC29" s="180" t="n">
        <v>13.7169610025</v>
      </c>
      <c r="HD29" s="180" t="n">
        <v>13.78669669052</v>
      </c>
      <c r="HE29" s="180" t="n">
        <v>13.85643237854</v>
      </c>
      <c r="HF29" s="180" t="n">
        <v>13.92616806656</v>
      </c>
      <c r="HG29" s="180" t="n">
        <v>13.99590375458</v>
      </c>
      <c r="HH29" s="180" t="n">
        <v>14.0656394426</v>
      </c>
      <c r="HI29" s="180" t="n">
        <v>14.13537513062</v>
      </c>
      <c r="HJ29" s="180" t="n">
        <v>14.20511081864</v>
      </c>
      <c r="HK29" s="180" t="n">
        <v>14.27484650666</v>
      </c>
      <c r="HL29" s="180" t="n">
        <v>14.34458219468</v>
      </c>
      <c r="HM29" s="180" t="n">
        <v>14.4143178827</v>
      </c>
      <c r="HN29" s="180" t="n">
        <v>14.48405357072</v>
      </c>
      <c r="HO29" s="180" t="n">
        <v>14.55378925874</v>
      </c>
      <c r="HP29" s="180" t="n">
        <v>14.62352494676</v>
      </c>
      <c r="HQ29" s="180" t="n">
        <v>14.69326063478</v>
      </c>
      <c r="HR29" s="180" t="n">
        <v>14.7629963228</v>
      </c>
      <c r="HS29" s="180" t="n">
        <v>14.83273201082</v>
      </c>
      <c r="HT29" s="180" t="n">
        <v>14.90246769884</v>
      </c>
      <c r="HU29" s="180" t="n">
        <v>14.97220338686</v>
      </c>
      <c r="HV29" s="180" t="n">
        <v>15.04193907488</v>
      </c>
      <c r="HW29" s="180" t="n">
        <v>15.1116747629</v>
      </c>
      <c r="HX29" s="180" t="n">
        <v>15.18141045092</v>
      </c>
      <c r="HY29" s="180" t="n">
        <v>15.25114613894</v>
      </c>
      <c r="HZ29" s="180" t="n">
        <v>15.32088182696</v>
      </c>
      <c r="IA29" s="180" t="n">
        <v>15.39061751498</v>
      </c>
      <c r="IB29" s="180" t="n">
        <v>15.460353203</v>
      </c>
      <c r="IC29" s="180" t="n">
        <v>15.53008889102</v>
      </c>
      <c r="ID29" s="180" t="n">
        <v>15.59982457904</v>
      </c>
      <c r="IE29" s="180" t="n">
        <v>15.66956026706</v>
      </c>
      <c r="IF29" s="180" t="n">
        <v>15.73929595508</v>
      </c>
      <c r="IG29" s="180" t="n">
        <v>15.8090316431</v>
      </c>
      <c r="IH29" s="180" t="n">
        <v>15.87876733112</v>
      </c>
      <c r="II29" s="180" t="n">
        <v>15.94850301914</v>
      </c>
      <c r="IJ29" s="180" t="n">
        <v>16.01823870716</v>
      </c>
      <c r="IK29" s="180" t="n">
        <v>16.08797439518</v>
      </c>
      <c r="IL29" s="180" t="n">
        <v>16.1577100832</v>
      </c>
      <c r="IM29" s="180" t="n">
        <v>16.22744577122</v>
      </c>
      <c r="IN29" s="180" t="n">
        <v>16.29718145924</v>
      </c>
      <c r="IO29" s="180" t="n">
        <v>16.36691714726</v>
      </c>
      <c r="IP29" s="180" t="n">
        <v>16.43665283528</v>
      </c>
      <c r="IQ29" s="180" t="n">
        <v>16.5063885233</v>
      </c>
      <c r="IR29" s="180" t="n">
        <v>16.57612421132</v>
      </c>
      <c r="IS29" s="180" t="n">
        <v>16.64585989934</v>
      </c>
      <c r="IT29" s="180" t="n">
        <v>16.71559558736</v>
      </c>
      <c r="IU29" s="180" t="n">
        <v>16.78533127538</v>
      </c>
      <c r="IV29" s="180" t="n">
        <v>16.8550669634</v>
      </c>
    </row>
    <row r="30" customFormat="false" ht="12.75" hidden="false" customHeight="false" outlineLevel="0" collapsed="false">
      <c r="A30" s="189" t="n">
        <v>37591</v>
      </c>
      <c r="B30" s="185" t="n">
        <v>-2.021005929375</v>
      </c>
      <c r="C30" s="185" t="n">
        <v>-1.9907047400625</v>
      </c>
      <c r="D30" s="185" t="n">
        <v>-1.96040355075</v>
      </c>
      <c r="E30" s="185" t="n">
        <v>-1.9301023614375</v>
      </c>
      <c r="F30" s="185" t="n">
        <v>-1.899801172125</v>
      </c>
      <c r="G30" s="185" t="n">
        <v>-1.8694999828125</v>
      </c>
      <c r="H30" s="185" t="n">
        <v>-1.8391987935</v>
      </c>
      <c r="I30" s="185" t="n">
        <v>-1.8088976041875</v>
      </c>
      <c r="J30" s="185" t="n">
        <v>-1.778596414875</v>
      </c>
      <c r="K30" s="185" t="n">
        <v>-1.7482952255625</v>
      </c>
      <c r="L30" s="185" t="n">
        <v>-1.71799403625</v>
      </c>
      <c r="M30" s="185" t="n">
        <v>-1.6876928469375</v>
      </c>
      <c r="N30" s="185" t="n">
        <v>-1.657391657625</v>
      </c>
      <c r="O30" s="185" t="n">
        <v>-1.6270904683125</v>
      </c>
      <c r="P30" s="185" t="n">
        <v>-1.596789279</v>
      </c>
      <c r="Q30" s="185" t="n">
        <v>-1.5664880896875</v>
      </c>
      <c r="R30" s="185" t="n">
        <v>-1.536186900375</v>
      </c>
      <c r="S30" s="185" t="n">
        <v>-1.5058857110625</v>
      </c>
      <c r="T30" s="185" t="n">
        <v>-1.47558452175</v>
      </c>
      <c r="U30" s="185" t="n">
        <v>-1.4452833324375</v>
      </c>
      <c r="V30" s="186" t="n">
        <v>-1.414982143125</v>
      </c>
      <c r="W30" s="185" t="n">
        <v>-1.3846809538125</v>
      </c>
      <c r="X30" s="186" t="n">
        <v>-1.3543797645</v>
      </c>
      <c r="Y30" s="185" t="n">
        <v>-1.3240785751875</v>
      </c>
      <c r="Z30" s="186" t="n">
        <v>-1.293777385875</v>
      </c>
      <c r="AA30" s="185" t="n">
        <v>-1.2634761965625</v>
      </c>
      <c r="AB30" s="187" t="n">
        <v>-1.23317500725</v>
      </c>
      <c r="AC30" s="185" t="n">
        <v>-1.2028738179375</v>
      </c>
      <c r="AD30" s="187" t="n">
        <v>-1.172572628625</v>
      </c>
      <c r="AE30" s="185" t="n">
        <v>-1.1422714393125</v>
      </c>
      <c r="AF30" s="185" t="n">
        <v>-1.11197025</v>
      </c>
      <c r="AG30" s="190" t="n">
        <v>-1.083235125</v>
      </c>
      <c r="AH30" s="190" t="n">
        <v>-1.0545</v>
      </c>
      <c r="AI30" s="190" t="n">
        <v>-1.02725</v>
      </c>
      <c r="AJ30" s="190" t="n">
        <v>-1</v>
      </c>
      <c r="AK30" s="190" t="n">
        <v>-0.8</v>
      </c>
      <c r="AL30" s="190" t="n">
        <v>-0.6</v>
      </c>
      <c r="AM30" s="190" t="n">
        <v>-0.4</v>
      </c>
      <c r="AN30" s="190" t="n">
        <v>-0.2</v>
      </c>
      <c r="AO30" s="190" t="n">
        <v>0</v>
      </c>
      <c r="AP30" s="190" t="n">
        <v>0.2</v>
      </c>
      <c r="AQ30" s="190" t="n">
        <v>0.4</v>
      </c>
      <c r="AR30" s="190" t="n">
        <v>0.6</v>
      </c>
      <c r="AS30" s="190" t="n">
        <v>0.8</v>
      </c>
      <c r="AT30" s="190" t="n">
        <v>1</v>
      </c>
      <c r="AU30" s="190" t="n">
        <v>1.2</v>
      </c>
      <c r="AV30" s="190" t="n">
        <v>1.4</v>
      </c>
      <c r="AW30" s="190" t="n">
        <v>1.58</v>
      </c>
      <c r="AX30" s="190" t="n">
        <v>1.76</v>
      </c>
      <c r="AY30" s="190" t="n">
        <v>1.922</v>
      </c>
      <c r="AZ30" s="190" t="n">
        <v>2.084</v>
      </c>
      <c r="BA30" s="190" t="n">
        <v>2.2298</v>
      </c>
      <c r="BB30" s="190" t="n">
        <v>2.3756</v>
      </c>
      <c r="BC30" s="190" t="n">
        <v>2.50682</v>
      </c>
      <c r="BD30" s="190" t="n">
        <v>2.63804</v>
      </c>
      <c r="BE30" s="190" t="n">
        <v>2.756138</v>
      </c>
      <c r="BF30" s="190" t="n">
        <v>2.874236</v>
      </c>
      <c r="BG30" s="190" t="n">
        <v>2.9805242</v>
      </c>
      <c r="BH30" s="190" t="n">
        <v>3.0868124</v>
      </c>
      <c r="BI30" s="190" t="n">
        <v>3.18247178</v>
      </c>
      <c r="BJ30" s="190" t="n">
        <v>3.27813116</v>
      </c>
      <c r="BK30" s="190" t="n">
        <v>3.364224602</v>
      </c>
      <c r="BL30" s="190" t="n">
        <v>3.450318044</v>
      </c>
      <c r="BM30" s="190" t="n">
        <v>3.5278021418</v>
      </c>
      <c r="BN30" s="190" t="n">
        <v>3.6052862396</v>
      </c>
      <c r="BO30" s="190" t="n">
        <v>3.67502192762</v>
      </c>
      <c r="BP30" s="190" t="n">
        <v>3.74475761564</v>
      </c>
      <c r="BQ30" s="190" t="n">
        <v>3.81449330366</v>
      </c>
      <c r="BR30" s="190" t="n">
        <v>3.88422899168</v>
      </c>
      <c r="BS30" s="190" t="n">
        <v>3.9539646797</v>
      </c>
      <c r="BT30" s="190" t="n">
        <v>4.02370036772</v>
      </c>
      <c r="BU30" s="190" t="n">
        <v>4.09343605574</v>
      </c>
      <c r="BV30" s="190" t="n">
        <v>4.16317174376</v>
      </c>
      <c r="BW30" s="190" t="n">
        <v>4.23290743178</v>
      </c>
      <c r="BX30" s="190" t="n">
        <v>4.3026431198</v>
      </c>
      <c r="BY30" s="190" t="n">
        <v>4.37237880782</v>
      </c>
      <c r="BZ30" s="190" t="n">
        <v>4.44211449584</v>
      </c>
      <c r="CA30" s="190" t="n">
        <v>4.51185018386</v>
      </c>
      <c r="CB30" s="190" t="n">
        <v>4.58158587188</v>
      </c>
      <c r="CC30" s="190" t="n">
        <v>4.6513215599</v>
      </c>
      <c r="CD30" s="190" t="n">
        <v>4.72105724792</v>
      </c>
      <c r="CE30" s="190" t="n">
        <v>4.79079293594</v>
      </c>
      <c r="CF30" s="190" t="n">
        <v>4.86052862396</v>
      </c>
      <c r="CG30" s="190" t="n">
        <v>4.93026431198</v>
      </c>
      <c r="CH30" s="190" t="n">
        <v>5</v>
      </c>
      <c r="CI30" s="190" t="n">
        <v>5.06973568801999</v>
      </c>
      <c r="CJ30" s="190" t="n">
        <v>5.13947137603999</v>
      </c>
      <c r="CK30" s="190" t="n">
        <v>5.20920706405999</v>
      </c>
      <c r="CL30" s="190" t="n">
        <v>5.27894275207999</v>
      </c>
      <c r="CM30" s="190" t="n">
        <v>5.34867844009999</v>
      </c>
      <c r="CN30" s="190" t="n">
        <v>5.41841412811999</v>
      </c>
      <c r="CO30" s="190" t="n">
        <v>5.48814981613999</v>
      </c>
      <c r="CP30" s="190" t="n">
        <v>5.55788550415999</v>
      </c>
      <c r="CQ30" s="190" t="n">
        <v>5.62762119217999</v>
      </c>
      <c r="CR30" s="190" t="n">
        <v>5.69735688019999</v>
      </c>
      <c r="CS30" s="190" t="n">
        <v>5.76709256821999</v>
      </c>
      <c r="CT30" s="190" t="n">
        <v>5.83682825623999</v>
      </c>
      <c r="CU30" s="190" t="n">
        <v>5.90656394425999</v>
      </c>
      <c r="CV30" s="190" t="n">
        <v>5.97629963227999</v>
      </c>
      <c r="CW30" s="190" t="n">
        <v>6.04603532029999</v>
      </c>
      <c r="CX30" s="190" t="n">
        <v>6.11577100831999</v>
      </c>
      <c r="CY30" s="190" t="n">
        <v>6.18550669633999</v>
      </c>
      <c r="CZ30" s="190" t="n">
        <v>6.25524238435999</v>
      </c>
      <c r="DA30" s="190" t="n">
        <v>6.32497807237999</v>
      </c>
      <c r="DB30" s="190" t="n">
        <v>6.39471376039999</v>
      </c>
      <c r="DC30" s="190" t="n">
        <v>6.46444944841999</v>
      </c>
      <c r="DD30" s="190" t="n">
        <v>6.53418513643999</v>
      </c>
      <c r="DE30" s="190" t="n">
        <v>6.60392082445999</v>
      </c>
      <c r="DF30" s="190" t="n">
        <v>6.67365651247999</v>
      </c>
      <c r="DG30" s="190" t="n">
        <v>6.74339220049999</v>
      </c>
      <c r="DH30" s="190" t="n">
        <v>6.81312788851999</v>
      </c>
      <c r="DI30" s="190" t="n">
        <v>6.88286357653999</v>
      </c>
      <c r="DJ30" s="190" t="n">
        <v>6.95259926455999</v>
      </c>
      <c r="DK30" s="190" t="n">
        <v>7.02233495257999</v>
      </c>
      <c r="DL30" s="190" t="n">
        <v>7.09207064059999</v>
      </c>
      <c r="DM30" s="190" t="n">
        <v>7.16180632861999</v>
      </c>
      <c r="DN30" s="190" t="n">
        <v>7.23154201663999</v>
      </c>
      <c r="DO30" s="190" t="n">
        <v>7.30127770465999</v>
      </c>
      <c r="DP30" s="190" t="n">
        <v>7.37101339267999</v>
      </c>
      <c r="DQ30" s="190" t="n">
        <v>7.44074908069999</v>
      </c>
      <c r="DR30" s="190" t="n">
        <v>7.51048476871999</v>
      </c>
      <c r="DS30" s="190" t="n">
        <v>7.58022045673999</v>
      </c>
      <c r="DT30" s="190" t="n">
        <v>7.64995614475999</v>
      </c>
      <c r="DU30" s="190" t="n">
        <v>7.71969183277999</v>
      </c>
      <c r="DV30" s="190" t="n">
        <v>7.78942752079998</v>
      </c>
      <c r="DW30" s="190" t="n">
        <v>7.85916320881998</v>
      </c>
      <c r="DX30" s="190" t="n">
        <v>7.92889889683998</v>
      </c>
      <c r="DY30" s="190" t="n">
        <v>7.99863458485998</v>
      </c>
      <c r="DZ30" s="190" t="n">
        <v>8.06837027287998</v>
      </c>
      <c r="EA30" s="190" t="n">
        <v>8.13810596089998</v>
      </c>
      <c r="EB30" s="190" t="n">
        <v>8.20784164891998</v>
      </c>
      <c r="EC30" s="190" t="n">
        <v>8.27757733693998</v>
      </c>
      <c r="ED30" s="190" t="n">
        <v>8.34731302495998</v>
      </c>
      <c r="EE30" s="190" t="n">
        <v>8.41704871297998</v>
      </c>
      <c r="EF30" s="190" t="n">
        <v>8.48678440099998</v>
      </c>
      <c r="EG30" s="190" t="n">
        <v>8.55652008901998</v>
      </c>
      <c r="EH30" s="190" t="n">
        <v>8.62625577703998</v>
      </c>
      <c r="EI30" s="190" t="n">
        <v>8.69599146505998</v>
      </c>
      <c r="EJ30" s="190" t="n">
        <v>8.76572715307998</v>
      </c>
      <c r="EK30" s="190" t="n">
        <v>8.83546284109998</v>
      </c>
      <c r="EL30" s="180" t="n">
        <v>8.90519852911998</v>
      </c>
      <c r="EM30" s="180" t="n">
        <v>8.97493421713998</v>
      </c>
      <c r="EN30" s="180" t="n">
        <v>9.04466990515998</v>
      </c>
      <c r="EO30" s="180" t="n">
        <v>9.11440559317998</v>
      </c>
      <c r="EP30" s="180" t="n">
        <v>9.18414128119998</v>
      </c>
      <c r="EQ30" s="180" t="n">
        <v>9.25387696921998</v>
      </c>
      <c r="ER30" s="180" t="n">
        <v>9.32361265723998</v>
      </c>
      <c r="ES30" s="180" t="n">
        <v>9.39334834525998</v>
      </c>
      <c r="ET30" s="180" t="n">
        <v>9.46308403327998</v>
      </c>
      <c r="EU30" s="180" t="n">
        <v>9.53281972129998</v>
      </c>
      <c r="EV30" s="180" t="n">
        <v>9.60255540931998</v>
      </c>
      <c r="EW30" s="180" t="n">
        <v>9.67229109733998</v>
      </c>
      <c r="EX30" s="180" t="n">
        <v>9.74202678535998</v>
      </c>
      <c r="EY30" s="180" t="n">
        <v>9.81176247337998</v>
      </c>
      <c r="EZ30" s="180" t="n">
        <v>9.88149816139998</v>
      </c>
      <c r="FA30" s="180" t="n">
        <v>9.95123384941998</v>
      </c>
      <c r="FB30" s="180" t="n">
        <v>10.02096953744</v>
      </c>
      <c r="FC30" s="180" t="n">
        <v>10.09070522546</v>
      </c>
      <c r="FD30" s="180" t="n">
        <v>10.16044091348</v>
      </c>
      <c r="FE30" s="180" t="n">
        <v>10.2301766015</v>
      </c>
      <c r="FF30" s="180" t="n">
        <v>10.29991228952</v>
      </c>
      <c r="FG30" s="180" t="n">
        <v>10.36964797754</v>
      </c>
      <c r="FH30" s="180" t="n">
        <v>10.43938366556</v>
      </c>
      <c r="FI30" s="180" t="n">
        <v>10.50911935358</v>
      </c>
      <c r="FJ30" s="180" t="n">
        <v>10.5788550416</v>
      </c>
      <c r="FK30" s="180" t="n">
        <v>10.64859072962</v>
      </c>
      <c r="FL30" s="180" t="n">
        <v>10.71832641764</v>
      </c>
      <c r="FM30" s="180" t="n">
        <v>10.78806210566</v>
      </c>
      <c r="FN30" s="180" t="n">
        <v>10.85779779368</v>
      </c>
      <c r="FO30" s="180" t="n">
        <v>10.9275334817</v>
      </c>
      <c r="FP30" s="180" t="n">
        <v>10.99726916972</v>
      </c>
      <c r="FQ30" s="180" t="n">
        <v>11.06700485774</v>
      </c>
      <c r="FR30" s="180" t="n">
        <v>11.13674054576</v>
      </c>
      <c r="FS30" s="180" t="n">
        <v>11.20647623378</v>
      </c>
      <c r="FT30" s="180" t="n">
        <v>11.2762119218</v>
      </c>
      <c r="FU30" s="180" t="n">
        <v>11.34594760982</v>
      </c>
      <c r="FV30" s="180" t="n">
        <v>11.41568329784</v>
      </c>
      <c r="FW30" s="180" t="n">
        <v>11.48541898586</v>
      </c>
      <c r="FX30" s="180" t="n">
        <v>11.55515467388</v>
      </c>
      <c r="FY30" s="180" t="n">
        <v>11.6248903619</v>
      </c>
      <c r="FZ30" s="180" t="n">
        <v>11.69462604992</v>
      </c>
      <c r="GA30" s="180" t="n">
        <v>11.76436173794</v>
      </c>
      <c r="GB30" s="180" t="n">
        <v>11.83409742596</v>
      </c>
      <c r="GC30" s="180" t="n">
        <v>11.90383311398</v>
      </c>
      <c r="GD30" s="180" t="n">
        <v>11.973568802</v>
      </c>
      <c r="GE30" s="180" t="n">
        <v>12.04330449002</v>
      </c>
      <c r="GF30" s="180" t="n">
        <v>12.11304017804</v>
      </c>
      <c r="GG30" s="180" t="n">
        <v>12.18277586606</v>
      </c>
      <c r="GH30" s="180" t="n">
        <v>12.25251155408</v>
      </c>
      <c r="GI30" s="180" t="n">
        <v>12.3222472421</v>
      </c>
      <c r="GJ30" s="180" t="n">
        <v>12.39198293012</v>
      </c>
      <c r="GK30" s="180" t="n">
        <v>12.46171861814</v>
      </c>
      <c r="GL30" s="180" t="n">
        <v>12.53145430616</v>
      </c>
      <c r="GM30" s="180" t="n">
        <v>12.60118999418</v>
      </c>
      <c r="GN30" s="180" t="n">
        <v>12.6709256822</v>
      </c>
      <c r="GO30" s="180" t="n">
        <v>12.74066137022</v>
      </c>
      <c r="GP30" s="180" t="n">
        <v>12.81039705824</v>
      </c>
      <c r="GQ30" s="180" t="n">
        <v>12.88013274626</v>
      </c>
      <c r="GR30" s="180" t="n">
        <v>12.94986843428</v>
      </c>
      <c r="GS30" s="180" t="n">
        <v>13.0196041223</v>
      </c>
      <c r="GT30" s="180" t="n">
        <v>13.08933981032</v>
      </c>
      <c r="GU30" s="180" t="n">
        <v>13.15907549834</v>
      </c>
      <c r="GV30" s="180" t="n">
        <v>13.22881118636</v>
      </c>
      <c r="GW30" s="180" t="n">
        <v>13.29854687438</v>
      </c>
      <c r="GX30" s="180" t="n">
        <v>13.3682825624</v>
      </c>
      <c r="GY30" s="180" t="n">
        <v>13.43801825042</v>
      </c>
      <c r="GZ30" s="180" t="n">
        <v>13.50775393844</v>
      </c>
      <c r="HA30" s="180" t="n">
        <v>13.57748962646</v>
      </c>
      <c r="HB30" s="180" t="n">
        <v>13.64722531448</v>
      </c>
      <c r="HC30" s="180" t="n">
        <v>13.7169610025</v>
      </c>
      <c r="HD30" s="180" t="n">
        <v>13.78669669052</v>
      </c>
      <c r="HE30" s="180" t="n">
        <v>13.85643237854</v>
      </c>
      <c r="HF30" s="180" t="n">
        <v>13.92616806656</v>
      </c>
      <c r="HG30" s="180" t="n">
        <v>13.99590375458</v>
      </c>
      <c r="HH30" s="180" t="n">
        <v>14.0656394426</v>
      </c>
      <c r="HI30" s="180" t="n">
        <v>14.13537513062</v>
      </c>
      <c r="HJ30" s="180" t="n">
        <v>14.20511081864</v>
      </c>
      <c r="HK30" s="180" t="n">
        <v>14.27484650666</v>
      </c>
      <c r="HL30" s="180" t="n">
        <v>14.34458219468</v>
      </c>
      <c r="HM30" s="180" t="n">
        <v>14.4143178827</v>
      </c>
      <c r="HN30" s="180" t="n">
        <v>14.48405357072</v>
      </c>
      <c r="HO30" s="180" t="n">
        <v>14.55378925874</v>
      </c>
      <c r="HP30" s="180" t="n">
        <v>14.62352494676</v>
      </c>
      <c r="HQ30" s="180" t="n">
        <v>14.69326063478</v>
      </c>
      <c r="HR30" s="180" t="n">
        <v>14.7629963228</v>
      </c>
      <c r="HS30" s="180" t="n">
        <v>14.83273201082</v>
      </c>
      <c r="HT30" s="180" t="n">
        <v>14.90246769884</v>
      </c>
      <c r="HU30" s="180" t="n">
        <v>14.97220338686</v>
      </c>
      <c r="HV30" s="180" t="n">
        <v>15.04193907488</v>
      </c>
      <c r="HW30" s="180" t="n">
        <v>15.1116747629</v>
      </c>
      <c r="HX30" s="180" t="n">
        <v>15.18141045092</v>
      </c>
      <c r="HY30" s="180" t="n">
        <v>15.25114613894</v>
      </c>
      <c r="HZ30" s="180" t="n">
        <v>15.32088182696</v>
      </c>
      <c r="IA30" s="180" t="n">
        <v>15.39061751498</v>
      </c>
      <c r="IB30" s="180" t="n">
        <v>15.460353203</v>
      </c>
      <c r="IC30" s="180" t="n">
        <v>15.53008889102</v>
      </c>
      <c r="ID30" s="180" t="n">
        <v>15.59982457904</v>
      </c>
      <c r="IE30" s="180" t="n">
        <v>15.66956026706</v>
      </c>
      <c r="IF30" s="180" t="n">
        <v>15.73929595508</v>
      </c>
      <c r="IG30" s="180" t="n">
        <v>15.8090316431</v>
      </c>
      <c r="IH30" s="180" t="n">
        <v>15.87876733112</v>
      </c>
      <c r="II30" s="180" t="n">
        <v>15.94850301914</v>
      </c>
      <c r="IJ30" s="180" t="n">
        <v>16.01823870716</v>
      </c>
      <c r="IK30" s="180" t="n">
        <v>16.08797439518</v>
      </c>
      <c r="IL30" s="180" t="n">
        <v>16.1577100832</v>
      </c>
      <c r="IM30" s="180" t="n">
        <v>16.22744577122</v>
      </c>
      <c r="IN30" s="180" t="n">
        <v>16.29718145924</v>
      </c>
      <c r="IO30" s="180" t="n">
        <v>16.36691714726</v>
      </c>
      <c r="IP30" s="180" t="n">
        <v>16.43665283528</v>
      </c>
      <c r="IQ30" s="180" t="n">
        <v>16.5063885233</v>
      </c>
      <c r="IR30" s="180" t="n">
        <v>16.57612421132</v>
      </c>
      <c r="IS30" s="180" t="n">
        <v>16.64585989934</v>
      </c>
      <c r="IT30" s="180" t="n">
        <v>16.71559558736</v>
      </c>
      <c r="IU30" s="180" t="n">
        <v>16.78533127538</v>
      </c>
      <c r="IV30" s="180" t="n">
        <v>16.8550669634</v>
      </c>
    </row>
    <row r="31" customFormat="false" ht="12.75" hidden="false" customHeight="false" outlineLevel="0" collapsed="false">
      <c r="A31" s="189" t="n">
        <v>37622</v>
      </c>
      <c r="B31" s="185" t="n">
        <v>-2.021005929375</v>
      </c>
      <c r="C31" s="185" t="n">
        <v>-1.9907047400625</v>
      </c>
      <c r="D31" s="185" t="n">
        <v>-1.96040355075</v>
      </c>
      <c r="E31" s="185" t="n">
        <v>-1.9301023614375</v>
      </c>
      <c r="F31" s="185" t="n">
        <v>-1.899801172125</v>
      </c>
      <c r="G31" s="185" t="n">
        <v>-1.8694999828125</v>
      </c>
      <c r="H31" s="185" t="n">
        <v>-1.8391987935</v>
      </c>
      <c r="I31" s="185" t="n">
        <v>-1.8088976041875</v>
      </c>
      <c r="J31" s="185" t="n">
        <v>-1.778596414875</v>
      </c>
      <c r="K31" s="185" t="n">
        <v>-1.7482952255625</v>
      </c>
      <c r="L31" s="185" t="n">
        <v>-1.71799403625</v>
      </c>
      <c r="M31" s="185" t="n">
        <v>-1.6876928469375</v>
      </c>
      <c r="N31" s="185" t="n">
        <v>-1.657391657625</v>
      </c>
      <c r="O31" s="185" t="n">
        <v>-1.6270904683125</v>
      </c>
      <c r="P31" s="185" t="n">
        <v>-1.596789279</v>
      </c>
      <c r="Q31" s="185" t="n">
        <v>-1.5664880896875</v>
      </c>
      <c r="R31" s="185" t="n">
        <v>-1.536186900375</v>
      </c>
      <c r="S31" s="185" t="n">
        <v>-1.5058857110625</v>
      </c>
      <c r="T31" s="185" t="n">
        <v>-1.47558452175</v>
      </c>
      <c r="U31" s="185" t="n">
        <v>-1.4452833324375</v>
      </c>
      <c r="V31" s="186" t="n">
        <v>-1.414982143125</v>
      </c>
      <c r="W31" s="185" t="n">
        <v>-1.3846809538125</v>
      </c>
      <c r="X31" s="186" t="n">
        <v>-1.3543797645</v>
      </c>
      <c r="Y31" s="185" t="n">
        <v>-1.3240785751875</v>
      </c>
      <c r="Z31" s="186" t="n">
        <v>-1.293777385875</v>
      </c>
      <c r="AA31" s="185" t="n">
        <v>-1.2634761965625</v>
      </c>
      <c r="AB31" s="187" t="n">
        <v>-1.23317500725</v>
      </c>
      <c r="AC31" s="185" t="n">
        <v>-1.2028738179375</v>
      </c>
      <c r="AD31" s="187" t="n">
        <v>-1.172572628625</v>
      </c>
      <c r="AE31" s="185" t="n">
        <v>-1.1422714393125</v>
      </c>
      <c r="AF31" s="185" t="n">
        <v>-1.11197025</v>
      </c>
      <c r="AG31" s="190" t="n">
        <v>-1.083235125</v>
      </c>
      <c r="AH31" s="190" t="n">
        <v>-1.0545</v>
      </c>
      <c r="AI31" s="190" t="n">
        <v>-1.02725</v>
      </c>
      <c r="AJ31" s="190" t="n">
        <v>-1</v>
      </c>
      <c r="AK31" s="190" t="n">
        <v>-0.8</v>
      </c>
      <c r="AL31" s="190" t="n">
        <v>-0.6</v>
      </c>
      <c r="AM31" s="190" t="n">
        <v>-0.4</v>
      </c>
      <c r="AN31" s="190" t="n">
        <v>-0.2</v>
      </c>
      <c r="AO31" s="190" t="n">
        <v>0</v>
      </c>
      <c r="AP31" s="190" t="n">
        <v>0.2</v>
      </c>
      <c r="AQ31" s="190" t="n">
        <v>0.4</v>
      </c>
      <c r="AR31" s="190" t="n">
        <v>0.6</v>
      </c>
      <c r="AS31" s="190" t="n">
        <v>0.8</v>
      </c>
      <c r="AT31" s="190" t="n">
        <v>1</v>
      </c>
      <c r="AU31" s="190" t="n">
        <v>1.2</v>
      </c>
      <c r="AV31" s="190" t="n">
        <v>1.4</v>
      </c>
      <c r="AW31" s="190" t="n">
        <v>1.58</v>
      </c>
      <c r="AX31" s="190" t="n">
        <v>1.76</v>
      </c>
      <c r="AY31" s="190" t="n">
        <v>1.922</v>
      </c>
      <c r="AZ31" s="190" t="n">
        <v>2.084</v>
      </c>
      <c r="BA31" s="190" t="n">
        <v>2.2298</v>
      </c>
      <c r="BB31" s="190" t="n">
        <v>2.3756</v>
      </c>
      <c r="BC31" s="190" t="n">
        <v>2.50682</v>
      </c>
      <c r="BD31" s="190" t="n">
        <v>2.63804</v>
      </c>
      <c r="BE31" s="190" t="n">
        <v>2.756138</v>
      </c>
      <c r="BF31" s="190" t="n">
        <v>2.874236</v>
      </c>
      <c r="BG31" s="190" t="n">
        <v>2.9805242</v>
      </c>
      <c r="BH31" s="190" t="n">
        <v>3.0868124</v>
      </c>
      <c r="BI31" s="190" t="n">
        <v>3.18247178</v>
      </c>
      <c r="BJ31" s="190" t="n">
        <v>3.27813116</v>
      </c>
      <c r="BK31" s="190" t="n">
        <v>3.364224602</v>
      </c>
      <c r="BL31" s="190" t="n">
        <v>3.450318044</v>
      </c>
      <c r="BM31" s="190" t="n">
        <v>3.5278021418</v>
      </c>
      <c r="BN31" s="190" t="n">
        <v>3.6052862396</v>
      </c>
      <c r="BO31" s="190" t="n">
        <v>3.67502192762</v>
      </c>
      <c r="BP31" s="190" t="n">
        <v>3.74475761564</v>
      </c>
      <c r="BQ31" s="190" t="n">
        <v>3.81449330366</v>
      </c>
      <c r="BR31" s="190" t="n">
        <v>3.88422899168</v>
      </c>
      <c r="BS31" s="190" t="n">
        <v>3.9539646797</v>
      </c>
      <c r="BT31" s="190" t="n">
        <v>4.02370036772</v>
      </c>
      <c r="BU31" s="190" t="n">
        <v>4.09343605574</v>
      </c>
      <c r="BV31" s="190" t="n">
        <v>4.16317174376</v>
      </c>
      <c r="BW31" s="190" t="n">
        <v>4.23290743178</v>
      </c>
      <c r="BX31" s="190" t="n">
        <v>4.3026431198</v>
      </c>
      <c r="BY31" s="190" t="n">
        <v>4.37237880782</v>
      </c>
      <c r="BZ31" s="190" t="n">
        <v>4.44211449584</v>
      </c>
      <c r="CA31" s="190" t="n">
        <v>4.51185018386</v>
      </c>
      <c r="CB31" s="190" t="n">
        <v>4.58158587188</v>
      </c>
      <c r="CC31" s="190" t="n">
        <v>4.6513215599</v>
      </c>
      <c r="CD31" s="190" t="n">
        <v>4.72105724792</v>
      </c>
      <c r="CE31" s="190" t="n">
        <v>4.79079293594</v>
      </c>
      <c r="CF31" s="190" t="n">
        <v>4.86052862396</v>
      </c>
      <c r="CG31" s="190" t="n">
        <v>4.93026431198</v>
      </c>
      <c r="CH31" s="190" t="n">
        <v>5</v>
      </c>
      <c r="CI31" s="190" t="n">
        <v>5.06973568801999</v>
      </c>
      <c r="CJ31" s="190" t="n">
        <v>5.13947137603999</v>
      </c>
      <c r="CK31" s="190" t="n">
        <v>5.20920706405999</v>
      </c>
      <c r="CL31" s="190" t="n">
        <v>5.27894275207999</v>
      </c>
      <c r="CM31" s="190" t="n">
        <v>5.34867844009999</v>
      </c>
      <c r="CN31" s="190" t="n">
        <v>5.41841412811999</v>
      </c>
      <c r="CO31" s="190" t="n">
        <v>5.48814981613999</v>
      </c>
      <c r="CP31" s="190" t="n">
        <v>5.55788550415999</v>
      </c>
      <c r="CQ31" s="190" t="n">
        <v>5.62762119217999</v>
      </c>
      <c r="CR31" s="190" t="n">
        <v>5.69735688019999</v>
      </c>
      <c r="CS31" s="190" t="n">
        <v>5.76709256821999</v>
      </c>
      <c r="CT31" s="190" t="n">
        <v>5.83682825623999</v>
      </c>
      <c r="CU31" s="190" t="n">
        <v>5.90656394425999</v>
      </c>
      <c r="CV31" s="190" t="n">
        <v>5.97629963227999</v>
      </c>
      <c r="CW31" s="190" t="n">
        <v>6.04603532029999</v>
      </c>
      <c r="CX31" s="190" t="n">
        <v>6.11577100831999</v>
      </c>
      <c r="CY31" s="190" t="n">
        <v>6.18550669633999</v>
      </c>
      <c r="CZ31" s="190" t="n">
        <v>6.25524238435999</v>
      </c>
      <c r="DA31" s="190" t="n">
        <v>6.32497807237999</v>
      </c>
      <c r="DB31" s="190" t="n">
        <v>6.39471376039999</v>
      </c>
      <c r="DC31" s="190" t="n">
        <v>6.46444944841999</v>
      </c>
      <c r="DD31" s="190" t="n">
        <v>6.53418513643999</v>
      </c>
      <c r="DE31" s="190" t="n">
        <v>6.60392082445999</v>
      </c>
      <c r="DF31" s="190" t="n">
        <v>6.67365651247999</v>
      </c>
      <c r="DG31" s="190" t="n">
        <v>6.74339220049999</v>
      </c>
      <c r="DH31" s="190" t="n">
        <v>6.81312788851999</v>
      </c>
      <c r="DI31" s="190" t="n">
        <v>6.88286357653999</v>
      </c>
      <c r="DJ31" s="190" t="n">
        <v>6.95259926455999</v>
      </c>
      <c r="DK31" s="190" t="n">
        <v>7.02233495257999</v>
      </c>
      <c r="DL31" s="190" t="n">
        <v>7.09207064059999</v>
      </c>
      <c r="DM31" s="190" t="n">
        <v>7.16180632861999</v>
      </c>
      <c r="DN31" s="190" t="n">
        <v>7.23154201663999</v>
      </c>
      <c r="DO31" s="190" t="n">
        <v>7.30127770465999</v>
      </c>
      <c r="DP31" s="190" t="n">
        <v>7.37101339267999</v>
      </c>
      <c r="DQ31" s="190" t="n">
        <v>7.44074908069999</v>
      </c>
      <c r="DR31" s="190" t="n">
        <v>7.51048476871999</v>
      </c>
      <c r="DS31" s="190" t="n">
        <v>7.58022045673999</v>
      </c>
      <c r="DT31" s="190" t="n">
        <v>7.64995614475999</v>
      </c>
      <c r="DU31" s="190" t="n">
        <v>7.71969183277999</v>
      </c>
      <c r="DV31" s="190" t="n">
        <v>7.78942752079998</v>
      </c>
      <c r="DW31" s="190" t="n">
        <v>7.85916320881998</v>
      </c>
      <c r="DX31" s="190" t="n">
        <v>7.92889889683998</v>
      </c>
      <c r="DY31" s="190" t="n">
        <v>7.99863458485998</v>
      </c>
      <c r="DZ31" s="190" t="n">
        <v>8.06837027287998</v>
      </c>
      <c r="EA31" s="190" t="n">
        <v>8.13810596089998</v>
      </c>
      <c r="EB31" s="190" t="n">
        <v>8.20784164891998</v>
      </c>
      <c r="EC31" s="190" t="n">
        <v>8.27757733693998</v>
      </c>
      <c r="ED31" s="190" t="n">
        <v>8.34731302495998</v>
      </c>
      <c r="EE31" s="190" t="n">
        <v>8.41704871297998</v>
      </c>
      <c r="EF31" s="190" t="n">
        <v>8.48678440099998</v>
      </c>
      <c r="EG31" s="190" t="n">
        <v>8.55652008901998</v>
      </c>
      <c r="EH31" s="190" t="n">
        <v>8.62625577703998</v>
      </c>
      <c r="EI31" s="190" t="n">
        <v>8.69599146505998</v>
      </c>
      <c r="EJ31" s="190" t="n">
        <v>8.76572715307998</v>
      </c>
      <c r="EK31" s="190" t="n">
        <v>8.83546284109998</v>
      </c>
      <c r="EL31" s="180" t="n">
        <v>8.90519852911998</v>
      </c>
      <c r="EM31" s="180" t="n">
        <v>8.97493421713998</v>
      </c>
      <c r="EN31" s="180" t="n">
        <v>9.04466990515998</v>
      </c>
      <c r="EO31" s="180" t="n">
        <v>9.11440559317998</v>
      </c>
      <c r="EP31" s="180" t="n">
        <v>9.18414128119998</v>
      </c>
      <c r="EQ31" s="180" t="n">
        <v>9.25387696921998</v>
      </c>
      <c r="ER31" s="180" t="n">
        <v>9.32361265723998</v>
      </c>
      <c r="ES31" s="180" t="n">
        <v>9.39334834525998</v>
      </c>
      <c r="ET31" s="180" t="n">
        <v>9.46308403327998</v>
      </c>
      <c r="EU31" s="180" t="n">
        <v>9.53281972129998</v>
      </c>
      <c r="EV31" s="180" t="n">
        <v>9.60255540931998</v>
      </c>
      <c r="EW31" s="180" t="n">
        <v>9.67229109733998</v>
      </c>
      <c r="EX31" s="180" t="n">
        <v>9.74202678535998</v>
      </c>
      <c r="EY31" s="180" t="n">
        <v>9.81176247337998</v>
      </c>
      <c r="EZ31" s="180" t="n">
        <v>9.88149816139998</v>
      </c>
      <c r="FA31" s="180" t="n">
        <v>9.95123384941998</v>
      </c>
      <c r="FB31" s="180" t="n">
        <v>10.02096953744</v>
      </c>
      <c r="FC31" s="180" t="n">
        <v>10.09070522546</v>
      </c>
      <c r="FD31" s="180" t="n">
        <v>10.16044091348</v>
      </c>
      <c r="FE31" s="180" t="n">
        <v>10.2301766015</v>
      </c>
      <c r="FF31" s="180" t="n">
        <v>10.29991228952</v>
      </c>
      <c r="FG31" s="180" t="n">
        <v>10.36964797754</v>
      </c>
      <c r="FH31" s="180" t="n">
        <v>10.43938366556</v>
      </c>
      <c r="FI31" s="180" t="n">
        <v>10.50911935358</v>
      </c>
      <c r="FJ31" s="180" t="n">
        <v>10.5788550416</v>
      </c>
      <c r="FK31" s="180" t="n">
        <v>10.64859072962</v>
      </c>
      <c r="FL31" s="180" t="n">
        <v>10.71832641764</v>
      </c>
      <c r="FM31" s="180" t="n">
        <v>10.78806210566</v>
      </c>
      <c r="FN31" s="180" t="n">
        <v>10.85779779368</v>
      </c>
      <c r="FO31" s="180" t="n">
        <v>10.9275334817</v>
      </c>
      <c r="FP31" s="180" t="n">
        <v>10.99726916972</v>
      </c>
      <c r="FQ31" s="180" t="n">
        <v>11.06700485774</v>
      </c>
      <c r="FR31" s="180" t="n">
        <v>11.13674054576</v>
      </c>
      <c r="FS31" s="180" t="n">
        <v>11.20647623378</v>
      </c>
      <c r="FT31" s="180" t="n">
        <v>11.2762119218</v>
      </c>
      <c r="FU31" s="180" t="n">
        <v>11.34594760982</v>
      </c>
      <c r="FV31" s="180" t="n">
        <v>11.41568329784</v>
      </c>
      <c r="FW31" s="180" t="n">
        <v>11.48541898586</v>
      </c>
      <c r="FX31" s="180" t="n">
        <v>11.55515467388</v>
      </c>
      <c r="FY31" s="180" t="n">
        <v>11.6248903619</v>
      </c>
      <c r="FZ31" s="180" t="n">
        <v>11.69462604992</v>
      </c>
      <c r="GA31" s="180" t="n">
        <v>11.76436173794</v>
      </c>
      <c r="GB31" s="180" t="n">
        <v>11.83409742596</v>
      </c>
      <c r="GC31" s="180" t="n">
        <v>11.90383311398</v>
      </c>
      <c r="GD31" s="180" t="n">
        <v>11.973568802</v>
      </c>
      <c r="GE31" s="180" t="n">
        <v>12.04330449002</v>
      </c>
      <c r="GF31" s="180" t="n">
        <v>12.11304017804</v>
      </c>
      <c r="GG31" s="180" t="n">
        <v>12.18277586606</v>
      </c>
      <c r="GH31" s="180" t="n">
        <v>12.25251155408</v>
      </c>
      <c r="GI31" s="180" t="n">
        <v>12.3222472421</v>
      </c>
      <c r="GJ31" s="180" t="n">
        <v>12.39198293012</v>
      </c>
      <c r="GK31" s="180" t="n">
        <v>12.46171861814</v>
      </c>
      <c r="GL31" s="180" t="n">
        <v>12.53145430616</v>
      </c>
      <c r="GM31" s="180" t="n">
        <v>12.60118999418</v>
      </c>
      <c r="GN31" s="180" t="n">
        <v>12.6709256822</v>
      </c>
      <c r="GO31" s="180" t="n">
        <v>12.74066137022</v>
      </c>
      <c r="GP31" s="180" t="n">
        <v>12.81039705824</v>
      </c>
      <c r="GQ31" s="180" t="n">
        <v>12.88013274626</v>
      </c>
      <c r="GR31" s="180" t="n">
        <v>12.94986843428</v>
      </c>
      <c r="GS31" s="180" t="n">
        <v>13.0196041223</v>
      </c>
      <c r="GT31" s="180" t="n">
        <v>13.08933981032</v>
      </c>
      <c r="GU31" s="180" t="n">
        <v>13.15907549834</v>
      </c>
      <c r="GV31" s="180" t="n">
        <v>13.22881118636</v>
      </c>
      <c r="GW31" s="180" t="n">
        <v>13.29854687438</v>
      </c>
      <c r="GX31" s="180" t="n">
        <v>13.3682825624</v>
      </c>
      <c r="GY31" s="180" t="n">
        <v>13.43801825042</v>
      </c>
      <c r="GZ31" s="180" t="n">
        <v>13.50775393844</v>
      </c>
      <c r="HA31" s="180" t="n">
        <v>13.57748962646</v>
      </c>
      <c r="HB31" s="180" t="n">
        <v>13.64722531448</v>
      </c>
      <c r="HC31" s="180" t="n">
        <v>13.7169610025</v>
      </c>
      <c r="HD31" s="180" t="n">
        <v>13.78669669052</v>
      </c>
      <c r="HE31" s="180" t="n">
        <v>13.85643237854</v>
      </c>
      <c r="HF31" s="180" t="n">
        <v>13.92616806656</v>
      </c>
      <c r="HG31" s="180" t="n">
        <v>13.99590375458</v>
      </c>
      <c r="HH31" s="180" t="n">
        <v>14.0656394426</v>
      </c>
      <c r="HI31" s="180" t="n">
        <v>14.13537513062</v>
      </c>
      <c r="HJ31" s="180" t="n">
        <v>14.20511081864</v>
      </c>
      <c r="HK31" s="180" t="n">
        <v>14.27484650666</v>
      </c>
      <c r="HL31" s="180" t="n">
        <v>14.34458219468</v>
      </c>
      <c r="HM31" s="180" t="n">
        <v>14.4143178827</v>
      </c>
      <c r="HN31" s="180" t="n">
        <v>14.48405357072</v>
      </c>
      <c r="HO31" s="180" t="n">
        <v>14.55378925874</v>
      </c>
      <c r="HP31" s="180" t="n">
        <v>14.62352494676</v>
      </c>
      <c r="HQ31" s="180" t="n">
        <v>14.69326063478</v>
      </c>
      <c r="HR31" s="180" t="n">
        <v>14.7629963228</v>
      </c>
      <c r="HS31" s="180" t="n">
        <v>14.83273201082</v>
      </c>
      <c r="HT31" s="180" t="n">
        <v>14.90246769884</v>
      </c>
      <c r="HU31" s="180" t="n">
        <v>14.97220338686</v>
      </c>
      <c r="HV31" s="180" t="n">
        <v>15.04193907488</v>
      </c>
      <c r="HW31" s="180" t="n">
        <v>15.1116747629</v>
      </c>
      <c r="HX31" s="180" t="n">
        <v>15.18141045092</v>
      </c>
      <c r="HY31" s="180" t="n">
        <v>15.25114613894</v>
      </c>
      <c r="HZ31" s="180" t="n">
        <v>15.32088182696</v>
      </c>
      <c r="IA31" s="180" t="n">
        <v>15.39061751498</v>
      </c>
      <c r="IB31" s="180" t="n">
        <v>15.460353203</v>
      </c>
      <c r="IC31" s="180" t="n">
        <v>15.53008889102</v>
      </c>
      <c r="ID31" s="180" t="n">
        <v>15.59982457904</v>
      </c>
      <c r="IE31" s="180" t="n">
        <v>15.66956026706</v>
      </c>
      <c r="IF31" s="180" t="n">
        <v>15.73929595508</v>
      </c>
      <c r="IG31" s="180" t="n">
        <v>15.8090316431</v>
      </c>
      <c r="IH31" s="180" t="n">
        <v>15.87876733112</v>
      </c>
      <c r="II31" s="180" t="n">
        <v>15.94850301914</v>
      </c>
      <c r="IJ31" s="180" t="n">
        <v>16.01823870716</v>
      </c>
      <c r="IK31" s="180" t="n">
        <v>16.08797439518</v>
      </c>
      <c r="IL31" s="180" t="n">
        <v>16.1577100832</v>
      </c>
      <c r="IM31" s="180" t="n">
        <v>16.22744577122</v>
      </c>
      <c r="IN31" s="180" t="n">
        <v>16.29718145924</v>
      </c>
      <c r="IO31" s="180" t="n">
        <v>16.36691714726</v>
      </c>
      <c r="IP31" s="180" t="n">
        <v>16.43665283528</v>
      </c>
      <c r="IQ31" s="180" t="n">
        <v>16.5063885233</v>
      </c>
      <c r="IR31" s="180" t="n">
        <v>16.57612421132</v>
      </c>
      <c r="IS31" s="180" t="n">
        <v>16.64585989934</v>
      </c>
      <c r="IT31" s="180" t="n">
        <v>16.71559558736</v>
      </c>
      <c r="IU31" s="180" t="n">
        <v>16.78533127538</v>
      </c>
      <c r="IV31" s="180" t="n">
        <v>16.8550669634</v>
      </c>
    </row>
    <row r="32" customFormat="false" ht="12.75" hidden="false" customHeight="false" outlineLevel="0" collapsed="false">
      <c r="A32" s="189" t="n">
        <v>37653</v>
      </c>
      <c r="B32" s="185" t="n">
        <v>-2.021005929375</v>
      </c>
      <c r="C32" s="185" t="n">
        <v>-1.9907047400625</v>
      </c>
      <c r="D32" s="185" t="n">
        <v>-1.96040355075</v>
      </c>
      <c r="E32" s="185" t="n">
        <v>-1.9301023614375</v>
      </c>
      <c r="F32" s="185" t="n">
        <v>-1.899801172125</v>
      </c>
      <c r="G32" s="185" t="n">
        <v>-1.8694999828125</v>
      </c>
      <c r="H32" s="185" t="n">
        <v>-1.8391987935</v>
      </c>
      <c r="I32" s="185" t="n">
        <v>-1.8088976041875</v>
      </c>
      <c r="J32" s="185" t="n">
        <v>-1.778596414875</v>
      </c>
      <c r="K32" s="185" t="n">
        <v>-1.7482952255625</v>
      </c>
      <c r="L32" s="185" t="n">
        <v>-1.71799403625</v>
      </c>
      <c r="M32" s="185" t="n">
        <v>-1.6876928469375</v>
      </c>
      <c r="N32" s="185" t="n">
        <v>-1.657391657625</v>
      </c>
      <c r="O32" s="185" t="n">
        <v>-1.6270904683125</v>
      </c>
      <c r="P32" s="185" t="n">
        <v>-1.596789279</v>
      </c>
      <c r="Q32" s="185" t="n">
        <v>-1.5664880896875</v>
      </c>
      <c r="R32" s="185" t="n">
        <v>-1.536186900375</v>
      </c>
      <c r="S32" s="185" t="n">
        <v>-1.5058857110625</v>
      </c>
      <c r="T32" s="185" t="n">
        <v>-1.47558452175</v>
      </c>
      <c r="U32" s="185" t="n">
        <v>-1.4452833324375</v>
      </c>
      <c r="V32" s="186" t="n">
        <v>-1.414982143125</v>
      </c>
      <c r="W32" s="185" t="n">
        <v>-1.3846809538125</v>
      </c>
      <c r="X32" s="186" t="n">
        <v>-1.3543797645</v>
      </c>
      <c r="Y32" s="185" t="n">
        <v>-1.3240785751875</v>
      </c>
      <c r="Z32" s="186" t="n">
        <v>-1.293777385875</v>
      </c>
      <c r="AA32" s="185" t="n">
        <v>-1.2634761965625</v>
      </c>
      <c r="AB32" s="187" t="n">
        <v>-1.23317500725</v>
      </c>
      <c r="AC32" s="185" t="n">
        <v>-1.2028738179375</v>
      </c>
      <c r="AD32" s="187" t="n">
        <v>-1.172572628625</v>
      </c>
      <c r="AE32" s="185" t="n">
        <v>-1.1422714393125</v>
      </c>
      <c r="AF32" s="185" t="n">
        <v>-1.11197025</v>
      </c>
      <c r="AG32" s="190" t="n">
        <v>-1.083235125</v>
      </c>
      <c r="AH32" s="190" t="n">
        <v>-1.0545</v>
      </c>
      <c r="AI32" s="190" t="n">
        <v>-1.02725</v>
      </c>
      <c r="AJ32" s="190" t="n">
        <v>-1</v>
      </c>
      <c r="AK32" s="190" t="n">
        <v>-0.8</v>
      </c>
      <c r="AL32" s="190" t="n">
        <v>-0.6</v>
      </c>
      <c r="AM32" s="190" t="n">
        <v>-0.4</v>
      </c>
      <c r="AN32" s="190" t="n">
        <v>-0.2</v>
      </c>
      <c r="AO32" s="190" t="n">
        <v>0</v>
      </c>
      <c r="AP32" s="190" t="n">
        <v>0.2</v>
      </c>
      <c r="AQ32" s="190" t="n">
        <v>0.4</v>
      </c>
      <c r="AR32" s="190" t="n">
        <v>0.6</v>
      </c>
      <c r="AS32" s="190" t="n">
        <v>0.8</v>
      </c>
      <c r="AT32" s="190" t="n">
        <v>1</v>
      </c>
      <c r="AU32" s="190" t="n">
        <v>1.2</v>
      </c>
      <c r="AV32" s="190" t="n">
        <v>1.4</v>
      </c>
      <c r="AW32" s="190" t="n">
        <v>1.58</v>
      </c>
      <c r="AX32" s="190" t="n">
        <v>1.76</v>
      </c>
      <c r="AY32" s="190" t="n">
        <v>1.922</v>
      </c>
      <c r="AZ32" s="190" t="n">
        <v>2.084</v>
      </c>
      <c r="BA32" s="190" t="n">
        <v>2.2298</v>
      </c>
      <c r="BB32" s="190" t="n">
        <v>2.3756</v>
      </c>
      <c r="BC32" s="190" t="n">
        <v>2.50682</v>
      </c>
      <c r="BD32" s="190" t="n">
        <v>2.63804</v>
      </c>
      <c r="BE32" s="190" t="n">
        <v>2.756138</v>
      </c>
      <c r="BF32" s="190" t="n">
        <v>2.874236</v>
      </c>
      <c r="BG32" s="190" t="n">
        <v>2.9805242</v>
      </c>
      <c r="BH32" s="190" t="n">
        <v>3.0868124</v>
      </c>
      <c r="BI32" s="190" t="n">
        <v>3.18247178</v>
      </c>
      <c r="BJ32" s="190" t="n">
        <v>3.27813116</v>
      </c>
      <c r="BK32" s="190" t="n">
        <v>3.364224602</v>
      </c>
      <c r="BL32" s="190" t="n">
        <v>3.450318044</v>
      </c>
      <c r="BM32" s="190" t="n">
        <v>3.5278021418</v>
      </c>
      <c r="BN32" s="190" t="n">
        <v>3.6052862396</v>
      </c>
      <c r="BO32" s="190" t="n">
        <v>3.67502192762</v>
      </c>
      <c r="BP32" s="190" t="n">
        <v>3.74475761564</v>
      </c>
      <c r="BQ32" s="190" t="n">
        <v>3.81449330366</v>
      </c>
      <c r="BR32" s="190" t="n">
        <v>3.88422899168</v>
      </c>
      <c r="BS32" s="190" t="n">
        <v>3.9539646797</v>
      </c>
      <c r="BT32" s="190" t="n">
        <v>4.02370036772</v>
      </c>
      <c r="BU32" s="190" t="n">
        <v>4.09343605574</v>
      </c>
      <c r="BV32" s="190" t="n">
        <v>4.16317174376</v>
      </c>
      <c r="BW32" s="190" t="n">
        <v>4.23290743178</v>
      </c>
      <c r="BX32" s="190" t="n">
        <v>4.3026431198</v>
      </c>
      <c r="BY32" s="190" t="n">
        <v>4.37237880782</v>
      </c>
      <c r="BZ32" s="190" t="n">
        <v>4.44211449584</v>
      </c>
      <c r="CA32" s="190" t="n">
        <v>4.51185018386</v>
      </c>
      <c r="CB32" s="190" t="n">
        <v>4.58158587188</v>
      </c>
      <c r="CC32" s="190" t="n">
        <v>4.6513215599</v>
      </c>
      <c r="CD32" s="190" t="n">
        <v>4.72105724792</v>
      </c>
      <c r="CE32" s="190" t="n">
        <v>4.79079293594</v>
      </c>
      <c r="CF32" s="190" t="n">
        <v>4.86052862396</v>
      </c>
      <c r="CG32" s="190" t="n">
        <v>4.93026431198</v>
      </c>
      <c r="CH32" s="190" t="n">
        <v>5</v>
      </c>
      <c r="CI32" s="190" t="n">
        <v>5.06973568801999</v>
      </c>
      <c r="CJ32" s="190" t="n">
        <v>5.13947137603999</v>
      </c>
      <c r="CK32" s="190" t="n">
        <v>5.20920706405999</v>
      </c>
      <c r="CL32" s="190" t="n">
        <v>5.27894275207999</v>
      </c>
      <c r="CM32" s="190" t="n">
        <v>5.34867844009999</v>
      </c>
      <c r="CN32" s="190" t="n">
        <v>5.41841412811999</v>
      </c>
      <c r="CO32" s="190" t="n">
        <v>5.48814981613999</v>
      </c>
      <c r="CP32" s="190" t="n">
        <v>5.55788550415999</v>
      </c>
      <c r="CQ32" s="190" t="n">
        <v>5.62762119217999</v>
      </c>
      <c r="CR32" s="190" t="n">
        <v>5.69735688019999</v>
      </c>
      <c r="CS32" s="190" t="n">
        <v>5.76709256821999</v>
      </c>
      <c r="CT32" s="190" t="n">
        <v>5.83682825623999</v>
      </c>
      <c r="CU32" s="190" t="n">
        <v>5.90656394425999</v>
      </c>
      <c r="CV32" s="190" t="n">
        <v>5.97629963227999</v>
      </c>
      <c r="CW32" s="190" t="n">
        <v>6.04603532029999</v>
      </c>
      <c r="CX32" s="190" t="n">
        <v>6.11577100831999</v>
      </c>
      <c r="CY32" s="190" t="n">
        <v>6.18550669633999</v>
      </c>
      <c r="CZ32" s="190" t="n">
        <v>6.25524238435999</v>
      </c>
      <c r="DA32" s="190" t="n">
        <v>6.32497807237999</v>
      </c>
      <c r="DB32" s="190" t="n">
        <v>6.39471376039999</v>
      </c>
      <c r="DC32" s="190" t="n">
        <v>6.46444944841999</v>
      </c>
      <c r="DD32" s="190" t="n">
        <v>6.53418513643999</v>
      </c>
      <c r="DE32" s="190" t="n">
        <v>6.60392082445999</v>
      </c>
      <c r="DF32" s="190" t="n">
        <v>6.67365651247999</v>
      </c>
      <c r="DG32" s="190" t="n">
        <v>6.74339220049999</v>
      </c>
      <c r="DH32" s="190" t="n">
        <v>6.81312788851999</v>
      </c>
      <c r="DI32" s="190" t="n">
        <v>6.88286357653999</v>
      </c>
      <c r="DJ32" s="190" t="n">
        <v>6.95259926455999</v>
      </c>
      <c r="DK32" s="190" t="n">
        <v>7.02233495257999</v>
      </c>
      <c r="DL32" s="190" t="n">
        <v>7.09207064059999</v>
      </c>
      <c r="DM32" s="190" t="n">
        <v>7.16180632861999</v>
      </c>
      <c r="DN32" s="190" t="n">
        <v>7.23154201663999</v>
      </c>
      <c r="DO32" s="190" t="n">
        <v>7.30127770465999</v>
      </c>
      <c r="DP32" s="190" t="n">
        <v>7.37101339267999</v>
      </c>
      <c r="DQ32" s="190" t="n">
        <v>7.44074908069999</v>
      </c>
      <c r="DR32" s="190" t="n">
        <v>7.51048476871999</v>
      </c>
      <c r="DS32" s="190" t="n">
        <v>7.58022045673999</v>
      </c>
      <c r="DT32" s="190" t="n">
        <v>7.64995614475999</v>
      </c>
      <c r="DU32" s="190" t="n">
        <v>7.71969183277999</v>
      </c>
      <c r="DV32" s="190" t="n">
        <v>7.78942752079998</v>
      </c>
      <c r="DW32" s="190" t="n">
        <v>7.85916320881998</v>
      </c>
      <c r="DX32" s="190" t="n">
        <v>7.92889889683998</v>
      </c>
      <c r="DY32" s="190" t="n">
        <v>7.99863458485998</v>
      </c>
      <c r="DZ32" s="190" t="n">
        <v>8.06837027287998</v>
      </c>
      <c r="EA32" s="190" t="n">
        <v>8.13810596089998</v>
      </c>
      <c r="EB32" s="190" t="n">
        <v>8.20784164891998</v>
      </c>
      <c r="EC32" s="190" t="n">
        <v>8.27757733693998</v>
      </c>
      <c r="ED32" s="190" t="n">
        <v>8.34731302495998</v>
      </c>
      <c r="EE32" s="190" t="n">
        <v>8.41704871297998</v>
      </c>
      <c r="EF32" s="190" t="n">
        <v>8.48678440099998</v>
      </c>
      <c r="EG32" s="190" t="n">
        <v>8.55652008901998</v>
      </c>
      <c r="EH32" s="190" t="n">
        <v>8.62625577703998</v>
      </c>
      <c r="EI32" s="190" t="n">
        <v>8.69599146505998</v>
      </c>
      <c r="EJ32" s="190" t="n">
        <v>8.76572715307998</v>
      </c>
      <c r="EK32" s="190" t="n">
        <v>8.83546284109998</v>
      </c>
      <c r="EL32" s="180" t="n">
        <v>8.90519852911998</v>
      </c>
      <c r="EM32" s="180" t="n">
        <v>8.97493421713998</v>
      </c>
      <c r="EN32" s="180" t="n">
        <v>9.04466990515998</v>
      </c>
      <c r="EO32" s="180" t="n">
        <v>9.11440559317998</v>
      </c>
      <c r="EP32" s="180" t="n">
        <v>9.18414128119998</v>
      </c>
      <c r="EQ32" s="180" t="n">
        <v>9.25387696921998</v>
      </c>
      <c r="ER32" s="180" t="n">
        <v>9.32361265723998</v>
      </c>
      <c r="ES32" s="180" t="n">
        <v>9.39334834525998</v>
      </c>
      <c r="ET32" s="180" t="n">
        <v>9.46308403327998</v>
      </c>
      <c r="EU32" s="180" t="n">
        <v>9.53281972129998</v>
      </c>
      <c r="EV32" s="180" t="n">
        <v>9.60255540931998</v>
      </c>
      <c r="EW32" s="180" t="n">
        <v>9.67229109733998</v>
      </c>
      <c r="EX32" s="180" t="n">
        <v>9.74202678535998</v>
      </c>
      <c r="EY32" s="180" t="n">
        <v>9.81176247337998</v>
      </c>
      <c r="EZ32" s="180" t="n">
        <v>9.88149816139998</v>
      </c>
      <c r="FA32" s="180" t="n">
        <v>9.95123384941998</v>
      </c>
      <c r="FB32" s="180" t="n">
        <v>10.02096953744</v>
      </c>
      <c r="FC32" s="180" t="n">
        <v>10.09070522546</v>
      </c>
      <c r="FD32" s="180" t="n">
        <v>10.16044091348</v>
      </c>
      <c r="FE32" s="180" t="n">
        <v>10.2301766015</v>
      </c>
      <c r="FF32" s="180" t="n">
        <v>10.29991228952</v>
      </c>
      <c r="FG32" s="180" t="n">
        <v>10.36964797754</v>
      </c>
      <c r="FH32" s="180" t="n">
        <v>10.43938366556</v>
      </c>
      <c r="FI32" s="180" t="n">
        <v>10.50911935358</v>
      </c>
      <c r="FJ32" s="180" t="n">
        <v>10.5788550416</v>
      </c>
      <c r="FK32" s="180" t="n">
        <v>10.64859072962</v>
      </c>
      <c r="FL32" s="180" t="n">
        <v>10.71832641764</v>
      </c>
      <c r="FM32" s="180" t="n">
        <v>10.78806210566</v>
      </c>
      <c r="FN32" s="180" t="n">
        <v>10.85779779368</v>
      </c>
      <c r="FO32" s="180" t="n">
        <v>10.9275334817</v>
      </c>
      <c r="FP32" s="180" t="n">
        <v>10.99726916972</v>
      </c>
      <c r="FQ32" s="180" t="n">
        <v>11.06700485774</v>
      </c>
      <c r="FR32" s="180" t="n">
        <v>11.13674054576</v>
      </c>
      <c r="FS32" s="180" t="n">
        <v>11.20647623378</v>
      </c>
      <c r="FT32" s="180" t="n">
        <v>11.2762119218</v>
      </c>
      <c r="FU32" s="180" t="n">
        <v>11.34594760982</v>
      </c>
      <c r="FV32" s="180" t="n">
        <v>11.41568329784</v>
      </c>
      <c r="FW32" s="180" t="n">
        <v>11.48541898586</v>
      </c>
      <c r="FX32" s="180" t="n">
        <v>11.55515467388</v>
      </c>
      <c r="FY32" s="180" t="n">
        <v>11.6248903619</v>
      </c>
      <c r="FZ32" s="180" t="n">
        <v>11.69462604992</v>
      </c>
      <c r="GA32" s="180" t="n">
        <v>11.76436173794</v>
      </c>
      <c r="GB32" s="180" t="n">
        <v>11.83409742596</v>
      </c>
      <c r="GC32" s="180" t="n">
        <v>11.90383311398</v>
      </c>
      <c r="GD32" s="180" t="n">
        <v>11.973568802</v>
      </c>
      <c r="GE32" s="180" t="n">
        <v>12.04330449002</v>
      </c>
      <c r="GF32" s="180" t="n">
        <v>12.11304017804</v>
      </c>
      <c r="GG32" s="180" t="n">
        <v>12.18277586606</v>
      </c>
      <c r="GH32" s="180" t="n">
        <v>12.25251155408</v>
      </c>
      <c r="GI32" s="180" t="n">
        <v>12.3222472421</v>
      </c>
      <c r="GJ32" s="180" t="n">
        <v>12.39198293012</v>
      </c>
      <c r="GK32" s="180" t="n">
        <v>12.46171861814</v>
      </c>
      <c r="GL32" s="180" t="n">
        <v>12.53145430616</v>
      </c>
      <c r="GM32" s="180" t="n">
        <v>12.60118999418</v>
      </c>
      <c r="GN32" s="180" t="n">
        <v>12.6709256822</v>
      </c>
      <c r="GO32" s="180" t="n">
        <v>12.74066137022</v>
      </c>
      <c r="GP32" s="180" t="n">
        <v>12.81039705824</v>
      </c>
      <c r="GQ32" s="180" t="n">
        <v>12.88013274626</v>
      </c>
      <c r="GR32" s="180" t="n">
        <v>12.94986843428</v>
      </c>
      <c r="GS32" s="180" t="n">
        <v>13.0196041223</v>
      </c>
      <c r="GT32" s="180" t="n">
        <v>13.08933981032</v>
      </c>
      <c r="GU32" s="180" t="n">
        <v>13.15907549834</v>
      </c>
      <c r="GV32" s="180" t="n">
        <v>13.22881118636</v>
      </c>
      <c r="GW32" s="180" t="n">
        <v>13.29854687438</v>
      </c>
      <c r="GX32" s="180" t="n">
        <v>13.3682825624</v>
      </c>
      <c r="GY32" s="180" t="n">
        <v>13.43801825042</v>
      </c>
      <c r="GZ32" s="180" t="n">
        <v>13.50775393844</v>
      </c>
      <c r="HA32" s="180" t="n">
        <v>13.57748962646</v>
      </c>
      <c r="HB32" s="180" t="n">
        <v>13.64722531448</v>
      </c>
      <c r="HC32" s="180" t="n">
        <v>13.7169610025</v>
      </c>
      <c r="HD32" s="180" t="n">
        <v>13.78669669052</v>
      </c>
      <c r="HE32" s="180" t="n">
        <v>13.85643237854</v>
      </c>
      <c r="HF32" s="180" t="n">
        <v>13.92616806656</v>
      </c>
      <c r="HG32" s="180" t="n">
        <v>13.99590375458</v>
      </c>
      <c r="HH32" s="180" t="n">
        <v>14.0656394426</v>
      </c>
      <c r="HI32" s="180" t="n">
        <v>14.13537513062</v>
      </c>
      <c r="HJ32" s="180" t="n">
        <v>14.20511081864</v>
      </c>
      <c r="HK32" s="180" t="n">
        <v>14.27484650666</v>
      </c>
      <c r="HL32" s="180" t="n">
        <v>14.34458219468</v>
      </c>
      <c r="HM32" s="180" t="n">
        <v>14.4143178827</v>
      </c>
      <c r="HN32" s="180" t="n">
        <v>14.48405357072</v>
      </c>
      <c r="HO32" s="180" t="n">
        <v>14.55378925874</v>
      </c>
      <c r="HP32" s="180" t="n">
        <v>14.62352494676</v>
      </c>
      <c r="HQ32" s="180" t="n">
        <v>14.69326063478</v>
      </c>
      <c r="HR32" s="180" t="n">
        <v>14.7629963228</v>
      </c>
      <c r="HS32" s="180" t="n">
        <v>14.83273201082</v>
      </c>
      <c r="HT32" s="180" t="n">
        <v>14.90246769884</v>
      </c>
      <c r="HU32" s="180" t="n">
        <v>14.97220338686</v>
      </c>
      <c r="HV32" s="180" t="n">
        <v>15.04193907488</v>
      </c>
      <c r="HW32" s="180" t="n">
        <v>15.1116747629</v>
      </c>
      <c r="HX32" s="180" t="n">
        <v>15.18141045092</v>
      </c>
      <c r="HY32" s="180" t="n">
        <v>15.25114613894</v>
      </c>
      <c r="HZ32" s="180" t="n">
        <v>15.32088182696</v>
      </c>
      <c r="IA32" s="180" t="n">
        <v>15.39061751498</v>
      </c>
      <c r="IB32" s="180" t="n">
        <v>15.460353203</v>
      </c>
      <c r="IC32" s="180" t="n">
        <v>15.53008889102</v>
      </c>
      <c r="ID32" s="180" t="n">
        <v>15.59982457904</v>
      </c>
      <c r="IE32" s="180" t="n">
        <v>15.66956026706</v>
      </c>
      <c r="IF32" s="180" t="n">
        <v>15.73929595508</v>
      </c>
      <c r="IG32" s="180" t="n">
        <v>15.8090316431</v>
      </c>
      <c r="IH32" s="180" t="n">
        <v>15.87876733112</v>
      </c>
      <c r="II32" s="180" t="n">
        <v>15.94850301914</v>
      </c>
      <c r="IJ32" s="180" t="n">
        <v>16.01823870716</v>
      </c>
      <c r="IK32" s="180" t="n">
        <v>16.08797439518</v>
      </c>
      <c r="IL32" s="180" t="n">
        <v>16.1577100832</v>
      </c>
      <c r="IM32" s="180" t="n">
        <v>16.22744577122</v>
      </c>
      <c r="IN32" s="180" t="n">
        <v>16.29718145924</v>
      </c>
      <c r="IO32" s="180" t="n">
        <v>16.36691714726</v>
      </c>
      <c r="IP32" s="180" t="n">
        <v>16.43665283528</v>
      </c>
      <c r="IQ32" s="180" t="n">
        <v>16.5063885233</v>
      </c>
      <c r="IR32" s="180" t="n">
        <v>16.57612421132</v>
      </c>
      <c r="IS32" s="180" t="n">
        <v>16.64585989934</v>
      </c>
      <c r="IT32" s="180" t="n">
        <v>16.71559558736</v>
      </c>
      <c r="IU32" s="180" t="n">
        <v>16.78533127538</v>
      </c>
      <c r="IV32" s="180" t="n">
        <v>16.8550669634</v>
      </c>
    </row>
    <row r="33" customFormat="false" ht="12.75" hidden="false" customHeight="false" outlineLevel="0" collapsed="false">
      <c r="A33" s="189" t="n">
        <v>37681</v>
      </c>
      <c r="B33" s="185" t="n">
        <v>-2.021005929375</v>
      </c>
      <c r="C33" s="185" t="n">
        <v>-1.9907047400625</v>
      </c>
      <c r="D33" s="185" t="n">
        <v>-1.96040355075</v>
      </c>
      <c r="E33" s="185" t="n">
        <v>-1.9301023614375</v>
      </c>
      <c r="F33" s="185" t="n">
        <v>-1.899801172125</v>
      </c>
      <c r="G33" s="185" t="n">
        <v>-1.8694999828125</v>
      </c>
      <c r="H33" s="185" t="n">
        <v>-1.8391987935</v>
      </c>
      <c r="I33" s="185" t="n">
        <v>-1.8088976041875</v>
      </c>
      <c r="J33" s="185" t="n">
        <v>-1.778596414875</v>
      </c>
      <c r="K33" s="185" t="n">
        <v>-1.7482952255625</v>
      </c>
      <c r="L33" s="185" t="n">
        <v>-1.71799403625</v>
      </c>
      <c r="M33" s="185" t="n">
        <v>-1.6876928469375</v>
      </c>
      <c r="N33" s="185" t="n">
        <v>-1.657391657625</v>
      </c>
      <c r="O33" s="185" t="n">
        <v>-1.6270904683125</v>
      </c>
      <c r="P33" s="185" t="n">
        <v>-1.596789279</v>
      </c>
      <c r="Q33" s="185" t="n">
        <v>-1.5664880896875</v>
      </c>
      <c r="R33" s="185" t="n">
        <v>-1.536186900375</v>
      </c>
      <c r="S33" s="185" t="n">
        <v>-1.5058857110625</v>
      </c>
      <c r="T33" s="185" t="n">
        <v>-1.47558452175</v>
      </c>
      <c r="U33" s="185" t="n">
        <v>-1.4452833324375</v>
      </c>
      <c r="V33" s="186" t="n">
        <v>-1.414982143125</v>
      </c>
      <c r="W33" s="185" t="n">
        <v>-1.3846809538125</v>
      </c>
      <c r="X33" s="186" t="n">
        <v>-1.3543797645</v>
      </c>
      <c r="Y33" s="185" t="n">
        <v>-1.3240785751875</v>
      </c>
      <c r="Z33" s="186" t="n">
        <v>-1.293777385875</v>
      </c>
      <c r="AA33" s="185" t="n">
        <v>-1.2634761965625</v>
      </c>
      <c r="AB33" s="187" t="n">
        <v>-1.23317500725</v>
      </c>
      <c r="AC33" s="185" t="n">
        <v>-1.2028738179375</v>
      </c>
      <c r="AD33" s="187" t="n">
        <v>-1.172572628625</v>
      </c>
      <c r="AE33" s="185" t="n">
        <v>-1.1422714393125</v>
      </c>
      <c r="AF33" s="185" t="n">
        <v>-1.11197025</v>
      </c>
      <c r="AG33" s="190" t="n">
        <v>-1.083235125</v>
      </c>
      <c r="AH33" s="190" t="n">
        <v>-1.0545</v>
      </c>
      <c r="AI33" s="190" t="n">
        <v>-1.02725</v>
      </c>
      <c r="AJ33" s="190" t="n">
        <v>-1</v>
      </c>
      <c r="AK33" s="190" t="n">
        <v>-0.8</v>
      </c>
      <c r="AL33" s="190" t="n">
        <v>-0.6</v>
      </c>
      <c r="AM33" s="190" t="n">
        <v>-0.4</v>
      </c>
      <c r="AN33" s="190" t="n">
        <v>-0.2</v>
      </c>
      <c r="AO33" s="190" t="n">
        <v>0</v>
      </c>
      <c r="AP33" s="190" t="n">
        <v>0.2</v>
      </c>
      <c r="AQ33" s="190" t="n">
        <v>0.4</v>
      </c>
      <c r="AR33" s="190" t="n">
        <v>0.6</v>
      </c>
      <c r="AS33" s="190" t="n">
        <v>0.8</v>
      </c>
      <c r="AT33" s="190" t="n">
        <v>1</v>
      </c>
      <c r="AU33" s="190" t="n">
        <v>1.2</v>
      </c>
      <c r="AV33" s="190" t="n">
        <v>1.4</v>
      </c>
      <c r="AW33" s="190" t="n">
        <v>1.58</v>
      </c>
      <c r="AX33" s="190" t="n">
        <v>1.76</v>
      </c>
      <c r="AY33" s="190" t="n">
        <v>1.922</v>
      </c>
      <c r="AZ33" s="190" t="n">
        <v>2.084</v>
      </c>
      <c r="BA33" s="190" t="n">
        <v>2.2298</v>
      </c>
      <c r="BB33" s="190" t="n">
        <v>2.3756</v>
      </c>
      <c r="BC33" s="190" t="n">
        <v>2.50682</v>
      </c>
      <c r="BD33" s="190" t="n">
        <v>2.63804</v>
      </c>
      <c r="BE33" s="190" t="n">
        <v>2.756138</v>
      </c>
      <c r="BF33" s="190" t="n">
        <v>2.874236</v>
      </c>
      <c r="BG33" s="190" t="n">
        <v>2.9805242</v>
      </c>
      <c r="BH33" s="190" t="n">
        <v>3.0868124</v>
      </c>
      <c r="BI33" s="190" t="n">
        <v>3.18247178</v>
      </c>
      <c r="BJ33" s="190" t="n">
        <v>3.27813116</v>
      </c>
      <c r="BK33" s="190" t="n">
        <v>3.364224602</v>
      </c>
      <c r="BL33" s="190" t="n">
        <v>3.450318044</v>
      </c>
      <c r="BM33" s="190" t="n">
        <v>3.5278021418</v>
      </c>
      <c r="BN33" s="190" t="n">
        <v>3.6052862396</v>
      </c>
      <c r="BO33" s="190" t="n">
        <v>3.67502192762</v>
      </c>
      <c r="BP33" s="190" t="n">
        <v>3.74475761564</v>
      </c>
      <c r="BQ33" s="190" t="n">
        <v>3.81449330366</v>
      </c>
      <c r="BR33" s="190" t="n">
        <v>3.88422899168</v>
      </c>
      <c r="BS33" s="190" t="n">
        <v>3.9539646797</v>
      </c>
      <c r="BT33" s="190" t="n">
        <v>4.02370036772</v>
      </c>
      <c r="BU33" s="190" t="n">
        <v>4.09343605574</v>
      </c>
      <c r="BV33" s="190" t="n">
        <v>4.16317174376</v>
      </c>
      <c r="BW33" s="190" t="n">
        <v>4.23290743178</v>
      </c>
      <c r="BX33" s="190" t="n">
        <v>4.3026431198</v>
      </c>
      <c r="BY33" s="190" t="n">
        <v>4.37237880782</v>
      </c>
      <c r="BZ33" s="190" t="n">
        <v>4.44211449584</v>
      </c>
      <c r="CA33" s="190" t="n">
        <v>4.51185018386</v>
      </c>
      <c r="CB33" s="190" t="n">
        <v>4.58158587188</v>
      </c>
      <c r="CC33" s="190" t="n">
        <v>4.6513215599</v>
      </c>
      <c r="CD33" s="190" t="n">
        <v>4.72105724792</v>
      </c>
      <c r="CE33" s="190" t="n">
        <v>4.79079293594</v>
      </c>
      <c r="CF33" s="190" t="n">
        <v>4.86052862396</v>
      </c>
      <c r="CG33" s="190" t="n">
        <v>4.93026431198</v>
      </c>
      <c r="CH33" s="190" t="n">
        <v>5</v>
      </c>
      <c r="CI33" s="190" t="n">
        <v>5.06973568801999</v>
      </c>
      <c r="CJ33" s="190" t="n">
        <v>5.13947137603999</v>
      </c>
      <c r="CK33" s="190" t="n">
        <v>5.20920706405999</v>
      </c>
      <c r="CL33" s="190" t="n">
        <v>5.27894275207999</v>
      </c>
      <c r="CM33" s="190" t="n">
        <v>5.34867844009999</v>
      </c>
      <c r="CN33" s="190" t="n">
        <v>5.41841412811999</v>
      </c>
      <c r="CO33" s="190" t="n">
        <v>5.48814981613999</v>
      </c>
      <c r="CP33" s="190" t="n">
        <v>5.55788550415999</v>
      </c>
      <c r="CQ33" s="190" t="n">
        <v>5.62762119217999</v>
      </c>
      <c r="CR33" s="190" t="n">
        <v>5.69735688019999</v>
      </c>
      <c r="CS33" s="190" t="n">
        <v>5.76709256821999</v>
      </c>
      <c r="CT33" s="190" t="n">
        <v>5.83682825623999</v>
      </c>
      <c r="CU33" s="190" t="n">
        <v>5.90656394425999</v>
      </c>
      <c r="CV33" s="190" t="n">
        <v>5.97629963227999</v>
      </c>
      <c r="CW33" s="190" t="n">
        <v>6.04603532029999</v>
      </c>
      <c r="CX33" s="190" t="n">
        <v>6.11577100831999</v>
      </c>
      <c r="CY33" s="190" t="n">
        <v>6.18550669633999</v>
      </c>
      <c r="CZ33" s="190" t="n">
        <v>6.25524238435999</v>
      </c>
      <c r="DA33" s="190" t="n">
        <v>6.32497807237999</v>
      </c>
      <c r="DB33" s="190" t="n">
        <v>6.39471376039999</v>
      </c>
      <c r="DC33" s="190" t="n">
        <v>6.46444944841999</v>
      </c>
      <c r="DD33" s="190" t="n">
        <v>6.53418513643999</v>
      </c>
      <c r="DE33" s="190" t="n">
        <v>6.60392082445999</v>
      </c>
      <c r="DF33" s="190" t="n">
        <v>6.67365651247999</v>
      </c>
      <c r="DG33" s="190" t="n">
        <v>6.74339220049999</v>
      </c>
      <c r="DH33" s="190" t="n">
        <v>6.81312788851999</v>
      </c>
      <c r="DI33" s="190" t="n">
        <v>6.88286357653999</v>
      </c>
      <c r="DJ33" s="190" t="n">
        <v>6.95259926455999</v>
      </c>
      <c r="DK33" s="190" t="n">
        <v>7.02233495257999</v>
      </c>
      <c r="DL33" s="190" t="n">
        <v>7.09207064059999</v>
      </c>
      <c r="DM33" s="190" t="n">
        <v>7.16180632861999</v>
      </c>
      <c r="DN33" s="190" t="n">
        <v>7.23154201663999</v>
      </c>
      <c r="DO33" s="190" t="n">
        <v>7.30127770465999</v>
      </c>
      <c r="DP33" s="190" t="n">
        <v>7.37101339267999</v>
      </c>
      <c r="DQ33" s="190" t="n">
        <v>7.44074908069999</v>
      </c>
      <c r="DR33" s="190" t="n">
        <v>7.51048476871999</v>
      </c>
      <c r="DS33" s="190" t="n">
        <v>7.58022045673999</v>
      </c>
      <c r="DT33" s="190" t="n">
        <v>7.64995614475999</v>
      </c>
      <c r="DU33" s="190" t="n">
        <v>7.71969183277999</v>
      </c>
      <c r="DV33" s="190" t="n">
        <v>7.78942752079998</v>
      </c>
      <c r="DW33" s="190" t="n">
        <v>7.85916320881998</v>
      </c>
      <c r="DX33" s="190" t="n">
        <v>7.92889889683998</v>
      </c>
      <c r="DY33" s="190" t="n">
        <v>7.99863458485998</v>
      </c>
      <c r="DZ33" s="190" t="n">
        <v>8.06837027287998</v>
      </c>
      <c r="EA33" s="190" t="n">
        <v>8.13810596089998</v>
      </c>
      <c r="EB33" s="190" t="n">
        <v>8.20784164891998</v>
      </c>
      <c r="EC33" s="190" t="n">
        <v>8.27757733693998</v>
      </c>
      <c r="ED33" s="190" t="n">
        <v>8.34731302495998</v>
      </c>
      <c r="EE33" s="190" t="n">
        <v>8.41704871297998</v>
      </c>
      <c r="EF33" s="190" t="n">
        <v>8.48678440099998</v>
      </c>
      <c r="EG33" s="190" t="n">
        <v>8.55652008901998</v>
      </c>
      <c r="EH33" s="190" t="n">
        <v>8.62625577703998</v>
      </c>
      <c r="EI33" s="190" t="n">
        <v>8.69599146505998</v>
      </c>
      <c r="EJ33" s="190" t="n">
        <v>8.76572715307998</v>
      </c>
      <c r="EK33" s="190" t="n">
        <v>8.83546284109998</v>
      </c>
      <c r="EL33" s="180" t="n">
        <v>8.90519852911998</v>
      </c>
      <c r="EM33" s="180" t="n">
        <v>8.97493421713998</v>
      </c>
      <c r="EN33" s="180" t="n">
        <v>9.04466990515998</v>
      </c>
      <c r="EO33" s="180" t="n">
        <v>9.11440559317998</v>
      </c>
      <c r="EP33" s="180" t="n">
        <v>9.18414128119998</v>
      </c>
      <c r="EQ33" s="180" t="n">
        <v>9.25387696921998</v>
      </c>
      <c r="ER33" s="180" t="n">
        <v>9.32361265723998</v>
      </c>
      <c r="ES33" s="180" t="n">
        <v>9.39334834525998</v>
      </c>
      <c r="ET33" s="180" t="n">
        <v>9.46308403327998</v>
      </c>
      <c r="EU33" s="180" t="n">
        <v>9.53281972129998</v>
      </c>
      <c r="EV33" s="180" t="n">
        <v>9.60255540931998</v>
      </c>
      <c r="EW33" s="180" t="n">
        <v>9.67229109733998</v>
      </c>
      <c r="EX33" s="180" t="n">
        <v>9.74202678535998</v>
      </c>
      <c r="EY33" s="180" t="n">
        <v>9.81176247337998</v>
      </c>
      <c r="EZ33" s="180" t="n">
        <v>9.88149816139998</v>
      </c>
      <c r="FA33" s="180" t="n">
        <v>9.95123384941998</v>
      </c>
      <c r="FB33" s="180" t="n">
        <v>10.02096953744</v>
      </c>
      <c r="FC33" s="180" t="n">
        <v>10.09070522546</v>
      </c>
      <c r="FD33" s="180" t="n">
        <v>10.16044091348</v>
      </c>
      <c r="FE33" s="180" t="n">
        <v>10.2301766015</v>
      </c>
      <c r="FF33" s="180" t="n">
        <v>10.29991228952</v>
      </c>
      <c r="FG33" s="180" t="n">
        <v>10.36964797754</v>
      </c>
      <c r="FH33" s="180" t="n">
        <v>10.43938366556</v>
      </c>
      <c r="FI33" s="180" t="n">
        <v>10.50911935358</v>
      </c>
      <c r="FJ33" s="180" t="n">
        <v>10.5788550416</v>
      </c>
      <c r="FK33" s="180" t="n">
        <v>10.64859072962</v>
      </c>
      <c r="FL33" s="180" t="n">
        <v>10.71832641764</v>
      </c>
      <c r="FM33" s="180" t="n">
        <v>10.78806210566</v>
      </c>
      <c r="FN33" s="180" t="n">
        <v>10.85779779368</v>
      </c>
      <c r="FO33" s="180" t="n">
        <v>10.9275334817</v>
      </c>
      <c r="FP33" s="180" t="n">
        <v>10.99726916972</v>
      </c>
      <c r="FQ33" s="180" t="n">
        <v>11.06700485774</v>
      </c>
      <c r="FR33" s="180" t="n">
        <v>11.13674054576</v>
      </c>
      <c r="FS33" s="180" t="n">
        <v>11.20647623378</v>
      </c>
      <c r="FT33" s="180" t="n">
        <v>11.2762119218</v>
      </c>
      <c r="FU33" s="180" t="n">
        <v>11.34594760982</v>
      </c>
      <c r="FV33" s="180" t="n">
        <v>11.41568329784</v>
      </c>
      <c r="FW33" s="180" t="n">
        <v>11.48541898586</v>
      </c>
      <c r="FX33" s="180" t="n">
        <v>11.55515467388</v>
      </c>
      <c r="FY33" s="180" t="n">
        <v>11.6248903619</v>
      </c>
      <c r="FZ33" s="180" t="n">
        <v>11.69462604992</v>
      </c>
      <c r="GA33" s="180" t="n">
        <v>11.76436173794</v>
      </c>
      <c r="GB33" s="180" t="n">
        <v>11.83409742596</v>
      </c>
      <c r="GC33" s="180" t="n">
        <v>11.90383311398</v>
      </c>
      <c r="GD33" s="180" t="n">
        <v>11.973568802</v>
      </c>
      <c r="GE33" s="180" t="n">
        <v>12.04330449002</v>
      </c>
      <c r="GF33" s="180" t="n">
        <v>12.11304017804</v>
      </c>
      <c r="GG33" s="180" t="n">
        <v>12.18277586606</v>
      </c>
      <c r="GH33" s="180" t="n">
        <v>12.25251155408</v>
      </c>
      <c r="GI33" s="180" t="n">
        <v>12.3222472421</v>
      </c>
      <c r="GJ33" s="180" t="n">
        <v>12.39198293012</v>
      </c>
      <c r="GK33" s="180" t="n">
        <v>12.46171861814</v>
      </c>
      <c r="GL33" s="180" t="n">
        <v>12.53145430616</v>
      </c>
      <c r="GM33" s="180" t="n">
        <v>12.60118999418</v>
      </c>
      <c r="GN33" s="180" t="n">
        <v>12.6709256822</v>
      </c>
      <c r="GO33" s="180" t="n">
        <v>12.74066137022</v>
      </c>
      <c r="GP33" s="180" t="n">
        <v>12.81039705824</v>
      </c>
      <c r="GQ33" s="180" t="n">
        <v>12.88013274626</v>
      </c>
      <c r="GR33" s="180" t="n">
        <v>12.94986843428</v>
      </c>
      <c r="GS33" s="180" t="n">
        <v>13.0196041223</v>
      </c>
      <c r="GT33" s="180" t="n">
        <v>13.08933981032</v>
      </c>
      <c r="GU33" s="180" t="n">
        <v>13.15907549834</v>
      </c>
      <c r="GV33" s="180" t="n">
        <v>13.22881118636</v>
      </c>
      <c r="GW33" s="180" t="n">
        <v>13.29854687438</v>
      </c>
      <c r="GX33" s="180" t="n">
        <v>13.3682825624</v>
      </c>
      <c r="GY33" s="180" t="n">
        <v>13.43801825042</v>
      </c>
      <c r="GZ33" s="180" t="n">
        <v>13.50775393844</v>
      </c>
      <c r="HA33" s="180" t="n">
        <v>13.57748962646</v>
      </c>
      <c r="HB33" s="180" t="n">
        <v>13.64722531448</v>
      </c>
      <c r="HC33" s="180" t="n">
        <v>13.7169610025</v>
      </c>
      <c r="HD33" s="180" t="n">
        <v>13.78669669052</v>
      </c>
      <c r="HE33" s="180" t="n">
        <v>13.85643237854</v>
      </c>
      <c r="HF33" s="180" t="n">
        <v>13.92616806656</v>
      </c>
      <c r="HG33" s="180" t="n">
        <v>13.99590375458</v>
      </c>
      <c r="HH33" s="180" t="n">
        <v>14.0656394426</v>
      </c>
      <c r="HI33" s="180" t="n">
        <v>14.13537513062</v>
      </c>
      <c r="HJ33" s="180" t="n">
        <v>14.20511081864</v>
      </c>
      <c r="HK33" s="180" t="n">
        <v>14.27484650666</v>
      </c>
      <c r="HL33" s="180" t="n">
        <v>14.34458219468</v>
      </c>
      <c r="HM33" s="180" t="n">
        <v>14.4143178827</v>
      </c>
      <c r="HN33" s="180" t="n">
        <v>14.48405357072</v>
      </c>
      <c r="HO33" s="180" t="n">
        <v>14.55378925874</v>
      </c>
      <c r="HP33" s="180" t="n">
        <v>14.62352494676</v>
      </c>
      <c r="HQ33" s="180" t="n">
        <v>14.69326063478</v>
      </c>
      <c r="HR33" s="180" t="n">
        <v>14.7629963228</v>
      </c>
      <c r="HS33" s="180" t="n">
        <v>14.83273201082</v>
      </c>
      <c r="HT33" s="180" t="n">
        <v>14.90246769884</v>
      </c>
      <c r="HU33" s="180" t="n">
        <v>14.97220338686</v>
      </c>
      <c r="HV33" s="180" t="n">
        <v>15.04193907488</v>
      </c>
      <c r="HW33" s="180" t="n">
        <v>15.1116747629</v>
      </c>
      <c r="HX33" s="180" t="n">
        <v>15.18141045092</v>
      </c>
      <c r="HY33" s="180" t="n">
        <v>15.25114613894</v>
      </c>
      <c r="HZ33" s="180" t="n">
        <v>15.32088182696</v>
      </c>
      <c r="IA33" s="180" t="n">
        <v>15.39061751498</v>
      </c>
      <c r="IB33" s="180" t="n">
        <v>15.460353203</v>
      </c>
      <c r="IC33" s="180" t="n">
        <v>15.53008889102</v>
      </c>
      <c r="ID33" s="180" t="n">
        <v>15.59982457904</v>
      </c>
      <c r="IE33" s="180" t="n">
        <v>15.66956026706</v>
      </c>
      <c r="IF33" s="180" t="n">
        <v>15.73929595508</v>
      </c>
      <c r="IG33" s="180" t="n">
        <v>15.8090316431</v>
      </c>
      <c r="IH33" s="180" t="n">
        <v>15.87876733112</v>
      </c>
      <c r="II33" s="180" t="n">
        <v>15.94850301914</v>
      </c>
      <c r="IJ33" s="180" t="n">
        <v>16.01823870716</v>
      </c>
      <c r="IK33" s="180" t="n">
        <v>16.08797439518</v>
      </c>
      <c r="IL33" s="180" t="n">
        <v>16.1577100832</v>
      </c>
      <c r="IM33" s="180" t="n">
        <v>16.22744577122</v>
      </c>
      <c r="IN33" s="180" t="n">
        <v>16.29718145924</v>
      </c>
      <c r="IO33" s="180" t="n">
        <v>16.36691714726</v>
      </c>
      <c r="IP33" s="180" t="n">
        <v>16.43665283528</v>
      </c>
      <c r="IQ33" s="180" t="n">
        <v>16.5063885233</v>
      </c>
      <c r="IR33" s="180" t="n">
        <v>16.57612421132</v>
      </c>
      <c r="IS33" s="180" t="n">
        <v>16.64585989934</v>
      </c>
      <c r="IT33" s="180" t="n">
        <v>16.71559558736</v>
      </c>
      <c r="IU33" s="180" t="n">
        <v>16.78533127538</v>
      </c>
      <c r="IV33" s="180" t="n">
        <v>16.8550669634</v>
      </c>
    </row>
    <row r="34" customFormat="false" ht="12.75" hidden="false" customHeight="false" outlineLevel="0" collapsed="false">
      <c r="A34" s="189" t="n">
        <v>37712</v>
      </c>
      <c r="B34" s="185" t="n">
        <v>-2.021005929375</v>
      </c>
      <c r="C34" s="185" t="n">
        <v>-1.9907047400625</v>
      </c>
      <c r="D34" s="185" t="n">
        <v>-1.96040355075</v>
      </c>
      <c r="E34" s="185" t="n">
        <v>-1.9301023614375</v>
      </c>
      <c r="F34" s="185" t="n">
        <v>-1.899801172125</v>
      </c>
      <c r="G34" s="185" t="n">
        <v>-1.8694999828125</v>
      </c>
      <c r="H34" s="185" t="n">
        <v>-1.8391987935</v>
      </c>
      <c r="I34" s="185" t="n">
        <v>-1.8088976041875</v>
      </c>
      <c r="J34" s="185" t="n">
        <v>-1.778596414875</v>
      </c>
      <c r="K34" s="185" t="n">
        <v>-1.7482952255625</v>
      </c>
      <c r="L34" s="185" t="n">
        <v>-1.71799403625</v>
      </c>
      <c r="M34" s="185" t="n">
        <v>-1.6876928469375</v>
      </c>
      <c r="N34" s="185" t="n">
        <v>-1.657391657625</v>
      </c>
      <c r="O34" s="185" t="n">
        <v>-1.6270904683125</v>
      </c>
      <c r="P34" s="185" t="n">
        <v>-1.596789279</v>
      </c>
      <c r="Q34" s="185" t="n">
        <v>-1.5664880896875</v>
      </c>
      <c r="R34" s="185" t="n">
        <v>-1.536186900375</v>
      </c>
      <c r="S34" s="185" t="n">
        <v>-1.5058857110625</v>
      </c>
      <c r="T34" s="185" t="n">
        <v>-1.47558452175</v>
      </c>
      <c r="U34" s="185" t="n">
        <v>-1.4452833324375</v>
      </c>
      <c r="V34" s="186" t="n">
        <v>-1.414982143125</v>
      </c>
      <c r="W34" s="185" t="n">
        <v>-1.3846809538125</v>
      </c>
      <c r="X34" s="186" t="n">
        <v>-1.3543797645</v>
      </c>
      <c r="Y34" s="185" t="n">
        <v>-1.3240785751875</v>
      </c>
      <c r="Z34" s="186" t="n">
        <v>-1.293777385875</v>
      </c>
      <c r="AA34" s="185" t="n">
        <v>-1.2634761965625</v>
      </c>
      <c r="AB34" s="187" t="n">
        <v>-1.23317500725</v>
      </c>
      <c r="AC34" s="185" t="n">
        <v>-1.2028738179375</v>
      </c>
      <c r="AD34" s="187" t="n">
        <v>-1.172572628625</v>
      </c>
      <c r="AE34" s="185" t="n">
        <v>-1.1422714393125</v>
      </c>
      <c r="AF34" s="185" t="n">
        <v>-1.11197025</v>
      </c>
      <c r="AG34" s="190" t="n">
        <v>-1.083235125</v>
      </c>
      <c r="AH34" s="190" t="n">
        <v>-1.0545</v>
      </c>
      <c r="AI34" s="190" t="n">
        <v>-1.02725</v>
      </c>
      <c r="AJ34" s="190" t="n">
        <v>-1</v>
      </c>
      <c r="AK34" s="190" t="n">
        <v>-0.8</v>
      </c>
      <c r="AL34" s="190" t="n">
        <v>-0.6</v>
      </c>
      <c r="AM34" s="190" t="n">
        <v>-0.4</v>
      </c>
      <c r="AN34" s="190" t="n">
        <v>-0.2</v>
      </c>
      <c r="AO34" s="190" t="n">
        <v>0</v>
      </c>
      <c r="AP34" s="190" t="n">
        <v>0.2</v>
      </c>
      <c r="AQ34" s="190" t="n">
        <v>0.4</v>
      </c>
      <c r="AR34" s="190" t="n">
        <v>0.6</v>
      </c>
      <c r="AS34" s="190" t="n">
        <v>0.8</v>
      </c>
      <c r="AT34" s="190" t="n">
        <v>1</v>
      </c>
      <c r="AU34" s="190" t="n">
        <v>1.2</v>
      </c>
      <c r="AV34" s="190" t="n">
        <v>1.4</v>
      </c>
      <c r="AW34" s="190" t="n">
        <v>1.58</v>
      </c>
      <c r="AX34" s="190" t="n">
        <v>1.76</v>
      </c>
      <c r="AY34" s="190" t="n">
        <v>1.922</v>
      </c>
      <c r="AZ34" s="190" t="n">
        <v>2.084</v>
      </c>
      <c r="BA34" s="190" t="n">
        <v>2.2298</v>
      </c>
      <c r="BB34" s="190" t="n">
        <v>2.3756</v>
      </c>
      <c r="BC34" s="190" t="n">
        <v>2.50682</v>
      </c>
      <c r="BD34" s="190" t="n">
        <v>2.63804</v>
      </c>
      <c r="BE34" s="190" t="n">
        <v>2.756138</v>
      </c>
      <c r="BF34" s="190" t="n">
        <v>2.874236</v>
      </c>
      <c r="BG34" s="190" t="n">
        <v>2.9805242</v>
      </c>
      <c r="BH34" s="190" t="n">
        <v>3.0868124</v>
      </c>
      <c r="BI34" s="190" t="n">
        <v>3.18247178</v>
      </c>
      <c r="BJ34" s="190" t="n">
        <v>3.27813116</v>
      </c>
      <c r="BK34" s="190" t="n">
        <v>3.364224602</v>
      </c>
      <c r="BL34" s="190" t="n">
        <v>3.450318044</v>
      </c>
      <c r="BM34" s="190" t="n">
        <v>3.5278021418</v>
      </c>
      <c r="BN34" s="190" t="n">
        <v>3.6052862396</v>
      </c>
      <c r="BO34" s="190" t="n">
        <v>3.67502192762</v>
      </c>
      <c r="BP34" s="190" t="n">
        <v>3.74475761564</v>
      </c>
      <c r="BQ34" s="190" t="n">
        <v>3.81449330366</v>
      </c>
      <c r="BR34" s="190" t="n">
        <v>3.88422899168</v>
      </c>
      <c r="BS34" s="190" t="n">
        <v>3.9539646797</v>
      </c>
      <c r="BT34" s="190" t="n">
        <v>4.02370036772</v>
      </c>
      <c r="BU34" s="190" t="n">
        <v>4.09343605574</v>
      </c>
      <c r="BV34" s="190" t="n">
        <v>4.16317174376</v>
      </c>
      <c r="BW34" s="190" t="n">
        <v>4.23290743178</v>
      </c>
      <c r="BX34" s="190" t="n">
        <v>4.3026431198</v>
      </c>
      <c r="BY34" s="190" t="n">
        <v>4.37237880782</v>
      </c>
      <c r="BZ34" s="190" t="n">
        <v>4.44211449584</v>
      </c>
      <c r="CA34" s="190" t="n">
        <v>4.51185018386</v>
      </c>
      <c r="CB34" s="190" t="n">
        <v>4.58158587188</v>
      </c>
      <c r="CC34" s="190" t="n">
        <v>4.6513215599</v>
      </c>
      <c r="CD34" s="190" t="n">
        <v>4.72105724792</v>
      </c>
      <c r="CE34" s="190" t="n">
        <v>4.79079293594</v>
      </c>
      <c r="CF34" s="190" t="n">
        <v>4.86052862396</v>
      </c>
      <c r="CG34" s="190" t="n">
        <v>4.93026431198</v>
      </c>
      <c r="CH34" s="190" t="n">
        <v>5</v>
      </c>
      <c r="CI34" s="190" t="n">
        <v>5.06973568801999</v>
      </c>
      <c r="CJ34" s="190" t="n">
        <v>5.13947137603999</v>
      </c>
      <c r="CK34" s="190" t="n">
        <v>5.20920706405999</v>
      </c>
      <c r="CL34" s="190" t="n">
        <v>5.27894275207999</v>
      </c>
      <c r="CM34" s="190" t="n">
        <v>5.34867844009999</v>
      </c>
      <c r="CN34" s="190" t="n">
        <v>5.41841412811999</v>
      </c>
      <c r="CO34" s="190" t="n">
        <v>5.48814981613999</v>
      </c>
      <c r="CP34" s="190" t="n">
        <v>5.55788550415999</v>
      </c>
      <c r="CQ34" s="190" t="n">
        <v>5.62762119217999</v>
      </c>
      <c r="CR34" s="190" t="n">
        <v>5.69735688019999</v>
      </c>
      <c r="CS34" s="190" t="n">
        <v>5.76709256821999</v>
      </c>
      <c r="CT34" s="190" t="n">
        <v>5.83682825623999</v>
      </c>
      <c r="CU34" s="190" t="n">
        <v>5.90656394425999</v>
      </c>
      <c r="CV34" s="190" t="n">
        <v>5.97629963227999</v>
      </c>
      <c r="CW34" s="190" t="n">
        <v>6.04603532029999</v>
      </c>
      <c r="CX34" s="190" t="n">
        <v>6.11577100831999</v>
      </c>
      <c r="CY34" s="190" t="n">
        <v>6.18550669633999</v>
      </c>
      <c r="CZ34" s="190" t="n">
        <v>6.25524238435999</v>
      </c>
      <c r="DA34" s="190" t="n">
        <v>6.32497807237999</v>
      </c>
      <c r="DB34" s="190" t="n">
        <v>6.39471376039999</v>
      </c>
      <c r="DC34" s="190" t="n">
        <v>6.46444944841999</v>
      </c>
      <c r="DD34" s="190" t="n">
        <v>6.53418513643999</v>
      </c>
      <c r="DE34" s="190" t="n">
        <v>6.60392082445999</v>
      </c>
      <c r="DF34" s="190" t="n">
        <v>6.67365651247999</v>
      </c>
      <c r="DG34" s="190" t="n">
        <v>6.74339220049999</v>
      </c>
      <c r="DH34" s="190" t="n">
        <v>6.81312788851999</v>
      </c>
      <c r="DI34" s="190" t="n">
        <v>6.88286357653999</v>
      </c>
      <c r="DJ34" s="190" t="n">
        <v>6.95259926455999</v>
      </c>
      <c r="DK34" s="190" t="n">
        <v>7.02233495257999</v>
      </c>
      <c r="DL34" s="190" t="n">
        <v>7.09207064059999</v>
      </c>
      <c r="DM34" s="190" t="n">
        <v>7.16180632861999</v>
      </c>
      <c r="DN34" s="190" t="n">
        <v>7.23154201663999</v>
      </c>
      <c r="DO34" s="190" t="n">
        <v>7.30127770465999</v>
      </c>
      <c r="DP34" s="190" t="n">
        <v>7.37101339267999</v>
      </c>
      <c r="DQ34" s="190" t="n">
        <v>7.44074908069999</v>
      </c>
      <c r="DR34" s="190" t="n">
        <v>7.51048476871999</v>
      </c>
      <c r="DS34" s="190" t="n">
        <v>7.58022045673999</v>
      </c>
      <c r="DT34" s="190" t="n">
        <v>7.64995614475999</v>
      </c>
      <c r="DU34" s="190" t="n">
        <v>7.71969183277999</v>
      </c>
      <c r="DV34" s="190" t="n">
        <v>7.78942752079998</v>
      </c>
      <c r="DW34" s="190" t="n">
        <v>7.85916320881998</v>
      </c>
      <c r="DX34" s="190" t="n">
        <v>7.92889889683998</v>
      </c>
      <c r="DY34" s="190" t="n">
        <v>7.99863458485998</v>
      </c>
      <c r="DZ34" s="190" t="n">
        <v>8.06837027287998</v>
      </c>
      <c r="EA34" s="190" t="n">
        <v>8.13810596089998</v>
      </c>
      <c r="EB34" s="190" t="n">
        <v>8.20784164891998</v>
      </c>
      <c r="EC34" s="190" t="n">
        <v>8.27757733693998</v>
      </c>
      <c r="ED34" s="190" t="n">
        <v>8.34731302495998</v>
      </c>
      <c r="EE34" s="190" t="n">
        <v>8.41704871297998</v>
      </c>
      <c r="EF34" s="190" t="n">
        <v>8.48678440099998</v>
      </c>
      <c r="EG34" s="190" t="n">
        <v>8.55652008901998</v>
      </c>
      <c r="EH34" s="190" t="n">
        <v>8.62625577703998</v>
      </c>
      <c r="EI34" s="190" t="n">
        <v>8.69599146505998</v>
      </c>
      <c r="EJ34" s="190" t="n">
        <v>8.76572715307998</v>
      </c>
      <c r="EK34" s="190" t="n">
        <v>8.83546284109998</v>
      </c>
      <c r="EL34" s="180" t="n">
        <v>8.90519852911998</v>
      </c>
      <c r="EM34" s="180" t="n">
        <v>8.97493421713998</v>
      </c>
      <c r="EN34" s="180" t="n">
        <v>9.04466990515998</v>
      </c>
      <c r="EO34" s="180" t="n">
        <v>9.11440559317998</v>
      </c>
      <c r="EP34" s="180" t="n">
        <v>9.18414128119998</v>
      </c>
      <c r="EQ34" s="180" t="n">
        <v>9.25387696921998</v>
      </c>
      <c r="ER34" s="180" t="n">
        <v>9.32361265723998</v>
      </c>
      <c r="ES34" s="180" t="n">
        <v>9.39334834525998</v>
      </c>
      <c r="ET34" s="180" t="n">
        <v>9.46308403327998</v>
      </c>
      <c r="EU34" s="180" t="n">
        <v>9.53281972129998</v>
      </c>
      <c r="EV34" s="180" t="n">
        <v>9.60255540931998</v>
      </c>
      <c r="EW34" s="180" t="n">
        <v>9.67229109733998</v>
      </c>
      <c r="EX34" s="180" t="n">
        <v>9.74202678535998</v>
      </c>
      <c r="EY34" s="180" t="n">
        <v>9.81176247337998</v>
      </c>
      <c r="EZ34" s="180" t="n">
        <v>9.88149816139998</v>
      </c>
      <c r="FA34" s="180" t="n">
        <v>9.95123384941998</v>
      </c>
      <c r="FB34" s="180" t="n">
        <v>10.02096953744</v>
      </c>
      <c r="FC34" s="180" t="n">
        <v>10.09070522546</v>
      </c>
      <c r="FD34" s="180" t="n">
        <v>10.16044091348</v>
      </c>
      <c r="FE34" s="180" t="n">
        <v>10.2301766015</v>
      </c>
      <c r="FF34" s="180" t="n">
        <v>10.29991228952</v>
      </c>
      <c r="FG34" s="180" t="n">
        <v>10.36964797754</v>
      </c>
      <c r="FH34" s="180" t="n">
        <v>10.43938366556</v>
      </c>
      <c r="FI34" s="180" t="n">
        <v>10.50911935358</v>
      </c>
      <c r="FJ34" s="180" t="n">
        <v>10.5788550416</v>
      </c>
      <c r="FK34" s="180" t="n">
        <v>10.64859072962</v>
      </c>
      <c r="FL34" s="180" t="n">
        <v>10.71832641764</v>
      </c>
      <c r="FM34" s="180" t="n">
        <v>10.78806210566</v>
      </c>
      <c r="FN34" s="180" t="n">
        <v>10.85779779368</v>
      </c>
      <c r="FO34" s="180" t="n">
        <v>10.9275334817</v>
      </c>
      <c r="FP34" s="180" t="n">
        <v>10.99726916972</v>
      </c>
      <c r="FQ34" s="180" t="n">
        <v>11.06700485774</v>
      </c>
      <c r="FR34" s="180" t="n">
        <v>11.13674054576</v>
      </c>
      <c r="FS34" s="180" t="n">
        <v>11.20647623378</v>
      </c>
      <c r="FT34" s="180" t="n">
        <v>11.2762119218</v>
      </c>
      <c r="FU34" s="180" t="n">
        <v>11.34594760982</v>
      </c>
      <c r="FV34" s="180" t="n">
        <v>11.41568329784</v>
      </c>
      <c r="FW34" s="180" t="n">
        <v>11.48541898586</v>
      </c>
      <c r="FX34" s="180" t="n">
        <v>11.55515467388</v>
      </c>
      <c r="FY34" s="180" t="n">
        <v>11.6248903619</v>
      </c>
      <c r="FZ34" s="180" t="n">
        <v>11.69462604992</v>
      </c>
      <c r="GA34" s="180" t="n">
        <v>11.76436173794</v>
      </c>
      <c r="GB34" s="180" t="n">
        <v>11.83409742596</v>
      </c>
      <c r="GC34" s="180" t="n">
        <v>11.90383311398</v>
      </c>
      <c r="GD34" s="180" t="n">
        <v>11.973568802</v>
      </c>
      <c r="GE34" s="180" t="n">
        <v>12.04330449002</v>
      </c>
      <c r="GF34" s="180" t="n">
        <v>12.11304017804</v>
      </c>
      <c r="GG34" s="180" t="n">
        <v>12.18277586606</v>
      </c>
      <c r="GH34" s="180" t="n">
        <v>12.25251155408</v>
      </c>
      <c r="GI34" s="180" t="n">
        <v>12.3222472421</v>
      </c>
      <c r="GJ34" s="180" t="n">
        <v>12.39198293012</v>
      </c>
      <c r="GK34" s="180" t="n">
        <v>12.46171861814</v>
      </c>
      <c r="GL34" s="180" t="n">
        <v>12.53145430616</v>
      </c>
      <c r="GM34" s="180" t="n">
        <v>12.60118999418</v>
      </c>
      <c r="GN34" s="180" t="n">
        <v>12.6709256822</v>
      </c>
      <c r="GO34" s="180" t="n">
        <v>12.74066137022</v>
      </c>
      <c r="GP34" s="180" t="n">
        <v>12.81039705824</v>
      </c>
      <c r="GQ34" s="180" t="n">
        <v>12.88013274626</v>
      </c>
      <c r="GR34" s="180" t="n">
        <v>12.94986843428</v>
      </c>
      <c r="GS34" s="180" t="n">
        <v>13.0196041223</v>
      </c>
      <c r="GT34" s="180" t="n">
        <v>13.08933981032</v>
      </c>
      <c r="GU34" s="180" t="n">
        <v>13.15907549834</v>
      </c>
      <c r="GV34" s="180" t="n">
        <v>13.22881118636</v>
      </c>
      <c r="GW34" s="180" t="n">
        <v>13.29854687438</v>
      </c>
      <c r="GX34" s="180" t="n">
        <v>13.3682825624</v>
      </c>
      <c r="GY34" s="180" t="n">
        <v>13.43801825042</v>
      </c>
      <c r="GZ34" s="180" t="n">
        <v>13.50775393844</v>
      </c>
      <c r="HA34" s="180" t="n">
        <v>13.57748962646</v>
      </c>
      <c r="HB34" s="180" t="n">
        <v>13.64722531448</v>
      </c>
      <c r="HC34" s="180" t="n">
        <v>13.7169610025</v>
      </c>
      <c r="HD34" s="180" t="n">
        <v>13.78669669052</v>
      </c>
      <c r="HE34" s="180" t="n">
        <v>13.85643237854</v>
      </c>
      <c r="HF34" s="180" t="n">
        <v>13.92616806656</v>
      </c>
      <c r="HG34" s="180" t="n">
        <v>13.99590375458</v>
      </c>
      <c r="HH34" s="180" t="n">
        <v>14.0656394426</v>
      </c>
      <c r="HI34" s="180" t="n">
        <v>14.13537513062</v>
      </c>
      <c r="HJ34" s="180" t="n">
        <v>14.20511081864</v>
      </c>
      <c r="HK34" s="180" t="n">
        <v>14.27484650666</v>
      </c>
      <c r="HL34" s="180" t="n">
        <v>14.34458219468</v>
      </c>
      <c r="HM34" s="180" t="n">
        <v>14.4143178827</v>
      </c>
      <c r="HN34" s="180" t="n">
        <v>14.48405357072</v>
      </c>
      <c r="HO34" s="180" t="n">
        <v>14.55378925874</v>
      </c>
      <c r="HP34" s="180" t="n">
        <v>14.62352494676</v>
      </c>
      <c r="HQ34" s="180" t="n">
        <v>14.69326063478</v>
      </c>
      <c r="HR34" s="180" t="n">
        <v>14.7629963228</v>
      </c>
      <c r="HS34" s="180" t="n">
        <v>14.83273201082</v>
      </c>
      <c r="HT34" s="180" t="n">
        <v>14.90246769884</v>
      </c>
      <c r="HU34" s="180" t="n">
        <v>14.97220338686</v>
      </c>
      <c r="HV34" s="180" t="n">
        <v>15.04193907488</v>
      </c>
      <c r="HW34" s="180" t="n">
        <v>15.1116747629</v>
      </c>
      <c r="HX34" s="180" t="n">
        <v>15.18141045092</v>
      </c>
      <c r="HY34" s="180" t="n">
        <v>15.25114613894</v>
      </c>
      <c r="HZ34" s="180" t="n">
        <v>15.32088182696</v>
      </c>
      <c r="IA34" s="180" t="n">
        <v>15.39061751498</v>
      </c>
      <c r="IB34" s="180" t="n">
        <v>15.460353203</v>
      </c>
      <c r="IC34" s="180" t="n">
        <v>15.53008889102</v>
      </c>
      <c r="ID34" s="180" t="n">
        <v>15.59982457904</v>
      </c>
      <c r="IE34" s="180" t="n">
        <v>15.66956026706</v>
      </c>
      <c r="IF34" s="180" t="n">
        <v>15.73929595508</v>
      </c>
      <c r="IG34" s="180" t="n">
        <v>15.8090316431</v>
      </c>
      <c r="IH34" s="180" t="n">
        <v>15.87876733112</v>
      </c>
      <c r="II34" s="180" t="n">
        <v>15.94850301914</v>
      </c>
      <c r="IJ34" s="180" t="n">
        <v>16.01823870716</v>
      </c>
      <c r="IK34" s="180" t="n">
        <v>16.08797439518</v>
      </c>
      <c r="IL34" s="180" t="n">
        <v>16.1577100832</v>
      </c>
      <c r="IM34" s="180" t="n">
        <v>16.22744577122</v>
      </c>
      <c r="IN34" s="180" t="n">
        <v>16.29718145924</v>
      </c>
      <c r="IO34" s="180" t="n">
        <v>16.36691714726</v>
      </c>
      <c r="IP34" s="180" t="n">
        <v>16.43665283528</v>
      </c>
      <c r="IQ34" s="180" t="n">
        <v>16.5063885233</v>
      </c>
      <c r="IR34" s="180" t="n">
        <v>16.57612421132</v>
      </c>
      <c r="IS34" s="180" t="n">
        <v>16.64585989934</v>
      </c>
      <c r="IT34" s="180" t="n">
        <v>16.71559558736</v>
      </c>
      <c r="IU34" s="180" t="n">
        <v>16.78533127538</v>
      </c>
      <c r="IV34" s="180" t="n">
        <v>16.8550669634</v>
      </c>
    </row>
    <row r="35" customFormat="false" ht="12.75" hidden="false" customHeight="false" outlineLevel="0" collapsed="false">
      <c r="A35" s="189" t="n">
        <v>37742</v>
      </c>
      <c r="B35" s="185" t="n">
        <v>-2.021005929375</v>
      </c>
      <c r="C35" s="185" t="n">
        <v>-1.9907047400625</v>
      </c>
      <c r="D35" s="185" t="n">
        <v>-1.96040355075</v>
      </c>
      <c r="E35" s="185" t="n">
        <v>-1.9301023614375</v>
      </c>
      <c r="F35" s="185" t="n">
        <v>-1.899801172125</v>
      </c>
      <c r="G35" s="185" t="n">
        <v>-1.8694999828125</v>
      </c>
      <c r="H35" s="185" t="n">
        <v>-1.8391987935</v>
      </c>
      <c r="I35" s="185" t="n">
        <v>-1.8088976041875</v>
      </c>
      <c r="J35" s="185" t="n">
        <v>-1.778596414875</v>
      </c>
      <c r="K35" s="185" t="n">
        <v>-1.7482952255625</v>
      </c>
      <c r="L35" s="185" t="n">
        <v>-1.71799403625</v>
      </c>
      <c r="M35" s="185" t="n">
        <v>-1.6876928469375</v>
      </c>
      <c r="N35" s="185" t="n">
        <v>-1.657391657625</v>
      </c>
      <c r="O35" s="185" t="n">
        <v>-1.6270904683125</v>
      </c>
      <c r="P35" s="185" t="n">
        <v>-1.596789279</v>
      </c>
      <c r="Q35" s="185" t="n">
        <v>-1.5664880896875</v>
      </c>
      <c r="R35" s="185" t="n">
        <v>-1.536186900375</v>
      </c>
      <c r="S35" s="185" t="n">
        <v>-1.5058857110625</v>
      </c>
      <c r="T35" s="185" t="n">
        <v>-1.47558452175</v>
      </c>
      <c r="U35" s="185" t="n">
        <v>-1.4452833324375</v>
      </c>
      <c r="V35" s="186" t="n">
        <v>-1.414982143125</v>
      </c>
      <c r="W35" s="185" t="n">
        <v>-1.3846809538125</v>
      </c>
      <c r="X35" s="186" t="n">
        <v>-1.3543797645</v>
      </c>
      <c r="Y35" s="185" t="n">
        <v>-1.3240785751875</v>
      </c>
      <c r="Z35" s="186" t="n">
        <v>-1.293777385875</v>
      </c>
      <c r="AA35" s="185" t="n">
        <v>-1.2634761965625</v>
      </c>
      <c r="AB35" s="187" t="n">
        <v>-1.23317500725</v>
      </c>
      <c r="AC35" s="185" t="n">
        <v>-1.2028738179375</v>
      </c>
      <c r="AD35" s="187" t="n">
        <v>-1.172572628625</v>
      </c>
      <c r="AE35" s="185" t="n">
        <v>-1.1422714393125</v>
      </c>
      <c r="AF35" s="185" t="n">
        <v>-1.11197025</v>
      </c>
      <c r="AG35" s="190" t="n">
        <v>-1.083235125</v>
      </c>
      <c r="AH35" s="190" t="n">
        <v>-1.0545</v>
      </c>
      <c r="AI35" s="190" t="n">
        <v>-1.02725</v>
      </c>
      <c r="AJ35" s="190" t="n">
        <v>-1</v>
      </c>
      <c r="AK35" s="190" t="n">
        <v>-0.8</v>
      </c>
      <c r="AL35" s="190" t="n">
        <v>-0.6</v>
      </c>
      <c r="AM35" s="190" t="n">
        <v>-0.4</v>
      </c>
      <c r="AN35" s="190" t="n">
        <v>-0.2</v>
      </c>
      <c r="AO35" s="190" t="n">
        <v>0</v>
      </c>
      <c r="AP35" s="190" t="n">
        <v>0.2</v>
      </c>
      <c r="AQ35" s="190" t="n">
        <v>0.4</v>
      </c>
      <c r="AR35" s="190" t="n">
        <v>0.6</v>
      </c>
      <c r="AS35" s="190" t="n">
        <v>0.8</v>
      </c>
      <c r="AT35" s="190" t="n">
        <v>1</v>
      </c>
      <c r="AU35" s="190" t="n">
        <v>1.2</v>
      </c>
      <c r="AV35" s="190" t="n">
        <v>1.4</v>
      </c>
      <c r="AW35" s="190" t="n">
        <v>1.58</v>
      </c>
      <c r="AX35" s="190" t="n">
        <v>1.76</v>
      </c>
      <c r="AY35" s="190" t="n">
        <v>1.922</v>
      </c>
      <c r="AZ35" s="190" t="n">
        <v>2.084</v>
      </c>
      <c r="BA35" s="190" t="n">
        <v>2.2298</v>
      </c>
      <c r="BB35" s="190" t="n">
        <v>2.3756</v>
      </c>
      <c r="BC35" s="190" t="n">
        <v>2.50682</v>
      </c>
      <c r="BD35" s="190" t="n">
        <v>2.63804</v>
      </c>
      <c r="BE35" s="190" t="n">
        <v>2.756138</v>
      </c>
      <c r="BF35" s="190" t="n">
        <v>2.874236</v>
      </c>
      <c r="BG35" s="190" t="n">
        <v>2.9805242</v>
      </c>
      <c r="BH35" s="190" t="n">
        <v>3.0868124</v>
      </c>
      <c r="BI35" s="190" t="n">
        <v>3.18247178</v>
      </c>
      <c r="BJ35" s="190" t="n">
        <v>3.27813116</v>
      </c>
      <c r="BK35" s="190" t="n">
        <v>3.364224602</v>
      </c>
      <c r="BL35" s="190" t="n">
        <v>3.450318044</v>
      </c>
      <c r="BM35" s="190" t="n">
        <v>3.5278021418</v>
      </c>
      <c r="BN35" s="190" t="n">
        <v>3.6052862396</v>
      </c>
      <c r="BO35" s="190" t="n">
        <v>3.67502192762</v>
      </c>
      <c r="BP35" s="190" t="n">
        <v>3.74475761564</v>
      </c>
      <c r="BQ35" s="190" t="n">
        <v>3.81449330366</v>
      </c>
      <c r="BR35" s="190" t="n">
        <v>3.88422899168</v>
      </c>
      <c r="BS35" s="190" t="n">
        <v>3.9539646797</v>
      </c>
      <c r="BT35" s="190" t="n">
        <v>4.02370036772</v>
      </c>
      <c r="BU35" s="190" t="n">
        <v>4.09343605574</v>
      </c>
      <c r="BV35" s="190" t="n">
        <v>4.16317174376</v>
      </c>
      <c r="BW35" s="190" t="n">
        <v>4.23290743178</v>
      </c>
      <c r="BX35" s="190" t="n">
        <v>4.3026431198</v>
      </c>
      <c r="BY35" s="190" t="n">
        <v>4.37237880782</v>
      </c>
      <c r="BZ35" s="190" t="n">
        <v>4.44211449584</v>
      </c>
      <c r="CA35" s="190" t="n">
        <v>4.51185018386</v>
      </c>
      <c r="CB35" s="190" t="n">
        <v>4.58158587188</v>
      </c>
      <c r="CC35" s="190" t="n">
        <v>4.6513215599</v>
      </c>
      <c r="CD35" s="190" t="n">
        <v>4.72105724792</v>
      </c>
      <c r="CE35" s="190" t="n">
        <v>4.79079293594</v>
      </c>
      <c r="CF35" s="190" t="n">
        <v>4.86052862396</v>
      </c>
      <c r="CG35" s="190" t="n">
        <v>4.93026431198</v>
      </c>
      <c r="CH35" s="190" t="n">
        <v>5</v>
      </c>
      <c r="CI35" s="190" t="n">
        <v>5.06973568801999</v>
      </c>
      <c r="CJ35" s="190" t="n">
        <v>5.13947137603999</v>
      </c>
      <c r="CK35" s="190" t="n">
        <v>5.20920706405999</v>
      </c>
      <c r="CL35" s="190" t="n">
        <v>5.27894275207999</v>
      </c>
      <c r="CM35" s="190" t="n">
        <v>5.34867844009999</v>
      </c>
      <c r="CN35" s="190" t="n">
        <v>5.41841412811999</v>
      </c>
      <c r="CO35" s="190" t="n">
        <v>5.48814981613999</v>
      </c>
      <c r="CP35" s="190" t="n">
        <v>5.55788550415999</v>
      </c>
      <c r="CQ35" s="190" t="n">
        <v>5.62762119217999</v>
      </c>
      <c r="CR35" s="190" t="n">
        <v>5.69735688019999</v>
      </c>
      <c r="CS35" s="190" t="n">
        <v>5.76709256821999</v>
      </c>
      <c r="CT35" s="190" t="n">
        <v>5.83682825623999</v>
      </c>
      <c r="CU35" s="190" t="n">
        <v>5.90656394425999</v>
      </c>
      <c r="CV35" s="190" t="n">
        <v>5.97629963227999</v>
      </c>
      <c r="CW35" s="190" t="n">
        <v>6.04603532029999</v>
      </c>
      <c r="CX35" s="190" t="n">
        <v>6.11577100831999</v>
      </c>
      <c r="CY35" s="190" t="n">
        <v>6.18550669633999</v>
      </c>
      <c r="CZ35" s="190" t="n">
        <v>6.25524238435999</v>
      </c>
      <c r="DA35" s="190" t="n">
        <v>6.32497807237999</v>
      </c>
      <c r="DB35" s="190" t="n">
        <v>6.39471376039999</v>
      </c>
      <c r="DC35" s="190" t="n">
        <v>6.46444944841999</v>
      </c>
      <c r="DD35" s="190" t="n">
        <v>6.53418513643999</v>
      </c>
      <c r="DE35" s="190" t="n">
        <v>6.60392082445999</v>
      </c>
      <c r="DF35" s="190" t="n">
        <v>6.67365651247999</v>
      </c>
      <c r="DG35" s="190" t="n">
        <v>6.74339220049999</v>
      </c>
      <c r="DH35" s="190" t="n">
        <v>6.81312788851999</v>
      </c>
      <c r="DI35" s="190" t="n">
        <v>6.88286357653999</v>
      </c>
      <c r="DJ35" s="190" t="n">
        <v>6.95259926455999</v>
      </c>
      <c r="DK35" s="190" t="n">
        <v>7.02233495257999</v>
      </c>
      <c r="DL35" s="190" t="n">
        <v>7.09207064059999</v>
      </c>
      <c r="DM35" s="190" t="n">
        <v>7.16180632861999</v>
      </c>
      <c r="DN35" s="190" t="n">
        <v>7.23154201663999</v>
      </c>
      <c r="DO35" s="190" t="n">
        <v>7.30127770465999</v>
      </c>
      <c r="DP35" s="190" t="n">
        <v>7.37101339267999</v>
      </c>
      <c r="DQ35" s="190" t="n">
        <v>7.44074908069999</v>
      </c>
      <c r="DR35" s="190" t="n">
        <v>7.51048476871999</v>
      </c>
      <c r="DS35" s="190" t="n">
        <v>7.58022045673999</v>
      </c>
      <c r="DT35" s="190" t="n">
        <v>7.64995614475999</v>
      </c>
      <c r="DU35" s="190" t="n">
        <v>7.71969183277999</v>
      </c>
      <c r="DV35" s="190" t="n">
        <v>7.78942752079998</v>
      </c>
      <c r="DW35" s="190" t="n">
        <v>7.85916320881998</v>
      </c>
      <c r="DX35" s="190" t="n">
        <v>7.92889889683998</v>
      </c>
      <c r="DY35" s="190" t="n">
        <v>7.99863458485998</v>
      </c>
      <c r="DZ35" s="190" t="n">
        <v>8.06837027287998</v>
      </c>
      <c r="EA35" s="190" t="n">
        <v>8.13810596089998</v>
      </c>
      <c r="EB35" s="190" t="n">
        <v>8.20784164891998</v>
      </c>
      <c r="EC35" s="190" t="n">
        <v>8.27757733693998</v>
      </c>
      <c r="ED35" s="190" t="n">
        <v>8.34731302495998</v>
      </c>
      <c r="EE35" s="190" t="n">
        <v>8.41704871297998</v>
      </c>
      <c r="EF35" s="190" t="n">
        <v>8.48678440099998</v>
      </c>
      <c r="EG35" s="190" t="n">
        <v>8.55652008901998</v>
      </c>
      <c r="EH35" s="190" t="n">
        <v>8.62625577703998</v>
      </c>
      <c r="EI35" s="190" t="n">
        <v>8.69599146505998</v>
      </c>
      <c r="EJ35" s="190" t="n">
        <v>8.76572715307998</v>
      </c>
      <c r="EK35" s="190" t="n">
        <v>8.83546284109998</v>
      </c>
      <c r="EL35" s="180" t="n">
        <v>8.90519852911998</v>
      </c>
      <c r="EM35" s="180" t="n">
        <v>8.97493421713998</v>
      </c>
      <c r="EN35" s="180" t="n">
        <v>9.04466990515998</v>
      </c>
      <c r="EO35" s="180" t="n">
        <v>9.11440559317998</v>
      </c>
      <c r="EP35" s="180" t="n">
        <v>9.18414128119998</v>
      </c>
      <c r="EQ35" s="180" t="n">
        <v>9.25387696921998</v>
      </c>
      <c r="ER35" s="180" t="n">
        <v>9.32361265723998</v>
      </c>
      <c r="ES35" s="180" t="n">
        <v>9.39334834525998</v>
      </c>
      <c r="ET35" s="180" t="n">
        <v>9.46308403327998</v>
      </c>
      <c r="EU35" s="180" t="n">
        <v>9.53281972129998</v>
      </c>
      <c r="EV35" s="180" t="n">
        <v>9.60255540931998</v>
      </c>
      <c r="EW35" s="180" t="n">
        <v>9.67229109733998</v>
      </c>
      <c r="EX35" s="180" t="n">
        <v>9.74202678535998</v>
      </c>
      <c r="EY35" s="180" t="n">
        <v>9.81176247337998</v>
      </c>
      <c r="EZ35" s="180" t="n">
        <v>9.88149816139998</v>
      </c>
      <c r="FA35" s="180" t="n">
        <v>9.95123384941998</v>
      </c>
      <c r="FB35" s="180" t="n">
        <v>10.02096953744</v>
      </c>
      <c r="FC35" s="180" t="n">
        <v>10.09070522546</v>
      </c>
      <c r="FD35" s="180" t="n">
        <v>10.16044091348</v>
      </c>
      <c r="FE35" s="180" t="n">
        <v>10.2301766015</v>
      </c>
      <c r="FF35" s="180" t="n">
        <v>10.29991228952</v>
      </c>
      <c r="FG35" s="180" t="n">
        <v>10.36964797754</v>
      </c>
      <c r="FH35" s="180" t="n">
        <v>10.43938366556</v>
      </c>
      <c r="FI35" s="180" t="n">
        <v>10.50911935358</v>
      </c>
      <c r="FJ35" s="180" t="n">
        <v>10.5788550416</v>
      </c>
      <c r="FK35" s="180" t="n">
        <v>10.64859072962</v>
      </c>
      <c r="FL35" s="180" t="n">
        <v>10.71832641764</v>
      </c>
      <c r="FM35" s="180" t="n">
        <v>10.78806210566</v>
      </c>
      <c r="FN35" s="180" t="n">
        <v>10.85779779368</v>
      </c>
      <c r="FO35" s="180" t="n">
        <v>10.9275334817</v>
      </c>
      <c r="FP35" s="180" t="n">
        <v>10.99726916972</v>
      </c>
      <c r="FQ35" s="180" t="n">
        <v>11.06700485774</v>
      </c>
      <c r="FR35" s="180" t="n">
        <v>11.13674054576</v>
      </c>
      <c r="FS35" s="180" t="n">
        <v>11.20647623378</v>
      </c>
      <c r="FT35" s="180" t="n">
        <v>11.2762119218</v>
      </c>
      <c r="FU35" s="180" t="n">
        <v>11.34594760982</v>
      </c>
      <c r="FV35" s="180" t="n">
        <v>11.41568329784</v>
      </c>
      <c r="FW35" s="180" t="n">
        <v>11.48541898586</v>
      </c>
      <c r="FX35" s="180" t="n">
        <v>11.55515467388</v>
      </c>
      <c r="FY35" s="180" t="n">
        <v>11.6248903619</v>
      </c>
      <c r="FZ35" s="180" t="n">
        <v>11.69462604992</v>
      </c>
      <c r="GA35" s="180" t="n">
        <v>11.76436173794</v>
      </c>
      <c r="GB35" s="180" t="n">
        <v>11.83409742596</v>
      </c>
      <c r="GC35" s="180" t="n">
        <v>11.90383311398</v>
      </c>
      <c r="GD35" s="180" t="n">
        <v>11.973568802</v>
      </c>
      <c r="GE35" s="180" t="n">
        <v>12.04330449002</v>
      </c>
      <c r="GF35" s="180" t="n">
        <v>12.11304017804</v>
      </c>
      <c r="GG35" s="180" t="n">
        <v>12.18277586606</v>
      </c>
      <c r="GH35" s="180" t="n">
        <v>12.25251155408</v>
      </c>
      <c r="GI35" s="180" t="n">
        <v>12.3222472421</v>
      </c>
      <c r="GJ35" s="180" t="n">
        <v>12.39198293012</v>
      </c>
      <c r="GK35" s="180" t="n">
        <v>12.46171861814</v>
      </c>
      <c r="GL35" s="180" t="n">
        <v>12.53145430616</v>
      </c>
      <c r="GM35" s="180" t="n">
        <v>12.60118999418</v>
      </c>
      <c r="GN35" s="180" t="n">
        <v>12.6709256822</v>
      </c>
      <c r="GO35" s="180" t="n">
        <v>12.74066137022</v>
      </c>
      <c r="GP35" s="180" t="n">
        <v>12.81039705824</v>
      </c>
      <c r="GQ35" s="180" t="n">
        <v>12.88013274626</v>
      </c>
      <c r="GR35" s="180" t="n">
        <v>12.94986843428</v>
      </c>
      <c r="GS35" s="180" t="n">
        <v>13.0196041223</v>
      </c>
      <c r="GT35" s="180" t="n">
        <v>13.08933981032</v>
      </c>
      <c r="GU35" s="180" t="n">
        <v>13.15907549834</v>
      </c>
      <c r="GV35" s="180" t="n">
        <v>13.22881118636</v>
      </c>
      <c r="GW35" s="180" t="n">
        <v>13.29854687438</v>
      </c>
      <c r="GX35" s="180" t="n">
        <v>13.3682825624</v>
      </c>
      <c r="GY35" s="180" t="n">
        <v>13.43801825042</v>
      </c>
      <c r="GZ35" s="180" t="n">
        <v>13.50775393844</v>
      </c>
      <c r="HA35" s="180" t="n">
        <v>13.57748962646</v>
      </c>
      <c r="HB35" s="180" t="n">
        <v>13.64722531448</v>
      </c>
      <c r="HC35" s="180" t="n">
        <v>13.7169610025</v>
      </c>
      <c r="HD35" s="180" t="n">
        <v>13.78669669052</v>
      </c>
      <c r="HE35" s="180" t="n">
        <v>13.85643237854</v>
      </c>
      <c r="HF35" s="180" t="n">
        <v>13.92616806656</v>
      </c>
      <c r="HG35" s="180" t="n">
        <v>13.99590375458</v>
      </c>
      <c r="HH35" s="180" t="n">
        <v>14.0656394426</v>
      </c>
      <c r="HI35" s="180" t="n">
        <v>14.13537513062</v>
      </c>
      <c r="HJ35" s="180" t="n">
        <v>14.20511081864</v>
      </c>
      <c r="HK35" s="180" t="n">
        <v>14.27484650666</v>
      </c>
      <c r="HL35" s="180" t="n">
        <v>14.34458219468</v>
      </c>
      <c r="HM35" s="180" t="n">
        <v>14.4143178827</v>
      </c>
      <c r="HN35" s="180" t="n">
        <v>14.48405357072</v>
      </c>
      <c r="HO35" s="180" t="n">
        <v>14.55378925874</v>
      </c>
      <c r="HP35" s="180" t="n">
        <v>14.62352494676</v>
      </c>
      <c r="HQ35" s="180" t="n">
        <v>14.69326063478</v>
      </c>
      <c r="HR35" s="180" t="n">
        <v>14.7629963228</v>
      </c>
      <c r="HS35" s="180" t="n">
        <v>14.83273201082</v>
      </c>
      <c r="HT35" s="180" t="n">
        <v>14.90246769884</v>
      </c>
      <c r="HU35" s="180" t="n">
        <v>14.97220338686</v>
      </c>
      <c r="HV35" s="180" t="n">
        <v>15.04193907488</v>
      </c>
      <c r="HW35" s="180" t="n">
        <v>15.1116747629</v>
      </c>
      <c r="HX35" s="180" t="n">
        <v>15.18141045092</v>
      </c>
      <c r="HY35" s="180" t="n">
        <v>15.25114613894</v>
      </c>
      <c r="HZ35" s="180" t="n">
        <v>15.32088182696</v>
      </c>
      <c r="IA35" s="180" t="n">
        <v>15.39061751498</v>
      </c>
      <c r="IB35" s="180" t="n">
        <v>15.460353203</v>
      </c>
      <c r="IC35" s="180" t="n">
        <v>15.53008889102</v>
      </c>
      <c r="ID35" s="180" t="n">
        <v>15.59982457904</v>
      </c>
      <c r="IE35" s="180" t="n">
        <v>15.66956026706</v>
      </c>
      <c r="IF35" s="180" t="n">
        <v>15.73929595508</v>
      </c>
      <c r="IG35" s="180" t="n">
        <v>15.8090316431</v>
      </c>
      <c r="IH35" s="180" t="n">
        <v>15.87876733112</v>
      </c>
      <c r="II35" s="180" t="n">
        <v>15.94850301914</v>
      </c>
      <c r="IJ35" s="180" t="n">
        <v>16.01823870716</v>
      </c>
      <c r="IK35" s="180" t="n">
        <v>16.08797439518</v>
      </c>
      <c r="IL35" s="180" t="n">
        <v>16.1577100832</v>
      </c>
      <c r="IM35" s="180" t="n">
        <v>16.22744577122</v>
      </c>
      <c r="IN35" s="180" t="n">
        <v>16.29718145924</v>
      </c>
      <c r="IO35" s="180" t="n">
        <v>16.36691714726</v>
      </c>
      <c r="IP35" s="180" t="n">
        <v>16.43665283528</v>
      </c>
      <c r="IQ35" s="180" t="n">
        <v>16.5063885233</v>
      </c>
      <c r="IR35" s="180" t="n">
        <v>16.57612421132</v>
      </c>
      <c r="IS35" s="180" t="n">
        <v>16.64585989934</v>
      </c>
      <c r="IT35" s="180" t="n">
        <v>16.71559558736</v>
      </c>
      <c r="IU35" s="180" t="n">
        <v>16.78533127538</v>
      </c>
      <c r="IV35" s="180" t="n">
        <v>16.8550669634</v>
      </c>
    </row>
    <row r="36" customFormat="false" ht="12.75" hidden="false" customHeight="false" outlineLevel="0" collapsed="false">
      <c r="A36" s="189" t="n">
        <v>37773</v>
      </c>
      <c r="B36" s="185" t="n">
        <v>-2.021005929375</v>
      </c>
      <c r="C36" s="185" t="n">
        <v>-1.9907047400625</v>
      </c>
      <c r="D36" s="185" t="n">
        <v>-1.96040355075</v>
      </c>
      <c r="E36" s="185" t="n">
        <v>-1.9301023614375</v>
      </c>
      <c r="F36" s="185" t="n">
        <v>-1.899801172125</v>
      </c>
      <c r="G36" s="185" t="n">
        <v>-1.8694999828125</v>
      </c>
      <c r="H36" s="185" t="n">
        <v>-1.8391987935</v>
      </c>
      <c r="I36" s="185" t="n">
        <v>-1.8088976041875</v>
      </c>
      <c r="J36" s="185" t="n">
        <v>-1.778596414875</v>
      </c>
      <c r="K36" s="185" t="n">
        <v>-1.7482952255625</v>
      </c>
      <c r="L36" s="185" t="n">
        <v>-1.71799403625</v>
      </c>
      <c r="M36" s="185" t="n">
        <v>-1.6876928469375</v>
      </c>
      <c r="N36" s="185" t="n">
        <v>-1.657391657625</v>
      </c>
      <c r="O36" s="185" t="n">
        <v>-1.6270904683125</v>
      </c>
      <c r="P36" s="185" t="n">
        <v>-1.596789279</v>
      </c>
      <c r="Q36" s="185" t="n">
        <v>-1.5664880896875</v>
      </c>
      <c r="R36" s="185" t="n">
        <v>-1.536186900375</v>
      </c>
      <c r="S36" s="185" t="n">
        <v>-1.5058857110625</v>
      </c>
      <c r="T36" s="185" t="n">
        <v>-1.47558452175</v>
      </c>
      <c r="U36" s="185" t="n">
        <v>-1.4452833324375</v>
      </c>
      <c r="V36" s="186" t="n">
        <v>-1.414982143125</v>
      </c>
      <c r="W36" s="185" t="n">
        <v>-1.3846809538125</v>
      </c>
      <c r="X36" s="186" t="n">
        <v>-1.3543797645</v>
      </c>
      <c r="Y36" s="185" t="n">
        <v>-1.3240785751875</v>
      </c>
      <c r="Z36" s="186" t="n">
        <v>-1.293777385875</v>
      </c>
      <c r="AA36" s="185" t="n">
        <v>-1.2634761965625</v>
      </c>
      <c r="AB36" s="187" t="n">
        <v>-1.23317500725</v>
      </c>
      <c r="AC36" s="185" t="n">
        <v>-1.2028738179375</v>
      </c>
      <c r="AD36" s="187" t="n">
        <v>-1.172572628625</v>
      </c>
      <c r="AE36" s="185" t="n">
        <v>-1.1422714393125</v>
      </c>
      <c r="AF36" s="185" t="n">
        <v>-1.11197025</v>
      </c>
      <c r="AG36" s="190" t="n">
        <v>-1.083235125</v>
      </c>
      <c r="AH36" s="190" t="n">
        <v>-1.0545</v>
      </c>
      <c r="AI36" s="190" t="n">
        <v>-1.02725</v>
      </c>
      <c r="AJ36" s="190" t="n">
        <v>-1</v>
      </c>
      <c r="AK36" s="190" t="n">
        <v>-0.8</v>
      </c>
      <c r="AL36" s="190" t="n">
        <v>-0.6</v>
      </c>
      <c r="AM36" s="190" t="n">
        <v>-0.4</v>
      </c>
      <c r="AN36" s="190" t="n">
        <v>-0.2</v>
      </c>
      <c r="AO36" s="190" t="n">
        <v>0</v>
      </c>
      <c r="AP36" s="190" t="n">
        <v>0.2</v>
      </c>
      <c r="AQ36" s="190" t="n">
        <v>0.4</v>
      </c>
      <c r="AR36" s="190" t="n">
        <v>0.6</v>
      </c>
      <c r="AS36" s="190" t="n">
        <v>0.8</v>
      </c>
      <c r="AT36" s="190" t="n">
        <v>1</v>
      </c>
      <c r="AU36" s="190" t="n">
        <v>1.2</v>
      </c>
      <c r="AV36" s="190" t="n">
        <v>1.4</v>
      </c>
      <c r="AW36" s="190" t="n">
        <v>1.58</v>
      </c>
      <c r="AX36" s="190" t="n">
        <v>1.76</v>
      </c>
      <c r="AY36" s="190" t="n">
        <v>1.922</v>
      </c>
      <c r="AZ36" s="190" t="n">
        <v>2.084</v>
      </c>
      <c r="BA36" s="190" t="n">
        <v>2.2298</v>
      </c>
      <c r="BB36" s="190" t="n">
        <v>2.3756</v>
      </c>
      <c r="BC36" s="190" t="n">
        <v>2.50682</v>
      </c>
      <c r="BD36" s="190" t="n">
        <v>2.63804</v>
      </c>
      <c r="BE36" s="190" t="n">
        <v>2.756138</v>
      </c>
      <c r="BF36" s="190" t="n">
        <v>2.874236</v>
      </c>
      <c r="BG36" s="190" t="n">
        <v>2.9805242</v>
      </c>
      <c r="BH36" s="190" t="n">
        <v>3.0868124</v>
      </c>
      <c r="BI36" s="190" t="n">
        <v>3.18247178</v>
      </c>
      <c r="BJ36" s="190" t="n">
        <v>3.27813116</v>
      </c>
      <c r="BK36" s="190" t="n">
        <v>3.364224602</v>
      </c>
      <c r="BL36" s="190" t="n">
        <v>3.450318044</v>
      </c>
      <c r="BM36" s="190" t="n">
        <v>3.5278021418</v>
      </c>
      <c r="BN36" s="190" t="n">
        <v>3.6052862396</v>
      </c>
      <c r="BO36" s="190" t="n">
        <v>3.67502192762</v>
      </c>
      <c r="BP36" s="190" t="n">
        <v>3.74475761564</v>
      </c>
      <c r="BQ36" s="190" t="n">
        <v>3.81449330366</v>
      </c>
      <c r="BR36" s="190" t="n">
        <v>3.88422899168</v>
      </c>
      <c r="BS36" s="190" t="n">
        <v>3.9539646797</v>
      </c>
      <c r="BT36" s="190" t="n">
        <v>4.02370036772</v>
      </c>
      <c r="BU36" s="190" t="n">
        <v>4.09343605574</v>
      </c>
      <c r="BV36" s="190" t="n">
        <v>4.16317174376</v>
      </c>
      <c r="BW36" s="190" t="n">
        <v>4.23290743178</v>
      </c>
      <c r="BX36" s="190" t="n">
        <v>4.3026431198</v>
      </c>
      <c r="BY36" s="190" t="n">
        <v>4.37237880782</v>
      </c>
      <c r="BZ36" s="190" t="n">
        <v>4.44211449584</v>
      </c>
      <c r="CA36" s="190" t="n">
        <v>4.51185018386</v>
      </c>
      <c r="CB36" s="190" t="n">
        <v>4.58158587188</v>
      </c>
      <c r="CC36" s="190" t="n">
        <v>4.6513215599</v>
      </c>
      <c r="CD36" s="190" t="n">
        <v>4.72105724792</v>
      </c>
      <c r="CE36" s="190" t="n">
        <v>4.79079293594</v>
      </c>
      <c r="CF36" s="190" t="n">
        <v>4.86052862396</v>
      </c>
      <c r="CG36" s="190" t="n">
        <v>4.93026431198</v>
      </c>
      <c r="CH36" s="190" t="n">
        <v>5</v>
      </c>
      <c r="CI36" s="190" t="n">
        <v>5.06973568801999</v>
      </c>
      <c r="CJ36" s="190" t="n">
        <v>5.13947137603999</v>
      </c>
      <c r="CK36" s="190" t="n">
        <v>5.20920706405999</v>
      </c>
      <c r="CL36" s="190" t="n">
        <v>5.27894275207999</v>
      </c>
      <c r="CM36" s="190" t="n">
        <v>5.34867844009999</v>
      </c>
      <c r="CN36" s="190" t="n">
        <v>5.41841412811999</v>
      </c>
      <c r="CO36" s="190" t="n">
        <v>5.48814981613999</v>
      </c>
      <c r="CP36" s="190" t="n">
        <v>5.55788550415999</v>
      </c>
      <c r="CQ36" s="190" t="n">
        <v>5.62762119217999</v>
      </c>
      <c r="CR36" s="190" t="n">
        <v>5.69735688019999</v>
      </c>
      <c r="CS36" s="190" t="n">
        <v>5.76709256821999</v>
      </c>
      <c r="CT36" s="190" t="n">
        <v>5.83682825623999</v>
      </c>
      <c r="CU36" s="190" t="n">
        <v>5.90656394425999</v>
      </c>
      <c r="CV36" s="190" t="n">
        <v>5.97629963227999</v>
      </c>
      <c r="CW36" s="190" t="n">
        <v>6.04603532029999</v>
      </c>
      <c r="CX36" s="190" t="n">
        <v>6.11577100831999</v>
      </c>
      <c r="CY36" s="190" t="n">
        <v>6.18550669633999</v>
      </c>
      <c r="CZ36" s="190" t="n">
        <v>6.25524238435999</v>
      </c>
      <c r="DA36" s="190" t="n">
        <v>6.32497807237999</v>
      </c>
      <c r="DB36" s="190" t="n">
        <v>6.39471376039999</v>
      </c>
      <c r="DC36" s="190" t="n">
        <v>6.46444944841999</v>
      </c>
      <c r="DD36" s="190" t="n">
        <v>6.53418513643999</v>
      </c>
      <c r="DE36" s="190" t="n">
        <v>6.60392082445999</v>
      </c>
      <c r="DF36" s="190" t="n">
        <v>6.67365651247999</v>
      </c>
      <c r="DG36" s="190" t="n">
        <v>6.74339220049999</v>
      </c>
      <c r="DH36" s="190" t="n">
        <v>6.81312788851999</v>
      </c>
      <c r="DI36" s="190" t="n">
        <v>6.88286357653999</v>
      </c>
      <c r="DJ36" s="190" t="n">
        <v>6.95259926455999</v>
      </c>
      <c r="DK36" s="190" t="n">
        <v>7.02233495257999</v>
      </c>
      <c r="DL36" s="190" t="n">
        <v>7.09207064059999</v>
      </c>
      <c r="DM36" s="190" t="n">
        <v>7.16180632861999</v>
      </c>
      <c r="DN36" s="190" t="n">
        <v>7.23154201663999</v>
      </c>
      <c r="DO36" s="190" t="n">
        <v>7.30127770465999</v>
      </c>
      <c r="DP36" s="190" t="n">
        <v>7.37101339267999</v>
      </c>
      <c r="DQ36" s="190" t="n">
        <v>7.44074908069999</v>
      </c>
      <c r="DR36" s="190" t="n">
        <v>7.51048476871999</v>
      </c>
      <c r="DS36" s="190" t="n">
        <v>7.58022045673999</v>
      </c>
      <c r="DT36" s="190" t="n">
        <v>7.64995614475999</v>
      </c>
      <c r="DU36" s="190" t="n">
        <v>7.71969183277999</v>
      </c>
      <c r="DV36" s="190" t="n">
        <v>7.78942752079998</v>
      </c>
      <c r="DW36" s="190" t="n">
        <v>7.85916320881998</v>
      </c>
      <c r="DX36" s="190" t="n">
        <v>7.92889889683998</v>
      </c>
      <c r="DY36" s="190" t="n">
        <v>7.99863458485998</v>
      </c>
      <c r="DZ36" s="190" t="n">
        <v>8.06837027287998</v>
      </c>
      <c r="EA36" s="190" t="n">
        <v>8.13810596089998</v>
      </c>
      <c r="EB36" s="190" t="n">
        <v>8.20784164891998</v>
      </c>
      <c r="EC36" s="190" t="n">
        <v>8.27757733693998</v>
      </c>
      <c r="ED36" s="190" t="n">
        <v>8.34731302495998</v>
      </c>
      <c r="EE36" s="190" t="n">
        <v>8.41704871297998</v>
      </c>
      <c r="EF36" s="190" t="n">
        <v>8.48678440099998</v>
      </c>
      <c r="EG36" s="190" t="n">
        <v>8.55652008901998</v>
      </c>
      <c r="EH36" s="190" t="n">
        <v>8.62625577703998</v>
      </c>
      <c r="EI36" s="190" t="n">
        <v>8.69599146505998</v>
      </c>
      <c r="EJ36" s="190" t="n">
        <v>8.76572715307998</v>
      </c>
      <c r="EK36" s="190" t="n">
        <v>8.83546284109998</v>
      </c>
      <c r="EL36" s="180" t="n">
        <v>8.90519852911998</v>
      </c>
      <c r="EM36" s="180" t="n">
        <v>8.97493421713998</v>
      </c>
      <c r="EN36" s="180" t="n">
        <v>9.04466990515998</v>
      </c>
      <c r="EO36" s="180" t="n">
        <v>9.11440559317998</v>
      </c>
      <c r="EP36" s="180" t="n">
        <v>9.18414128119998</v>
      </c>
      <c r="EQ36" s="180" t="n">
        <v>9.25387696921998</v>
      </c>
      <c r="ER36" s="180" t="n">
        <v>9.32361265723998</v>
      </c>
      <c r="ES36" s="180" t="n">
        <v>9.39334834525998</v>
      </c>
      <c r="ET36" s="180" t="n">
        <v>9.46308403327998</v>
      </c>
      <c r="EU36" s="180" t="n">
        <v>9.53281972129998</v>
      </c>
      <c r="EV36" s="180" t="n">
        <v>9.60255540931998</v>
      </c>
      <c r="EW36" s="180" t="n">
        <v>9.67229109733998</v>
      </c>
      <c r="EX36" s="180" t="n">
        <v>9.74202678535998</v>
      </c>
      <c r="EY36" s="180" t="n">
        <v>9.81176247337998</v>
      </c>
      <c r="EZ36" s="180" t="n">
        <v>9.88149816139998</v>
      </c>
      <c r="FA36" s="180" t="n">
        <v>9.95123384941998</v>
      </c>
      <c r="FB36" s="180" t="n">
        <v>10.02096953744</v>
      </c>
      <c r="FC36" s="180" t="n">
        <v>10.09070522546</v>
      </c>
      <c r="FD36" s="180" t="n">
        <v>10.16044091348</v>
      </c>
      <c r="FE36" s="180" t="n">
        <v>10.2301766015</v>
      </c>
      <c r="FF36" s="180" t="n">
        <v>10.29991228952</v>
      </c>
      <c r="FG36" s="180" t="n">
        <v>10.36964797754</v>
      </c>
      <c r="FH36" s="180" t="n">
        <v>10.43938366556</v>
      </c>
      <c r="FI36" s="180" t="n">
        <v>10.50911935358</v>
      </c>
      <c r="FJ36" s="180" t="n">
        <v>10.5788550416</v>
      </c>
      <c r="FK36" s="180" t="n">
        <v>10.64859072962</v>
      </c>
      <c r="FL36" s="180" t="n">
        <v>10.71832641764</v>
      </c>
      <c r="FM36" s="180" t="n">
        <v>10.78806210566</v>
      </c>
      <c r="FN36" s="180" t="n">
        <v>10.85779779368</v>
      </c>
      <c r="FO36" s="180" t="n">
        <v>10.9275334817</v>
      </c>
      <c r="FP36" s="180" t="n">
        <v>10.99726916972</v>
      </c>
      <c r="FQ36" s="180" t="n">
        <v>11.06700485774</v>
      </c>
      <c r="FR36" s="180" t="n">
        <v>11.13674054576</v>
      </c>
      <c r="FS36" s="180" t="n">
        <v>11.20647623378</v>
      </c>
      <c r="FT36" s="180" t="n">
        <v>11.2762119218</v>
      </c>
      <c r="FU36" s="180" t="n">
        <v>11.34594760982</v>
      </c>
      <c r="FV36" s="180" t="n">
        <v>11.41568329784</v>
      </c>
      <c r="FW36" s="180" t="n">
        <v>11.48541898586</v>
      </c>
      <c r="FX36" s="180" t="n">
        <v>11.55515467388</v>
      </c>
      <c r="FY36" s="180" t="n">
        <v>11.6248903619</v>
      </c>
      <c r="FZ36" s="180" t="n">
        <v>11.69462604992</v>
      </c>
      <c r="GA36" s="180" t="n">
        <v>11.76436173794</v>
      </c>
      <c r="GB36" s="180" t="n">
        <v>11.83409742596</v>
      </c>
      <c r="GC36" s="180" t="n">
        <v>11.90383311398</v>
      </c>
      <c r="GD36" s="180" t="n">
        <v>11.973568802</v>
      </c>
      <c r="GE36" s="180" t="n">
        <v>12.04330449002</v>
      </c>
      <c r="GF36" s="180" t="n">
        <v>12.11304017804</v>
      </c>
      <c r="GG36" s="180" t="n">
        <v>12.18277586606</v>
      </c>
      <c r="GH36" s="180" t="n">
        <v>12.25251155408</v>
      </c>
      <c r="GI36" s="180" t="n">
        <v>12.3222472421</v>
      </c>
      <c r="GJ36" s="180" t="n">
        <v>12.39198293012</v>
      </c>
      <c r="GK36" s="180" t="n">
        <v>12.46171861814</v>
      </c>
      <c r="GL36" s="180" t="n">
        <v>12.53145430616</v>
      </c>
      <c r="GM36" s="180" t="n">
        <v>12.60118999418</v>
      </c>
      <c r="GN36" s="180" t="n">
        <v>12.6709256822</v>
      </c>
      <c r="GO36" s="180" t="n">
        <v>12.74066137022</v>
      </c>
      <c r="GP36" s="180" t="n">
        <v>12.81039705824</v>
      </c>
      <c r="GQ36" s="180" t="n">
        <v>12.88013274626</v>
      </c>
      <c r="GR36" s="180" t="n">
        <v>12.94986843428</v>
      </c>
      <c r="GS36" s="180" t="n">
        <v>13.0196041223</v>
      </c>
      <c r="GT36" s="180" t="n">
        <v>13.08933981032</v>
      </c>
      <c r="GU36" s="180" t="n">
        <v>13.15907549834</v>
      </c>
      <c r="GV36" s="180" t="n">
        <v>13.22881118636</v>
      </c>
      <c r="GW36" s="180" t="n">
        <v>13.29854687438</v>
      </c>
      <c r="GX36" s="180" t="n">
        <v>13.3682825624</v>
      </c>
      <c r="GY36" s="180" t="n">
        <v>13.43801825042</v>
      </c>
      <c r="GZ36" s="180" t="n">
        <v>13.50775393844</v>
      </c>
      <c r="HA36" s="180" t="n">
        <v>13.57748962646</v>
      </c>
      <c r="HB36" s="180" t="n">
        <v>13.64722531448</v>
      </c>
      <c r="HC36" s="180" t="n">
        <v>13.7169610025</v>
      </c>
      <c r="HD36" s="180" t="n">
        <v>13.78669669052</v>
      </c>
      <c r="HE36" s="180" t="n">
        <v>13.85643237854</v>
      </c>
      <c r="HF36" s="180" t="n">
        <v>13.92616806656</v>
      </c>
      <c r="HG36" s="180" t="n">
        <v>13.99590375458</v>
      </c>
      <c r="HH36" s="180" t="n">
        <v>14.0656394426</v>
      </c>
      <c r="HI36" s="180" t="n">
        <v>14.13537513062</v>
      </c>
      <c r="HJ36" s="180" t="n">
        <v>14.20511081864</v>
      </c>
      <c r="HK36" s="180" t="n">
        <v>14.27484650666</v>
      </c>
      <c r="HL36" s="180" t="n">
        <v>14.34458219468</v>
      </c>
      <c r="HM36" s="180" t="n">
        <v>14.4143178827</v>
      </c>
      <c r="HN36" s="180" t="n">
        <v>14.48405357072</v>
      </c>
      <c r="HO36" s="180" t="n">
        <v>14.55378925874</v>
      </c>
      <c r="HP36" s="180" t="n">
        <v>14.62352494676</v>
      </c>
      <c r="HQ36" s="180" t="n">
        <v>14.69326063478</v>
      </c>
      <c r="HR36" s="180" t="n">
        <v>14.7629963228</v>
      </c>
      <c r="HS36" s="180" t="n">
        <v>14.83273201082</v>
      </c>
      <c r="HT36" s="180" t="n">
        <v>14.90246769884</v>
      </c>
      <c r="HU36" s="180" t="n">
        <v>14.97220338686</v>
      </c>
      <c r="HV36" s="180" t="n">
        <v>15.04193907488</v>
      </c>
      <c r="HW36" s="180" t="n">
        <v>15.1116747629</v>
      </c>
      <c r="HX36" s="180" t="n">
        <v>15.18141045092</v>
      </c>
      <c r="HY36" s="180" t="n">
        <v>15.25114613894</v>
      </c>
      <c r="HZ36" s="180" t="n">
        <v>15.32088182696</v>
      </c>
      <c r="IA36" s="180" t="n">
        <v>15.39061751498</v>
      </c>
      <c r="IB36" s="180" t="n">
        <v>15.460353203</v>
      </c>
      <c r="IC36" s="180" t="n">
        <v>15.53008889102</v>
      </c>
      <c r="ID36" s="180" t="n">
        <v>15.59982457904</v>
      </c>
      <c r="IE36" s="180" t="n">
        <v>15.66956026706</v>
      </c>
      <c r="IF36" s="180" t="n">
        <v>15.73929595508</v>
      </c>
      <c r="IG36" s="180" t="n">
        <v>15.8090316431</v>
      </c>
      <c r="IH36" s="180" t="n">
        <v>15.87876733112</v>
      </c>
      <c r="II36" s="180" t="n">
        <v>15.94850301914</v>
      </c>
      <c r="IJ36" s="180" t="n">
        <v>16.01823870716</v>
      </c>
      <c r="IK36" s="180" t="n">
        <v>16.08797439518</v>
      </c>
      <c r="IL36" s="180" t="n">
        <v>16.1577100832</v>
      </c>
      <c r="IM36" s="180" t="n">
        <v>16.22744577122</v>
      </c>
      <c r="IN36" s="180" t="n">
        <v>16.29718145924</v>
      </c>
      <c r="IO36" s="180" t="n">
        <v>16.36691714726</v>
      </c>
      <c r="IP36" s="180" t="n">
        <v>16.43665283528</v>
      </c>
      <c r="IQ36" s="180" t="n">
        <v>16.5063885233</v>
      </c>
      <c r="IR36" s="180" t="n">
        <v>16.57612421132</v>
      </c>
      <c r="IS36" s="180" t="n">
        <v>16.64585989934</v>
      </c>
      <c r="IT36" s="180" t="n">
        <v>16.71559558736</v>
      </c>
      <c r="IU36" s="180" t="n">
        <v>16.78533127538</v>
      </c>
      <c r="IV36" s="180" t="n">
        <v>16.8550669634</v>
      </c>
    </row>
    <row r="37" customFormat="false" ht="12.75" hidden="false" customHeight="false" outlineLevel="0" collapsed="false">
      <c r="A37" s="189" t="n">
        <v>37803</v>
      </c>
      <c r="B37" s="185" t="n">
        <v>-2.021005929375</v>
      </c>
      <c r="C37" s="185" t="n">
        <v>-1.9907047400625</v>
      </c>
      <c r="D37" s="185" t="n">
        <v>-1.96040355075</v>
      </c>
      <c r="E37" s="185" t="n">
        <v>-1.9301023614375</v>
      </c>
      <c r="F37" s="185" t="n">
        <v>-1.899801172125</v>
      </c>
      <c r="G37" s="185" t="n">
        <v>-1.8694999828125</v>
      </c>
      <c r="H37" s="185" t="n">
        <v>-1.8391987935</v>
      </c>
      <c r="I37" s="185" t="n">
        <v>-1.8088976041875</v>
      </c>
      <c r="J37" s="185" t="n">
        <v>-1.778596414875</v>
      </c>
      <c r="K37" s="185" t="n">
        <v>-1.7482952255625</v>
      </c>
      <c r="L37" s="185" t="n">
        <v>-1.71799403625</v>
      </c>
      <c r="M37" s="185" t="n">
        <v>-1.6876928469375</v>
      </c>
      <c r="N37" s="185" t="n">
        <v>-1.657391657625</v>
      </c>
      <c r="O37" s="185" t="n">
        <v>-1.6270904683125</v>
      </c>
      <c r="P37" s="185" t="n">
        <v>-1.596789279</v>
      </c>
      <c r="Q37" s="185" t="n">
        <v>-1.5664880896875</v>
      </c>
      <c r="R37" s="185" t="n">
        <v>-1.536186900375</v>
      </c>
      <c r="S37" s="185" t="n">
        <v>-1.5058857110625</v>
      </c>
      <c r="T37" s="185" t="n">
        <v>-1.47558452175</v>
      </c>
      <c r="U37" s="185" t="n">
        <v>-1.4452833324375</v>
      </c>
      <c r="V37" s="186" t="n">
        <v>-1.414982143125</v>
      </c>
      <c r="W37" s="185" t="n">
        <v>-1.3846809538125</v>
      </c>
      <c r="X37" s="186" t="n">
        <v>-1.3543797645</v>
      </c>
      <c r="Y37" s="185" t="n">
        <v>-1.3240785751875</v>
      </c>
      <c r="Z37" s="186" t="n">
        <v>-1.293777385875</v>
      </c>
      <c r="AA37" s="185" t="n">
        <v>-1.2634761965625</v>
      </c>
      <c r="AB37" s="187" t="n">
        <v>-1.23317500725</v>
      </c>
      <c r="AC37" s="185" t="n">
        <v>-1.2028738179375</v>
      </c>
      <c r="AD37" s="187" t="n">
        <v>-1.172572628625</v>
      </c>
      <c r="AE37" s="185" t="n">
        <v>-1.1422714393125</v>
      </c>
      <c r="AF37" s="185" t="n">
        <v>-1.11197025</v>
      </c>
      <c r="AG37" s="190" t="n">
        <v>-1.083235125</v>
      </c>
      <c r="AH37" s="190" t="n">
        <v>-1.0545</v>
      </c>
      <c r="AI37" s="190" t="n">
        <v>-1.02725</v>
      </c>
      <c r="AJ37" s="190" t="n">
        <v>-1</v>
      </c>
      <c r="AK37" s="190" t="n">
        <v>-0.8</v>
      </c>
      <c r="AL37" s="190" t="n">
        <v>-0.6</v>
      </c>
      <c r="AM37" s="190" t="n">
        <v>-0.4</v>
      </c>
      <c r="AN37" s="190" t="n">
        <v>-0.2</v>
      </c>
      <c r="AO37" s="190" t="n">
        <v>0</v>
      </c>
      <c r="AP37" s="190" t="n">
        <v>0.2</v>
      </c>
      <c r="AQ37" s="190" t="n">
        <v>0.4</v>
      </c>
      <c r="AR37" s="190" t="n">
        <v>0.6</v>
      </c>
      <c r="AS37" s="190" t="n">
        <v>0.8</v>
      </c>
      <c r="AT37" s="190" t="n">
        <v>1</v>
      </c>
      <c r="AU37" s="190" t="n">
        <v>1.2</v>
      </c>
      <c r="AV37" s="190" t="n">
        <v>1.4</v>
      </c>
      <c r="AW37" s="190" t="n">
        <v>1.58</v>
      </c>
      <c r="AX37" s="190" t="n">
        <v>1.76</v>
      </c>
      <c r="AY37" s="190" t="n">
        <v>1.922</v>
      </c>
      <c r="AZ37" s="190" t="n">
        <v>2.084</v>
      </c>
      <c r="BA37" s="190" t="n">
        <v>2.2298</v>
      </c>
      <c r="BB37" s="190" t="n">
        <v>2.3756</v>
      </c>
      <c r="BC37" s="190" t="n">
        <v>2.50682</v>
      </c>
      <c r="BD37" s="190" t="n">
        <v>2.63804</v>
      </c>
      <c r="BE37" s="190" t="n">
        <v>2.756138</v>
      </c>
      <c r="BF37" s="190" t="n">
        <v>2.874236</v>
      </c>
      <c r="BG37" s="190" t="n">
        <v>2.9805242</v>
      </c>
      <c r="BH37" s="190" t="n">
        <v>3.0868124</v>
      </c>
      <c r="BI37" s="190" t="n">
        <v>3.18247178</v>
      </c>
      <c r="BJ37" s="190" t="n">
        <v>3.27813116</v>
      </c>
      <c r="BK37" s="190" t="n">
        <v>3.364224602</v>
      </c>
      <c r="BL37" s="190" t="n">
        <v>3.450318044</v>
      </c>
      <c r="BM37" s="190" t="n">
        <v>3.5278021418</v>
      </c>
      <c r="BN37" s="190" t="n">
        <v>3.6052862396</v>
      </c>
      <c r="BO37" s="190" t="n">
        <v>3.67502192762</v>
      </c>
      <c r="BP37" s="190" t="n">
        <v>3.74475761564</v>
      </c>
      <c r="BQ37" s="190" t="n">
        <v>3.81449330366</v>
      </c>
      <c r="BR37" s="190" t="n">
        <v>3.88422899168</v>
      </c>
      <c r="BS37" s="190" t="n">
        <v>3.9539646797</v>
      </c>
      <c r="BT37" s="190" t="n">
        <v>4.02370036772</v>
      </c>
      <c r="BU37" s="190" t="n">
        <v>4.09343605574</v>
      </c>
      <c r="BV37" s="190" t="n">
        <v>4.16317174376</v>
      </c>
      <c r="BW37" s="190" t="n">
        <v>4.23290743178</v>
      </c>
      <c r="BX37" s="190" t="n">
        <v>4.3026431198</v>
      </c>
      <c r="BY37" s="190" t="n">
        <v>4.37237880782</v>
      </c>
      <c r="BZ37" s="190" t="n">
        <v>4.44211449584</v>
      </c>
      <c r="CA37" s="190" t="n">
        <v>4.51185018386</v>
      </c>
      <c r="CB37" s="190" t="n">
        <v>4.58158587188</v>
      </c>
      <c r="CC37" s="190" t="n">
        <v>4.6513215599</v>
      </c>
      <c r="CD37" s="190" t="n">
        <v>4.72105724792</v>
      </c>
      <c r="CE37" s="190" t="n">
        <v>4.79079293594</v>
      </c>
      <c r="CF37" s="190" t="n">
        <v>4.86052862396</v>
      </c>
      <c r="CG37" s="190" t="n">
        <v>4.93026431198</v>
      </c>
      <c r="CH37" s="190" t="n">
        <v>5</v>
      </c>
      <c r="CI37" s="190" t="n">
        <v>5.06973568801999</v>
      </c>
      <c r="CJ37" s="190" t="n">
        <v>5.13947137603999</v>
      </c>
      <c r="CK37" s="190" t="n">
        <v>5.20920706405999</v>
      </c>
      <c r="CL37" s="190" t="n">
        <v>5.27894275207999</v>
      </c>
      <c r="CM37" s="190" t="n">
        <v>5.34867844009999</v>
      </c>
      <c r="CN37" s="190" t="n">
        <v>5.41841412811999</v>
      </c>
      <c r="CO37" s="190" t="n">
        <v>5.48814981613999</v>
      </c>
      <c r="CP37" s="190" t="n">
        <v>5.55788550415999</v>
      </c>
      <c r="CQ37" s="190" t="n">
        <v>5.62762119217999</v>
      </c>
      <c r="CR37" s="190" t="n">
        <v>5.69735688019999</v>
      </c>
      <c r="CS37" s="190" t="n">
        <v>5.76709256821999</v>
      </c>
      <c r="CT37" s="190" t="n">
        <v>5.83682825623999</v>
      </c>
      <c r="CU37" s="190" t="n">
        <v>5.90656394425999</v>
      </c>
      <c r="CV37" s="190" t="n">
        <v>5.97629963227999</v>
      </c>
      <c r="CW37" s="190" t="n">
        <v>6.04603532029999</v>
      </c>
      <c r="CX37" s="190" t="n">
        <v>6.11577100831999</v>
      </c>
      <c r="CY37" s="190" t="n">
        <v>6.18550669633999</v>
      </c>
      <c r="CZ37" s="190" t="n">
        <v>6.25524238435999</v>
      </c>
      <c r="DA37" s="190" t="n">
        <v>6.32497807237999</v>
      </c>
      <c r="DB37" s="190" t="n">
        <v>6.39471376039999</v>
      </c>
      <c r="DC37" s="190" t="n">
        <v>6.46444944841999</v>
      </c>
      <c r="DD37" s="190" t="n">
        <v>6.53418513643999</v>
      </c>
      <c r="DE37" s="190" t="n">
        <v>6.60392082445999</v>
      </c>
      <c r="DF37" s="190" t="n">
        <v>6.67365651247999</v>
      </c>
      <c r="DG37" s="190" t="n">
        <v>6.74339220049999</v>
      </c>
      <c r="DH37" s="190" t="n">
        <v>6.81312788851999</v>
      </c>
      <c r="DI37" s="190" t="n">
        <v>6.88286357653999</v>
      </c>
      <c r="DJ37" s="190" t="n">
        <v>6.95259926455999</v>
      </c>
      <c r="DK37" s="190" t="n">
        <v>7.02233495257999</v>
      </c>
      <c r="DL37" s="190" t="n">
        <v>7.09207064059999</v>
      </c>
      <c r="DM37" s="190" t="n">
        <v>7.16180632861999</v>
      </c>
      <c r="DN37" s="190" t="n">
        <v>7.23154201663999</v>
      </c>
      <c r="DO37" s="190" t="n">
        <v>7.30127770465999</v>
      </c>
      <c r="DP37" s="190" t="n">
        <v>7.37101339267999</v>
      </c>
      <c r="DQ37" s="190" t="n">
        <v>7.44074908069999</v>
      </c>
      <c r="DR37" s="190" t="n">
        <v>7.51048476871999</v>
      </c>
      <c r="DS37" s="190" t="n">
        <v>7.58022045673999</v>
      </c>
      <c r="DT37" s="190" t="n">
        <v>7.64995614475999</v>
      </c>
      <c r="DU37" s="190" t="n">
        <v>7.71969183277999</v>
      </c>
      <c r="DV37" s="190" t="n">
        <v>7.78942752079998</v>
      </c>
      <c r="DW37" s="190" t="n">
        <v>7.85916320881998</v>
      </c>
      <c r="DX37" s="190" t="n">
        <v>7.92889889683998</v>
      </c>
      <c r="DY37" s="190" t="n">
        <v>7.99863458485998</v>
      </c>
      <c r="DZ37" s="190" t="n">
        <v>8.06837027287998</v>
      </c>
      <c r="EA37" s="190" t="n">
        <v>8.13810596089998</v>
      </c>
      <c r="EB37" s="190" t="n">
        <v>8.20784164891998</v>
      </c>
      <c r="EC37" s="190" t="n">
        <v>8.27757733693998</v>
      </c>
      <c r="ED37" s="190" t="n">
        <v>8.34731302495998</v>
      </c>
      <c r="EE37" s="190" t="n">
        <v>8.41704871297998</v>
      </c>
      <c r="EF37" s="190" t="n">
        <v>8.48678440099998</v>
      </c>
      <c r="EG37" s="190" t="n">
        <v>8.55652008901998</v>
      </c>
      <c r="EH37" s="190" t="n">
        <v>8.62625577703998</v>
      </c>
      <c r="EI37" s="190" t="n">
        <v>8.69599146505998</v>
      </c>
      <c r="EJ37" s="190" t="n">
        <v>8.76572715307998</v>
      </c>
      <c r="EK37" s="190" t="n">
        <v>8.83546284109998</v>
      </c>
      <c r="EL37" s="180" t="n">
        <v>8.90519852911998</v>
      </c>
      <c r="EM37" s="180" t="n">
        <v>8.97493421713998</v>
      </c>
      <c r="EN37" s="180" t="n">
        <v>9.04466990515998</v>
      </c>
      <c r="EO37" s="180" t="n">
        <v>9.11440559317998</v>
      </c>
      <c r="EP37" s="180" t="n">
        <v>9.18414128119998</v>
      </c>
      <c r="EQ37" s="180" t="n">
        <v>9.25387696921998</v>
      </c>
      <c r="ER37" s="180" t="n">
        <v>9.32361265723998</v>
      </c>
      <c r="ES37" s="180" t="n">
        <v>9.39334834525998</v>
      </c>
      <c r="ET37" s="180" t="n">
        <v>9.46308403327998</v>
      </c>
      <c r="EU37" s="180" t="n">
        <v>9.53281972129998</v>
      </c>
      <c r="EV37" s="180" t="n">
        <v>9.60255540931998</v>
      </c>
      <c r="EW37" s="180" t="n">
        <v>9.67229109733998</v>
      </c>
      <c r="EX37" s="180" t="n">
        <v>9.74202678535998</v>
      </c>
      <c r="EY37" s="180" t="n">
        <v>9.81176247337998</v>
      </c>
      <c r="EZ37" s="180" t="n">
        <v>9.88149816139998</v>
      </c>
      <c r="FA37" s="180" t="n">
        <v>9.95123384941998</v>
      </c>
      <c r="FB37" s="180" t="n">
        <v>10.02096953744</v>
      </c>
      <c r="FC37" s="180" t="n">
        <v>10.09070522546</v>
      </c>
      <c r="FD37" s="180" t="n">
        <v>10.16044091348</v>
      </c>
      <c r="FE37" s="180" t="n">
        <v>10.2301766015</v>
      </c>
      <c r="FF37" s="180" t="n">
        <v>10.29991228952</v>
      </c>
      <c r="FG37" s="180" t="n">
        <v>10.36964797754</v>
      </c>
      <c r="FH37" s="180" t="n">
        <v>10.43938366556</v>
      </c>
      <c r="FI37" s="180" t="n">
        <v>10.50911935358</v>
      </c>
      <c r="FJ37" s="180" t="n">
        <v>10.5788550416</v>
      </c>
      <c r="FK37" s="180" t="n">
        <v>10.64859072962</v>
      </c>
      <c r="FL37" s="180" t="n">
        <v>10.71832641764</v>
      </c>
      <c r="FM37" s="180" t="n">
        <v>10.78806210566</v>
      </c>
      <c r="FN37" s="180" t="n">
        <v>10.85779779368</v>
      </c>
      <c r="FO37" s="180" t="n">
        <v>10.9275334817</v>
      </c>
      <c r="FP37" s="180" t="n">
        <v>10.99726916972</v>
      </c>
      <c r="FQ37" s="180" t="n">
        <v>11.06700485774</v>
      </c>
      <c r="FR37" s="180" t="n">
        <v>11.13674054576</v>
      </c>
      <c r="FS37" s="180" t="n">
        <v>11.20647623378</v>
      </c>
      <c r="FT37" s="180" t="n">
        <v>11.2762119218</v>
      </c>
      <c r="FU37" s="180" t="n">
        <v>11.34594760982</v>
      </c>
      <c r="FV37" s="180" t="n">
        <v>11.41568329784</v>
      </c>
      <c r="FW37" s="180" t="n">
        <v>11.48541898586</v>
      </c>
      <c r="FX37" s="180" t="n">
        <v>11.55515467388</v>
      </c>
      <c r="FY37" s="180" t="n">
        <v>11.6248903619</v>
      </c>
      <c r="FZ37" s="180" t="n">
        <v>11.69462604992</v>
      </c>
      <c r="GA37" s="180" t="n">
        <v>11.76436173794</v>
      </c>
      <c r="GB37" s="180" t="n">
        <v>11.83409742596</v>
      </c>
      <c r="GC37" s="180" t="n">
        <v>11.90383311398</v>
      </c>
      <c r="GD37" s="180" t="n">
        <v>11.973568802</v>
      </c>
      <c r="GE37" s="180" t="n">
        <v>12.04330449002</v>
      </c>
      <c r="GF37" s="180" t="n">
        <v>12.11304017804</v>
      </c>
      <c r="GG37" s="180" t="n">
        <v>12.18277586606</v>
      </c>
      <c r="GH37" s="180" t="n">
        <v>12.25251155408</v>
      </c>
      <c r="GI37" s="180" t="n">
        <v>12.3222472421</v>
      </c>
      <c r="GJ37" s="180" t="n">
        <v>12.39198293012</v>
      </c>
      <c r="GK37" s="180" t="n">
        <v>12.46171861814</v>
      </c>
      <c r="GL37" s="180" t="n">
        <v>12.53145430616</v>
      </c>
      <c r="GM37" s="180" t="n">
        <v>12.60118999418</v>
      </c>
      <c r="GN37" s="180" t="n">
        <v>12.6709256822</v>
      </c>
      <c r="GO37" s="180" t="n">
        <v>12.74066137022</v>
      </c>
      <c r="GP37" s="180" t="n">
        <v>12.81039705824</v>
      </c>
      <c r="GQ37" s="180" t="n">
        <v>12.88013274626</v>
      </c>
      <c r="GR37" s="180" t="n">
        <v>12.94986843428</v>
      </c>
      <c r="GS37" s="180" t="n">
        <v>13.0196041223</v>
      </c>
      <c r="GT37" s="180" t="n">
        <v>13.08933981032</v>
      </c>
      <c r="GU37" s="180" t="n">
        <v>13.15907549834</v>
      </c>
      <c r="GV37" s="180" t="n">
        <v>13.22881118636</v>
      </c>
      <c r="GW37" s="180" t="n">
        <v>13.29854687438</v>
      </c>
      <c r="GX37" s="180" t="n">
        <v>13.3682825624</v>
      </c>
      <c r="GY37" s="180" t="n">
        <v>13.43801825042</v>
      </c>
      <c r="GZ37" s="180" t="n">
        <v>13.50775393844</v>
      </c>
      <c r="HA37" s="180" t="n">
        <v>13.57748962646</v>
      </c>
      <c r="HB37" s="180" t="n">
        <v>13.64722531448</v>
      </c>
      <c r="HC37" s="180" t="n">
        <v>13.7169610025</v>
      </c>
      <c r="HD37" s="180" t="n">
        <v>13.78669669052</v>
      </c>
      <c r="HE37" s="180" t="n">
        <v>13.85643237854</v>
      </c>
      <c r="HF37" s="180" t="n">
        <v>13.92616806656</v>
      </c>
      <c r="HG37" s="180" t="n">
        <v>13.99590375458</v>
      </c>
      <c r="HH37" s="180" t="n">
        <v>14.0656394426</v>
      </c>
      <c r="HI37" s="180" t="n">
        <v>14.13537513062</v>
      </c>
      <c r="HJ37" s="180" t="n">
        <v>14.20511081864</v>
      </c>
      <c r="HK37" s="180" t="n">
        <v>14.27484650666</v>
      </c>
      <c r="HL37" s="180" t="n">
        <v>14.34458219468</v>
      </c>
      <c r="HM37" s="180" t="n">
        <v>14.4143178827</v>
      </c>
      <c r="HN37" s="180" t="n">
        <v>14.48405357072</v>
      </c>
      <c r="HO37" s="180" t="n">
        <v>14.55378925874</v>
      </c>
      <c r="HP37" s="180" t="n">
        <v>14.62352494676</v>
      </c>
      <c r="HQ37" s="180" t="n">
        <v>14.69326063478</v>
      </c>
      <c r="HR37" s="180" t="n">
        <v>14.7629963228</v>
      </c>
      <c r="HS37" s="180" t="n">
        <v>14.83273201082</v>
      </c>
      <c r="HT37" s="180" t="n">
        <v>14.90246769884</v>
      </c>
      <c r="HU37" s="180" t="n">
        <v>14.97220338686</v>
      </c>
      <c r="HV37" s="180" t="n">
        <v>15.04193907488</v>
      </c>
      <c r="HW37" s="180" t="n">
        <v>15.1116747629</v>
      </c>
      <c r="HX37" s="180" t="n">
        <v>15.18141045092</v>
      </c>
      <c r="HY37" s="180" t="n">
        <v>15.25114613894</v>
      </c>
      <c r="HZ37" s="180" t="n">
        <v>15.32088182696</v>
      </c>
      <c r="IA37" s="180" t="n">
        <v>15.39061751498</v>
      </c>
      <c r="IB37" s="180" t="n">
        <v>15.460353203</v>
      </c>
      <c r="IC37" s="180" t="n">
        <v>15.53008889102</v>
      </c>
      <c r="ID37" s="180" t="n">
        <v>15.59982457904</v>
      </c>
      <c r="IE37" s="180" t="n">
        <v>15.66956026706</v>
      </c>
      <c r="IF37" s="180" t="n">
        <v>15.73929595508</v>
      </c>
      <c r="IG37" s="180" t="n">
        <v>15.8090316431</v>
      </c>
      <c r="IH37" s="180" t="n">
        <v>15.87876733112</v>
      </c>
      <c r="II37" s="180" t="n">
        <v>15.94850301914</v>
      </c>
      <c r="IJ37" s="180" t="n">
        <v>16.01823870716</v>
      </c>
      <c r="IK37" s="180" t="n">
        <v>16.08797439518</v>
      </c>
      <c r="IL37" s="180" t="n">
        <v>16.1577100832</v>
      </c>
      <c r="IM37" s="180" t="n">
        <v>16.22744577122</v>
      </c>
      <c r="IN37" s="180" t="n">
        <v>16.29718145924</v>
      </c>
      <c r="IO37" s="180" t="n">
        <v>16.36691714726</v>
      </c>
      <c r="IP37" s="180" t="n">
        <v>16.43665283528</v>
      </c>
      <c r="IQ37" s="180" t="n">
        <v>16.5063885233</v>
      </c>
      <c r="IR37" s="180" t="n">
        <v>16.57612421132</v>
      </c>
      <c r="IS37" s="180" t="n">
        <v>16.64585989934</v>
      </c>
      <c r="IT37" s="180" t="n">
        <v>16.71559558736</v>
      </c>
      <c r="IU37" s="180" t="n">
        <v>16.78533127538</v>
      </c>
      <c r="IV37" s="180" t="n">
        <v>16.8550669634</v>
      </c>
    </row>
    <row r="38" customFormat="false" ht="12.75" hidden="false" customHeight="false" outlineLevel="0" collapsed="false">
      <c r="A38" s="189" t="n">
        <v>37834</v>
      </c>
      <c r="B38" s="185" t="n">
        <v>-2.021005929375</v>
      </c>
      <c r="C38" s="185" t="n">
        <v>-1.9907047400625</v>
      </c>
      <c r="D38" s="185" t="n">
        <v>-1.96040355075</v>
      </c>
      <c r="E38" s="185" t="n">
        <v>-1.9301023614375</v>
      </c>
      <c r="F38" s="185" t="n">
        <v>-1.899801172125</v>
      </c>
      <c r="G38" s="185" t="n">
        <v>-1.8694999828125</v>
      </c>
      <c r="H38" s="185" t="n">
        <v>-1.8391987935</v>
      </c>
      <c r="I38" s="185" t="n">
        <v>-1.8088976041875</v>
      </c>
      <c r="J38" s="185" t="n">
        <v>-1.778596414875</v>
      </c>
      <c r="K38" s="185" t="n">
        <v>-1.7482952255625</v>
      </c>
      <c r="L38" s="185" t="n">
        <v>-1.71799403625</v>
      </c>
      <c r="M38" s="185" t="n">
        <v>-1.6876928469375</v>
      </c>
      <c r="N38" s="185" t="n">
        <v>-1.657391657625</v>
      </c>
      <c r="O38" s="185" t="n">
        <v>-1.6270904683125</v>
      </c>
      <c r="P38" s="185" t="n">
        <v>-1.596789279</v>
      </c>
      <c r="Q38" s="185" t="n">
        <v>-1.5664880896875</v>
      </c>
      <c r="R38" s="185" t="n">
        <v>-1.536186900375</v>
      </c>
      <c r="S38" s="185" t="n">
        <v>-1.5058857110625</v>
      </c>
      <c r="T38" s="185" t="n">
        <v>-1.47558452175</v>
      </c>
      <c r="U38" s="185" t="n">
        <v>-1.4452833324375</v>
      </c>
      <c r="V38" s="186" t="n">
        <v>-1.414982143125</v>
      </c>
      <c r="W38" s="185" t="n">
        <v>-1.3846809538125</v>
      </c>
      <c r="X38" s="186" t="n">
        <v>-1.3543797645</v>
      </c>
      <c r="Y38" s="185" t="n">
        <v>-1.3240785751875</v>
      </c>
      <c r="Z38" s="186" t="n">
        <v>-1.293777385875</v>
      </c>
      <c r="AA38" s="185" t="n">
        <v>-1.2634761965625</v>
      </c>
      <c r="AB38" s="187" t="n">
        <v>-1.23317500725</v>
      </c>
      <c r="AC38" s="185" t="n">
        <v>-1.2028738179375</v>
      </c>
      <c r="AD38" s="187" t="n">
        <v>-1.172572628625</v>
      </c>
      <c r="AE38" s="185" t="n">
        <v>-1.1422714393125</v>
      </c>
      <c r="AF38" s="185" t="n">
        <v>-1.11197025</v>
      </c>
      <c r="AG38" s="190" t="n">
        <v>-1.083235125</v>
      </c>
      <c r="AH38" s="190" t="n">
        <v>-1.0545</v>
      </c>
      <c r="AI38" s="190" t="n">
        <v>-1.02725</v>
      </c>
      <c r="AJ38" s="190" t="n">
        <v>-1</v>
      </c>
      <c r="AK38" s="190" t="n">
        <v>-0.8</v>
      </c>
      <c r="AL38" s="190" t="n">
        <v>-0.6</v>
      </c>
      <c r="AM38" s="190" t="n">
        <v>-0.4</v>
      </c>
      <c r="AN38" s="190" t="n">
        <v>-0.2</v>
      </c>
      <c r="AO38" s="190" t="n">
        <v>0</v>
      </c>
      <c r="AP38" s="190" t="n">
        <v>0.2</v>
      </c>
      <c r="AQ38" s="190" t="n">
        <v>0.4</v>
      </c>
      <c r="AR38" s="190" t="n">
        <v>0.6</v>
      </c>
      <c r="AS38" s="190" t="n">
        <v>0.8</v>
      </c>
      <c r="AT38" s="190" t="n">
        <v>1</v>
      </c>
      <c r="AU38" s="190" t="n">
        <v>1.2</v>
      </c>
      <c r="AV38" s="190" t="n">
        <v>1.4</v>
      </c>
      <c r="AW38" s="190" t="n">
        <v>1.58</v>
      </c>
      <c r="AX38" s="190" t="n">
        <v>1.76</v>
      </c>
      <c r="AY38" s="190" t="n">
        <v>1.922</v>
      </c>
      <c r="AZ38" s="190" t="n">
        <v>2.084</v>
      </c>
      <c r="BA38" s="190" t="n">
        <v>2.2298</v>
      </c>
      <c r="BB38" s="190" t="n">
        <v>2.3756</v>
      </c>
      <c r="BC38" s="190" t="n">
        <v>2.50682</v>
      </c>
      <c r="BD38" s="190" t="n">
        <v>2.63804</v>
      </c>
      <c r="BE38" s="190" t="n">
        <v>2.756138</v>
      </c>
      <c r="BF38" s="190" t="n">
        <v>2.874236</v>
      </c>
      <c r="BG38" s="190" t="n">
        <v>2.9805242</v>
      </c>
      <c r="BH38" s="190" t="n">
        <v>3.0868124</v>
      </c>
      <c r="BI38" s="190" t="n">
        <v>3.18247178</v>
      </c>
      <c r="BJ38" s="190" t="n">
        <v>3.27813116</v>
      </c>
      <c r="BK38" s="190" t="n">
        <v>3.364224602</v>
      </c>
      <c r="BL38" s="190" t="n">
        <v>3.450318044</v>
      </c>
      <c r="BM38" s="190" t="n">
        <v>3.5278021418</v>
      </c>
      <c r="BN38" s="190" t="n">
        <v>3.6052862396</v>
      </c>
      <c r="BO38" s="190" t="n">
        <v>3.67502192762</v>
      </c>
      <c r="BP38" s="190" t="n">
        <v>3.74475761564</v>
      </c>
      <c r="BQ38" s="190" t="n">
        <v>3.81449330366</v>
      </c>
      <c r="BR38" s="190" t="n">
        <v>3.88422899168</v>
      </c>
      <c r="BS38" s="190" t="n">
        <v>3.9539646797</v>
      </c>
      <c r="BT38" s="190" t="n">
        <v>4.02370036772</v>
      </c>
      <c r="BU38" s="190" t="n">
        <v>4.09343605574</v>
      </c>
      <c r="BV38" s="190" t="n">
        <v>4.16317174376</v>
      </c>
      <c r="BW38" s="190" t="n">
        <v>4.23290743178</v>
      </c>
      <c r="BX38" s="190" t="n">
        <v>4.3026431198</v>
      </c>
      <c r="BY38" s="190" t="n">
        <v>4.37237880782</v>
      </c>
      <c r="BZ38" s="190" t="n">
        <v>4.44211449584</v>
      </c>
      <c r="CA38" s="190" t="n">
        <v>4.51185018386</v>
      </c>
      <c r="CB38" s="190" t="n">
        <v>4.58158587188</v>
      </c>
      <c r="CC38" s="190" t="n">
        <v>4.6513215599</v>
      </c>
      <c r="CD38" s="190" t="n">
        <v>4.72105724792</v>
      </c>
      <c r="CE38" s="190" t="n">
        <v>4.79079293594</v>
      </c>
      <c r="CF38" s="190" t="n">
        <v>4.86052862396</v>
      </c>
      <c r="CG38" s="190" t="n">
        <v>4.93026431198</v>
      </c>
      <c r="CH38" s="190" t="n">
        <v>5</v>
      </c>
      <c r="CI38" s="190" t="n">
        <v>5.06973568801999</v>
      </c>
      <c r="CJ38" s="190" t="n">
        <v>5.13947137603999</v>
      </c>
      <c r="CK38" s="190" t="n">
        <v>5.20920706405999</v>
      </c>
      <c r="CL38" s="190" t="n">
        <v>5.27894275207999</v>
      </c>
      <c r="CM38" s="190" t="n">
        <v>5.34867844009999</v>
      </c>
      <c r="CN38" s="190" t="n">
        <v>5.41841412811999</v>
      </c>
      <c r="CO38" s="190" t="n">
        <v>5.48814981613999</v>
      </c>
      <c r="CP38" s="190" t="n">
        <v>5.55788550415999</v>
      </c>
      <c r="CQ38" s="190" t="n">
        <v>5.62762119217999</v>
      </c>
      <c r="CR38" s="190" t="n">
        <v>5.69735688019999</v>
      </c>
      <c r="CS38" s="190" t="n">
        <v>5.76709256821999</v>
      </c>
      <c r="CT38" s="190" t="n">
        <v>5.83682825623999</v>
      </c>
      <c r="CU38" s="190" t="n">
        <v>5.90656394425999</v>
      </c>
      <c r="CV38" s="190" t="n">
        <v>5.97629963227999</v>
      </c>
      <c r="CW38" s="190" t="n">
        <v>6.04603532029999</v>
      </c>
      <c r="CX38" s="190" t="n">
        <v>6.11577100831999</v>
      </c>
      <c r="CY38" s="190" t="n">
        <v>6.18550669633999</v>
      </c>
      <c r="CZ38" s="190" t="n">
        <v>6.25524238435999</v>
      </c>
      <c r="DA38" s="190" t="n">
        <v>6.32497807237999</v>
      </c>
      <c r="DB38" s="190" t="n">
        <v>6.39471376039999</v>
      </c>
      <c r="DC38" s="190" t="n">
        <v>6.46444944841999</v>
      </c>
      <c r="DD38" s="190" t="n">
        <v>6.53418513643999</v>
      </c>
      <c r="DE38" s="190" t="n">
        <v>6.60392082445999</v>
      </c>
      <c r="DF38" s="190" t="n">
        <v>6.67365651247999</v>
      </c>
      <c r="DG38" s="190" t="n">
        <v>6.74339220049999</v>
      </c>
      <c r="DH38" s="190" t="n">
        <v>6.81312788851999</v>
      </c>
      <c r="DI38" s="190" t="n">
        <v>6.88286357653999</v>
      </c>
      <c r="DJ38" s="190" t="n">
        <v>6.95259926455999</v>
      </c>
      <c r="DK38" s="190" t="n">
        <v>7.02233495257999</v>
      </c>
      <c r="DL38" s="190" t="n">
        <v>7.09207064059999</v>
      </c>
      <c r="DM38" s="190" t="n">
        <v>7.16180632861999</v>
      </c>
      <c r="DN38" s="190" t="n">
        <v>7.23154201663999</v>
      </c>
      <c r="DO38" s="190" t="n">
        <v>7.30127770465999</v>
      </c>
      <c r="DP38" s="190" t="n">
        <v>7.37101339267999</v>
      </c>
      <c r="DQ38" s="190" t="n">
        <v>7.44074908069999</v>
      </c>
      <c r="DR38" s="190" t="n">
        <v>7.51048476871999</v>
      </c>
      <c r="DS38" s="190" t="n">
        <v>7.58022045673999</v>
      </c>
      <c r="DT38" s="190" t="n">
        <v>7.64995614475999</v>
      </c>
      <c r="DU38" s="190" t="n">
        <v>7.71969183277999</v>
      </c>
      <c r="DV38" s="190" t="n">
        <v>7.78942752079998</v>
      </c>
      <c r="DW38" s="190" t="n">
        <v>7.85916320881998</v>
      </c>
      <c r="DX38" s="190" t="n">
        <v>7.92889889683998</v>
      </c>
      <c r="DY38" s="190" t="n">
        <v>7.99863458485998</v>
      </c>
      <c r="DZ38" s="190" t="n">
        <v>8.06837027287998</v>
      </c>
      <c r="EA38" s="190" t="n">
        <v>8.13810596089998</v>
      </c>
      <c r="EB38" s="190" t="n">
        <v>8.20784164891998</v>
      </c>
      <c r="EC38" s="190" t="n">
        <v>8.27757733693998</v>
      </c>
      <c r="ED38" s="190" t="n">
        <v>8.34731302495998</v>
      </c>
      <c r="EE38" s="190" t="n">
        <v>8.41704871297998</v>
      </c>
      <c r="EF38" s="190" t="n">
        <v>8.48678440099998</v>
      </c>
      <c r="EG38" s="190" t="n">
        <v>8.55652008901998</v>
      </c>
      <c r="EH38" s="190" t="n">
        <v>8.62625577703998</v>
      </c>
      <c r="EI38" s="190" t="n">
        <v>8.69599146505998</v>
      </c>
      <c r="EJ38" s="190" t="n">
        <v>8.76572715307998</v>
      </c>
      <c r="EK38" s="190" t="n">
        <v>8.83546284109998</v>
      </c>
      <c r="EL38" s="180" t="n">
        <v>8.90519852911998</v>
      </c>
      <c r="EM38" s="180" t="n">
        <v>8.97493421713998</v>
      </c>
      <c r="EN38" s="180" t="n">
        <v>9.04466990515998</v>
      </c>
      <c r="EO38" s="180" t="n">
        <v>9.11440559317998</v>
      </c>
      <c r="EP38" s="180" t="n">
        <v>9.18414128119998</v>
      </c>
      <c r="EQ38" s="180" t="n">
        <v>9.25387696921998</v>
      </c>
      <c r="ER38" s="180" t="n">
        <v>9.32361265723998</v>
      </c>
      <c r="ES38" s="180" t="n">
        <v>9.39334834525998</v>
      </c>
      <c r="ET38" s="180" t="n">
        <v>9.46308403327998</v>
      </c>
      <c r="EU38" s="180" t="n">
        <v>9.53281972129998</v>
      </c>
      <c r="EV38" s="180" t="n">
        <v>9.60255540931998</v>
      </c>
      <c r="EW38" s="180" t="n">
        <v>9.67229109733998</v>
      </c>
      <c r="EX38" s="180" t="n">
        <v>9.74202678535998</v>
      </c>
      <c r="EY38" s="180" t="n">
        <v>9.81176247337998</v>
      </c>
      <c r="EZ38" s="180" t="n">
        <v>9.88149816139998</v>
      </c>
      <c r="FA38" s="180" t="n">
        <v>9.95123384941998</v>
      </c>
      <c r="FB38" s="180" t="n">
        <v>10.02096953744</v>
      </c>
      <c r="FC38" s="180" t="n">
        <v>10.09070522546</v>
      </c>
      <c r="FD38" s="180" t="n">
        <v>10.16044091348</v>
      </c>
      <c r="FE38" s="180" t="n">
        <v>10.2301766015</v>
      </c>
      <c r="FF38" s="180" t="n">
        <v>10.29991228952</v>
      </c>
      <c r="FG38" s="180" t="n">
        <v>10.36964797754</v>
      </c>
      <c r="FH38" s="180" t="n">
        <v>10.43938366556</v>
      </c>
      <c r="FI38" s="180" t="n">
        <v>10.50911935358</v>
      </c>
      <c r="FJ38" s="180" t="n">
        <v>10.5788550416</v>
      </c>
      <c r="FK38" s="180" t="n">
        <v>10.64859072962</v>
      </c>
      <c r="FL38" s="180" t="n">
        <v>10.71832641764</v>
      </c>
      <c r="FM38" s="180" t="n">
        <v>10.78806210566</v>
      </c>
      <c r="FN38" s="180" t="n">
        <v>10.85779779368</v>
      </c>
      <c r="FO38" s="180" t="n">
        <v>10.9275334817</v>
      </c>
      <c r="FP38" s="180" t="n">
        <v>10.99726916972</v>
      </c>
      <c r="FQ38" s="180" t="n">
        <v>11.06700485774</v>
      </c>
      <c r="FR38" s="180" t="n">
        <v>11.13674054576</v>
      </c>
      <c r="FS38" s="180" t="n">
        <v>11.20647623378</v>
      </c>
      <c r="FT38" s="180" t="n">
        <v>11.2762119218</v>
      </c>
      <c r="FU38" s="180" t="n">
        <v>11.34594760982</v>
      </c>
      <c r="FV38" s="180" t="n">
        <v>11.41568329784</v>
      </c>
      <c r="FW38" s="180" t="n">
        <v>11.48541898586</v>
      </c>
      <c r="FX38" s="180" t="n">
        <v>11.55515467388</v>
      </c>
      <c r="FY38" s="180" t="n">
        <v>11.6248903619</v>
      </c>
      <c r="FZ38" s="180" t="n">
        <v>11.69462604992</v>
      </c>
      <c r="GA38" s="180" t="n">
        <v>11.76436173794</v>
      </c>
      <c r="GB38" s="180" t="n">
        <v>11.83409742596</v>
      </c>
      <c r="GC38" s="180" t="n">
        <v>11.90383311398</v>
      </c>
      <c r="GD38" s="180" t="n">
        <v>11.973568802</v>
      </c>
      <c r="GE38" s="180" t="n">
        <v>12.04330449002</v>
      </c>
      <c r="GF38" s="180" t="n">
        <v>12.11304017804</v>
      </c>
      <c r="GG38" s="180" t="n">
        <v>12.18277586606</v>
      </c>
      <c r="GH38" s="180" t="n">
        <v>12.25251155408</v>
      </c>
      <c r="GI38" s="180" t="n">
        <v>12.3222472421</v>
      </c>
      <c r="GJ38" s="180" t="n">
        <v>12.39198293012</v>
      </c>
      <c r="GK38" s="180" t="n">
        <v>12.46171861814</v>
      </c>
      <c r="GL38" s="180" t="n">
        <v>12.53145430616</v>
      </c>
      <c r="GM38" s="180" t="n">
        <v>12.60118999418</v>
      </c>
      <c r="GN38" s="180" t="n">
        <v>12.6709256822</v>
      </c>
      <c r="GO38" s="180" t="n">
        <v>12.74066137022</v>
      </c>
      <c r="GP38" s="180" t="n">
        <v>12.81039705824</v>
      </c>
      <c r="GQ38" s="180" t="n">
        <v>12.88013274626</v>
      </c>
      <c r="GR38" s="180" t="n">
        <v>12.94986843428</v>
      </c>
      <c r="GS38" s="180" t="n">
        <v>13.0196041223</v>
      </c>
      <c r="GT38" s="180" t="n">
        <v>13.08933981032</v>
      </c>
      <c r="GU38" s="180" t="n">
        <v>13.15907549834</v>
      </c>
      <c r="GV38" s="180" t="n">
        <v>13.22881118636</v>
      </c>
      <c r="GW38" s="180" t="n">
        <v>13.29854687438</v>
      </c>
      <c r="GX38" s="180" t="n">
        <v>13.3682825624</v>
      </c>
      <c r="GY38" s="180" t="n">
        <v>13.43801825042</v>
      </c>
      <c r="GZ38" s="180" t="n">
        <v>13.50775393844</v>
      </c>
      <c r="HA38" s="180" t="n">
        <v>13.57748962646</v>
      </c>
      <c r="HB38" s="180" t="n">
        <v>13.64722531448</v>
      </c>
      <c r="HC38" s="180" t="n">
        <v>13.7169610025</v>
      </c>
      <c r="HD38" s="180" t="n">
        <v>13.78669669052</v>
      </c>
      <c r="HE38" s="180" t="n">
        <v>13.85643237854</v>
      </c>
      <c r="HF38" s="180" t="n">
        <v>13.92616806656</v>
      </c>
      <c r="HG38" s="180" t="n">
        <v>13.99590375458</v>
      </c>
      <c r="HH38" s="180" t="n">
        <v>14.0656394426</v>
      </c>
      <c r="HI38" s="180" t="n">
        <v>14.13537513062</v>
      </c>
      <c r="HJ38" s="180" t="n">
        <v>14.20511081864</v>
      </c>
      <c r="HK38" s="180" t="n">
        <v>14.27484650666</v>
      </c>
      <c r="HL38" s="180" t="n">
        <v>14.34458219468</v>
      </c>
      <c r="HM38" s="180" t="n">
        <v>14.4143178827</v>
      </c>
      <c r="HN38" s="180" t="n">
        <v>14.48405357072</v>
      </c>
      <c r="HO38" s="180" t="n">
        <v>14.55378925874</v>
      </c>
      <c r="HP38" s="180" t="n">
        <v>14.62352494676</v>
      </c>
      <c r="HQ38" s="180" t="n">
        <v>14.69326063478</v>
      </c>
      <c r="HR38" s="180" t="n">
        <v>14.7629963228</v>
      </c>
      <c r="HS38" s="180" t="n">
        <v>14.83273201082</v>
      </c>
      <c r="HT38" s="180" t="n">
        <v>14.90246769884</v>
      </c>
      <c r="HU38" s="180" t="n">
        <v>14.97220338686</v>
      </c>
      <c r="HV38" s="180" t="n">
        <v>15.04193907488</v>
      </c>
      <c r="HW38" s="180" t="n">
        <v>15.1116747629</v>
      </c>
      <c r="HX38" s="180" t="n">
        <v>15.18141045092</v>
      </c>
      <c r="HY38" s="180" t="n">
        <v>15.25114613894</v>
      </c>
      <c r="HZ38" s="180" t="n">
        <v>15.32088182696</v>
      </c>
      <c r="IA38" s="180" t="n">
        <v>15.39061751498</v>
      </c>
      <c r="IB38" s="180" t="n">
        <v>15.460353203</v>
      </c>
      <c r="IC38" s="180" t="n">
        <v>15.53008889102</v>
      </c>
      <c r="ID38" s="180" t="n">
        <v>15.59982457904</v>
      </c>
      <c r="IE38" s="180" t="n">
        <v>15.66956026706</v>
      </c>
      <c r="IF38" s="180" t="n">
        <v>15.73929595508</v>
      </c>
      <c r="IG38" s="180" t="n">
        <v>15.8090316431</v>
      </c>
      <c r="IH38" s="180" t="n">
        <v>15.87876733112</v>
      </c>
      <c r="II38" s="180" t="n">
        <v>15.94850301914</v>
      </c>
      <c r="IJ38" s="180" t="n">
        <v>16.01823870716</v>
      </c>
      <c r="IK38" s="180" t="n">
        <v>16.08797439518</v>
      </c>
      <c r="IL38" s="180" t="n">
        <v>16.1577100832</v>
      </c>
      <c r="IM38" s="180" t="n">
        <v>16.22744577122</v>
      </c>
      <c r="IN38" s="180" t="n">
        <v>16.29718145924</v>
      </c>
      <c r="IO38" s="180" t="n">
        <v>16.36691714726</v>
      </c>
      <c r="IP38" s="180" t="n">
        <v>16.43665283528</v>
      </c>
      <c r="IQ38" s="180" t="n">
        <v>16.5063885233</v>
      </c>
      <c r="IR38" s="180" t="n">
        <v>16.57612421132</v>
      </c>
      <c r="IS38" s="180" t="n">
        <v>16.64585989934</v>
      </c>
      <c r="IT38" s="180" t="n">
        <v>16.71559558736</v>
      </c>
      <c r="IU38" s="180" t="n">
        <v>16.78533127538</v>
      </c>
      <c r="IV38" s="180" t="n">
        <v>16.8550669634</v>
      </c>
    </row>
    <row r="39" customFormat="false" ht="12.75" hidden="false" customHeight="false" outlineLevel="0" collapsed="false">
      <c r="A39" s="189" t="n">
        <v>37865</v>
      </c>
      <c r="B39" s="185" t="n">
        <v>-2.021005929375</v>
      </c>
      <c r="C39" s="185" t="n">
        <v>-1.9907047400625</v>
      </c>
      <c r="D39" s="185" t="n">
        <v>-1.96040355075</v>
      </c>
      <c r="E39" s="185" t="n">
        <v>-1.9301023614375</v>
      </c>
      <c r="F39" s="185" t="n">
        <v>-1.899801172125</v>
      </c>
      <c r="G39" s="185" t="n">
        <v>-1.8694999828125</v>
      </c>
      <c r="H39" s="185" t="n">
        <v>-1.8391987935</v>
      </c>
      <c r="I39" s="185" t="n">
        <v>-1.8088976041875</v>
      </c>
      <c r="J39" s="185" t="n">
        <v>-1.778596414875</v>
      </c>
      <c r="K39" s="185" t="n">
        <v>-1.7482952255625</v>
      </c>
      <c r="L39" s="185" t="n">
        <v>-1.71799403625</v>
      </c>
      <c r="M39" s="185" t="n">
        <v>-1.6876928469375</v>
      </c>
      <c r="N39" s="185" t="n">
        <v>-1.657391657625</v>
      </c>
      <c r="O39" s="185" t="n">
        <v>-1.6270904683125</v>
      </c>
      <c r="P39" s="185" t="n">
        <v>-1.596789279</v>
      </c>
      <c r="Q39" s="185" t="n">
        <v>-1.5664880896875</v>
      </c>
      <c r="R39" s="185" t="n">
        <v>-1.536186900375</v>
      </c>
      <c r="S39" s="185" t="n">
        <v>-1.5058857110625</v>
      </c>
      <c r="T39" s="185" t="n">
        <v>-1.47558452175</v>
      </c>
      <c r="U39" s="185" t="n">
        <v>-1.4452833324375</v>
      </c>
      <c r="V39" s="186" t="n">
        <v>-1.414982143125</v>
      </c>
      <c r="W39" s="185" t="n">
        <v>-1.3846809538125</v>
      </c>
      <c r="X39" s="186" t="n">
        <v>-1.3543797645</v>
      </c>
      <c r="Y39" s="185" t="n">
        <v>-1.3240785751875</v>
      </c>
      <c r="Z39" s="186" t="n">
        <v>-1.293777385875</v>
      </c>
      <c r="AA39" s="185" t="n">
        <v>-1.2634761965625</v>
      </c>
      <c r="AB39" s="187" t="n">
        <v>-1.23317500725</v>
      </c>
      <c r="AC39" s="185" t="n">
        <v>-1.2028738179375</v>
      </c>
      <c r="AD39" s="187" t="n">
        <v>-1.172572628625</v>
      </c>
      <c r="AE39" s="185" t="n">
        <v>-1.1422714393125</v>
      </c>
      <c r="AF39" s="185" t="n">
        <v>-1.11197025</v>
      </c>
      <c r="AG39" s="190" t="n">
        <v>-1.083235125</v>
      </c>
      <c r="AH39" s="190" t="n">
        <v>-1.0545</v>
      </c>
      <c r="AI39" s="190" t="n">
        <v>-1.02725</v>
      </c>
      <c r="AJ39" s="190" t="n">
        <v>-1</v>
      </c>
      <c r="AK39" s="190" t="n">
        <v>-0.8</v>
      </c>
      <c r="AL39" s="190" t="n">
        <v>-0.6</v>
      </c>
      <c r="AM39" s="190" t="n">
        <v>-0.4</v>
      </c>
      <c r="AN39" s="190" t="n">
        <v>-0.2</v>
      </c>
      <c r="AO39" s="190" t="n">
        <v>0</v>
      </c>
      <c r="AP39" s="190" t="n">
        <v>0.2</v>
      </c>
      <c r="AQ39" s="190" t="n">
        <v>0.4</v>
      </c>
      <c r="AR39" s="190" t="n">
        <v>0.6</v>
      </c>
      <c r="AS39" s="190" t="n">
        <v>0.8</v>
      </c>
      <c r="AT39" s="190" t="n">
        <v>1</v>
      </c>
      <c r="AU39" s="190" t="n">
        <v>1.2</v>
      </c>
      <c r="AV39" s="190" t="n">
        <v>1.4</v>
      </c>
      <c r="AW39" s="190" t="n">
        <v>1.58</v>
      </c>
      <c r="AX39" s="190" t="n">
        <v>1.76</v>
      </c>
      <c r="AY39" s="190" t="n">
        <v>1.922</v>
      </c>
      <c r="AZ39" s="190" t="n">
        <v>2.084</v>
      </c>
      <c r="BA39" s="190" t="n">
        <v>2.2298</v>
      </c>
      <c r="BB39" s="190" t="n">
        <v>2.3756</v>
      </c>
      <c r="BC39" s="190" t="n">
        <v>2.50682</v>
      </c>
      <c r="BD39" s="190" t="n">
        <v>2.63804</v>
      </c>
      <c r="BE39" s="190" t="n">
        <v>2.756138</v>
      </c>
      <c r="BF39" s="190" t="n">
        <v>2.874236</v>
      </c>
      <c r="BG39" s="190" t="n">
        <v>2.9805242</v>
      </c>
      <c r="BH39" s="190" t="n">
        <v>3.0868124</v>
      </c>
      <c r="BI39" s="190" t="n">
        <v>3.18247178</v>
      </c>
      <c r="BJ39" s="190" t="n">
        <v>3.27813116</v>
      </c>
      <c r="BK39" s="190" t="n">
        <v>3.364224602</v>
      </c>
      <c r="BL39" s="190" t="n">
        <v>3.450318044</v>
      </c>
      <c r="BM39" s="190" t="n">
        <v>3.5278021418</v>
      </c>
      <c r="BN39" s="190" t="n">
        <v>3.6052862396</v>
      </c>
      <c r="BO39" s="190" t="n">
        <v>3.67502192762</v>
      </c>
      <c r="BP39" s="190" t="n">
        <v>3.74475761564</v>
      </c>
      <c r="BQ39" s="190" t="n">
        <v>3.81449330366</v>
      </c>
      <c r="BR39" s="190" t="n">
        <v>3.88422899168</v>
      </c>
      <c r="BS39" s="190" t="n">
        <v>3.9539646797</v>
      </c>
      <c r="BT39" s="190" t="n">
        <v>4.02370036772</v>
      </c>
      <c r="BU39" s="190" t="n">
        <v>4.09343605574</v>
      </c>
      <c r="BV39" s="190" t="n">
        <v>4.16317174376</v>
      </c>
      <c r="BW39" s="190" t="n">
        <v>4.23290743178</v>
      </c>
      <c r="BX39" s="190" t="n">
        <v>4.3026431198</v>
      </c>
      <c r="BY39" s="190" t="n">
        <v>4.37237880782</v>
      </c>
      <c r="BZ39" s="190" t="n">
        <v>4.44211449584</v>
      </c>
      <c r="CA39" s="190" t="n">
        <v>4.51185018386</v>
      </c>
      <c r="CB39" s="190" t="n">
        <v>4.58158587188</v>
      </c>
      <c r="CC39" s="190" t="n">
        <v>4.6513215599</v>
      </c>
      <c r="CD39" s="190" t="n">
        <v>4.72105724792</v>
      </c>
      <c r="CE39" s="190" t="n">
        <v>4.79079293594</v>
      </c>
      <c r="CF39" s="190" t="n">
        <v>4.86052862396</v>
      </c>
      <c r="CG39" s="190" t="n">
        <v>4.93026431198</v>
      </c>
      <c r="CH39" s="190" t="n">
        <v>5</v>
      </c>
      <c r="CI39" s="190" t="n">
        <v>5.06973568801999</v>
      </c>
      <c r="CJ39" s="190" t="n">
        <v>5.13947137603999</v>
      </c>
      <c r="CK39" s="190" t="n">
        <v>5.20920706405999</v>
      </c>
      <c r="CL39" s="190" t="n">
        <v>5.27894275207999</v>
      </c>
      <c r="CM39" s="190" t="n">
        <v>5.34867844009999</v>
      </c>
      <c r="CN39" s="190" t="n">
        <v>5.41841412811999</v>
      </c>
      <c r="CO39" s="190" t="n">
        <v>5.48814981613999</v>
      </c>
      <c r="CP39" s="190" t="n">
        <v>5.55788550415999</v>
      </c>
      <c r="CQ39" s="190" t="n">
        <v>5.62762119217999</v>
      </c>
      <c r="CR39" s="190" t="n">
        <v>5.69735688019999</v>
      </c>
      <c r="CS39" s="190" t="n">
        <v>5.76709256821999</v>
      </c>
      <c r="CT39" s="190" t="n">
        <v>5.83682825623999</v>
      </c>
      <c r="CU39" s="190" t="n">
        <v>5.90656394425999</v>
      </c>
      <c r="CV39" s="190" t="n">
        <v>5.97629963227999</v>
      </c>
      <c r="CW39" s="190" t="n">
        <v>6.04603532029999</v>
      </c>
      <c r="CX39" s="190" t="n">
        <v>6.11577100831999</v>
      </c>
      <c r="CY39" s="190" t="n">
        <v>6.18550669633999</v>
      </c>
      <c r="CZ39" s="190" t="n">
        <v>6.25524238435999</v>
      </c>
      <c r="DA39" s="190" t="n">
        <v>6.32497807237999</v>
      </c>
      <c r="DB39" s="190" t="n">
        <v>6.39471376039999</v>
      </c>
      <c r="DC39" s="190" t="n">
        <v>6.46444944841999</v>
      </c>
      <c r="DD39" s="190" t="n">
        <v>6.53418513643999</v>
      </c>
      <c r="DE39" s="190" t="n">
        <v>6.60392082445999</v>
      </c>
      <c r="DF39" s="190" t="n">
        <v>6.67365651247999</v>
      </c>
      <c r="DG39" s="190" t="n">
        <v>6.74339220049999</v>
      </c>
      <c r="DH39" s="190" t="n">
        <v>6.81312788851999</v>
      </c>
      <c r="DI39" s="190" t="n">
        <v>6.88286357653999</v>
      </c>
      <c r="DJ39" s="190" t="n">
        <v>6.95259926455999</v>
      </c>
      <c r="DK39" s="190" t="n">
        <v>7.02233495257999</v>
      </c>
      <c r="DL39" s="190" t="n">
        <v>7.09207064059999</v>
      </c>
      <c r="DM39" s="190" t="n">
        <v>7.16180632861999</v>
      </c>
      <c r="DN39" s="190" t="n">
        <v>7.23154201663999</v>
      </c>
      <c r="DO39" s="190" t="n">
        <v>7.30127770465999</v>
      </c>
      <c r="DP39" s="190" t="n">
        <v>7.37101339267999</v>
      </c>
      <c r="DQ39" s="190" t="n">
        <v>7.44074908069999</v>
      </c>
      <c r="DR39" s="190" t="n">
        <v>7.51048476871999</v>
      </c>
      <c r="DS39" s="190" t="n">
        <v>7.58022045673999</v>
      </c>
      <c r="DT39" s="190" t="n">
        <v>7.64995614475999</v>
      </c>
      <c r="DU39" s="190" t="n">
        <v>7.71969183277999</v>
      </c>
      <c r="DV39" s="190" t="n">
        <v>7.78942752079998</v>
      </c>
      <c r="DW39" s="190" t="n">
        <v>7.85916320881998</v>
      </c>
      <c r="DX39" s="190" t="n">
        <v>7.92889889683998</v>
      </c>
      <c r="DY39" s="190" t="n">
        <v>7.99863458485998</v>
      </c>
      <c r="DZ39" s="190" t="n">
        <v>8.06837027287998</v>
      </c>
      <c r="EA39" s="190" t="n">
        <v>8.13810596089998</v>
      </c>
      <c r="EB39" s="190" t="n">
        <v>8.20784164891998</v>
      </c>
      <c r="EC39" s="190" t="n">
        <v>8.27757733693998</v>
      </c>
      <c r="ED39" s="190" t="n">
        <v>8.34731302495998</v>
      </c>
      <c r="EE39" s="190" t="n">
        <v>8.41704871297998</v>
      </c>
      <c r="EF39" s="190" t="n">
        <v>8.48678440099998</v>
      </c>
      <c r="EG39" s="190" t="n">
        <v>8.55652008901998</v>
      </c>
      <c r="EH39" s="190" t="n">
        <v>8.62625577703998</v>
      </c>
      <c r="EI39" s="190" t="n">
        <v>8.69599146505998</v>
      </c>
      <c r="EJ39" s="190" t="n">
        <v>8.76572715307998</v>
      </c>
      <c r="EK39" s="190" t="n">
        <v>8.83546284109998</v>
      </c>
      <c r="EL39" s="180" t="n">
        <v>8.90519852911998</v>
      </c>
      <c r="EM39" s="180" t="n">
        <v>8.97493421713998</v>
      </c>
      <c r="EN39" s="180" t="n">
        <v>9.04466990515998</v>
      </c>
      <c r="EO39" s="180" t="n">
        <v>9.11440559317998</v>
      </c>
      <c r="EP39" s="180" t="n">
        <v>9.18414128119998</v>
      </c>
      <c r="EQ39" s="180" t="n">
        <v>9.25387696921998</v>
      </c>
      <c r="ER39" s="180" t="n">
        <v>9.32361265723998</v>
      </c>
      <c r="ES39" s="180" t="n">
        <v>9.39334834525998</v>
      </c>
      <c r="ET39" s="180" t="n">
        <v>9.46308403327998</v>
      </c>
      <c r="EU39" s="180" t="n">
        <v>9.53281972129998</v>
      </c>
      <c r="EV39" s="180" t="n">
        <v>9.60255540931998</v>
      </c>
      <c r="EW39" s="180" t="n">
        <v>9.67229109733998</v>
      </c>
      <c r="EX39" s="180" t="n">
        <v>9.74202678535998</v>
      </c>
      <c r="EY39" s="180" t="n">
        <v>9.81176247337998</v>
      </c>
      <c r="EZ39" s="180" t="n">
        <v>9.88149816139998</v>
      </c>
      <c r="FA39" s="180" t="n">
        <v>9.95123384941998</v>
      </c>
      <c r="FB39" s="180" t="n">
        <v>10.02096953744</v>
      </c>
      <c r="FC39" s="180" t="n">
        <v>10.09070522546</v>
      </c>
      <c r="FD39" s="180" t="n">
        <v>10.16044091348</v>
      </c>
      <c r="FE39" s="180" t="n">
        <v>10.2301766015</v>
      </c>
      <c r="FF39" s="180" t="n">
        <v>10.29991228952</v>
      </c>
      <c r="FG39" s="180" t="n">
        <v>10.36964797754</v>
      </c>
      <c r="FH39" s="180" t="n">
        <v>10.43938366556</v>
      </c>
      <c r="FI39" s="180" t="n">
        <v>10.50911935358</v>
      </c>
      <c r="FJ39" s="180" t="n">
        <v>10.5788550416</v>
      </c>
      <c r="FK39" s="180" t="n">
        <v>10.64859072962</v>
      </c>
      <c r="FL39" s="180" t="n">
        <v>10.71832641764</v>
      </c>
      <c r="FM39" s="180" t="n">
        <v>10.78806210566</v>
      </c>
      <c r="FN39" s="180" t="n">
        <v>10.85779779368</v>
      </c>
      <c r="FO39" s="180" t="n">
        <v>10.9275334817</v>
      </c>
      <c r="FP39" s="180" t="n">
        <v>10.99726916972</v>
      </c>
      <c r="FQ39" s="180" t="n">
        <v>11.06700485774</v>
      </c>
      <c r="FR39" s="180" t="n">
        <v>11.13674054576</v>
      </c>
      <c r="FS39" s="180" t="n">
        <v>11.20647623378</v>
      </c>
      <c r="FT39" s="180" t="n">
        <v>11.2762119218</v>
      </c>
      <c r="FU39" s="180" t="n">
        <v>11.34594760982</v>
      </c>
      <c r="FV39" s="180" t="n">
        <v>11.41568329784</v>
      </c>
      <c r="FW39" s="180" t="n">
        <v>11.48541898586</v>
      </c>
      <c r="FX39" s="180" t="n">
        <v>11.55515467388</v>
      </c>
      <c r="FY39" s="180" t="n">
        <v>11.6248903619</v>
      </c>
      <c r="FZ39" s="180" t="n">
        <v>11.69462604992</v>
      </c>
      <c r="GA39" s="180" t="n">
        <v>11.76436173794</v>
      </c>
      <c r="GB39" s="180" t="n">
        <v>11.83409742596</v>
      </c>
      <c r="GC39" s="180" t="n">
        <v>11.90383311398</v>
      </c>
      <c r="GD39" s="180" t="n">
        <v>11.973568802</v>
      </c>
      <c r="GE39" s="180" t="n">
        <v>12.04330449002</v>
      </c>
      <c r="GF39" s="180" t="n">
        <v>12.11304017804</v>
      </c>
      <c r="GG39" s="180" t="n">
        <v>12.18277586606</v>
      </c>
      <c r="GH39" s="180" t="n">
        <v>12.25251155408</v>
      </c>
      <c r="GI39" s="180" t="n">
        <v>12.3222472421</v>
      </c>
      <c r="GJ39" s="180" t="n">
        <v>12.39198293012</v>
      </c>
      <c r="GK39" s="180" t="n">
        <v>12.46171861814</v>
      </c>
      <c r="GL39" s="180" t="n">
        <v>12.53145430616</v>
      </c>
      <c r="GM39" s="180" t="n">
        <v>12.60118999418</v>
      </c>
      <c r="GN39" s="180" t="n">
        <v>12.6709256822</v>
      </c>
      <c r="GO39" s="180" t="n">
        <v>12.74066137022</v>
      </c>
      <c r="GP39" s="180" t="n">
        <v>12.81039705824</v>
      </c>
      <c r="GQ39" s="180" t="n">
        <v>12.88013274626</v>
      </c>
      <c r="GR39" s="180" t="n">
        <v>12.94986843428</v>
      </c>
      <c r="GS39" s="180" t="n">
        <v>13.0196041223</v>
      </c>
      <c r="GT39" s="180" t="n">
        <v>13.08933981032</v>
      </c>
      <c r="GU39" s="180" t="n">
        <v>13.15907549834</v>
      </c>
      <c r="GV39" s="180" t="n">
        <v>13.22881118636</v>
      </c>
      <c r="GW39" s="180" t="n">
        <v>13.29854687438</v>
      </c>
      <c r="GX39" s="180" t="n">
        <v>13.3682825624</v>
      </c>
      <c r="GY39" s="180" t="n">
        <v>13.43801825042</v>
      </c>
      <c r="GZ39" s="180" t="n">
        <v>13.50775393844</v>
      </c>
      <c r="HA39" s="180" t="n">
        <v>13.57748962646</v>
      </c>
      <c r="HB39" s="180" t="n">
        <v>13.64722531448</v>
      </c>
      <c r="HC39" s="180" t="n">
        <v>13.7169610025</v>
      </c>
      <c r="HD39" s="180" t="n">
        <v>13.78669669052</v>
      </c>
      <c r="HE39" s="180" t="n">
        <v>13.85643237854</v>
      </c>
      <c r="HF39" s="180" t="n">
        <v>13.92616806656</v>
      </c>
      <c r="HG39" s="180" t="n">
        <v>13.99590375458</v>
      </c>
      <c r="HH39" s="180" t="n">
        <v>14.0656394426</v>
      </c>
      <c r="HI39" s="180" t="n">
        <v>14.13537513062</v>
      </c>
      <c r="HJ39" s="180" t="n">
        <v>14.20511081864</v>
      </c>
      <c r="HK39" s="180" t="n">
        <v>14.27484650666</v>
      </c>
      <c r="HL39" s="180" t="n">
        <v>14.34458219468</v>
      </c>
      <c r="HM39" s="180" t="n">
        <v>14.4143178827</v>
      </c>
      <c r="HN39" s="180" t="n">
        <v>14.48405357072</v>
      </c>
      <c r="HO39" s="180" t="n">
        <v>14.55378925874</v>
      </c>
      <c r="HP39" s="180" t="n">
        <v>14.62352494676</v>
      </c>
      <c r="HQ39" s="180" t="n">
        <v>14.69326063478</v>
      </c>
      <c r="HR39" s="180" t="n">
        <v>14.7629963228</v>
      </c>
      <c r="HS39" s="180" t="n">
        <v>14.83273201082</v>
      </c>
      <c r="HT39" s="180" t="n">
        <v>14.90246769884</v>
      </c>
      <c r="HU39" s="180" t="n">
        <v>14.97220338686</v>
      </c>
      <c r="HV39" s="180" t="n">
        <v>15.04193907488</v>
      </c>
      <c r="HW39" s="180" t="n">
        <v>15.1116747629</v>
      </c>
      <c r="HX39" s="180" t="n">
        <v>15.18141045092</v>
      </c>
      <c r="HY39" s="180" t="n">
        <v>15.25114613894</v>
      </c>
      <c r="HZ39" s="180" t="n">
        <v>15.32088182696</v>
      </c>
      <c r="IA39" s="180" t="n">
        <v>15.39061751498</v>
      </c>
      <c r="IB39" s="180" t="n">
        <v>15.460353203</v>
      </c>
      <c r="IC39" s="180" t="n">
        <v>15.53008889102</v>
      </c>
      <c r="ID39" s="180" t="n">
        <v>15.59982457904</v>
      </c>
      <c r="IE39" s="180" t="n">
        <v>15.66956026706</v>
      </c>
      <c r="IF39" s="180" t="n">
        <v>15.73929595508</v>
      </c>
      <c r="IG39" s="180" t="n">
        <v>15.8090316431</v>
      </c>
      <c r="IH39" s="180" t="n">
        <v>15.87876733112</v>
      </c>
      <c r="II39" s="180" t="n">
        <v>15.94850301914</v>
      </c>
      <c r="IJ39" s="180" t="n">
        <v>16.01823870716</v>
      </c>
      <c r="IK39" s="180" t="n">
        <v>16.08797439518</v>
      </c>
      <c r="IL39" s="180" t="n">
        <v>16.1577100832</v>
      </c>
      <c r="IM39" s="180" t="n">
        <v>16.22744577122</v>
      </c>
      <c r="IN39" s="180" t="n">
        <v>16.29718145924</v>
      </c>
      <c r="IO39" s="180" t="n">
        <v>16.36691714726</v>
      </c>
      <c r="IP39" s="180" t="n">
        <v>16.43665283528</v>
      </c>
      <c r="IQ39" s="180" t="n">
        <v>16.5063885233</v>
      </c>
      <c r="IR39" s="180" t="n">
        <v>16.57612421132</v>
      </c>
      <c r="IS39" s="180" t="n">
        <v>16.64585989934</v>
      </c>
      <c r="IT39" s="180" t="n">
        <v>16.71559558736</v>
      </c>
      <c r="IU39" s="180" t="n">
        <v>16.78533127538</v>
      </c>
      <c r="IV39" s="180" t="n">
        <v>16.8550669634</v>
      </c>
    </row>
    <row r="40" customFormat="false" ht="12.75" hidden="false" customHeight="false" outlineLevel="0" collapsed="false">
      <c r="A40" s="189" t="n">
        <v>37895</v>
      </c>
      <c r="B40" s="185" t="n">
        <v>-2.021005929375</v>
      </c>
      <c r="C40" s="185" t="n">
        <v>-1.9907047400625</v>
      </c>
      <c r="D40" s="185" t="n">
        <v>-1.96040355075</v>
      </c>
      <c r="E40" s="185" t="n">
        <v>-1.9301023614375</v>
      </c>
      <c r="F40" s="185" t="n">
        <v>-1.899801172125</v>
      </c>
      <c r="G40" s="185" t="n">
        <v>-1.8694999828125</v>
      </c>
      <c r="H40" s="185" t="n">
        <v>-1.8391987935</v>
      </c>
      <c r="I40" s="185" t="n">
        <v>-1.8088976041875</v>
      </c>
      <c r="J40" s="185" t="n">
        <v>-1.778596414875</v>
      </c>
      <c r="K40" s="185" t="n">
        <v>-1.7482952255625</v>
      </c>
      <c r="L40" s="185" t="n">
        <v>-1.71799403625</v>
      </c>
      <c r="M40" s="185" t="n">
        <v>-1.6876928469375</v>
      </c>
      <c r="N40" s="185" t="n">
        <v>-1.657391657625</v>
      </c>
      <c r="O40" s="185" t="n">
        <v>-1.6270904683125</v>
      </c>
      <c r="P40" s="185" t="n">
        <v>-1.596789279</v>
      </c>
      <c r="Q40" s="185" t="n">
        <v>-1.5664880896875</v>
      </c>
      <c r="R40" s="185" t="n">
        <v>-1.536186900375</v>
      </c>
      <c r="S40" s="185" t="n">
        <v>-1.5058857110625</v>
      </c>
      <c r="T40" s="185" t="n">
        <v>-1.47558452175</v>
      </c>
      <c r="U40" s="185" t="n">
        <v>-1.4452833324375</v>
      </c>
      <c r="V40" s="186" t="n">
        <v>-1.414982143125</v>
      </c>
      <c r="W40" s="185" t="n">
        <v>-1.3846809538125</v>
      </c>
      <c r="X40" s="186" t="n">
        <v>-1.3543797645</v>
      </c>
      <c r="Y40" s="185" t="n">
        <v>-1.3240785751875</v>
      </c>
      <c r="Z40" s="186" t="n">
        <v>-1.293777385875</v>
      </c>
      <c r="AA40" s="185" t="n">
        <v>-1.2634761965625</v>
      </c>
      <c r="AB40" s="187" t="n">
        <v>-1.23317500725</v>
      </c>
      <c r="AC40" s="185" t="n">
        <v>-1.2028738179375</v>
      </c>
      <c r="AD40" s="187" t="n">
        <v>-1.172572628625</v>
      </c>
      <c r="AE40" s="185" t="n">
        <v>-1.1422714393125</v>
      </c>
      <c r="AF40" s="185" t="n">
        <v>-1.11197025</v>
      </c>
      <c r="AG40" s="190" t="n">
        <v>-1.083235125</v>
      </c>
      <c r="AH40" s="190" t="n">
        <v>-1.0545</v>
      </c>
      <c r="AI40" s="190" t="n">
        <v>-1.02725</v>
      </c>
      <c r="AJ40" s="190" t="n">
        <v>-1</v>
      </c>
      <c r="AK40" s="190" t="n">
        <v>-0.8</v>
      </c>
      <c r="AL40" s="190" t="n">
        <v>-0.6</v>
      </c>
      <c r="AM40" s="190" t="n">
        <v>-0.4</v>
      </c>
      <c r="AN40" s="190" t="n">
        <v>-0.2</v>
      </c>
      <c r="AO40" s="190" t="n">
        <v>0</v>
      </c>
      <c r="AP40" s="190" t="n">
        <v>0.2</v>
      </c>
      <c r="AQ40" s="190" t="n">
        <v>0.4</v>
      </c>
      <c r="AR40" s="190" t="n">
        <v>0.6</v>
      </c>
      <c r="AS40" s="190" t="n">
        <v>0.8</v>
      </c>
      <c r="AT40" s="190" t="n">
        <v>1</v>
      </c>
      <c r="AU40" s="190" t="n">
        <v>1.2</v>
      </c>
      <c r="AV40" s="190" t="n">
        <v>1.4</v>
      </c>
      <c r="AW40" s="190" t="n">
        <v>1.58</v>
      </c>
      <c r="AX40" s="190" t="n">
        <v>1.76</v>
      </c>
      <c r="AY40" s="190" t="n">
        <v>1.922</v>
      </c>
      <c r="AZ40" s="190" t="n">
        <v>2.084</v>
      </c>
      <c r="BA40" s="190" t="n">
        <v>2.2298</v>
      </c>
      <c r="BB40" s="190" t="n">
        <v>2.3756</v>
      </c>
      <c r="BC40" s="190" t="n">
        <v>2.50682</v>
      </c>
      <c r="BD40" s="190" t="n">
        <v>2.63804</v>
      </c>
      <c r="BE40" s="190" t="n">
        <v>2.756138</v>
      </c>
      <c r="BF40" s="190" t="n">
        <v>2.874236</v>
      </c>
      <c r="BG40" s="190" t="n">
        <v>2.9805242</v>
      </c>
      <c r="BH40" s="190" t="n">
        <v>3.0868124</v>
      </c>
      <c r="BI40" s="190" t="n">
        <v>3.18247178</v>
      </c>
      <c r="BJ40" s="190" t="n">
        <v>3.27813116</v>
      </c>
      <c r="BK40" s="190" t="n">
        <v>3.364224602</v>
      </c>
      <c r="BL40" s="190" t="n">
        <v>3.450318044</v>
      </c>
      <c r="BM40" s="190" t="n">
        <v>3.5278021418</v>
      </c>
      <c r="BN40" s="190" t="n">
        <v>3.6052862396</v>
      </c>
      <c r="BO40" s="190" t="n">
        <v>3.67502192762</v>
      </c>
      <c r="BP40" s="190" t="n">
        <v>3.74475761564</v>
      </c>
      <c r="BQ40" s="190" t="n">
        <v>3.81449330366</v>
      </c>
      <c r="BR40" s="190" t="n">
        <v>3.88422899168</v>
      </c>
      <c r="BS40" s="190" t="n">
        <v>3.9539646797</v>
      </c>
      <c r="BT40" s="190" t="n">
        <v>4.02370036772</v>
      </c>
      <c r="BU40" s="190" t="n">
        <v>4.09343605574</v>
      </c>
      <c r="BV40" s="190" t="n">
        <v>4.16317174376</v>
      </c>
      <c r="BW40" s="190" t="n">
        <v>4.23290743178</v>
      </c>
      <c r="BX40" s="190" t="n">
        <v>4.3026431198</v>
      </c>
      <c r="BY40" s="190" t="n">
        <v>4.37237880782</v>
      </c>
      <c r="BZ40" s="190" t="n">
        <v>4.44211449584</v>
      </c>
      <c r="CA40" s="190" t="n">
        <v>4.51185018386</v>
      </c>
      <c r="CB40" s="190" t="n">
        <v>4.58158587188</v>
      </c>
      <c r="CC40" s="190" t="n">
        <v>4.6513215599</v>
      </c>
      <c r="CD40" s="190" t="n">
        <v>4.72105724792</v>
      </c>
      <c r="CE40" s="190" t="n">
        <v>4.79079293594</v>
      </c>
      <c r="CF40" s="190" t="n">
        <v>4.86052862396</v>
      </c>
      <c r="CG40" s="190" t="n">
        <v>4.93026431198</v>
      </c>
      <c r="CH40" s="190" t="n">
        <v>5</v>
      </c>
      <c r="CI40" s="190" t="n">
        <v>5.06973568801999</v>
      </c>
      <c r="CJ40" s="190" t="n">
        <v>5.13947137603999</v>
      </c>
      <c r="CK40" s="190" t="n">
        <v>5.20920706405999</v>
      </c>
      <c r="CL40" s="190" t="n">
        <v>5.27894275207999</v>
      </c>
      <c r="CM40" s="190" t="n">
        <v>5.34867844009999</v>
      </c>
      <c r="CN40" s="190" t="n">
        <v>5.41841412811999</v>
      </c>
      <c r="CO40" s="190" t="n">
        <v>5.48814981613999</v>
      </c>
      <c r="CP40" s="190" t="n">
        <v>5.55788550415999</v>
      </c>
      <c r="CQ40" s="190" t="n">
        <v>5.62762119217999</v>
      </c>
      <c r="CR40" s="190" t="n">
        <v>5.69735688019999</v>
      </c>
      <c r="CS40" s="190" t="n">
        <v>5.76709256821999</v>
      </c>
      <c r="CT40" s="190" t="n">
        <v>5.83682825623999</v>
      </c>
      <c r="CU40" s="190" t="n">
        <v>5.90656394425999</v>
      </c>
      <c r="CV40" s="190" t="n">
        <v>5.97629963227999</v>
      </c>
      <c r="CW40" s="190" t="n">
        <v>6.04603532029999</v>
      </c>
      <c r="CX40" s="190" t="n">
        <v>6.11577100831999</v>
      </c>
      <c r="CY40" s="190" t="n">
        <v>6.18550669633999</v>
      </c>
      <c r="CZ40" s="190" t="n">
        <v>6.25524238435999</v>
      </c>
      <c r="DA40" s="190" t="n">
        <v>6.32497807237999</v>
      </c>
      <c r="DB40" s="190" t="n">
        <v>6.39471376039999</v>
      </c>
      <c r="DC40" s="190" t="n">
        <v>6.46444944841999</v>
      </c>
      <c r="DD40" s="190" t="n">
        <v>6.53418513643999</v>
      </c>
      <c r="DE40" s="190" t="n">
        <v>6.60392082445999</v>
      </c>
      <c r="DF40" s="190" t="n">
        <v>6.67365651247999</v>
      </c>
      <c r="DG40" s="190" t="n">
        <v>6.74339220049999</v>
      </c>
      <c r="DH40" s="190" t="n">
        <v>6.81312788851999</v>
      </c>
      <c r="DI40" s="190" t="n">
        <v>6.88286357653999</v>
      </c>
      <c r="DJ40" s="190" t="n">
        <v>6.95259926455999</v>
      </c>
      <c r="DK40" s="190" t="n">
        <v>7.02233495257999</v>
      </c>
      <c r="DL40" s="190" t="n">
        <v>7.09207064059999</v>
      </c>
      <c r="DM40" s="190" t="n">
        <v>7.16180632861999</v>
      </c>
      <c r="DN40" s="190" t="n">
        <v>7.23154201663999</v>
      </c>
      <c r="DO40" s="190" t="n">
        <v>7.30127770465999</v>
      </c>
      <c r="DP40" s="190" t="n">
        <v>7.37101339267999</v>
      </c>
      <c r="DQ40" s="190" t="n">
        <v>7.44074908069999</v>
      </c>
      <c r="DR40" s="190" t="n">
        <v>7.51048476871999</v>
      </c>
      <c r="DS40" s="190" t="n">
        <v>7.58022045673999</v>
      </c>
      <c r="DT40" s="190" t="n">
        <v>7.64995614475999</v>
      </c>
      <c r="DU40" s="190" t="n">
        <v>7.71969183277999</v>
      </c>
      <c r="DV40" s="190" t="n">
        <v>7.78942752079998</v>
      </c>
      <c r="DW40" s="190" t="n">
        <v>7.85916320881998</v>
      </c>
      <c r="DX40" s="190" t="n">
        <v>7.92889889683998</v>
      </c>
      <c r="DY40" s="190" t="n">
        <v>7.99863458485998</v>
      </c>
      <c r="DZ40" s="190" t="n">
        <v>8.06837027287998</v>
      </c>
      <c r="EA40" s="190" t="n">
        <v>8.13810596089998</v>
      </c>
      <c r="EB40" s="190" t="n">
        <v>8.20784164891998</v>
      </c>
      <c r="EC40" s="190" t="n">
        <v>8.27757733693998</v>
      </c>
      <c r="ED40" s="190" t="n">
        <v>8.34731302495998</v>
      </c>
      <c r="EE40" s="190" t="n">
        <v>8.41704871297998</v>
      </c>
      <c r="EF40" s="190" t="n">
        <v>8.48678440099998</v>
      </c>
      <c r="EG40" s="190" t="n">
        <v>8.55652008901998</v>
      </c>
      <c r="EH40" s="190" t="n">
        <v>8.62625577703998</v>
      </c>
      <c r="EI40" s="190" t="n">
        <v>8.69599146505998</v>
      </c>
      <c r="EJ40" s="190" t="n">
        <v>8.76572715307998</v>
      </c>
      <c r="EK40" s="190" t="n">
        <v>8.83546284109998</v>
      </c>
      <c r="EL40" s="180" t="n">
        <v>8.90519852911998</v>
      </c>
      <c r="EM40" s="180" t="n">
        <v>8.97493421713998</v>
      </c>
      <c r="EN40" s="180" t="n">
        <v>9.04466990515998</v>
      </c>
      <c r="EO40" s="180" t="n">
        <v>9.11440559317998</v>
      </c>
      <c r="EP40" s="180" t="n">
        <v>9.18414128119998</v>
      </c>
      <c r="EQ40" s="180" t="n">
        <v>9.25387696921998</v>
      </c>
      <c r="ER40" s="180" t="n">
        <v>9.32361265723998</v>
      </c>
      <c r="ES40" s="180" t="n">
        <v>9.39334834525998</v>
      </c>
      <c r="ET40" s="180" t="n">
        <v>9.46308403327998</v>
      </c>
      <c r="EU40" s="180" t="n">
        <v>9.53281972129998</v>
      </c>
      <c r="EV40" s="180" t="n">
        <v>9.60255540931998</v>
      </c>
      <c r="EW40" s="180" t="n">
        <v>9.67229109733998</v>
      </c>
      <c r="EX40" s="180" t="n">
        <v>9.74202678535998</v>
      </c>
      <c r="EY40" s="180" t="n">
        <v>9.81176247337998</v>
      </c>
      <c r="EZ40" s="180" t="n">
        <v>9.88149816139998</v>
      </c>
      <c r="FA40" s="180" t="n">
        <v>9.95123384941998</v>
      </c>
      <c r="FB40" s="180" t="n">
        <v>10.02096953744</v>
      </c>
      <c r="FC40" s="180" t="n">
        <v>10.09070522546</v>
      </c>
      <c r="FD40" s="180" t="n">
        <v>10.16044091348</v>
      </c>
      <c r="FE40" s="180" t="n">
        <v>10.2301766015</v>
      </c>
      <c r="FF40" s="180" t="n">
        <v>10.29991228952</v>
      </c>
      <c r="FG40" s="180" t="n">
        <v>10.36964797754</v>
      </c>
      <c r="FH40" s="180" t="n">
        <v>10.43938366556</v>
      </c>
      <c r="FI40" s="180" t="n">
        <v>10.50911935358</v>
      </c>
      <c r="FJ40" s="180" t="n">
        <v>10.5788550416</v>
      </c>
      <c r="FK40" s="180" t="n">
        <v>10.64859072962</v>
      </c>
      <c r="FL40" s="180" t="n">
        <v>10.71832641764</v>
      </c>
      <c r="FM40" s="180" t="n">
        <v>10.78806210566</v>
      </c>
      <c r="FN40" s="180" t="n">
        <v>10.85779779368</v>
      </c>
      <c r="FO40" s="180" t="n">
        <v>10.9275334817</v>
      </c>
      <c r="FP40" s="180" t="n">
        <v>10.99726916972</v>
      </c>
      <c r="FQ40" s="180" t="n">
        <v>11.06700485774</v>
      </c>
      <c r="FR40" s="180" t="n">
        <v>11.13674054576</v>
      </c>
      <c r="FS40" s="180" t="n">
        <v>11.20647623378</v>
      </c>
      <c r="FT40" s="180" t="n">
        <v>11.2762119218</v>
      </c>
      <c r="FU40" s="180" t="n">
        <v>11.34594760982</v>
      </c>
      <c r="FV40" s="180" t="n">
        <v>11.41568329784</v>
      </c>
      <c r="FW40" s="180" t="n">
        <v>11.48541898586</v>
      </c>
      <c r="FX40" s="180" t="n">
        <v>11.55515467388</v>
      </c>
      <c r="FY40" s="180" t="n">
        <v>11.6248903619</v>
      </c>
      <c r="FZ40" s="180" t="n">
        <v>11.69462604992</v>
      </c>
      <c r="GA40" s="180" t="n">
        <v>11.76436173794</v>
      </c>
      <c r="GB40" s="180" t="n">
        <v>11.83409742596</v>
      </c>
      <c r="GC40" s="180" t="n">
        <v>11.90383311398</v>
      </c>
      <c r="GD40" s="180" t="n">
        <v>11.973568802</v>
      </c>
      <c r="GE40" s="180" t="n">
        <v>12.04330449002</v>
      </c>
      <c r="GF40" s="180" t="n">
        <v>12.11304017804</v>
      </c>
      <c r="GG40" s="180" t="n">
        <v>12.18277586606</v>
      </c>
      <c r="GH40" s="180" t="n">
        <v>12.25251155408</v>
      </c>
      <c r="GI40" s="180" t="n">
        <v>12.3222472421</v>
      </c>
      <c r="GJ40" s="180" t="n">
        <v>12.39198293012</v>
      </c>
      <c r="GK40" s="180" t="n">
        <v>12.46171861814</v>
      </c>
      <c r="GL40" s="180" t="n">
        <v>12.53145430616</v>
      </c>
      <c r="GM40" s="180" t="n">
        <v>12.60118999418</v>
      </c>
      <c r="GN40" s="180" t="n">
        <v>12.6709256822</v>
      </c>
      <c r="GO40" s="180" t="n">
        <v>12.74066137022</v>
      </c>
      <c r="GP40" s="180" t="n">
        <v>12.81039705824</v>
      </c>
      <c r="GQ40" s="180" t="n">
        <v>12.88013274626</v>
      </c>
      <c r="GR40" s="180" t="n">
        <v>12.94986843428</v>
      </c>
      <c r="GS40" s="180" t="n">
        <v>13.0196041223</v>
      </c>
      <c r="GT40" s="180" t="n">
        <v>13.08933981032</v>
      </c>
      <c r="GU40" s="180" t="n">
        <v>13.15907549834</v>
      </c>
      <c r="GV40" s="180" t="n">
        <v>13.22881118636</v>
      </c>
      <c r="GW40" s="180" t="n">
        <v>13.29854687438</v>
      </c>
      <c r="GX40" s="180" t="n">
        <v>13.3682825624</v>
      </c>
      <c r="GY40" s="180" t="n">
        <v>13.43801825042</v>
      </c>
      <c r="GZ40" s="180" t="n">
        <v>13.50775393844</v>
      </c>
      <c r="HA40" s="180" t="n">
        <v>13.57748962646</v>
      </c>
      <c r="HB40" s="180" t="n">
        <v>13.64722531448</v>
      </c>
      <c r="HC40" s="180" t="n">
        <v>13.7169610025</v>
      </c>
      <c r="HD40" s="180" t="n">
        <v>13.78669669052</v>
      </c>
      <c r="HE40" s="180" t="n">
        <v>13.85643237854</v>
      </c>
      <c r="HF40" s="180" t="n">
        <v>13.92616806656</v>
      </c>
      <c r="HG40" s="180" t="n">
        <v>13.99590375458</v>
      </c>
      <c r="HH40" s="180" t="n">
        <v>14.0656394426</v>
      </c>
      <c r="HI40" s="180" t="n">
        <v>14.13537513062</v>
      </c>
      <c r="HJ40" s="180" t="n">
        <v>14.20511081864</v>
      </c>
      <c r="HK40" s="180" t="n">
        <v>14.27484650666</v>
      </c>
      <c r="HL40" s="180" t="n">
        <v>14.34458219468</v>
      </c>
      <c r="HM40" s="180" t="n">
        <v>14.4143178827</v>
      </c>
      <c r="HN40" s="180" t="n">
        <v>14.48405357072</v>
      </c>
      <c r="HO40" s="180" t="n">
        <v>14.55378925874</v>
      </c>
      <c r="HP40" s="180" t="n">
        <v>14.62352494676</v>
      </c>
      <c r="HQ40" s="180" t="n">
        <v>14.69326063478</v>
      </c>
      <c r="HR40" s="180" t="n">
        <v>14.7629963228</v>
      </c>
      <c r="HS40" s="180" t="n">
        <v>14.83273201082</v>
      </c>
      <c r="HT40" s="180" t="n">
        <v>14.90246769884</v>
      </c>
      <c r="HU40" s="180" t="n">
        <v>14.97220338686</v>
      </c>
      <c r="HV40" s="180" t="n">
        <v>15.04193907488</v>
      </c>
      <c r="HW40" s="180" t="n">
        <v>15.1116747629</v>
      </c>
      <c r="HX40" s="180" t="n">
        <v>15.18141045092</v>
      </c>
      <c r="HY40" s="180" t="n">
        <v>15.25114613894</v>
      </c>
      <c r="HZ40" s="180" t="n">
        <v>15.32088182696</v>
      </c>
      <c r="IA40" s="180" t="n">
        <v>15.39061751498</v>
      </c>
      <c r="IB40" s="180" t="n">
        <v>15.460353203</v>
      </c>
      <c r="IC40" s="180" t="n">
        <v>15.53008889102</v>
      </c>
      <c r="ID40" s="180" t="n">
        <v>15.59982457904</v>
      </c>
      <c r="IE40" s="180" t="n">
        <v>15.66956026706</v>
      </c>
      <c r="IF40" s="180" t="n">
        <v>15.73929595508</v>
      </c>
      <c r="IG40" s="180" t="n">
        <v>15.8090316431</v>
      </c>
      <c r="IH40" s="180" t="n">
        <v>15.87876733112</v>
      </c>
      <c r="II40" s="180" t="n">
        <v>15.94850301914</v>
      </c>
      <c r="IJ40" s="180" t="n">
        <v>16.01823870716</v>
      </c>
      <c r="IK40" s="180" t="n">
        <v>16.08797439518</v>
      </c>
      <c r="IL40" s="180" t="n">
        <v>16.1577100832</v>
      </c>
      <c r="IM40" s="180" t="n">
        <v>16.22744577122</v>
      </c>
      <c r="IN40" s="180" t="n">
        <v>16.29718145924</v>
      </c>
      <c r="IO40" s="180" t="n">
        <v>16.36691714726</v>
      </c>
      <c r="IP40" s="180" t="n">
        <v>16.43665283528</v>
      </c>
      <c r="IQ40" s="180" t="n">
        <v>16.5063885233</v>
      </c>
      <c r="IR40" s="180" t="n">
        <v>16.57612421132</v>
      </c>
      <c r="IS40" s="180" t="n">
        <v>16.64585989934</v>
      </c>
      <c r="IT40" s="180" t="n">
        <v>16.71559558736</v>
      </c>
      <c r="IU40" s="180" t="n">
        <v>16.78533127538</v>
      </c>
      <c r="IV40" s="180" t="n">
        <v>16.8550669634</v>
      </c>
    </row>
    <row r="41" customFormat="false" ht="12.75" hidden="false" customHeight="false" outlineLevel="0" collapsed="false">
      <c r="A41" s="189" t="n">
        <v>37926</v>
      </c>
      <c r="B41" s="185" t="n">
        <v>-2.021005929375</v>
      </c>
      <c r="C41" s="185" t="n">
        <v>-1.9907047400625</v>
      </c>
      <c r="D41" s="185" t="n">
        <v>-1.96040355075</v>
      </c>
      <c r="E41" s="185" t="n">
        <v>-1.9301023614375</v>
      </c>
      <c r="F41" s="185" t="n">
        <v>-1.899801172125</v>
      </c>
      <c r="G41" s="185" t="n">
        <v>-1.8694999828125</v>
      </c>
      <c r="H41" s="185" t="n">
        <v>-1.8391987935</v>
      </c>
      <c r="I41" s="185" t="n">
        <v>-1.8088976041875</v>
      </c>
      <c r="J41" s="185" t="n">
        <v>-1.778596414875</v>
      </c>
      <c r="K41" s="185" t="n">
        <v>-1.7482952255625</v>
      </c>
      <c r="L41" s="185" t="n">
        <v>-1.71799403625</v>
      </c>
      <c r="M41" s="185" t="n">
        <v>-1.6876928469375</v>
      </c>
      <c r="N41" s="185" t="n">
        <v>-1.657391657625</v>
      </c>
      <c r="O41" s="185" t="n">
        <v>-1.6270904683125</v>
      </c>
      <c r="P41" s="185" t="n">
        <v>-1.596789279</v>
      </c>
      <c r="Q41" s="185" t="n">
        <v>-1.5664880896875</v>
      </c>
      <c r="R41" s="185" t="n">
        <v>-1.536186900375</v>
      </c>
      <c r="S41" s="185" t="n">
        <v>-1.5058857110625</v>
      </c>
      <c r="T41" s="185" t="n">
        <v>-1.47558452175</v>
      </c>
      <c r="U41" s="185" t="n">
        <v>-1.4452833324375</v>
      </c>
      <c r="V41" s="186" t="n">
        <v>-1.414982143125</v>
      </c>
      <c r="W41" s="185" t="n">
        <v>-1.3846809538125</v>
      </c>
      <c r="X41" s="186" t="n">
        <v>-1.3543797645</v>
      </c>
      <c r="Y41" s="185" t="n">
        <v>-1.3240785751875</v>
      </c>
      <c r="Z41" s="186" t="n">
        <v>-1.293777385875</v>
      </c>
      <c r="AA41" s="185" t="n">
        <v>-1.2634761965625</v>
      </c>
      <c r="AB41" s="187" t="n">
        <v>-1.23317500725</v>
      </c>
      <c r="AC41" s="185" t="n">
        <v>-1.2028738179375</v>
      </c>
      <c r="AD41" s="187" t="n">
        <v>-1.172572628625</v>
      </c>
      <c r="AE41" s="185" t="n">
        <v>-1.1422714393125</v>
      </c>
      <c r="AF41" s="185" t="n">
        <v>-1.11197025</v>
      </c>
      <c r="AG41" s="190" t="n">
        <v>-1.083235125</v>
      </c>
      <c r="AH41" s="190" t="n">
        <v>-1.0545</v>
      </c>
      <c r="AI41" s="190" t="n">
        <v>-1.02725</v>
      </c>
      <c r="AJ41" s="190" t="n">
        <v>-1</v>
      </c>
      <c r="AK41" s="190" t="n">
        <v>-0.8</v>
      </c>
      <c r="AL41" s="190" t="n">
        <v>-0.6</v>
      </c>
      <c r="AM41" s="190" t="n">
        <v>-0.4</v>
      </c>
      <c r="AN41" s="190" t="n">
        <v>-0.2</v>
      </c>
      <c r="AO41" s="190" t="n">
        <v>0</v>
      </c>
      <c r="AP41" s="190" t="n">
        <v>0.2</v>
      </c>
      <c r="AQ41" s="190" t="n">
        <v>0.4</v>
      </c>
      <c r="AR41" s="190" t="n">
        <v>0.6</v>
      </c>
      <c r="AS41" s="190" t="n">
        <v>0.8</v>
      </c>
      <c r="AT41" s="190" t="n">
        <v>1</v>
      </c>
      <c r="AU41" s="190" t="n">
        <v>1.2</v>
      </c>
      <c r="AV41" s="190" t="n">
        <v>1.4</v>
      </c>
      <c r="AW41" s="190" t="n">
        <v>1.58</v>
      </c>
      <c r="AX41" s="190" t="n">
        <v>1.76</v>
      </c>
      <c r="AY41" s="190" t="n">
        <v>1.922</v>
      </c>
      <c r="AZ41" s="190" t="n">
        <v>2.084</v>
      </c>
      <c r="BA41" s="190" t="n">
        <v>2.2298</v>
      </c>
      <c r="BB41" s="190" t="n">
        <v>2.3756</v>
      </c>
      <c r="BC41" s="190" t="n">
        <v>2.50682</v>
      </c>
      <c r="BD41" s="190" t="n">
        <v>2.63804</v>
      </c>
      <c r="BE41" s="190" t="n">
        <v>2.756138</v>
      </c>
      <c r="BF41" s="190" t="n">
        <v>2.874236</v>
      </c>
      <c r="BG41" s="190" t="n">
        <v>2.9805242</v>
      </c>
      <c r="BH41" s="190" t="n">
        <v>3.0868124</v>
      </c>
      <c r="BI41" s="190" t="n">
        <v>3.18247178</v>
      </c>
      <c r="BJ41" s="190" t="n">
        <v>3.27813116</v>
      </c>
      <c r="BK41" s="190" t="n">
        <v>3.364224602</v>
      </c>
      <c r="BL41" s="190" t="n">
        <v>3.450318044</v>
      </c>
      <c r="BM41" s="190" t="n">
        <v>3.5278021418</v>
      </c>
      <c r="BN41" s="190" t="n">
        <v>3.6052862396</v>
      </c>
      <c r="BO41" s="190" t="n">
        <v>3.67502192762</v>
      </c>
      <c r="BP41" s="190" t="n">
        <v>3.74475761564</v>
      </c>
      <c r="BQ41" s="190" t="n">
        <v>3.81449330366</v>
      </c>
      <c r="BR41" s="190" t="n">
        <v>3.88422899168</v>
      </c>
      <c r="BS41" s="190" t="n">
        <v>3.9539646797</v>
      </c>
      <c r="BT41" s="190" t="n">
        <v>4.02370036772</v>
      </c>
      <c r="BU41" s="190" t="n">
        <v>4.09343605574</v>
      </c>
      <c r="BV41" s="190" t="n">
        <v>4.16317174376</v>
      </c>
      <c r="BW41" s="190" t="n">
        <v>4.23290743178</v>
      </c>
      <c r="BX41" s="190" t="n">
        <v>4.3026431198</v>
      </c>
      <c r="BY41" s="190" t="n">
        <v>4.37237880782</v>
      </c>
      <c r="BZ41" s="190" t="n">
        <v>4.44211449584</v>
      </c>
      <c r="CA41" s="190" t="n">
        <v>4.51185018386</v>
      </c>
      <c r="CB41" s="190" t="n">
        <v>4.58158587188</v>
      </c>
      <c r="CC41" s="190" t="n">
        <v>4.6513215599</v>
      </c>
      <c r="CD41" s="190" t="n">
        <v>4.72105724792</v>
      </c>
      <c r="CE41" s="190" t="n">
        <v>4.79079293594</v>
      </c>
      <c r="CF41" s="190" t="n">
        <v>4.86052862396</v>
      </c>
      <c r="CG41" s="190" t="n">
        <v>4.93026431198</v>
      </c>
      <c r="CH41" s="190" t="n">
        <v>5</v>
      </c>
      <c r="CI41" s="190" t="n">
        <v>5.06973568801999</v>
      </c>
      <c r="CJ41" s="190" t="n">
        <v>5.13947137603999</v>
      </c>
      <c r="CK41" s="190" t="n">
        <v>5.20920706405999</v>
      </c>
      <c r="CL41" s="190" t="n">
        <v>5.27894275207999</v>
      </c>
      <c r="CM41" s="190" t="n">
        <v>5.34867844009999</v>
      </c>
      <c r="CN41" s="190" t="n">
        <v>5.41841412811999</v>
      </c>
      <c r="CO41" s="190" t="n">
        <v>5.48814981613999</v>
      </c>
      <c r="CP41" s="190" t="n">
        <v>5.55788550415999</v>
      </c>
      <c r="CQ41" s="190" t="n">
        <v>5.62762119217999</v>
      </c>
      <c r="CR41" s="190" t="n">
        <v>5.69735688019999</v>
      </c>
      <c r="CS41" s="190" t="n">
        <v>5.76709256821999</v>
      </c>
      <c r="CT41" s="190" t="n">
        <v>5.83682825623999</v>
      </c>
      <c r="CU41" s="190" t="n">
        <v>5.90656394425999</v>
      </c>
      <c r="CV41" s="190" t="n">
        <v>5.97629963227999</v>
      </c>
      <c r="CW41" s="190" t="n">
        <v>6.04603532029999</v>
      </c>
      <c r="CX41" s="190" t="n">
        <v>6.11577100831999</v>
      </c>
      <c r="CY41" s="190" t="n">
        <v>6.18550669633999</v>
      </c>
      <c r="CZ41" s="190" t="n">
        <v>6.25524238435999</v>
      </c>
      <c r="DA41" s="190" t="n">
        <v>6.32497807237999</v>
      </c>
      <c r="DB41" s="190" t="n">
        <v>6.39471376039999</v>
      </c>
      <c r="DC41" s="190" t="n">
        <v>6.46444944841999</v>
      </c>
      <c r="DD41" s="190" t="n">
        <v>6.53418513643999</v>
      </c>
      <c r="DE41" s="190" t="n">
        <v>6.60392082445999</v>
      </c>
      <c r="DF41" s="190" t="n">
        <v>6.67365651247999</v>
      </c>
      <c r="DG41" s="190" t="n">
        <v>6.74339220049999</v>
      </c>
      <c r="DH41" s="190" t="n">
        <v>6.81312788851999</v>
      </c>
      <c r="DI41" s="190" t="n">
        <v>6.88286357653999</v>
      </c>
      <c r="DJ41" s="190" t="n">
        <v>6.95259926455999</v>
      </c>
      <c r="DK41" s="190" t="n">
        <v>7.02233495257999</v>
      </c>
      <c r="DL41" s="190" t="n">
        <v>7.09207064059999</v>
      </c>
      <c r="DM41" s="190" t="n">
        <v>7.16180632861999</v>
      </c>
      <c r="DN41" s="190" t="n">
        <v>7.23154201663999</v>
      </c>
      <c r="DO41" s="190" t="n">
        <v>7.30127770465999</v>
      </c>
      <c r="DP41" s="190" t="n">
        <v>7.37101339267999</v>
      </c>
      <c r="DQ41" s="190" t="n">
        <v>7.44074908069999</v>
      </c>
      <c r="DR41" s="190" t="n">
        <v>7.51048476871999</v>
      </c>
      <c r="DS41" s="190" t="n">
        <v>7.58022045673999</v>
      </c>
      <c r="DT41" s="190" t="n">
        <v>7.64995614475999</v>
      </c>
      <c r="DU41" s="190" t="n">
        <v>7.71969183277999</v>
      </c>
      <c r="DV41" s="190" t="n">
        <v>7.78942752079998</v>
      </c>
      <c r="DW41" s="190" t="n">
        <v>7.85916320881998</v>
      </c>
      <c r="DX41" s="190" t="n">
        <v>7.92889889683998</v>
      </c>
      <c r="DY41" s="190" t="n">
        <v>7.99863458485998</v>
      </c>
      <c r="DZ41" s="190" t="n">
        <v>8.06837027287998</v>
      </c>
      <c r="EA41" s="190" t="n">
        <v>8.13810596089998</v>
      </c>
      <c r="EB41" s="190" t="n">
        <v>8.20784164891998</v>
      </c>
      <c r="EC41" s="190" t="n">
        <v>8.27757733693998</v>
      </c>
      <c r="ED41" s="190" t="n">
        <v>8.34731302495998</v>
      </c>
      <c r="EE41" s="190" t="n">
        <v>8.41704871297998</v>
      </c>
      <c r="EF41" s="190" t="n">
        <v>8.48678440099998</v>
      </c>
      <c r="EG41" s="190" t="n">
        <v>8.55652008901998</v>
      </c>
      <c r="EH41" s="190" t="n">
        <v>8.62625577703998</v>
      </c>
      <c r="EI41" s="190" t="n">
        <v>8.69599146505998</v>
      </c>
      <c r="EJ41" s="190" t="n">
        <v>8.76572715307998</v>
      </c>
      <c r="EK41" s="190" t="n">
        <v>8.83546284109998</v>
      </c>
      <c r="EL41" s="180" t="n">
        <v>8.90519852911998</v>
      </c>
      <c r="EM41" s="180" t="n">
        <v>8.97493421713998</v>
      </c>
      <c r="EN41" s="180" t="n">
        <v>9.04466990515998</v>
      </c>
      <c r="EO41" s="180" t="n">
        <v>9.11440559317998</v>
      </c>
      <c r="EP41" s="180" t="n">
        <v>9.18414128119998</v>
      </c>
      <c r="EQ41" s="180" t="n">
        <v>9.25387696921998</v>
      </c>
      <c r="ER41" s="180" t="n">
        <v>9.32361265723998</v>
      </c>
      <c r="ES41" s="180" t="n">
        <v>9.39334834525998</v>
      </c>
      <c r="ET41" s="180" t="n">
        <v>9.46308403327998</v>
      </c>
      <c r="EU41" s="180" t="n">
        <v>9.53281972129998</v>
      </c>
      <c r="EV41" s="180" t="n">
        <v>9.60255540931998</v>
      </c>
      <c r="EW41" s="180" t="n">
        <v>9.67229109733998</v>
      </c>
      <c r="EX41" s="180" t="n">
        <v>9.74202678535998</v>
      </c>
      <c r="EY41" s="180" t="n">
        <v>9.81176247337998</v>
      </c>
      <c r="EZ41" s="180" t="n">
        <v>9.88149816139998</v>
      </c>
      <c r="FA41" s="180" t="n">
        <v>9.95123384941998</v>
      </c>
      <c r="FB41" s="180" t="n">
        <v>10.02096953744</v>
      </c>
      <c r="FC41" s="180" t="n">
        <v>10.09070522546</v>
      </c>
      <c r="FD41" s="180" t="n">
        <v>10.16044091348</v>
      </c>
      <c r="FE41" s="180" t="n">
        <v>10.2301766015</v>
      </c>
      <c r="FF41" s="180" t="n">
        <v>10.29991228952</v>
      </c>
      <c r="FG41" s="180" t="n">
        <v>10.36964797754</v>
      </c>
      <c r="FH41" s="180" t="n">
        <v>10.43938366556</v>
      </c>
      <c r="FI41" s="180" t="n">
        <v>10.50911935358</v>
      </c>
      <c r="FJ41" s="180" t="n">
        <v>10.5788550416</v>
      </c>
      <c r="FK41" s="180" t="n">
        <v>10.64859072962</v>
      </c>
      <c r="FL41" s="180" t="n">
        <v>10.71832641764</v>
      </c>
      <c r="FM41" s="180" t="n">
        <v>10.78806210566</v>
      </c>
      <c r="FN41" s="180" t="n">
        <v>10.85779779368</v>
      </c>
      <c r="FO41" s="180" t="n">
        <v>10.9275334817</v>
      </c>
      <c r="FP41" s="180" t="n">
        <v>10.99726916972</v>
      </c>
      <c r="FQ41" s="180" t="n">
        <v>11.06700485774</v>
      </c>
      <c r="FR41" s="180" t="n">
        <v>11.13674054576</v>
      </c>
      <c r="FS41" s="180" t="n">
        <v>11.20647623378</v>
      </c>
      <c r="FT41" s="180" t="n">
        <v>11.2762119218</v>
      </c>
      <c r="FU41" s="180" t="n">
        <v>11.34594760982</v>
      </c>
      <c r="FV41" s="180" t="n">
        <v>11.41568329784</v>
      </c>
      <c r="FW41" s="180" t="n">
        <v>11.48541898586</v>
      </c>
      <c r="FX41" s="180" t="n">
        <v>11.55515467388</v>
      </c>
      <c r="FY41" s="180" t="n">
        <v>11.6248903619</v>
      </c>
      <c r="FZ41" s="180" t="n">
        <v>11.69462604992</v>
      </c>
      <c r="GA41" s="180" t="n">
        <v>11.76436173794</v>
      </c>
      <c r="GB41" s="180" t="n">
        <v>11.83409742596</v>
      </c>
      <c r="GC41" s="180" t="n">
        <v>11.90383311398</v>
      </c>
      <c r="GD41" s="180" t="n">
        <v>11.973568802</v>
      </c>
      <c r="GE41" s="180" t="n">
        <v>12.04330449002</v>
      </c>
      <c r="GF41" s="180" t="n">
        <v>12.11304017804</v>
      </c>
      <c r="GG41" s="180" t="n">
        <v>12.18277586606</v>
      </c>
      <c r="GH41" s="180" t="n">
        <v>12.25251155408</v>
      </c>
      <c r="GI41" s="180" t="n">
        <v>12.3222472421</v>
      </c>
      <c r="GJ41" s="180" t="n">
        <v>12.39198293012</v>
      </c>
      <c r="GK41" s="180" t="n">
        <v>12.46171861814</v>
      </c>
      <c r="GL41" s="180" t="n">
        <v>12.53145430616</v>
      </c>
      <c r="GM41" s="180" t="n">
        <v>12.60118999418</v>
      </c>
      <c r="GN41" s="180" t="n">
        <v>12.6709256822</v>
      </c>
      <c r="GO41" s="180" t="n">
        <v>12.74066137022</v>
      </c>
      <c r="GP41" s="180" t="n">
        <v>12.81039705824</v>
      </c>
      <c r="GQ41" s="180" t="n">
        <v>12.88013274626</v>
      </c>
      <c r="GR41" s="180" t="n">
        <v>12.94986843428</v>
      </c>
      <c r="GS41" s="180" t="n">
        <v>13.0196041223</v>
      </c>
      <c r="GT41" s="180" t="n">
        <v>13.08933981032</v>
      </c>
      <c r="GU41" s="180" t="n">
        <v>13.15907549834</v>
      </c>
      <c r="GV41" s="180" t="n">
        <v>13.22881118636</v>
      </c>
      <c r="GW41" s="180" t="n">
        <v>13.29854687438</v>
      </c>
      <c r="GX41" s="180" t="n">
        <v>13.3682825624</v>
      </c>
      <c r="GY41" s="180" t="n">
        <v>13.43801825042</v>
      </c>
      <c r="GZ41" s="180" t="n">
        <v>13.50775393844</v>
      </c>
      <c r="HA41" s="180" t="n">
        <v>13.57748962646</v>
      </c>
      <c r="HB41" s="180" t="n">
        <v>13.64722531448</v>
      </c>
      <c r="HC41" s="180" t="n">
        <v>13.7169610025</v>
      </c>
      <c r="HD41" s="180" t="n">
        <v>13.78669669052</v>
      </c>
      <c r="HE41" s="180" t="n">
        <v>13.85643237854</v>
      </c>
      <c r="HF41" s="180" t="n">
        <v>13.92616806656</v>
      </c>
      <c r="HG41" s="180" t="n">
        <v>13.99590375458</v>
      </c>
      <c r="HH41" s="180" t="n">
        <v>14.0656394426</v>
      </c>
      <c r="HI41" s="180" t="n">
        <v>14.13537513062</v>
      </c>
      <c r="HJ41" s="180" t="n">
        <v>14.20511081864</v>
      </c>
      <c r="HK41" s="180" t="n">
        <v>14.27484650666</v>
      </c>
      <c r="HL41" s="180" t="n">
        <v>14.34458219468</v>
      </c>
      <c r="HM41" s="180" t="n">
        <v>14.4143178827</v>
      </c>
      <c r="HN41" s="180" t="n">
        <v>14.48405357072</v>
      </c>
      <c r="HO41" s="180" t="n">
        <v>14.55378925874</v>
      </c>
      <c r="HP41" s="180" t="n">
        <v>14.62352494676</v>
      </c>
      <c r="HQ41" s="180" t="n">
        <v>14.69326063478</v>
      </c>
      <c r="HR41" s="180" t="n">
        <v>14.7629963228</v>
      </c>
      <c r="HS41" s="180" t="n">
        <v>14.83273201082</v>
      </c>
      <c r="HT41" s="180" t="n">
        <v>14.90246769884</v>
      </c>
      <c r="HU41" s="180" t="n">
        <v>14.97220338686</v>
      </c>
      <c r="HV41" s="180" t="n">
        <v>15.04193907488</v>
      </c>
      <c r="HW41" s="180" t="n">
        <v>15.1116747629</v>
      </c>
      <c r="HX41" s="180" t="n">
        <v>15.18141045092</v>
      </c>
      <c r="HY41" s="180" t="n">
        <v>15.25114613894</v>
      </c>
      <c r="HZ41" s="180" t="n">
        <v>15.32088182696</v>
      </c>
      <c r="IA41" s="180" t="n">
        <v>15.39061751498</v>
      </c>
      <c r="IB41" s="180" t="n">
        <v>15.460353203</v>
      </c>
      <c r="IC41" s="180" t="n">
        <v>15.53008889102</v>
      </c>
      <c r="ID41" s="180" t="n">
        <v>15.59982457904</v>
      </c>
      <c r="IE41" s="180" t="n">
        <v>15.66956026706</v>
      </c>
      <c r="IF41" s="180" t="n">
        <v>15.73929595508</v>
      </c>
      <c r="IG41" s="180" t="n">
        <v>15.8090316431</v>
      </c>
      <c r="IH41" s="180" t="n">
        <v>15.87876733112</v>
      </c>
      <c r="II41" s="180" t="n">
        <v>15.94850301914</v>
      </c>
      <c r="IJ41" s="180" t="n">
        <v>16.01823870716</v>
      </c>
      <c r="IK41" s="180" t="n">
        <v>16.08797439518</v>
      </c>
      <c r="IL41" s="180" t="n">
        <v>16.1577100832</v>
      </c>
      <c r="IM41" s="180" t="n">
        <v>16.22744577122</v>
      </c>
      <c r="IN41" s="180" t="n">
        <v>16.29718145924</v>
      </c>
      <c r="IO41" s="180" t="n">
        <v>16.36691714726</v>
      </c>
      <c r="IP41" s="180" t="n">
        <v>16.43665283528</v>
      </c>
      <c r="IQ41" s="180" t="n">
        <v>16.5063885233</v>
      </c>
      <c r="IR41" s="180" t="n">
        <v>16.57612421132</v>
      </c>
      <c r="IS41" s="180" t="n">
        <v>16.64585989934</v>
      </c>
      <c r="IT41" s="180" t="n">
        <v>16.71559558736</v>
      </c>
      <c r="IU41" s="180" t="n">
        <v>16.78533127538</v>
      </c>
      <c r="IV41" s="180" t="n">
        <v>16.8550669634</v>
      </c>
    </row>
    <row r="42" customFormat="false" ht="12.75" hidden="false" customHeight="false" outlineLevel="0" collapsed="false">
      <c r="A42" s="189" t="n">
        <v>37956</v>
      </c>
      <c r="B42" s="185" t="n">
        <v>-2.021005929375</v>
      </c>
      <c r="C42" s="185" t="n">
        <v>-1.9907047400625</v>
      </c>
      <c r="D42" s="185" t="n">
        <v>-1.96040355075</v>
      </c>
      <c r="E42" s="185" t="n">
        <v>-1.9301023614375</v>
      </c>
      <c r="F42" s="185" t="n">
        <v>-1.899801172125</v>
      </c>
      <c r="G42" s="185" t="n">
        <v>-1.8694999828125</v>
      </c>
      <c r="H42" s="185" t="n">
        <v>-1.8391987935</v>
      </c>
      <c r="I42" s="185" t="n">
        <v>-1.8088976041875</v>
      </c>
      <c r="J42" s="185" t="n">
        <v>-1.778596414875</v>
      </c>
      <c r="K42" s="185" t="n">
        <v>-1.7482952255625</v>
      </c>
      <c r="L42" s="185" t="n">
        <v>-1.71799403625</v>
      </c>
      <c r="M42" s="185" t="n">
        <v>-1.6876928469375</v>
      </c>
      <c r="N42" s="185" t="n">
        <v>-1.657391657625</v>
      </c>
      <c r="O42" s="185" t="n">
        <v>-1.6270904683125</v>
      </c>
      <c r="P42" s="185" t="n">
        <v>-1.596789279</v>
      </c>
      <c r="Q42" s="185" t="n">
        <v>-1.5664880896875</v>
      </c>
      <c r="R42" s="185" t="n">
        <v>-1.536186900375</v>
      </c>
      <c r="S42" s="185" t="n">
        <v>-1.5058857110625</v>
      </c>
      <c r="T42" s="185" t="n">
        <v>-1.47558452175</v>
      </c>
      <c r="U42" s="185" t="n">
        <v>-1.4452833324375</v>
      </c>
      <c r="V42" s="186" t="n">
        <v>-1.414982143125</v>
      </c>
      <c r="W42" s="185" t="n">
        <v>-1.3846809538125</v>
      </c>
      <c r="X42" s="186" t="n">
        <v>-1.3543797645</v>
      </c>
      <c r="Y42" s="185" t="n">
        <v>-1.3240785751875</v>
      </c>
      <c r="Z42" s="186" t="n">
        <v>-1.293777385875</v>
      </c>
      <c r="AA42" s="185" t="n">
        <v>-1.2634761965625</v>
      </c>
      <c r="AB42" s="187" t="n">
        <v>-1.23317500725</v>
      </c>
      <c r="AC42" s="185" t="n">
        <v>-1.2028738179375</v>
      </c>
      <c r="AD42" s="187" t="n">
        <v>-1.172572628625</v>
      </c>
      <c r="AE42" s="185" t="n">
        <v>-1.1422714393125</v>
      </c>
      <c r="AF42" s="185" t="n">
        <v>-1.11197025</v>
      </c>
      <c r="AG42" s="190" t="n">
        <v>-1.083235125</v>
      </c>
      <c r="AH42" s="190" t="n">
        <v>-1.0545</v>
      </c>
      <c r="AI42" s="190" t="n">
        <v>-1.02725</v>
      </c>
      <c r="AJ42" s="190" t="n">
        <v>-1</v>
      </c>
      <c r="AK42" s="190" t="n">
        <v>-0.8</v>
      </c>
      <c r="AL42" s="190" t="n">
        <v>-0.6</v>
      </c>
      <c r="AM42" s="190" t="n">
        <v>-0.4</v>
      </c>
      <c r="AN42" s="190" t="n">
        <v>-0.2</v>
      </c>
      <c r="AO42" s="190" t="n">
        <v>0</v>
      </c>
      <c r="AP42" s="190" t="n">
        <v>0.2</v>
      </c>
      <c r="AQ42" s="190" t="n">
        <v>0.4</v>
      </c>
      <c r="AR42" s="190" t="n">
        <v>0.6</v>
      </c>
      <c r="AS42" s="190" t="n">
        <v>0.8</v>
      </c>
      <c r="AT42" s="190" t="n">
        <v>1</v>
      </c>
      <c r="AU42" s="190" t="n">
        <v>1.2</v>
      </c>
      <c r="AV42" s="190" t="n">
        <v>1.4</v>
      </c>
      <c r="AW42" s="190" t="n">
        <v>1.58</v>
      </c>
      <c r="AX42" s="190" t="n">
        <v>1.76</v>
      </c>
      <c r="AY42" s="190" t="n">
        <v>1.922</v>
      </c>
      <c r="AZ42" s="190" t="n">
        <v>2.084</v>
      </c>
      <c r="BA42" s="190" t="n">
        <v>2.2298</v>
      </c>
      <c r="BB42" s="190" t="n">
        <v>2.3756</v>
      </c>
      <c r="BC42" s="190" t="n">
        <v>2.50682</v>
      </c>
      <c r="BD42" s="190" t="n">
        <v>2.63804</v>
      </c>
      <c r="BE42" s="190" t="n">
        <v>2.756138</v>
      </c>
      <c r="BF42" s="190" t="n">
        <v>2.874236</v>
      </c>
      <c r="BG42" s="190" t="n">
        <v>2.9805242</v>
      </c>
      <c r="BH42" s="190" t="n">
        <v>3.0868124</v>
      </c>
      <c r="BI42" s="190" t="n">
        <v>3.18247178</v>
      </c>
      <c r="BJ42" s="190" t="n">
        <v>3.27813116</v>
      </c>
      <c r="BK42" s="190" t="n">
        <v>3.364224602</v>
      </c>
      <c r="BL42" s="190" t="n">
        <v>3.450318044</v>
      </c>
      <c r="BM42" s="190" t="n">
        <v>3.5278021418</v>
      </c>
      <c r="BN42" s="190" t="n">
        <v>3.6052862396</v>
      </c>
      <c r="BO42" s="190" t="n">
        <v>3.67502192762</v>
      </c>
      <c r="BP42" s="190" t="n">
        <v>3.74475761564</v>
      </c>
      <c r="BQ42" s="190" t="n">
        <v>3.81449330366</v>
      </c>
      <c r="BR42" s="190" t="n">
        <v>3.88422899168</v>
      </c>
      <c r="BS42" s="190" t="n">
        <v>3.9539646797</v>
      </c>
      <c r="BT42" s="190" t="n">
        <v>4.02370036772</v>
      </c>
      <c r="BU42" s="190" t="n">
        <v>4.09343605574</v>
      </c>
      <c r="BV42" s="190" t="n">
        <v>4.16317174376</v>
      </c>
      <c r="BW42" s="190" t="n">
        <v>4.23290743178</v>
      </c>
      <c r="BX42" s="190" t="n">
        <v>4.3026431198</v>
      </c>
      <c r="BY42" s="190" t="n">
        <v>4.37237880782</v>
      </c>
      <c r="BZ42" s="190" t="n">
        <v>4.44211449584</v>
      </c>
      <c r="CA42" s="190" t="n">
        <v>4.51185018386</v>
      </c>
      <c r="CB42" s="190" t="n">
        <v>4.58158587188</v>
      </c>
      <c r="CC42" s="190" t="n">
        <v>4.6513215599</v>
      </c>
      <c r="CD42" s="190" t="n">
        <v>4.72105724792</v>
      </c>
      <c r="CE42" s="190" t="n">
        <v>4.79079293594</v>
      </c>
      <c r="CF42" s="190" t="n">
        <v>4.86052862396</v>
      </c>
      <c r="CG42" s="190" t="n">
        <v>4.93026431198</v>
      </c>
      <c r="CH42" s="190" t="n">
        <v>5</v>
      </c>
      <c r="CI42" s="190" t="n">
        <v>5.06973568801999</v>
      </c>
      <c r="CJ42" s="190" t="n">
        <v>5.13947137603999</v>
      </c>
      <c r="CK42" s="190" t="n">
        <v>5.20920706405999</v>
      </c>
      <c r="CL42" s="190" t="n">
        <v>5.27894275207999</v>
      </c>
      <c r="CM42" s="190" t="n">
        <v>5.34867844009999</v>
      </c>
      <c r="CN42" s="190" t="n">
        <v>5.41841412811999</v>
      </c>
      <c r="CO42" s="190" t="n">
        <v>5.48814981613999</v>
      </c>
      <c r="CP42" s="190" t="n">
        <v>5.55788550415999</v>
      </c>
      <c r="CQ42" s="190" t="n">
        <v>5.62762119217999</v>
      </c>
      <c r="CR42" s="190" t="n">
        <v>5.69735688019999</v>
      </c>
      <c r="CS42" s="190" t="n">
        <v>5.76709256821999</v>
      </c>
      <c r="CT42" s="190" t="n">
        <v>5.83682825623999</v>
      </c>
      <c r="CU42" s="190" t="n">
        <v>5.90656394425999</v>
      </c>
      <c r="CV42" s="190" t="n">
        <v>5.97629963227999</v>
      </c>
      <c r="CW42" s="190" t="n">
        <v>6.04603532029999</v>
      </c>
      <c r="CX42" s="190" t="n">
        <v>6.11577100831999</v>
      </c>
      <c r="CY42" s="190" t="n">
        <v>6.18550669633999</v>
      </c>
      <c r="CZ42" s="190" t="n">
        <v>6.25524238435999</v>
      </c>
      <c r="DA42" s="190" t="n">
        <v>6.32497807237999</v>
      </c>
      <c r="DB42" s="190" t="n">
        <v>6.39471376039999</v>
      </c>
      <c r="DC42" s="190" t="n">
        <v>6.46444944841999</v>
      </c>
      <c r="DD42" s="190" t="n">
        <v>6.53418513643999</v>
      </c>
      <c r="DE42" s="190" t="n">
        <v>6.60392082445999</v>
      </c>
      <c r="DF42" s="190" t="n">
        <v>6.67365651247999</v>
      </c>
      <c r="DG42" s="190" t="n">
        <v>6.74339220049999</v>
      </c>
      <c r="DH42" s="190" t="n">
        <v>6.81312788851999</v>
      </c>
      <c r="DI42" s="190" t="n">
        <v>6.88286357653999</v>
      </c>
      <c r="DJ42" s="190" t="n">
        <v>6.95259926455999</v>
      </c>
      <c r="DK42" s="190" t="n">
        <v>7.02233495257999</v>
      </c>
      <c r="DL42" s="190" t="n">
        <v>7.09207064059999</v>
      </c>
      <c r="DM42" s="190" t="n">
        <v>7.16180632861999</v>
      </c>
      <c r="DN42" s="190" t="n">
        <v>7.23154201663999</v>
      </c>
      <c r="DO42" s="190" t="n">
        <v>7.30127770465999</v>
      </c>
      <c r="DP42" s="190" t="n">
        <v>7.37101339267999</v>
      </c>
      <c r="DQ42" s="190" t="n">
        <v>7.44074908069999</v>
      </c>
      <c r="DR42" s="190" t="n">
        <v>7.51048476871999</v>
      </c>
      <c r="DS42" s="190" t="n">
        <v>7.58022045673999</v>
      </c>
      <c r="DT42" s="190" t="n">
        <v>7.64995614475999</v>
      </c>
      <c r="DU42" s="190" t="n">
        <v>7.71969183277999</v>
      </c>
      <c r="DV42" s="190" t="n">
        <v>7.78942752079998</v>
      </c>
      <c r="DW42" s="190" t="n">
        <v>7.85916320881998</v>
      </c>
      <c r="DX42" s="190" t="n">
        <v>7.92889889683998</v>
      </c>
      <c r="DY42" s="190" t="n">
        <v>7.99863458485998</v>
      </c>
      <c r="DZ42" s="190" t="n">
        <v>8.06837027287998</v>
      </c>
      <c r="EA42" s="190" t="n">
        <v>8.13810596089998</v>
      </c>
      <c r="EB42" s="190" t="n">
        <v>8.20784164891998</v>
      </c>
      <c r="EC42" s="190" t="n">
        <v>8.27757733693998</v>
      </c>
      <c r="ED42" s="190" t="n">
        <v>8.34731302495998</v>
      </c>
      <c r="EE42" s="190" t="n">
        <v>8.41704871297998</v>
      </c>
      <c r="EF42" s="190" t="n">
        <v>8.48678440099998</v>
      </c>
      <c r="EG42" s="190" t="n">
        <v>8.55652008901998</v>
      </c>
      <c r="EH42" s="190" t="n">
        <v>8.62625577703998</v>
      </c>
      <c r="EI42" s="190" t="n">
        <v>8.69599146505998</v>
      </c>
      <c r="EJ42" s="190" t="n">
        <v>8.76572715307998</v>
      </c>
      <c r="EK42" s="190" t="n">
        <v>8.83546284109998</v>
      </c>
      <c r="EL42" s="180" t="n">
        <v>8.90519852911998</v>
      </c>
      <c r="EM42" s="180" t="n">
        <v>8.97493421713998</v>
      </c>
      <c r="EN42" s="180" t="n">
        <v>9.04466990515998</v>
      </c>
      <c r="EO42" s="180" t="n">
        <v>9.11440559317998</v>
      </c>
      <c r="EP42" s="180" t="n">
        <v>9.18414128119998</v>
      </c>
      <c r="EQ42" s="180" t="n">
        <v>9.25387696921998</v>
      </c>
      <c r="ER42" s="180" t="n">
        <v>9.32361265723998</v>
      </c>
      <c r="ES42" s="180" t="n">
        <v>9.39334834525998</v>
      </c>
      <c r="ET42" s="180" t="n">
        <v>9.46308403327998</v>
      </c>
      <c r="EU42" s="180" t="n">
        <v>9.53281972129998</v>
      </c>
      <c r="EV42" s="180" t="n">
        <v>9.60255540931998</v>
      </c>
      <c r="EW42" s="180" t="n">
        <v>9.67229109733998</v>
      </c>
      <c r="EX42" s="180" t="n">
        <v>9.74202678535998</v>
      </c>
      <c r="EY42" s="180" t="n">
        <v>9.81176247337998</v>
      </c>
      <c r="EZ42" s="180" t="n">
        <v>9.88149816139998</v>
      </c>
      <c r="FA42" s="180" t="n">
        <v>9.95123384941998</v>
      </c>
      <c r="FB42" s="180" t="n">
        <v>10.02096953744</v>
      </c>
      <c r="FC42" s="180" t="n">
        <v>10.09070522546</v>
      </c>
      <c r="FD42" s="180" t="n">
        <v>10.16044091348</v>
      </c>
      <c r="FE42" s="180" t="n">
        <v>10.2301766015</v>
      </c>
      <c r="FF42" s="180" t="n">
        <v>10.29991228952</v>
      </c>
      <c r="FG42" s="180" t="n">
        <v>10.36964797754</v>
      </c>
      <c r="FH42" s="180" t="n">
        <v>10.43938366556</v>
      </c>
      <c r="FI42" s="180" t="n">
        <v>10.50911935358</v>
      </c>
      <c r="FJ42" s="180" t="n">
        <v>10.5788550416</v>
      </c>
      <c r="FK42" s="180" t="n">
        <v>10.64859072962</v>
      </c>
      <c r="FL42" s="180" t="n">
        <v>10.71832641764</v>
      </c>
      <c r="FM42" s="180" t="n">
        <v>10.78806210566</v>
      </c>
      <c r="FN42" s="180" t="n">
        <v>10.85779779368</v>
      </c>
      <c r="FO42" s="180" t="n">
        <v>10.9275334817</v>
      </c>
      <c r="FP42" s="180" t="n">
        <v>10.99726916972</v>
      </c>
      <c r="FQ42" s="180" t="n">
        <v>11.06700485774</v>
      </c>
      <c r="FR42" s="180" t="n">
        <v>11.13674054576</v>
      </c>
      <c r="FS42" s="180" t="n">
        <v>11.20647623378</v>
      </c>
      <c r="FT42" s="180" t="n">
        <v>11.2762119218</v>
      </c>
      <c r="FU42" s="180" t="n">
        <v>11.34594760982</v>
      </c>
      <c r="FV42" s="180" t="n">
        <v>11.41568329784</v>
      </c>
      <c r="FW42" s="180" t="n">
        <v>11.48541898586</v>
      </c>
      <c r="FX42" s="180" t="n">
        <v>11.55515467388</v>
      </c>
      <c r="FY42" s="180" t="n">
        <v>11.6248903619</v>
      </c>
      <c r="FZ42" s="180" t="n">
        <v>11.69462604992</v>
      </c>
      <c r="GA42" s="180" t="n">
        <v>11.76436173794</v>
      </c>
      <c r="GB42" s="180" t="n">
        <v>11.83409742596</v>
      </c>
      <c r="GC42" s="180" t="n">
        <v>11.90383311398</v>
      </c>
      <c r="GD42" s="180" t="n">
        <v>11.973568802</v>
      </c>
      <c r="GE42" s="180" t="n">
        <v>12.04330449002</v>
      </c>
      <c r="GF42" s="180" t="n">
        <v>12.11304017804</v>
      </c>
      <c r="GG42" s="180" t="n">
        <v>12.18277586606</v>
      </c>
      <c r="GH42" s="180" t="n">
        <v>12.25251155408</v>
      </c>
      <c r="GI42" s="180" t="n">
        <v>12.3222472421</v>
      </c>
      <c r="GJ42" s="180" t="n">
        <v>12.39198293012</v>
      </c>
      <c r="GK42" s="180" t="n">
        <v>12.46171861814</v>
      </c>
      <c r="GL42" s="180" t="n">
        <v>12.53145430616</v>
      </c>
      <c r="GM42" s="180" t="n">
        <v>12.60118999418</v>
      </c>
      <c r="GN42" s="180" t="n">
        <v>12.6709256822</v>
      </c>
      <c r="GO42" s="180" t="n">
        <v>12.74066137022</v>
      </c>
      <c r="GP42" s="180" t="n">
        <v>12.81039705824</v>
      </c>
      <c r="GQ42" s="180" t="n">
        <v>12.88013274626</v>
      </c>
      <c r="GR42" s="180" t="n">
        <v>12.94986843428</v>
      </c>
      <c r="GS42" s="180" t="n">
        <v>13.0196041223</v>
      </c>
      <c r="GT42" s="180" t="n">
        <v>13.08933981032</v>
      </c>
      <c r="GU42" s="180" t="n">
        <v>13.15907549834</v>
      </c>
      <c r="GV42" s="180" t="n">
        <v>13.22881118636</v>
      </c>
      <c r="GW42" s="180" t="n">
        <v>13.29854687438</v>
      </c>
      <c r="GX42" s="180" t="n">
        <v>13.3682825624</v>
      </c>
      <c r="GY42" s="180" t="n">
        <v>13.43801825042</v>
      </c>
      <c r="GZ42" s="180" t="n">
        <v>13.50775393844</v>
      </c>
      <c r="HA42" s="180" t="n">
        <v>13.57748962646</v>
      </c>
      <c r="HB42" s="180" t="n">
        <v>13.64722531448</v>
      </c>
      <c r="HC42" s="180" t="n">
        <v>13.7169610025</v>
      </c>
      <c r="HD42" s="180" t="n">
        <v>13.78669669052</v>
      </c>
      <c r="HE42" s="180" t="n">
        <v>13.85643237854</v>
      </c>
      <c r="HF42" s="180" t="n">
        <v>13.92616806656</v>
      </c>
      <c r="HG42" s="180" t="n">
        <v>13.99590375458</v>
      </c>
      <c r="HH42" s="180" t="n">
        <v>14.0656394426</v>
      </c>
      <c r="HI42" s="180" t="n">
        <v>14.13537513062</v>
      </c>
      <c r="HJ42" s="180" t="n">
        <v>14.20511081864</v>
      </c>
      <c r="HK42" s="180" t="n">
        <v>14.27484650666</v>
      </c>
      <c r="HL42" s="180" t="n">
        <v>14.34458219468</v>
      </c>
      <c r="HM42" s="180" t="n">
        <v>14.4143178827</v>
      </c>
      <c r="HN42" s="180" t="n">
        <v>14.48405357072</v>
      </c>
      <c r="HO42" s="180" t="n">
        <v>14.55378925874</v>
      </c>
      <c r="HP42" s="180" t="n">
        <v>14.62352494676</v>
      </c>
      <c r="HQ42" s="180" t="n">
        <v>14.69326063478</v>
      </c>
      <c r="HR42" s="180" t="n">
        <v>14.7629963228</v>
      </c>
      <c r="HS42" s="180" t="n">
        <v>14.83273201082</v>
      </c>
      <c r="HT42" s="180" t="n">
        <v>14.90246769884</v>
      </c>
      <c r="HU42" s="180" t="n">
        <v>14.97220338686</v>
      </c>
      <c r="HV42" s="180" t="n">
        <v>15.04193907488</v>
      </c>
      <c r="HW42" s="180" t="n">
        <v>15.1116747629</v>
      </c>
      <c r="HX42" s="180" t="n">
        <v>15.18141045092</v>
      </c>
      <c r="HY42" s="180" t="n">
        <v>15.25114613894</v>
      </c>
      <c r="HZ42" s="180" t="n">
        <v>15.32088182696</v>
      </c>
      <c r="IA42" s="180" t="n">
        <v>15.39061751498</v>
      </c>
      <c r="IB42" s="180" t="n">
        <v>15.460353203</v>
      </c>
      <c r="IC42" s="180" t="n">
        <v>15.53008889102</v>
      </c>
      <c r="ID42" s="180" t="n">
        <v>15.59982457904</v>
      </c>
      <c r="IE42" s="180" t="n">
        <v>15.66956026706</v>
      </c>
      <c r="IF42" s="180" t="n">
        <v>15.73929595508</v>
      </c>
      <c r="IG42" s="180" t="n">
        <v>15.8090316431</v>
      </c>
      <c r="IH42" s="180" t="n">
        <v>15.87876733112</v>
      </c>
      <c r="II42" s="180" t="n">
        <v>15.94850301914</v>
      </c>
      <c r="IJ42" s="180" t="n">
        <v>16.01823870716</v>
      </c>
      <c r="IK42" s="180" t="n">
        <v>16.08797439518</v>
      </c>
      <c r="IL42" s="180" t="n">
        <v>16.1577100832</v>
      </c>
      <c r="IM42" s="180" t="n">
        <v>16.22744577122</v>
      </c>
      <c r="IN42" s="180" t="n">
        <v>16.29718145924</v>
      </c>
      <c r="IO42" s="180" t="n">
        <v>16.36691714726</v>
      </c>
      <c r="IP42" s="180" t="n">
        <v>16.43665283528</v>
      </c>
      <c r="IQ42" s="180" t="n">
        <v>16.5063885233</v>
      </c>
      <c r="IR42" s="180" t="n">
        <v>16.57612421132</v>
      </c>
      <c r="IS42" s="180" t="n">
        <v>16.64585989934</v>
      </c>
      <c r="IT42" s="180" t="n">
        <v>16.71559558736</v>
      </c>
      <c r="IU42" s="180" t="n">
        <v>16.78533127538</v>
      </c>
      <c r="IV42" s="180" t="n">
        <v>16.8550669634</v>
      </c>
    </row>
    <row r="43" customFormat="false" ht="12.75" hidden="false" customHeight="false" outlineLevel="0" collapsed="false">
      <c r="A43" s="189" t="n">
        <v>37987</v>
      </c>
      <c r="B43" s="185" t="n">
        <v>-2.021005929375</v>
      </c>
      <c r="C43" s="185" t="n">
        <v>-1.9907047400625</v>
      </c>
      <c r="D43" s="185" t="n">
        <v>-1.96040355075</v>
      </c>
      <c r="E43" s="185" t="n">
        <v>-1.9301023614375</v>
      </c>
      <c r="F43" s="185" t="n">
        <v>-1.899801172125</v>
      </c>
      <c r="G43" s="185" t="n">
        <v>-1.8694999828125</v>
      </c>
      <c r="H43" s="185" t="n">
        <v>-1.8391987935</v>
      </c>
      <c r="I43" s="185" t="n">
        <v>-1.8088976041875</v>
      </c>
      <c r="J43" s="185" t="n">
        <v>-1.778596414875</v>
      </c>
      <c r="K43" s="185" t="n">
        <v>-1.7482952255625</v>
      </c>
      <c r="L43" s="185" t="n">
        <v>-1.71799403625</v>
      </c>
      <c r="M43" s="185" t="n">
        <v>-1.6876928469375</v>
      </c>
      <c r="N43" s="185" t="n">
        <v>-1.657391657625</v>
      </c>
      <c r="O43" s="185" t="n">
        <v>-1.6270904683125</v>
      </c>
      <c r="P43" s="185" t="n">
        <v>-1.596789279</v>
      </c>
      <c r="Q43" s="185" t="n">
        <v>-1.5664880896875</v>
      </c>
      <c r="R43" s="185" t="n">
        <v>-1.536186900375</v>
      </c>
      <c r="S43" s="185" t="n">
        <v>-1.5058857110625</v>
      </c>
      <c r="T43" s="185" t="n">
        <v>-1.47558452175</v>
      </c>
      <c r="U43" s="185" t="n">
        <v>-1.4452833324375</v>
      </c>
      <c r="V43" s="186" t="n">
        <v>-1.414982143125</v>
      </c>
      <c r="W43" s="185" t="n">
        <v>-1.3846809538125</v>
      </c>
      <c r="X43" s="186" t="n">
        <v>-1.3543797645</v>
      </c>
      <c r="Y43" s="185" t="n">
        <v>-1.3240785751875</v>
      </c>
      <c r="Z43" s="186" t="n">
        <v>-1.293777385875</v>
      </c>
      <c r="AA43" s="185" t="n">
        <v>-1.2634761965625</v>
      </c>
      <c r="AB43" s="187" t="n">
        <v>-1.23317500725</v>
      </c>
      <c r="AC43" s="185" t="n">
        <v>-1.2028738179375</v>
      </c>
      <c r="AD43" s="187" t="n">
        <v>-1.172572628625</v>
      </c>
      <c r="AE43" s="185" t="n">
        <v>-1.1422714393125</v>
      </c>
      <c r="AF43" s="185" t="n">
        <v>-1.11197025</v>
      </c>
      <c r="AG43" s="190" t="n">
        <v>-1.083235125</v>
      </c>
      <c r="AH43" s="190" t="n">
        <v>-1.0545</v>
      </c>
      <c r="AI43" s="190" t="n">
        <v>-1.02725</v>
      </c>
      <c r="AJ43" s="190" t="n">
        <v>-1</v>
      </c>
      <c r="AK43" s="190" t="n">
        <v>-0.8</v>
      </c>
      <c r="AL43" s="190" t="n">
        <v>-0.6</v>
      </c>
      <c r="AM43" s="190" t="n">
        <v>-0.4</v>
      </c>
      <c r="AN43" s="190" t="n">
        <v>-0.2</v>
      </c>
      <c r="AO43" s="190" t="n">
        <v>0</v>
      </c>
      <c r="AP43" s="190" t="n">
        <v>0.2</v>
      </c>
      <c r="AQ43" s="190" t="n">
        <v>0.4</v>
      </c>
      <c r="AR43" s="190" t="n">
        <v>0.6</v>
      </c>
      <c r="AS43" s="190" t="n">
        <v>0.8</v>
      </c>
      <c r="AT43" s="190" t="n">
        <v>1</v>
      </c>
      <c r="AU43" s="190" t="n">
        <v>1.2</v>
      </c>
      <c r="AV43" s="190" t="n">
        <v>1.4</v>
      </c>
      <c r="AW43" s="190" t="n">
        <v>1.58</v>
      </c>
      <c r="AX43" s="190" t="n">
        <v>1.76</v>
      </c>
      <c r="AY43" s="190" t="n">
        <v>1.922</v>
      </c>
      <c r="AZ43" s="190" t="n">
        <v>2.084</v>
      </c>
      <c r="BA43" s="190" t="n">
        <v>2.2298</v>
      </c>
      <c r="BB43" s="190" t="n">
        <v>2.3756</v>
      </c>
      <c r="BC43" s="190" t="n">
        <v>2.50682</v>
      </c>
      <c r="BD43" s="190" t="n">
        <v>2.63804</v>
      </c>
      <c r="BE43" s="190" t="n">
        <v>2.756138</v>
      </c>
      <c r="BF43" s="190" t="n">
        <v>2.874236</v>
      </c>
      <c r="BG43" s="190" t="n">
        <v>2.9805242</v>
      </c>
      <c r="BH43" s="190" t="n">
        <v>3.0868124</v>
      </c>
      <c r="BI43" s="190" t="n">
        <v>3.18247178</v>
      </c>
      <c r="BJ43" s="190" t="n">
        <v>3.27813116</v>
      </c>
      <c r="BK43" s="190" t="n">
        <v>3.364224602</v>
      </c>
      <c r="BL43" s="190" t="n">
        <v>3.450318044</v>
      </c>
      <c r="BM43" s="190" t="n">
        <v>3.5278021418</v>
      </c>
      <c r="BN43" s="190" t="n">
        <v>3.6052862396</v>
      </c>
      <c r="BO43" s="190" t="n">
        <v>3.67502192762</v>
      </c>
      <c r="BP43" s="190" t="n">
        <v>3.74475761564</v>
      </c>
      <c r="BQ43" s="190" t="n">
        <v>3.81449330366</v>
      </c>
      <c r="BR43" s="190" t="n">
        <v>3.88422899168</v>
      </c>
      <c r="BS43" s="190" t="n">
        <v>3.9539646797</v>
      </c>
      <c r="BT43" s="190" t="n">
        <v>4.02370036772</v>
      </c>
      <c r="BU43" s="190" t="n">
        <v>4.09343605574</v>
      </c>
      <c r="BV43" s="190" t="n">
        <v>4.16317174376</v>
      </c>
      <c r="BW43" s="190" t="n">
        <v>4.23290743178</v>
      </c>
      <c r="BX43" s="190" t="n">
        <v>4.3026431198</v>
      </c>
      <c r="BY43" s="190" t="n">
        <v>4.37237880782</v>
      </c>
      <c r="BZ43" s="190" t="n">
        <v>4.44211449584</v>
      </c>
      <c r="CA43" s="190" t="n">
        <v>4.51185018386</v>
      </c>
      <c r="CB43" s="190" t="n">
        <v>4.58158587188</v>
      </c>
      <c r="CC43" s="190" t="n">
        <v>4.6513215599</v>
      </c>
      <c r="CD43" s="190" t="n">
        <v>4.72105724792</v>
      </c>
      <c r="CE43" s="190" t="n">
        <v>4.79079293594</v>
      </c>
      <c r="CF43" s="190" t="n">
        <v>4.86052862396</v>
      </c>
      <c r="CG43" s="190" t="n">
        <v>4.93026431198</v>
      </c>
      <c r="CH43" s="190" t="n">
        <v>5</v>
      </c>
      <c r="CI43" s="190" t="n">
        <v>5.06973568801999</v>
      </c>
      <c r="CJ43" s="190" t="n">
        <v>5.13947137603999</v>
      </c>
      <c r="CK43" s="190" t="n">
        <v>5.20920706405999</v>
      </c>
      <c r="CL43" s="190" t="n">
        <v>5.27894275207999</v>
      </c>
      <c r="CM43" s="190" t="n">
        <v>5.34867844009999</v>
      </c>
      <c r="CN43" s="190" t="n">
        <v>5.41841412811999</v>
      </c>
      <c r="CO43" s="190" t="n">
        <v>5.48814981613999</v>
      </c>
      <c r="CP43" s="190" t="n">
        <v>5.55788550415999</v>
      </c>
      <c r="CQ43" s="190" t="n">
        <v>5.62762119217999</v>
      </c>
      <c r="CR43" s="190" t="n">
        <v>5.69735688019999</v>
      </c>
      <c r="CS43" s="190" t="n">
        <v>5.76709256821999</v>
      </c>
      <c r="CT43" s="190" t="n">
        <v>5.83682825623999</v>
      </c>
      <c r="CU43" s="190" t="n">
        <v>5.90656394425999</v>
      </c>
      <c r="CV43" s="190" t="n">
        <v>5.97629963227999</v>
      </c>
      <c r="CW43" s="190" t="n">
        <v>6.04603532029999</v>
      </c>
      <c r="CX43" s="190" t="n">
        <v>6.11577100831999</v>
      </c>
      <c r="CY43" s="190" t="n">
        <v>6.18550669633999</v>
      </c>
      <c r="CZ43" s="190" t="n">
        <v>6.25524238435999</v>
      </c>
      <c r="DA43" s="190" t="n">
        <v>6.32497807237999</v>
      </c>
      <c r="DB43" s="190" t="n">
        <v>6.39471376039999</v>
      </c>
      <c r="DC43" s="190" t="n">
        <v>6.46444944841999</v>
      </c>
      <c r="DD43" s="190" t="n">
        <v>6.53418513643999</v>
      </c>
      <c r="DE43" s="190" t="n">
        <v>6.60392082445999</v>
      </c>
      <c r="DF43" s="190" t="n">
        <v>6.67365651247999</v>
      </c>
      <c r="DG43" s="190" t="n">
        <v>6.74339220049999</v>
      </c>
      <c r="DH43" s="190" t="n">
        <v>6.81312788851999</v>
      </c>
      <c r="DI43" s="190" t="n">
        <v>6.88286357653999</v>
      </c>
      <c r="DJ43" s="190" t="n">
        <v>6.95259926455999</v>
      </c>
      <c r="DK43" s="190" t="n">
        <v>7.02233495257999</v>
      </c>
      <c r="DL43" s="190" t="n">
        <v>7.09207064059999</v>
      </c>
      <c r="DM43" s="190" t="n">
        <v>7.16180632861999</v>
      </c>
      <c r="DN43" s="190" t="n">
        <v>7.23154201663999</v>
      </c>
      <c r="DO43" s="190" t="n">
        <v>7.30127770465999</v>
      </c>
      <c r="DP43" s="190" t="n">
        <v>7.37101339267999</v>
      </c>
      <c r="DQ43" s="190" t="n">
        <v>7.44074908069999</v>
      </c>
      <c r="DR43" s="190" t="n">
        <v>7.51048476871999</v>
      </c>
      <c r="DS43" s="190" t="n">
        <v>7.58022045673999</v>
      </c>
      <c r="DT43" s="190" t="n">
        <v>7.64995614475999</v>
      </c>
      <c r="DU43" s="190" t="n">
        <v>7.71969183277999</v>
      </c>
      <c r="DV43" s="190" t="n">
        <v>7.78942752079998</v>
      </c>
      <c r="DW43" s="190" t="n">
        <v>7.85916320881998</v>
      </c>
      <c r="DX43" s="190" t="n">
        <v>7.92889889683998</v>
      </c>
      <c r="DY43" s="190" t="n">
        <v>7.99863458485998</v>
      </c>
      <c r="DZ43" s="190" t="n">
        <v>8.06837027287998</v>
      </c>
      <c r="EA43" s="190" t="n">
        <v>8.13810596089998</v>
      </c>
      <c r="EB43" s="190" t="n">
        <v>8.20784164891998</v>
      </c>
      <c r="EC43" s="190" t="n">
        <v>8.27757733693998</v>
      </c>
      <c r="ED43" s="190" t="n">
        <v>8.34731302495998</v>
      </c>
      <c r="EE43" s="190" t="n">
        <v>8.41704871297998</v>
      </c>
      <c r="EF43" s="190" t="n">
        <v>8.48678440099998</v>
      </c>
      <c r="EG43" s="190" t="n">
        <v>8.55652008901998</v>
      </c>
      <c r="EH43" s="190" t="n">
        <v>8.62625577703998</v>
      </c>
      <c r="EI43" s="190" t="n">
        <v>8.69599146505998</v>
      </c>
      <c r="EJ43" s="190" t="n">
        <v>8.76572715307998</v>
      </c>
      <c r="EK43" s="190" t="n">
        <v>8.83546284109998</v>
      </c>
      <c r="EL43" s="180" t="n">
        <v>8.90519852911998</v>
      </c>
      <c r="EM43" s="180" t="n">
        <v>8.97493421713998</v>
      </c>
      <c r="EN43" s="180" t="n">
        <v>9.04466990515998</v>
      </c>
      <c r="EO43" s="180" t="n">
        <v>9.11440559317998</v>
      </c>
      <c r="EP43" s="180" t="n">
        <v>9.18414128119998</v>
      </c>
      <c r="EQ43" s="180" t="n">
        <v>9.25387696921998</v>
      </c>
      <c r="ER43" s="180" t="n">
        <v>9.32361265723998</v>
      </c>
      <c r="ES43" s="180" t="n">
        <v>9.39334834525998</v>
      </c>
      <c r="ET43" s="180" t="n">
        <v>9.46308403327998</v>
      </c>
      <c r="EU43" s="180" t="n">
        <v>9.53281972129998</v>
      </c>
      <c r="EV43" s="180" t="n">
        <v>9.60255540931998</v>
      </c>
      <c r="EW43" s="180" t="n">
        <v>9.67229109733998</v>
      </c>
      <c r="EX43" s="180" t="n">
        <v>9.74202678535998</v>
      </c>
      <c r="EY43" s="180" t="n">
        <v>9.81176247337998</v>
      </c>
      <c r="EZ43" s="180" t="n">
        <v>9.88149816139998</v>
      </c>
      <c r="FA43" s="180" t="n">
        <v>9.95123384941998</v>
      </c>
      <c r="FB43" s="180" t="n">
        <v>10.02096953744</v>
      </c>
      <c r="FC43" s="180" t="n">
        <v>10.09070522546</v>
      </c>
      <c r="FD43" s="180" t="n">
        <v>10.16044091348</v>
      </c>
      <c r="FE43" s="180" t="n">
        <v>10.2301766015</v>
      </c>
      <c r="FF43" s="180" t="n">
        <v>10.29991228952</v>
      </c>
      <c r="FG43" s="180" t="n">
        <v>10.36964797754</v>
      </c>
      <c r="FH43" s="180" t="n">
        <v>10.43938366556</v>
      </c>
      <c r="FI43" s="180" t="n">
        <v>10.50911935358</v>
      </c>
      <c r="FJ43" s="180" t="n">
        <v>10.5788550416</v>
      </c>
      <c r="FK43" s="180" t="n">
        <v>10.64859072962</v>
      </c>
      <c r="FL43" s="180" t="n">
        <v>10.71832641764</v>
      </c>
      <c r="FM43" s="180" t="n">
        <v>10.78806210566</v>
      </c>
      <c r="FN43" s="180" t="n">
        <v>10.85779779368</v>
      </c>
      <c r="FO43" s="180" t="n">
        <v>10.9275334817</v>
      </c>
      <c r="FP43" s="180" t="n">
        <v>10.99726916972</v>
      </c>
      <c r="FQ43" s="180" t="n">
        <v>11.06700485774</v>
      </c>
      <c r="FR43" s="180" t="n">
        <v>11.13674054576</v>
      </c>
      <c r="FS43" s="180" t="n">
        <v>11.20647623378</v>
      </c>
      <c r="FT43" s="180" t="n">
        <v>11.2762119218</v>
      </c>
      <c r="FU43" s="180" t="n">
        <v>11.34594760982</v>
      </c>
      <c r="FV43" s="180" t="n">
        <v>11.41568329784</v>
      </c>
      <c r="FW43" s="180" t="n">
        <v>11.48541898586</v>
      </c>
      <c r="FX43" s="180" t="n">
        <v>11.55515467388</v>
      </c>
      <c r="FY43" s="180" t="n">
        <v>11.6248903619</v>
      </c>
      <c r="FZ43" s="180" t="n">
        <v>11.69462604992</v>
      </c>
      <c r="GA43" s="180" t="n">
        <v>11.76436173794</v>
      </c>
      <c r="GB43" s="180" t="n">
        <v>11.83409742596</v>
      </c>
      <c r="GC43" s="180" t="n">
        <v>11.90383311398</v>
      </c>
      <c r="GD43" s="180" t="n">
        <v>11.973568802</v>
      </c>
      <c r="GE43" s="180" t="n">
        <v>12.04330449002</v>
      </c>
      <c r="GF43" s="180" t="n">
        <v>12.11304017804</v>
      </c>
      <c r="GG43" s="180" t="n">
        <v>12.18277586606</v>
      </c>
      <c r="GH43" s="180" t="n">
        <v>12.25251155408</v>
      </c>
      <c r="GI43" s="180" t="n">
        <v>12.3222472421</v>
      </c>
      <c r="GJ43" s="180" t="n">
        <v>12.39198293012</v>
      </c>
      <c r="GK43" s="180" t="n">
        <v>12.46171861814</v>
      </c>
      <c r="GL43" s="180" t="n">
        <v>12.53145430616</v>
      </c>
      <c r="GM43" s="180" t="n">
        <v>12.60118999418</v>
      </c>
      <c r="GN43" s="180" t="n">
        <v>12.6709256822</v>
      </c>
      <c r="GO43" s="180" t="n">
        <v>12.74066137022</v>
      </c>
      <c r="GP43" s="180" t="n">
        <v>12.81039705824</v>
      </c>
      <c r="GQ43" s="180" t="n">
        <v>12.88013274626</v>
      </c>
      <c r="GR43" s="180" t="n">
        <v>12.94986843428</v>
      </c>
      <c r="GS43" s="180" t="n">
        <v>13.0196041223</v>
      </c>
      <c r="GT43" s="180" t="n">
        <v>13.08933981032</v>
      </c>
      <c r="GU43" s="180" t="n">
        <v>13.15907549834</v>
      </c>
      <c r="GV43" s="180" t="n">
        <v>13.22881118636</v>
      </c>
      <c r="GW43" s="180" t="n">
        <v>13.29854687438</v>
      </c>
      <c r="GX43" s="180" t="n">
        <v>13.3682825624</v>
      </c>
      <c r="GY43" s="180" t="n">
        <v>13.43801825042</v>
      </c>
      <c r="GZ43" s="180" t="n">
        <v>13.50775393844</v>
      </c>
      <c r="HA43" s="180" t="n">
        <v>13.57748962646</v>
      </c>
      <c r="HB43" s="180" t="n">
        <v>13.64722531448</v>
      </c>
      <c r="HC43" s="180" t="n">
        <v>13.7169610025</v>
      </c>
      <c r="HD43" s="180" t="n">
        <v>13.78669669052</v>
      </c>
      <c r="HE43" s="180" t="n">
        <v>13.85643237854</v>
      </c>
      <c r="HF43" s="180" t="n">
        <v>13.92616806656</v>
      </c>
      <c r="HG43" s="180" t="n">
        <v>13.99590375458</v>
      </c>
      <c r="HH43" s="180" t="n">
        <v>14.0656394426</v>
      </c>
      <c r="HI43" s="180" t="n">
        <v>14.13537513062</v>
      </c>
      <c r="HJ43" s="180" t="n">
        <v>14.20511081864</v>
      </c>
      <c r="HK43" s="180" t="n">
        <v>14.27484650666</v>
      </c>
      <c r="HL43" s="180" t="n">
        <v>14.34458219468</v>
      </c>
      <c r="HM43" s="180" t="n">
        <v>14.4143178827</v>
      </c>
      <c r="HN43" s="180" t="n">
        <v>14.48405357072</v>
      </c>
      <c r="HO43" s="180" t="n">
        <v>14.55378925874</v>
      </c>
      <c r="HP43" s="180" t="n">
        <v>14.62352494676</v>
      </c>
      <c r="HQ43" s="180" t="n">
        <v>14.69326063478</v>
      </c>
      <c r="HR43" s="180" t="n">
        <v>14.7629963228</v>
      </c>
      <c r="HS43" s="180" t="n">
        <v>14.83273201082</v>
      </c>
      <c r="HT43" s="180" t="n">
        <v>14.90246769884</v>
      </c>
      <c r="HU43" s="180" t="n">
        <v>14.97220338686</v>
      </c>
      <c r="HV43" s="180" t="n">
        <v>15.04193907488</v>
      </c>
      <c r="HW43" s="180" t="n">
        <v>15.1116747629</v>
      </c>
      <c r="HX43" s="180" t="n">
        <v>15.18141045092</v>
      </c>
      <c r="HY43" s="180" t="n">
        <v>15.25114613894</v>
      </c>
      <c r="HZ43" s="180" t="n">
        <v>15.32088182696</v>
      </c>
      <c r="IA43" s="180" t="n">
        <v>15.39061751498</v>
      </c>
      <c r="IB43" s="180" t="n">
        <v>15.460353203</v>
      </c>
      <c r="IC43" s="180" t="n">
        <v>15.53008889102</v>
      </c>
      <c r="ID43" s="180" t="n">
        <v>15.59982457904</v>
      </c>
      <c r="IE43" s="180" t="n">
        <v>15.66956026706</v>
      </c>
      <c r="IF43" s="180" t="n">
        <v>15.73929595508</v>
      </c>
      <c r="IG43" s="180" t="n">
        <v>15.8090316431</v>
      </c>
      <c r="IH43" s="180" t="n">
        <v>15.87876733112</v>
      </c>
      <c r="II43" s="180" t="n">
        <v>15.94850301914</v>
      </c>
      <c r="IJ43" s="180" t="n">
        <v>16.01823870716</v>
      </c>
      <c r="IK43" s="180" t="n">
        <v>16.08797439518</v>
      </c>
      <c r="IL43" s="180" t="n">
        <v>16.1577100832</v>
      </c>
      <c r="IM43" s="180" t="n">
        <v>16.22744577122</v>
      </c>
      <c r="IN43" s="180" t="n">
        <v>16.29718145924</v>
      </c>
      <c r="IO43" s="180" t="n">
        <v>16.36691714726</v>
      </c>
      <c r="IP43" s="180" t="n">
        <v>16.43665283528</v>
      </c>
      <c r="IQ43" s="180" t="n">
        <v>16.5063885233</v>
      </c>
      <c r="IR43" s="180" t="n">
        <v>16.57612421132</v>
      </c>
      <c r="IS43" s="180" t="n">
        <v>16.64585989934</v>
      </c>
      <c r="IT43" s="180" t="n">
        <v>16.71559558736</v>
      </c>
      <c r="IU43" s="180" t="n">
        <v>16.78533127538</v>
      </c>
      <c r="IV43" s="180" t="n">
        <v>16.8550669634</v>
      </c>
    </row>
    <row r="44" customFormat="false" ht="12.75" hidden="false" customHeight="false" outlineLevel="0" collapsed="false">
      <c r="A44" s="189" t="n">
        <v>38018</v>
      </c>
      <c r="B44" s="185" t="n">
        <v>-2.021005929375</v>
      </c>
      <c r="C44" s="185" t="n">
        <v>-1.9907047400625</v>
      </c>
      <c r="D44" s="185" t="n">
        <v>-1.96040355075</v>
      </c>
      <c r="E44" s="185" t="n">
        <v>-1.9301023614375</v>
      </c>
      <c r="F44" s="185" t="n">
        <v>-1.899801172125</v>
      </c>
      <c r="G44" s="185" t="n">
        <v>-1.8694999828125</v>
      </c>
      <c r="H44" s="185" t="n">
        <v>-1.8391987935</v>
      </c>
      <c r="I44" s="185" t="n">
        <v>-1.8088976041875</v>
      </c>
      <c r="J44" s="185" t="n">
        <v>-1.778596414875</v>
      </c>
      <c r="K44" s="185" t="n">
        <v>-1.7482952255625</v>
      </c>
      <c r="L44" s="185" t="n">
        <v>-1.71799403625</v>
      </c>
      <c r="M44" s="185" t="n">
        <v>-1.6876928469375</v>
      </c>
      <c r="N44" s="185" t="n">
        <v>-1.657391657625</v>
      </c>
      <c r="O44" s="185" t="n">
        <v>-1.6270904683125</v>
      </c>
      <c r="P44" s="185" t="n">
        <v>-1.596789279</v>
      </c>
      <c r="Q44" s="185" t="n">
        <v>-1.5664880896875</v>
      </c>
      <c r="R44" s="185" t="n">
        <v>-1.536186900375</v>
      </c>
      <c r="S44" s="185" t="n">
        <v>-1.5058857110625</v>
      </c>
      <c r="T44" s="185" t="n">
        <v>-1.47558452175</v>
      </c>
      <c r="U44" s="185" t="n">
        <v>-1.4452833324375</v>
      </c>
      <c r="V44" s="186" t="n">
        <v>-1.414982143125</v>
      </c>
      <c r="W44" s="185" t="n">
        <v>-1.3846809538125</v>
      </c>
      <c r="X44" s="186" t="n">
        <v>-1.3543797645</v>
      </c>
      <c r="Y44" s="185" t="n">
        <v>-1.3240785751875</v>
      </c>
      <c r="Z44" s="186" t="n">
        <v>-1.293777385875</v>
      </c>
      <c r="AA44" s="185" t="n">
        <v>-1.2634761965625</v>
      </c>
      <c r="AB44" s="187" t="n">
        <v>-1.23317500725</v>
      </c>
      <c r="AC44" s="185" t="n">
        <v>-1.2028738179375</v>
      </c>
      <c r="AD44" s="187" t="n">
        <v>-1.172572628625</v>
      </c>
      <c r="AE44" s="185" t="n">
        <v>-1.1422714393125</v>
      </c>
      <c r="AF44" s="185" t="n">
        <v>-1.11197025</v>
      </c>
      <c r="AG44" s="190" t="n">
        <v>-1.083235125</v>
      </c>
      <c r="AH44" s="190" t="n">
        <v>-1.0545</v>
      </c>
      <c r="AI44" s="190" t="n">
        <v>-1.02725</v>
      </c>
      <c r="AJ44" s="190" t="n">
        <v>-1</v>
      </c>
      <c r="AK44" s="190" t="n">
        <v>-0.8</v>
      </c>
      <c r="AL44" s="190" t="n">
        <v>-0.6</v>
      </c>
      <c r="AM44" s="190" t="n">
        <v>-0.4</v>
      </c>
      <c r="AN44" s="190" t="n">
        <v>-0.2</v>
      </c>
      <c r="AO44" s="190" t="n">
        <v>0</v>
      </c>
      <c r="AP44" s="190" t="n">
        <v>0.2</v>
      </c>
      <c r="AQ44" s="190" t="n">
        <v>0.4</v>
      </c>
      <c r="AR44" s="190" t="n">
        <v>0.6</v>
      </c>
      <c r="AS44" s="190" t="n">
        <v>0.8</v>
      </c>
      <c r="AT44" s="190" t="n">
        <v>1</v>
      </c>
      <c r="AU44" s="190" t="n">
        <v>1.2</v>
      </c>
      <c r="AV44" s="190" t="n">
        <v>1.4</v>
      </c>
      <c r="AW44" s="190" t="n">
        <v>1.58</v>
      </c>
      <c r="AX44" s="190" t="n">
        <v>1.76</v>
      </c>
      <c r="AY44" s="190" t="n">
        <v>1.922</v>
      </c>
      <c r="AZ44" s="190" t="n">
        <v>2.084</v>
      </c>
      <c r="BA44" s="190" t="n">
        <v>2.2298</v>
      </c>
      <c r="BB44" s="190" t="n">
        <v>2.3756</v>
      </c>
      <c r="BC44" s="190" t="n">
        <v>2.50682</v>
      </c>
      <c r="BD44" s="190" t="n">
        <v>2.63804</v>
      </c>
      <c r="BE44" s="190" t="n">
        <v>2.756138</v>
      </c>
      <c r="BF44" s="190" t="n">
        <v>2.874236</v>
      </c>
      <c r="BG44" s="190" t="n">
        <v>2.9805242</v>
      </c>
      <c r="BH44" s="190" t="n">
        <v>3.0868124</v>
      </c>
      <c r="BI44" s="190" t="n">
        <v>3.18247178</v>
      </c>
      <c r="BJ44" s="190" t="n">
        <v>3.27813116</v>
      </c>
      <c r="BK44" s="190" t="n">
        <v>3.364224602</v>
      </c>
      <c r="BL44" s="190" t="n">
        <v>3.450318044</v>
      </c>
      <c r="BM44" s="190" t="n">
        <v>3.5278021418</v>
      </c>
      <c r="BN44" s="190" t="n">
        <v>3.6052862396</v>
      </c>
      <c r="BO44" s="190" t="n">
        <v>3.67502192762</v>
      </c>
      <c r="BP44" s="190" t="n">
        <v>3.74475761564</v>
      </c>
      <c r="BQ44" s="190" t="n">
        <v>3.81449330366</v>
      </c>
      <c r="BR44" s="190" t="n">
        <v>3.88422899168</v>
      </c>
      <c r="BS44" s="190" t="n">
        <v>3.9539646797</v>
      </c>
      <c r="BT44" s="190" t="n">
        <v>4.02370036772</v>
      </c>
      <c r="BU44" s="190" t="n">
        <v>4.09343605574</v>
      </c>
      <c r="BV44" s="190" t="n">
        <v>4.16317174376</v>
      </c>
      <c r="BW44" s="190" t="n">
        <v>4.23290743178</v>
      </c>
      <c r="BX44" s="190" t="n">
        <v>4.3026431198</v>
      </c>
      <c r="BY44" s="190" t="n">
        <v>4.37237880782</v>
      </c>
      <c r="BZ44" s="190" t="n">
        <v>4.44211449584</v>
      </c>
      <c r="CA44" s="190" t="n">
        <v>4.51185018386</v>
      </c>
      <c r="CB44" s="190" t="n">
        <v>4.58158587188</v>
      </c>
      <c r="CC44" s="190" t="n">
        <v>4.6513215599</v>
      </c>
      <c r="CD44" s="190" t="n">
        <v>4.72105724792</v>
      </c>
      <c r="CE44" s="190" t="n">
        <v>4.79079293594</v>
      </c>
      <c r="CF44" s="190" t="n">
        <v>4.86052862396</v>
      </c>
      <c r="CG44" s="190" t="n">
        <v>4.93026431198</v>
      </c>
      <c r="CH44" s="190" t="n">
        <v>5</v>
      </c>
      <c r="CI44" s="190" t="n">
        <v>5.06973568801999</v>
      </c>
      <c r="CJ44" s="190" t="n">
        <v>5.13947137603999</v>
      </c>
      <c r="CK44" s="190" t="n">
        <v>5.20920706405999</v>
      </c>
      <c r="CL44" s="190" t="n">
        <v>5.27894275207999</v>
      </c>
      <c r="CM44" s="190" t="n">
        <v>5.34867844009999</v>
      </c>
      <c r="CN44" s="190" t="n">
        <v>5.41841412811999</v>
      </c>
      <c r="CO44" s="190" t="n">
        <v>5.48814981613999</v>
      </c>
      <c r="CP44" s="190" t="n">
        <v>5.55788550415999</v>
      </c>
      <c r="CQ44" s="190" t="n">
        <v>5.62762119217999</v>
      </c>
      <c r="CR44" s="190" t="n">
        <v>5.69735688019999</v>
      </c>
      <c r="CS44" s="190" t="n">
        <v>5.76709256821999</v>
      </c>
      <c r="CT44" s="190" t="n">
        <v>5.83682825623999</v>
      </c>
      <c r="CU44" s="190" t="n">
        <v>5.90656394425999</v>
      </c>
      <c r="CV44" s="190" t="n">
        <v>5.97629963227999</v>
      </c>
      <c r="CW44" s="190" t="n">
        <v>6.04603532029999</v>
      </c>
      <c r="CX44" s="190" t="n">
        <v>6.11577100831999</v>
      </c>
      <c r="CY44" s="190" t="n">
        <v>6.18550669633999</v>
      </c>
      <c r="CZ44" s="190" t="n">
        <v>6.25524238435999</v>
      </c>
      <c r="DA44" s="190" t="n">
        <v>6.32497807237999</v>
      </c>
      <c r="DB44" s="190" t="n">
        <v>6.39471376039999</v>
      </c>
      <c r="DC44" s="190" t="n">
        <v>6.46444944841999</v>
      </c>
      <c r="DD44" s="190" t="n">
        <v>6.53418513643999</v>
      </c>
      <c r="DE44" s="190" t="n">
        <v>6.60392082445999</v>
      </c>
      <c r="DF44" s="190" t="n">
        <v>6.67365651247999</v>
      </c>
      <c r="DG44" s="190" t="n">
        <v>6.74339220049999</v>
      </c>
      <c r="DH44" s="190" t="n">
        <v>6.81312788851999</v>
      </c>
      <c r="DI44" s="190" t="n">
        <v>6.88286357653999</v>
      </c>
      <c r="DJ44" s="190" t="n">
        <v>6.95259926455999</v>
      </c>
      <c r="DK44" s="190" t="n">
        <v>7.02233495257999</v>
      </c>
      <c r="DL44" s="190" t="n">
        <v>7.09207064059999</v>
      </c>
      <c r="DM44" s="190" t="n">
        <v>7.16180632861999</v>
      </c>
      <c r="DN44" s="190" t="n">
        <v>7.23154201663999</v>
      </c>
      <c r="DO44" s="190" t="n">
        <v>7.30127770465999</v>
      </c>
      <c r="DP44" s="190" t="n">
        <v>7.37101339267999</v>
      </c>
      <c r="DQ44" s="190" t="n">
        <v>7.44074908069999</v>
      </c>
      <c r="DR44" s="190" t="n">
        <v>7.51048476871999</v>
      </c>
      <c r="DS44" s="190" t="n">
        <v>7.58022045673999</v>
      </c>
      <c r="DT44" s="190" t="n">
        <v>7.64995614475999</v>
      </c>
      <c r="DU44" s="190" t="n">
        <v>7.71969183277999</v>
      </c>
      <c r="DV44" s="190" t="n">
        <v>7.78942752079998</v>
      </c>
      <c r="DW44" s="190" t="n">
        <v>7.85916320881998</v>
      </c>
      <c r="DX44" s="190" t="n">
        <v>7.92889889683998</v>
      </c>
      <c r="DY44" s="190" t="n">
        <v>7.99863458485998</v>
      </c>
      <c r="DZ44" s="190" t="n">
        <v>8.06837027287998</v>
      </c>
      <c r="EA44" s="190" t="n">
        <v>8.13810596089998</v>
      </c>
      <c r="EB44" s="190" t="n">
        <v>8.20784164891998</v>
      </c>
      <c r="EC44" s="190" t="n">
        <v>8.27757733693998</v>
      </c>
      <c r="ED44" s="190" t="n">
        <v>8.34731302495998</v>
      </c>
      <c r="EE44" s="190" t="n">
        <v>8.41704871297998</v>
      </c>
      <c r="EF44" s="190" t="n">
        <v>8.48678440099998</v>
      </c>
      <c r="EG44" s="190" t="n">
        <v>8.55652008901998</v>
      </c>
      <c r="EH44" s="190" t="n">
        <v>8.62625577703998</v>
      </c>
      <c r="EI44" s="190" t="n">
        <v>8.69599146505998</v>
      </c>
      <c r="EJ44" s="190" t="n">
        <v>8.76572715307998</v>
      </c>
      <c r="EK44" s="190" t="n">
        <v>8.83546284109998</v>
      </c>
      <c r="EL44" s="180" t="n">
        <v>8.90519852911998</v>
      </c>
      <c r="EM44" s="180" t="n">
        <v>8.97493421713998</v>
      </c>
      <c r="EN44" s="180" t="n">
        <v>9.04466990515998</v>
      </c>
      <c r="EO44" s="180" t="n">
        <v>9.11440559317998</v>
      </c>
      <c r="EP44" s="180" t="n">
        <v>9.18414128119998</v>
      </c>
      <c r="EQ44" s="180" t="n">
        <v>9.25387696921998</v>
      </c>
      <c r="ER44" s="180" t="n">
        <v>9.32361265723998</v>
      </c>
      <c r="ES44" s="180" t="n">
        <v>9.39334834525998</v>
      </c>
      <c r="ET44" s="180" t="n">
        <v>9.46308403327998</v>
      </c>
      <c r="EU44" s="180" t="n">
        <v>9.53281972129998</v>
      </c>
      <c r="EV44" s="180" t="n">
        <v>9.60255540931998</v>
      </c>
      <c r="EW44" s="180" t="n">
        <v>9.67229109733998</v>
      </c>
      <c r="EX44" s="180" t="n">
        <v>9.74202678535998</v>
      </c>
      <c r="EY44" s="180" t="n">
        <v>9.81176247337998</v>
      </c>
      <c r="EZ44" s="180" t="n">
        <v>9.88149816139998</v>
      </c>
      <c r="FA44" s="180" t="n">
        <v>9.95123384941998</v>
      </c>
      <c r="FB44" s="180" t="n">
        <v>10.02096953744</v>
      </c>
      <c r="FC44" s="180" t="n">
        <v>10.09070522546</v>
      </c>
      <c r="FD44" s="180" t="n">
        <v>10.16044091348</v>
      </c>
      <c r="FE44" s="180" t="n">
        <v>10.2301766015</v>
      </c>
      <c r="FF44" s="180" t="n">
        <v>10.29991228952</v>
      </c>
      <c r="FG44" s="180" t="n">
        <v>10.36964797754</v>
      </c>
      <c r="FH44" s="180" t="n">
        <v>10.43938366556</v>
      </c>
      <c r="FI44" s="180" t="n">
        <v>10.50911935358</v>
      </c>
      <c r="FJ44" s="180" t="n">
        <v>10.5788550416</v>
      </c>
      <c r="FK44" s="180" t="n">
        <v>10.64859072962</v>
      </c>
      <c r="FL44" s="180" t="n">
        <v>10.71832641764</v>
      </c>
      <c r="FM44" s="180" t="n">
        <v>10.78806210566</v>
      </c>
      <c r="FN44" s="180" t="n">
        <v>10.85779779368</v>
      </c>
      <c r="FO44" s="180" t="n">
        <v>10.9275334817</v>
      </c>
      <c r="FP44" s="180" t="n">
        <v>10.99726916972</v>
      </c>
      <c r="FQ44" s="180" t="n">
        <v>11.06700485774</v>
      </c>
      <c r="FR44" s="180" t="n">
        <v>11.13674054576</v>
      </c>
      <c r="FS44" s="180" t="n">
        <v>11.20647623378</v>
      </c>
      <c r="FT44" s="180" t="n">
        <v>11.2762119218</v>
      </c>
      <c r="FU44" s="180" t="n">
        <v>11.34594760982</v>
      </c>
      <c r="FV44" s="180" t="n">
        <v>11.41568329784</v>
      </c>
      <c r="FW44" s="180" t="n">
        <v>11.48541898586</v>
      </c>
      <c r="FX44" s="180" t="n">
        <v>11.55515467388</v>
      </c>
      <c r="FY44" s="180" t="n">
        <v>11.6248903619</v>
      </c>
      <c r="FZ44" s="180" t="n">
        <v>11.69462604992</v>
      </c>
      <c r="GA44" s="180" t="n">
        <v>11.76436173794</v>
      </c>
      <c r="GB44" s="180" t="n">
        <v>11.83409742596</v>
      </c>
      <c r="GC44" s="180" t="n">
        <v>11.90383311398</v>
      </c>
      <c r="GD44" s="180" t="n">
        <v>11.973568802</v>
      </c>
      <c r="GE44" s="180" t="n">
        <v>12.04330449002</v>
      </c>
      <c r="GF44" s="180" t="n">
        <v>12.11304017804</v>
      </c>
      <c r="GG44" s="180" t="n">
        <v>12.18277586606</v>
      </c>
      <c r="GH44" s="180" t="n">
        <v>12.25251155408</v>
      </c>
      <c r="GI44" s="180" t="n">
        <v>12.3222472421</v>
      </c>
      <c r="GJ44" s="180" t="n">
        <v>12.39198293012</v>
      </c>
      <c r="GK44" s="180" t="n">
        <v>12.46171861814</v>
      </c>
      <c r="GL44" s="180" t="n">
        <v>12.53145430616</v>
      </c>
      <c r="GM44" s="180" t="n">
        <v>12.60118999418</v>
      </c>
      <c r="GN44" s="180" t="n">
        <v>12.6709256822</v>
      </c>
      <c r="GO44" s="180" t="n">
        <v>12.74066137022</v>
      </c>
      <c r="GP44" s="180" t="n">
        <v>12.81039705824</v>
      </c>
      <c r="GQ44" s="180" t="n">
        <v>12.88013274626</v>
      </c>
      <c r="GR44" s="180" t="n">
        <v>12.94986843428</v>
      </c>
      <c r="GS44" s="180" t="n">
        <v>13.0196041223</v>
      </c>
      <c r="GT44" s="180" t="n">
        <v>13.08933981032</v>
      </c>
      <c r="GU44" s="180" t="n">
        <v>13.15907549834</v>
      </c>
      <c r="GV44" s="180" t="n">
        <v>13.22881118636</v>
      </c>
      <c r="GW44" s="180" t="n">
        <v>13.29854687438</v>
      </c>
      <c r="GX44" s="180" t="n">
        <v>13.3682825624</v>
      </c>
      <c r="GY44" s="180" t="n">
        <v>13.43801825042</v>
      </c>
      <c r="GZ44" s="180" t="n">
        <v>13.50775393844</v>
      </c>
      <c r="HA44" s="180" t="n">
        <v>13.57748962646</v>
      </c>
      <c r="HB44" s="180" t="n">
        <v>13.64722531448</v>
      </c>
      <c r="HC44" s="180" t="n">
        <v>13.7169610025</v>
      </c>
      <c r="HD44" s="180" t="n">
        <v>13.78669669052</v>
      </c>
      <c r="HE44" s="180" t="n">
        <v>13.85643237854</v>
      </c>
      <c r="HF44" s="180" t="n">
        <v>13.92616806656</v>
      </c>
      <c r="HG44" s="180" t="n">
        <v>13.99590375458</v>
      </c>
      <c r="HH44" s="180" t="n">
        <v>14.0656394426</v>
      </c>
      <c r="HI44" s="180" t="n">
        <v>14.13537513062</v>
      </c>
      <c r="HJ44" s="180" t="n">
        <v>14.20511081864</v>
      </c>
      <c r="HK44" s="180" t="n">
        <v>14.27484650666</v>
      </c>
      <c r="HL44" s="180" t="n">
        <v>14.34458219468</v>
      </c>
      <c r="HM44" s="180" t="n">
        <v>14.4143178827</v>
      </c>
      <c r="HN44" s="180" t="n">
        <v>14.48405357072</v>
      </c>
      <c r="HO44" s="180" t="n">
        <v>14.55378925874</v>
      </c>
      <c r="HP44" s="180" t="n">
        <v>14.62352494676</v>
      </c>
      <c r="HQ44" s="180" t="n">
        <v>14.69326063478</v>
      </c>
      <c r="HR44" s="180" t="n">
        <v>14.7629963228</v>
      </c>
      <c r="HS44" s="180" t="n">
        <v>14.83273201082</v>
      </c>
      <c r="HT44" s="180" t="n">
        <v>14.90246769884</v>
      </c>
      <c r="HU44" s="180" t="n">
        <v>14.97220338686</v>
      </c>
      <c r="HV44" s="180" t="n">
        <v>15.04193907488</v>
      </c>
      <c r="HW44" s="180" t="n">
        <v>15.1116747629</v>
      </c>
      <c r="HX44" s="180" t="n">
        <v>15.18141045092</v>
      </c>
      <c r="HY44" s="180" t="n">
        <v>15.25114613894</v>
      </c>
      <c r="HZ44" s="180" t="n">
        <v>15.32088182696</v>
      </c>
      <c r="IA44" s="180" t="n">
        <v>15.39061751498</v>
      </c>
      <c r="IB44" s="180" t="n">
        <v>15.460353203</v>
      </c>
      <c r="IC44" s="180" t="n">
        <v>15.53008889102</v>
      </c>
      <c r="ID44" s="180" t="n">
        <v>15.59982457904</v>
      </c>
      <c r="IE44" s="180" t="n">
        <v>15.66956026706</v>
      </c>
      <c r="IF44" s="180" t="n">
        <v>15.73929595508</v>
      </c>
      <c r="IG44" s="180" t="n">
        <v>15.8090316431</v>
      </c>
      <c r="IH44" s="180" t="n">
        <v>15.87876733112</v>
      </c>
      <c r="II44" s="180" t="n">
        <v>15.94850301914</v>
      </c>
      <c r="IJ44" s="180" t="n">
        <v>16.01823870716</v>
      </c>
      <c r="IK44" s="180" t="n">
        <v>16.08797439518</v>
      </c>
      <c r="IL44" s="180" t="n">
        <v>16.1577100832</v>
      </c>
      <c r="IM44" s="180" t="n">
        <v>16.22744577122</v>
      </c>
      <c r="IN44" s="180" t="n">
        <v>16.29718145924</v>
      </c>
      <c r="IO44" s="180" t="n">
        <v>16.36691714726</v>
      </c>
      <c r="IP44" s="180" t="n">
        <v>16.43665283528</v>
      </c>
      <c r="IQ44" s="180" t="n">
        <v>16.5063885233</v>
      </c>
      <c r="IR44" s="180" t="n">
        <v>16.57612421132</v>
      </c>
      <c r="IS44" s="180" t="n">
        <v>16.64585989934</v>
      </c>
      <c r="IT44" s="180" t="n">
        <v>16.71559558736</v>
      </c>
      <c r="IU44" s="180" t="n">
        <v>16.78533127538</v>
      </c>
      <c r="IV44" s="180" t="n">
        <v>16.8550669634</v>
      </c>
    </row>
    <row r="45" customFormat="false" ht="12.75" hidden="false" customHeight="false" outlineLevel="0" collapsed="false">
      <c r="A45" s="189" t="n">
        <v>38047</v>
      </c>
      <c r="B45" s="185" t="n">
        <v>-2.021005929375</v>
      </c>
      <c r="C45" s="185" t="n">
        <v>-1.9907047400625</v>
      </c>
      <c r="D45" s="185" t="n">
        <v>-1.96040355075</v>
      </c>
      <c r="E45" s="185" t="n">
        <v>-1.9301023614375</v>
      </c>
      <c r="F45" s="185" t="n">
        <v>-1.899801172125</v>
      </c>
      <c r="G45" s="185" t="n">
        <v>-1.8694999828125</v>
      </c>
      <c r="H45" s="185" t="n">
        <v>-1.8391987935</v>
      </c>
      <c r="I45" s="185" t="n">
        <v>-1.8088976041875</v>
      </c>
      <c r="J45" s="185" t="n">
        <v>-1.778596414875</v>
      </c>
      <c r="K45" s="185" t="n">
        <v>-1.7482952255625</v>
      </c>
      <c r="L45" s="185" t="n">
        <v>-1.71799403625</v>
      </c>
      <c r="M45" s="185" t="n">
        <v>-1.6876928469375</v>
      </c>
      <c r="N45" s="185" t="n">
        <v>-1.657391657625</v>
      </c>
      <c r="O45" s="185" t="n">
        <v>-1.6270904683125</v>
      </c>
      <c r="P45" s="185" t="n">
        <v>-1.596789279</v>
      </c>
      <c r="Q45" s="185" t="n">
        <v>-1.5664880896875</v>
      </c>
      <c r="R45" s="185" t="n">
        <v>-1.536186900375</v>
      </c>
      <c r="S45" s="185" t="n">
        <v>-1.5058857110625</v>
      </c>
      <c r="T45" s="185" t="n">
        <v>-1.47558452175</v>
      </c>
      <c r="U45" s="185" t="n">
        <v>-1.4452833324375</v>
      </c>
      <c r="V45" s="186" t="n">
        <v>-1.414982143125</v>
      </c>
      <c r="W45" s="185" t="n">
        <v>-1.3846809538125</v>
      </c>
      <c r="X45" s="186" t="n">
        <v>-1.3543797645</v>
      </c>
      <c r="Y45" s="185" t="n">
        <v>-1.3240785751875</v>
      </c>
      <c r="Z45" s="186" t="n">
        <v>-1.293777385875</v>
      </c>
      <c r="AA45" s="185" t="n">
        <v>-1.2634761965625</v>
      </c>
      <c r="AB45" s="187" t="n">
        <v>-1.23317500725</v>
      </c>
      <c r="AC45" s="185" t="n">
        <v>-1.2028738179375</v>
      </c>
      <c r="AD45" s="187" t="n">
        <v>-1.172572628625</v>
      </c>
      <c r="AE45" s="185" t="n">
        <v>-1.1422714393125</v>
      </c>
      <c r="AF45" s="185" t="n">
        <v>-1.11197025</v>
      </c>
      <c r="AG45" s="190" t="n">
        <v>-1.083235125</v>
      </c>
      <c r="AH45" s="190" t="n">
        <v>-1.0545</v>
      </c>
      <c r="AI45" s="190" t="n">
        <v>-1.02725</v>
      </c>
      <c r="AJ45" s="190" t="n">
        <v>-1</v>
      </c>
      <c r="AK45" s="190" t="n">
        <v>-0.8</v>
      </c>
      <c r="AL45" s="190" t="n">
        <v>-0.6</v>
      </c>
      <c r="AM45" s="190" t="n">
        <v>-0.4</v>
      </c>
      <c r="AN45" s="190" t="n">
        <v>-0.2</v>
      </c>
      <c r="AO45" s="190" t="n">
        <v>0</v>
      </c>
      <c r="AP45" s="190" t="n">
        <v>0.2</v>
      </c>
      <c r="AQ45" s="190" t="n">
        <v>0.4</v>
      </c>
      <c r="AR45" s="190" t="n">
        <v>0.6</v>
      </c>
      <c r="AS45" s="190" t="n">
        <v>0.8</v>
      </c>
      <c r="AT45" s="190" t="n">
        <v>1</v>
      </c>
      <c r="AU45" s="190" t="n">
        <v>1.2</v>
      </c>
      <c r="AV45" s="190" t="n">
        <v>1.4</v>
      </c>
      <c r="AW45" s="190" t="n">
        <v>1.58</v>
      </c>
      <c r="AX45" s="190" t="n">
        <v>1.76</v>
      </c>
      <c r="AY45" s="190" t="n">
        <v>1.922</v>
      </c>
      <c r="AZ45" s="190" t="n">
        <v>2.084</v>
      </c>
      <c r="BA45" s="190" t="n">
        <v>2.2298</v>
      </c>
      <c r="BB45" s="190" t="n">
        <v>2.3756</v>
      </c>
      <c r="BC45" s="190" t="n">
        <v>2.50682</v>
      </c>
      <c r="BD45" s="190" t="n">
        <v>2.63804</v>
      </c>
      <c r="BE45" s="190" t="n">
        <v>2.756138</v>
      </c>
      <c r="BF45" s="190" t="n">
        <v>2.874236</v>
      </c>
      <c r="BG45" s="190" t="n">
        <v>2.9805242</v>
      </c>
      <c r="BH45" s="190" t="n">
        <v>3.0868124</v>
      </c>
      <c r="BI45" s="190" t="n">
        <v>3.18247178</v>
      </c>
      <c r="BJ45" s="190" t="n">
        <v>3.27813116</v>
      </c>
      <c r="BK45" s="190" t="n">
        <v>3.364224602</v>
      </c>
      <c r="BL45" s="190" t="n">
        <v>3.450318044</v>
      </c>
      <c r="BM45" s="190" t="n">
        <v>3.5278021418</v>
      </c>
      <c r="BN45" s="190" t="n">
        <v>3.6052862396</v>
      </c>
      <c r="BO45" s="190" t="n">
        <v>3.67502192762</v>
      </c>
      <c r="BP45" s="190" t="n">
        <v>3.74475761564</v>
      </c>
      <c r="BQ45" s="190" t="n">
        <v>3.81449330366</v>
      </c>
      <c r="BR45" s="190" t="n">
        <v>3.88422899168</v>
      </c>
      <c r="BS45" s="190" t="n">
        <v>3.9539646797</v>
      </c>
      <c r="BT45" s="190" t="n">
        <v>4.02370036772</v>
      </c>
      <c r="BU45" s="190" t="n">
        <v>4.09343605574</v>
      </c>
      <c r="BV45" s="190" t="n">
        <v>4.16317174376</v>
      </c>
      <c r="BW45" s="190" t="n">
        <v>4.23290743178</v>
      </c>
      <c r="BX45" s="190" t="n">
        <v>4.3026431198</v>
      </c>
      <c r="BY45" s="190" t="n">
        <v>4.37237880782</v>
      </c>
      <c r="BZ45" s="190" t="n">
        <v>4.44211449584</v>
      </c>
      <c r="CA45" s="190" t="n">
        <v>4.51185018386</v>
      </c>
      <c r="CB45" s="190" t="n">
        <v>4.58158587188</v>
      </c>
      <c r="CC45" s="190" t="n">
        <v>4.6513215599</v>
      </c>
      <c r="CD45" s="190" t="n">
        <v>4.72105724792</v>
      </c>
      <c r="CE45" s="190" t="n">
        <v>4.79079293594</v>
      </c>
      <c r="CF45" s="190" t="n">
        <v>4.86052862396</v>
      </c>
      <c r="CG45" s="190" t="n">
        <v>4.93026431198</v>
      </c>
      <c r="CH45" s="190" t="n">
        <v>5</v>
      </c>
      <c r="CI45" s="190" t="n">
        <v>5.06973568801999</v>
      </c>
      <c r="CJ45" s="190" t="n">
        <v>5.13947137603999</v>
      </c>
      <c r="CK45" s="190" t="n">
        <v>5.20920706405999</v>
      </c>
      <c r="CL45" s="190" t="n">
        <v>5.27894275207999</v>
      </c>
      <c r="CM45" s="190" t="n">
        <v>5.34867844009999</v>
      </c>
      <c r="CN45" s="190" t="n">
        <v>5.41841412811999</v>
      </c>
      <c r="CO45" s="190" t="n">
        <v>5.48814981613999</v>
      </c>
      <c r="CP45" s="190" t="n">
        <v>5.55788550415999</v>
      </c>
      <c r="CQ45" s="190" t="n">
        <v>5.62762119217999</v>
      </c>
      <c r="CR45" s="190" t="n">
        <v>5.69735688019999</v>
      </c>
      <c r="CS45" s="190" t="n">
        <v>5.76709256821999</v>
      </c>
      <c r="CT45" s="190" t="n">
        <v>5.83682825623999</v>
      </c>
      <c r="CU45" s="190" t="n">
        <v>5.90656394425999</v>
      </c>
      <c r="CV45" s="190" t="n">
        <v>5.97629963227999</v>
      </c>
      <c r="CW45" s="190" t="n">
        <v>6.04603532029999</v>
      </c>
      <c r="CX45" s="190" t="n">
        <v>6.11577100831999</v>
      </c>
      <c r="CY45" s="190" t="n">
        <v>6.18550669633999</v>
      </c>
      <c r="CZ45" s="190" t="n">
        <v>6.25524238435999</v>
      </c>
      <c r="DA45" s="190" t="n">
        <v>6.32497807237999</v>
      </c>
      <c r="DB45" s="190" t="n">
        <v>6.39471376039999</v>
      </c>
      <c r="DC45" s="190" t="n">
        <v>6.46444944841999</v>
      </c>
      <c r="DD45" s="190" t="n">
        <v>6.53418513643999</v>
      </c>
      <c r="DE45" s="190" t="n">
        <v>6.60392082445999</v>
      </c>
      <c r="DF45" s="190" t="n">
        <v>6.67365651247999</v>
      </c>
      <c r="DG45" s="190" t="n">
        <v>6.74339220049999</v>
      </c>
      <c r="DH45" s="190" t="n">
        <v>6.81312788851999</v>
      </c>
      <c r="DI45" s="190" t="n">
        <v>6.88286357653999</v>
      </c>
      <c r="DJ45" s="190" t="n">
        <v>6.95259926455999</v>
      </c>
      <c r="DK45" s="190" t="n">
        <v>7.02233495257999</v>
      </c>
      <c r="DL45" s="190" t="n">
        <v>7.09207064059999</v>
      </c>
      <c r="DM45" s="190" t="n">
        <v>7.16180632861999</v>
      </c>
      <c r="DN45" s="190" t="n">
        <v>7.23154201663999</v>
      </c>
      <c r="DO45" s="190" t="n">
        <v>7.30127770465999</v>
      </c>
      <c r="DP45" s="190" t="n">
        <v>7.37101339267999</v>
      </c>
      <c r="DQ45" s="190" t="n">
        <v>7.44074908069999</v>
      </c>
      <c r="DR45" s="190" t="n">
        <v>7.51048476871999</v>
      </c>
      <c r="DS45" s="190" t="n">
        <v>7.58022045673999</v>
      </c>
      <c r="DT45" s="190" t="n">
        <v>7.64995614475999</v>
      </c>
      <c r="DU45" s="190" t="n">
        <v>7.71969183277999</v>
      </c>
      <c r="DV45" s="190" t="n">
        <v>7.78942752079998</v>
      </c>
      <c r="DW45" s="190" t="n">
        <v>7.85916320881998</v>
      </c>
      <c r="DX45" s="190" t="n">
        <v>7.92889889683998</v>
      </c>
      <c r="DY45" s="190" t="n">
        <v>7.99863458485998</v>
      </c>
      <c r="DZ45" s="190" t="n">
        <v>8.06837027287998</v>
      </c>
      <c r="EA45" s="190" t="n">
        <v>8.13810596089998</v>
      </c>
      <c r="EB45" s="190" t="n">
        <v>8.20784164891998</v>
      </c>
      <c r="EC45" s="190" t="n">
        <v>8.27757733693998</v>
      </c>
      <c r="ED45" s="190" t="n">
        <v>8.34731302495998</v>
      </c>
      <c r="EE45" s="190" t="n">
        <v>8.41704871297998</v>
      </c>
      <c r="EF45" s="190" t="n">
        <v>8.48678440099998</v>
      </c>
      <c r="EG45" s="190" t="n">
        <v>8.55652008901998</v>
      </c>
      <c r="EH45" s="190" t="n">
        <v>8.62625577703998</v>
      </c>
      <c r="EI45" s="190" t="n">
        <v>8.69599146505998</v>
      </c>
      <c r="EJ45" s="190" t="n">
        <v>8.76572715307998</v>
      </c>
      <c r="EK45" s="190" t="n">
        <v>8.83546284109998</v>
      </c>
      <c r="EL45" s="180" t="n">
        <v>8.90519852911998</v>
      </c>
      <c r="EM45" s="180" t="n">
        <v>8.97493421713998</v>
      </c>
      <c r="EN45" s="180" t="n">
        <v>9.04466990515998</v>
      </c>
      <c r="EO45" s="180" t="n">
        <v>9.11440559317998</v>
      </c>
      <c r="EP45" s="180" t="n">
        <v>9.18414128119998</v>
      </c>
      <c r="EQ45" s="180" t="n">
        <v>9.25387696921998</v>
      </c>
      <c r="ER45" s="180" t="n">
        <v>9.32361265723998</v>
      </c>
      <c r="ES45" s="180" t="n">
        <v>9.39334834525998</v>
      </c>
      <c r="ET45" s="180" t="n">
        <v>9.46308403327998</v>
      </c>
      <c r="EU45" s="180" t="n">
        <v>9.53281972129998</v>
      </c>
      <c r="EV45" s="180" t="n">
        <v>9.60255540931998</v>
      </c>
      <c r="EW45" s="180" t="n">
        <v>9.67229109733998</v>
      </c>
      <c r="EX45" s="180" t="n">
        <v>9.74202678535998</v>
      </c>
      <c r="EY45" s="180" t="n">
        <v>9.81176247337998</v>
      </c>
      <c r="EZ45" s="180" t="n">
        <v>9.88149816139998</v>
      </c>
      <c r="FA45" s="180" t="n">
        <v>9.95123384941998</v>
      </c>
      <c r="FB45" s="180" t="n">
        <v>10.02096953744</v>
      </c>
      <c r="FC45" s="180" t="n">
        <v>10.09070522546</v>
      </c>
      <c r="FD45" s="180" t="n">
        <v>10.16044091348</v>
      </c>
      <c r="FE45" s="180" t="n">
        <v>10.2301766015</v>
      </c>
      <c r="FF45" s="180" t="n">
        <v>10.29991228952</v>
      </c>
      <c r="FG45" s="180" t="n">
        <v>10.36964797754</v>
      </c>
      <c r="FH45" s="180" t="n">
        <v>10.43938366556</v>
      </c>
      <c r="FI45" s="180" t="n">
        <v>10.50911935358</v>
      </c>
      <c r="FJ45" s="180" t="n">
        <v>10.5788550416</v>
      </c>
      <c r="FK45" s="180" t="n">
        <v>10.64859072962</v>
      </c>
      <c r="FL45" s="180" t="n">
        <v>10.71832641764</v>
      </c>
      <c r="FM45" s="180" t="n">
        <v>10.78806210566</v>
      </c>
      <c r="FN45" s="180" t="n">
        <v>10.85779779368</v>
      </c>
      <c r="FO45" s="180" t="n">
        <v>10.9275334817</v>
      </c>
      <c r="FP45" s="180" t="n">
        <v>10.99726916972</v>
      </c>
      <c r="FQ45" s="180" t="n">
        <v>11.06700485774</v>
      </c>
      <c r="FR45" s="180" t="n">
        <v>11.13674054576</v>
      </c>
      <c r="FS45" s="180" t="n">
        <v>11.20647623378</v>
      </c>
      <c r="FT45" s="180" t="n">
        <v>11.2762119218</v>
      </c>
      <c r="FU45" s="180" t="n">
        <v>11.34594760982</v>
      </c>
      <c r="FV45" s="180" t="n">
        <v>11.41568329784</v>
      </c>
      <c r="FW45" s="180" t="n">
        <v>11.48541898586</v>
      </c>
      <c r="FX45" s="180" t="n">
        <v>11.55515467388</v>
      </c>
      <c r="FY45" s="180" t="n">
        <v>11.6248903619</v>
      </c>
      <c r="FZ45" s="180" t="n">
        <v>11.69462604992</v>
      </c>
      <c r="GA45" s="180" t="n">
        <v>11.76436173794</v>
      </c>
      <c r="GB45" s="180" t="n">
        <v>11.83409742596</v>
      </c>
      <c r="GC45" s="180" t="n">
        <v>11.90383311398</v>
      </c>
      <c r="GD45" s="180" t="n">
        <v>11.973568802</v>
      </c>
      <c r="GE45" s="180" t="n">
        <v>12.04330449002</v>
      </c>
      <c r="GF45" s="180" t="n">
        <v>12.11304017804</v>
      </c>
      <c r="GG45" s="180" t="n">
        <v>12.18277586606</v>
      </c>
      <c r="GH45" s="180" t="n">
        <v>12.25251155408</v>
      </c>
      <c r="GI45" s="180" t="n">
        <v>12.3222472421</v>
      </c>
      <c r="GJ45" s="180" t="n">
        <v>12.39198293012</v>
      </c>
      <c r="GK45" s="180" t="n">
        <v>12.46171861814</v>
      </c>
      <c r="GL45" s="180" t="n">
        <v>12.53145430616</v>
      </c>
      <c r="GM45" s="180" t="n">
        <v>12.60118999418</v>
      </c>
      <c r="GN45" s="180" t="n">
        <v>12.6709256822</v>
      </c>
      <c r="GO45" s="180" t="n">
        <v>12.74066137022</v>
      </c>
      <c r="GP45" s="180" t="n">
        <v>12.81039705824</v>
      </c>
      <c r="GQ45" s="180" t="n">
        <v>12.88013274626</v>
      </c>
      <c r="GR45" s="180" t="n">
        <v>12.94986843428</v>
      </c>
      <c r="GS45" s="180" t="n">
        <v>13.0196041223</v>
      </c>
      <c r="GT45" s="180" t="n">
        <v>13.08933981032</v>
      </c>
      <c r="GU45" s="180" t="n">
        <v>13.15907549834</v>
      </c>
      <c r="GV45" s="180" t="n">
        <v>13.22881118636</v>
      </c>
      <c r="GW45" s="180" t="n">
        <v>13.29854687438</v>
      </c>
      <c r="GX45" s="180" t="n">
        <v>13.3682825624</v>
      </c>
      <c r="GY45" s="180" t="n">
        <v>13.43801825042</v>
      </c>
      <c r="GZ45" s="180" t="n">
        <v>13.50775393844</v>
      </c>
      <c r="HA45" s="180" t="n">
        <v>13.57748962646</v>
      </c>
      <c r="HB45" s="180" t="n">
        <v>13.64722531448</v>
      </c>
      <c r="HC45" s="180" t="n">
        <v>13.7169610025</v>
      </c>
      <c r="HD45" s="180" t="n">
        <v>13.78669669052</v>
      </c>
      <c r="HE45" s="180" t="n">
        <v>13.85643237854</v>
      </c>
      <c r="HF45" s="180" t="n">
        <v>13.92616806656</v>
      </c>
      <c r="HG45" s="180" t="n">
        <v>13.99590375458</v>
      </c>
      <c r="HH45" s="180" t="n">
        <v>14.0656394426</v>
      </c>
      <c r="HI45" s="180" t="n">
        <v>14.13537513062</v>
      </c>
      <c r="HJ45" s="180" t="n">
        <v>14.20511081864</v>
      </c>
      <c r="HK45" s="180" t="n">
        <v>14.27484650666</v>
      </c>
      <c r="HL45" s="180" t="n">
        <v>14.34458219468</v>
      </c>
      <c r="HM45" s="180" t="n">
        <v>14.4143178827</v>
      </c>
      <c r="HN45" s="180" t="n">
        <v>14.48405357072</v>
      </c>
      <c r="HO45" s="180" t="n">
        <v>14.55378925874</v>
      </c>
      <c r="HP45" s="180" t="n">
        <v>14.62352494676</v>
      </c>
      <c r="HQ45" s="180" t="n">
        <v>14.69326063478</v>
      </c>
      <c r="HR45" s="180" t="n">
        <v>14.7629963228</v>
      </c>
      <c r="HS45" s="180" t="n">
        <v>14.83273201082</v>
      </c>
      <c r="HT45" s="180" t="n">
        <v>14.90246769884</v>
      </c>
      <c r="HU45" s="180" t="n">
        <v>14.97220338686</v>
      </c>
      <c r="HV45" s="180" t="n">
        <v>15.04193907488</v>
      </c>
      <c r="HW45" s="180" t="n">
        <v>15.1116747629</v>
      </c>
      <c r="HX45" s="180" t="n">
        <v>15.18141045092</v>
      </c>
      <c r="HY45" s="180" t="n">
        <v>15.25114613894</v>
      </c>
      <c r="HZ45" s="180" t="n">
        <v>15.32088182696</v>
      </c>
      <c r="IA45" s="180" t="n">
        <v>15.39061751498</v>
      </c>
      <c r="IB45" s="180" t="n">
        <v>15.460353203</v>
      </c>
      <c r="IC45" s="180" t="n">
        <v>15.53008889102</v>
      </c>
      <c r="ID45" s="180" t="n">
        <v>15.59982457904</v>
      </c>
      <c r="IE45" s="180" t="n">
        <v>15.66956026706</v>
      </c>
      <c r="IF45" s="180" t="n">
        <v>15.73929595508</v>
      </c>
      <c r="IG45" s="180" t="n">
        <v>15.8090316431</v>
      </c>
      <c r="IH45" s="180" t="n">
        <v>15.87876733112</v>
      </c>
      <c r="II45" s="180" t="n">
        <v>15.94850301914</v>
      </c>
      <c r="IJ45" s="180" t="n">
        <v>16.01823870716</v>
      </c>
      <c r="IK45" s="180" t="n">
        <v>16.08797439518</v>
      </c>
      <c r="IL45" s="180" t="n">
        <v>16.1577100832</v>
      </c>
      <c r="IM45" s="180" t="n">
        <v>16.22744577122</v>
      </c>
      <c r="IN45" s="180" t="n">
        <v>16.29718145924</v>
      </c>
      <c r="IO45" s="180" t="n">
        <v>16.36691714726</v>
      </c>
      <c r="IP45" s="180" t="n">
        <v>16.43665283528</v>
      </c>
      <c r="IQ45" s="180" t="n">
        <v>16.5063885233</v>
      </c>
      <c r="IR45" s="180" t="n">
        <v>16.57612421132</v>
      </c>
      <c r="IS45" s="180" t="n">
        <v>16.64585989934</v>
      </c>
      <c r="IT45" s="180" t="n">
        <v>16.71559558736</v>
      </c>
      <c r="IU45" s="180" t="n">
        <v>16.78533127538</v>
      </c>
      <c r="IV45" s="180" t="n">
        <v>16.8550669634</v>
      </c>
    </row>
    <row r="46" customFormat="false" ht="12.75" hidden="false" customHeight="false" outlineLevel="0" collapsed="false">
      <c r="A46" s="189" t="n">
        <v>38078</v>
      </c>
      <c r="B46" s="185" t="n">
        <v>-2.021005929375</v>
      </c>
      <c r="C46" s="185" t="n">
        <v>-1.9907047400625</v>
      </c>
      <c r="D46" s="185" t="n">
        <v>-1.96040355075</v>
      </c>
      <c r="E46" s="185" t="n">
        <v>-1.9301023614375</v>
      </c>
      <c r="F46" s="185" t="n">
        <v>-1.899801172125</v>
      </c>
      <c r="G46" s="185" t="n">
        <v>-1.8694999828125</v>
      </c>
      <c r="H46" s="185" t="n">
        <v>-1.8391987935</v>
      </c>
      <c r="I46" s="185" t="n">
        <v>-1.8088976041875</v>
      </c>
      <c r="J46" s="185" t="n">
        <v>-1.778596414875</v>
      </c>
      <c r="K46" s="185" t="n">
        <v>-1.7482952255625</v>
      </c>
      <c r="L46" s="185" t="n">
        <v>-1.71799403625</v>
      </c>
      <c r="M46" s="185" t="n">
        <v>-1.6876928469375</v>
      </c>
      <c r="N46" s="185" t="n">
        <v>-1.657391657625</v>
      </c>
      <c r="O46" s="185" t="n">
        <v>-1.6270904683125</v>
      </c>
      <c r="P46" s="185" t="n">
        <v>-1.596789279</v>
      </c>
      <c r="Q46" s="185" t="n">
        <v>-1.5664880896875</v>
      </c>
      <c r="R46" s="185" t="n">
        <v>-1.536186900375</v>
      </c>
      <c r="S46" s="185" t="n">
        <v>-1.5058857110625</v>
      </c>
      <c r="T46" s="185" t="n">
        <v>-1.47558452175</v>
      </c>
      <c r="U46" s="185" t="n">
        <v>-1.4452833324375</v>
      </c>
      <c r="V46" s="186" t="n">
        <v>-1.414982143125</v>
      </c>
      <c r="W46" s="185" t="n">
        <v>-1.3846809538125</v>
      </c>
      <c r="X46" s="186" t="n">
        <v>-1.3543797645</v>
      </c>
      <c r="Y46" s="185" t="n">
        <v>-1.3240785751875</v>
      </c>
      <c r="Z46" s="186" t="n">
        <v>-1.293777385875</v>
      </c>
      <c r="AA46" s="185" t="n">
        <v>-1.2634761965625</v>
      </c>
      <c r="AB46" s="187" t="n">
        <v>-1.23317500725</v>
      </c>
      <c r="AC46" s="185" t="n">
        <v>-1.2028738179375</v>
      </c>
      <c r="AD46" s="187" t="n">
        <v>-1.172572628625</v>
      </c>
      <c r="AE46" s="185" t="n">
        <v>-1.1422714393125</v>
      </c>
      <c r="AF46" s="185" t="n">
        <v>-1.11197025</v>
      </c>
      <c r="AG46" s="190" t="n">
        <v>-1.083235125</v>
      </c>
      <c r="AH46" s="190" t="n">
        <v>-1.0545</v>
      </c>
      <c r="AI46" s="190" t="n">
        <v>-1.02725</v>
      </c>
      <c r="AJ46" s="190" t="n">
        <v>-1</v>
      </c>
      <c r="AK46" s="190" t="n">
        <v>-0.8</v>
      </c>
      <c r="AL46" s="190" t="n">
        <v>-0.6</v>
      </c>
      <c r="AM46" s="190" t="n">
        <v>-0.4</v>
      </c>
      <c r="AN46" s="190" t="n">
        <v>-0.2</v>
      </c>
      <c r="AO46" s="190" t="n">
        <v>0</v>
      </c>
      <c r="AP46" s="190" t="n">
        <v>0.2</v>
      </c>
      <c r="AQ46" s="190" t="n">
        <v>0.4</v>
      </c>
      <c r="AR46" s="190" t="n">
        <v>0.6</v>
      </c>
      <c r="AS46" s="190" t="n">
        <v>0.8</v>
      </c>
      <c r="AT46" s="190" t="n">
        <v>1</v>
      </c>
      <c r="AU46" s="190" t="n">
        <v>1.2</v>
      </c>
      <c r="AV46" s="190" t="n">
        <v>1.4</v>
      </c>
      <c r="AW46" s="190" t="n">
        <v>1.58</v>
      </c>
      <c r="AX46" s="190" t="n">
        <v>1.76</v>
      </c>
      <c r="AY46" s="190" t="n">
        <v>1.922</v>
      </c>
      <c r="AZ46" s="190" t="n">
        <v>2.084</v>
      </c>
      <c r="BA46" s="190" t="n">
        <v>2.2298</v>
      </c>
      <c r="BB46" s="190" t="n">
        <v>2.3756</v>
      </c>
      <c r="BC46" s="190" t="n">
        <v>2.50682</v>
      </c>
      <c r="BD46" s="190" t="n">
        <v>2.63804</v>
      </c>
      <c r="BE46" s="190" t="n">
        <v>2.756138</v>
      </c>
      <c r="BF46" s="190" t="n">
        <v>2.874236</v>
      </c>
      <c r="BG46" s="190" t="n">
        <v>2.9805242</v>
      </c>
      <c r="BH46" s="190" t="n">
        <v>3.0868124</v>
      </c>
      <c r="BI46" s="190" t="n">
        <v>3.18247178</v>
      </c>
      <c r="BJ46" s="190" t="n">
        <v>3.27813116</v>
      </c>
      <c r="BK46" s="190" t="n">
        <v>3.364224602</v>
      </c>
      <c r="BL46" s="190" t="n">
        <v>3.450318044</v>
      </c>
      <c r="BM46" s="190" t="n">
        <v>3.5278021418</v>
      </c>
      <c r="BN46" s="190" t="n">
        <v>3.6052862396</v>
      </c>
      <c r="BO46" s="190" t="n">
        <v>3.67502192762</v>
      </c>
      <c r="BP46" s="190" t="n">
        <v>3.74475761564</v>
      </c>
      <c r="BQ46" s="190" t="n">
        <v>3.81449330366</v>
      </c>
      <c r="BR46" s="190" t="n">
        <v>3.88422899168</v>
      </c>
      <c r="BS46" s="190" t="n">
        <v>3.9539646797</v>
      </c>
      <c r="BT46" s="190" t="n">
        <v>4.02370036772</v>
      </c>
      <c r="BU46" s="190" t="n">
        <v>4.09343605574</v>
      </c>
      <c r="BV46" s="190" t="n">
        <v>4.16317174376</v>
      </c>
      <c r="BW46" s="190" t="n">
        <v>4.23290743178</v>
      </c>
      <c r="BX46" s="190" t="n">
        <v>4.3026431198</v>
      </c>
      <c r="BY46" s="190" t="n">
        <v>4.37237880782</v>
      </c>
      <c r="BZ46" s="190" t="n">
        <v>4.44211449584</v>
      </c>
      <c r="CA46" s="190" t="n">
        <v>4.51185018386</v>
      </c>
      <c r="CB46" s="190" t="n">
        <v>4.58158587188</v>
      </c>
      <c r="CC46" s="190" t="n">
        <v>4.6513215599</v>
      </c>
      <c r="CD46" s="190" t="n">
        <v>4.72105724792</v>
      </c>
      <c r="CE46" s="190" t="n">
        <v>4.79079293594</v>
      </c>
      <c r="CF46" s="190" t="n">
        <v>4.86052862396</v>
      </c>
      <c r="CG46" s="190" t="n">
        <v>4.93026431198</v>
      </c>
      <c r="CH46" s="190" t="n">
        <v>5</v>
      </c>
      <c r="CI46" s="190" t="n">
        <v>5.06973568801999</v>
      </c>
      <c r="CJ46" s="190" t="n">
        <v>5.13947137603999</v>
      </c>
      <c r="CK46" s="190" t="n">
        <v>5.20920706405999</v>
      </c>
      <c r="CL46" s="190" t="n">
        <v>5.27894275207999</v>
      </c>
      <c r="CM46" s="190" t="n">
        <v>5.34867844009999</v>
      </c>
      <c r="CN46" s="190" t="n">
        <v>5.41841412811999</v>
      </c>
      <c r="CO46" s="190" t="n">
        <v>5.48814981613999</v>
      </c>
      <c r="CP46" s="190" t="n">
        <v>5.55788550415999</v>
      </c>
      <c r="CQ46" s="190" t="n">
        <v>5.62762119217999</v>
      </c>
      <c r="CR46" s="190" t="n">
        <v>5.69735688019999</v>
      </c>
      <c r="CS46" s="190" t="n">
        <v>5.76709256821999</v>
      </c>
      <c r="CT46" s="190" t="n">
        <v>5.83682825623999</v>
      </c>
      <c r="CU46" s="190" t="n">
        <v>5.90656394425999</v>
      </c>
      <c r="CV46" s="190" t="n">
        <v>5.97629963227999</v>
      </c>
      <c r="CW46" s="190" t="n">
        <v>6.04603532029999</v>
      </c>
      <c r="CX46" s="190" t="n">
        <v>6.11577100831999</v>
      </c>
      <c r="CY46" s="190" t="n">
        <v>6.18550669633999</v>
      </c>
      <c r="CZ46" s="190" t="n">
        <v>6.25524238435999</v>
      </c>
      <c r="DA46" s="190" t="n">
        <v>6.32497807237999</v>
      </c>
      <c r="DB46" s="190" t="n">
        <v>6.39471376039999</v>
      </c>
      <c r="DC46" s="190" t="n">
        <v>6.46444944841999</v>
      </c>
      <c r="DD46" s="190" t="n">
        <v>6.53418513643999</v>
      </c>
      <c r="DE46" s="190" t="n">
        <v>6.60392082445999</v>
      </c>
      <c r="DF46" s="190" t="n">
        <v>6.67365651247999</v>
      </c>
      <c r="DG46" s="190" t="n">
        <v>6.74339220049999</v>
      </c>
      <c r="DH46" s="190" t="n">
        <v>6.81312788851999</v>
      </c>
      <c r="DI46" s="190" t="n">
        <v>6.88286357653999</v>
      </c>
      <c r="DJ46" s="190" t="n">
        <v>6.95259926455999</v>
      </c>
      <c r="DK46" s="190" t="n">
        <v>7.02233495257999</v>
      </c>
      <c r="DL46" s="190" t="n">
        <v>7.09207064059999</v>
      </c>
      <c r="DM46" s="190" t="n">
        <v>7.16180632861999</v>
      </c>
      <c r="DN46" s="190" t="n">
        <v>7.23154201663999</v>
      </c>
      <c r="DO46" s="190" t="n">
        <v>7.30127770465999</v>
      </c>
      <c r="DP46" s="190" t="n">
        <v>7.37101339267999</v>
      </c>
      <c r="DQ46" s="190" t="n">
        <v>7.44074908069999</v>
      </c>
      <c r="DR46" s="190" t="n">
        <v>7.51048476871999</v>
      </c>
      <c r="DS46" s="190" t="n">
        <v>7.58022045673999</v>
      </c>
      <c r="DT46" s="190" t="n">
        <v>7.64995614475999</v>
      </c>
      <c r="DU46" s="190" t="n">
        <v>7.71969183277999</v>
      </c>
      <c r="DV46" s="190" t="n">
        <v>7.78942752079998</v>
      </c>
      <c r="DW46" s="190" t="n">
        <v>7.85916320881998</v>
      </c>
      <c r="DX46" s="190" t="n">
        <v>7.92889889683998</v>
      </c>
      <c r="DY46" s="190" t="n">
        <v>7.99863458485998</v>
      </c>
      <c r="DZ46" s="190" t="n">
        <v>8.06837027287998</v>
      </c>
      <c r="EA46" s="190" t="n">
        <v>8.13810596089998</v>
      </c>
      <c r="EB46" s="190" t="n">
        <v>8.20784164891998</v>
      </c>
      <c r="EC46" s="190" t="n">
        <v>8.27757733693998</v>
      </c>
      <c r="ED46" s="190" t="n">
        <v>8.34731302495998</v>
      </c>
      <c r="EE46" s="190" t="n">
        <v>8.41704871297998</v>
      </c>
      <c r="EF46" s="190" t="n">
        <v>8.48678440099998</v>
      </c>
      <c r="EG46" s="190" t="n">
        <v>8.55652008901998</v>
      </c>
      <c r="EH46" s="190" t="n">
        <v>8.62625577703998</v>
      </c>
      <c r="EI46" s="190" t="n">
        <v>8.69599146505998</v>
      </c>
      <c r="EJ46" s="190" t="n">
        <v>8.76572715307998</v>
      </c>
      <c r="EK46" s="190" t="n">
        <v>8.83546284109998</v>
      </c>
      <c r="EL46" s="180" t="n">
        <v>8.90519852911998</v>
      </c>
      <c r="EM46" s="180" t="n">
        <v>8.97493421713998</v>
      </c>
      <c r="EN46" s="180" t="n">
        <v>9.04466990515998</v>
      </c>
      <c r="EO46" s="180" t="n">
        <v>9.11440559317998</v>
      </c>
      <c r="EP46" s="180" t="n">
        <v>9.18414128119998</v>
      </c>
      <c r="EQ46" s="180" t="n">
        <v>9.25387696921998</v>
      </c>
      <c r="ER46" s="180" t="n">
        <v>9.32361265723998</v>
      </c>
      <c r="ES46" s="180" t="n">
        <v>9.39334834525998</v>
      </c>
      <c r="ET46" s="180" t="n">
        <v>9.46308403327998</v>
      </c>
      <c r="EU46" s="180" t="n">
        <v>9.53281972129998</v>
      </c>
      <c r="EV46" s="180" t="n">
        <v>9.60255540931998</v>
      </c>
      <c r="EW46" s="180" t="n">
        <v>9.67229109733998</v>
      </c>
      <c r="EX46" s="180" t="n">
        <v>9.74202678535998</v>
      </c>
      <c r="EY46" s="180" t="n">
        <v>9.81176247337998</v>
      </c>
      <c r="EZ46" s="180" t="n">
        <v>9.88149816139998</v>
      </c>
      <c r="FA46" s="180" t="n">
        <v>9.95123384941998</v>
      </c>
      <c r="FB46" s="180" t="n">
        <v>10.02096953744</v>
      </c>
      <c r="FC46" s="180" t="n">
        <v>10.09070522546</v>
      </c>
      <c r="FD46" s="180" t="n">
        <v>10.16044091348</v>
      </c>
      <c r="FE46" s="180" t="n">
        <v>10.2301766015</v>
      </c>
      <c r="FF46" s="180" t="n">
        <v>10.29991228952</v>
      </c>
      <c r="FG46" s="180" t="n">
        <v>10.36964797754</v>
      </c>
      <c r="FH46" s="180" t="n">
        <v>10.43938366556</v>
      </c>
      <c r="FI46" s="180" t="n">
        <v>10.50911935358</v>
      </c>
      <c r="FJ46" s="180" t="n">
        <v>10.5788550416</v>
      </c>
      <c r="FK46" s="180" t="n">
        <v>10.64859072962</v>
      </c>
      <c r="FL46" s="180" t="n">
        <v>10.71832641764</v>
      </c>
      <c r="FM46" s="180" t="n">
        <v>10.78806210566</v>
      </c>
      <c r="FN46" s="180" t="n">
        <v>10.85779779368</v>
      </c>
      <c r="FO46" s="180" t="n">
        <v>10.9275334817</v>
      </c>
      <c r="FP46" s="180" t="n">
        <v>10.99726916972</v>
      </c>
      <c r="FQ46" s="180" t="n">
        <v>11.06700485774</v>
      </c>
      <c r="FR46" s="180" t="n">
        <v>11.13674054576</v>
      </c>
      <c r="FS46" s="180" t="n">
        <v>11.20647623378</v>
      </c>
      <c r="FT46" s="180" t="n">
        <v>11.2762119218</v>
      </c>
      <c r="FU46" s="180" t="n">
        <v>11.34594760982</v>
      </c>
      <c r="FV46" s="180" t="n">
        <v>11.41568329784</v>
      </c>
      <c r="FW46" s="180" t="n">
        <v>11.48541898586</v>
      </c>
      <c r="FX46" s="180" t="n">
        <v>11.55515467388</v>
      </c>
      <c r="FY46" s="180" t="n">
        <v>11.6248903619</v>
      </c>
      <c r="FZ46" s="180" t="n">
        <v>11.69462604992</v>
      </c>
      <c r="GA46" s="180" t="n">
        <v>11.76436173794</v>
      </c>
      <c r="GB46" s="180" t="n">
        <v>11.83409742596</v>
      </c>
      <c r="GC46" s="180" t="n">
        <v>11.90383311398</v>
      </c>
      <c r="GD46" s="180" t="n">
        <v>11.973568802</v>
      </c>
      <c r="GE46" s="180" t="n">
        <v>12.04330449002</v>
      </c>
      <c r="GF46" s="180" t="n">
        <v>12.11304017804</v>
      </c>
      <c r="GG46" s="180" t="n">
        <v>12.18277586606</v>
      </c>
      <c r="GH46" s="180" t="n">
        <v>12.25251155408</v>
      </c>
      <c r="GI46" s="180" t="n">
        <v>12.3222472421</v>
      </c>
      <c r="GJ46" s="180" t="n">
        <v>12.39198293012</v>
      </c>
      <c r="GK46" s="180" t="n">
        <v>12.46171861814</v>
      </c>
      <c r="GL46" s="180" t="n">
        <v>12.53145430616</v>
      </c>
      <c r="GM46" s="180" t="n">
        <v>12.60118999418</v>
      </c>
      <c r="GN46" s="180" t="n">
        <v>12.6709256822</v>
      </c>
      <c r="GO46" s="180" t="n">
        <v>12.74066137022</v>
      </c>
      <c r="GP46" s="180" t="n">
        <v>12.81039705824</v>
      </c>
      <c r="GQ46" s="180" t="n">
        <v>12.88013274626</v>
      </c>
      <c r="GR46" s="180" t="n">
        <v>12.94986843428</v>
      </c>
      <c r="GS46" s="180" t="n">
        <v>13.0196041223</v>
      </c>
      <c r="GT46" s="180" t="n">
        <v>13.08933981032</v>
      </c>
      <c r="GU46" s="180" t="n">
        <v>13.15907549834</v>
      </c>
      <c r="GV46" s="180" t="n">
        <v>13.22881118636</v>
      </c>
      <c r="GW46" s="180" t="n">
        <v>13.29854687438</v>
      </c>
      <c r="GX46" s="180" t="n">
        <v>13.3682825624</v>
      </c>
      <c r="GY46" s="180" t="n">
        <v>13.43801825042</v>
      </c>
      <c r="GZ46" s="180" t="n">
        <v>13.50775393844</v>
      </c>
      <c r="HA46" s="180" t="n">
        <v>13.57748962646</v>
      </c>
      <c r="HB46" s="180" t="n">
        <v>13.64722531448</v>
      </c>
      <c r="HC46" s="180" t="n">
        <v>13.7169610025</v>
      </c>
      <c r="HD46" s="180" t="n">
        <v>13.78669669052</v>
      </c>
      <c r="HE46" s="180" t="n">
        <v>13.85643237854</v>
      </c>
      <c r="HF46" s="180" t="n">
        <v>13.92616806656</v>
      </c>
      <c r="HG46" s="180" t="n">
        <v>13.99590375458</v>
      </c>
      <c r="HH46" s="180" t="n">
        <v>14.0656394426</v>
      </c>
      <c r="HI46" s="180" t="n">
        <v>14.13537513062</v>
      </c>
      <c r="HJ46" s="180" t="n">
        <v>14.20511081864</v>
      </c>
      <c r="HK46" s="180" t="n">
        <v>14.27484650666</v>
      </c>
      <c r="HL46" s="180" t="n">
        <v>14.34458219468</v>
      </c>
      <c r="HM46" s="180" t="n">
        <v>14.4143178827</v>
      </c>
      <c r="HN46" s="180" t="n">
        <v>14.48405357072</v>
      </c>
      <c r="HO46" s="180" t="n">
        <v>14.55378925874</v>
      </c>
      <c r="HP46" s="180" t="n">
        <v>14.62352494676</v>
      </c>
      <c r="HQ46" s="180" t="n">
        <v>14.69326063478</v>
      </c>
      <c r="HR46" s="180" t="n">
        <v>14.7629963228</v>
      </c>
      <c r="HS46" s="180" t="n">
        <v>14.83273201082</v>
      </c>
      <c r="HT46" s="180" t="n">
        <v>14.90246769884</v>
      </c>
      <c r="HU46" s="180" t="n">
        <v>14.97220338686</v>
      </c>
      <c r="HV46" s="180" t="n">
        <v>15.04193907488</v>
      </c>
      <c r="HW46" s="180" t="n">
        <v>15.1116747629</v>
      </c>
      <c r="HX46" s="180" t="n">
        <v>15.18141045092</v>
      </c>
      <c r="HY46" s="180" t="n">
        <v>15.25114613894</v>
      </c>
      <c r="HZ46" s="180" t="n">
        <v>15.32088182696</v>
      </c>
      <c r="IA46" s="180" t="n">
        <v>15.39061751498</v>
      </c>
      <c r="IB46" s="180" t="n">
        <v>15.460353203</v>
      </c>
      <c r="IC46" s="180" t="n">
        <v>15.53008889102</v>
      </c>
      <c r="ID46" s="180" t="n">
        <v>15.59982457904</v>
      </c>
      <c r="IE46" s="180" t="n">
        <v>15.66956026706</v>
      </c>
      <c r="IF46" s="180" t="n">
        <v>15.73929595508</v>
      </c>
      <c r="IG46" s="180" t="n">
        <v>15.8090316431</v>
      </c>
      <c r="IH46" s="180" t="n">
        <v>15.87876733112</v>
      </c>
      <c r="II46" s="180" t="n">
        <v>15.94850301914</v>
      </c>
      <c r="IJ46" s="180" t="n">
        <v>16.01823870716</v>
      </c>
      <c r="IK46" s="180" t="n">
        <v>16.08797439518</v>
      </c>
      <c r="IL46" s="180" t="n">
        <v>16.1577100832</v>
      </c>
      <c r="IM46" s="180" t="n">
        <v>16.22744577122</v>
      </c>
      <c r="IN46" s="180" t="n">
        <v>16.29718145924</v>
      </c>
      <c r="IO46" s="180" t="n">
        <v>16.36691714726</v>
      </c>
      <c r="IP46" s="180" t="n">
        <v>16.43665283528</v>
      </c>
      <c r="IQ46" s="180" t="n">
        <v>16.5063885233</v>
      </c>
      <c r="IR46" s="180" t="n">
        <v>16.57612421132</v>
      </c>
      <c r="IS46" s="180" t="n">
        <v>16.64585989934</v>
      </c>
      <c r="IT46" s="180" t="n">
        <v>16.71559558736</v>
      </c>
      <c r="IU46" s="180" t="n">
        <v>16.78533127538</v>
      </c>
      <c r="IV46" s="180" t="n">
        <v>16.8550669634</v>
      </c>
    </row>
    <row r="47" customFormat="false" ht="12.75" hidden="false" customHeight="false" outlineLevel="0" collapsed="false">
      <c r="A47" s="189" t="n">
        <v>38108</v>
      </c>
      <c r="B47" s="185" t="n">
        <v>-2.021005929375</v>
      </c>
      <c r="C47" s="185" t="n">
        <v>-1.9907047400625</v>
      </c>
      <c r="D47" s="185" t="n">
        <v>-1.96040355075</v>
      </c>
      <c r="E47" s="185" t="n">
        <v>-1.9301023614375</v>
      </c>
      <c r="F47" s="185" t="n">
        <v>-1.899801172125</v>
      </c>
      <c r="G47" s="185" t="n">
        <v>-1.8694999828125</v>
      </c>
      <c r="H47" s="185" t="n">
        <v>-1.8391987935</v>
      </c>
      <c r="I47" s="185" t="n">
        <v>-1.8088976041875</v>
      </c>
      <c r="J47" s="185" t="n">
        <v>-1.778596414875</v>
      </c>
      <c r="K47" s="185" t="n">
        <v>-1.7482952255625</v>
      </c>
      <c r="L47" s="185" t="n">
        <v>-1.71799403625</v>
      </c>
      <c r="M47" s="185" t="n">
        <v>-1.6876928469375</v>
      </c>
      <c r="N47" s="185" t="n">
        <v>-1.657391657625</v>
      </c>
      <c r="O47" s="185" t="n">
        <v>-1.6270904683125</v>
      </c>
      <c r="P47" s="185" t="n">
        <v>-1.596789279</v>
      </c>
      <c r="Q47" s="185" t="n">
        <v>-1.5664880896875</v>
      </c>
      <c r="R47" s="185" t="n">
        <v>-1.536186900375</v>
      </c>
      <c r="S47" s="185" t="n">
        <v>-1.5058857110625</v>
      </c>
      <c r="T47" s="185" t="n">
        <v>-1.47558452175</v>
      </c>
      <c r="U47" s="185" t="n">
        <v>-1.4452833324375</v>
      </c>
      <c r="V47" s="186" t="n">
        <v>-1.414982143125</v>
      </c>
      <c r="W47" s="185" t="n">
        <v>-1.3846809538125</v>
      </c>
      <c r="X47" s="186" t="n">
        <v>-1.3543797645</v>
      </c>
      <c r="Y47" s="185" t="n">
        <v>-1.3240785751875</v>
      </c>
      <c r="Z47" s="186" t="n">
        <v>-1.293777385875</v>
      </c>
      <c r="AA47" s="185" t="n">
        <v>-1.2634761965625</v>
      </c>
      <c r="AB47" s="187" t="n">
        <v>-1.23317500725</v>
      </c>
      <c r="AC47" s="185" t="n">
        <v>-1.2028738179375</v>
      </c>
      <c r="AD47" s="187" t="n">
        <v>-1.172572628625</v>
      </c>
      <c r="AE47" s="185" t="n">
        <v>-1.1422714393125</v>
      </c>
      <c r="AF47" s="185" t="n">
        <v>-1.11197025</v>
      </c>
      <c r="AG47" s="190" t="n">
        <v>-1.083235125</v>
      </c>
      <c r="AH47" s="190" t="n">
        <v>-1.0545</v>
      </c>
      <c r="AI47" s="190" t="n">
        <v>-1.02725</v>
      </c>
      <c r="AJ47" s="190" t="n">
        <v>-1</v>
      </c>
      <c r="AK47" s="190" t="n">
        <v>-0.8</v>
      </c>
      <c r="AL47" s="190" t="n">
        <v>-0.6</v>
      </c>
      <c r="AM47" s="190" t="n">
        <v>-0.4</v>
      </c>
      <c r="AN47" s="190" t="n">
        <v>-0.2</v>
      </c>
      <c r="AO47" s="190" t="n">
        <v>0</v>
      </c>
      <c r="AP47" s="190" t="n">
        <v>0.2</v>
      </c>
      <c r="AQ47" s="190" t="n">
        <v>0.4</v>
      </c>
      <c r="AR47" s="190" t="n">
        <v>0.6</v>
      </c>
      <c r="AS47" s="190" t="n">
        <v>0.8</v>
      </c>
      <c r="AT47" s="190" t="n">
        <v>1</v>
      </c>
      <c r="AU47" s="190" t="n">
        <v>1.2</v>
      </c>
      <c r="AV47" s="190" t="n">
        <v>1.4</v>
      </c>
      <c r="AW47" s="190" t="n">
        <v>1.58</v>
      </c>
      <c r="AX47" s="190" t="n">
        <v>1.76</v>
      </c>
      <c r="AY47" s="190" t="n">
        <v>1.922</v>
      </c>
      <c r="AZ47" s="190" t="n">
        <v>2.084</v>
      </c>
      <c r="BA47" s="190" t="n">
        <v>2.2298</v>
      </c>
      <c r="BB47" s="190" t="n">
        <v>2.3756</v>
      </c>
      <c r="BC47" s="190" t="n">
        <v>2.50682</v>
      </c>
      <c r="BD47" s="190" t="n">
        <v>2.63804</v>
      </c>
      <c r="BE47" s="190" t="n">
        <v>2.756138</v>
      </c>
      <c r="BF47" s="190" t="n">
        <v>2.874236</v>
      </c>
      <c r="BG47" s="190" t="n">
        <v>2.9805242</v>
      </c>
      <c r="BH47" s="190" t="n">
        <v>3.0868124</v>
      </c>
      <c r="BI47" s="190" t="n">
        <v>3.18247178</v>
      </c>
      <c r="BJ47" s="190" t="n">
        <v>3.27813116</v>
      </c>
      <c r="BK47" s="190" t="n">
        <v>3.364224602</v>
      </c>
      <c r="BL47" s="190" t="n">
        <v>3.450318044</v>
      </c>
      <c r="BM47" s="190" t="n">
        <v>3.5278021418</v>
      </c>
      <c r="BN47" s="190" t="n">
        <v>3.6052862396</v>
      </c>
      <c r="BO47" s="190" t="n">
        <v>3.67502192762</v>
      </c>
      <c r="BP47" s="190" t="n">
        <v>3.74475761564</v>
      </c>
      <c r="BQ47" s="190" t="n">
        <v>3.81449330366</v>
      </c>
      <c r="BR47" s="190" t="n">
        <v>3.88422899168</v>
      </c>
      <c r="BS47" s="190" t="n">
        <v>3.9539646797</v>
      </c>
      <c r="BT47" s="190" t="n">
        <v>4.02370036772</v>
      </c>
      <c r="BU47" s="190" t="n">
        <v>4.09343605574</v>
      </c>
      <c r="BV47" s="190" t="n">
        <v>4.16317174376</v>
      </c>
      <c r="BW47" s="190" t="n">
        <v>4.23290743178</v>
      </c>
      <c r="BX47" s="190" t="n">
        <v>4.3026431198</v>
      </c>
      <c r="BY47" s="190" t="n">
        <v>4.37237880782</v>
      </c>
      <c r="BZ47" s="190" t="n">
        <v>4.44211449584</v>
      </c>
      <c r="CA47" s="190" t="n">
        <v>4.51185018386</v>
      </c>
      <c r="CB47" s="190" t="n">
        <v>4.58158587188</v>
      </c>
      <c r="CC47" s="190" t="n">
        <v>4.6513215599</v>
      </c>
      <c r="CD47" s="190" t="n">
        <v>4.72105724792</v>
      </c>
      <c r="CE47" s="190" t="n">
        <v>4.79079293594</v>
      </c>
      <c r="CF47" s="190" t="n">
        <v>4.86052862396</v>
      </c>
      <c r="CG47" s="190" t="n">
        <v>4.93026431198</v>
      </c>
      <c r="CH47" s="190" t="n">
        <v>5</v>
      </c>
      <c r="CI47" s="190" t="n">
        <v>5.06973568801999</v>
      </c>
      <c r="CJ47" s="190" t="n">
        <v>5.13947137603999</v>
      </c>
      <c r="CK47" s="190" t="n">
        <v>5.20920706405999</v>
      </c>
      <c r="CL47" s="190" t="n">
        <v>5.27894275207999</v>
      </c>
      <c r="CM47" s="190" t="n">
        <v>5.34867844009999</v>
      </c>
      <c r="CN47" s="190" t="n">
        <v>5.41841412811999</v>
      </c>
      <c r="CO47" s="190" t="n">
        <v>5.48814981613999</v>
      </c>
      <c r="CP47" s="190" t="n">
        <v>5.55788550415999</v>
      </c>
      <c r="CQ47" s="190" t="n">
        <v>5.62762119217999</v>
      </c>
      <c r="CR47" s="190" t="n">
        <v>5.69735688019999</v>
      </c>
      <c r="CS47" s="190" t="n">
        <v>5.76709256821999</v>
      </c>
      <c r="CT47" s="190" t="n">
        <v>5.83682825623999</v>
      </c>
      <c r="CU47" s="190" t="n">
        <v>5.90656394425999</v>
      </c>
      <c r="CV47" s="190" t="n">
        <v>5.97629963227999</v>
      </c>
      <c r="CW47" s="190" t="n">
        <v>6.04603532029999</v>
      </c>
      <c r="CX47" s="190" t="n">
        <v>6.11577100831999</v>
      </c>
      <c r="CY47" s="190" t="n">
        <v>6.18550669633999</v>
      </c>
      <c r="CZ47" s="190" t="n">
        <v>6.25524238435999</v>
      </c>
      <c r="DA47" s="190" t="n">
        <v>6.32497807237999</v>
      </c>
      <c r="DB47" s="190" t="n">
        <v>6.39471376039999</v>
      </c>
      <c r="DC47" s="190" t="n">
        <v>6.46444944841999</v>
      </c>
      <c r="DD47" s="190" t="n">
        <v>6.53418513643999</v>
      </c>
      <c r="DE47" s="190" t="n">
        <v>6.60392082445999</v>
      </c>
      <c r="DF47" s="190" t="n">
        <v>6.67365651247999</v>
      </c>
      <c r="DG47" s="190" t="n">
        <v>6.74339220049999</v>
      </c>
      <c r="DH47" s="190" t="n">
        <v>6.81312788851999</v>
      </c>
      <c r="DI47" s="190" t="n">
        <v>6.88286357653999</v>
      </c>
      <c r="DJ47" s="190" t="n">
        <v>6.95259926455999</v>
      </c>
      <c r="DK47" s="190" t="n">
        <v>7.02233495257999</v>
      </c>
      <c r="DL47" s="190" t="n">
        <v>7.09207064059999</v>
      </c>
      <c r="DM47" s="190" t="n">
        <v>7.16180632861999</v>
      </c>
      <c r="DN47" s="190" t="n">
        <v>7.23154201663999</v>
      </c>
      <c r="DO47" s="190" t="n">
        <v>7.30127770465999</v>
      </c>
      <c r="DP47" s="190" t="n">
        <v>7.37101339267999</v>
      </c>
      <c r="DQ47" s="190" t="n">
        <v>7.44074908069999</v>
      </c>
      <c r="DR47" s="190" t="n">
        <v>7.51048476871999</v>
      </c>
      <c r="DS47" s="190" t="n">
        <v>7.58022045673999</v>
      </c>
      <c r="DT47" s="190" t="n">
        <v>7.64995614475999</v>
      </c>
      <c r="DU47" s="190" t="n">
        <v>7.71969183277999</v>
      </c>
      <c r="DV47" s="190" t="n">
        <v>7.78942752079998</v>
      </c>
      <c r="DW47" s="190" t="n">
        <v>7.85916320881998</v>
      </c>
      <c r="DX47" s="190" t="n">
        <v>7.92889889683998</v>
      </c>
      <c r="DY47" s="190" t="n">
        <v>7.99863458485998</v>
      </c>
      <c r="DZ47" s="190" t="n">
        <v>8.06837027287998</v>
      </c>
      <c r="EA47" s="190" t="n">
        <v>8.13810596089998</v>
      </c>
      <c r="EB47" s="190" t="n">
        <v>8.20784164891998</v>
      </c>
      <c r="EC47" s="190" t="n">
        <v>8.27757733693998</v>
      </c>
      <c r="ED47" s="190" t="n">
        <v>8.34731302495998</v>
      </c>
      <c r="EE47" s="190" t="n">
        <v>8.41704871297998</v>
      </c>
      <c r="EF47" s="190" t="n">
        <v>8.48678440099998</v>
      </c>
      <c r="EG47" s="190" t="n">
        <v>8.55652008901998</v>
      </c>
      <c r="EH47" s="190" t="n">
        <v>8.62625577703998</v>
      </c>
      <c r="EI47" s="190" t="n">
        <v>8.69599146505998</v>
      </c>
      <c r="EJ47" s="190" t="n">
        <v>8.76572715307998</v>
      </c>
      <c r="EK47" s="190" t="n">
        <v>8.83546284109998</v>
      </c>
      <c r="EL47" s="180" t="n">
        <v>8.90519852911998</v>
      </c>
      <c r="EM47" s="180" t="n">
        <v>8.97493421713998</v>
      </c>
      <c r="EN47" s="180" t="n">
        <v>9.04466990515998</v>
      </c>
      <c r="EO47" s="180" t="n">
        <v>9.11440559317998</v>
      </c>
      <c r="EP47" s="180" t="n">
        <v>9.18414128119998</v>
      </c>
      <c r="EQ47" s="180" t="n">
        <v>9.25387696921998</v>
      </c>
      <c r="ER47" s="180" t="n">
        <v>9.32361265723998</v>
      </c>
      <c r="ES47" s="180" t="n">
        <v>9.39334834525998</v>
      </c>
      <c r="ET47" s="180" t="n">
        <v>9.46308403327998</v>
      </c>
      <c r="EU47" s="180" t="n">
        <v>9.53281972129998</v>
      </c>
      <c r="EV47" s="180" t="n">
        <v>9.60255540931998</v>
      </c>
      <c r="EW47" s="180" t="n">
        <v>9.67229109733998</v>
      </c>
      <c r="EX47" s="180" t="n">
        <v>9.74202678535998</v>
      </c>
      <c r="EY47" s="180" t="n">
        <v>9.81176247337998</v>
      </c>
      <c r="EZ47" s="180" t="n">
        <v>9.88149816139998</v>
      </c>
      <c r="FA47" s="180" t="n">
        <v>9.95123384941998</v>
      </c>
      <c r="FB47" s="180" t="n">
        <v>10.02096953744</v>
      </c>
      <c r="FC47" s="180" t="n">
        <v>10.09070522546</v>
      </c>
      <c r="FD47" s="180" t="n">
        <v>10.16044091348</v>
      </c>
      <c r="FE47" s="180" t="n">
        <v>10.2301766015</v>
      </c>
      <c r="FF47" s="180" t="n">
        <v>10.29991228952</v>
      </c>
      <c r="FG47" s="180" t="n">
        <v>10.36964797754</v>
      </c>
      <c r="FH47" s="180" t="n">
        <v>10.43938366556</v>
      </c>
      <c r="FI47" s="180" t="n">
        <v>10.50911935358</v>
      </c>
      <c r="FJ47" s="180" t="n">
        <v>10.5788550416</v>
      </c>
      <c r="FK47" s="180" t="n">
        <v>10.64859072962</v>
      </c>
      <c r="FL47" s="180" t="n">
        <v>10.71832641764</v>
      </c>
      <c r="FM47" s="180" t="n">
        <v>10.78806210566</v>
      </c>
      <c r="FN47" s="180" t="n">
        <v>10.85779779368</v>
      </c>
      <c r="FO47" s="180" t="n">
        <v>10.9275334817</v>
      </c>
      <c r="FP47" s="180" t="n">
        <v>10.99726916972</v>
      </c>
      <c r="FQ47" s="180" t="n">
        <v>11.06700485774</v>
      </c>
      <c r="FR47" s="180" t="n">
        <v>11.13674054576</v>
      </c>
      <c r="FS47" s="180" t="n">
        <v>11.20647623378</v>
      </c>
      <c r="FT47" s="180" t="n">
        <v>11.2762119218</v>
      </c>
      <c r="FU47" s="180" t="n">
        <v>11.34594760982</v>
      </c>
      <c r="FV47" s="180" t="n">
        <v>11.41568329784</v>
      </c>
      <c r="FW47" s="180" t="n">
        <v>11.48541898586</v>
      </c>
      <c r="FX47" s="180" t="n">
        <v>11.55515467388</v>
      </c>
      <c r="FY47" s="180" t="n">
        <v>11.6248903619</v>
      </c>
      <c r="FZ47" s="180" t="n">
        <v>11.69462604992</v>
      </c>
      <c r="GA47" s="180" t="n">
        <v>11.76436173794</v>
      </c>
      <c r="GB47" s="180" t="n">
        <v>11.83409742596</v>
      </c>
      <c r="GC47" s="180" t="n">
        <v>11.90383311398</v>
      </c>
      <c r="GD47" s="180" t="n">
        <v>11.973568802</v>
      </c>
      <c r="GE47" s="180" t="n">
        <v>12.04330449002</v>
      </c>
      <c r="GF47" s="180" t="n">
        <v>12.11304017804</v>
      </c>
      <c r="GG47" s="180" t="n">
        <v>12.18277586606</v>
      </c>
      <c r="GH47" s="180" t="n">
        <v>12.25251155408</v>
      </c>
      <c r="GI47" s="180" t="n">
        <v>12.3222472421</v>
      </c>
      <c r="GJ47" s="180" t="n">
        <v>12.39198293012</v>
      </c>
      <c r="GK47" s="180" t="n">
        <v>12.46171861814</v>
      </c>
      <c r="GL47" s="180" t="n">
        <v>12.53145430616</v>
      </c>
      <c r="GM47" s="180" t="n">
        <v>12.60118999418</v>
      </c>
      <c r="GN47" s="180" t="n">
        <v>12.6709256822</v>
      </c>
      <c r="GO47" s="180" t="n">
        <v>12.74066137022</v>
      </c>
      <c r="GP47" s="180" t="n">
        <v>12.81039705824</v>
      </c>
      <c r="GQ47" s="180" t="n">
        <v>12.88013274626</v>
      </c>
      <c r="GR47" s="180" t="n">
        <v>12.94986843428</v>
      </c>
      <c r="GS47" s="180" t="n">
        <v>13.0196041223</v>
      </c>
      <c r="GT47" s="180" t="n">
        <v>13.08933981032</v>
      </c>
      <c r="GU47" s="180" t="n">
        <v>13.15907549834</v>
      </c>
      <c r="GV47" s="180" t="n">
        <v>13.22881118636</v>
      </c>
      <c r="GW47" s="180" t="n">
        <v>13.29854687438</v>
      </c>
      <c r="GX47" s="180" t="n">
        <v>13.3682825624</v>
      </c>
      <c r="GY47" s="180" t="n">
        <v>13.43801825042</v>
      </c>
      <c r="GZ47" s="180" t="n">
        <v>13.50775393844</v>
      </c>
      <c r="HA47" s="180" t="n">
        <v>13.57748962646</v>
      </c>
      <c r="HB47" s="180" t="n">
        <v>13.64722531448</v>
      </c>
      <c r="HC47" s="180" t="n">
        <v>13.7169610025</v>
      </c>
      <c r="HD47" s="180" t="n">
        <v>13.78669669052</v>
      </c>
      <c r="HE47" s="180" t="n">
        <v>13.85643237854</v>
      </c>
      <c r="HF47" s="180" t="n">
        <v>13.92616806656</v>
      </c>
      <c r="HG47" s="180" t="n">
        <v>13.99590375458</v>
      </c>
      <c r="HH47" s="180" t="n">
        <v>14.0656394426</v>
      </c>
      <c r="HI47" s="180" t="n">
        <v>14.13537513062</v>
      </c>
      <c r="HJ47" s="180" t="n">
        <v>14.20511081864</v>
      </c>
      <c r="HK47" s="180" t="n">
        <v>14.27484650666</v>
      </c>
      <c r="HL47" s="180" t="n">
        <v>14.34458219468</v>
      </c>
      <c r="HM47" s="180" t="n">
        <v>14.4143178827</v>
      </c>
      <c r="HN47" s="180" t="n">
        <v>14.48405357072</v>
      </c>
      <c r="HO47" s="180" t="n">
        <v>14.55378925874</v>
      </c>
      <c r="HP47" s="180" t="n">
        <v>14.62352494676</v>
      </c>
      <c r="HQ47" s="180" t="n">
        <v>14.69326063478</v>
      </c>
      <c r="HR47" s="180" t="n">
        <v>14.7629963228</v>
      </c>
      <c r="HS47" s="180" t="n">
        <v>14.83273201082</v>
      </c>
      <c r="HT47" s="180" t="n">
        <v>14.90246769884</v>
      </c>
      <c r="HU47" s="180" t="n">
        <v>14.97220338686</v>
      </c>
      <c r="HV47" s="180" t="n">
        <v>15.04193907488</v>
      </c>
      <c r="HW47" s="180" t="n">
        <v>15.1116747629</v>
      </c>
      <c r="HX47" s="180" t="n">
        <v>15.18141045092</v>
      </c>
      <c r="HY47" s="180" t="n">
        <v>15.25114613894</v>
      </c>
      <c r="HZ47" s="180" t="n">
        <v>15.32088182696</v>
      </c>
      <c r="IA47" s="180" t="n">
        <v>15.39061751498</v>
      </c>
      <c r="IB47" s="180" t="n">
        <v>15.460353203</v>
      </c>
      <c r="IC47" s="180" t="n">
        <v>15.53008889102</v>
      </c>
      <c r="ID47" s="180" t="n">
        <v>15.59982457904</v>
      </c>
      <c r="IE47" s="180" t="n">
        <v>15.66956026706</v>
      </c>
      <c r="IF47" s="180" t="n">
        <v>15.73929595508</v>
      </c>
      <c r="IG47" s="180" t="n">
        <v>15.8090316431</v>
      </c>
      <c r="IH47" s="180" t="n">
        <v>15.87876733112</v>
      </c>
      <c r="II47" s="180" t="n">
        <v>15.94850301914</v>
      </c>
      <c r="IJ47" s="180" t="n">
        <v>16.01823870716</v>
      </c>
      <c r="IK47" s="180" t="n">
        <v>16.08797439518</v>
      </c>
      <c r="IL47" s="180" t="n">
        <v>16.1577100832</v>
      </c>
      <c r="IM47" s="180" t="n">
        <v>16.22744577122</v>
      </c>
      <c r="IN47" s="180" t="n">
        <v>16.29718145924</v>
      </c>
      <c r="IO47" s="180" t="n">
        <v>16.36691714726</v>
      </c>
      <c r="IP47" s="180" t="n">
        <v>16.43665283528</v>
      </c>
      <c r="IQ47" s="180" t="n">
        <v>16.5063885233</v>
      </c>
      <c r="IR47" s="180" t="n">
        <v>16.57612421132</v>
      </c>
      <c r="IS47" s="180" t="n">
        <v>16.64585989934</v>
      </c>
      <c r="IT47" s="180" t="n">
        <v>16.71559558736</v>
      </c>
      <c r="IU47" s="180" t="n">
        <v>16.78533127538</v>
      </c>
      <c r="IV47" s="180" t="n">
        <v>16.8550669634</v>
      </c>
    </row>
    <row r="48" customFormat="false" ht="12.75" hidden="false" customHeight="false" outlineLevel="0" collapsed="false">
      <c r="A48" s="189" t="n">
        <v>38139</v>
      </c>
      <c r="B48" s="185" t="n">
        <v>-2.021005929375</v>
      </c>
      <c r="C48" s="185" t="n">
        <v>-1.9907047400625</v>
      </c>
      <c r="D48" s="185" t="n">
        <v>-1.96040355075</v>
      </c>
      <c r="E48" s="185" t="n">
        <v>-1.9301023614375</v>
      </c>
      <c r="F48" s="185" t="n">
        <v>-1.899801172125</v>
      </c>
      <c r="G48" s="185" t="n">
        <v>-1.8694999828125</v>
      </c>
      <c r="H48" s="185" t="n">
        <v>-1.8391987935</v>
      </c>
      <c r="I48" s="185" t="n">
        <v>-1.8088976041875</v>
      </c>
      <c r="J48" s="185" t="n">
        <v>-1.778596414875</v>
      </c>
      <c r="K48" s="185" t="n">
        <v>-1.7482952255625</v>
      </c>
      <c r="L48" s="185" t="n">
        <v>-1.71799403625</v>
      </c>
      <c r="M48" s="185" t="n">
        <v>-1.6876928469375</v>
      </c>
      <c r="N48" s="185" t="n">
        <v>-1.657391657625</v>
      </c>
      <c r="O48" s="185" t="n">
        <v>-1.6270904683125</v>
      </c>
      <c r="P48" s="185" t="n">
        <v>-1.596789279</v>
      </c>
      <c r="Q48" s="185" t="n">
        <v>-1.5664880896875</v>
      </c>
      <c r="R48" s="185" t="n">
        <v>-1.536186900375</v>
      </c>
      <c r="S48" s="185" t="n">
        <v>-1.5058857110625</v>
      </c>
      <c r="T48" s="185" t="n">
        <v>-1.47558452175</v>
      </c>
      <c r="U48" s="185" t="n">
        <v>-1.4452833324375</v>
      </c>
      <c r="V48" s="186" t="n">
        <v>-1.414982143125</v>
      </c>
      <c r="W48" s="185" t="n">
        <v>-1.3846809538125</v>
      </c>
      <c r="X48" s="186" t="n">
        <v>-1.3543797645</v>
      </c>
      <c r="Y48" s="185" t="n">
        <v>-1.3240785751875</v>
      </c>
      <c r="Z48" s="186" t="n">
        <v>-1.293777385875</v>
      </c>
      <c r="AA48" s="185" t="n">
        <v>-1.2634761965625</v>
      </c>
      <c r="AB48" s="187" t="n">
        <v>-1.23317500725</v>
      </c>
      <c r="AC48" s="185" t="n">
        <v>-1.2028738179375</v>
      </c>
      <c r="AD48" s="187" t="n">
        <v>-1.172572628625</v>
      </c>
      <c r="AE48" s="185" t="n">
        <v>-1.1422714393125</v>
      </c>
      <c r="AF48" s="185" t="n">
        <v>-1.11197025</v>
      </c>
      <c r="AG48" s="190" t="n">
        <v>-1.083235125</v>
      </c>
      <c r="AH48" s="190" t="n">
        <v>-1.0545</v>
      </c>
      <c r="AI48" s="190" t="n">
        <v>-1.02725</v>
      </c>
      <c r="AJ48" s="190" t="n">
        <v>-1</v>
      </c>
      <c r="AK48" s="190" t="n">
        <v>-0.8</v>
      </c>
      <c r="AL48" s="190" t="n">
        <v>-0.6</v>
      </c>
      <c r="AM48" s="190" t="n">
        <v>-0.4</v>
      </c>
      <c r="AN48" s="190" t="n">
        <v>-0.2</v>
      </c>
      <c r="AO48" s="190" t="n">
        <v>0</v>
      </c>
      <c r="AP48" s="190" t="n">
        <v>0.2</v>
      </c>
      <c r="AQ48" s="190" t="n">
        <v>0.4</v>
      </c>
      <c r="AR48" s="190" t="n">
        <v>0.6</v>
      </c>
      <c r="AS48" s="190" t="n">
        <v>0.8</v>
      </c>
      <c r="AT48" s="190" t="n">
        <v>1</v>
      </c>
      <c r="AU48" s="190" t="n">
        <v>1.2</v>
      </c>
      <c r="AV48" s="190" t="n">
        <v>1.4</v>
      </c>
      <c r="AW48" s="190" t="n">
        <v>1.58</v>
      </c>
      <c r="AX48" s="190" t="n">
        <v>1.76</v>
      </c>
      <c r="AY48" s="190" t="n">
        <v>1.922</v>
      </c>
      <c r="AZ48" s="190" t="n">
        <v>2.084</v>
      </c>
      <c r="BA48" s="190" t="n">
        <v>2.2298</v>
      </c>
      <c r="BB48" s="190" t="n">
        <v>2.3756</v>
      </c>
      <c r="BC48" s="190" t="n">
        <v>2.50682</v>
      </c>
      <c r="BD48" s="190" t="n">
        <v>2.63804</v>
      </c>
      <c r="BE48" s="190" t="n">
        <v>2.756138</v>
      </c>
      <c r="BF48" s="190" t="n">
        <v>2.874236</v>
      </c>
      <c r="BG48" s="190" t="n">
        <v>2.9805242</v>
      </c>
      <c r="BH48" s="190" t="n">
        <v>3.0868124</v>
      </c>
      <c r="BI48" s="190" t="n">
        <v>3.18247178</v>
      </c>
      <c r="BJ48" s="190" t="n">
        <v>3.27813116</v>
      </c>
      <c r="BK48" s="190" t="n">
        <v>3.364224602</v>
      </c>
      <c r="BL48" s="190" t="n">
        <v>3.450318044</v>
      </c>
      <c r="BM48" s="190" t="n">
        <v>3.5278021418</v>
      </c>
      <c r="BN48" s="190" t="n">
        <v>3.6052862396</v>
      </c>
      <c r="BO48" s="190" t="n">
        <v>3.67502192762</v>
      </c>
      <c r="BP48" s="190" t="n">
        <v>3.74475761564</v>
      </c>
      <c r="BQ48" s="190" t="n">
        <v>3.81449330366</v>
      </c>
      <c r="BR48" s="190" t="n">
        <v>3.88422899168</v>
      </c>
      <c r="BS48" s="190" t="n">
        <v>3.9539646797</v>
      </c>
      <c r="BT48" s="190" t="n">
        <v>4.02370036772</v>
      </c>
      <c r="BU48" s="190" t="n">
        <v>4.09343605574</v>
      </c>
      <c r="BV48" s="190" t="n">
        <v>4.16317174376</v>
      </c>
      <c r="BW48" s="190" t="n">
        <v>4.23290743178</v>
      </c>
      <c r="BX48" s="190" t="n">
        <v>4.3026431198</v>
      </c>
      <c r="BY48" s="190" t="n">
        <v>4.37237880782</v>
      </c>
      <c r="BZ48" s="190" t="n">
        <v>4.44211449584</v>
      </c>
      <c r="CA48" s="190" t="n">
        <v>4.51185018386</v>
      </c>
      <c r="CB48" s="190" t="n">
        <v>4.58158587188</v>
      </c>
      <c r="CC48" s="190" t="n">
        <v>4.6513215599</v>
      </c>
      <c r="CD48" s="190" t="n">
        <v>4.72105724792</v>
      </c>
      <c r="CE48" s="190" t="n">
        <v>4.79079293594</v>
      </c>
      <c r="CF48" s="190" t="n">
        <v>4.86052862396</v>
      </c>
      <c r="CG48" s="190" t="n">
        <v>4.93026431198</v>
      </c>
      <c r="CH48" s="190" t="n">
        <v>5</v>
      </c>
      <c r="CI48" s="190" t="n">
        <v>5.06973568801999</v>
      </c>
      <c r="CJ48" s="190" t="n">
        <v>5.13947137603999</v>
      </c>
      <c r="CK48" s="190" t="n">
        <v>5.20920706405999</v>
      </c>
      <c r="CL48" s="190" t="n">
        <v>5.27894275207999</v>
      </c>
      <c r="CM48" s="190" t="n">
        <v>5.34867844009999</v>
      </c>
      <c r="CN48" s="190" t="n">
        <v>5.41841412811999</v>
      </c>
      <c r="CO48" s="190" t="n">
        <v>5.48814981613999</v>
      </c>
      <c r="CP48" s="190" t="n">
        <v>5.55788550415999</v>
      </c>
      <c r="CQ48" s="190" t="n">
        <v>5.62762119217999</v>
      </c>
      <c r="CR48" s="190" t="n">
        <v>5.69735688019999</v>
      </c>
      <c r="CS48" s="190" t="n">
        <v>5.76709256821999</v>
      </c>
      <c r="CT48" s="190" t="n">
        <v>5.83682825623999</v>
      </c>
      <c r="CU48" s="190" t="n">
        <v>5.90656394425999</v>
      </c>
      <c r="CV48" s="190" t="n">
        <v>5.97629963227999</v>
      </c>
      <c r="CW48" s="190" t="n">
        <v>6.04603532029999</v>
      </c>
      <c r="CX48" s="190" t="n">
        <v>6.11577100831999</v>
      </c>
      <c r="CY48" s="190" t="n">
        <v>6.18550669633999</v>
      </c>
      <c r="CZ48" s="190" t="n">
        <v>6.25524238435999</v>
      </c>
      <c r="DA48" s="190" t="n">
        <v>6.32497807237999</v>
      </c>
      <c r="DB48" s="190" t="n">
        <v>6.39471376039999</v>
      </c>
      <c r="DC48" s="190" t="n">
        <v>6.46444944841999</v>
      </c>
      <c r="DD48" s="190" t="n">
        <v>6.53418513643999</v>
      </c>
      <c r="DE48" s="190" t="n">
        <v>6.60392082445999</v>
      </c>
      <c r="DF48" s="190" t="n">
        <v>6.67365651247999</v>
      </c>
      <c r="DG48" s="190" t="n">
        <v>6.74339220049999</v>
      </c>
      <c r="DH48" s="190" t="n">
        <v>6.81312788851999</v>
      </c>
      <c r="DI48" s="190" t="n">
        <v>6.88286357653999</v>
      </c>
      <c r="DJ48" s="190" t="n">
        <v>6.95259926455999</v>
      </c>
      <c r="DK48" s="190" t="n">
        <v>7.02233495257999</v>
      </c>
      <c r="DL48" s="190" t="n">
        <v>7.09207064059999</v>
      </c>
      <c r="DM48" s="190" t="n">
        <v>7.16180632861999</v>
      </c>
      <c r="DN48" s="190" t="n">
        <v>7.23154201663999</v>
      </c>
      <c r="DO48" s="190" t="n">
        <v>7.30127770465999</v>
      </c>
      <c r="DP48" s="190" t="n">
        <v>7.37101339267999</v>
      </c>
      <c r="DQ48" s="190" t="n">
        <v>7.44074908069999</v>
      </c>
      <c r="DR48" s="190" t="n">
        <v>7.51048476871999</v>
      </c>
      <c r="DS48" s="190" t="n">
        <v>7.58022045673999</v>
      </c>
      <c r="DT48" s="190" t="n">
        <v>7.64995614475999</v>
      </c>
      <c r="DU48" s="190" t="n">
        <v>7.71969183277999</v>
      </c>
      <c r="DV48" s="190" t="n">
        <v>7.78942752079998</v>
      </c>
      <c r="DW48" s="190" t="n">
        <v>7.85916320881998</v>
      </c>
      <c r="DX48" s="190" t="n">
        <v>7.92889889683998</v>
      </c>
      <c r="DY48" s="190" t="n">
        <v>7.99863458485998</v>
      </c>
      <c r="DZ48" s="190" t="n">
        <v>8.06837027287998</v>
      </c>
      <c r="EA48" s="190" t="n">
        <v>8.13810596089998</v>
      </c>
      <c r="EB48" s="190" t="n">
        <v>8.20784164891998</v>
      </c>
      <c r="EC48" s="190" t="n">
        <v>8.27757733693998</v>
      </c>
      <c r="ED48" s="190" t="n">
        <v>8.34731302495998</v>
      </c>
      <c r="EE48" s="190" t="n">
        <v>8.41704871297998</v>
      </c>
      <c r="EF48" s="190" t="n">
        <v>8.48678440099998</v>
      </c>
      <c r="EG48" s="190" t="n">
        <v>8.55652008901998</v>
      </c>
      <c r="EH48" s="190" t="n">
        <v>8.62625577703998</v>
      </c>
      <c r="EI48" s="190" t="n">
        <v>8.69599146505998</v>
      </c>
      <c r="EJ48" s="190" t="n">
        <v>8.76572715307998</v>
      </c>
      <c r="EK48" s="190" t="n">
        <v>8.83546284109998</v>
      </c>
      <c r="EL48" s="180" t="n">
        <v>8.90519852911998</v>
      </c>
      <c r="EM48" s="180" t="n">
        <v>8.97493421713998</v>
      </c>
      <c r="EN48" s="180" t="n">
        <v>9.04466990515998</v>
      </c>
      <c r="EO48" s="180" t="n">
        <v>9.11440559317998</v>
      </c>
      <c r="EP48" s="180" t="n">
        <v>9.18414128119998</v>
      </c>
      <c r="EQ48" s="180" t="n">
        <v>9.25387696921998</v>
      </c>
      <c r="ER48" s="180" t="n">
        <v>9.32361265723998</v>
      </c>
      <c r="ES48" s="180" t="n">
        <v>9.39334834525998</v>
      </c>
      <c r="ET48" s="180" t="n">
        <v>9.46308403327998</v>
      </c>
      <c r="EU48" s="180" t="n">
        <v>9.53281972129998</v>
      </c>
      <c r="EV48" s="180" t="n">
        <v>9.60255540931998</v>
      </c>
      <c r="EW48" s="180" t="n">
        <v>9.67229109733998</v>
      </c>
      <c r="EX48" s="180" t="n">
        <v>9.74202678535998</v>
      </c>
      <c r="EY48" s="180" t="n">
        <v>9.81176247337998</v>
      </c>
      <c r="EZ48" s="180" t="n">
        <v>9.88149816139998</v>
      </c>
      <c r="FA48" s="180" t="n">
        <v>9.95123384941998</v>
      </c>
      <c r="FB48" s="180" t="n">
        <v>10.02096953744</v>
      </c>
      <c r="FC48" s="180" t="n">
        <v>10.09070522546</v>
      </c>
      <c r="FD48" s="180" t="n">
        <v>10.16044091348</v>
      </c>
      <c r="FE48" s="180" t="n">
        <v>10.2301766015</v>
      </c>
      <c r="FF48" s="180" t="n">
        <v>10.29991228952</v>
      </c>
      <c r="FG48" s="180" t="n">
        <v>10.36964797754</v>
      </c>
      <c r="FH48" s="180" t="n">
        <v>10.43938366556</v>
      </c>
      <c r="FI48" s="180" t="n">
        <v>10.50911935358</v>
      </c>
      <c r="FJ48" s="180" t="n">
        <v>10.5788550416</v>
      </c>
      <c r="FK48" s="180" t="n">
        <v>10.64859072962</v>
      </c>
      <c r="FL48" s="180" t="n">
        <v>10.71832641764</v>
      </c>
      <c r="FM48" s="180" t="n">
        <v>10.78806210566</v>
      </c>
      <c r="FN48" s="180" t="n">
        <v>10.85779779368</v>
      </c>
      <c r="FO48" s="180" t="n">
        <v>10.9275334817</v>
      </c>
      <c r="FP48" s="180" t="n">
        <v>10.99726916972</v>
      </c>
      <c r="FQ48" s="180" t="n">
        <v>11.06700485774</v>
      </c>
      <c r="FR48" s="180" t="n">
        <v>11.13674054576</v>
      </c>
      <c r="FS48" s="180" t="n">
        <v>11.20647623378</v>
      </c>
      <c r="FT48" s="180" t="n">
        <v>11.2762119218</v>
      </c>
      <c r="FU48" s="180" t="n">
        <v>11.34594760982</v>
      </c>
      <c r="FV48" s="180" t="n">
        <v>11.41568329784</v>
      </c>
      <c r="FW48" s="180" t="n">
        <v>11.48541898586</v>
      </c>
      <c r="FX48" s="180" t="n">
        <v>11.55515467388</v>
      </c>
      <c r="FY48" s="180" t="n">
        <v>11.6248903619</v>
      </c>
      <c r="FZ48" s="180" t="n">
        <v>11.69462604992</v>
      </c>
      <c r="GA48" s="180" t="n">
        <v>11.76436173794</v>
      </c>
      <c r="GB48" s="180" t="n">
        <v>11.83409742596</v>
      </c>
      <c r="GC48" s="180" t="n">
        <v>11.90383311398</v>
      </c>
      <c r="GD48" s="180" t="n">
        <v>11.973568802</v>
      </c>
      <c r="GE48" s="180" t="n">
        <v>12.04330449002</v>
      </c>
      <c r="GF48" s="180" t="n">
        <v>12.11304017804</v>
      </c>
      <c r="GG48" s="180" t="n">
        <v>12.18277586606</v>
      </c>
      <c r="GH48" s="180" t="n">
        <v>12.25251155408</v>
      </c>
      <c r="GI48" s="180" t="n">
        <v>12.3222472421</v>
      </c>
      <c r="GJ48" s="180" t="n">
        <v>12.39198293012</v>
      </c>
      <c r="GK48" s="180" t="n">
        <v>12.46171861814</v>
      </c>
      <c r="GL48" s="180" t="n">
        <v>12.53145430616</v>
      </c>
      <c r="GM48" s="180" t="n">
        <v>12.60118999418</v>
      </c>
      <c r="GN48" s="180" t="n">
        <v>12.6709256822</v>
      </c>
      <c r="GO48" s="180" t="n">
        <v>12.74066137022</v>
      </c>
      <c r="GP48" s="180" t="n">
        <v>12.81039705824</v>
      </c>
      <c r="GQ48" s="180" t="n">
        <v>12.88013274626</v>
      </c>
      <c r="GR48" s="180" t="n">
        <v>12.94986843428</v>
      </c>
      <c r="GS48" s="180" t="n">
        <v>13.0196041223</v>
      </c>
      <c r="GT48" s="180" t="n">
        <v>13.08933981032</v>
      </c>
      <c r="GU48" s="180" t="n">
        <v>13.15907549834</v>
      </c>
      <c r="GV48" s="180" t="n">
        <v>13.22881118636</v>
      </c>
      <c r="GW48" s="180" t="n">
        <v>13.29854687438</v>
      </c>
      <c r="GX48" s="180" t="n">
        <v>13.3682825624</v>
      </c>
      <c r="GY48" s="180" t="n">
        <v>13.43801825042</v>
      </c>
      <c r="GZ48" s="180" t="n">
        <v>13.50775393844</v>
      </c>
      <c r="HA48" s="180" t="n">
        <v>13.57748962646</v>
      </c>
      <c r="HB48" s="180" t="n">
        <v>13.64722531448</v>
      </c>
      <c r="HC48" s="180" t="n">
        <v>13.7169610025</v>
      </c>
      <c r="HD48" s="180" t="n">
        <v>13.78669669052</v>
      </c>
      <c r="HE48" s="180" t="n">
        <v>13.85643237854</v>
      </c>
      <c r="HF48" s="180" t="n">
        <v>13.92616806656</v>
      </c>
      <c r="HG48" s="180" t="n">
        <v>13.99590375458</v>
      </c>
      <c r="HH48" s="180" t="n">
        <v>14.0656394426</v>
      </c>
      <c r="HI48" s="180" t="n">
        <v>14.13537513062</v>
      </c>
      <c r="HJ48" s="180" t="n">
        <v>14.20511081864</v>
      </c>
      <c r="HK48" s="180" t="n">
        <v>14.27484650666</v>
      </c>
      <c r="HL48" s="180" t="n">
        <v>14.34458219468</v>
      </c>
      <c r="HM48" s="180" t="n">
        <v>14.4143178827</v>
      </c>
      <c r="HN48" s="180" t="n">
        <v>14.48405357072</v>
      </c>
      <c r="HO48" s="180" t="n">
        <v>14.55378925874</v>
      </c>
      <c r="HP48" s="180" t="n">
        <v>14.62352494676</v>
      </c>
      <c r="HQ48" s="180" t="n">
        <v>14.69326063478</v>
      </c>
      <c r="HR48" s="180" t="n">
        <v>14.7629963228</v>
      </c>
      <c r="HS48" s="180" t="n">
        <v>14.83273201082</v>
      </c>
      <c r="HT48" s="180" t="n">
        <v>14.90246769884</v>
      </c>
      <c r="HU48" s="180" t="n">
        <v>14.97220338686</v>
      </c>
      <c r="HV48" s="180" t="n">
        <v>15.04193907488</v>
      </c>
      <c r="HW48" s="180" t="n">
        <v>15.1116747629</v>
      </c>
      <c r="HX48" s="180" t="n">
        <v>15.18141045092</v>
      </c>
      <c r="HY48" s="180" t="n">
        <v>15.25114613894</v>
      </c>
      <c r="HZ48" s="180" t="n">
        <v>15.32088182696</v>
      </c>
      <c r="IA48" s="180" t="n">
        <v>15.39061751498</v>
      </c>
      <c r="IB48" s="180" t="n">
        <v>15.460353203</v>
      </c>
      <c r="IC48" s="180" t="n">
        <v>15.53008889102</v>
      </c>
      <c r="ID48" s="180" t="n">
        <v>15.59982457904</v>
      </c>
      <c r="IE48" s="180" t="n">
        <v>15.66956026706</v>
      </c>
      <c r="IF48" s="180" t="n">
        <v>15.73929595508</v>
      </c>
      <c r="IG48" s="180" t="n">
        <v>15.8090316431</v>
      </c>
      <c r="IH48" s="180" t="n">
        <v>15.87876733112</v>
      </c>
      <c r="II48" s="180" t="n">
        <v>15.94850301914</v>
      </c>
      <c r="IJ48" s="180" t="n">
        <v>16.01823870716</v>
      </c>
      <c r="IK48" s="180" t="n">
        <v>16.08797439518</v>
      </c>
      <c r="IL48" s="180" t="n">
        <v>16.1577100832</v>
      </c>
      <c r="IM48" s="180" t="n">
        <v>16.22744577122</v>
      </c>
      <c r="IN48" s="180" t="n">
        <v>16.29718145924</v>
      </c>
      <c r="IO48" s="180" t="n">
        <v>16.36691714726</v>
      </c>
      <c r="IP48" s="180" t="n">
        <v>16.43665283528</v>
      </c>
      <c r="IQ48" s="180" t="n">
        <v>16.5063885233</v>
      </c>
      <c r="IR48" s="180" t="n">
        <v>16.57612421132</v>
      </c>
      <c r="IS48" s="180" t="n">
        <v>16.64585989934</v>
      </c>
      <c r="IT48" s="180" t="n">
        <v>16.71559558736</v>
      </c>
      <c r="IU48" s="180" t="n">
        <v>16.78533127538</v>
      </c>
      <c r="IV48" s="180" t="n">
        <v>16.8550669634</v>
      </c>
    </row>
    <row r="49" customFormat="false" ht="12.75" hidden="false" customHeight="false" outlineLevel="0" collapsed="false">
      <c r="A49" s="189" t="n">
        <v>38169</v>
      </c>
      <c r="B49" s="185" t="n">
        <v>-2.021005929375</v>
      </c>
      <c r="C49" s="185" t="n">
        <v>-1.9907047400625</v>
      </c>
      <c r="D49" s="185" t="n">
        <v>-1.96040355075</v>
      </c>
      <c r="E49" s="185" t="n">
        <v>-1.9301023614375</v>
      </c>
      <c r="F49" s="185" t="n">
        <v>-1.899801172125</v>
      </c>
      <c r="G49" s="185" t="n">
        <v>-1.8694999828125</v>
      </c>
      <c r="H49" s="185" t="n">
        <v>-1.8391987935</v>
      </c>
      <c r="I49" s="185" t="n">
        <v>-1.8088976041875</v>
      </c>
      <c r="J49" s="185" t="n">
        <v>-1.778596414875</v>
      </c>
      <c r="K49" s="185" t="n">
        <v>-1.7482952255625</v>
      </c>
      <c r="L49" s="185" t="n">
        <v>-1.71799403625</v>
      </c>
      <c r="M49" s="185" t="n">
        <v>-1.6876928469375</v>
      </c>
      <c r="N49" s="185" t="n">
        <v>-1.657391657625</v>
      </c>
      <c r="O49" s="185" t="n">
        <v>-1.6270904683125</v>
      </c>
      <c r="P49" s="185" t="n">
        <v>-1.596789279</v>
      </c>
      <c r="Q49" s="185" t="n">
        <v>-1.5664880896875</v>
      </c>
      <c r="R49" s="185" t="n">
        <v>-1.536186900375</v>
      </c>
      <c r="S49" s="185" t="n">
        <v>-1.5058857110625</v>
      </c>
      <c r="T49" s="185" t="n">
        <v>-1.47558452175</v>
      </c>
      <c r="U49" s="185" t="n">
        <v>-1.4452833324375</v>
      </c>
      <c r="V49" s="186" t="n">
        <v>-1.414982143125</v>
      </c>
      <c r="W49" s="185" t="n">
        <v>-1.3846809538125</v>
      </c>
      <c r="X49" s="186" t="n">
        <v>-1.3543797645</v>
      </c>
      <c r="Y49" s="185" t="n">
        <v>-1.3240785751875</v>
      </c>
      <c r="Z49" s="186" t="n">
        <v>-1.293777385875</v>
      </c>
      <c r="AA49" s="185" t="n">
        <v>-1.2634761965625</v>
      </c>
      <c r="AB49" s="187" t="n">
        <v>-1.23317500725</v>
      </c>
      <c r="AC49" s="185" t="n">
        <v>-1.2028738179375</v>
      </c>
      <c r="AD49" s="187" t="n">
        <v>-1.172572628625</v>
      </c>
      <c r="AE49" s="185" t="n">
        <v>-1.1422714393125</v>
      </c>
      <c r="AF49" s="185" t="n">
        <v>-1.11197025</v>
      </c>
      <c r="AG49" s="190" t="n">
        <v>-1.083235125</v>
      </c>
      <c r="AH49" s="190" t="n">
        <v>-1.0545</v>
      </c>
      <c r="AI49" s="190" t="n">
        <v>-1.02725</v>
      </c>
      <c r="AJ49" s="190" t="n">
        <v>-1</v>
      </c>
      <c r="AK49" s="190" t="n">
        <v>-0.8</v>
      </c>
      <c r="AL49" s="190" t="n">
        <v>-0.6</v>
      </c>
      <c r="AM49" s="190" t="n">
        <v>-0.4</v>
      </c>
      <c r="AN49" s="190" t="n">
        <v>-0.2</v>
      </c>
      <c r="AO49" s="190" t="n">
        <v>0</v>
      </c>
      <c r="AP49" s="190" t="n">
        <v>0.2</v>
      </c>
      <c r="AQ49" s="190" t="n">
        <v>0.4</v>
      </c>
      <c r="AR49" s="190" t="n">
        <v>0.6</v>
      </c>
      <c r="AS49" s="190" t="n">
        <v>0.8</v>
      </c>
      <c r="AT49" s="190" t="n">
        <v>1</v>
      </c>
      <c r="AU49" s="190" t="n">
        <v>1.2</v>
      </c>
      <c r="AV49" s="190" t="n">
        <v>1.4</v>
      </c>
      <c r="AW49" s="190" t="n">
        <v>1.58</v>
      </c>
      <c r="AX49" s="190" t="n">
        <v>1.76</v>
      </c>
      <c r="AY49" s="190" t="n">
        <v>1.922</v>
      </c>
      <c r="AZ49" s="190" t="n">
        <v>2.084</v>
      </c>
      <c r="BA49" s="190" t="n">
        <v>2.2298</v>
      </c>
      <c r="BB49" s="190" t="n">
        <v>2.3756</v>
      </c>
      <c r="BC49" s="190" t="n">
        <v>2.50682</v>
      </c>
      <c r="BD49" s="190" t="n">
        <v>2.63804</v>
      </c>
      <c r="BE49" s="190" t="n">
        <v>2.756138</v>
      </c>
      <c r="BF49" s="190" t="n">
        <v>2.874236</v>
      </c>
      <c r="BG49" s="190" t="n">
        <v>2.9805242</v>
      </c>
      <c r="BH49" s="190" t="n">
        <v>3.0868124</v>
      </c>
      <c r="BI49" s="190" t="n">
        <v>3.18247178</v>
      </c>
      <c r="BJ49" s="190" t="n">
        <v>3.27813116</v>
      </c>
      <c r="BK49" s="190" t="n">
        <v>3.364224602</v>
      </c>
      <c r="BL49" s="190" t="n">
        <v>3.450318044</v>
      </c>
      <c r="BM49" s="190" t="n">
        <v>3.5278021418</v>
      </c>
      <c r="BN49" s="190" t="n">
        <v>3.6052862396</v>
      </c>
      <c r="BO49" s="190" t="n">
        <v>3.67502192762</v>
      </c>
      <c r="BP49" s="190" t="n">
        <v>3.74475761564</v>
      </c>
      <c r="BQ49" s="190" t="n">
        <v>3.81449330366</v>
      </c>
      <c r="BR49" s="190" t="n">
        <v>3.88422899168</v>
      </c>
      <c r="BS49" s="190" t="n">
        <v>3.9539646797</v>
      </c>
      <c r="BT49" s="190" t="n">
        <v>4.02370036772</v>
      </c>
      <c r="BU49" s="190" t="n">
        <v>4.09343605574</v>
      </c>
      <c r="BV49" s="190" t="n">
        <v>4.16317174376</v>
      </c>
      <c r="BW49" s="190" t="n">
        <v>4.23290743178</v>
      </c>
      <c r="BX49" s="190" t="n">
        <v>4.3026431198</v>
      </c>
      <c r="BY49" s="190" t="n">
        <v>4.37237880782</v>
      </c>
      <c r="BZ49" s="190" t="n">
        <v>4.44211449584</v>
      </c>
      <c r="CA49" s="190" t="n">
        <v>4.51185018386</v>
      </c>
      <c r="CB49" s="190" t="n">
        <v>4.58158587188</v>
      </c>
      <c r="CC49" s="190" t="n">
        <v>4.6513215599</v>
      </c>
      <c r="CD49" s="190" t="n">
        <v>4.72105724792</v>
      </c>
      <c r="CE49" s="190" t="n">
        <v>4.79079293594</v>
      </c>
      <c r="CF49" s="190" t="n">
        <v>4.86052862396</v>
      </c>
      <c r="CG49" s="190" t="n">
        <v>4.93026431198</v>
      </c>
      <c r="CH49" s="190" t="n">
        <v>5</v>
      </c>
      <c r="CI49" s="190" t="n">
        <v>5.06973568801999</v>
      </c>
      <c r="CJ49" s="190" t="n">
        <v>5.13947137603999</v>
      </c>
      <c r="CK49" s="190" t="n">
        <v>5.20920706405999</v>
      </c>
      <c r="CL49" s="190" t="n">
        <v>5.27894275207999</v>
      </c>
      <c r="CM49" s="190" t="n">
        <v>5.34867844009999</v>
      </c>
      <c r="CN49" s="190" t="n">
        <v>5.41841412811999</v>
      </c>
      <c r="CO49" s="190" t="n">
        <v>5.48814981613999</v>
      </c>
      <c r="CP49" s="190" t="n">
        <v>5.55788550415999</v>
      </c>
      <c r="CQ49" s="190" t="n">
        <v>5.62762119217999</v>
      </c>
      <c r="CR49" s="190" t="n">
        <v>5.69735688019999</v>
      </c>
      <c r="CS49" s="190" t="n">
        <v>5.76709256821999</v>
      </c>
      <c r="CT49" s="190" t="n">
        <v>5.83682825623999</v>
      </c>
      <c r="CU49" s="190" t="n">
        <v>5.90656394425999</v>
      </c>
      <c r="CV49" s="190" t="n">
        <v>5.97629963227999</v>
      </c>
      <c r="CW49" s="190" t="n">
        <v>6.04603532029999</v>
      </c>
      <c r="CX49" s="190" t="n">
        <v>6.11577100831999</v>
      </c>
      <c r="CY49" s="190" t="n">
        <v>6.18550669633999</v>
      </c>
      <c r="CZ49" s="190" t="n">
        <v>6.25524238435999</v>
      </c>
      <c r="DA49" s="190" t="n">
        <v>6.32497807237999</v>
      </c>
      <c r="DB49" s="190" t="n">
        <v>6.39471376039999</v>
      </c>
      <c r="DC49" s="190" t="n">
        <v>6.46444944841999</v>
      </c>
      <c r="DD49" s="190" t="n">
        <v>6.53418513643999</v>
      </c>
      <c r="DE49" s="190" t="n">
        <v>6.60392082445999</v>
      </c>
      <c r="DF49" s="190" t="n">
        <v>6.67365651247999</v>
      </c>
      <c r="DG49" s="190" t="n">
        <v>6.74339220049999</v>
      </c>
      <c r="DH49" s="190" t="n">
        <v>6.81312788851999</v>
      </c>
      <c r="DI49" s="190" t="n">
        <v>6.88286357653999</v>
      </c>
      <c r="DJ49" s="190" t="n">
        <v>6.95259926455999</v>
      </c>
      <c r="DK49" s="190" t="n">
        <v>7.02233495257999</v>
      </c>
      <c r="DL49" s="190" t="n">
        <v>7.09207064059999</v>
      </c>
      <c r="DM49" s="190" t="n">
        <v>7.16180632861999</v>
      </c>
      <c r="DN49" s="190" t="n">
        <v>7.23154201663999</v>
      </c>
      <c r="DO49" s="190" t="n">
        <v>7.30127770465999</v>
      </c>
      <c r="DP49" s="190" t="n">
        <v>7.37101339267999</v>
      </c>
      <c r="DQ49" s="190" t="n">
        <v>7.44074908069999</v>
      </c>
      <c r="DR49" s="190" t="n">
        <v>7.51048476871999</v>
      </c>
      <c r="DS49" s="190" t="n">
        <v>7.58022045673999</v>
      </c>
      <c r="DT49" s="190" t="n">
        <v>7.64995614475999</v>
      </c>
      <c r="DU49" s="190" t="n">
        <v>7.71969183277999</v>
      </c>
      <c r="DV49" s="190" t="n">
        <v>7.78942752079998</v>
      </c>
      <c r="DW49" s="190" t="n">
        <v>7.85916320881998</v>
      </c>
      <c r="DX49" s="190" t="n">
        <v>7.92889889683998</v>
      </c>
      <c r="DY49" s="190" t="n">
        <v>7.99863458485998</v>
      </c>
      <c r="DZ49" s="190" t="n">
        <v>8.06837027287998</v>
      </c>
      <c r="EA49" s="190" t="n">
        <v>8.13810596089998</v>
      </c>
      <c r="EB49" s="190" t="n">
        <v>8.20784164891998</v>
      </c>
      <c r="EC49" s="190" t="n">
        <v>8.27757733693998</v>
      </c>
      <c r="ED49" s="190" t="n">
        <v>8.34731302495998</v>
      </c>
      <c r="EE49" s="190" t="n">
        <v>8.41704871297998</v>
      </c>
      <c r="EF49" s="190" t="n">
        <v>8.48678440099998</v>
      </c>
      <c r="EG49" s="190" t="n">
        <v>8.55652008901998</v>
      </c>
      <c r="EH49" s="190" t="n">
        <v>8.62625577703998</v>
      </c>
      <c r="EI49" s="190" t="n">
        <v>8.69599146505998</v>
      </c>
      <c r="EJ49" s="190" t="n">
        <v>8.76572715307998</v>
      </c>
      <c r="EK49" s="190" t="n">
        <v>8.83546284109998</v>
      </c>
      <c r="EL49" s="180" t="n">
        <v>8.90519852911998</v>
      </c>
      <c r="EM49" s="180" t="n">
        <v>8.97493421713998</v>
      </c>
      <c r="EN49" s="180" t="n">
        <v>9.04466990515998</v>
      </c>
      <c r="EO49" s="180" t="n">
        <v>9.11440559317998</v>
      </c>
      <c r="EP49" s="180" t="n">
        <v>9.18414128119998</v>
      </c>
      <c r="EQ49" s="180" t="n">
        <v>9.25387696921998</v>
      </c>
      <c r="ER49" s="180" t="n">
        <v>9.32361265723998</v>
      </c>
      <c r="ES49" s="180" t="n">
        <v>9.39334834525998</v>
      </c>
      <c r="ET49" s="180" t="n">
        <v>9.46308403327998</v>
      </c>
      <c r="EU49" s="180" t="n">
        <v>9.53281972129998</v>
      </c>
      <c r="EV49" s="180" t="n">
        <v>9.60255540931998</v>
      </c>
      <c r="EW49" s="180" t="n">
        <v>9.67229109733998</v>
      </c>
      <c r="EX49" s="180" t="n">
        <v>9.74202678535998</v>
      </c>
      <c r="EY49" s="180" t="n">
        <v>9.81176247337998</v>
      </c>
      <c r="EZ49" s="180" t="n">
        <v>9.88149816139998</v>
      </c>
      <c r="FA49" s="180" t="n">
        <v>9.95123384941998</v>
      </c>
      <c r="FB49" s="180" t="n">
        <v>10.02096953744</v>
      </c>
      <c r="FC49" s="180" t="n">
        <v>10.09070522546</v>
      </c>
      <c r="FD49" s="180" t="n">
        <v>10.16044091348</v>
      </c>
      <c r="FE49" s="180" t="n">
        <v>10.2301766015</v>
      </c>
      <c r="FF49" s="180" t="n">
        <v>10.29991228952</v>
      </c>
      <c r="FG49" s="180" t="n">
        <v>10.36964797754</v>
      </c>
      <c r="FH49" s="180" t="n">
        <v>10.43938366556</v>
      </c>
      <c r="FI49" s="180" t="n">
        <v>10.50911935358</v>
      </c>
      <c r="FJ49" s="180" t="n">
        <v>10.5788550416</v>
      </c>
      <c r="FK49" s="180" t="n">
        <v>10.64859072962</v>
      </c>
      <c r="FL49" s="180" t="n">
        <v>10.71832641764</v>
      </c>
      <c r="FM49" s="180" t="n">
        <v>10.78806210566</v>
      </c>
      <c r="FN49" s="180" t="n">
        <v>10.85779779368</v>
      </c>
      <c r="FO49" s="180" t="n">
        <v>10.9275334817</v>
      </c>
      <c r="FP49" s="180" t="n">
        <v>10.99726916972</v>
      </c>
      <c r="FQ49" s="180" t="n">
        <v>11.06700485774</v>
      </c>
      <c r="FR49" s="180" t="n">
        <v>11.13674054576</v>
      </c>
      <c r="FS49" s="180" t="n">
        <v>11.20647623378</v>
      </c>
      <c r="FT49" s="180" t="n">
        <v>11.2762119218</v>
      </c>
      <c r="FU49" s="180" t="n">
        <v>11.34594760982</v>
      </c>
      <c r="FV49" s="180" t="n">
        <v>11.41568329784</v>
      </c>
      <c r="FW49" s="180" t="n">
        <v>11.48541898586</v>
      </c>
      <c r="FX49" s="180" t="n">
        <v>11.55515467388</v>
      </c>
      <c r="FY49" s="180" t="n">
        <v>11.6248903619</v>
      </c>
      <c r="FZ49" s="180" t="n">
        <v>11.69462604992</v>
      </c>
      <c r="GA49" s="180" t="n">
        <v>11.76436173794</v>
      </c>
      <c r="GB49" s="180" t="n">
        <v>11.83409742596</v>
      </c>
      <c r="GC49" s="180" t="n">
        <v>11.90383311398</v>
      </c>
      <c r="GD49" s="180" t="n">
        <v>11.973568802</v>
      </c>
      <c r="GE49" s="180" t="n">
        <v>12.04330449002</v>
      </c>
      <c r="GF49" s="180" t="n">
        <v>12.11304017804</v>
      </c>
      <c r="GG49" s="180" t="n">
        <v>12.18277586606</v>
      </c>
      <c r="GH49" s="180" t="n">
        <v>12.25251155408</v>
      </c>
      <c r="GI49" s="180" t="n">
        <v>12.3222472421</v>
      </c>
      <c r="GJ49" s="180" t="n">
        <v>12.39198293012</v>
      </c>
      <c r="GK49" s="180" t="n">
        <v>12.46171861814</v>
      </c>
      <c r="GL49" s="180" t="n">
        <v>12.53145430616</v>
      </c>
      <c r="GM49" s="180" t="n">
        <v>12.60118999418</v>
      </c>
      <c r="GN49" s="180" t="n">
        <v>12.6709256822</v>
      </c>
      <c r="GO49" s="180" t="n">
        <v>12.74066137022</v>
      </c>
      <c r="GP49" s="180" t="n">
        <v>12.81039705824</v>
      </c>
      <c r="GQ49" s="180" t="n">
        <v>12.88013274626</v>
      </c>
      <c r="GR49" s="180" t="n">
        <v>12.94986843428</v>
      </c>
      <c r="GS49" s="180" t="n">
        <v>13.0196041223</v>
      </c>
      <c r="GT49" s="180" t="n">
        <v>13.08933981032</v>
      </c>
      <c r="GU49" s="180" t="n">
        <v>13.15907549834</v>
      </c>
      <c r="GV49" s="180" t="n">
        <v>13.22881118636</v>
      </c>
      <c r="GW49" s="180" t="n">
        <v>13.29854687438</v>
      </c>
      <c r="GX49" s="180" t="n">
        <v>13.3682825624</v>
      </c>
      <c r="GY49" s="180" t="n">
        <v>13.43801825042</v>
      </c>
      <c r="GZ49" s="180" t="n">
        <v>13.50775393844</v>
      </c>
      <c r="HA49" s="180" t="n">
        <v>13.57748962646</v>
      </c>
      <c r="HB49" s="180" t="n">
        <v>13.64722531448</v>
      </c>
      <c r="HC49" s="180" t="n">
        <v>13.7169610025</v>
      </c>
      <c r="HD49" s="180" t="n">
        <v>13.78669669052</v>
      </c>
      <c r="HE49" s="180" t="n">
        <v>13.85643237854</v>
      </c>
      <c r="HF49" s="180" t="n">
        <v>13.92616806656</v>
      </c>
      <c r="HG49" s="180" t="n">
        <v>13.99590375458</v>
      </c>
      <c r="HH49" s="180" t="n">
        <v>14.0656394426</v>
      </c>
      <c r="HI49" s="180" t="n">
        <v>14.13537513062</v>
      </c>
      <c r="HJ49" s="180" t="n">
        <v>14.20511081864</v>
      </c>
      <c r="HK49" s="180" t="n">
        <v>14.27484650666</v>
      </c>
      <c r="HL49" s="180" t="n">
        <v>14.34458219468</v>
      </c>
      <c r="HM49" s="180" t="n">
        <v>14.4143178827</v>
      </c>
      <c r="HN49" s="180" t="n">
        <v>14.48405357072</v>
      </c>
      <c r="HO49" s="180" t="n">
        <v>14.55378925874</v>
      </c>
      <c r="HP49" s="180" t="n">
        <v>14.62352494676</v>
      </c>
      <c r="HQ49" s="180" t="n">
        <v>14.69326063478</v>
      </c>
      <c r="HR49" s="180" t="n">
        <v>14.7629963228</v>
      </c>
      <c r="HS49" s="180" t="n">
        <v>14.83273201082</v>
      </c>
      <c r="HT49" s="180" t="n">
        <v>14.90246769884</v>
      </c>
      <c r="HU49" s="180" t="n">
        <v>14.97220338686</v>
      </c>
      <c r="HV49" s="180" t="n">
        <v>15.04193907488</v>
      </c>
      <c r="HW49" s="180" t="n">
        <v>15.1116747629</v>
      </c>
      <c r="HX49" s="180" t="n">
        <v>15.18141045092</v>
      </c>
      <c r="HY49" s="180" t="n">
        <v>15.25114613894</v>
      </c>
      <c r="HZ49" s="180" t="n">
        <v>15.32088182696</v>
      </c>
      <c r="IA49" s="180" t="n">
        <v>15.39061751498</v>
      </c>
      <c r="IB49" s="180" t="n">
        <v>15.460353203</v>
      </c>
      <c r="IC49" s="180" t="n">
        <v>15.53008889102</v>
      </c>
      <c r="ID49" s="180" t="n">
        <v>15.59982457904</v>
      </c>
      <c r="IE49" s="180" t="n">
        <v>15.66956026706</v>
      </c>
      <c r="IF49" s="180" t="n">
        <v>15.73929595508</v>
      </c>
      <c r="IG49" s="180" t="n">
        <v>15.8090316431</v>
      </c>
      <c r="IH49" s="180" t="n">
        <v>15.87876733112</v>
      </c>
      <c r="II49" s="180" t="n">
        <v>15.94850301914</v>
      </c>
      <c r="IJ49" s="180" t="n">
        <v>16.01823870716</v>
      </c>
      <c r="IK49" s="180" t="n">
        <v>16.08797439518</v>
      </c>
      <c r="IL49" s="180" t="n">
        <v>16.1577100832</v>
      </c>
      <c r="IM49" s="180" t="n">
        <v>16.22744577122</v>
      </c>
      <c r="IN49" s="180" t="n">
        <v>16.29718145924</v>
      </c>
      <c r="IO49" s="180" t="n">
        <v>16.36691714726</v>
      </c>
      <c r="IP49" s="180" t="n">
        <v>16.43665283528</v>
      </c>
      <c r="IQ49" s="180" t="n">
        <v>16.5063885233</v>
      </c>
      <c r="IR49" s="180" t="n">
        <v>16.57612421132</v>
      </c>
      <c r="IS49" s="180" t="n">
        <v>16.64585989934</v>
      </c>
      <c r="IT49" s="180" t="n">
        <v>16.71559558736</v>
      </c>
      <c r="IU49" s="180" t="n">
        <v>16.78533127538</v>
      </c>
      <c r="IV49" s="180" t="n">
        <v>16.8550669634</v>
      </c>
    </row>
    <row r="50" customFormat="false" ht="12.75" hidden="false" customHeight="false" outlineLevel="0" collapsed="false">
      <c r="A50" s="189" t="n">
        <v>38200</v>
      </c>
      <c r="B50" s="185" t="n">
        <v>-2.021005929375</v>
      </c>
      <c r="C50" s="185" t="n">
        <v>-1.9907047400625</v>
      </c>
      <c r="D50" s="185" t="n">
        <v>-1.96040355075</v>
      </c>
      <c r="E50" s="185" t="n">
        <v>-1.9301023614375</v>
      </c>
      <c r="F50" s="185" t="n">
        <v>-1.899801172125</v>
      </c>
      <c r="G50" s="185" t="n">
        <v>-1.8694999828125</v>
      </c>
      <c r="H50" s="185" t="n">
        <v>-1.8391987935</v>
      </c>
      <c r="I50" s="185" t="n">
        <v>-1.8088976041875</v>
      </c>
      <c r="J50" s="185" t="n">
        <v>-1.778596414875</v>
      </c>
      <c r="K50" s="185" t="n">
        <v>-1.7482952255625</v>
      </c>
      <c r="L50" s="185" t="n">
        <v>-1.71799403625</v>
      </c>
      <c r="M50" s="185" t="n">
        <v>-1.6876928469375</v>
      </c>
      <c r="N50" s="185" t="n">
        <v>-1.657391657625</v>
      </c>
      <c r="O50" s="185" t="n">
        <v>-1.6270904683125</v>
      </c>
      <c r="P50" s="185" t="n">
        <v>-1.596789279</v>
      </c>
      <c r="Q50" s="185" t="n">
        <v>-1.5664880896875</v>
      </c>
      <c r="R50" s="185" t="n">
        <v>-1.536186900375</v>
      </c>
      <c r="S50" s="185" t="n">
        <v>-1.5058857110625</v>
      </c>
      <c r="T50" s="185" t="n">
        <v>-1.47558452175</v>
      </c>
      <c r="U50" s="185" t="n">
        <v>-1.4452833324375</v>
      </c>
      <c r="V50" s="186" t="n">
        <v>-1.414982143125</v>
      </c>
      <c r="W50" s="185" t="n">
        <v>-1.3846809538125</v>
      </c>
      <c r="X50" s="186" t="n">
        <v>-1.3543797645</v>
      </c>
      <c r="Y50" s="185" t="n">
        <v>-1.3240785751875</v>
      </c>
      <c r="Z50" s="186" t="n">
        <v>-1.293777385875</v>
      </c>
      <c r="AA50" s="185" t="n">
        <v>-1.2634761965625</v>
      </c>
      <c r="AB50" s="187" t="n">
        <v>-1.23317500725</v>
      </c>
      <c r="AC50" s="185" t="n">
        <v>-1.2028738179375</v>
      </c>
      <c r="AD50" s="187" t="n">
        <v>-1.172572628625</v>
      </c>
      <c r="AE50" s="185" t="n">
        <v>-1.1422714393125</v>
      </c>
      <c r="AF50" s="185" t="n">
        <v>-1.11197025</v>
      </c>
      <c r="AG50" s="190" t="n">
        <v>-1.083235125</v>
      </c>
      <c r="AH50" s="190" t="n">
        <v>-1.0545</v>
      </c>
      <c r="AI50" s="190" t="n">
        <v>-1.02725</v>
      </c>
      <c r="AJ50" s="190" t="n">
        <v>-1</v>
      </c>
      <c r="AK50" s="190" t="n">
        <v>-0.8</v>
      </c>
      <c r="AL50" s="190" t="n">
        <v>-0.6</v>
      </c>
      <c r="AM50" s="190" t="n">
        <v>-0.4</v>
      </c>
      <c r="AN50" s="190" t="n">
        <v>-0.2</v>
      </c>
      <c r="AO50" s="190" t="n">
        <v>0</v>
      </c>
      <c r="AP50" s="190" t="n">
        <v>0.2</v>
      </c>
      <c r="AQ50" s="190" t="n">
        <v>0.4</v>
      </c>
      <c r="AR50" s="190" t="n">
        <v>0.6</v>
      </c>
      <c r="AS50" s="190" t="n">
        <v>0.8</v>
      </c>
      <c r="AT50" s="190" t="n">
        <v>1</v>
      </c>
      <c r="AU50" s="190" t="n">
        <v>1.2</v>
      </c>
      <c r="AV50" s="190" t="n">
        <v>1.4</v>
      </c>
      <c r="AW50" s="190" t="n">
        <v>1.58</v>
      </c>
      <c r="AX50" s="190" t="n">
        <v>1.76</v>
      </c>
      <c r="AY50" s="190" t="n">
        <v>1.922</v>
      </c>
      <c r="AZ50" s="190" t="n">
        <v>2.084</v>
      </c>
      <c r="BA50" s="190" t="n">
        <v>2.2298</v>
      </c>
      <c r="BB50" s="190" t="n">
        <v>2.3756</v>
      </c>
      <c r="BC50" s="190" t="n">
        <v>2.50682</v>
      </c>
      <c r="BD50" s="190" t="n">
        <v>2.63804</v>
      </c>
      <c r="BE50" s="190" t="n">
        <v>2.756138</v>
      </c>
      <c r="BF50" s="190" t="n">
        <v>2.874236</v>
      </c>
      <c r="BG50" s="190" t="n">
        <v>2.9805242</v>
      </c>
      <c r="BH50" s="190" t="n">
        <v>3.0868124</v>
      </c>
      <c r="BI50" s="190" t="n">
        <v>3.18247178</v>
      </c>
      <c r="BJ50" s="190" t="n">
        <v>3.27813116</v>
      </c>
      <c r="BK50" s="190" t="n">
        <v>3.364224602</v>
      </c>
      <c r="BL50" s="190" t="n">
        <v>3.450318044</v>
      </c>
      <c r="BM50" s="190" t="n">
        <v>3.5278021418</v>
      </c>
      <c r="BN50" s="190" t="n">
        <v>3.6052862396</v>
      </c>
      <c r="BO50" s="190" t="n">
        <v>3.67502192762</v>
      </c>
      <c r="BP50" s="190" t="n">
        <v>3.74475761564</v>
      </c>
      <c r="BQ50" s="190" t="n">
        <v>3.81449330366</v>
      </c>
      <c r="BR50" s="190" t="n">
        <v>3.88422899168</v>
      </c>
      <c r="BS50" s="190" t="n">
        <v>3.9539646797</v>
      </c>
      <c r="BT50" s="190" t="n">
        <v>4.02370036772</v>
      </c>
      <c r="BU50" s="190" t="n">
        <v>4.09343605574</v>
      </c>
      <c r="BV50" s="190" t="n">
        <v>4.16317174376</v>
      </c>
      <c r="BW50" s="190" t="n">
        <v>4.23290743178</v>
      </c>
      <c r="BX50" s="190" t="n">
        <v>4.3026431198</v>
      </c>
      <c r="BY50" s="190" t="n">
        <v>4.37237880782</v>
      </c>
      <c r="BZ50" s="190" t="n">
        <v>4.44211449584</v>
      </c>
      <c r="CA50" s="190" t="n">
        <v>4.51185018386</v>
      </c>
      <c r="CB50" s="190" t="n">
        <v>4.58158587188</v>
      </c>
      <c r="CC50" s="190" t="n">
        <v>4.6513215599</v>
      </c>
      <c r="CD50" s="190" t="n">
        <v>4.72105724792</v>
      </c>
      <c r="CE50" s="190" t="n">
        <v>4.79079293594</v>
      </c>
      <c r="CF50" s="190" t="n">
        <v>4.86052862396</v>
      </c>
      <c r="CG50" s="190" t="n">
        <v>4.93026431198</v>
      </c>
      <c r="CH50" s="190" t="n">
        <v>5</v>
      </c>
      <c r="CI50" s="190" t="n">
        <v>5.06973568801999</v>
      </c>
      <c r="CJ50" s="190" t="n">
        <v>5.13947137603999</v>
      </c>
      <c r="CK50" s="190" t="n">
        <v>5.20920706405999</v>
      </c>
      <c r="CL50" s="190" t="n">
        <v>5.27894275207999</v>
      </c>
      <c r="CM50" s="190" t="n">
        <v>5.34867844009999</v>
      </c>
      <c r="CN50" s="190" t="n">
        <v>5.41841412811999</v>
      </c>
      <c r="CO50" s="190" t="n">
        <v>5.48814981613999</v>
      </c>
      <c r="CP50" s="190" t="n">
        <v>5.55788550415999</v>
      </c>
      <c r="CQ50" s="190" t="n">
        <v>5.62762119217999</v>
      </c>
      <c r="CR50" s="190" t="n">
        <v>5.69735688019999</v>
      </c>
      <c r="CS50" s="190" t="n">
        <v>5.76709256821999</v>
      </c>
      <c r="CT50" s="190" t="n">
        <v>5.83682825623999</v>
      </c>
      <c r="CU50" s="190" t="n">
        <v>5.90656394425999</v>
      </c>
      <c r="CV50" s="190" t="n">
        <v>5.97629963227999</v>
      </c>
      <c r="CW50" s="190" t="n">
        <v>6.04603532029999</v>
      </c>
      <c r="CX50" s="190" t="n">
        <v>6.11577100831999</v>
      </c>
      <c r="CY50" s="190" t="n">
        <v>6.18550669633999</v>
      </c>
      <c r="CZ50" s="190" t="n">
        <v>6.25524238435999</v>
      </c>
      <c r="DA50" s="190" t="n">
        <v>6.32497807237999</v>
      </c>
      <c r="DB50" s="190" t="n">
        <v>6.39471376039999</v>
      </c>
      <c r="DC50" s="190" t="n">
        <v>6.46444944841999</v>
      </c>
      <c r="DD50" s="190" t="n">
        <v>6.53418513643999</v>
      </c>
      <c r="DE50" s="190" t="n">
        <v>6.60392082445999</v>
      </c>
      <c r="DF50" s="190" t="n">
        <v>6.67365651247999</v>
      </c>
      <c r="DG50" s="190" t="n">
        <v>6.74339220049999</v>
      </c>
      <c r="DH50" s="190" t="n">
        <v>6.81312788851999</v>
      </c>
      <c r="DI50" s="190" t="n">
        <v>6.88286357653999</v>
      </c>
      <c r="DJ50" s="190" t="n">
        <v>6.95259926455999</v>
      </c>
      <c r="DK50" s="190" t="n">
        <v>7.02233495257999</v>
      </c>
      <c r="DL50" s="190" t="n">
        <v>7.09207064059999</v>
      </c>
      <c r="DM50" s="190" t="n">
        <v>7.16180632861999</v>
      </c>
      <c r="DN50" s="190" t="n">
        <v>7.23154201663999</v>
      </c>
      <c r="DO50" s="190" t="n">
        <v>7.30127770465999</v>
      </c>
      <c r="DP50" s="190" t="n">
        <v>7.37101339267999</v>
      </c>
      <c r="DQ50" s="190" t="n">
        <v>7.44074908069999</v>
      </c>
      <c r="DR50" s="190" t="n">
        <v>7.51048476871999</v>
      </c>
      <c r="DS50" s="190" t="n">
        <v>7.58022045673999</v>
      </c>
      <c r="DT50" s="190" t="n">
        <v>7.64995614475999</v>
      </c>
      <c r="DU50" s="190" t="n">
        <v>7.71969183277999</v>
      </c>
      <c r="DV50" s="190" t="n">
        <v>7.78942752079998</v>
      </c>
      <c r="DW50" s="190" t="n">
        <v>7.85916320881998</v>
      </c>
      <c r="DX50" s="190" t="n">
        <v>7.92889889683998</v>
      </c>
      <c r="DY50" s="190" t="n">
        <v>7.99863458485998</v>
      </c>
      <c r="DZ50" s="190" t="n">
        <v>8.06837027287998</v>
      </c>
      <c r="EA50" s="190" t="n">
        <v>8.13810596089998</v>
      </c>
      <c r="EB50" s="190" t="n">
        <v>8.20784164891998</v>
      </c>
      <c r="EC50" s="190" t="n">
        <v>8.27757733693998</v>
      </c>
      <c r="ED50" s="190" t="n">
        <v>8.34731302495998</v>
      </c>
      <c r="EE50" s="190" t="n">
        <v>8.41704871297998</v>
      </c>
      <c r="EF50" s="190" t="n">
        <v>8.48678440099998</v>
      </c>
      <c r="EG50" s="190" t="n">
        <v>8.55652008901998</v>
      </c>
      <c r="EH50" s="190" t="n">
        <v>8.62625577703998</v>
      </c>
      <c r="EI50" s="190" t="n">
        <v>8.69599146505998</v>
      </c>
      <c r="EJ50" s="190" t="n">
        <v>8.76572715307998</v>
      </c>
      <c r="EK50" s="190" t="n">
        <v>8.83546284109998</v>
      </c>
      <c r="EL50" s="180" t="n">
        <v>8.90519852911998</v>
      </c>
      <c r="EM50" s="180" t="n">
        <v>8.97493421713998</v>
      </c>
      <c r="EN50" s="180" t="n">
        <v>9.04466990515998</v>
      </c>
      <c r="EO50" s="180" t="n">
        <v>9.11440559317998</v>
      </c>
      <c r="EP50" s="180" t="n">
        <v>9.18414128119998</v>
      </c>
      <c r="EQ50" s="180" t="n">
        <v>9.25387696921998</v>
      </c>
      <c r="ER50" s="180" t="n">
        <v>9.32361265723998</v>
      </c>
      <c r="ES50" s="180" t="n">
        <v>9.39334834525998</v>
      </c>
      <c r="ET50" s="180" t="n">
        <v>9.46308403327998</v>
      </c>
      <c r="EU50" s="180" t="n">
        <v>9.53281972129998</v>
      </c>
      <c r="EV50" s="180" t="n">
        <v>9.60255540931998</v>
      </c>
      <c r="EW50" s="180" t="n">
        <v>9.67229109733998</v>
      </c>
      <c r="EX50" s="180" t="n">
        <v>9.74202678535998</v>
      </c>
      <c r="EY50" s="180" t="n">
        <v>9.81176247337998</v>
      </c>
      <c r="EZ50" s="180" t="n">
        <v>9.88149816139998</v>
      </c>
      <c r="FA50" s="180" t="n">
        <v>9.95123384941998</v>
      </c>
      <c r="FB50" s="180" t="n">
        <v>10.02096953744</v>
      </c>
      <c r="FC50" s="180" t="n">
        <v>10.09070522546</v>
      </c>
      <c r="FD50" s="180" t="n">
        <v>10.16044091348</v>
      </c>
      <c r="FE50" s="180" t="n">
        <v>10.2301766015</v>
      </c>
      <c r="FF50" s="180" t="n">
        <v>10.29991228952</v>
      </c>
      <c r="FG50" s="180" t="n">
        <v>10.36964797754</v>
      </c>
      <c r="FH50" s="180" t="n">
        <v>10.43938366556</v>
      </c>
      <c r="FI50" s="180" t="n">
        <v>10.50911935358</v>
      </c>
      <c r="FJ50" s="180" t="n">
        <v>10.5788550416</v>
      </c>
      <c r="FK50" s="180" t="n">
        <v>10.64859072962</v>
      </c>
      <c r="FL50" s="180" t="n">
        <v>10.71832641764</v>
      </c>
      <c r="FM50" s="180" t="n">
        <v>10.78806210566</v>
      </c>
      <c r="FN50" s="180" t="n">
        <v>10.85779779368</v>
      </c>
      <c r="FO50" s="180" t="n">
        <v>10.9275334817</v>
      </c>
      <c r="FP50" s="180" t="n">
        <v>10.99726916972</v>
      </c>
      <c r="FQ50" s="180" t="n">
        <v>11.06700485774</v>
      </c>
      <c r="FR50" s="180" t="n">
        <v>11.13674054576</v>
      </c>
      <c r="FS50" s="180" t="n">
        <v>11.20647623378</v>
      </c>
      <c r="FT50" s="180" t="n">
        <v>11.2762119218</v>
      </c>
      <c r="FU50" s="180" t="n">
        <v>11.34594760982</v>
      </c>
      <c r="FV50" s="180" t="n">
        <v>11.41568329784</v>
      </c>
      <c r="FW50" s="180" t="n">
        <v>11.48541898586</v>
      </c>
      <c r="FX50" s="180" t="n">
        <v>11.55515467388</v>
      </c>
      <c r="FY50" s="180" t="n">
        <v>11.6248903619</v>
      </c>
      <c r="FZ50" s="180" t="n">
        <v>11.69462604992</v>
      </c>
      <c r="GA50" s="180" t="n">
        <v>11.76436173794</v>
      </c>
      <c r="GB50" s="180" t="n">
        <v>11.83409742596</v>
      </c>
      <c r="GC50" s="180" t="n">
        <v>11.90383311398</v>
      </c>
      <c r="GD50" s="180" t="n">
        <v>11.973568802</v>
      </c>
      <c r="GE50" s="180" t="n">
        <v>12.04330449002</v>
      </c>
      <c r="GF50" s="180" t="n">
        <v>12.11304017804</v>
      </c>
      <c r="GG50" s="180" t="n">
        <v>12.18277586606</v>
      </c>
      <c r="GH50" s="180" t="n">
        <v>12.25251155408</v>
      </c>
      <c r="GI50" s="180" t="n">
        <v>12.3222472421</v>
      </c>
      <c r="GJ50" s="180" t="n">
        <v>12.39198293012</v>
      </c>
      <c r="GK50" s="180" t="n">
        <v>12.46171861814</v>
      </c>
      <c r="GL50" s="180" t="n">
        <v>12.53145430616</v>
      </c>
      <c r="GM50" s="180" t="n">
        <v>12.60118999418</v>
      </c>
      <c r="GN50" s="180" t="n">
        <v>12.6709256822</v>
      </c>
      <c r="GO50" s="180" t="n">
        <v>12.74066137022</v>
      </c>
      <c r="GP50" s="180" t="n">
        <v>12.81039705824</v>
      </c>
      <c r="GQ50" s="180" t="n">
        <v>12.88013274626</v>
      </c>
      <c r="GR50" s="180" t="n">
        <v>12.94986843428</v>
      </c>
      <c r="GS50" s="180" t="n">
        <v>13.0196041223</v>
      </c>
      <c r="GT50" s="180" t="n">
        <v>13.08933981032</v>
      </c>
      <c r="GU50" s="180" t="n">
        <v>13.15907549834</v>
      </c>
      <c r="GV50" s="180" t="n">
        <v>13.22881118636</v>
      </c>
      <c r="GW50" s="180" t="n">
        <v>13.29854687438</v>
      </c>
      <c r="GX50" s="180" t="n">
        <v>13.3682825624</v>
      </c>
      <c r="GY50" s="180" t="n">
        <v>13.43801825042</v>
      </c>
      <c r="GZ50" s="180" t="n">
        <v>13.50775393844</v>
      </c>
      <c r="HA50" s="180" t="n">
        <v>13.57748962646</v>
      </c>
      <c r="HB50" s="180" t="n">
        <v>13.64722531448</v>
      </c>
      <c r="HC50" s="180" t="n">
        <v>13.7169610025</v>
      </c>
      <c r="HD50" s="180" t="n">
        <v>13.78669669052</v>
      </c>
      <c r="HE50" s="180" t="n">
        <v>13.85643237854</v>
      </c>
      <c r="HF50" s="180" t="n">
        <v>13.92616806656</v>
      </c>
      <c r="HG50" s="180" t="n">
        <v>13.99590375458</v>
      </c>
      <c r="HH50" s="180" t="n">
        <v>14.0656394426</v>
      </c>
      <c r="HI50" s="180" t="n">
        <v>14.13537513062</v>
      </c>
      <c r="HJ50" s="180" t="n">
        <v>14.20511081864</v>
      </c>
      <c r="HK50" s="180" t="n">
        <v>14.27484650666</v>
      </c>
      <c r="HL50" s="180" t="n">
        <v>14.34458219468</v>
      </c>
      <c r="HM50" s="180" t="n">
        <v>14.4143178827</v>
      </c>
      <c r="HN50" s="180" t="n">
        <v>14.48405357072</v>
      </c>
      <c r="HO50" s="180" t="n">
        <v>14.55378925874</v>
      </c>
      <c r="HP50" s="180" t="n">
        <v>14.62352494676</v>
      </c>
      <c r="HQ50" s="180" t="n">
        <v>14.69326063478</v>
      </c>
      <c r="HR50" s="180" t="n">
        <v>14.7629963228</v>
      </c>
      <c r="HS50" s="180" t="n">
        <v>14.83273201082</v>
      </c>
      <c r="HT50" s="180" t="n">
        <v>14.90246769884</v>
      </c>
      <c r="HU50" s="180" t="n">
        <v>14.97220338686</v>
      </c>
      <c r="HV50" s="180" t="n">
        <v>15.04193907488</v>
      </c>
      <c r="HW50" s="180" t="n">
        <v>15.1116747629</v>
      </c>
      <c r="HX50" s="180" t="n">
        <v>15.18141045092</v>
      </c>
      <c r="HY50" s="180" t="n">
        <v>15.25114613894</v>
      </c>
      <c r="HZ50" s="180" t="n">
        <v>15.32088182696</v>
      </c>
      <c r="IA50" s="180" t="n">
        <v>15.39061751498</v>
      </c>
      <c r="IB50" s="180" t="n">
        <v>15.460353203</v>
      </c>
      <c r="IC50" s="180" t="n">
        <v>15.53008889102</v>
      </c>
      <c r="ID50" s="180" t="n">
        <v>15.59982457904</v>
      </c>
      <c r="IE50" s="180" t="n">
        <v>15.66956026706</v>
      </c>
      <c r="IF50" s="180" t="n">
        <v>15.73929595508</v>
      </c>
      <c r="IG50" s="180" t="n">
        <v>15.8090316431</v>
      </c>
      <c r="IH50" s="180" t="n">
        <v>15.87876733112</v>
      </c>
      <c r="II50" s="180" t="n">
        <v>15.94850301914</v>
      </c>
      <c r="IJ50" s="180" t="n">
        <v>16.01823870716</v>
      </c>
      <c r="IK50" s="180" t="n">
        <v>16.08797439518</v>
      </c>
      <c r="IL50" s="180" t="n">
        <v>16.1577100832</v>
      </c>
      <c r="IM50" s="180" t="n">
        <v>16.22744577122</v>
      </c>
      <c r="IN50" s="180" t="n">
        <v>16.29718145924</v>
      </c>
      <c r="IO50" s="180" t="n">
        <v>16.36691714726</v>
      </c>
      <c r="IP50" s="180" t="n">
        <v>16.43665283528</v>
      </c>
      <c r="IQ50" s="180" t="n">
        <v>16.5063885233</v>
      </c>
      <c r="IR50" s="180" t="n">
        <v>16.57612421132</v>
      </c>
      <c r="IS50" s="180" t="n">
        <v>16.64585989934</v>
      </c>
      <c r="IT50" s="180" t="n">
        <v>16.71559558736</v>
      </c>
      <c r="IU50" s="180" t="n">
        <v>16.78533127538</v>
      </c>
      <c r="IV50" s="180" t="n">
        <v>16.8550669634</v>
      </c>
    </row>
    <row r="51" customFormat="false" ht="12.75" hidden="false" customHeight="false" outlineLevel="0" collapsed="false">
      <c r="A51" s="189" t="n">
        <v>38231</v>
      </c>
      <c r="B51" s="185" t="n">
        <v>-2.021005929375</v>
      </c>
      <c r="C51" s="185" t="n">
        <v>-1.9907047400625</v>
      </c>
      <c r="D51" s="185" t="n">
        <v>-1.96040355075</v>
      </c>
      <c r="E51" s="185" t="n">
        <v>-1.9301023614375</v>
      </c>
      <c r="F51" s="185" t="n">
        <v>-1.899801172125</v>
      </c>
      <c r="G51" s="185" t="n">
        <v>-1.8694999828125</v>
      </c>
      <c r="H51" s="185" t="n">
        <v>-1.8391987935</v>
      </c>
      <c r="I51" s="185" t="n">
        <v>-1.8088976041875</v>
      </c>
      <c r="J51" s="185" t="n">
        <v>-1.778596414875</v>
      </c>
      <c r="K51" s="185" t="n">
        <v>-1.7482952255625</v>
      </c>
      <c r="L51" s="185" t="n">
        <v>-1.71799403625</v>
      </c>
      <c r="M51" s="185" t="n">
        <v>-1.6876928469375</v>
      </c>
      <c r="N51" s="185" t="n">
        <v>-1.657391657625</v>
      </c>
      <c r="O51" s="185" t="n">
        <v>-1.6270904683125</v>
      </c>
      <c r="P51" s="185" t="n">
        <v>-1.596789279</v>
      </c>
      <c r="Q51" s="185" t="n">
        <v>-1.5664880896875</v>
      </c>
      <c r="R51" s="185" t="n">
        <v>-1.536186900375</v>
      </c>
      <c r="S51" s="185" t="n">
        <v>-1.5058857110625</v>
      </c>
      <c r="T51" s="185" t="n">
        <v>-1.47558452175</v>
      </c>
      <c r="U51" s="185" t="n">
        <v>-1.4452833324375</v>
      </c>
      <c r="V51" s="186" t="n">
        <v>-1.414982143125</v>
      </c>
      <c r="W51" s="185" t="n">
        <v>-1.3846809538125</v>
      </c>
      <c r="X51" s="186" t="n">
        <v>-1.3543797645</v>
      </c>
      <c r="Y51" s="185" t="n">
        <v>-1.3240785751875</v>
      </c>
      <c r="Z51" s="186" t="n">
        <v>-1.293777385875</v>
      </c>
      <c r="AA51" s="185" t="n">
        <v>-1.2634761965625</v>
      </c>
      <c r="AB51" s="187" t="n">
        <v>-1.23317500725</v>
      </c>
      <c r="AC51" s="185" t="n">
        <v>-1.2028738179375</v>
      </c>
      <c r="AD51" s="187" t="n">
        <v>-1.172572628625</v>
      </c>
      <c r="AE51" s="185" t="n">
        <v>-1.1422714393125</v>
      </c>
      <c r="AF51" s="185" t="n">
        <v>-1.11197025</v>
      </c>
      <c r="AG51" s="190" t="n">
        <v>-1.083235125</v>
      </c>
      <c r="AH51" s="190" t="n">
        <v>-1.0545</v>
      </c>
      <c r="AI51" s="190" t="n">
        <v>-1.02725</v>
      </c>
      <c r="AJ51" s="190" t="n">
        <v>-1</v>
      </c>
      <c r="AK51" s="190" t="n">
        <v>-0.8</v>
      </c>
      <c r="AL51" s="190" t="n">
        <v>-0.6</v>
      </c>
      <c r="AM51" s="190" t="n">
        <v>-0.4</v>
      </c>
      <c r="AN51" s="190" t="n">
        <v>-0.2</v>
      </c>
      <c r="AO51" s="190" t="n">
        <v>0</v>
      </c>
      <c r="AP51" s="190" t="n">
        <v>0.2</v>
      </c>
      <c r="AQ51" s="190" t="n">
        <v>0.4</v>
      </c>
      <c r="AR51" s="190" t="n">
        <v>0.6</v>
      </c>
      <c r="AS51" s="190" t="n">
        <v>0.8</v>
      </c>
      <c r="AT51" s="190" t="n">
        <v>1</v>
      </c>
      <c r="AU51" s="190" t="n">
        <v>1.2</v>
      </c>
      <c r="AV51" s="190" t="n">
        <v>1.4</v>
      </c>
      <c r="AW51" s="190" t="n">
        <v>1.58</v>
      </c>
      <c r="AX51" s="190" t="n">
        <v>1.76</v>
      </c>
      <c r="AY51" s="190" t="n">
        <v>1.922</v>
      </c>
      <c r="AZ51" s="190" t="n">
        <v>2.084</v>
      </c>
      <c r="BA51" s="190" t="n">
        <v>2.2298</v>
      </c>
      <c r="BB51" s="190" t="n">
        <v>2.3756</v>
      </c>
      <c r="BC51" s="190" t="n">
        <v>2.50682</v>
      </c>
      <c r="BD51" s="190" t="n">
        <v>2.63804</v>
      </c>
      <c r="BE51" s="190" t="n">
        <v>2.756138</v>
      </c>
      <c r="BF51" s="190" t="n">
        <v>2.874236</v>
      </c>
      <c r="BG51" s="190" t="n">
        <v>2.9805242</v>
      </c>
      <c r="BH51" s="190" t="n">
        <v>3.0868124</v>
      </c>
      <c r="BI51" s="190" t="n">
        <v>3.18247178</v>
      </c>
      <c r="BJ51" s="190" t="n">
        <v>3.27813116</v>
      </c>
      <c r="BK51" s="190" t="n">
        <v>3.364224602</v>
      </c>
      <c r="BL51" s="190" t="n">
        <v>3.450318044</v>
      </c>
      <c r="BM51" s="190" t="n">
        <v>3.5278021418</v>
      </c>
      <c r="BN51" s="190" t="n">
        <v>3.6052862396</v>
      </c>
      <c r="BO51" s="190" t="n">
        <v>3.67502192762</v>
      </c>
      <c r="BP51" s="190" t="n">
        <v>3.74475761564</v>
      </c>
      <c r="BQ51" s="190" t="n">
        <v>3.81449330366</v>
      </c>
      <c r="BR51" s="190" t="n">
        <v>3.88422899168</v>
      </c>
      <c r="BS51" s="190" t="n">
        <v>3.9539646797</v>
      </c>
      <c r="BT51" s="190" t="n">
        <v>4.02370036772</v>
      </c>
      <c r="BU51" s="190" t="n">
        <v>4.09343605574</v>
      </c>
      <c r="BV51" s="190" t="n">
        <v>4.16317174376</v>
      </c>
      <c r="BW51" s="190" t="n">
        <v>4.23290743178</v>
      </c>
      <c r="BX51" s="190" t="n">
        <v>4.3026431198</v>
      </c>
      <c r="BY51" s="190" t="n">
        <v>4.37237880782</v>
      </c>
      <c r="BZ51" s="190" t="n">
        <v>4.44211449584</v>
      </c>
      <c r="CA51" s="190" t="n">
        <v>4.51185018386</v>
      </c>
      <c r="CB51" s="190" t="n">
        <v>4.58158587188</v>
      </c>
      <c r="CC51" s="190" t="n">
        <v>4.6513215599</v>
      </c>
      <c r="CD51" s="190" t="n">
        <v>4.72105724792</v>
      </c>
      <c r="CE51" s="190" t="n">
        <v>4.79079293594</v>
      </c>
      <c r="CF51" s="190" t="n">
        <v>4.86052862396</v>
      </c>
      <c r="CG51" s="190" t="n">
        <v>4.93026431198</v>
      </c>
      <c r="CH51" s="190" t="n">
        <v>5</v>
      </c>
      <c r="CI51" s="190" t="n">
        <v>5.06973568801999</v>
      </c>
      <c r="CJ51" s="190" t="n">
        <v>5.13947137603999</v>
      </c>
      <c r="CK51" s="190" t="n">
        <v>5.20920706405999</v>
      </c>
      <c r="CL51" s="190" t="n">
        <v>5.27894275207999</v>
      </c>
      <c r="CM51" s="190" t="n">
        <v>5.34867844009999</v>
      </c>
      <c r="CN51" s="190" t="n">
        <v>5.41841412811999</v>
      </c>
      <c r="CO51" s="190" t="n">
        <v>5.48814981613999</v>
      </c>
      <c r="CP51" s="190" t="n">
        <v>5.55788550415999</v>
      </c>
      <c r="CQ51" s="190" t="n">
        <v>5.62762119217999</v>
      </c>
      <c r="CR51" s="190" t="n">
        <v>5.69735688019999</v>
      </c>
      <c r="CS51" s="190" t="n">
        <v>5.76709256821999</v>
      </c>
      <c r="CT51" s="190" t="n">
        <v>5.83682825623999</v>
      </c>
      <c r="CU51" s="190" t="n">
        <v>5.90656394425999</v>
      </c>
      <c r="CV51" s="190" t="n">
        <v>5.97629963227999</v>
      </c>
      <c r="CW51" s="190" t="n">
        <v>6.04603532029999</v>
      </c>
      <c r="CX51" s="190" t="n">
        <v>6.11577100831999</v>
      </c>
      <c r="CY51" s="190" t="n">
        <v>6.18550669633999</v>
      </c>
      <c r="CZ51" s="190" t="n">
        <v>6.25524238435999</v>
      </c>
      <c r="DA51" s="190" t="n">
        <v>6.32497807237999</v>
      </c>
      <c r="DB51" s="190" t="n">
        <v>6.39471376039999</v>
      </c>
      <c r="DC51" s="190" t="n">
        <v>6.46444944841999</v>
      </c>
      <c r="DD51" s="190" t="n">
        <v>6.53418513643999</v>
      </c>
      <c r="DE51" s="190" t="n">
        <v>6.60392082445999</v>
      </c>
      <c r="DF51" s="190" t="n">
        <v>6.67365651247999</v>
      </c>
      <c r="DG51" s="190" t="n">
        <v>6.74339220049999</v>
      </c>
      <c r="DH51" s="190" t="n">
        <v>6.81312788851999</v>
      </c>
      <c r="DI51" s="190" t="n">
        <v>6.88286357653999</v>
      </c>
      <c r="DJ51" s="190" t="n">
        <v>6.95259926455999</v>
      </c>
      <c r="DK51" s="190" t="n">
        <v>7.02233495257999</v>
      </c>
      <c r="DL51" s="190" t="n">
        <v>7.09207064059999</v>
      </c>
      <c r="DM51" s="190" t="n">
        <v>7.16180632861999</v>
      </c>
      <c r="DN51" s="190" t="n">
        <v>7.23154201663999</v>
      </c>
      <c r="DO51" s="190" t="n">
        <v>7.30127770465999</v>
      </c>
      <c r="DP51" s="190" t="n">
        <v>7.37101339267999</v>
      </c>
      <c r="DQ51" s="190" t="n">
        <v>7.44074908069999</v>
      </c>
      <c r="DR51" s="190" t="n">
        <v>7.51048476871999</v>
      </c>
      <c r="DS51" s="190" t="n">
        <v>7.58022045673999</v>
      </c>
      <c r="DT51" s="190" t="n">
        <v>7.64995614475999</v>
      </c>
      <c r="DU51" s="190" t="n">
        <v>7.71969183277999</v>
      </c>
      <c r="DV51" s="190" t="n">
        <v>7.78942752079998</v>
      </c>
      <c r="DW51" s="190" t="n">
        <v>7.85916320881998</v>
      </c>
      <c r="DX51" s="190" t="n">
        <v>7.92889889683998</v>
      </c>
      <c r="DY51" s="190" t="n">
        <v>7.99863458485998</v>
      </c>
      <c r="DZ51" s="190" t="n">
        <v>8.06837027287998</v>
      </c>
      <c r="EA51" s="190" t="n">
        <v>8.13810596089998</v>
      </c>
      <c r="EB51" s="190" t="n">
        <v>8.20784164891998</v>
      </c>
      <c r="EC51" s="190" t="n">
        <v>8.27757733693998</v>
      </c>
      <c r="ED51" s="190" t="n">
        <v>8.34731302495998</v>
      </c>
      <c r="EE51" s="190" t="n">
        <v>8.41704871297998</v>
      </c>
      <c r="EF51" s="190" t="n">
        <v>8.48678440099998</v>
      </c>
      <c r="EG51" s="190" t="n">
        <v>8.55652008901998</v>
      </c>
      <c r="EH51" s="190" t="n">
        <v>8.62625577703998</v>
      </c>
      <c r="EI51" s="190" t="n">
        <v>8.69599146505998</v>
      </c>
      <c r="EJ51" s="190" t="n">
        <v>8.76572715307998</v>
      </c>
      <c r="EK51" s="190" t="n">
        <v>8.83546284109998</v>
      </c>
      <c r="EL51" s="180" t="n">
        <v>8.90519852911998</v>
      </c>
      <c r="EM51" s="180" t="n">
        <v>8.97493421713998</v>
      </c>
      <c r="EN51" s="180" t="n">
        <v>9.04466990515998</v>
      </c>
      <c r="EO51" s="180" t="n">
        <v>9.11440559317998</v>
      </c>
      <c r="EP51" s="180" t="n">
        <v>9.18414128119998</v>
      </c>
      <c r="EQ51" s="180" t="n">
        <v>9.25387696921998</v>
      </c>
      <c r="ER51" s="180" t="n">
        <v>9.32361265723998</v>
      </c>
      <c r="ES51" s="180" t="n">
        <v>9.39334834525998</v>
      </c>
      <c r="ET51" s="180" t="n">
        <v>9.46308403327998</v>
      </c>
      <c r="EU51" s="180" t="n">
        <v>9.53281972129998</v>
      </c>
      <c r="EV51" s="180" t="n">
        <v>9.60255540931998</v>
      </c>
      <c r="EW51" s="180" t="n">
        <v>9.67229109733998</v>
      </c>
      <c r="EX51" s="180" t="n">
        <v>9.74202678535998</v>
      </c>
      <c r="EY51" s="180" t="n">
        <v>9.81176247337998</v>
      </c>
      <c r="EZ51" s="180" t="n">
        <v>9.88149816139998</v>
      </c>
      <c r="FA51" s="180" t="n">
        <v>9.95123384941998</v>
      </c>
      <c r="FB51" s="180" t="n">
        <v>10.02096953744</v>
      </c>
      <c r="FC51" s="180" t="n">
        <v>10.09070522546</v>
      </c>
      <c r="FD51" s="180" t="n">
        <v>10.16044091348</v>
      </c>
      <c r="FE51" s="180" t="n">
        <v>10.2301766015</v>
      </c>
      <c r="FF51" s="180" t="n">
        <v>10.29991228952</v>
      </c>
      <c r="FG51" s="180" t="n">
        <v>10.36964797754</v>
      </c>
      <c r="FH51" s="180" t="n">
        <v>10.43938366556</v>
      </c>
      <c r="FI51" s="180" t="n">
        <v>10.50911935358</v>
      </c>
      <c r="FJ51" s="180" t="n">
        <v>10.5788550416</v>
      </c>
      <c r="FK51" s="180" t="n">
        <v>10.64859072962</v>
      </c>
      <c r="FL51" s="180" t="n">
        <v>10.71832641764</v>
      </c>
      <c r="FM51" s="180" t="n">
        <v>10.78806210566</v>
      </c>
      <c r="FN51" s="180" t="n">
        <v>10.85779779368</v>
      </c>
      <c r="FO51" s="180" t="n">
        <v>10.9275334817</v>
      </c>
      <c r="FP51" s="180" t="n">
        <v>10.99726916972</v>
      </c>
      <c r="FQ51" s="180" t="n">
        <v>11.06700485774</v>
      </c>
      <c r="FR51" s="180" t="n">
        <v>11.13674054576</v>
      </c>
      <c r="FS51" s="180" t="n">
        <v>11.20647623378</v>
      </c>
      <c r="FT51" s="180" t="n">
        <v>11.2762119218</v>
      </c>
      <c r="FU51" s="180" t="n">
        <v>11.34594760982</v>
      </c>
      <c r="FV51" s="180" t="n">
        <v>11.41568329784</v>
      </c>
      <c r="FW51" s="180" t="n">
        <v>11.48541898586</v>
      </c>
      <c r="FX51" s="180" t="n">
        <v>11.55515467388</v>
      </c>
      <c r="FY51" s="180" t="n">
        <v>11.6248903619</v>
      </c>
      <c r="FZ51" s="180" t="n">
        <v>11.69462604992</v>
      </c>
      <c r="GA51" s="180" t="n">
        <v>11.76436173794</v>
      </c>
      <c r="GB51" s="180" t="n">
        <v>11.83409742596</v>
      </c>
      <c r="GC51" s="180" t="n">
        <v>11.90383311398</v>
      </c>
      <c r="GD51" s="180" t="n">
        <v>11.973568802</v>
      </c>
      <c r="GE51" s="180" t="n">
        <v>12.04330449002</v>
      </c>
      <c r="GF51" s="180" t="n">
        <v>12.11304017804</v>
      </c>
      <c r="GG51" s="180" t="n">
        <v>12.18277586606</v>
      </c>
      <c r="GH51" s="180" t="n">
        <v>12.25251155408</v>
      </c>
      <c r="GI51" s="180" t="n">
        <v>12.3222472421</v>
      </c>
      <c r="GJ51" s="180" t="n">
        <v>12.39198293012</v>
      </c>
      <c r="GK51" s="180" t="n">
        <v>12.46171861814</v>
      </c>
      <c r="GL51" s="180" t="n">
        <v>12.53145430616</v>
      </c>
      <c r="GM51" s="180" t="n">
        <v>12.60118999418</v>
      </c>
      <c r="GN51" s="180" t="n">
        <v>12.6709256822</v>
      </c>
      <c r="GO51" s="180" t="n">
        <v>12.74066137022</v>
      </c>
      <c r="GP51" s="180" t="n">
        <v>12.81039705824</v>
      </c>
      <c r="GQ51" s="180" t="n">
        <v>12.88013274626</v>
      </c>
      <c r="GR51" s="180" t="n">
        <v>12.94986843428</v>
      </c>
      <c r="GS51" s="180" t="n">
        <v>13.0196041223</v>
      </c>
      <c r="GT51" s="180" t="n">
        <v>13.08933981032</v>
      </c>
      <c r="GU51" s="180" t="n">
        <v>13.15907549834</v>
      </c>
      <c r="GV51" s="180" t="n">
        <v>13.22881118636</v>
      </c>
      <c r="GW51" s="180" t="n">
        <v>13.29854687438</v>
      </c>
      <c r="GX51" s="180" t="n">
        <v>13.3682825624</v>
      </c>
      <c r="GY51" s="180" t="n">
        <v>13.43801825042</v>
      </c>
      <c r="GZ51" s="180" t="n">
        <v>13.50775393844</v>
      </c>
      <c r="HA51" s="180" t="n">
        <v>13.57748962646</v>
      </c>
      <c r="HB51" s="180" t="n">
        <v>13.64722531448</v>
      </c>
      <c r="HC51" s="180" t="n">
        <v>13.7169610025</v>
      </c>
      <c r="HD51" s="180" t="n">
        <v>13.78669669052</v>
      </c>
      <c r="HE51" s="180" t="n">
        <v>13.85643237854</v>
      </c>
      <c r="HF51" s="180" t="n">
        <v>13.92616806656</v>
      </c>
      <c r="HG51" s="180" t="n">
        <v>13.99590375458</v>
      </c>
      <c r="HH51" s="180" t="n">
        <v>14.0656394426</v>
      </c>
      <c r="HI51" s="180" t="n">
        <v>14.13537513062</v>
      </c>
      <c r="HJ51" s="180" t="n">
        <v>14.20511081864</v>
      </c>
      <c r="HK51" s="180" t="n">
        <v>14.27484650666</v>
      </c>
      <c r="HL51" s="180" t="n">
        <v>14.34458219468</v>
      </c>
      <c r="HM51" s="180" t="n">
        <v>14.4143178827</v>
      </c>
      <c r="HN51" s="180" t="n">
        <v>14.48405357072</v>
      </c>
      <c r="HO51" s="180" t="n">
        <v>14.55378925874</v>
      </c>
      <c r="HP51" s="180" t="n">
        <v>14.62352494676</v>
      </c>
      <c r="HQ51" s="180" t="n">
        <v>14.69326063478</v>
      </c>
      <c r="HR51" s="180" t="n">
        <v>14.7629963228</v>
      </c>
      <c r="HS51" s="180" t="n">
        <v>14.83273201082</v>
      </c>
      <c r="HT51" s="180" t="n">
        <v>14.90246769884</v>
      </c>
      <c r="HU51" s="180" t="n">
        <v>14.97220338686</v>
      </c>
      <c r="HV51" s="180" t="n">
        <v>15.04193907488</v>
      </c>
      <c r="HW51" s="180" t="n">
        <v>15.1116747629</v>
      </c>
      <c r="HX51" s="180" t="n">
        <v>15.18141045092</v>
      </c>
      <c r="HY51" s="180" t="n">
        <v>15.25114613894</v>
      </c>
      <c r="HZ51" s="180" t="n">
        <v>15.32088182696</v>
      </c>
      <c r="IA51" s="180" t="n">
        <v>15.39061751498</v>
      </c>
      <c r="IB51" s="180" t="n">
        <v>15.460353203</v>
      </c>
      <c r="IC51" s="180" t="n">
        <v>15.53008889102</v>
      </c>
      <c r="ID51" s="180" t="n">
        <v>15.59982457904</v>
      </c>
      <c r="IE51" s="180" t="n">
        <v>15.66956026706</v>
      </c>
      <c r="IF51" s="180" t="n">
        <v>15.73929595508</v>
      </c>
      <c r="IG51" s="180" t="n">
        <v>15.8090316431</v>
      </c>
      <c r="IH51" s="180" t="n">
        <v>15.87876733112</v>
      </c>
      <c r="II51" s="180" t="n">
        <v>15.94850301914</v>
      </c>
      <c r="IJ51" s="180" t="n">
        <v>16.01823870716</v>
      </c>
      <c r="IK51" s="180" t="n">
        <v>16.08797439518</v>
      </c>
      <c r="IL51" s="180" t="n">
        <v>16.1577100832</v>
      </c>
      <c r="IM51" s="180" t="n">
        <v>16.22744577122</v>
      </c>
      <c r="IN51" s="180" t="n">
        <v>16.29718145924</v>
      </c>
      <c r="IO51" s="180" t="n">
        <v>16.36691714726</v>
      </c>
      <c r="IP51" s="180" t="n">
        <v>16.43665283528</v>
      </c>
      <c r="IQ51" s="180" t="n">
        <v>16.5063885233</v>
      </c>
      <c r="IR51" s="180" t="n">
        <v>16.57612421132</v>
      </c>
      <c r="IS51" s="180" t="n">
        <v>16.64585989934</v>
      </c>
      <c r="IT51" s="180" t="n">
        <v>16.71559558736</v>
      </c>
      <c r="IU51" s="180" t="n">
        <v>16.78533127538</v>
      </c>
      <c r="IV51" s="180" t="n">
        <v>16.8550669634</v>
      </c>
    </row>
    <row r="52" customFormat="false" ht="12.75" hidden="false" customHeight="false" outlineLevel="0" collapsed="false">
      <c r="A52" s="189" t="n">
        <v>38261</v>
      </c>
      <c r="B52" s="185" t="n">
        <v>-2.021005929375</v>
      </c>
      <c r="C52" s="185" t="n">
        <v>-1.9907047400625</v>
      </c>
      <c r="D52" s="185" t="n">
        <v>-1.96040355075</v>
      </c>
      <c r="E52" s="185" t="n">
        <v>-1.9301023614375</v>
      </c>
      <c r="F52" s="185" t="n">
        <v>-1.899801172125</v>
      </c>
      <c r="G52" s="185" t="n">
        <v>-1.8694999828125</v>
      </c>
      <c r="H52" s="185" t="n">
        <v>-1.8391987935</v>
      </c>
      <c r="I52" s="185" t="n">
        <v>-1.8088976041875</v>
      </c>
      <c r="J52" s="185" t="n">
        <v>-1.778596414875</v>
      </c>
      <c r="K52" s="185" t="n">
        <v>-1.7482952255625</v>
      </c>
      <c r="L52" s="185" t="n">
        <v>-1.71799403625</v>
      </c>
      <c r="M52" s="185" t="n">
        <v>-1.6876928469375</v>
      </c>
      <c r="N52" s="185" t="n">
        <v>-1.657391657625</v>
      </c>
      <c r="O52" s="185" t="n">
        <v>-1.6270904683125</v>
      </c>
      <c r="P52" s="185" t="n">
        <v>-1.596789279</v>
      </c>
      <c r="Q52" s="185" t="n">
        <v>-1.5664880896875</v>
      </c>
      <c r="R52" s="185" t="n">
        <v>-1.536186900375</v>
      </c>
      <c r="S52" s="185" t="n">
        <v>-1.5058857110625</v>
      </c>
      <c r="T52" s="185" t="n">
        <v>-1.47558452175</v>
      </c>
      <c r="U52" s="185" t="n">
        <v>-1.4452833324375</v>
      </c>
      <c r="V52" s="186" t="n">
        <v>-1.414982143125</v>
      </c>
      <c r="W52" s="185" t="n">
        <v>-1.3846809538125</v>
      </c>
      <c r="X52" s="186" t="n">
        <v>-1.3543797645</v>
      </c>
      <c r="Y52" s="185" t="n">
        <v>-1.3240785751875</v>
      </c>
      <c r="Z52" s="186" t="n">
        <v>-1.293777385875</v>
      </c>
      <c r="AA52" s="185" t="n">
        <v>-1.2634761965625</v>
      </c>
      <c r="AB52" s="187" t="n">
        <v>-1.23317500725</v>
      </c>
      <c r="AC52" s="185" t="n">
        <v>-1.2028738179375</v>
      </c>
      <c r="AD52" s="187" t="n">
        <v>-1.172572628625</v>
      </c>
      <c r="AE52" s="185" t="n">
        <v>-1.1422714393125</v>
      </c>
      <c r="AF52" s="185" t="n">
        <v>-1.11197025</v>
      </c>
      <c r="AG52" s="190" t="n">
        <v>-1.083235125</v>
      </c>
      <c r="AH52" s="190" t="n">
        <v>-1.0545</v>
      </c>
      <c r="AI52" s="190" t="n">
        <v>-1.02725</v>
      </c>
      <c r="AJ52" s="190" t="n">
        <v>-1</v>
      </c>
      <c r="AK52" s="190" t="n">
        <v>-0.8</v>
      </c>
      <c r="AL52" s="190" t="n">
        <v>-0.6</v>
      </c>
      <c r="AM52" s="190" t="n">
        <v>-0.4</v>
      </c>
      <c r="AN52" s="190" t="n">
        <v>-0.2</v>
      </c>
      <c r="AO52" s="190" t="n">
        <v>0</v>
      </c>
      <c r="AP52" s="190" t="n">
        <v>0.2</v>
      </c>
      <c r="AQ52" s="190" t="n">
        <v>0.4</v>
      </c>
      <c r="AR52" s="190" t="n">
        <v>0.6</v>
      </c>
      <c r="AS52" s="190" t="n">
        <v>0.8</v>
      </c>
      <c r="AT52" s="190" t="n">
        <v>1</v>
      </c>
      <c r="AU52" s="190" t="n">
        <v>1.2</v>
      </c>
      <c r="AV52" s="190" t="n">
        <v>1.4</v>
      </c>
      <c r="AW52" s="190" t="n">
        <v>1.58</v>
      </c>
      <c r="AX52" s="190" t="n">
        <v>1.76</v>
      </c>
      <c r="AY52" s="190" t="n">
        <v>1.922</v>
      </c>
      <c r="AZ52" s="190" t="n">
        <v>2.084</v>
      </c>
      <c r="BA52" s="190" t="n">
        <v>2.2298</v>
      </c>
      <c r="BB52" s="190" t="n">
        <v>2.3756</v>
      </c>
      <c r="BC52" s="190" t="n">
        <v>2.50682</v>
      </c>
      <c r="BD52" s="190" t="n">
        <v>2.63804</v>
      </c>
      <c r="BE52" s="190" t="n">
        <v>2.756138</v>
      </c>
      <c r="BF52" s="190" t="n">
        <v>2.874236</v>
      </c>
      <c r="BG52" s="190" t="n">
        <v>2.9805242</v>
      </c>
      <c r="BH52" s="190" t="n">
        <v>3.0868124</v>
      </c>
      <c r="BI52" s="190" t="n">
        <v>3.18247178</v>
      </c>
      <c r="BJ52" s="190" t="n">
        <v>3.27813116</v>
      </c>
      <c r="BK52" s="190" t="n">
        <v>3.364224602</v>
      </c>
      <c r="BL52" s="190" t="n">
        <v>3.450318044</v>
      </c>
      <c r="BM52" s="190" t="n">
        <v>3.5278021418</v>
      </c>
      <c r="BN52" s="190" t="n">
        <v>3.6052862396</v>
      </c>
      <c r="BO52" s="190" t="n">
        <v>3.67502192762</v>
      </c>
      <c r="BP52" s="190" t="n">
        <v>3.74475761564</v>
      </c>
      <c r="BQ52" s="190" t="n">
        <v>3.81449330366</v>
      </c>
      <c r="BR52" s="190" t="n">
        <v>3.88422899168</v>
      </c>
      <c r="BS52" s="190" t="n">
        <v>3.9539646797</v>
      </c>
      <c r="BT52" s="190" t="n">
        <v>4.02370036772</v>
      </c>
      <c r="BU52" s="190" t="n">
        <v>4.09343605574</v>
      </c>
      <c r="BV52" s="190" t="n">
        <v>4.16317174376</v>
      </c>
      <c r="BW52" s="190" t="n">
        <v>4.23290743178</v>
      </c>
      <c r="BX52" s="190" t="n">
        <v>4.3026431198</v>
      </c>
      <c r="BY52" s="190" t="n">
        <v>4.37237880782</v>
      </c>
      <c r="BZ52" s="190" t="n">
        <v>4.44211449584</v>
      </c>
      <c r="CA52" s="190" t="n">
        <v>4.51185018386</v>
      </c>
      <c r="CB52" s="190" t="n">
        <v>4.58158587188</v>
      </c>
      <c r="CC52" s="190" t="n">
        <v>4.6513215599</v>
      </c>
      <c r="CD52" s="190" t="n">
        <v>4.72105724792</v>
      </c>
      <c r="CE52" s="190" t="n">
        <v>4.79079293594</v>
      </c>
      <c r="CF52" s="190" t="n">
        <v>4.86052862396</v>
      </c>
      <c r="CG52" s="190" t="n">
        <v>4.93026431198</v>
      </c>
      <c r="CH52" s="190" t="n">
        <v>5</v>
      </c>
      <c r="CI52" s="190" t="n">
        <v>5.06973568801999</v>
      </c>
      <c r="CJ52" s="190" t="n">
        <v>5.13947137603999</v>
      </c>
      <c r="CK52" s="190" t="n">
        <v>5.20920706405999</v>
      </c>
      <c r="CL52" s="190" t="n">
        <v>5.27894275207999</v>
      </c>
      <c r="CM52" s="190" t="n">
        <v>5.34867844009999</v>
      </c>
      <c r="CN52" s="190" t="n">
        <v>5.41841412811999</v>
      </c>
      <c r="CO52" s="190" t="n">
        <v>5.48814981613999</v>
      </c>
      <c r="CP52" s="190" t="n">
        <v>5.55788550415999</v>
      </c>
      <c r="CQ52" s="190" t="n">
        <v>5.62762119217999</v>
      </c>
      <c r="CR52" s="190" t="n">
        <v>5.69735688019999</v>
      </c>
      <c r="CS52" s="190" t="n">
        <v>5.76709256821999</v>
      </c>
      <c r="CT52" s="190" t="n">
        <v>5.83682825623999</v>
      </c>
      <c r="CU52" s="190" t="n">
        <v>5.90656394425999</v>
      </c>
      <c r="CV52" s="190" t="n">
        <v>5.97629963227999</v>
      </c>
      <c r="CW52" s="190" t="n">
        <v>6.04603532029999</v>
      </c>
      <c r="CX52" s="190" t="n">
        <v>6.11577100831999</v>
      </c>
      <c r="CY52" s="190" t="n">
        <v>6.18550669633999</v>
      </c>
      <c r="CZ52" s="190" t="n">
        <v>6.25524238435999</v>
      </c>
      <c r="DA52" s="190" t="n">
        <v>6.32497807237999</v>
      </c>
      <c r="DB52" s="190" t="n">
        <v>6.39471376039999</v>
      </c>
      <c r="DC52" s="190" t="n">
        <v>6.46444944841999</v>
      </c>
      <c r="DD52" s="190" t="n">
        <v>6.53418513643999</v>
      </c>
      <c r="DE52" s="190" t="n">
        <v>6.60392082445999</v>
      </c>
      <c r="DF52" s="190" t="n">
        <v>6.67365651247999</v>
      </c>
      <c r="DG52" s="190" t="n">
        <v>6.74339220049999</v>
      </c>
      <c r="DH52" s="190" t="n">
        <v>6.81312788851999</v>
      </c>
      <c r="DI52" s="190" t="n">
        <v>6.88286357653999</v>
      </c>
      <c r="DJ52" s="190" t="n">
        <v>6.95259926455999</v>
      </c>
      <c r="DK52" s="190" t="n">
        <v>7.02233495257999</v>
      </c>
      <c r="DL52" s="190" t="n">
        <v>7.09207064059999</v>
      </c>
      <c r="DM52" s="190" t="n">
        <v>7.16180632861999</v>
      </c>
      <c r="DN52" s="190" t="n">
        <v>7.23154201663999</v>
      </c>
      <c r="DO52" s="190" t="n">
        <v>7.30127770465999</v>
      </c>
      <c r="DP52" s="190" t="n">
        <v>7.37101339267999</v>
      </c>
      <c r="DQ52" s="190" t="n">
        <v>7.44074908069999</v>
      </c>
      <c r="DR52" s="190" t="n">
        <v>7.51048476871999</v>
      </c>
      <c r="DS52" s="190" t="n">
        <v>7.58022045673999</v>
      </c>
      <c r="DT52" s="190" t="n">
        <v>7.64995614475999</v>
      </c>
      <c r="DU52" s="190" t="n">
        <v>7.71969183277999</v>
      </c>
      <c r="DV52" s="190" t="n">
        <v>7.78942752079998</v>
      </c>
      <c r="DW52" s="190" t="n">
        <v>7.85916320881998</v>
      </c>
      <c r="DX52" s="190" t="n">
        <v>7.92889889683998</v>
      </c>
      <c r="DY52" s="190" t="n">
        <v>7.99863458485998</v>
      </c>
      <c r="DZ52" s="190" t="n">
        <v>8.06837027287998</v>
      </c>
      <c r="EA52" s="190" t="n">
        <v>8.13810596089998</v>
      </c>
      <c r="EB52" s="190" t="n">
        <v>8.20784164891998</v>
      </c>
      <c r="EC52" s="190" t="n">
        <v>8.27757733693998</v>
      </c>
      <c r="ED52" s="190" t="n">
        <v>8.34731302495998</v>
      </c>
      <c r="EE52" s="190" t="n">
        <v>8.41704871297998</v>
      </c>
      <c r="EF52" s="190" t="n">
        <v>8.48678440099998</v>
      </c>
      <c r="EG52" s="190" t="n">
        <v>8.55652008901998</v>
      </c>
      <c r="EH52" s="190" t="n">
        <v>8.62625577703998</v>
      </c>
      <c r="EI52" s="190" t="n">
        <v>8.69599146505998</v>
      </c>
      <c r="EJ52" s="190" t="n">
        <v>8.76572715307998</v>
      </c>
      <c r="EK52" s="190" t="n">
        <v>8.83546284109998</v>
      </c>
      <c r="EL52" s="180" t="n">
        <v>8.90519852911998</v>
      </c>
      <c r="EM52" s="180" t="n">
        <v>8.97493421713998</v>
      </c>
      <c r="EN52" s="180" t="n">
        <v>9.04466990515998</v>
      </c>
      <c r="EO52" s="180" t="n">
        <v>9.11440559317998</v>
      </c>
      <c r="EP52" s="180" t="n">
        <v>9.18414128119998</v>
      </c>
      <c r="EQ52" s="180" t="n">
        <v>9.25387696921998</v>
      </c>
      <c r="ER52" s="180" t="n">
        <v>9.32361265723998</v>
      </c>
      <c r="ES52" s="180" t="n">
        <v>9.39334834525998</v>
      </c>
      <c r="ET52" s="180" t="n">
        <v>9.46308403327998</v>
      </c>
      <c r="EU52" s="180" t="n">
        <v>9.53281972129998</v>
      </c>
      <c r="EV52" s="180" t="n">
        <v>9.60255540931998</v>
      </c>
      <c r="EW52" s="180" t="n">
        <v>9.67229109733998</v>
      </c>
      <c r="EX52" s="180" t="n">
        <v>9.74202678535998</v>
      </c>
      <c r="EY52" s="180" t="n">
        <v>9.81176247337998</v>
      </c>
      <c r="EZ52" s="180" t="n">
        <v>9.88149816139998</v>
      </c>
      <c r="FA52" s="180" t="n">
        <v>9.95123384941998</v>
      </c>
      <c r="FB52" s="180" t="n">
        <v>10.02096953744</v>
      </c>
      <c r="FC52" s="180" t="n">
        <v>10.09070522546</v>
      </c>
      <c r="FD52" s="180" t="n">
        <v>10.16044091348</v>
      </c>
      <c r="FE52" s="180" t="n">
        <v>10.2301766015</v>
      </c>
      <c r="FF52" s="180" t="n">
        <v>10.29991228952</v>
      </c>
      <c r="FG52" s="180" t="n">
        <v>10.36964797754</v>
      </c>
      <c r="FH52" s="180" t="n">
        <v>10.43938366556</v>
      </c>
      <c r="FI52" s="180" t="n">
        <v>10.50911935358</v>
      </c>
      <c r="FJ52" s="180" t="n">
        <v>10.5788550416</v>
      </c>
      <c r="FK52" s="180" t="n">
        <v>10.64859072962</v>
      </c>
      <c r="FL52" s="180" t="n">
        <v>10.71832641764</v>
      </c>
      <c r="FM52" s="180" t="n">
        <v>10.78806210566</v>
      </c>
      <c r="FN52" s="180" t="n">
        <v>10.85779779368</v>
      </c>
      <c r="FO52" s="180" t="n">
        <v>10.9275334817</v>
      </c>
      <c r="FP52" s="180" t="n">
        <v>10.99726916972</v>
      </c>
      <c r="FQ52" s="180" t="n">
        <v>11.06700485774</v>
      </c>
      <c r="FR52" s="180" t="n">
        <v>11.13674054576</v>
      </c>
      <c r="FS52" s="180" t="n">
        <v>11.20647623378</v>
      </c>
      <c r="FT52" s="180" t="n">
        <v>11.2762119218</v>
      </c>
      <c r="FU52" s="180" t="n">
        <v>11.34594760982</v>
      </c>
      <c r="FV52" s="180" t="n">
        <v>11.41568329784</v>
      </c>
      <c r="FW52" s="180" t="n">
        <v>11.48541898586</v>
      </c>
      <c r="FX52" s="180" t="n">
        <v>11.55515467388</v>
      </c>
      <c r="FY52" s="180" t="n">
        <v>11.6248903619</v>
      </c>
      <c r="FZ52" s="180" t="n">
        <v>11.69462604992</v>
      </c>
      <c r="GA52" s="180" t="n">
        <v>11.76436173794</v>
      </c>
      <c r="GB52" s="180" t="n">
        <v>11.83409742596</v>
      </c>
      <c r="GC52" s="180" t="n">
        <v>11.90383311398</v>
      </c>
      <c r="GD52" s="180" t="n">
        <v>11.973568802</v>
      </c>
      <c r="GE52" s="180" t="n">
        <v>12.04330449002</v>
      </c>
      <c r="GF52" s="180" t="n">
        <v>12.11304017804</v>
      </c>
      <c r="GG52" s="180" t="n">
        <v>12.18277586606</v>
      </c>
      <c r="GH52" s="180" t="n">
        <v>12.25251155408</v>
      </c>
      <c r="GI52" s="180" t="n">
        <v>12.3222472421</v>
      </c>
      <c r="GJ52" s="180" t="n">
        <v>12.39198293012</v>
      </c>
      <c r="GK52" s="180" t="n">
        <v>12.46171861814</v>
      </c>
      <c r="GL52" s="180" t="n">
        <v>12.53145430616</v>
      </c>
      <c r="GM52" s="180" t="n">
        <v>12.60118999418</v>
      </c>
      <c r="GN52" s="180" t="n">
        <v>12.6709256822</v>
      </c>
      <c r="GO52" s="180" t="n">
        <v>12.74066137022</v>
      </c>
      <c r="GP52" s="180" t="n">
        <v>12.81039705824</v>
      </c>
      <c r="GQ52" s="180" t="n">
        <v>12.88013274626</v>
      </c>
      <c r="GR52" s="180" t="n">
        <v>12.94986843428</v>
      </c>
      <c r="GS52" s="180" t="n">
        <v>13.0196041223</v>
      </c>
      <c r="GT52" s="180" t="n">
        <v>13.08933981032</v>
      </c>
      <c r="GU52" s="180" t="n">
        <v>13.15907549834</v>
      </c>
      <c r="GV52" s="180" t="n">
        <v>13.22881118636</v>
      </c>
      <c r="GW52" s="180" t="n">
        <v>13.29854687438</v>
      </c>
      <c r="GX52" s="180" t="n">
        <v>13.3682825624</v>
      </c>
      <c r="GY52" s="180" t="n">
        <v>13.43801825042</v>
      </c>
      <c r="GZ52" s="180" t="n">
        <v>13.50775393844</v>
      </c>
      <c r="HA52" s="180" t="n">
        <v>13.57748962646</v>
      </c>
      <c r="HB52" s="180" t="n">
        <v>13.64722531448</v>
      </c>
      <c r="HC52" s="180" t="n">
        <v>13.7169610025</v>
      </c>
      <c r="HD52" s="180" t="n">
        <v>13.78669669052</v>
      </c>
      <c r="HE52" s="180" t="n">
        <v>13.85643237854</v>
      </c>
      <c r="HF52" s="180" t="n">
        <v>13.92616806656</v>
      </c>
      <c r="HG52" s="180" t="n">
        <v>13.99590375458</v>
      </c>
      <c r="HH52" s="180" t="n">
        <v>14.0656394426</v>
      </c>
      <c r="HI52" s="180" t="n">
        <v>14.13537513062</v>
      </c>
      <c r="HJ52" s="180" t="n">
        <v>14.20511081864</v>
      </c>
      <c r="HK52" s="180" t="n">
        <v>14.27484650666</v>
      </c>
      <c r="HL52" s="180" t="n">
        <v>14.34458219468</v>
      </c>
      <c r="HM52" s="180" t="n">
        <v>14.4143178827</v>
      </c>
      <c r="HN52" s="180" t="n">
        <v>14.48405357072</v>
      </c>
      <c r="HO52" s="180" t="n">
        <v>14.55378925874</v>
      </c>
      <c r="HP52" s="180" t="n">
        <v>14.62352494676</v>
      </c>
      <c r="HQ52" s="180" t="n">
        <v>14.69326063478</v>
      </c>
      <c r="HR52" s="180" t="n">
        <v>14.7629963228</v>
      </c>
      <c r="HS52" s="180" t="n">
        <v>14.83273201082</v>
      </c>
      <c r="HT52" s="180" t="n">
        <v>14.90246769884</v>
      </c>
      <c r="HU52" s="180" t="n">
        <v>14.97220338686</v>
      </c>
      <c r="HV52" s="180" t="n">
        <v>15.04193907488</v>
      </c>
      <c r="HW52" s="180" t="n">
        <v>15.1116747629</v>
      </c>
      <c r="HX52" s="180" t="n">
        <v>15.18141045092</v>
      </c>
      <c r="HY52" s="180" t="n">
        <v>15.25114613894</v>
      </c>
      <c r="HZ52" s="180" t="n">
        <v>15.32088182696</v>
      </c>
      <c r="IA52" s="180" t="n">
        <v>15.39061751498</v>
      </c>
      <c r="IB52" s="180" t="n">
        <v>15.460353203</v>
      </c>
      <c r="IC52" s="180" t="n">
        <v>15.53008889102</v>
      </c>
      <c r="ID52" s="180" t="n">
        <v>15.59982457904</v>
      </c>
      <c r="IE52" s="180" t="n">
        <v>15.66956026706</v>
      </c>
      <c r="IF52" s="180" t="n">
        <v>15.73929595508</v>
      </c>
      <c r="IG52" s="180" t="n">
        <v>15.8090316431</v>
      </c>
      <c r="IH52" s="180" t="n">
        <v>15.87876733112</v>
      </c>
      <c r="II52" s="180" t="n">
        <v>15.94850301914</v>
      </c>
      <c r="IJ52" s="180" t="n">
        <v>16.01823870716</v>
      </c>
      <c r="IK52" s="180" t="n">
        <v>16.08797439518</v>
      </c>
      <c r="IL52" s="180" t="n">
        <v>16.1577100832</v>
      </c>
      <c r="IM52" s="180" t="n">
        <v>16.22744577122</v>
      </c>
      <c r="IN52" s="180" t="n">
        <v>16.29718145924</v>
      </c>
      <c r="IO52" s="180" t="n">
        <v>16.36691714726</v>
      </c>
      <c r="IP52" s="180" t="n">
        <v>16.43665283528</v>
      </c>
      <c r="IQ52" s="180" t="n">
        <v>16.5063885233</v>
      </c>
      <c r="IR52" s="180" t="n">
        <v>16.57612421132</v>
      </c>
      <c r="IS52" s="180" t="n">
        <v>16.64585989934</v>
      </c>
      <c r="IT52" s="180" t="n">
        <v>16.71559558736</v>
      </c>
      <c r="IU52" s="180" t="n">
        <v>16.78533127538</v>
      </c>
      <c r="IV52" s="180" t="n">
        <v>16.8550669634</v>
      </c>
    </row>
    <row r="53" customFormat="false" ht="12.75" hidden="false" customHeight="false" outlineLevel="0" collapsed="false">
      <c r="A53" s="189" t="n">
        <v>38292</v>
      </c>
      <c r="B53" s="185" t="n">
        <v>-2.021005929375</v>
      </c>
      <c r="C53" s="185" t="n">
        <v>-1.9907047400625</v>
      </c>
      <c r="D53" s="185" t="n">
        <v>-1.96040355075</v>
      </c>
      <c r="E53" s="185" t="n">
        <v>-1.9301023614375</v>
      </c>
      <c r="F53" s="185" t="n">
        <v>-1.899801172125</v>
      </c>
      <c r="G53" s="185" t="n">
        <v>-1.8694999828125</v>
      </c>
      <c r="H53" s="185" t="n">
        <v>-1.8391987935</v>
      </c>
      <c r="I53" s="185" t="n">
        <v>-1.8088976041875</v>
      </c>
      <c r="J53" s="185" t="n">
        <v>-1.778596414875</v>
      </c>
      <c r="K53" s="185" t="n">
        <v>-1.7482952255625</v>
      </c>
      <c r="L53" s="185" t="n">
        <v>-1.71799403625</v>
      </c>
      <c r="M53" s="185" t="n">
        <v>-1.6876928469375</v>
      </c>
      <c r="N53" s="185" t="n">
        <v>-1.657391657625</v>
      </c>
      <c r="O53" s="185" t="n">
        <v>-1.6270904683125</v>
      </c>
      <c r="P53" s="185" t="n">
        <v>-1.596789279</v>
      </c>
      <c r="Q53" s="185" t="n">
        <v>-1.5664880896875</v>
      </c>
      <c r="R53" s="185" t="n">
        <v>-1.536186900375</v>
      </c>
      <c r="S53" s="185" t="n">
        <v>-1.5058857110625</v>
      </c>
      <c r="T53" s="185" t="n">
        <v>-1.47558452175</v>
      </c>
      <c r="U53" s="185" t="n">
        <v>-1.4452833324375</v>
      </c>
      <c r="V53" s="186" t="n">
        <v>-1.414982143125</v>
      </c>
      <c r="W53" s="185" t="n">
        <v>-1.3846809538125</v>
      </c>
      <c r="X53" s="186" t="n">
        <v>-1.3543797645</v>
      </c>
      <c r="Y53" s="185" t="n">
        <v>-1.3240785751875</v>
      </c>
      <c r="Z53" s="186" t="n">
        <v>-1.293777385875</v>
      </c>
      <c r="AA53" s="185" t="n">
        <v>-1.2634761965625</v>
      </c>
      <c r="AB53" s="187" t="n">
        <v>-1.23317500725</v>
      </c>
      <c r="AC53" s="185" t="n">
        <v>-1.2028738179375</v>
      </c>
      <c r="AD53" s="187" t="n">
        <v>-1.172572628625</v>
      </c>
      <c r="AE53" s="185" t="n">
        <v>-1.1422714393125</v>
      </c>
      <c r="AF53" s="185" t="n">
        <v>-1.11197025</v>
      </c>
      <c r="AG53" s="190" t="n">
        <v>-1.083235125</v>
      </c>
      <c r="AH53" s="190" t="n">
        <v>-1.0545</v>
      </c>
      <c r="AI53" s="190" t="n">
        <v>-1.02725</v>
      </c>
      <c r="AJ53" s="190" t="n">
        <v>-1</v>
      </c>
      <c r="AK53" s="190" t="n">
        <v>-0.8</v>
      </c>
      <c r="AL53" s="190" t="n">
        <v>-0.6</v>
      </c>
      <c r="AM53" s="190" t="n">
        <v>-0.4</v>
      </c>
      <c r="AN53" s="190" t="n">
        <v>-0.2</v>
      </c>
      <c r="AO53" s="190" t="n">
        <v>0</v>
      </c>
      <c r="AP53" s="190" t="n">
        <v>0.2</v>
      </c>
      <c r="AQ53" s="190" t="n">
        <v>0.4</v>
      </c>
      <c r="AR53" s="190" t="n">
        <v>0.6</v>
      </c>
      <c r="AS53" s="190" t="n">
        <v>0.8</v>
      </c>
      <c r="AT53" s="190" t="n">
        <v>1</v>
      </c>
      <c r="AU53" s="190" t="n">
        <v>1.2</v>
      </c>
      <c r="AV53" s="190" t="n">
        <v>1.4</v>
      </c>
      <c r="AW53" s="190" t="n">
        <v>1.58</v>
      </c>
      <c r="AX53" s="190" t="n">
        <v>1.76</v>
      </c>
      <c r="AY53" s="190" t="n">
        <v>1.922</v>
      </c>
      <c r="AZ53" s="190" t="n">
        <v>2.084</v>
      </c>
      <c r="BA53" s="190" t="n">
        <v>2.2298</v>
      </c>
      <c r="BB53" s="190" t="n">
        <v>2.3756</v>
      </c>
      <c r="BC53" s="190" t="n">
        <v>2.50682</v>
      </c>
      <c r="BD53" s="190" t="n">
        <v>2.63804</v>
      </c>
      <c r="BE53" s="190" t="n">
        <v>2.756138</v>
      </c>
      <c r="BF53" s="190" t="n">
        <v>2.874236</v>
      </c>
      <c r="BG53" s="190" t="n">
        <v>2.9805242</v>
      </c>
      <c r="BH53" s="190" t="n">
        <v>3.0868124</v>
      </c>
      <c r="BI53" s="190" t="n">
        <v>3.18247178</v>
      </c>
      <c r="BJ53" s="190" t="n">
        <v>3.27813116</v>
      </c>
      <c r="BK53" s="190" t="n">
        <v>3.364224602</v>
      </c>
      <c r="BL53" s="190" t="n">
        <v>3.450318044</v>
      </c>
      <c r="BM53" s="190" t="n">
        <v>3.5278021418</v>
      </c>
      <c r="BN53" s="190" t="n">
        <v>3.6052862396</v>
      </c>
      <c r="BO53" s="190" t="n">
        <v>3.67502192762</v>
      </c>
      <c r="BP53" s="190" t="n">
        <v>3.74475761564</v>
      </c>
      <c r="BQ53" s="190" t="n">
        <v>3.81449330366</v>
      </c>
      <c r="BR53" s="190" t="n">
        <v>3.88422899168</v>
      </c>
      <c r="BS53" s="190" t="n">
        <v>3.9539646797</v>
      </c>
      <c r="BT53" s="190" t="n">
        <v>4.02370036772</v>
      </c>
      <c r="BU53" s="190" t="n">
        <v>4.09343605574</v>
      </c>
      <c r="BV53" s="190" t="n">
        <v>4.16317174376</v>
      </c>
      <c r="BW53" s="190" t="n">
        <v>4.23290743178</v>
      </c>
      <c r="BX53" s="190" t="n">
        <v>4.3026431198</v>
      </c>
      <c r="BY53" s="190" t="n">
        <v>4.37237880782</v>
      </c>
      <c r="BZ53" s="190" t="n">
        <v>4.44211449584</v>
      </c>
      <c r="CA53" s="190" t="n">
        <v>4.51185018386</v>
      </c>
      <c r="CB53" s="190" t="n">
        <v>4.58158587188</v>
      </c>
      <c r="CC53" s="190" t="n">
        <v>4.6513215599</v>
      </c>
      <c r="CD53" s="190" t="n">
        <v>4.72105724792</v>
      </c>
      <c r="CE53" s="190" t="n">
        <v>4.79079293594</v>
      </c>
      <c r="CF53" s="190" t="n">
        <v>4.86052862396</v>
      </c>
      <c r="CG53" s="190" t="n">
        <v>4.93026431198</v>
      </c>
      <c r="CH53" s="190" t="n">
        <v>5</v>
      </c>
      <c r="CI53" s="190" t="n">
        <v>5.06973568801999</v>
      </c>
      <c r="CJ53" s="190" t="n">
        <v>5.13947137603999</v>
      </c>
      <c r="CK53" s="190" t="n">
        <v>5.20920706405999</v>
      </c>
      <c r="CL53" s="190" t="n">
        <v>5.27894275207999</v>
      </c>
      <c r="CM53" s="190" t="n">
        <v>5.34867844009999</v>
      </c>
      <c r="CN53" s="190" t="n">
        <v>5.41841412811999</v>
      </c>
      <c r="CO53" s="190" t="n">
        <v>5.48814981613999</v>
      </c>
      <c r="CP53" s="190" t="n">
        <v>5.55788550415999</v>
      </c>
      <c r="CQ53" s="190" t="n">
        <v>5.62762119217999</v>
      </c>
      <c r="CR53" s="190" t="n">
        <v>5.69735688019999</v>
      </c>
      <c r="CS53" s="190" t="n">
        <v>5.76709256821999</v>
      </c>
      <c r="CT53" s="190" t="n">
        <v>5.83682825623999</v>
      </c>
      <c r="CU53" s="190" t="n">
        <v>5.90656394425999</v>
      </c>
      <c r="CV53" s="190" t="n">
        <v>5.97629963227999</v>
      </c>
      <c r="CW53" s="190" t="n">
        <v>6.04603532029999</v>
      </c>
      <c r="CX53" s="190" t="n">
        <v>6.11577100831999</v>
      </c>
      <c r="CY53" s="190" t="n">
        <v>6.18550669633999</v>
      </c>
      <c r="CZ53" s="190" t="n">
        <v>6.25524238435999</v>
      </c>
      <c r="DA53" s="190" t="n">
        <v>6.32497807237999</v>
      </c>
      <c r="DB53" s="190" t="n">
        <v>6.39471376039999</v>
      </c>
      <c r="DC53" s="190" t="n">
        <v>6.46444944841999</v>
      </c>
      <c r="DD53" s="190" t="n">
        <v>6.53418513643999</v>
      </c>
      <c r="DE53" s="190" t="n">
        <v>6.60392082445999</v>
      </c>
      <c r="DF53" s="190" t="n">
        <v>6.67365651247999</v>
      </c>
      <c r="DG53" s="190" t="n">
        <v>6.74339220049999</v>
      </c>
      <c r="DH53" s="190" t="n">
        <v>6.81312788851999</v>
      </c>
      <c r="DI53" s="190" t="n">
        <v>6.88286357653999</v>
      </c>
      <c r="DJ53" s="190" t="n">
        <v>6.95259926455999</v>
      </c>
      <c r="DK53" s="190" t="n">
        <v>7.02233495257999</v>
      </c>
      <c r="DL53" s="190" t="n">
        <v>7.09207064059999</v>
      </c>
      <c r="DM53" s="190" t="n">
        <v>7.16180632861999</v>
      </c>
      <c r="DN53" s="190" t="n">
        <v>7.23154201663999</v>
      </c>
      <c r="DO53" s="190" t="n">
        <v>7.30127770465999</v>
      </c>
      <c r="DP53" s="190" t="n">
        <v>7.37101339267999</v>
      </c>
      <c r="DQ53" s="190" t="n">
        <v>7.44074908069999</v>
      </c>
      <c r="DR53" s="190" t="n">
        <v>7.51048476871999</v>
      </c>
      <c r="DS53" s="190" t="n">
        <v>7.58022045673999</v>
      </c>
      <c r="DT53" s="190" t="n">
        <v>7.64995614475999</v>
      </c>
      <c r="DU53" s="190" t="n">
        <v>7.71969183277999</v>
      </c>
      <c r="DV53" s="190" t="n">
        <v>7.78942752079998</v>
      </c>
      <c r="DW53" s="190" t="n">
        <v>7.85916320881998</v>
      </c>
      <c r="DX53" s="190" t="n">
        <v>7.92889889683998</v>
      </c>
      <c r="DY53" s="190" t="n">
        <v>7.99863458485998</v>
      </c>
      <c r="DZ53" s="190" t="n">
        <v>8.06837027287998</v>
      </c>
      <c r="EA53" s="190" t="n">
        <v>8.13810596089998</v>
      </c>
      <c r="EB53" s="190" t="n">
        <v>8.20784164891998</v>
      </c>
      <c r="EC53" s="190" t="n">
        <v>8.27757733693998</v>
      </c>
      <c r="ED53" s="190" t="n">
        <v>8.34731302495998</v>
      </c>
      <c r="EE53" s="190" t="n">
        <v>8.41704871297998</v>
      </c>
      <c r="EF53" s="190" t="n">
        <v>8.48678440099998</v>
      </c>
      <c r="EG53" s="190" t="n">
        <v>8.55652008901998</v>
      </c>
      <c r="EH53" s="190" t="n">
        <v>8.62625577703998</v>
      </c>
      <c r="EI53" s="190" t="n">
        <v>8.69599146505998</v>
      </c>
      <c r="EJ53" s="190" t="n">
        <v>8.76572715307998</v>
      </c>
      <c r="EK53" s="190" t="n">
        <v>8.83546284109998</v>
      </c>
      <c r="EL53" s="180" t="n">
        <v>8.90519852911998</v>
      </c>
      <c r="EM53" s="180" t="n">
        <v>8.97493421713998</v>
      </c>
      <c r="EN53" s="180" t="n">
        <v>9.04466990515998</v>
      </c>
      <c r="EO53" s="180" t="n">
        <v>9.11440559317998</v>
      </c>
      <c r="EP53" s="180" t="n">
        <v>9.18414128119998</v>
      </c>
      <c r="EQ53" s="180" t="n">
        <v>9.25387696921998</v>
      </c>
      <c r="ER53" s="180" t="n">
        <v>9.32361265723998</v>
      </c>
      <c r="ES53" s="180" t="n">
        <v>9.39334834525998</v>
      </c>
      <c r="ET53" s="180" t="n">
        <v>9.46308403327998</v>
      </c>
      <c r="EU53" s="180" t="n">
        <v>9.53281972129998</v>
      </c>
      <c r="EV53" s="180" t="n">
        <v>9.60255540931998</v>
      </c>
      <c r="EW53" s="180" t="n">
        <v>9.67229109733998</v>
      </c>
      <c r="EX53" s="180" t="n">
        <v>9.74202678535998</v>
      </c>
      <c r="EY53" s="180" t="n">
        <v>9.81176247337998</v>
      </c>
      <c r="EZ53" s="180" t="n">
        <v>9.88149816139998</v>
      </c>
      <c r="FA53" s="180" t="n">
        <v>9.95123384941998</v>
      </c>
      <c r="FB53" s="180" t="n">
        <v>10.02096953744</v>
      </c>
      <c r="FC53" s="180" t="n">
        <v>10.09070522546</v>
      </c>
      <c r="FD53" s="180" t="n">
        <v>10.16044091348</v>
      </c>
      <c r="FE53" s="180" t="n">
        <v>10.2301766015</v>
      </c>
      <c r="FF53" s="180" t="n">
        <v>10.29991228952</v>
      </c>
      <c r="FG53" s="180" t="n">
        <v>10.36964797754</v>
      </c>
      <c r="FH53" s="180" t="n">
        <v>10.43938366556</v>
      </c>
      <c r="FI53" s="180" t="n">
        <v>10.50911935358</v>
      </c>
      <c r="FJ53" s="180" t="n">
        <v>10.5788550416</v>
      </c>
      <c r="FK53" s="180" t="n">
        <v>10.64859072962</v>
      </c>
      <c r="FL53" s="180" t="n">
        <v>10.71832641764</v>
      </c>
      <c r="FM53" s="180" t="n">
        <v>10.78806210566</v>
      </c>
      <c r="FN53" s="180" t="n">
        <v>10.85779779368</v>
      </c>
      <c r="FO53" s="180" t="n">
        <v>10.9275334817</v>
      </c>
      <c r="FP53" s="180" t="n">
        <v>10.99726916972</v>
      </c>
      <c r="FQ53" s="180" t="n">
        <v>11.06700485774</v>
      </c>
      <c r="FR53" s="180" t="n">
        <v>11.13674054576</v>
      </c>
      <c r="FS53" s="180" t="n">
        <v>11.20647623378</v>
      </c>
      <c r="FT53" s="180" t="n">
        <v>11.2762119218</v>
      </c>
      <c r="FU53" s="180" t="n">
        <v>11.34594760982</v>
      </c>
      <c r="FV53" s="180" t="n">
        <v>11.41568329784</v>
      </c>
      <c r="FW53" s="180" t="n">
        <v>11.48541898586</v>
      </c>
      <c r="FX53" s="180" t="n">
        <v>11.55515467388</v>
      </c>
      <c r="FY53" s="180" t="n">
        <v>11.6248903619</v>
      </c>
      <c r="FZ53" s="180" t="n">
        <v>11.69462604992</v>
      </c>
      <c r="GA53" s="180" t="n">
        <v>11.76436173794</v>
      </c>
      <c r="GB53" s="180" t="n">
        <v>11.83409742596</v>
      </c>
      <c r="GC53" s="180" t="n">
        <v>11.90383311398</v>
      </c>
      <c r="GD53" s="180" t="n">
        <v>11.973568802</v>
      </c>
      <c r="GE53" s="180" t="n">
        <v>12.04330449002</v>
      </c>
      <c r="GF53" s="180" t="n">
        <v>12.11304017804</v>
      </c>
      <c r="GG53" s="180" t="n">
        <v>12.18277586606</v>
      </c>
      <c r="GH53" s="180" t="n">
        <v>12.25251155408</v>
      </c>
      <c r="GI53" s="180" t="n">
        <v>12.3222472421</v>
      </c>
      <c r="GJ53" s="180" t="n">
        <v>12.39198293012</v>
      </c>
      <c r="GK53" s="180" t="n">
        <v>12.46171861814</v>
      </c>
      <c r="GL53" s="180" t="n">
        <v>12.53145430616</v>
      </c>
      <c r="GM53" s="180" t="n">
        <v>12.60118999418</v>
      </c>
      <c r="GN53" s="180" t="n">
        <v>12.6709256822</v>
      </c>
      <c r="GO53" s="180" t="n">
        <v>12.74066137022</v>
      </c>
      <c r="GP53" s="180" t="n">
        <v>12.81039705824</v>
      </c>
      <c r="GQ53" s="180" t="n">
        <v>12.88013274626</v>
      </c>
      <c r="GR53" s="180" t="n">
        <v>12.94986843428</v>
      </c>
      <c r="GS53" s="180" t="n">
        <v>13.0196041223</v>
      </c>
      <c r="GT53" s="180" t="n">
        <v>13.08933981032</v>
      </c>
      <c r="GU53" s="180" t="n">
        <v>13.15907549834</v>
      </c>
      <c r="GV53" s="180" t="n">
        <v>13.22881118636</v>
      </c>
      <c r="GW53" s="180" t="n">
        <v>13.29854687438</v>
      </c>
      <c r="GX53" s="180" t="n">
        <v>13.3682825624</v>
      </c>
      <c r="GY53" s="180" t="n">
        <v>13.43801825042</v>
      </c>
      <c r="GZ53" s="180" t="n">
        <v>13.50775393844</v>
      </c>
      <c r="HA53" s="180" t="n">
        <v>13.57748962646</v>
      </c>
      <c r="HB53" s="180" t="n">
        <v>13.64722531448</v>
      </c>
      <c r="HC53" s="180" t="n">
        <v>13.7169610025</v>
      </c>
      <c r="HD53" s="180" t="n">
        <v>13.78669669052</v>
      </c>
      <c r="HE53" s="180" t="n">
        <v>13.85643237854</v>
      </c>
      <c r="HF53" s="180" t="n">
        <v>13.92616806656</v>
      </c>
      <c r="HG53" s="180" t="n">
        <v>13.99590375458</v>
      </c>
      <c r="HH53" s="180" t="n">
        <v>14.0656394426</v>
      </c>
      <c r="HI53" s="180" t="n">
        <v>14.13537513062</v>
      </c>
      <c r="HJ53" s="180" t="n">
        <v>14.20511081864</v>
      </c>
      <c r="HK53" s="180" t="n">
        <v>14.27484650666</v>
      </c>
      <c r="HL53" s="180" t="n">
        <v>14.34458219468</v>
      </c>
      <c r="HM53" s="180" t="n">
        <v>14.4143178827</v>
      </c>
      <c r="HN53" s="180" t="n">
        <v>14.48405357072</v>
      </c>
      <c r="HO53" s="180" t="n">
        <v>14.55378925874</v>
      </c>
      <c r="HP53" s="180" t="n">
        <v>14.62352494676</v>
      </c>
      <c r="HQ53" s="180" t="n">
        <v>14.69326063478</v>
      </c>
      <c r="HR53" s="180" t="n">
        <v>14.7629963228</v>
      </c>
      <c r="HS53" s="180" t="n">
        <v>14.83273201082</v>
      </c>
      <c r="HT53" s="180" t="n">
        <v>14.90246769884</v>
      </c>
      <c r="HU53" s="180" t="n">
        <v>14.97220338686</v>
      </c>
      <c r="HV53" s="180" t="n">
        <v>15.04193907488</v>
      </c>
      <c r="HW53" s="180" t="n">
        <v>15.1116747629</v>
      </c>
      <c r="HX53" s="180" t="n">
        <v>15.18141045092</v>
      </c>
      <c r="HY53" s="180" t="n">
        <v>15.25114613894</v>
      </c>
      <c r="HZ53" s="180" t="n">
        <v>15.32088182696</v>
      </c>
      <c r="IA53" s="180" t="n">
        <v>15.39061751498</v>
      </c>
      <c r="IB53" s="180" t="n">
        <v>15.460353203</v>
      </c>
      <c r="IC53" s="180" t="n">
        <v>15.53008889102</v>
      </c>
      <c r="ID53" s="180" t="n">
        <v>15.59982457904</v>
      </c>
      <c r="IE53" s="180" t="n">
        <v>15.66956026706</v>
      </c>
      <c r="IF53" s="180" t="n">
        <v>15.73929595508</v>
      </c>
      <c r="IG53" s="180" t="n">
        <v>15.8090316431</v>
      </c>
      <c r="IH53" s="180" t="n">
        <v>15.87876733112</v>
      </c>
      <c r="II53" s="180" t="n">
        <v>15.94850301914</v>
      </c>
      <c r="IJ53" s="180" t="n">
        <v>16.01823870716</v>
      </c>
      <c r="IK53" s="180" t="n">
        <v>16.08797439518</v>
      </c>
      <c r="IL53" s="180" t="n">
        <v>16.1577100832</v>
      </c>
      <c r="IM53" s="180" t="n">
        <v>16.22744577122</v>
      </c>
      <c r="IN53" s="180" t="n">
        <v>16.29718145924</v>
      </c>
      <c r="IO53" s="180" t="n">
        <v>16.36691714726</v>
      </c>
      <c r="IP53" s="180" t="n">
        <v>16.43665283528</v>
      </c>
      <c r="IQ53" s="180" t="n">
        <v>16.5063885233</v>
      </c>
      <c r="IR53" s="180" t="n">
        <v>16.57612421132</v>
      </c>
      <c r="IS53" s="180" t="n">
        <v>16.64585989934</v>
      </c>
      <c r="IT53" s="180" t="n">
        <v>16.71559558736</v>
      </c>
      <c r="IU53" s="180" t="n">
        <v>16.78533127538</v>
      </c>
      <c r="IV53" s="180" t="n">
        <v>16.8550669634</v>
      </c>
    </row>
    <row r="54" customFormat="false" ht="12.75" hidden="false" customHeight="false" outlineLevel="0" collapsed="false">
      <c r="A54" s="189" t="n">
        <v>38322</v>
      </c>
      <c r="B54" s="185" t="n">
        <v>-2.021005929375</v>
      </c>
      <c r="C54" s="185" t="n">
        <v>-1.9907047400625</v>
      </c>
      <c r="D54" s="185" t="n">
        <v>-1.96040355075</v>
      </c>
      <c r="E54" s="185" t="n">
        <v>-1.9301023614375</v>
      </c>
      <c r="F54" s="185" t="n">
        <v>-1.899801172125</v>
      </c>
      <c r="G54" s="185" t="n">
        <v>-1.8694999828125</v>
      </c>
      <c r="H54" s="185" t="n">
        <v>-1.8391987935</v>
      </c>
      <c r="I54" s="185" t="n">
        <v>-1.8088976041875</v>
      </c>
      <c r="J54" s="185" t="n">
        <v>-1.778596414875</v>
      </c>
      <c r="K54" s="185" t="n">
        <v>-1.7482952255625</v>
      </c>
      <c r="L54" s="185" t="n">
        <v>-1.71799403625</v>
      </c>
      <c r="M54" s="185" t="n">
        <v>-1.6876928469375</v>
      </c>
      <c r="N54" s="185" t="n">
        <v>-1.657391657625</v>
      </c>
      <c r="O54" s="185" t="n">
        <v>-1.6270904683125</v>
      </c>
      <c r="P54" s="185" t="n">
        <v>-1.596789279</v>
      </c>
      <c r="Q54" s="185" t="n">
        <v>-1.5664880896875</v>
      </c>
      <c r="R54" s="185" t="n">
        <v>-1.536186900375</v>
      </c>
      <c r="S54" s="185" t="n">
        <v>-1.5058857110625</v>
      </c>
      <c r="T54" s="185" t="n">
        <v>-1.47558452175</v>
      </c>
      <c r="U54" s="185" t="n">
        <v>-1.4452833324375</v>
      </c>
      <c r="V54" s="186" t="n">
        <v>-1.414982143125</v>
      </c>
      <c r="W54" s="185" t="n">
        <v>-1.3846809538125</v>
      </c>
      <c r="X54" s="186" t="n">
        <v>-1.3543797645</v>
      </c>
      <c r="Y54" s="185" t="n">
        <v>-1.3240785751875</v>
      </c>
      <c r="Z54" s="186" t="n">
        <v>-1.293777385875</v>
      </c>
      <c r="AA54" s="185" t="n">
        <v>-1.2634761965625</v>
      </c>
      <c r="AB54" s="187" t="n">
        <v>-1.23317500725</v>
      </c>
      <c r="AC54" s="185" t="n">
        <v>-1.2028738179375</v>
      </c>
      <c r="AD54" s="187" t="n">
        <v>-1.172572628625</v>
      </c>
      <c r="AE54" s="185" t="n">
        <v>-1.1422714393125</v>
      </c>
      <c r="AF54" s="185" t="n">
        <v>-1.11197025</v>
      </c>
      <c r="AG54" s="190" t="n">
        <v>-1.083235125</v>
      </c>
      <c r="AH54" s="190" t="n">
        <v>-1.0545</v>
      </c>
      <c r="AI54" s="190" t="n">
        <v>-1.02725</v>
      </c>
      <c r="AJ54" s="190" t="n">
        <v>-1</v>
      </c>
      <c r="AK54" s="190" t="n">
        <v>-0.8</v>
      </c>
      <c r="AL54" s="190" t="n">
        <v>-0.6</v>
      </c>
      <c r="AM54" s="190" t="n">
        <v>-0.4</v>
      </c>
      <c r="AN54" s="190" t="n">
        <v>-0.2</v>
      </c>
      <c r="AO54" s="190" t="n">
        <v>0</v>
      </c>
      <c r="AP54" s="190" t="n">
        <v>0.2</v>
      </c>
      <c r="AQ54" s="190" t="n">
        <v>0.4</v>
      </c>
      <c r="AR54" s="190" t="n">
        <v>0.6</v>
      </c>
      <c r="AS54" s="190" t="n">
        <v>0.8</v>
      </c>
      <c r="AT54" s="190" t="n">
        <v>1</v>
      </c>
      <c r="AU54" s="190" t="n">
        <v>1.2</v>
      </c>
      <c r="AV54" s="190" t="n">
        <v>1.4</v>
      </c>
      <c r="AW54" s="190" t="n">
        <v>1.58</v>
      </c>
      <c r="AX54" s="190" t="n">
        <v>1.76</v>
      </c>
      <c r="AY54" s="190" t="n">
        <v>1.922</v>
      </c>
      <c r="AZ54" s="190" t="n">
        <v>2.084</v>
      </c>
      <c r="BA54" s="190" t="n">
        <v>2.2298</v>
      </c>
      <c r="BB54" s="190" t="n">
        <v>2.3756</v>
      </c>
      <c r="BC54" s="190" t="n">
        <v>2.50682</v>
      </c>
      <c r="BD54" s="190" t="n">
        <v>2.63804</v>
      </c>
      <c r="BE54" s="190" t="n">
        <v>2.756138</v>
      </c>
      <c r="BF54" s="190" t="n">
        <v>2.874236</v>
      </c>
      <c r="BG54" s="190" t="n">
        <v>2.9805242</v>
      </c>
      <c r="BH54" s="190" t="n">
        <v>3.0868124</v>
      </c>
      <c r="BI54" s="190" t="n">
        <v>3.18247178</v>
      </c>
      <c r="BJ54" s="190" t="n">
        <v>3.27813116</v>
      </c>
      <c r="BK54" s="190" t="n">
        <v>3.364224602</v>
      </c>
      <c r="BL54" s="190" t="n">
        <v>3.450318044</v>
      </c>
      <c r="BM54" s="190" t="n">
        <v>3.5278021418</v>
      </c>
      <c r="BN54" s="190" t="n">
        <v>3.6052862396</v>
      </c>
      <c r="BO54" s="190" t="n">
        <v>3.67502192762</v>
      </c>
      <c r="BP54" s="190" t="n">
        <v>3.74475761564</v>
      </c>
      <c r="BQ54" s="190" t="n">
        <v>3.81449330366</v>
      </c>
      <c r="BR54" s="190" t="n">
        <v>3.88422899168</v>
      </c>
      <c r="BS54" s="190" t="n">
        <v>3.9539646797</v>
      </c>
      <c r="BT54" s="190" t="n">
        <v>4.02370036772</v>
      </c>
      <c r="BU54" s="190" t="n">
        <v>4.09343605574</v>
      </c>
      <c r="BV54" s="190" t="n">
        <v>4.16317174376</v>
      </c>
      <c r="BW54" s="190" t="n">
        <v>4.23290743178</v>
      </c>
      <c r="BX54" s="190" t="n">
        <v>4.3026431198</v>
      </c>
      <c r="BY54" s="190" t="n">
        <v>4.37237880782</v>
      </c>
      <c r="BZ54" s="190" t="n">
        <v>4.44211449584</v>
      </c>
      <c r="CA54" s="190" t="n">
        <v>4.51185018386</v>
      </c>
      <c r="CB54" s="190" t="n">
        <v>4.58158587188</v>
      </c>
      <c r="CC54" s="190" t="n">
        <v>4.6513215599</v>
      </c>
      <c r="CD54" s="190" t="n">
        <v>4.72105724792</v>
      </c>
      <c r="CE54" s="190" t="n">
        <v>4.79079293594</v>
      </c>
      <c r="CF54" s="190" t="n">
        <v>4.86052862396</v>
      </c>
      <c r="CG54" s="190" t="n">
        <v>4.93026431198</v>
      </c>
      <c r="CH54" s="190" t="n">
        <v>5</v>
      </c>
      <c r="CI54" s="190" t="n">
        <v>5.06973568801999</v>
      </c>
      <c r="CJ54" s="190" t="n">
        <v>5.13947137603999</v>
      </c>
      <c r="CK54" s="190" t="n">
        <v>5.20920706405999</v>
      </c>
      <c r="CL54" s="190" t="n">
        <v>5.27894275207999</v>
      </c>
      <c r="CM54" s="190" t="n">
        <v>5.34867844009999</v>
      </c>
      <c r="CN54" s="190" t="n">
        <v>5.41841412811999</v>
      </c>
      <c r="CO54" s="190" t="n">
        <v>5.48814981613999</v>
      </c>
      <c r="CP54" s="190" t="n">
        <v>5.55788550415999</v>
      </c>
      <c r="CQ54" s="190" t="n">
        <v>5.62762119217999</v>
      </c>
      <c r="CR54" s="190" t="n">
        <v>5.69735688019999</v>
      </c>
      <c r="CS54" s="190" t="n">
        <v>5.76709256821999</v>
      </c>
      <c r="CT54" s="190" t="n">
        <v>5.83682825623999</v>
      </c>
      <c r="CU54" s="190" t="n">
        <v>5.90656394425999</v>
      </c>
      <c r="CV54" s="190" t="n">
        <v>5.97629963227999</v>
      </c>
      <c r="CW54" s="190" t="n">
        <v>6.04603532029999</v>
      </c>
      <c r="CX54" s="190" t="n">
        <v>6.11577100831999</v>
      </c>
      <c r="CY54" s="190" t="n">
        <v>6.18550669633999</v>
      </c>
      <c r="CZ54" s="190" t="n">
        <v>6.25524238435999</v>
      </c>
      <c r="DA54" s="190" t="n">
        <v>6.32497807237999</v>
      </c>
      <c r="DB54" s="190" t="n">
        <v>6.39471376039999</v>
      </c>
      <c r="DC54" s="190" t="n">
        <v>6.46444944841999</v>
      </c>
      <c r="DD54" s="190" t="n">
        <v>6.53418513643999</v>
      </c>
      <c r="DE54" s="190" t="n">
        <v>6.60392082445999</v>
      </c>
      <c r="DF54" s="190" t="n">
        <v>6.67365651247999</v>
      </c>
      <c r="DG54" s="190" t="n">
        <v>6.74339220049999</v>
      </c>
      <c r="DH54" s="190" t="n">
        <v>6.81312788851999</v>
      </c>
      <c r="DI54" s="190" t="n">
        <v>6.88286357653999</v>
      </c>
      <c r="DJ54" s="190" t="n">
        <v>6.95259926455999</v>
      </c>
      <c r="DK54" s="190" t="n">
        <v>7.02233495257999</v>
      </c>
      <c r="DL54" s="190" t="n">
        <v>7.09207064059999</v>
      </c>
      <c r="DM54" s="190" t="n">
        <v>7.16180632861999</v>
      </c>
      <c r="DN54" s="190" t="n">
        <v>7.23154201663999</v>
      </c>
      <c r="DO54" s="190" t="n">
        <v>7.30127770465999</v>
      </c>
      <c r="DP54" s="190" t="n">
        <v>7.37101339267999</v>
      </c>
      <c r="DQ54" s="190" t="n">
        <v>7.44074908069999</v>
      </c>
      <c r="DR54" s="190" t="n">
        <v>7.51048476871999</v>
      </c>
      <c r="DS54" s="190" t="n">
        <v>7.58022045673999</v>
      </c>
      <c r="DT54" s="190" t="n">
        <v>7.64995614475999</v>
      </c>
      <c r="DU54" s="190" t="n">
        <v>7.71969183277999</v>
      </c>
      <c r="DV54" s="190" t="n">
        <v>7.78942752079998</v>
      </c>
      <c r="DW54" s="190" t="n">
        <v>7.85916320881998</v>
      </c>
      <c r="DX54" s="190" t="n">
        <v>7.92889889683998</v>
      </c>
      <c r="DY54" s="190" t="n">
        <v>7.99863458485998</v>
      </c>
      <c r="DZ54" s="190" t="n">
        <v>8.06837027287998</v>
      </c>
      <c r="EA54" s="190" t="n">
        <v>8.13810596089998</v>
      </c>
      <c r="EB54" s="190" t="n">
        <v>8.20784164891998</v>
      </c>
      <c r="EC54" s="190" t="n">
        <v>8.27757733693998</v>
      </c>
      <c r="ED54" s="190" t="n">
        <v>8.34731302495998</v>
      </c>
      <c r="EE54" s="190" t="n">
        <v>8.41704871297998</v>
      </c>
      <c r="EF54" s="190" t="n">
        <v>8.48678440099998</v>
      </c>
      <c r="EG54" s="190" t="n">
        <v>8.55652008901998</v>
      </c>
      <c r="EH54" s="190" t="n">
        <v>8.62625577703998</v>
      </c>
      <c r="EI54" s="190" t="n">
        <v>8.69599146505998</v>
      </c>
      <c r="EJ54" s="190" t="n">
        <v>8.76572715307998</v>
      </c>
      <c r="EK54" s="190" t="n">
        <v>8.83546284109998</v>
      </c>
      <c r="EL54" s="180" t="n">
        <v>8.90519852911998</v>
      </c>
      <c r="EM54" s="180" t="n">
        <v>8.97493421713998</v>
      </c>
      <c r="EN54" s="180" t="n">
        <v>9.04466990515998</v>
      </c>
      <c r="EO54" s="180" t="n">
        <v>9.11440559317998</v>
      </c>
      <c r="EP54" s="180" t="n">
        <v>9.18414128119998</v>
      </c>
      <c r="EQ54" s="180" t="n">
        <v>9.25387696921998</v>
      </c>
      <c r="ER54" s="180" t="n">
        <v>9.32361265723998</v>
      </c>
      <c r="ES54" s="180" t="n">
        <v>9.39334834525998</v>
      </c>
      <c r="ET54" s="180" t="n">
        <v>9.46308403327998</v>
      </c>
      <c r="EU54" s="180" t="n">
        <v>9.53281972129998</v>
      </c>
      <c r="EV54" s="180" t="n">
        <v>9.60255540931998</v>
      </c>
      <c r="EW54" s="180" t="n">
        <v>9.67229109733998</v>
      </c>
      <c r="EX54" s="180" t="n">
        <v>9.74202678535998</v>
      </c>
      <c r="EY54" s="180" t="n">
        <v>9.81176247337998</v>
      </c>
      <c r="EZ54" s="180" t="n">
        <v>9.88149816139998</v>
      </c>
      <c r="FA54" s="180" t="n">
        <v>9.95123384941998</v>
      </c>
      <c r="FB54" s="180" t="n">
        <v>10.02096953744</v>
      </c>
      <c r="FC54" s="180" t="n">
        <v>10.09070522546</v>
      </c>
      <c r="FD54" s="180" t="n">
        <v>10.16044091348</v>
      </c>
      <c r="FE54" s="180" t="n">
        <v>10.2301766015</v>
      </c>
      <c r="FF54" s="180" t="n">
        <v>10.29991228952</v>
      </c>
      <c r="FG54" s="180" t="n">
        <v>10.36964797754</v>
      </c>
      <c r="FH54" s="180" t="n">
        <v>10.43938366556</v>
      </c>
      <c r="FI54" s="180" t="n">
        <v>10.50911935358</v>
      </c>
      <c r="FJ54" s="180" t="n">
        <v>10.5788550416</v>
      </c>
      <c r="FK54" s="180" t="n">
        <v>10.64859072962</v>
      </c>
      <c r="FL54" s="180" t="n">
        <v>10.71832641764</v>
      </c>
      <c r="FM54" s="180" t="n">
        <v>10.78806210566</v>
      </c>
      <c r="FN54" s="180" t="n">
        <v>10.85779779368</v>
      </c>
      <c r="FO54" s="180" t="n">
        <v>10.9275334817</v>
      </c>
      <c r="FP54" s="180" t="n">
        <v>10.99726916972</v>
      </c>
      <c r="FQ54" s="180" t="n">
        <v>11.06700485774</v>
      </c>
      <c r="FR54" s="180" t="n">
        <v>11.13674054576</v>
      </c>
      <c r="FS54" s="180" t="n">
        <v>11.20647623378</v>
      </c>
      <c r="FT54" s="180" t="n">
        <v>11.2762119218</v>
      </c>
      <c r="FU54" s="180" t="n">
        <v>11.34594760982</v>
      </c>
      <c r="FV54" s="180" t="n">
        <v>11.41568329784</v>
      </c>
      <c r="FW54" s="180" t="n">
        <v>11.48541898586</v>
      </c>
      <c r="FX54" s="180" t="n">
        <v>11.55515467388</v>
      </c>
      <c r="FY54" s="180" t="n">
        <v>11.6248903619</v>
      </c>
      <c r="FZ54" s="180" t="n">
        <v>11.69462604992</v>
      </c>
      <c r="GA54" s="180" t="n">
        <v>11.76436173794</v>
      </c>
      <c r="GB54" s="180" t="n">
        <v>11.83409742596</v>
      </c>
      <c r="GC54" s="180" t="n">
        <v>11.90383311398</v>
      </c>
      <c r="GD54" s="180" t="n">
        <v>11.973568802</v>
      </c>
      <c r="GE54" s="180" t="n">
        <v>12.04330449002</v>
      </c>
      <c r="GF54" s="180" t="n">
        <v>12.11304017804</v>
      </c>
      <c r="GG54" s="180" t="n">
        <v>12.18277586606</v>
      </c>
      <c r="GH54" s="180" t="n">
        <v>12.25251155408</v>
      </c>
      <c r="GI54" s="180" t="n">
        <v>12.3222472421</v>
      </c>
      <c r="GJ54" s="180" t="n">
        <v>12.39198293012</v>
      </c>
      <c r="GK54" s="180" t="n">
        <v>12.46171861814</v>
      </c>
      <c r="GL54" s="180" t="n">
        <v>12.53145430616</v>
      </c>
      <c r="GM54" s="180" t="n">
        <v>12.60118999418</v>
      </c>
      <c r="GN54" s="180" t="n">
        <v>12.6709256822</v>
      </c>
      <c r="GO54" s="180" t="n">
        <v>12.74066137022</v>
      </c>
      <c r="GP54" s="180" t="n">
        <v>12.81039705824</v>
      </c>
      <c r="GQ54" s="180" t="n">
        <v>12.88013274626</v>
      </c>
      <c r="GR54" s="180" t="n">
        <v>12.94986843428</v>
      </c>
      <c r="GS54" s="180" t="n">
        <v>13.0196041223</v>
      </c>
      <c r="GT54" s="180" t="n">
        <v>13.08933981032</v>
      </c>
      <c r="GU54" s="180" t="n">
        <v>13.15907549834</v>
      </c>
      <c r="GV54" s="180" t="n">
        <v>13.22881118636</v>
      </c>
      <c r="GW54" s="180" t="n">
        <v>13.29854687438</v>
      </c>
      <c r="GX54" s="180" t="n">
        <v>13.3682825624</v>
      </c>
      <c r="GY54" s="180" t="n">
        <v>13.43801825042</v>
      </c>
      <c r="GZ54" s="180" t="n">
        <v>13.50775393844</v>
      </c>
      <c r="HA54" s="180" t="n">
        <v>13.57748962646</v>
      </c>
      <c r="HB54" s="180" t="n">
        <v>13.64722531448</v>
      </c>
      <c r="HC54" s="180" t="n">
        <v>13.7169610025</v>
      </c>
      <c r="HD54" s="180" t="n">
        <v>13.78669669052</v>
      </c>
      <c r="HE54" s="180" t="n">
        <v>13.85643237854</v>
      </c>
      <c r="HF54" s="180" t="n">
        <v>13.92616806656</v>
      </c>
      <c r="HG54" s="180" t="n">
        <v>13.99590375458</v>
      </c>
      <c r="HH54" s="180" t="n">
        <v>14.0656394426</v>
      </c>
      <c r="HI54" s="180" t="n">
        <v>14.13537513062</v>
      </c>
      <c r="HJ54" s="180" t="n">
        <v>14.20511081864</v>
      </c>
      <c r="HK54" s="180" t="n">
        <v>14.27484650666</v>
      </c>
      <c r="HL54" s="180" t="n">
        <v>14.34458219468</v>
      </c>
      <c r="HM54" s="180" t="n">
        <v>14.4143178827</v>
      </c>
      <c r="HN54" s="180" t="n">
        <v>14.48405357072</v>
      </c>
      <c r="HO54" s="180" t="n">
        <v>14.55378925874</v>
      </c>
      <c r="HP54" s="180" t="n">
        <v>14.62352494676</v>
      </c>
      <c r="HQ54" s="180" t="n">
        <v>14.69326063478</v>
      </c>
      <c r="HR54" s="180" t="n">
        <v>14.7629963228</v>
      </c>
      <c r="HS54" s="180" t="n">
        <v>14.83273201082</v>
      </c>
      <c r="HT54" s="180" t="n">
        <v>14.90246769884</v>
      </c>
      <c r="HU54" s="180" t="n">
        <v>14.97220338686</v>
      </c>
      <c r="HV54" s="180" t="n">
        <v>15.04193907488</v>
      </c>
      <c r="HW54" s="180" t="n">
        <v>15.1116747629</v>
      </c>
      <c r="HX54" s="180" t="n">
        <v>15.18141045092</v>
      </c>
      <c r="HY54" s="180" t="n">
        <v>15.25114613894</v>
      </c>
      <c r="HZ54" s="180" t="n">
        <v>15.32088182696</v>
      </c>
      <c r="IA54" s="180" t="n">
        <v>15.39061751498</v>
      </c>
      <c r="IB54" s="180" t="n">
        <v>15.460353203</v>
      </c>
      <c r="IC54" s="180" t="n">
        <v>15.53008889102</v>
      </c>
      <c r="ID54" s="180" t="n">
        <v>15.59982457904</v>
      </c>
      <c r="IE54" s="180" t="n">
        <v>15.66956026706</v>
      </c>
      <c r="IF54" s="180" t="n">
        <v>15.73929595508</v>
      </c>
      <c r="IG54" s="180" t="n">
        <v>15.8090316431</v>
      </c>
      <c r="IH54" s="180" t="n">
        <v>15.87876733112</v>
      </c>
      <c r="II54" s="180" t="n">
        <v>15.94850301914</v>
      </c>
      <c r="IJ54" s="180" t="n">
        <v>16.01823870716</v>
      </c>
      <c r="IK54" s="180" t="n">
        <v>16.08797439518</v>
      </c>
      <c r="IL54" s="180" t="n">
        <v>16.1577100832</v>
      </c>
      <c r="IM54" s="180" t="n">
        <v>16.22744577122</v>
      </c>
      <c r="IN54" s="180" t="n">
        <v>16.29718145924</v>
      </c>
      <c r="IO54" s="180" t="n">
        <v>16.36691714726</v>
      </c>
      <c r="IP54" s="180" t="n">
        <v>16.43665283528</v>
      </c>
      <c r="IQ54" s="180" t="n">
        <v>16.5063885233</v>
      </c>
      <c r="IR54" s="180" t="n">
        <v>16.57612421132</v>
      </c>
      <c r="IS54" s="180" t="n">
        <v>16.64585989934</v>
      </c>
      <c r="IT54" s="180" t="n">
        <v>16.71559558736</v>
      </c>
      <c r="IU54" s="180" t="n">
        <v>16.78533127538</v>
      </c>
      <c r="IV54" s="180" t="n">
        <v>16.8550669634</v>
      </c>
    </row>
    <row r="55" customFormat="false" ht="12.75" hidden="false" customHeight="false" outlineLevel="0" collapsed="false">
      <c r="A55" s="189" t="n">
        <v>38353</v>
      </c>
      <c r="B55" s="185" t="n">
        <v>-2.021005929375</v>
      </c>
      <c r="C55" s="185" t="n">
        <v>-1.9907047400625</v>
      </c>
      <c r="D55" s="185" t="n">
        <v>-1.96040355075</v>
      </c>
      <c r="E55" s="185" t="n">
        <v>-1.9301023614375</v>
      </c>
      <c r="F55" s="185" t="n">
        <v>-1.899801172125</v>
      </c>
      <c r="G55" s="185" t="n">
        <v>-1.8694999828125</v>
      </c>
      <c r="H55" s="185" t="n">
        <v>-1.8391987935</v>
      </c>
      <c r="I55" s="185" t="n">
        <v>-1.8088976041875</v>
      </c>
      <c r="J55" s="185" t="n">
        <v>-1.778596414875</v>
      </c>
      <c r="K55" s="185" t="n">
        <v>-1.7482952255625</v>
      </c>
      <c r="L55" s="185" t="n">
        <v>-1.71799403625</v>
      </c>
      <c r="M55" s="185" t="n">
        <v>-1.6876928469375</v>
      </c>
      <c r="N55" s="185" t="n">
        <v>-1.657391657625</v>
      </c>
      <c r="O55" s="185" t="n">
        <v>-1.6270904683125</v>
      </c>
      <c r="P55" s="185" t="n">
        <v>-1.596789279</v>
      </c>
      <c r="Q55" s="185" t="n">
        <v>-1.5664880896875</v>
      </c>
      <c r="R55" s="185" t="n">
        <v>-1.536186900375</v>
      </c>
      <c r="S55" s="185" t="n">
        <v>-1.5058857110625</v>
      </c>
      <c r="T55" s="185" t="n">
        <v>-1.47558452175</v>
      </c>
      <c r="U55" s="185" t="n">
        <v>-1.4452833324375</v>
      </c>
      <c r="V55" s="186" t="n">
        <v>-1.414982143125</v>
      </c>
      <c r="W55" s="185" t="n">
        <v>-1.3846809538125</v>
      </c>
      <c r="X55" s="186" t="n">
        <v>-1.3543797645</v>
      </c>
      <c r="Y55" s="185" t="n">
        <v>-1.3240785751875</v>
      </c>
      <c r="Z55" s="186" t="n">
        <v>-1.293777385875</v>
      </c>
      <c r="AA55" s="185" t="n">
        <v>-1.2634761965625</v>
      </c>
      <c r="AB55" s="187" t="n">
        <v>-1.23317500725</v>
      </c>
      <c r="AC55" s="185" t="n">
        <v>-1.2028738179375</v>
      </c>
      <c r="AD55" s="187" t="n">
        <v>-1.172572628625</v>
      </c>
      <c r="AE55" s="185" t="n">
        <v>-1.1422714393125</v>
      </c>
      <c r="AF55" s="185" t="n">
        <v>-1.11197025</v>
      </c>
      <c r="AG55" s="190" t="n">
        <v>-1.083235125</v>
      </c>
      <c r="AH55" s="190" t="n">
        <v>-1.0545</v>
      </c>
      <c r="AI55" s="190" t="n">
        <v>-1.02725</v>
      </c>
      <c r="AJ55" s="190" t="n">
        <v>-1</v>
      </c>
      <c r="AK55" s="190" t="n">
        <v>-0.8</v>
      </c>
      <c r="AL55" s="190" t="n">
        <v>-0.6</v>
      </c>
      <c r="AM55" s="190" t="n">
        <v>-0.4</v>
      </c>
      <c r="AN55" s="190" t="n">
        <v>-0.2</v>
      </c>
      <c r="AO55" s="190" t="n">
        <v>0</v>
      </c>
      <c r="AP55" s="190" t="n">
        <v>0.2</v>
      </c>
      <c r="AQ55" s="190" t="n">
        <v>0.4</v>
      </c>
      <c r="AR55" s="190" t="n">
        <v>0.6</v>
      </c>
      <c r="AS55" s="190" t="n">
        <v>0.8</v>
      </c>
      <c r="AT55" s="190" t="n">
        <v>1</v>
      </c>
      <c r="AU55" s="190" t="n">
        <v>1.2</v>
      </c>
      <c r="AV55" s="190" t="n">
        <v>1.4</v>
      </c>
      <c r="AW55" s="190" t="n">
        <v>1.58</v>
      </c>
      <c r="AX55" s="190" t="n">
        <v>1.76</v>
      </c>
      <c r="AY55" s="190" t="n">
        <v>1.922</v>
      </c>
      <c r="AZ55" s="190" t="n">
        <v>2.084</v>
      </c>
      <c r="BA55" s="190" t="n">
        <v>2.2298</v>
      </c>
      <c r="BB55" s="190" t="n">
        <v>2.3756</v>
      </c>
      <c r="BC55" s="190" t="n">
        <v>2.50682</v>
      </c>
      <c r="BD55" s="190" t="n">
        <v>2.63804</v>
      </c>
      <c r="BE55" s="190" t="n">
        <v>2.756138</v>
      </c>
      <c r="BF55" s="190" t="n">
        <v>2.874236</v>
      </c>
      <c r="BG55" s="190" t="n">
        <v>2.9805242</v>
      </c>
      <c r="BH55" s="190" t="n">
        <v>3.0868124</v>
      </c>
      <c r="BI55" s="190" t="n">
        <v>3.18247178</v>
      </c>
      <c r="BJ55" s="190" t="n">
        <v>3.27813116</v>
      </c>
      <c r="BK55" s="190" t="n">
        <v>3.364224602</v>
      </c>
      <c r="BL55" s="190" t="n">
        <v>3.450318044</v>
      </c>
      <c r="BM55" s="190" t="n">
        <v>3.5278021418</v>
      </c>
      <c r="BN55" s="190" t="n">
        <v>3.6052862396</v>
      </c>
      <c r="BO55" s="190" t="n">
        <v>3.67502192762</v>
      </c>
      <c r="BP55" s="190" t="n">
        <v>3.74475761564</v>
      </c>
      <c r="BQ55" s="190" t="n">
        <v>3.81449330366</v>
      </c>
      <c r="BR55" s="190" t="n">
        <v>3.88422899168</v>
      </c>
      <c r="BS55" s="190" t="n">
        <v>3.9539646797</v>
      </c>
      <c r="BT55" s="190" t="n">
        <v>4.02370036772</v>
      </c>
      <c r="BU55" s="190" t="n">
        <v>4.09343605574</v>
      </c>
      <c r="BV55" s="190" t="n">
        <v>4.16317174376</v>
      </c>
      <c r="BW55" s="190" t="n">
        <v>4.23290743178</v>
      </c>
      <c r="BX55" s="190" t="n">
        <v>4.3026431198</v>
      </c>
      <c r="BY55" s="190" t="n">
        <v>4.37237880782</v>
      </c>
      <c r="BZ55" s="190" t="n">
        <v>4.44211449584</v>
      </c>
      <c r="CA55" s="190" t="n">
        <v>4.51185018386</v>
      </c>
      <c r="CB55" s="190" t="n">
        <v>4.58158587188</v>
      </c>
      <c r="CC55" s="190" t="n">
        <v>4.6513215599</v>
      </c>
      <c r="CD55" s="190" t="n">
        <v>4.72105724792</v>
      </c>
      <c r="CE55" s="190" t="n">
        <v>4.79079293594</v>
      </c>
      <c r="CF55" s="190" t="n">
        <v>4.86052862396</v>
      </c>
      <c r="CG55" s="190" t="n">
        <v>4.93026431198</v>
      </c>
      <c r="CH55" s="190" t="n">
        <v>5</v>
      </c>
      <c r="CI55" s="190" t="n">
        <v>5.06973568801999</v>
      </c>
      <c r="CJ55" s="190" t="n">
        <v>5.13947137603999</v>
      </c>
      <c r="CK55" s="190" t="n">
        <v>5.20920706405999</v>
      </c>
      <c r="CL55" s="190" t="n">
        <v>5.27894275207999</v>
      </c>
      <c r="CM55" s="190" t="n">
        <v>5.34867844009999</v>
      </c>
      <c r="CN55" s="190" t="n">
        <v>5.41841412811999</v>
      </c>
      <c r="CO55" s="190" t="n">
        <v>5.48814981613999</v>
      </c>
      <c r="CP55" s="190" t="n">
        <v>5.55788550415999</v>
      </c>
      <c r="CQ55" s="190" t="n">
        <v>5.62762119217999</v>
      </c>
      <c r="CR55" s="190" t="n">
        <v>5.69735688019999</v>
      </c>
      <c r="CS55" s="190" t="n">
        <v>5.76709256821999</v>
      </c>
      <c r="CT55" s="190" t="n">
        <v>5.83682825623999</v>
      </c>
      <c r="CU55" s="190" t="n">
        <v>5.90656394425999</v>
      </c>
      <c r="CV55" s="190" t="n">
        <v>5.97629963227999</v>
      </c>
      <c r="CW55" s="190" t="n">
        <v>6.04603532029999</v>
      </c>
      <c r="CX55" s="190" t="n">
        <v>6.11577100831999</v>
      </c>
      <c r="CY55" s="190" t="n">
        <v>6.18550669633999</v>
      </c>
      <c r="CZ55" s="190" t="n">
        <v>6.25524238435999</v>
      </c>
      <c r="DA55" s="190" t="n">
        <v>6.32497807237999</v>
      </c>
      <c r="DB55" s="190" t="n">
        <v>6.39471376039999</v>
      </c>
      <c r="DC55" s="190" t="n">
        <v>6.46444944841999</v>
      </c>
      <c r="DD55" s="190" t="n">
        <v>6.53418513643999</v>
      </c>
      <c r="DE55" s="190" t="n">
        <v>6.60392082445999</v>
      </c>
      <c r="DF55" s="190" t="n">
        <v>6.67365651247999</v>
      </c>
      <c r="DG55" s="190" t="n">
        <v>6.74339220049999</v>
      </c>
      <c r="DH55" s="190" t="n">
        <v>6.81312788851999</v>
      </c>
      <c r="DI55" s="190" t="n">
        <v>6.88286357653999</v>
      </c>
      <c r="DJ55" s="190" t="n">
        <v>6.95259926455999</v>
      </c>
      <c r="DK55" s="190" t="n">
        <v>7.02233495257999</v>
      </c>
      <c r="DL55" s="190" t="n">
        <v>7.09207064059999</v>
      </c>
      <c r="DM55" s="190" t="n">
        <v>7.16180632861999</v>
      </c>
      <c r="DN55" s="190" t="n">
        <v>7.23154201663999</v>
      </c>
      <c r="DO55" s="190" t="n">
        <v>7.30127770465999</v>
      </c>
      <c r="DP55" s="190" t="n">
        <v>7.37101339267999</v>
      </c>
      <c r="DQ55" s="190" t="n">
        <v>7.44074908069999</v>
      </c>
      <c r="DR55" s="190" t="n">
        <v>7.51048476871999</v>
      </c>
      <c r="DS55" s="190" t="n">
        <v>7.58022045673999</v>
      </c>
      <c r="DT55" s="190" t="n">
        <v>7.64995614475999</v>
      </c>
      <c r="DU55" s="190" t="n">
        <v>7.71969183277999</v>
      </c>
      <c r="DV55" s="190" t="n">
        <v>7.78942752079998</v>
      </c>
      <c r="DW55" s="190" t="n">
        <v>7.85916320881998</v>
      </c>
      <c r="DX55" s="190" t="n">
        <v>7.92889889683998</v>
      </c>
      <c r="DY55" s="190" t="n">
        <v>7.99863458485998</v>
      </c>
      <c r="DZ55" s="190" t="n">
        <v>8.06837027287998</v>
      </c>
      <c r="EA55" s="190" t="n">
        <v>8.13810596089998</v>
      </c>
      <c r="EB55" s="190" t="n">
        <v>8.20784164891998</v>
      </c>
      <c r="EC55" s="190" t="n">
        <v>8.27757733693998</v>
      </c>
      <c r="ED55" s="190" t="n">
        <v>8.34731302495998</v>
      </c>
      <c r="EE55" s="190" t="n">
        <v>8.41704871297998</v>
      </c>
      <c r="EF55" s="190" t="n">
        <v>8.48678440099998</v>
      </c>
      <c r="EG55" s="190" t="n">
        <v>8.55652008901998</v>
      </c>
      <c r="EH55" s="190" t="n">
        <v>8.62625577703998</v>
      </c>
      <c r="EI55" s="190" t="n">
        <v>8.69599146505998</v>
      </c>
      <c r="EJ55" s="190" t="n">
        <v>8.76572715307998</v>
      </c>
      <c r="EK55" s="190" t="n">
        <v>8.83546284109998</v>
      </c>
      <c r="EL55" s="180" t="n">
        <v>8.90519852911998</v>
      </c>
      <c r="EM55" s="180" t="n">
        <v>8.97493421713998</v>
      </c>
      <c r="EN55" s="180" t="n">
        <v>9.04466990515998</v>
      </c>
      <c r="EO55" s="180" t="n">
        <v>9.11440559317998</v>
      </c>
      <c r="EP55" s="180" t="n">
        <v>9.18414128119998</v>
      </c>
      <c r="EQ55" s="180" t="n">
        <v>9.25387696921998</v>
      </c>
      <c r="ER55" s="180" t="n">
        <v>9.32361265723998</v>
      </c>
      <c r="ES55" s="180" t="n">
        <v>9.39334834525998</v>
      </c>
      <c r="ET55" s="180" t="n">
        <v>9.46308403327998</v>
      </c>
      <c r="EU55" s="180" t="n">
        <v>9.53281972129998</v>
      </c>
      <c r="EV55" s="180" t="n">
        <v>9.60255540931998</v>
      </c>
      <c r="EW55" s="180" t="n">
        <v>9.67229109733998</v>
      </c>
      <c r="EX55" s="180" t="n">
        <v>9.74202678535998</v>
      </c>
      <c r="EY55" s="180" t="n">
        <v>9.81176247337998</v>
      </c>
      <c r="EZ55" s="180" t="n">
        <v>9.88149816139998</v>
      </c>
      <c r="FA55" s="180" t="n">
        <v>9.95123384941998</v>
      </c>
      <c r="FB55" s="180" t="n">
        <v>10.02096953744</v>
      </c>
      <c r="FC55" s="180" t="n">
        <v>10.09070522546</v>
      </c>
      <c r="FD55" s="180" t="n">
        <v>10.16044091348</v>
      </c>
      <c r="FE55" s="180" t="n">
        <v>10.2301766015</v>
      </c>
      <c r="FF55" s="180" t="n">
        <v>10.29991228952</v>
      </c>
      <c r="FG55" s="180" t="n">
        <v>10.36964797754</v>
      </c>
      <c r="FH55" s="180" t="n">
        <v>10.43938366556</v>
      </c>
      <c r="FI55" s="180" t="n">
        <v>10.50911935358</v>
      </c>
      <c r="FJ55" s="180" t="n">
        <v>10.5788550416</v>
      </c>
      <c r="FK55" s="180" t="n">
        <v>10.64859072962</v>
      </c>
      <c r="FL55" s="180" t="n">
        <v>10.71832641764</v>
      </c>
      <c r="FM55" s="180" t="n">
        <v>10.78806210566</v>
      </c>
      <c r="FN55" s="180" t="n">
        <v>10.85779779368</v>
      </c>
      <c r="FO55" s="180" t="n">
        <v>10.9275334817</v>
      </c>
      <c r="FP55" s="180" t="n">
        <v>10.99726916972</v>
      </c>
      <c r="FQ55" s="180" t="n">
        <v>11.06700485774</v>
      </c>
      <c r="FR55" s="180" t="n">
        <v>11.13674054576</v>
      </c>
      <c r="FS55" s="180" t="n">
        <v>11.20647623378</v>
      </c>
      <c r="FT55" s="180" t="n">
        <v>11.2762119218</v>
      </c>
      <c r="FU55" s="180" t="n">
        <v>11.34594760982</v>
      </c>
      <c r="FV55" s="180" t="n">
        <v>11.41568329784</v>
      </c>
      <c r="FW55" s="180" t="n">
        <v>11.48541898586</v>
      </c>
      <c r="FX55" s="180" t="n">
        <v>11.55515467388</v>
      </c>
      <c r="FY55" s="180" t="n">
        <v>11.6248903619</v>
      </c>
      <c r="FZ55" s="180" t="n">
        <v>11.69462604992</v>
      </c>
      <c r="GA55" s="180" t="n">
        <v>11.76436173794</v>
      </c>
      <c r="GB55" s="180" t="n">
        <v>11.83409742596</v>
      </c>
      <c r="GC55" s="180" t="n">
        <v>11.90383311398</v>
      </c>
      <c r="GD55" s="180" t="n">
        <v>11.973568802</v>
      </c>
      <c r="GE55" s="180" t="n">
        <v>12.04330449002</v>
      </c>
      <c r="GF55" s="180" t="n">
        <v>12.11304017804</v>
      </c>
      <c r="GG55" s="180" t="n">
        <v>12.18277586606</v>
      </c>
      <c r="GH55" s="180" t="n">
        <v>12.25251155408</v>
      </c>
      <c r="GI55" s="180" t="n">
        <v>12.3222472421</v>
      </c>
      <c r="GJ55" s="180" t="n">
        <v>12.39198293012</v>
      </c>
      <c r="GK55" s="180" t="n">
        <v>12.46171861814</v>
      </c>
      <c r="GL55" s="180" t="n">
        <v>12.53145430616</v>
      </c>
      <c r="GM55" s="180" t="n">
        <v>12.60118999418</v>
      </c>
      <c r="GN55" s="180" t="n">
        <v>12.6709256822</v>
      </c>
      <c r="GO55" s="180" t="n">
        <v>12.74066137022</v>
      </c>
      <c r="GP55" s="180" t="n">
        <v>12.81039705824</v>
      </c>
      <c r="GQ55" s="180" t="n">
        <v>12.88013274626</v>
      </c>
      <c r="GR55" s="180" t="n">
        <v>12.94986843428</v>
      </c>
      <c r="GS55" s="180" t="n">
        <v>13.0196041223</v>
      </c>
      <c r="GT55" s="180" t="n">
        <v>13.08933981032</v>
      </c>
      <c r="GU55" s="180" t="n">
        <v>13.15907549834</v>
      </c>
      <c r="GV55" s="180" t="n">
        <v>13.22881118636</v>
      </c>
      <c r="GW55" s="180" t="n">
        <v>13.29854687438</v>
      </c>
      <c r="GX55" s="180" t="n">
        <v>13.3682825624</v>
      </c>
      <c r="GY55" s="180" t="n">
        <v>13.43801825042</v>
      </c>
      <c r="GZ55" s="180" t="n">
        <v>13.50775393844</v>
      </c>
      <c r="HA55" s="180" t="n">
        <v>13.57748962646</v>
      </c>
      <c r="HB55" s="180" t="n">
        <v>13.64722531448</v>
      </c>
      <c r="HC55" s="180" t="n">
        <v>13.7169610025</v>
      </c>
      <c r="HD55" s="180" t="n">
        <v>13.78669669052</v>
      </c>
      <c r="HE55" s="180" t="n">
        <v>13.85643237854</v>
      </c>
      <c r="HF55" s="180" t="n">
        <v>13.92616806656</v>
      </c>
      <c r="HG55" s="180" t="n">
        <v>13.99590375458</v>
      </c>
      <c r="HH55" s="180" t="n">
        <v>14.0656394426</v>
      </c>
      <c r="HI55" s="180" t="n">
        <v>14.13537513062</v>
      </c>
      <c r="HJ55" s="180" t="n">
        <v>14.20511081864</v>
      </c>
      <c r="HK55" s="180" t="n">
        <v>14.27484650666</v>
      </c>
      <c r="HL55" s="180" t="n">
        <v>14.34458219468</v>
      </c>
      <c r="HM55" s="180" t="n">
        <v>14.4143178827</v>
      </c>
      <c r="HN55" s="180" t="n">
        <v>14.48405357072</v>
      </c>
      <c r="HO55" s="180" t="n">
        <v>14.55378925874</v>
      </c>
      <c r="HP55" s="180" t="n">
        <v>14.62352494676</v>
      </c>
      <c r="HQ55" s="180" t="n">
        <v>14.69326063478</v>
      </c>
      <c r="HR55" s="180" t="n">
        <v>14.7629963228</v>
      </c>
      <c r="HS55" s="180" t="n">
        <v>14.83273201082</v>
      </c>
      <c r="HT55" s="180" t="n">
        <v>14.90246769884</v>
      </c>
      <c r="HU55" s="180" t="n">
        <v>14.97220338686</v>
      </c>
      <c r="HV55" s="180" t="n">
        <v>15.04193907488</v>
      </c>
      <c r="HW55" s="180" t="n">
        <v>15.1116747629</v>
      </c>
      <c r="HX55" s="180" t="n">
        <v>15.18141045092</v>
      </c>
      <c r="HY55" s="180" t="n">
        <v>15.25114613894</v>
      </c>
      <c r="HZ55" s="180" t="n">
        <v>15.32088182696</v>
      </c>
      <c r="IA55" s="180" t="n">
        <v>15.39061751498</v>
      </c>
      <c r="IB55" s="180" t="n">
        <v>15.460353203</v>
      </c>
      <c r="IC55" s="180" t="n">
        <v>15.53008889102</v>
      </c>
      <c r="ID55" s="180" t="n">
        <v>15.59982457904</v>
      </c>
      <c r="IE55" s="180" t="n">
        <v>15.66956026706</v>
      </c>
      <c r="IF55" s="180" t="n">
        <v>15.73929595508</v>
      </c>
      <c r="IG55" s="180" t="n">
        <v>15.8090316431</v>
      </c>
      <c r="IH55" s="180" t="n">
        <v>15.87876733112</v>
      </c>
      <c r="II55" s="180" t="n">
        <v>15.94850301914</v>
      </c>
      <c r="IJ55" s="180" t="n">
        <v>16.01823870716</v>
      </c>
      <c r="IK55" s="180" t="n">
        <v>16.08797439518</v>
      </c>
      <c r="IL55" s="180" t="n">
        <v>16.1577100832</v>
      </c>
      <c r="IM55" s="180" t="n">
        <v>16.22744577122</v>
      </c>
      <c r="IN55" s="180" t="n">
        <v>16.29718145924</v>
      </c>
      <c r="IO55" s="180" t="n">
        <v>16.36691714726</v>
      </c>
      <c r="IP55" s="180" t="n">
        <v>16.43665283528</v>
      </c>
      <c r="IQ55" s="180" t="n">
        <v>16.5063885233</v>
      </c>
      <c r="IR55" s="180" t="n">
        <v>16.57612421132</v>
      </c>
      <c r="IS55" s="180" t="n">
        <v>16.64585989934</v>
      </c>
      <c r="IT55" s="180" t="n">
        <v>16.71559558736</v>
      </c>
      <c r="IU55" s="180" t="n">
        <v>16.78533127538</v>
      </c>
      <c r="IV55" s="180" t="n">
        <v>16.8550669634</v>
      </c>
    </row>
    <row r="56" customFormat="false" ht="12.75" hidden="false" customHeight="false" outlineLevel="0" collapsed="false">
      <c r="A56" s="189" t="n">
        <v>38384</v>
      </c>
      <c r="B56" s="185" t="n">
        <v>-2.021005929375</v>
      </c>
      <c r="C56" s="185" t="n">
        <v>-1.9907047400625</v>
      </c>
      <c r="D56" s="185" t="n">
        <v>-1.96040355075</v>
      </c>
      <c r="E56" s="185" t="n">
        <v>-1.9301023614375</v>
      </c>
      <c r="F56" s="185" t="n">
        <v>-1.899801172125</v>
      </c>
      <c r="G56" s="185" t="n">
        <v>-1.8694999828125</v>
      </c>
      <c r="H56" s="185" t="n">
        <v>-1.8391987935</v>
      </c>
      <c r="I56" s="185" t="n">
        <v>-1.8088976041875</v>
      </c>
      <c r="J56" s="185" t="n">
        <v>-1.778596414875</v>
      </c>
      <c r="K56" s="185" t="n">
        <v>-1.7482952255625</v>
      </c>
      <c r="L56" s="185" t="n">
        <v>-1.71799403625</v>
      </c>
      <c r="M56" s="185" t="n">
        <v>-1.6876928469375</v>
      </c>
      <c r="N56" s="185" t="n">
        <v>-1.657391657625</v>
      </c>
      <c r="O56" s="185" t="n">
        <v>-1.6270904683125</v>
      </c>
      <c r="P56" s="185" t="n">
        <v>-1.596789279</v>
      </c>
      <c r="Q56" s="185" t="n">
        <v>-1.5664880896875</v>
      </c>
      <c r="R56" s="185" t="n">
        <v>-1.536186900375</v>
      </c>
      <c r="S56" s="185" t="n">
        <v>-1.5058857110625</v>
      </c>
      <c r="T56" s="185" t="n">
        <v>-1.47558452175</v>
      </c>
      <c r="U56" s="185" t="n">
        <v>-1.4452833324375</v>
      </c>
      <c r="V56" s="186" t="n">
        <v>-1.414982143125</v>
      </c>
      <c r="W56" s="185" t="n">
        <v>-1.3846809538125</v>
      </c>
      <c r="X56" s="186" t="n">
        <v>-1.3543797645</v>
      </c>
      <c r="Y56" s="185" t="n">
        <v>-1.3240785751875</v>
      </c>
      <c r="Z56" s="186" t="n">
        <v>-1.293777385875</v>
      </c>
      <c r="AA56" s="185" t="n">
        <v>-1.2634761965625</v>
      </c>
      <c r="AB56" s="187" t="n">
        <v>-1.23317500725</v>
      </c>
      <c r="AC56" s="185" t="n">
        <v>-1.2028738179375</v>
      </c>
      <c r="AD56" s="187" t="n">
        <v>-1.172572628625</v>
      </c>
      <c r="AE56" s="185" t="n">
        <v>-1.1422714393125</v>
      </c>
      <c r="AF56" s="185" t="n">
        <v>-1.11197025</v>
      </c>
      <c r="AG56" s="190" t="n">
        <v>-1.083235125</v>
      </c>
      <c r="AH56" s="190" t="n">
        <v>-1.0545</v>
      </c>
      <c r="AI56" s="190" t="n">
        <v>-1.02725</v>
      </c>
      <c r="AJ56" s="190" t="n">
        <v>-1</v>
      </c>
      <c r="AK56" s="190" t="n">
        <v>-0.8</v>
      </c>
      <c r="AL56" s="190" t="n">
        <v>-0.6</v>
      </c>
      <c r="AM56" s="190" t="n">
        <v>-0.4</v>
      </c>
      <c r="AN56" s="190" t="n">
        <v>-0.2</v>
      </c>
      <c r="AO56" s="190" t="n">
        <v>0</v>
      </c>
      <c r="AP56" s="190" t="n">
        <v>0.2</v>
      </c>
      <c r="AQ56" s="190" t="n">
        <v>0.4</v>
      </c>
      <c r="AR56" s="190" t="n">
        <v>0.6</v>
      </c>
      <c r="AS56" s="190" t="n">
        <v>0.8</v>
      </c>
      <c r="AT56" s="190" t="n">
        <v>1</v>
      </c>
      <c r="AU56" s="190" t="n">
        <v>1.2</v>
      </c>
      <c r="AV56" s="190" t="n">
        <v>1.4</v>
      </c>
      <c r="AW56" s="190" t="n">
        <v>1.58</v>
      </c>
      <c r="AX56" s="190" t="n">
        <v>1.76</v>
      </c>
      <c r="AY56" s="190" t="n">
        <v>1.922</v>
      </c>
      <c r="AZ56" s="190" t="n">
        <v>2.084</v>
      </c>
      <c r="BA56" s="190" t="n">
        <v>2.2298</v>
      </c>
      <c r="BB56" s="190" t="n">
        <v>2.3756</v>
      </c>
      <c r="BC56" s="190" t="n">
        <v>2.50682</v>
      </c>
      <c r="BD56" s="190" t="n">
        <v>2.63804</v>
      </c>
      <c r="BE56" s="190" t="n">
        <v>2.756138</v>
      </c>
      <c r="BF56" s="190" t="n">
        <v>2.874236</v>
      </c>
      <c r="BG56" s="190" t="n">
        <v>2.9805242</v>
      </c>
      <c r="BH56" s="190" t="n">
        <v>3.0868124</v>
      </c>
      <c r="BI56" s="190" t="n">
        <v>3.18247178</v>
      </c>
      <c r="BJ56" s="190" t="n">
        <v>3.27813116</v>
      </c>
      <c r="BK56" s="190" t="n">
        <v>3.364224602</v>
      </c>
      <c r="BL56" s="190" t="n">
        <v>3.450318044</v>
      </c>
      <c r="BM56" s="190" t="n">
        <v>3.5278021418</v>
      </c>
      <c r="BN56" s="190" t="n">
        <v>3.6052862396</v>
      </c>
      <c r="BO56" s="190" t="n">
        <v>3.67502192762</v>
      </c>
      <c r="BP56" s="190" t="n">
        <v>3.74475761564</v>
      </c>
      <c r="BQ56" s="190" t="n">
        <v>3.81449330366</v>
      </c>
      <c r="BR56" s="190" t="n">
        <v>3.88422899168</v>
      </c>
      <c r="BS56" s="190" t="n">
        <v>3.9539646797</v>
      </c>
      <c r="BT56" s="190" t="n">
        <v>4.02370036772</v>
      </c>
      <c r="BU56" s="190" t="n">
        <v>4.09343605574</v>
      </c>
      <c r="BV56" s="190" t="n">
        <v>4.16317174376</v>
      </c>
      <c r="BW56" s="190" t="n">
        <v>4.23290743178</v>
      </c>
      <c r="BX56" s="190" t="n">
        <v>4.3026431198</v>
      </c>
      <c r="BY56" s="190" t="n">
        <v>4.37237880782</v>
      </c>
      <c r="BZ56" s="190" t="n">
        <v>4.44211449584</v>
      </c>
      <c r="CA56" s="190" t="n">
        <v>4.51185018386</v>
      </c>
      <c r="CB56" s="190" t="n">
        <v>4.58158587188</v>
      </c>
      <c r="CC56" s="190" t="n">
        <v>4.6513215599</v>
      </c>
      <c r="CD56" s="190" t="n">
        <v>4.72105724792</v>
      </c>
      <c r="CE56" s="190" t="n">
        <v>4.79079293594</v>
      </c>
      <c r="CF56" s="190" t="n">
        <v>4.86052862396</v>
      </c>
      <c r="CG56" s="190" t="n">
        <v>4.93026431198</v>
      </c>
      <c r="CH56" s="190" t="n">
        <v>5</v>
      </c>
      <c r="CI56" s="190" t="n">
        <v>5.06973568801999</v>
      </c>
      <c r="CJ56" s="190" t="n">
        <v>5.13947137603999</v>
      </c>
      <c r="CK56" s="190" t="n">
        <v>5.20920706405999</v>
      </c>
      <c r="CL56" s="190" t="n">
        <v>5.27894275207999</v>
      </c>
      <c r="CM56" s="190" t="n">
        <v>5.34867844009999</v>
      </c>
      <c r="CN56" s="190" t="n">
        <v>5.41841412811999</v>
      </c>
      <c r="CO56" s="190" t="n">
        <v>5.48814981613999</v>
      </c>
      <c r="CP56" s="190" t="n">
        <v>5.55788550415999</v>
      </c>
      <c r="CQ56" s="190" t="n">
        <v>5.62762119217999</v>
      </c>
      <c r="CR56" s="190" t="n">
        <v>5.69735688019999</v>
      </c>
      <c r="CS56" s="190" t="n">
        <v>5.76709256821999</v>
      </c>
      <c r="CT56" s="190" t="n">
        <v>5.83682825623999</v>
      </c>
      <c r="CU56" s="190" t="n">
        <v>5.90656394425999</v>
      </c>
      <c r="CV56" s="190" t="n">
        <v>5.97629963227999</v>
      </c>
      <c r="CW56" s="190" t="n">
        <v>6.04603532029999</v>
      </c>
      <c r="CX56" s="190" t="n">
        <v>6.11577100831999</v>
      </c>
      <c r="CY56" s="190" t="n">
        <v>6.18550669633999</v>
      </c>
      <c r="CZ56" s="190" t="n">
        <v>6.25524238435999</v>
      </c>
      <c r="DA56" s="190" t="n">
        <v>6.32497807237999</v>
      </c>
      <c r="DB56" s="190" t="n">
        <v>6.39471376039999</v>
      </c>
      <c r="DC56" s="190" t="n">
        <v>6.46444944841999</v>
      </c>
      <c r="DD56" s="190" t="n">
        <v>6.53418513643999</v>
      </c>
      <c r="DE56" s="190" t="n">
        <v>6.60392082445999</v>
      </c>
      <c r="DF56" s="190" t="n">
        <v>6.67365651247999</v>
      </c>
      <c r="DG56" s="190" t="n">
        <v>6.74339220049999</v>
      </c>
      <c r="DH56" s="190" t="n">
        <v>6.81312788851999</v>
      </c>
      <c r="DI56" s="190" t="n">
        <v>6.88286357653999</v>
      </c>
      <c r="DJ56" s="190" t="n">
        <v>6.95259926455999</v>
      </c>
      <c r="DK56" s="190" t="n">
        <v>7.02233495257999</v>
      </c>
      <c r="DL56" s="190" t="n">
        <v>7.09207064059999</v>
      </c>
      <c r="DM56" s="190" t="n">
        <v>7.16180632861999</v>
      </c>
      <c r="DN56" s="190" t="n">
        <v>7.23154201663999</v>
      </c>
      <c r="DO56" s="190" t="n">
        <v>7.30127770465999</v>
      </c>
      <c r="DP56" s="190" t="n">
        <v>7.37101339267999</v>
      </c>
      <c r="DQ56" s="190" t="n">
        <v>7.44074908069999</v>
      </c>
      <c r="DR56" s="190" t="n">
        <v>7.51048476871999</v>
      </c>
      <c r="DS56" s="190" t="n">
        <v>7.58022045673999</v>
      </c>
      <c r="DT56" s="190" t="n">
        <v>7.64995614475999</v>
      </c>
      <c r="DU56" s="190" t="n">
        <v>7.71969183277999</v>
      </c>
      <c r="DV56" s="190" t="n">
        <v>7.78942752079998</v>
      </c>
      <c r="DW56" s="190" t="n">
        <v>7.85916320881998</v>
      </c>
      <c r="DX56" s="190" t="n">
        <v>7.92889889683998</v>
      </c>
      <c r="DY56" s="190" t="n">
        <v>7.99863458485998</v>
      </c>
      <c r="DZ56" s="190" t="n">
        <v>8.06837027287998</v>
      </c>
      <c r="EA56" s="190" t="n">
        <v>8.13810596089998</v>
      </c>
      <c r="EB56" s="190" t="n">
        <v>8.20784164891998</v>
      </c>
      <c r="EC56" s="190" t="n">
        <v>8.27757733693998</v>
      </c>
      <c r="ED56" s="190" t="n">
        <v>8.34731302495998</v>
      </c>
      <c r="EE56" s="190" t="n">
        <v>8.41704871297998</v>
      </c>
      <c r="EF56" s="190" t="n">
        <v>8.48678440099998</v>
      </c>
      <c r="EG56" s="190" t="n">
        <v>8.55652008901998</v>
      </c>
      <c r="EH56" s="190" t="n">
        <v>8.62625577703998</v>
      </c>
      <c r="EI56" s="190" t="n">
        <v>8.69599146505998</v>
      </c>
      <c r="EJ56" s="190" t="n">
        <v>8.76572715307998</v>
      </c>
      <c r="EK56" s="190" t="n">
        <v>8.83546284109998</v>
      </c>
      <c r="EL56" s="180" t="n">
        <v>8.90519852911998</v>
      </c>
      <c r="EM56" s="180" t="n">
        <v>8.97493421713998</v>
      </c>
      <c r="EN56" s="180" t="n">
        <v>9.04466990515998</v>
      </c>
      <c r="EO56" s="180" t="n">
        <v>9.11440559317998</v>
      </c>
      <c r="EP56" s="180" t="n">
        <v>9.18414128119998</v>
      </c>
      <c r="EQ56" s="180" t="n">
        <v>9.25387696921998</v>
      </c>
      <c r="ER56" s="180" t="n">
        <v>9.32361265723998</v>
      </c>
      <c r="ES56" s="180" t="n">
        <v>9.39334834525998</v>
      </c>
      <c r="ET56" s="180" t="n">
        <v>9.46308403327998</v>
      </c>
      <c r="EU56" s="180" t="n">
        <v>9.53281972129998</v>
      </c>
      <c r="EV56" s="180" t="n">
        <v>9.60255540931998</v>
      </c>
      <c r="EW56" s="180" t="n">
        <v>9.67229109733998</v>
      </c>
      <c r="EX56" s="180" t="n">
        <v>9.74202678535998</v>
      </c>
      <c r="EY56" s="180" t="n">
        <v>9.81176247337998</v>
      </c>
      <c r="EZ56" s="180" t="n">
        <v>9.88149816139998</v>
      </c>
      <c r="FA56" s="180" t="n">
        <v>9.95123384941998</v>
      </c>
      <c r="FB56" s="180" t="n">
        <v>10.02096953744</v>
      </c>
      <c r="FC56" s="180" t="n">
        <v>10.09070522546</v>
      </c>
      <c r="FD56" s="180" t="n">
        <v>10.16044091348</v>
      </c>
      <c r="FE56" s="180" t="n">
        <v>10.2301766015</v>
      </c>
      <c r="FF56" s="180" t="n">
        <v>10.29991228952</v>
      </c>
      <c r="FG56" s="180" t="n">
        <v>10.36964797754</v>
      </c>
      <c r="FH56" s="180" t="n">
        <v>10.43938366556</v>
      </c>
      <c r="FI56" s="180" t="n">
        <v>10.50911935358</v>
      </c>
      <c r="FJ56" s="180" t="n">
        <v>10.5788550416</v>
      </c>
      <c r="FK56" s="180" t="n">
        <v>10.64859072962</v>
      </c>
      <c r="FL56" s="180" t="n">
        <v>10.71832641764</v>
      </c>
      <c r="FM56" s="180" t="n">
        <v>10.78806210566</v>
      </c>
      <c r="FN56" s="180" t="n">
        <v>10.85779779368</v>
      </c>
      <c r="FO56" s="180" t="n">
        <v>10.9275334817</v>
      </c>
      <c r="FP56" s="180" t="n">
        <v>10.99726916972</v>
      </c>
      <c r="FQ56" s="180" t="n">
        <v>11.06700485774</v>
      </c>
      <c r="FR56" s="180" t="n">
        <v>11.13674054576</v>
      </c>
      <c r="FS56" s="180" t="n">
        <v>11.20647623378</v>
      </c>
      <c r="FT56" s="180" t="n">
        <v>11.2762119218</v>
      </c>
      <c r="FU56" s="180" t="n">
        <v>11.34594760982</v>
      </c>
      <c r="FV56" s="180" t="n">
        <v>11.41568329784</v>
      </c>
      <c r="FW56" s="180" t="n">
        <v>11.48541898586</v>
      </c>
      <c r="FX56" s="180" t="n">
        <v>11.55515467388</v>
      </c>
      <c r="FY56" s="180" t="n">
        <v>11.6248903619</v>
      </c>
      <c r="FZ56" s="180" t="n">
        <v>11.69462604992</v>
      </c>
      <c r="GA56" s="180" t="n">
        <v>11.76436173794</v>
      </c>
      <c r="GB56" s="180" t="n">
        <v>11.83409742596</v>
      </c>
      <c r="GC56" s="180" t="n">
        <v>11.90383311398</v>
      </c>
      <c r="GD56" s="180" t="n">
        <v>11.973568802</v>
      </c>
      <c r="GE56" s="180" t="n">
        <v>12.04330449002</v>
      </c>
      <c r="GF56" s="180" t="n">
        <v>12.11304017804</v>
      </c>
      <c r="GG56" s="180" t="n">
        <v>12.18277586606</v>
      </c>
      <c r="GH56" s="180" t="n">
        <v>12.25251155408</v>
      </c>
      <c r="GI56" s="180" t="n">
        <v>12.3222472421</v>
      </c>
      <c r="GJ56" s="180" t="n">
        <v>12.39198293012</v>
      </c>
      <c r="GK56" s="180" t="n">
        <v>12.46171861814</v>
      </c>
      <c r="GL56" s="180" t="n">
        <v>12.53145430616</v>
      </c>
      <c r="GM56" s="180" t="n">
        <v>12.60118999418</v>
      </c>
      <c r="GN56" s="180" t="n">
        <v>12.6709256822</v>
      </c>
      <c r="GO56" s="180" t="n">
        <v>12.74066137022</v>
      </c>
      <c r="GP56" s="180" t="n">
        <v>12.81039705824</v>
      </c>
      <c r="GQ56" s="180" t="n">
        <v>12.88013274626</v>
      </c>
      <c r="GR56" s="180" t="n">
        <v>12.94986843428</v>
      </c>
      <c r="GS56" s="180" t="n">
        <v>13.0196041223</v>
      </c>
      <c r="GT56" s="180" t="n">
        <v>13.08933981032</v>
      </c>
      <c r="GU56" s="180" t="n">
        <v>13.15907549834</v>
      </c>
      <c r="GV56" s="180" t="n">
        <v>13.22881118636</v>
      </c>
      <c r="GW56" s="180" t="n">
        <v>13.29854687438</v>
      </c>
      <c r="GX56" s="180" t="n">
        <v>13.3682825624</v>
      </c>
      <c r="GY56" s="180" t="n">
        <v>13.43801825042</v>
      </c>
      <c r="GZ56" s="180" t="n">
        <v>13.50775393844</v>
      </c>
      <c r="HA56" s="180" t="n">
        <v>13.57748962646</v>
      </c>
      <c r="HB56" s="180" t="n">
        <v>13.64722531448</v>
      </c>
      <c r="HC56" s="180" t="n">
        <v>13.7169610025</v>
      </c>
      <c r="HD56" s="180" t="n">
        <v>13.78669669052</v>
      </c>
      <c r="HE56" s="180" t="n">
        <v>13.85643237854</v>
      </c>
      <c r="HF56" s="180" t="n">
        <v>13.92616806656</v>
      </c>
      <c r="HG56" s="180" t="n">
        <v>13.99590375458</v>
      </c>
      <c r="HH56" s="180" t="n">
        <v>14.0656394426</v>
      </c>
      <c r="HI56" s="180" t="n">
        <v>14.13537513062</v>
      </c>
      <c r="HJ56" s="180" t="n">
        <v>14.20511081864</v>
      </c>
      <c r="HK56" s="180" t="n">
        <v>14.27484650666</v>
      </c>
      <c r="HL56" s="180" t="n">
        <v>14.34458219468</v>
      </c>
      <c r="HM56" s="180" t="n">
        <v>14.4143178827</v>
      </c>
      <c r="HN56" s="180" t="n">
        <v>14.48405357072</v>
      </c>
      <c r="HO56" s="180" t="n">
        <v>14.55378925874</v>
      </c>
      <c r="HP56" s="180" t="n">
        <v>14.62352494676</v>
      </c>
      <c r="HQ56" s="180" t="n">
        <v>14.69326063478</v>
      </c>
      <c r="HR56" s="180" t="n">
        <v>14.7629963228</v>
      </c>
      <c r="HS56" s="180" t="n">
        <v>14.83273201082</v>
      </c>
      <c r="HT56" s="180" t="n">
        <v>14.90246769884</v>
      </c>
      <c r="HU56" s="180" t="n">
        <v>14.97220338686</v>
      </c>
      <c r="HV56" s="180" t="n">
        <v>15.04193907488</v>
      </c>
      <c r="HW56" s="180" t="n">
        <v>15.1116747629</v>
      </c>
      <c r="HX56" s="180" t="n">
        <v>15.18141045092</v>
      </c>
      <c r="HY56" s="180" t="n">
        <v>15.25114613894</v>
      </c>
      <c r="HZ56" s="180" t="n">
        <v>15.32088182696</v>
      </c>
      <c r="IA56" s="180" t="n">
        <v>15.39061751498</v>
      </c>
      <c r="IB56" s="180" t="n">
        <v>15.460353203</v>
      </c>
      <c r="IC56" s="180" t="n">
        <v>15.53008889102</v>
      </c>
      <c r="ID56" s="180" t="n">
        <v>15.59982457904</v>
      </c>
      <c r="IE56" s="180" t="n">
        <v>15.66956026706</v>
      </c>
      <c r="IF56" s="180" t="n">
        <v>15.73929595508</v>
      </c>
      <c r="IG56" s="180" t="n">
        <v>15.8090316431</v>
      </c>
      <c r="IH56" s="180" t="n">
        <v>15.87876733112</v>
      </c>
      <c r="II56" s="180" t="n">
        <v>15.94850301914</v>
      </c>
      <c r="IJ56" s="180" t="n">
        <v>16.01823870716</v>
      </c>
      <c r="IK56" s="180" t="n">
        <v>16.08797439518</v>
      </c>
      <c r="IL56" s="180" t="n">
        <v>16.1577100832</v>
      </c>
      <c r="IM56" s="180" t="n">
        <v>16.22744577122</v>
      </c>
      <c r="IN56" s="180" t="n">
        <v>16.29718145924</v>
      </c>
      <c r="IO56" s="180" t="n">
        <v>16.36691714726</v>
      </c>
      <c r="IP56" s="180" t="n">
        <v>16.43665283528</v>
      </c>
      <c r="IQ56" s="180" t="n">
        <v>16.5063885233</v>
      </c>
      <c r="IR56" s="180" t="n">
        <v>16.57612421132</v>
      </c>
      <c r="IS56" s="180" t="n">
        <v>16.64585989934</v>
      </c>
      <c r="IT56" s="180" t="n">
        <v>16.71559558736</v>
      </c>
      <c r="IU56" s="180" t="n">
        <v>16.78533127538</v>
      </c>
      <c r="IV56" s="180" t="n">
        <v>16.8550669634</v>
      </c>
    </row>
    <row r="57" customFormat="false" ht="12.75" hidden="false" customHeight="false" outlineLevel="0" collapsed="false">
      <c r="A57" s="189" t="n">
        <v>38412</v>
      </c>
      <c r="B57" s="185" t="n">
        <v>-2.021005929375</v>
      </c>
      <c r="C57" s="185" t="n">
        <v>-1.9907047400625</v>
      </c>
      <c r="D57" s="185" t="n">
        <v>-1.96040355075</v>
      </c>
      <c r="E57" s="185" t="n">
        <v>-1.9301023614375</v>
      </c>
      <c r="F57" s="185" t="n">
        <v>-1.899801172125</v>
      </c>
      <c r="G57" s="185" t="n">
        <v>-1.8694999828125</v>
      </c>
      <c r="H57" s="185" t="n">
        <v>-1.8391987935</v>
      </c>
      <c r="I57" s="185" t="n">
        <v>-1.8088976041875</v>
      </c>
      <c r="J57" s="185" t="n">
        <v>-1.778596414875</v>
      </c>
      <c r="K57" s="185" t="n">
        <v>-1.7482952255625</v>
      </c>
      <c r="L57" s="185" t="n">
        <v>-1.71799403625</v>
      </c>
      <c r="M57" s="185" t="n">
        <v>-1.6876928469375</v>
      </c>
      <c r="N57" s="185" t="n">
        <v>-1.657391657625</v>
      </c>
      <c r="O57" s="185" t="n">
        <v>-1.6270904683125</v>
      </c>
      <c r="P57" s="185" t="n">
        <v>-1.596789279</v>
      </c>
      <c r="Q57" s="185" t="n">
        <v>-1.5664880896875</v>
      </c>
      <c r="R57" s="185" t="n">
        <v>-1.536186900375</v>
      </c>
      <c r="S57" s="185" t="n">
        <v>-1.5058857110625</v>
      </c>
      <c r="T57" s="185" t="n">
        <v>-1.47558452175</v>
      </c>
      <c r="U57" s="185" t="n">
        <v>-1.4452833324375</v>
      </c>
      <c r="V57" s="186" t="n">
        <v>-1.414982143125</v>
      </c>
      <c r="W57" s="185" t="n">
        <v>-1.3846809538125</v>
      </c>
      <c r="X57" s="186" t="n">
        <v>-1.3543797645</v>
      </c>
      <c r="Y57" s="185" t="n">
        <v>-1.3240785751875</v>
      </c>
      <c r="Z57" s="186" t="n">
        <v>-1.293777385875</v>
      </c>
      <c r="AA57" s="185" t="n">
        <v>-1.2634761965625</v>
      </c>
      <c r="AB57" s="187" t="n">
        <v>-1.23317500725</v>
      </c>
      <c r="AC57" s="185" t="n">
        <v>-1.2028738179375</v>
      </c>
      <c r="AD57" s="187" t="n">
        <v>-1.172572628625</v>
      </c>
      <c r="AE57" s="185" t="n">
        <v>-1.1422714393125</v>
      </c>
      <c r="AF57" s="185" t="n">
        <v>-1.11197025</v>
      </c>
      <c r="AG57" s="190" t="n">
        <v>-1.083235125</v>
      </c>
      <c r="AH57" s="190" t="n">
        <v>-1.0545</v>
      </c>
      <c r="AI57" s="190" t="n">
        <v>-1.02725</v>
      </c>
      <c r="AJ57" s="190" t="n">
        <v>-1</v>
      </c>
      <c r="AK57" s="190" t="n">
        <v>-0.8</v>
      </c>
      <c r="AL57" s="190" t="n">
        <v>-0.6</v>
      </c>
      <c r="AM57" s="190" t="n">
        <v>-0.4</v>
      </c>
      <c r="AN57" s="190" t="n">
        <v>-0.2</v>
      </c>
      <c r="AO57" s="190" t="n">
        <v>0</v>
      </c>
      <c r="AP57" s="190" t="n">
        <v>0.2</v>
      </c>
      <c r="AQ57" s="190" t="n">
        <v>0.4</v>
      </c>
      <c r="AR57" s="190" t="n">
        <v>0.6</v>
      </c>
      <c r="AS57" s="190" t="n">
        <v>0.8</v>
      </c>
      <c r="AT57" s="190" t="n">
        <v>1</v>
      </c>
      <c r="AU57" s="190" t="n">
        <v>1.2</v>
      </c>
      <c r="AV57" s="190" t="n">
        <v>1.4</v>
      </c>
      <c r="AW57" s="190" t="n">
        <v>1.58</v>
      </c>
      <c r="AX57" s="190" t="n">
        <v>1.76</v>
      </c>
      <c r="AY57" s="190" t="n">
        <v>1.922</v>
      </c>
      <c r="AZ57" s="190" t="n">
        <v>2.084</v>
      </c>
      <c r="BA57" s="190" t="n">
        <v>2.2298</v>
      </c>
      <c r="BB57" s="190" t="n">
        <v>2.3756</v>
      </c>
      <c r="BC57" s="190" t="n">
        <v>2.50682</v>
      </c>
      <c r="BD57" s="190" t="n">
        <v>2.63804</v>
      </c>
      <c r="BE57" s="190" t="n">
        <v>2.756138</v>
      </c>
      <c r="BF57" s="190" t="n">
        <v>2.874236</v>
      </c>
      <c r="BG57" s="190" t="n">
        <v>2.9805242</v>
      </c>
      <c r="BH57" s="190" t="n">
        <v>3.0868124</v>
      </c>
      <c r="BI57" s="190" t="n">
        <v>3.18247178</v>
      </c>
      <c r="BJ57" s="190" t="n">
        <v>3.27813116</v>
      </c>
      <c r="BK57" s="190" t="n">
        <v>3.364224602</v>
      </c>
      <c r="BL57" s="190" t="n">
        <v>3.450318044</v>
      </c>
      <c r="BM57" s="190" t="n">
        <v>3.5278021418</v>
      </c>
      <c r="BN57" s="190" t="n">
        <v>3.6052862396</v>
      </c>
      <c r="BO57" s="190" t="n">
        <v>3.67502192762</v>
      </c>
      <c r="BP57" s="190" t="n">
        <v>3.74475761564</v>
      </c>
      <c r="BQ57" s="190" t="n">
        <v>3.81449330366</v>
      </c>
      <c r="BR57" s="190" t="n">
        <v>3.88422899168</v>
      </c>
      <c r="BS57" s="190" t="n">
        <v>3.9539646797</v>
      </c>
      <c r="BT57" s="190" t="n">
        <v>4.02370036772</v>
      </c>
      <c r="BU57" s="190" t="n">
        <v>4.09343605574</v>
      </c>
      <c r="BV57" s="190" t="n">
        <v>4.16317174376</v>
      </c>
      <c r="BW57" s="190" t="n">
        <v>4.23290743178</v>
      </c>
      <c r="BX57" s="190" t="n">
        <v>4.3026431198</v>
      </c>
      <c r="BY57" s="190" t="n">
        <v>4.37237880782</v>
      </c>
      <c r="BZ57" s="190" t="n">
        <v>4.44211449584</v>
      </c>
      <c r="CA57" s="190" t="n">
        <v>4.51185018386</v>
      </c>
      <c r="CB57" s="190" t="n">
        <v>4.58158587188</v>
      </c>
      <c r="CC57" s="190" t="n">
        <v>4.6513215599</v>
      </c>
      <c r="CD57" s="190" t="n">
        <v>4.72105724792</v>
      </c>
      <c r="CE57" s="190" t="n">
        <v>4.79079293594</v>
      </c>
      <c r="CF57" s="190" t="n">
        <v>4.86052862396</v>
      </c>
      <c r="CG57" s="190" t="n">
        <v>4.93026431198</v>
      </c>
      <c r="CH57" s="190" t="n">
        <v>5</v>
      </c>
      <c r="CI57" s="190" t="n">
        <v>5.06973568801999</v>
      </c>
      <c r="CJ57" s="190" t="n">
        <v>5.13947137603999</v>
      </c>
      <c r="CK57" s="190" t="n">
        <v>5.20920706405999</v>
      </c>
      <c r="CL57" s="190" t="n">
        <v>5.27894275207999</v>
      </c>
      <c r="CM57" s="190" t="n">
        <v>5.34867844009999</v>
      </c>
      <c r="CN57" s="190" t="n">
        <v>5.41841412811999</v>
      </c>
      <c r="CO57" s="190" t="n">
        <v>5.48814981613999</v>
      </c>
      <c r="CP57" s="190" t="n">
        <v>5.55788550415999</v>
      </c>
      <c r="CQ57" s="190" t="n">
        <v>5.62762119217999</v>
      </c>
      <c r="CR57" s="190" t="n">
        <v>5.69735688019999</v>
      </c>
      <c r="CS57" s="190" t="n">
        <v>5.76709256821999</v>
      </c>
      <c r="CT57" s="190" t="n">
        <v>5.83682825623999</v>
      </c>
      <c r="CU57" s="190" t="n">
        <v>5.90656394425999</v>
      </c>
      <c r="CV57" s="190" t="n">
        <v>5.97629963227999</v>
      </c>
      <c r="CW57" s="190" t="n">
        <v>6.04603532029999</v>
      </c>
      <c r="CX57" s="190" t="n">
        <v>6.11577100831999</v>
      </c>
      <c r="CY57" s="190" t="n">
        <v>6.18550669633999</v>
      </c>
      <c r="CZ57" s="190" t="n">
        <v>6.25524238435999</v>
      </c>
      <c r="DA57" s="190" t="n">
        <v>6.32497807237999</v>
      </c>
      <c r="DB57" s="190" t="n">
        <v>6.39471376039999</v>
      </c>
      <c r="DC57" s="190" t="n">
        <v>6.46444944841999</v>
      </c>
      <c r="DD57" s="190" t="n">
        <v>6.53418513643999</v>
      </c>
      <c r="DE57" s="190" t="n">
        <v>6.60392082445999</v>
      </c>
      <c r="DF57" s="190" t="n">
        <v>6.67365651247999</v>
      </c>
      <c r="DG57" s="190" t="n">
        <v>6.74339220049999</v>
      </c>
      <c r="DH57" s="190" t="n">
        <v>6.81312788851999</v>
      </c>
      <c r="DI57" s="190" t="n">
        <v>6.88286357653999</v>
      </c>
      <c r="DJ57" s="190" t="n">
        <v>6.95259926455999</v>
      </c>
      <c r="DK57" s="190" t="n">
        <v>7.02233495257999</v>
      </c>
      <c r="DL57" s="190" t="n">
        <v>7.09207064059999</v>
      </c>
      <c r="DM57" s="190" t="n">
        <v>7.16180632861999</v>
      </c>
      <c r="DN57" s="190" t="n">
        <v>7.23154201663999</v>
      </c>
      <c r="DO57" s="190" t="n">
        <v>7.30127770465999</v>
      </c>
      <c r="DP57" s="190" t="n">
        <v>7.37101339267999</v>
      </c>
      <c r="DQ57" s="190" t="n">
        <v>7.44074908069999</v>
      </c>
      <c r="DR57" s="190" t="n">
        <v>7.51048476871999</v>
      </c>
      <c r="DS57" s="190" t="n">
        <v>7.58022045673999</v>
      </c>
      <c r="DT57" s="190" t="n">
        <v>7.64995614475999</v>
      </c>
      <c r="DU57" s="190" t="n">
        <v>7.71969183277999</v>
      </c>
      <c r="DV57" s="190" t="n">
        <v>7.78942752079998</v>
      </c>
      <c r="DW57" s="190" t="n">
        <v>7.85916320881998</v>
      </c>
      <c r="DX57" s="190" t="n">
        <v>7.92889889683998</v>
      </c>
      <c r="DY57" s="190" t="n">
        <v>7.99863458485998</v>
      </c>
      <c r="DZ57" s="190" t="n">
        <v>8.06837027287998</v>
      </c>
      <c r="EA57" s="190" t="n">
        <v>8.13810596089998</v>
      </c>
      <c r="EB57" s="190" t="n">
        <v>8.20784164891998</v>
      </c>
      <c r="EC57" s="190" t="n">
        <v>8.27757733693998</v>
      </c>
      <c r="ED57" s="190" t="n">
        <v>8.34731302495998</v>
      </c>
      <c r="EE57" s="190" t="n">
        <v>8.41704871297998</v>
      </c>
      <c r="EF57" s="190" t="n">
        <v>8.48678440099998</v>
      </c>
      <c r="EG57" s="190" t="n">
        <v>8.55652008901998</v>
      </c>
      <c r="EH57" s="190" t="n">
        <v>8.62625577703998</v>
      </c>
      <c r="EI57" s="190" t="n">
        <v>8.69599146505998</v>
      </c>
      <c r="EJ57" s="190" t="n">
        <v>8.76572715307998</v>
      </c>
      <c r="EK57" s="190" t="n">
        <v>8.83546284109998</v>
      </c>
      <c r="EL57" s="180" t="n">
        <v>8.90519852911998</v>
      </c>
      <c r="EM57" s="180" t="n">
        <v>8.97493421713998</v>
      </c>
      <c r="EN57" s="180" t="n">
        <v>9.04466990515998</v>
      </c>
      <c r="EO57" s="180" t="n">
        <v>9.11440559317998</v>
      </c>
      <c r="EP57" s="180" t="n">
        <v>9.18414128119998</v>
      </c>
      <c r="EQ57" s="180" t="n">
        <v>9.25387696921998</v>
      </c>
      <c r="ER57" s="180" t="n">
        <v>9.32361265723998</v>
      </c>
      <c r="ES57" s="180" t="n">
        <v>9.39334834525998</v>
      </c>
      <c r="ET57" s="180" t="n">
        <v>9.46308403327998</v>
      </c>
      <c r="EU57" s="180" t="n">
        <v>9.53281972129998</v>
      </c>
      <c r="EV57" s="180" t="n">
        <v>9.60255540931998</v>
      </c>
      <c r="EW57" s="180" t="n">
        <v>9.67229109733998</v>
      </c>
      <c r="EX57" s="180" t="n">
        <v>9.74202678535998</v>
      </c>
      <c r="EY57" s="180" t="n">
        <v>9.81176247337998</v>
      </c>
      <c r="EZ57" s="180" t="n">
        <v>9.88149816139998</v>
      </c>
      <c r="FA57" s="180" t="n">
        <v>9.95123384941998</v>
      </c>
      <c r="FB57" s="180" t="n">
        <v>10.02096953744</v>
      </c>
      <c r="FC57" s="180" t="n">
        <v>10.09070522546</v>
      </c>
      <c r="FD57" s="180" t="n">
        <v>10.16044091348</v>
      </c>
      <c r="FE57" s="180" t="n">
        <v>10.2301766015</v>
      </c>
      <c r="FF57" s="180" t="n">
        <v>10.29991228952</v>
      </c>
      <c r="FG57" s="180" t="n">
        <v>10.36964797754</v>
      </c>
      <c r="FH57" s="180" t="n">
        <v>10.43938366556</v>
      </c>
      <c r="FI57" s="180" t="n">
        <v>10.50911935358</v>
      </c>
      <c r="FJ57" s="180" t="n">
        <v>10.5788550416</v>
      </c>
      <c r="FK57" s="180" t="n">
        <v>10.64859072962</v>
      </c>
      <c r="FL57" s="180" t="n">
        <v>10.71832641764</v>
      </c>
      <c r="FM57" s="180" t="n">
        <v>10.78806210566</v>
      </c>
      <c r="FN57" s="180" t="n">
        <v>10.85779779368</v>
      </c>
      <c r="FO57" s="180" t="n">
        <v>10.9275334817</v>
      </c>
      <c r="FP57" s="180" t="n">
        <v>10.99726916972</v>
      </c>
      <c r="FQ57" s="180" t="n">
        <v>11.06700485774</v>
      </c>
      <c r="FR57" s="180" t="n">
        <v>11.13674054576</v>
      </c>
      <c r="FS57" s="180" t="n">
        <v>11.20647623378</v>
      </c>
      <c r="FT57" s="180" t="n">
        <v>11.2762119218</v>
      </c>
      <c r="FU57" s="180" t="n">
        <v>11.34594760982</v>
      </c>
      <c r="FV57" s="180" t="n">
        <v>11.41568329784</v>
      </c>
      <c r="FW57" s="180" t="n">
        <v>11.48541898586</v>
      </c>
      <c r="FX57" s="180" t="n">
        <v>11.55515467388</v>
      </c>
      <c r="FY57" s="180" t="n">
        <v>11.6248903619</v>
      </c>
      <c r="FZ57" s="180" t="n">
        <v>11.69462604992</v>
      </c>
      <c r="GA57" s="180" t="n">
        <v>11.76436173794</v>
      </c>
      <c r="GB57" s="180" t="n">
        <v>11.83409742596</v>
      </c>
      <c r="GC57" s="180" t="n">
        <v>11.90383311398</v>
      </c>
      <c r="GD57" s="180" t="n">
        <v>11.973568802</v>
      </c>
      <c r="GE57" s="180" t="n">
        <v>12.04330449002</v>
      </c>
      <c r="GF57" s="180" t="n">
        <v>12.11304017804</v>
      </c>
      <c r="GG57" s="180" t="n">
        <v>12.18277586606</v>
      </c>
      <c r="GH57" s="180" t="n">
        <v>12.25251155408</v>
      </c>
      <c r="GI57" s="180" t="n">
        <v>12.3222472421</v>
      </c>
      <c r="GJ57" s="180" t="n">
        <v>12.39198293012</v>
      </c>
      <c r="GK57" s="180" t="n">
        <v>12.46171861814</v>
      </c>
      <c r="GL57" s="180" t="n">
        <v>12.53145430616</v>
      </c>
      <c r="GM57" s="180" t="n">
        <v>12.60118999418</v>
      </c>
      <c r="GN57" s="180" t="n">
        <v>12.6709256822</v>
      </c>
      <c r="GO57" s="180" t="n">
        <v>12.74066137022</v>
      </c>
      <c r="GP57" s="180" t="n">
        <v>12.81039705824</v>
      </c>
      <c r="GQ57" s="180" t="n">
        <v>12.88013274626</v>
      </c>
      <c r="GR57" s="180" t="n">
        <v>12.94986843428</v>
      </c>
      <c r="GS57" s="180" t="n">
        <v>13.0196041223</v>
      </c>
      <c r="GT57" s="180" t="n">
        <v>13.08933981032</v>
      </c>
      <c r="GU57" s="180" t="n">
        <v>13.15907549834</v>
      </c>
      <c r="GV57" s="180" t="n">
        <v>13.22881118636</v>
      </c>
      <c r="GW57" s="180" t="n">
        <v>13.29854687438</v>
      </c>
      <c r="GX57" s="180" t="n">
        <v>13.3682825624</v>
      </c>
      <c r="GY57" s="180" t="n">
        <v>13.43801825042</v>
      </c>
      <c r="GZ57" s="180" t="n">
        <v>13.50775393844</v>
      </c>
      <c r="HA57" s="180" t="n">
        <v>13.57748962646</v>
      </c>
      <c r="HB57" s="180" t="n">
        <v>13.64722531448</v>
      </c>
      <c r="HC57" s="180" t="n">
        <v>13.7169610025</v>
      </c>
      <c r="HD57" s="180" t="n">
        <v>13.78669669052</v>
      </c>
      <c r="HE57" s="180" t="n">
        <v>13.85643237854</v>
      </c>
      <c r="HF57" s="180" t="n">
        <v>13.92616806656</v>
      </c>
      <c r="HG57" s="180" t="n">
        <v>13.99590375458</v>
      </c>
      <c r="HH57" s="180" t="n">
        <v>14.0656394426</v>
      </c>
      <c r="HI57" s="180" t="n">
        <v>14.13537513062</v>
      </c>
      <c r="HJ57" s="180" t="n">
        <v>14.20511081864</v>
      </c>
      <c r="HK57" s="180" t="n">
        <v>14.27484650666</v>
      </c>
      <c r="HL57" s="180" t="n">
        <v>14.34458219468</v>
      </c>
      <c r="HM57" s="180" t="n">
        <v>14.4143178827</v>
      </c>
      <c r="HN57" s="180" t="n">
        <v>14.48405357072</v>
      </c>
      <c r="HO57" s="180" t="n">
        <v>14.55378925874</v>
      </c>
      <c r="HP57" s="180" t="n">
        <v>14.62352494676</v>
      </c>
      <c r="HQ57" s="180" t="n">
        <v>14.69326063478</v>
      </c>
      <c r="HR57" s="180" t="n">
        <v>14.7629963228</v>
      </c>
      <c r="HS57" s="180" t="n">
        <v>14.83273201082</v>
      </c>
      <c r="HT57" s="180" t="n">
        <v>14.90246769884</v>
      </c>
      <c r="HU57" s="180" t="n">
        <v>14.97220338686</v>
      </c>
      <c r="HV57" s="180" t="n">
        <v>15.04193907488</v>
      </c>
      <c r="HW57" s="180" t="n">
        <v>15.1116747629</v>
      </c>
      <c r="HX57" s="180" t="n">
        <v>15.18141045092</v>
      </c>
      <c r="HY57" s="180" t="n">
        <v>15.25114613894</v>
      </c>
      <c r="HZ57" s="180" t="n">
        <v>15.32088182696</v>
      </c>
      <c r="IA57" s="180" t="n">
        <v>15.39061751498</v>
      </c>
      <c r="IB57" s="180" t="n">
        <v>15.460353203</v>
      </c>
      <c r="IC57" s="180" t="n">
        <v>15.53008889102</v>
      </c>
      <c r="ID57" s="180" t="n">
        <v>15.59982457904</v>
      </c>
      <c r="IE57" s="180" t="n">
        <v>15.66956026706</v>
      </c>
      <c r="IF57" s="180" t="n">
        <v>15.73929595508</v>
      </c>
      <c r="IG57" s="180" t="n">
        <v>15.8090316431</v>
      </c>
      <c r="IH57" s="180" t="n">
        <v>15.87876733112</v>
      </c>
      <c r="II57" s="180" t="n">
        <v>15.94850301914</v>
      </c>
      <c r="IJ57" s="180" t="n">
        <v>16.01823870716</v>
      </c>
      <c r="IK57" s="180" t="n">
        <v>16.08797439518</v>
      </c>
      <c r="IL57" s="180" t="n">
        <v>16.1577100832</v>
      </c>
      <c r="IM57" s="180" t="n">
        <v>16.22744577122</v>
      </c>
      <c r="IN57" s="180" t="n">
        <v>16.29718145924</v>
      </c>
      <c r="IO57" s="180" t="n">
        <v>16.36691714726</v>
      </c>
      <c r="IP57" s="180" t="n">
        <v>16.43665283528</v>
      </c>
      <c r="IQ57" s="180" t="n">
        <v>16.5063885233</v>
      </c>
      <c r="IR57" s="180" t="n">
        <v>16.57612421132</v>
      </c>
      <c r="IS57" s="180" t="n">
        <v>16.64585989934</v>
      </c>
      <c r="IT57" s="180" t="n">
        <v>16.71559558736</v>
      </c>
      <c r="IU57" s="180" t="n">
        <v>16.78533127538</v>
      </c>
      <c r="IV57" s="180" t="n">
        <v>16.8550669634</v>
      </c>
    </row>
    <row r="58" customFormat="false" ht="12.75" hidden="false" customHeight="false" outlineLevel="0" collapsed="false">
      <c r="A58" s="189" t="n">
        <v>38443</v>
      </c>
      <c r="B58" s="185" t="n">
        <v>-2.021005929375</v>
      </c>
      <c r="C58" s="185" t="n">
        <v>-1.9907047400625</v>
      </c>
      <c r="D58" s="185" t="n">
        <v>-1.96040355075</v>
      </c>
      <c r="E58" s="185" t="n">
        <v>-1.9301023614375</v>
      </c>
      <c r="F58" s="185" t="n">
        <v>-1.899801172125</v>
      </c>
      <c r="G58" s="185" t="n">
        <v>-1.8694999828125</v>
      </c>
      <c r="H58" s="185" t="n">
        <v>-1.8391987935</v>
      </c>
      <c r="I58" s="185" t="n">
        <v>-1.8088976041875</v>
      </c>
      <c r="J58" s="185" t="n">
        <v>-1.778596414875</v>
      </c>
      <c r="K58" s="185" t="n">
        <v>-1.7482952255625</v>
      </c>
      <c r="L58" s="185" t="n">
        <v>-1.71799403625</v>
      </c>
      <c r="M58" s="185" t="n">
        <v>-1.6876928469375</v>
      </c>
      <c r="N58" s="185" t="n">
        <v>-1.657391657625</v>
      </c>
      <c r="O58" s="185" t="n">
        <v>-1.6270904683125</v>
      </c>
      <c r="P58" s="185" t="n">
        <v>-1.596789279</v>
      </c>
      <c r="Q58" s="185" t="n">
        <v>-1.5664880896875</v>
      </c>
      <c r="R58" s="185" t="n">
        <v>-1.536186900375</v>
      </c>
      <c r="S58" s="185" t="n">
        <v>-1.5058857110625</v>
      </c>
      <c r="T58" s="185" t="n">
        <v>-1.47558452175</v>
      </c>
      <c r="U58" s="185" t="n">
        <v>-1.4452833324375</v>
      </c>
      <c r="V58" s="186" t="n">
        <v>-1.414982143125</v>
      </c>
      <c r="W58" s="185" t="n">
        <v>-1.3846809538125</v>
      </c>
      <c r="X58" s="186" t="n">
        <v>-1.3543797645</v>
      </c>
      <c r="Y58" s="185" t="n">
        <v>-1.3240785751875</v>
      </c>
      <c r="Z58" s="186" t="n">
        <v>-1.293777385875</v>
      </c>
      <c r="AA58" s="185" t="n">
        <v>-1.2634761965625</v>
      </c>
      <c r="AB58" s="187" t="n">
        <v>-1.23317500725</v>
      </c>
      <c r="AC58" s="185" t="n">
        <v>-1.2028738179375</v>
      </c>
      <c r="AD58" s="187" t="n">
        <v>-1.172572628625</v>
      </c>
      <c r="AE58" s="185" t="n">
        <v>-1.1422714393125</v>
      </c>
      <c r="AF58" s="185" t="n">
        <v>-1.11197025</v>
      </c>
      <c r="AG58" s="190" t="n">
        <v>-1.083235125</v>
      </c>
      <c r="AH58" s="190" t="n">
        <v>-1.0545</v>
      </c>
      <c r="AI58" s="190" t="n">
        <v>-1.02725</v>
      </c>
      <c r="AJ58" s="190" t="n">
        <v>-1</v>
      </c>
      <c r="AK58" s="190" t="n">
        <v>-0.8</v>
      </c>
      <c r="AL58" s="190" t="n">
        <v>-0.6</v>
      </c>
      <c r="AM58" s="190" t="n">
        <v>-0.4</v>
      </c>
      <c r="AN58" s="190" t="n">
        <v>-0.2</v>
      </c>
      <c r="AO58" s="190" t="n">
        <v>0</v>
      </c>
      <c r="AP58" s="190" t="n">
        <v>0.2</v>
      </c>
      <c r="AQ58" s="190" t="n">
        <v>0.4</v>
      </c>
      <c r="AR58" s="190" t="n">
        <v>0.6</v>
      </c>
      <c r="AS58" s="190" t="n">
        <v>0.8</v>
      </c>
      <c r="AT58" s="190" t="n">
        <v>1</v>
      </c>
      <c r="AU58" s="190" t="n">
        <v>1.2</v>
      </c>
      <c r="AV58" s="190" t="n">
        <v>1.4</v>
      </c>
      <c r="AW58" s="190" t="n">
        <v>1.58</v>
      </c>
      <c r="AX58" s="190" t="n">
        <v>1.76</v>
      </c>
      <c r="AY58" s="190" t="n">
        <v>1.922</v>
      </c>
      <c r="AZ58" s="190" t="n">
        <v>2.084</v>
      </c>
      <c r="BA58" s="190" t="n">
        <v>2.2298</v>
      </c>
      <c r="BB58" s="190" t="n">
        <v>2.3756</v>
      </c>
      <c r="BC58" s="190" t="n">
        <v>2.50682</v>
      </c>
      <c r="BD58" s="190" t="n">
        <v>2.63804</v>
      </c>
      <c r="BE58" s="190" t="n">
        <v>2.756138</v>
      </c>
      <c r="BF58" s="190" t="n">
        <v>2.874236</v>
      </c>
      <c r="BG58" s="190" t="n">
        <v>2.9805242</v>
      </c>
      <c r="BH58" s="190" t="n">
        <v>3.0868124</v>
      </c>
      <c r="BI58" s="190" t="n">
        <v>3.18247178</v>
      </c>
      <c r="BJ58" s="190" t="n">
        <v>3.27813116</v>
      </c>
      <c r="BK58" s="190" t="n">
        <v>3.364224602</v>
      </c>
      <c r="BL58" s="190" t="n">
        <v>3.450318044</v>
      </c>
      <c r="BM58" s="190" t="n">
        <v>3.5278021418</v>
      </c>
      <c r="BN58" s="190" t="n">
        <v>3.6052862396</v>
      </c>
      <c r="BO58" s="190" t="n">
        <v>3.67502192762</v>
      </c>
      <c r="BP58" s="190" t="n">
        <v>3.74475761564</v>
      </c>
      <c r="BQ58" s="190" t="n">
        <v>3.81449330366</v>
      </c>
      <c r="BR58" s="190" t="n">
        <v>3.88422899168</v>
      </c>
      <c r="BS58" s="190" t="n">
        <v>3.9539646797</v>
      </c>
      <c r="BT58" s="190" t="n">
        <v>4.02370036772</v>
      </c>
      <c r="BU58" s="190" t="n">
        <v>4.09343605574</v>
      </c>
      <c r="BV58" s="190" t="n">
        <v>4.16317174376</v>
      </c>
      <c r="BW58" s="190" t="n">
        <v>4.23290743178</v>
      </c>
      <c r="BX58" s="190" t="n">
        <v>4.3026431198</v>
      </c>
      <c r="BY58" s="190" t="n">
        <v>4.37237880782</v>
      </c>
      <c r="BZ58" s="190" t="n">
        <v>4.44211449584</v>
      </c>
      <c r="CA58" s="190" t="n">
        <v>4.51185018386</v>
      </c>
      <c r="CB58" s="190" t="n">
        <v>4.58158587188</v>
      </c>
      <c r="CC58" s="190" t="n">
        <v>4.6513215599</v>
      </c>
      <c r="CD58" s="190" t="n">
        <v>4.72105724792</v>
      </c>
      <c r="CE58" s="190" t="n">
        <v>4.79079293594</v>
      </c>
      <c r="CF58" s="190" t="n">
        <v>4.86052862396</v>
      </c>
      <c r="CG58" s="190" t="n">
        <v>4.93026431198</v>
      </c>
      <c r="CH58" s="190" t="n">
        <v>5</v>
      </c>
      <c r="CI58" s="190" t="n">
        <v>5.06973568801999</v>
      </c>
      <c r="CJ58" s="190" t="n">
        <v>5.13947137603999</v>
      </c>
      <c r="CK58" s="190" t="n">
        <v>5.20920706405999</v>
      </c>
      <c r="CL58" s="190" t="n">
        <v>5.27894275207999</v>
      </c>
      <c r="CM58" s="190" t="n">
        <v>5.34867844009999</v>
      </c>
      <c r="CN58" s="190" t="n">
        <v>5.41841412811999</v>
      </c>
      <c r="CO58" s="190" t="n">
        <v>5.48814981613999</v>
      </c>
      <c r="CP58" s="190" t="n">
        <v>5.55788550415999</v>
      </c>
      <c r="CQ58" s="190" t="n">
        <v>5.62762119217999</v>
      </c>
      <c r="CR58" s="190" t="n">
        <v>5.69735688019999</v>
      </c>
      <c r="CS58" s="190" t="n">
        <v>5.76709256821999</v>
      </c>
      <c r="CT58" s="190" t="n">
        <v>5.83682825623999</v>
      </c>
      <c r="CU58" s="190" t="n">
        <v>5.90656394425999</v>
      </c>
      <c r="CV58" s="190" t="n">
        <v>5.97629963227999</v>
      </c>
      <c r="CW58" s="190" t="n">
        <v>6.04603532029999</v>
      </c>
      <c r="CX58" s="190" t="n">
        <v>6.11577100831999</v>
      </c>
      <c r="CY58" s="190" t="n">
        <v>6.18550669633999</v>
      </c>
      <c r="CZ58" s="190" t="n">
        <v>6.25524238435999</v>
      </c>
      <c r="DA58" s="190" t="n">
        <v>6.32497807237999</v>
      </c>
      <c r="DB58" s="190" t="n">
        <v>6.39471376039999</v>
      </c>
      <c r="DC58" s="190" t="n">
        <v>6.46444944841999</v>
      </c>
      <c r="DD58" s="190" t="n">
        <v>6.53418513643999</v>
      </c>
      <c r="DE58" s="190" t="n">
        <v>6.60392082445999</v>
      </c>
      <c r="DF58" s="190" t="n">
        <v>6.67365651247999</v>
      </c>
      <c r="DG58" s="190" t="n">
        <v>6.74339220049999</v>
      </c>
      <c r="DH58" s="190" t="n">
        <v>6.81312788851999</v>
      </c>
      <c r="DI58" s="190" t="n">
        <v>6.88286357653999</v>
      </c>
      <c r="DJ58" s="190" t="n">
        <v>6.95259926455999</v>
      </c>
      <c r="DK58" s="190" t="n">
        <v>7.02233495257999</v>
      </c>
      <c r="DL58" s="190" t="n">
        <v>7.09207064059999</v>
      </c>
      <c r="DM58" s="190" t="n">
        <v>7.16180632861999</v>
      </c>
      <c r="DN58" s="190" t="n">
        <v>7.23154201663999</v>
      </c>
      <c r="DO58" s="190" t="n">
        <v>7.30127770465999</v>
      </c>
      <c r="DP58" s="190" t="n">
        <v>7.37101339267999</v>
      </c>
      <c r="DQ58" s="190" t="n">
        <v>7.44074908069999</v>
      </c>
      <c r="DR58" s="190" t="n">
        <v>7.51048476871999</v>
      </c>
      <c r="DS58" s="190" t="n">
        <v>7.58022045673999</v>
      </c>
      <c r="DT58" s="190" t="n">
        <v>7.64995614475999</v>
      </c>
      <c r="DU58" s="190" t="n">
        <v>7.71969183277999</v>
      </c>
      <c r="DV58" s="190" t="n">
        <v>7.78942752079998</v>
      </c>
      <c r="DW58" s="190" t="n">
        <v>7.85916320881998</v>
      </c>
      <c r="DX58" s="190" t="n">
        <v>7.92889889683998</v>
      </c>
      <c r="DY58" s="190" t="n">
        <v>7.99863458485998</v>
      </c>
      <c r="DZ58" s="190" t="n">
        <v>8.06837027287998</v>
      </c>
      <c r="EA58" s="190" t="n">
        <v>8.13810596089998</v>
      </c>
      <c r="EB58" s="190" t="n">
        <v>8.20784164891998</v>
      </c>
      <c r="EC58" s="190" t="n">
        <v>8.27757733693998</v>
      </c>
      <c r="ED58" s="190" t="n">
        <v>8.34731302495998</v>
      </c>
      <c r="EE58" s="190" t="n">
        <v>8.41704871297998</v>
      </c>
      <c r="EF58" s="190" t="n">
        <v>8.48678440099998</v>
      </c>
      <c r="EG58" s="190" t="n">
        <v>8.55652008901998</v>
      </c>
      <c r="EH58" s="190" t="n">
        <v>8.62625577703998</v>
      </c>
      <c r="EI58" s="190" t="n">
        <v>8.69599146505998</v>
      </c>
      <c r="EJ58" s="190" t="n">
        <v>8.76572715307998</v>
      </c>
      <c r="EK58" s="190" t="n">
        <v>8.83546284109998</v>
      </c>
      <c r="EL58" s="180" t="n">
        <v>8.90519852911998</v>
      </c>
      <c r="EM58" s="180" t="n">
        <v>8.97493421713998</v>
      </c>
      <c r="EN58" s="180" t="n">
        <v>9.04466990515998</v>
      </c>
      <c r="EO58" s="180" t="n">
        <v>9.11440559317998</v>
      </c>
      <c r="EP58" s="180" t="n">
        <v>9.18414128119998</v>
      </c>
      <c r="EQ58" s="180" t="n">
        <v>9.25387696921998</v>
      </c>
      <c r="ER58" s="180" t="n">
        <v>9.32361265723998</v>
      </c>
      <c r="ES58" s="180" t="n">
        <v>9.39334834525998</v>
      </c>
      <c r="ET58" s="180" t="n">
        <v>9.46308403327998</v>
      </c>
      <c r="EU58" s="180" t="n">
        <v>9.53281972129998</v>
      </c>
      <c r="EV58" s="180" t="n">
        <v>9.60255540931998</v>
      </c>
      <c r="EW58" s="180" t="n">
        <v>9.67229109733998</v>
      </c>
      <c r="EX58" s="180" t="n">
        <v>9.74202678535998</v>
      </c>
      <c r="EY58" s="180" t="n">
        <v>9.81176247337998</v>
      </c>
      <c r="EZ58" s="180" t="n">
        <v>9.88149816139998</v>
      </c>
      <c r="FA58" s="180" t="n">
        <v>9.95123384941998</v>
      </c>
      <c r="FB58" s="180" t="n">
        <v>10.02096953744</v>
      </c>
      <c r="FC58" s="180" t="n">
        <v>10.09070522546</v>
      </c>
      <c r="FD58" s="180" t="n">
        <v>10.16044091348</v>
      </c>
      <c r="FE58" s="180" t="n">
        <v>10.2301766015</v>
      </c>
      <c r="FF58" s="180" t="n">
        <v>10.29991228952</v>
      </c>
      <c r="FG58" s="180" t="n">
        <v>10.36964797754</v>
      </c>
      <c r="FH58" s="180" t="n">
        <v>10.43938366556</v>
      </c>
      <c r="FI58" s="180" t="n">
        <v>10.50911935358</v>
      </c>
      <c r="FJ58" s="180" t="n">
        <v>10.5788550416</v>
      </c>
      <c r="FK58" s="180" t="n">
        <v>10.64859072962</v>
      </c>
      <c r="FL58" s="180" t="n">
        <v>10.71832641764</v>
      </c>
      <c r="FM58" s="180" t="n">
        <v>10.78806210566</v>
      </c>
      <c r="FN58" s="180" t="n">
        <v>10.85779779368</v>
      </c>
      <c r="FO58" s="180" t="n">
        <v>10.9275334817</v>
      </c>
      <c r="FP58" s="180" t="n">
        <v>10.99726916972</v>
      </c>
      <c r="FQ58" s="180" t="n">
        <v>11.06700485774</v>
      </c>
      <c r="FR58" s="180" t="n">
        <v>11.13674054576</v>
      </c>
      <c r="FS58" s="180" t="n">
        <v>11.20647623378</v>
      </c>
      <c r="FT58" s="180" t="n">
        <v>11.2762119218</v>
      </c>
      <c r="FU58" s="180" t="n">
        <v>11.34594760982</v>
      </c>
      <c r="FV58" s="180" t="n">
        <v>11.41568329784</v>
      </c>
      <c r="FW58" s="180" t="n">
        <v>11.48541898586</v>
      </c>
      <c r="FX58" s="180" t="n">
        <v>11.55515467388</v>
      </c>
      <c r="FY58" s="180" t="n">
        <v>11.6248903619</v>
      </c>
      <c r="FZ58" s="180" t="n">
        <v>11.69462604992</v>
      </c>
      <c r="GA58" s="180" t="n">
        <v>11.76436173794</v>
      </c>
      <c r="GB58" s="180" t="n">
        <v>11.83409742596</v>
      </c>
      <c r="GC58" s="180" t="n">
        <v>11.90383311398</v>
      </c>
      <c r="GD58" s="180" t="n">
        <v>11.973568802</v>
      </c>
      <c r="GE58" s="180" t="n">
        <v>12.04330449002</v>
      </c>
      <c r="GF58" s="180" t="n">
        <v>12.11304017804</v>
      </c>
      <c r="GG58" s="180" t="n">
        <v>12.18277586606</v>
      </c>
      <c r="GH58" s="180" t="n">
        <v>12.25251155408</v>
      </c>
      <c r="GI58" s="180" t="n">
        <v>12.3222472421</v>
      </c>
      <c r="GJ58" s="180" t="n">
        <v>12.39198293012</v>
      </c>
      <c r="GK58" s="180" t="n">
        <v>12.46171861814</v>
      </c>
      <c r="GL58" s="180" t="n">
        <v>12.53145430616</v>
      </c>
      <c r="GM58" s="180" t="n">
        <v>12.60118999418</v>
      </c>
      <c r="GN58" s="180" t="n">
        <v>12.6709256822</v>
      </c>
      <c r="GO58" s="180" t="n">
        <v>12.74066137022</v>
      </c>
      <c r="GP58" s="180" t="n">
        <v>12.81039705824</v>
      </c>
      <c r="GQ58" s="180" t="n">
        <v>12.88013274626</v>
      </c>
      <c r="GR58" s="180" t="n">
        <v>12.94986843428</v>
      </c>
      <c r="GS58" s="180" t="n">
        <v>13.0196041223</v>
      </c>
      <c r="GT58" s="180" t="n">
        <v>13.08933981032</v>
      </c>
      <c r="GU58" s="180" t="n">
        <v>13.15907549834</v>
      </c>
      <c r="GV58" s="180" t="n">
        <v>13.22881118636</v>
      </c>
      <c r="GW58" s="180" t="n">
        <v>13.29854687438</v>
      </c>
      <c r="GX58" s="180" t="n">
        <v>13.3682825624</v>
      </c>
      <c r="GY58" s="180" t="n">
        <v>13.43801825042</v>
      </c>
      <c r="GZ58" s="180" t="n">
        <v>13.50775393844</v>
      </c>
      <c r="HA58" s="180" t="n">
        <v>13.57748962646</v>
      </c>
      <c r="HB58" s="180" t="n">
        <v>13.64722531448</v>
      </c>
      <c r="HC58" s="180" t="n">
        <v>13.7169610025</v>
      </c>
      <c r="HD58" s="180" t="n">
        <v>13.78669669052</v>
      </c>
      <c r="HE58" s="180" t="n">
        <v>13.85643237854</v>
      </c>
      <c r="HF58" s="180" t="n">
        <v>13.92616806656</v>
      </c>
      <c r="HG58" s="180" t="n">
        <v>13.99590375458</v>
      </c>
      <c r="HH58" s="180" t="n">
        <v>14.0656394426</v>
      </c>
      <c r="HI58" s="180" t="n">
        <v>14.13537513062</v>
      </c>
      <c r="HJ58" s="180" t="n">
        <v>14.20511081864</v>
      </c>
      <c r="HK58" s="180" t="n">
        <v>14.27484650666</v>
      </c>
      <c r="HL58" s="180" t="n">
        <v>14.34458219468</v>
      </c>
      <c r="HM58" s="180" t="n">
        <v>14.4143178827</v>
      </c>
      <c r="HN58" s="180" t="n">
        <v>14.48405357072</v>
      </c>
      <c r="HO58" s="180" t="n">
        <v>14.55378925874</v>
      </c>
      <c r="HP58" s="180" t="n">
        <v>14.62352494676</v>
      </c>
      <c r="HQ58" s="180" t="n">
        <v>14.69326063478</v>
      </c>
      <c r="HR58" s="180" t="n">
        <v>14.7629963228</v>
      </c>
      <c r="HS58" s="180" t="n">
        <v>14.83273201082</v>
      </c>
      <c r="HT58" s="180" t="n">
        <v>14.90246769884</v>
      </c>
      <c r="HU58" s="180" t="n">
        <v>14.97220338686</v>
      </c>
      <c r="HV58" s="180" t="n">
        <v>15.04193907488</v>
      </c>
      <c r="HW58" s="180" t="n">
        <v>15.1116747629</v>
      </c>
      <c r="HX58" s="180" t="n">
        <v>15.18141045092</v>
      </c>
      <c r="HY58" s="180" t="n">
        <v>15.25114613894</v>
      </c>
      <c r="HZ58" s="180" t="n">
        <v>15.32088182696</v>
      </c>
      <c r="IA58" s="180" t="n">
        <v>15.39061751498</v>
      </c>
      <c r="IB58" s="180" t="n">
        <v>15.460353203</v>
      </c>
      <c r="IC58" s="180" t="n">
        <v>15.53008889102</v>
      </c>
      <c r="ID58" s="180" t="n">
        <v>15.59982457904</v>
      </c>
      <c r="IE58" s="180" t="n">
        <v>15.66956026706</v>
      </c>
      <c r="IF58" s="180" t="n">
        <v>15.73929595508</v>
      </c>
      <c r="IG58" s="180" t="n">
        <v>15.8090316431</v>
      </c>
      <c r="IH58" s="180" t="n">
        <v>15.87876733112</v>
      </c>
      <c r="II58" s="180" t="n">
        <v>15.94850301914</v>
      </c>
      <c r="IJ58" s="180" t="n">
        <v>16.01823870716</v>
      </c>
      <c r="IK58" s="180" t="n">
        <v>16.08797439518</v>
      </c>
      <c r="IL58" s="180" t="n">
        <v>16.1577100832</v>
      </c>
      <c r="IM58" s="180" t="n">
        <v>16.22744577122</v>
      </c>
      <c r="IN58" s="180" t="n">
        <v>16.29718145924</v>
      </c>
      <c r="IO58" s="180" t="n">
        <v>16.36691714726</v>
      </c>
      <c r="IP58" s="180" t="n">
        <v>16.43665283528</v>
      </c>
      <c r="IQ58" s="180" t="n">
        <v>16.5063885233</v>
      </c>
      <c r="IR58" s="180" t="n">
        <v>16.57612421132</v>
      </c>
      <c r="IS58" s="180" t="n">
        <v>16.64585989934</v>
      </c>
      <c r="IT58" s="180" t="n">
        <v>16.71559558736</v>
      </c>
      <c r="IU58" s="180" t="n">
        <v>16.78533127538</v>
      </c>
      <c r="IV58" s="180" t="n">
        <v>16.8550669634</v>
      </c>
    </row>
    <row r="59" customFormat="false" ht="12.75" hidden="false" customHeight="false" outlineLevel="0" collapsed="false">
      <c r="A59" s="189" t="n">
        <v>38473</v>
      </c>
      <c r="B59" s="185" t="n">
        <v>-2.021005929375</v>
      </c>
      <c r="C59" s="185" t="n">
        <v>-1.9907047400625</v>
      </c>
      <c r="D59" s="185" t="n">
        <v>-1.96040355075</v>
      </c>
      <c r="E59" s="185" t="n">
        <v>-1.9301023614375</v>
      </c>
      <c r="F59" s="185" t="n">
        <v>-1.899801172125</v>
      </c>
      <c r="G59" s="185" t="n">
        <v>-1.8694999828125</v>
      </c>
      <c r="H59" s="185" t="n">
        <v>-1.8391987935</v>
      </c>
      <c r="I59" s="185" t="n">
        <v>-1.8088976041875</v>
      </c>
      <c r="J59" s="185" t="n">
        <v>-1.778596414875</v>
      </c>
      <c r="K59" s="185" t="n">
        <v>-1.7482952255625</v>
      </c>
      <c r="L59" s="185" t="n">
        <v>-1.71799403625</v>
      </c>
      <c r="M59" s="185" t="n">
        <v>-1.6876928469375</v>
      </c>
      <c r="N59" s="185" t="n">
        <v>-1.657391657625</v>
      </c>
      <c r="O59" s="185" t="n">
        <v>-1.6270904683125</v>
      </c>
      <c r="P59" s="185" t="n">
        <v>-1.596789279</v>
      </c>
      <c r="Q59" s="185" t="n">
        <v>-1.5664880896875</v>
      </c>
      <c r="R59" s="185" t="n">
        <v>-1.536186900375</v>
      </c>
      <c r="S59" s="185" t="n">
        <v>-1.5058857110625</v>
      </c>
      <c r="T59" s="185" t="n">
        <v>-1.47558452175</v>
      </c>
      <c r="U59" s="185" t="n">
        <v>-1.4452833324375</v>
      </c>
      <c r="V59" s="186" t="n">
        <v>-1.414982143125</v>
      </c>
      <c r="W59" s="185" t="n">
        <v>-1.3846809538125</v>
      </c>
      <c r="X59" s="186" t="n">
        <v>-1.3543797645</v>
      </c>
      <c r="Y59" s="185" t="n">
        <v>-1.3240785751875</v>
      </c>
      <c r="Z59" s="186" t="n">
        <v>-1.293777385875</v>
      </c>
      <c r="AA59" s="185" t="n">
        <v>-1.2634761965625</v>
      </c>
      <c r="AB59" s="187" t="n">
        <v>-1.23317500725</v>
      </c>
      <c r="AC59" s="185" t="n">
        <v>-1.2028738179375</v>
      </c>
      <c r="AD59" s="187" t="n">
        <v>-1.172572628625</v>
      </c>
      <c r="AE59" s="185" t="n">
        <v>-1.1422714393125</v>
      </c>
      <c r="AF59" s="185" t="n">
        <v>-1.11197025</v>
      </c>
      <c r="AG59" s="190" t="n">
        <v>-1.083235125</v>
      </c>
      <c r="AH59" s="190" t="n">
        <v>-1.0545</v>
      </c>
      <c r="AI59" s="190" t="n">
        <v>-1.02725</v>
      </c>
      <c r="AJ59" s="190" t="n">
        <v>-1</v>
      </c>
      <c r="AK59" s="190" t="n">
        <v>-0.8</v>
      </c>
      <c r="AL59" s="190" t="n">
        <v>-0.6</v>
      </c>
      <c r="AM59" s="190" t="n">
        <v>-0.4</v>
      </c>
      <c r="AN59" s="190" t="n">
        <v>-0.2</v>
      </c>
      <c r="AO59" s="190" t="n">
        <v>0</v>
      </c>
      <c r="AP59" s="190" t="n">
        <v>0.2</v>
      </c>
      <c r="AQ59" s="190" t="n">
        <v>0.4</v>
      </c>
      <c r="AR59" s="190" t="n">
        <v>0.6</v>
      </c>
      <c r="AS59" s="190" t="n">
        <v>0.8</v>
      </c>
      <c r="AT59" s="190" t="n">
        <v>1</v>
      </c>
      <c r="AU59" s="190" t="n">
        <v>1.2</v>
      </c>
      <c r="AV59" s="190" t="n">
        <v>1.4</v>
      </c>
      <c r="AW59" s="190" t="n">
        <v>1.58</v>
      </c>
      <c r="AX59" s="190" t="n">
        <v>1.76</v>
      </c>
      <c r="AY59" s="190" t="n">
        <v>1.922</v>
      </c>
      <c r="AZ59" s="190" t="n">
        <v>2.084</v>
      </c>
      <c r="BA59" s="190" t="n">
        <v>2.2298</v>
      </c>
      <c r="BB59" s="190" t="n">
        <v>2.3756</v>
      </c>
      <c r="BC59" s="190" t="n">
        <v>2.50682</v>
      </c>
      <c r="BD59" s="190" t="n">
        <v>2.63804</v>
      </c>
      <c r="BE59" s="190" t="n">
        <v>2.756138</v>
      </c>
      <c r="BF59" s="190" t="n">
        <v>2.874236</v>
      </c>
      <c r="BG59" s="190" t="n">
        <v>2.9805242</v>
      </c>
      <c r="BH59" s="190" t="n">
        <v>3.0868124</v>
      </c>
      <c r="BI59" s="190" t="n">
        <v>3.18247178</v>
      </c>
      <c r="BJ59" s="190" t="n">
        <v>3.27813116</v>
      </c>
      <c r="BK59" s="190" t="n">
        <v>3.364224602</v>
      </c>
      <c r="BL59" s="190" t="n">
        <v>3.450318044</v>
      </c>
      <c r="BM59" s="190" t="n">
        <v>3.5278021418</v>
      </c>
      <c r="BN59" s="190" t="n">
        <v>3.6052862396</v>
      </c>
      <c r="BO59" s="190" t="n">
        <v>3.67502192762</v>
      </c>
      <c r="BP59" s="190" t="n">
        <v>3.74475761564</v>
      </c>
      <c r="BQ59" s="190" t="n">
        <v>3.81449330366</v>
      </c>
      <c r="BR59" s="190" t="n">
        <v>3.88422899168</v>
      </c>
      <c r="BS59" s="190" t="n">
        <v>3.9539646797</v>
      </c>
      <c r="BT59" s="190" t="n">
        <v>4.02370036772</v>
      </c>
      <c r="BU59" s="190" t="n">
        <v>4.09343605574</v>
      </c>
      <c r="BV59" s="190" t="n">
        <v>4.16317174376</v>
      </c>
      <c r="BW59" s="190" t="n">
        <v>4.23290743178</v>
      </c>
      <c r="BX59" s="190" t="n">
        <v>4.3026431198</v>
      </c>
      <c r="BY59" s="190" t="n">
        <v>4.37237880782</v>
      </c>
      <c r="BZ59" s="190" t="n">
        <v>4.44211449584</v>
      </c>
      <c r="CA59" s="190" t="n">
        <v>4.51185018386</v>
      </c>
      <c r="CB59" s="190" t="n">
        <v>4.58158587188</v>
      </c>
      <c r="CC59" s="190" t="n">
        <v>4.6513215599</v>
      </c>
      <c r="CD59" s="190" t="n">
        <v>4.72105724792</v>
      </c>
      <c r="CE59" s="190" t="n">
        <v>4.79079293594</v>
      </c>
      <c r="CF59" s="190" t="n">
        <v>4.86052862396</v>
      </c>
      <c r="CG59" s="190" t="n">
        <v>4.93026431198</v>
      </c>
      <c r="CH59" s="190" t="n">
        <v>5</v>
      </c>
      <c r="CI59" s="190" t="n">
        <v>5.06973568801999</v>
      </c>
      <c r="CJ59" s="190" t="n">
        <v>5.13947137603999</v>
      </c>
      <c r="CK59" s="190" t="n">
        <v>5.20920706405999</v>
      </c>
      <c r="CL59" s="190" t="n">
        <v>5.27894275207999</v>
      </c>
      <c r="CM59" s="190" t="n">
        <v>5.34867844009999</v>
      </c>
      <c r="CN59" s="190" t="n">
        <v>5.41841412811999</v>
      </c>
      <c r="CO59" s="190" t="n">
        <v>5.48814981613999</v>
      </c>
      <c r="CP59" s="190" t="n">
        <v>5.55788550415999</v>
      </c>
      <c r="CQ59" s="190" t="n">
        <v>5.62762119217999</v>
      </c>
      <c r="CR59" s="190" t="n">
        <v>5.69735688019999</v>
      </c>
      <c r="CS59" s="190" t="n">
        <v>5.76709256821999</v>
      </c>
      <c r="CT59" s="190" t="n">
        <v>5.83682825623999</v>
      </c>
      <c r="CU59" s="190" t="n">
        <v>5.90656394425999</v>
      </c>
      <c r="CV59" s="190" t="n">
        <v>5.97629963227999</v>
      </c>
      <c r="CW59" s="190" t="n">
        <v>6.04603532029999</v>
      </c>
      <c r="CX59" s="190" t="n">
        <v>6.11577100831999</v>
      </c>
      <c r="CY59" s="190" t="n">
        <v>6.18550669633999</v>
      </c>
      <c r="CZ59" s="190" t="n">
        <v>6.25524238435999</v>
      </c>
      <c r="DA59" s="190" t="n">
        <v>6.32497807237999</v>
      </c>
      <c r="DB59" s="190" t="n">
        <v>6.39471376039999</v>
      </c>
      <c r="DC59" s="190" t="n">
        <v>6.46444944841999</v>
      </c>
      <c r="DD59" s="190" t="n">
        <v>6.53418513643999</v>
      </c>
      <c r="DE59" s="190" t="n">
        <v>6.60392082445999</v>
      </c>
      <c r="DF59" s="190" t="n">
        <v>6.67365651247999</v>
      </c>
      <c r="DG59" s="190" t="n">
        <v>6.74339220049999</v>
      </c>
      <c r="DH59" s="190" t="n">
        <v>6.81312788851999</v>
      </c>
      <c r="DI59" s="190" t="n">
        <v>6.88286357653999</v>
      </c>
      <c r="DJ59" s="190" t="n">
        <v>6.95259926455999</v>
      </c>
      <c r="DK59" s="190" t="n">
        <v>7.02233495257999</v>
      </c>
      <c r="DL59" s="190" t="n">
        <v>7.09207064059999</v>
      </c>
      <c r="DM59" s="190" t="n">
        <v>7.16180632861999</v>
      </c>
      <c r="DN59" s="190" t="n">
        <v>7.23154201663999</v>
      </c>
      <c r="DO59" s="190" t="n">
        <v>7.30127770465999</v>
      </c>
      <c r="DP59" s="190" t="n">
        <v>7.37101339267999</v>
      </c>
      <c r="DQ59" s="190" t="n">
        <v>7.44074908069999</v>
      </c>
      <c r="DR59" s="190" t="n">
        <v>7.51048476871999</v>
      </c>
      <c r="DS59" s="190" t="n">
        <v>7.58022045673999</v>
      </c>
      <c r="DT59" s="190" t="n">
        <v>7.64995614475999</v>
      </c>
      <c r="DU59" s="190" t="n">
        <v>7.71969183277999</v>
      </c>
      <c r="DV59" s="190" t="n">
        <v>7.78942752079998</v>
      </c>
      <c r="DW59" s="190" t="n">
        <v>7.85916320881998</v>
      </c>
      <c r="DX59" s="190" t="n">
        <v>7.92889889683998</v>
      </c>
      <c r="DY59" s="190" t="n">
        <v>7.99863458485998</v>
      </c>
      <c r="DZ59" s="190" t="n">
        <v>8.06837027287998</v>
      </c>
      <c r="EA59" s="190" t="n">
        <v>8.13810596089998</v>
      </c>
      <c r="EB59" s="190" t="n">
        <v>8.20784164891998</v>
      </c>
      <c r="EC59" s="190" t="n">
        <v>8.27757733693998</v>
      </c>
      <c r="ED59" s="190" t="n">
        <v>8.34731302495998</v>
      </c>
      <c r="EE59" s="190" t="n">
        <v>8.41704871297998</v>
      </c>
      <c r="EF59" s="190" t="n">
        <v>8.48678440099998</v>
      </c>
      <c r="EG59" s="190" t="n">
        <v>8.55652008901998</v>
      </c>
      <c r="EH59" s="190" t="n">
        <v>8.62625577703998</v>
      </c>
      <c r="EI59" s="190" t="n">
        <v>8.69599146505998</v>
      </c>
      <c r="EJ59" s="190" t="n">
        <v>8.76572715307998</v>
      </c>
      <c r="EK59" s="190" t="n">
        <v>8.83546284109998</v>
      </c>
      <c r="EL59" s="180" t="n">
        <v>8.90519852911998</v>
      </c>
      <c r="EM59" s="180" t="n">
        <v>8.97493421713998</v>
      </c>
      <c r="EN59" s="180" t="n">
        <v>9.04466990515998</v>
      </c>
      <c r="EO59" s="180" t="n">
        <v>9.11440559317998</v>
      </c>
      <c r="EP59" s="180" t="n">
        <v>9.18414128119998</v>
      </c>
      <c r="EQ59" s="180" t="n">
        <v>9.25387696921998</v>
      </c>
      <c r="ER59" s="180" t="n">
        <v>9.32361265723998</v>
      </c>
      <c r="ES59" s="180" t="n">
        <v>9.39334834525998</v>
      </c>
      <c r="ET59" s="180" t="n">
        <v>9.46308403327998</v>
      </c>
      <c r="EU59" s="180" t="n">
        <v>9.53281972129998</v>
      </c>
      <c r="EV59" s="180" t="n">
        <v>9.60255540931998</v>
      </c>
      <c r="EW59" s="180" t="n">
        <v>9.67229109733998</v>
      </c>
      <c r="EX59" s="180" t="n">
        <v>9.74202678535998</v>
      </c>
      <c r="EY59" s="180" t="n">
        <v>9.81176247337998</v>
      </c>
      <c r="EZ59" s="180" t="n">
        <v>9.88149816139998</v>
      </c>
      <c r="FA59" s="180" t="n">
        <v>9.95123384941998</v>
      </c>
      <c r="FB59" s="180" t="n">
        <v>10.02096953744</v>
      </c>
      <c r="FC59" s="180" t="n">
        <v>10.09070522546</v>
      </c>
      <c r="FD59" s="180" t="n">
        <v>10.16044091348</v>
      </c>
      <c r="FE59" s="180" t="n">
        <v>10.2301766015</v>
      </c>
      <c r="FF59" s="180" t="n">
        <v>10.29991228952</v>
      </c>
      <c r="FG59" s="180" t="n">
        <v>10.36964797754</v>
      </c>
      <c r="FH59" s="180" t="n">
        <v>10.43938366556</v>
      </c>
      <c r="FI59" s="180" t="n">
        <v>10.50911935358</v>
      </c>
      <c r="FJ59" s="180" t="n">
        <v>10.5788550416</v>
      </c>
      <c r="FK59" s="180" t="n">
        <v>10.64859072962</v>
      </c>
      <c r="FL59" s="180" t="n">
        <v>10.71832641764</v>
      </c>
      <c r="FM59" s="180" t="n">
        <v>10.78806210566</v>
      </c>
      <c r="FN59" s="180" t="n">
        <v>10.85779779368</v>
      </c>
      <c r="FO59" s="180" t="n">
        <v>10.9275334817</v>
      </c>
      <c r="FP59" s="180" t="n">
        <v>10.99726916972</v>
      </c>
      <c r="FQ59" s="180" t="n">
        <v>11.06700485774</v>
      </c>
      <c r="FR59" s="180" t="n">
        <v>11.13674054576</v>
      </c>
      <c r="FS59" s="180" t="n">
        <v>11.20647623378</v>
      </c>
      <c r="FT59" s="180" t="n">
        <v>11.2762119218</v>
      </c>
      <c r="FU59" s="180" t="n">
        <v>11.34594760982</v>
      </c>
      <c r="FV59" s="180" t="n">
        <v>11.41568329784</v>
      </c>
      <c r="FW59" s="180" t="n">
        <v>11.48541898586</v>
      </c>
      <c r="FX59" s="180" t="n">
        <v>11.55515467388</v>
      </c>
      <c r="FY59" s="180" t="n">
        <v>11.6248903619</v>
      </c>
      <c r="FZ59" s="180" t="n">
        <v>11.69462604992</v>
      </c>
      <c r="GA59" s="180" t="n">
        <v>11.76436173794</v>
      </c>
      <c r="GB59" s="180" t="n">
        <v>11.83409742596</v>
      </c>
      <c r="GC59" s="180" t="n">
        <v>11.90383311398</v>
      </c>
      <c r="GD59" s="180" t="n">
        <v>11.973568802</v>
      </c>
      <c r="GE59" s="180" t="n">
        <v>12.04330449002</v>
      </c>
      <c r="GF59" s="180" t="n">
        <v>12.11304017804</v>
      </c>
      <c r="GG59" s="180" t="n">
        <v>12.18277586606</v>
      </c>
      <c r="GH59" s="180" t="n">
        <v>12.25251155408</v>
      </c>
      <c r="GI59" s="180" t="n">
        <v>12.3222472421</v>
      </c>
      <c r="GJ59" s="180" t="n">
        <v>12.39198293012</v>
      </c>
      <c r="GK59" s="180" t="n">
        <v>12.46171861814</v>
      </c>
      <c r="GL59" s="180" t="n">
        <v>12.53145430616</v>
      </c>
      <c r="GM59" s="180" t="n">
        <v>12.60118999418</v>
      </c>
      <c r="GN59" s="180" t="n">
        <v>12.6709256822</v>
      </c>
      <c r="GO59" s="180" t="n">
        <v>12.74066137022</v>
      </c>
      <c r="GP59" s="180" t="n">
        <v>12.81039705824</v>
      </c>
      <c r="GQ59" s="180" t="n">
        <v>12.88013274626</v>
      </c>
      <c r="GR59" s="180" t="n">
        <v>12.94986843428</v>
      </c>
      <c r="GS59" s="180" t="n">
        <v>13.0196041223</v>
      </c>
      <c r="GT59" s="180" t="n">
        <v>13.08933981032</v>
      </c>
      <c r="GU59" s="180" t="n">
        <v>13.15907549834</v>
      </c>
      <c r="GV59" s="180" t="n">
        <v>13.22881118636</v>
      </c>
      <c r="GW59" s="180" t="n">
        <v>13.29854687438</v>
      </c>
      <c r="GX59" s="180" t="n">
        <v>13.3682825624</v>
      </c>
      <c r="GY59" s="180" t="n">
        <v>13.43801825042</v>
      </c>
      <c r="GZ59" s="180" t="n">
        <v>13.50775393844</v>
      </c>
      <c r="HA59" s="180" t="n">
        <v>13.57748962646</v>
      </c>
      <c r="HB59" s="180" t="n">
        <v>13.64722531448</v>
      </c>
      <c r="HC59" s="180" t="n">
        <v>13.7169610025</v>
      </c>
      <c r="HD59" s="180" t="n">
        <v>13.78669669052</v>
      </c>
      <c r="HE59" s="180" t="n">
        <v>13.85643237854</v>
      </c>
      <c r="HF59" s="180" t="n">
        <v>13.92616806656</v>
      </c>
      <c r="HG59" s="180" t="n">
        <v>13.99590375458</v>
      </c>
      <c r="HH59" s="180" t="n">
        <v>14.0656394426</v>
      </c>
      <c r="HI59" s="180" t="n">
        <v>14.13537513062</v>
      </c>
      <c r="HJ59" s="180" t="n">
        <v>14.20511081864</v>
      </c>
      <c r="HK59" s="180" t="n">
        <v>14.27484650666</v>
      </c>
      <c r="HL59" s="180" t="n">
        <v>14.34458219468</v>
      </c>
      <c r="HM59" s="180" t="n">
        <v>14.4143178827</v>
      </c>
      <c r="HN59" s="180" t="n">
        <v>14.48405357072</v>
      </c>
      <c r="HO59" s="180" t="n">
        <v>14.55378925874</v>
      </c>
      <c r="HP59" s="180" t="n">
        <v>14.62352494676</v>
      </c>
      <c r="HQ59" s="180" t="n">
        <v>14.69326063478</v>
      </c>
      <c r="HR59" s="180" t="n">
        <v>14.7629963228</v>
      </c>
      <c r="HS59" s="180" t="n">
        <v>14.83273201082</v>
      </c>
      <c r="HT59" s="180" t="n">
        <v>14.90246769884</v>
      </c>
      <c r="HU59" s="180" t="n">
        <v>14.97220338686</v>
      </c>
      <c r="HV59" s="180" t="n">
        <v>15.04193907488</v>
      </c>
      <c r="HW59" s="180" t="n">
        <v>15.1116747629</v>
      </c>
      <c r="HX59" s="180" t="n">
        <v>15.18141045092</v>
      </c>
      <c r="HY59" s="180" t="n">
        <v>15.25114613894</v>
      </c>
      <c r="HZ59" s="180" t="n">
        <v>15.32088182696</v>
      </c>
      <c r="IA59" s="180" t="n">
        <v>15.39061751498</v>
      </c>
      <c r="IB59" s="180" t="n">
        <v>15.460353203</v>
      </c>
      <c r="IC59" s="180" t="n">
        <v>15.53008889102</v>
      </c>
      <c r="ID59" s="180" t="n">
        <v>15.59982457904</v>
      </c>
      <c r="IE59" s="180" t="n">
        <v>15.66956026706</v>
      </c>
      <c r="IF59" s="180" t="n">
        <v>15.73929595508</v>
      </c>
      <c r="IG59" s="180" t="n">
        <v>15.8090316431</v>
      </c>
      <c r="IH59" s="180" t="n">
        <v>15.87876733112</v>
      </c>
      <c r="II59" s="180" t="n">
        <v>15.94850301914</v>
      </c>
      <c r="IJ59" s="180" t="n">
        <v>16.01823870716</v>
      </c>
      <c r="IK59" s="180" t="n">
        <v>16.08797439518</v>
      </c>
      <c r="IL59" s="180" t="n">
        <v>16.1577100832</v>
      </c>
      <c r="IM59" s="180" t="n">
        <v>16.22744577122</v>
      </c>
      <c r="IN59" s="180" t="n">
        <v>16.29718145924</v>
      </c>
      <c r="IO59" s="180" t="n">
        <v>16.36691714726</v>
      </c>
      <c r="IP59" s="180" t="n">
        <v>16.43665283528</v>
      </c>
      <c r="IQ59" s="180" t="n">
        <v>16.5063885233</v>
      </c>
      <c r="IR59" s="180" t="n">
        <v>16.57612421132</v>
      </c>
      <c r="IS59" s="180" t="n">
        <v>16.64585989934</v>
      </c>
      <c r="IT59" s="180" t="n">
        <v>16.71559558736</v>
      </c>
      <c r="IU59" s="180" t="n">
        <v>16.78533127538</v>
      </c>
      <c r="IV59" s="180" t="n">
        <v>16.8550669634</v>
      </c>
    </row>
    <row r="60" customFormat="false" ht="12.75" hidden="false" customHeight="false" outlineLevel="0" collapsed="false">
      <c r="A60" s="189" t="n">
        <v>38504</v>
      </c>
      <c r="B60" s="185" t="n">
        <v>-2.021005929375</v>
      </c>
      <c r="C60" s="185" t="n">
        <v>-1.9907047400625</v>
      </c>
      <c r="D60" s="185" t="n">
        <v>-1.96040355075</v>
      </c>
      <c r="E60" s="185" t="n">
        <v>-1.9301023614375</v>
      </c>
      <c r="F60" s="185" t="n">
        <v>-1.899801172125</v>
      </c>
      <c r="G60" s="185" t="n">
        <v>-1.8694999828125</v>
      </c>
      <c r="H60" s="185" t="n">
        <v>-1.8391987935</v>
      </c>
      <c r="I60" s="185" t="n">
        <v>-1.8088976041875</v>
      </c>
      <c r="J60" s="185" t="n">
        <v>-1.778596414875</v>
      </c>
      <c r="K60" s="185" t="n">
        <v>-1.7482952255625</v>
      </c>
      <c r="L60" s="185" t="n">
        <v>-1.71799403625</v>
      </c>
      <c r="M60" s="185" t="n">
        <v>-1.6876928469375</v>
      </c>
      <c r="N60" s="185" t="n">
        <v>-1.657391657625</v>
      </c>
      <c r="O60" s="185" t="n">
        <v>-1.6270904683125</v>
      </c>
      <c r="P60" s="185" t="n">
        <v>-1.596789279</v>
      </c>
      <c r="Q60" s="185" t="n">
        <v>-1.5664880896875</v>
      </c>
      <c r="R60" s="185" t="n">
        <v>-1.536186900375</v>
      </c>
      <c r="S60" s="185" t="n">
        <v>-1.5058857110625</v>
      </c>
      <c r="T60" s="185" t="n">
        <v>-1.47558452175</v>
      </c>
      <c r="U60" s="185" t="n">
        <v>-1.4452833324375</v>
      </c>
      <c r="V60" s="186" t="n">
        <v>-1.414982143125</v>
      </c>
      <c r="W60" s="185" t="n">
        <v>-1.3846809538125</v>
      </c>
      <c r="X60" s="186" t="n">
        <v>-1.3543797645</v>
      </c>
      <c r="Y60" s="185" t="n">
        <v>-1.3240785751875</v>
      </c>
      <c r="Z60" s="186" t="n">
        <v>-1.293777385875</v>
      </c>
      <c r="AA60" s="185" t="n">
        <v>-1.2634761965625</v>
      </c>
      <c r="AB60" s="187" t="n">
        <v>-1.23317500725</v>
      </c>
      <c r="AC60" s="185" t="n">
        <v>-1.2028738179375</v>
      </c>
      <c r="AD60" s="187" t="n">
        <v>-1.172572628625</v>
      </c>
      <c r="AE60" s="185" t="n">
        <v>-1.1422714393125</v>
      </c>
      <c r="AF60" s="185" t="n">
        <v>-1.11197025</v>
      </c>
      <c r="AG60" s="190" t="n">
        <v>-1.083235125</v>
      </c>
      <c r="AH60" s="190" t="n">
        <v>-1.0545</v>
      </c>
      <c r="AI60" s="190" t="n">
        <v>-1.02725</v>
      </c>
      <c r="AJ60" s="190" t="n">
        <v>-1</v>
      </c>
      <c r="AK60" s="190" t="n">
        <v>-0.8</v>
      </c>
      <c r="AL60" s="190" t="n">
        <v>-0.6</v>
      </c>
      <c r="AM60" s="190" t="n">
        <v>-0.4</v>
      </c>
      <c r="AN60" s="190" t="n">
        <v>-0.2</v>
      </c>
      <c r="AO60" s="190" t="n">
        <v>0</v>
      </c>
      <c r="AP60" s="190" t="n">
        <v>0.2</v>
      </c>
      <c r="AQ60" s="190" t="n">
        <v>0.4</v>
      </c>
      <c r="AR60" s="190" t="n">
        <v>0.6</v>
      </c>
      <c r="AS60" s="190" t="n">
        <v>0.8</v>
      </c>
      <c r="AT60" s="190" t="n">
        <v>1</v>
      </c>
      <c r="AU60" s="190" t="n">
        <v>1.2</v>
      </c>
      <c r="AV60" s="190" t="n">
        <v>1.4</v>
      </c>
      <c r="AW60" s="190" t="n">
        <v>1.58</v>
      </c>
      <c r="AX60" s="190" t="n">
        <v>1.76</v>
      </c>
      <c r="AY60" s="190" t="n">
        <v>1.922</v>
      </c>
      <c r="AZ60" s="190" t="n">
        <v>2.084</v>
      </c>
      <c r="BA60" s="190" t="n">
        <v>2.2298</v>
      </c>
      <c r="BB60" s="190" t="n">
        <v>2.3756</v>
      </c>
      <c r="BC60" s="190" t="n">
        <v>2.50682</v>
      </c>
      <c r="BD60" s="190" t="n">
        <v>2.63804</v>
      </c>
      <c r="BE60" s="190" t="n">
        <v>2.756138</v>
      </c>
      <c r="BF60" s="190" t="n">
        <v>2.874236</v>
      </c>
      <c r="BG60" s="190" t="n">
        <v>2.9805242</v>
      </c>
      <c r="BH60" s="190" t="n">
        <v>3.0868124</v>
      </c>
      <c r="BI60" s="190" t="n">
        <v>3.18247178</v>
      </c>
      <c r="BJ60" s="190" t="n">
        <v>3.27813116</v>
      </c>
      <c r="BK60" s="190" t="n">
        <v>3.364224602</v>
      </c>
      <c r="BL60" s="190" t="n">
        <v>3.450318044</v>
      </c>
      <c r="BM60" s="190" t="n">
        <v>3.5278021418</v>
      </c>
      <c r="BN60" s="190" t="n">
        <v>3.6052862396</v>
      </c>
      <c r="BO60" s="190" t="n">
        <v>3.67502192762</v>
      </c>
      <c r="BP60" s="190" t="n">
        <v>3.74475761564</v>
      </c>
      <c r="BQ60" s="190" t="n">
        <v>3.81449330366</v>
      </c>
      <c r="BR60" s="190" t="n">
        <v>3.88422899168</v>
      </c>
      <c r="BS60" s="190" t="n">
        <v>3.9539646797</v>
      </c>
      <c r="BT60" s="190" t="n">
        <v>4.02370036772</v>
      </c>
      <c r="BU60" s="190" t="n">
        <v>4.09343605574</v>
      </c>
      <c r="BV60" s="190" t="n">
        <v>4.16317174376</v>
      </c>
      <c r="BW60" s="190" t="n">
        <v>4.23290743178</v>
      </c>
      <c r="BX60" s="190" t="n">
        <v>4.3026431198</v>
      </c>
      <c r="BY60" s="190" t="n">
        <v>4.37237880782</v>
      </c>
      <c r="BZ60" s="190" t="n">
        <v>4.44211449584</v>
      </c>
      <c r="CA60" s="190" t="n">
        <v>4.51185018386</v>
      </c>
      <c r="CB60" s="190" t="n">
        <v>4.58158587188</v>
      </c>
      <c r="CC60" s="190" t="n">
        <v>4.6513215599</v>
      </c>
      <c r="CD60" s="190" t="n">
        <v>4.72105724792</v>
      </c>
      <c r="CE60" s="190" t="n">
        <v>4.79079293594</v>
      </c>
      <c r="CF60" s="190" t="n">
        <v>4.86052862396</v>
      </c>
      <c r="CG60" s="190" t="n">
        <v>4.93026431198</v>
      </c>
      <c r="CH60" s="190" t="n">
        <v>5</v>
      </c>
      <c r="CI60" s="190" t="n">
        <v>5.06973568801999</v>
      </c>
      <c r="CJ60" s="190" t="n">
        <v>5.13947137603999</v>
      </c>
      <c r="CK60" s="190" t="n">
        <v>5.20920706405999</v>
      </c>
      <c r="CL60" s="190" t="n">
        <v>5.27894275207999</v>
      </c>
      <c r="CM60" s="190" t="n">
        <v>5.34867844009999</v>
      </c>
      <c r="CN60" s="190" t="n">
        <v>5.41841412811999</v>
      </c>
      <c r="CO60" s="190" t="n">
        <v>5.48814981613999</v>
      </c>
      <c r="CP60" s="190" t="n">
        <v>5.55788550415999</v>
      </c>
      <c r="CQ60" s="190" t="n">
        <v>5.62762119217999</v>
      </c>
      <c r="CR60" s="190" t="n">
        <v>5.69735688019999</v>
      </c>
      <c r="CS60" s="190" t="n">
        <v>5.76709256821999</v>
      </c>
      <c r="CT60" s="190" t="n">
        <v>5.83682825623999</v>
      </c>
      <c r="CU60" s="190" t="n">
        <v>5.90656394425999</v>
      </c>
      <c r="CV60" s="190" t="n">
        <v>5.97629963227999</v>
      </c>
      <c r="CW60" s="190" t="n">
        <v>6.04603532029999</v>
      </c>
      <c r="CX60" s="190" t="n">
        <v>6.11577100831999</v>
      </c>
      <c r="CY60" s="190" t="n">
        <v>6.18550669633999</v>
      </c>
      <c r="CZ60" s="190" t="n">
        <v>6.25524238435999</v>
      </c>
      <c r="DA60" s="190" t="n">
        <v>6.32497807237999</v>
      </c>
      <c r="DB60" s="190" t="n">
        <v>6.39471376039999</v>
      </c>
      <c r="DC60" s="190" t="n">
        <v>6.46444944841999</v>
      </c>
      <c r="DD60" s="190" t="n">
        <v>6.53418513643999</v>
      </c>
      <c r="DE60" s="190" t="n">
        <v>6.60392082445999</v>
      </c>
      <c r="DF60" s="190" t="n">
        <v>6.67365651247999</v>
      </c>
      <c r="DG60" s="190" t="n">
        <v>6.74339220049999</v>
      </c>
      <c r="DH60" s="190" t="n">
        <v>6.81312788851999</v>
      </c>
      <c r="DI60" s="190" t="n">
        <v>6.88286357653999</v>
      </c>
      <c r="DJ60" s="190" t="n">
        <v>6.95259926455999</v>
      </c>
      <c r="DK60" s="190" t="n">
        <v>7.02233495257999</v>
      </c>
      <c r="DL60" s="190" t="n">
        <v>7.09207064059999</v>
      </c>
      <c r="DM60" s="190" t="n">
        <v>7.16180632861999</v>
      </c>
      <c r="DN60" s="190" t="n">
        <v>7.23154201663999</v>
      </c>
      <c r="DO60" s="190" t="n">
        <v>7.30127770465999</v>
      </c>
      <c r="DP60" s="190" t="n">
        <v>7.37101339267999</v>
      </c>
      <c r="DQ60" s="190" t="n">
        <v>7.44074908069999</v>
      </c>
      <c r="DR60" s="190" t="n">
        <v>7.51048476871999</v>
      </c>
      <c r="DS60" s="190" t="n">
        <v>7.58022045673999</v>
      </c>
      <c r="DT60" s="190" t="n">
        <v>7.64995614475999</v>
      </c>
      <c r="DU60" s="190" t="n">
        <v>7.71969183277999</v>
      </c>
      <c r="DV60" s="190" t="n">
        <v>7.78942752079998</v>
      </c>
      <c r="DW60" s="190" t="n">
        <v>7.85916320881998</v>
      </c>
      <c r="DX60" s="190" t="n">
        <v>7.92889889683998</v>
      </c>
      <c r="DY60" s="190" t="n">
        <v>7.99863458485998</v>
      </c>
      <c r="DZ60" s="190" t="n">
        <v>8.06837027287998</v>
      </c>
      <c r="EA60" s="190" t="n">
        <v>8.13810596089998</v>
      </c>
      <c r="EB60" s="190" t="n">
        <v>8.20784164891998</v>
      </c>
      <c r="EC60" s="190" t="n">
        <v>8.27757733693998</v>
      </c>
      <c r="ED60" s="190" t="n">
        <v>8.34731302495998</v>
      </c>
      <c r="EE60" s="190" t="n">
        <v>8.41704871297998</v>
      </c>
      <c r="EF60" s="190" t="n">
        <v>8.48678440099998</v>
      </c>
      <c r="EG60" s="190" t="n">
        <v>8.55652008901998</v>
      </c>
      <c r="EH60" s="190" t="n">
        <v>8.62625577703998</v>
      </c>
      <c r="EI60" s="190" t="n">
        <v>8.69599146505998</v>
      </c>
      <c r="EJ60" s="190" t="n">
        <v>8.76572715307998</v>
      </c>
      <c r="EK60" s="190" t="n">
        <v>8.83546284109998</v>
      </c>
      <c r="EL60" s="180" t="n">
        <v>8.90519852911998</v>
      </c>
      <c r="EM60" s="180" t="n">
        <v>8.97493421713998</v>
      </c>
      <c r="EN60" s="180" t="n">
        <v>9.04466990515998</v>
      </c>
      <c r="EO60" s="180" t="n">
        <v>9.11440559317998</v>
      </c>
      <c r="EP60" s="180" t="n">
        <v>9.18414128119998</v>
      </c>
      <c r="EQ60" s="180" t="n">
        <v>9.25387696921998</v>
      </c>
      <c r="ER60" s="180" t="n">
        <v>9.32361265723998</v>
      </c>
      <c r="ES60" s="180" t="n">
        <v>9.39334834525998</v>
      </c>
      <c r="ET60" s="180" t="n">
        <v>9.46308403327998</v>
      </c>
      <c r="EU60" s="180" t="n">
        <v>9.53281972129998</v>
      </c>
      <c r="EV60" s="180" t="n">
        <v>9.60255540931998</v>
      </c>
      <c r="EW60" s="180" t="n">
        <v>9.67229109733998</v>
      </c>
      <c r="EX60" s="180" t="n">
        <v>9.74202678535998</v>
      </c>
      <c r="EY60" s="180" t="n">
        <v>9.81176247337998</v>
      </c>
      <c r="EZ60" s="180" t="n">
        <v>9.88149816139998</v>
      </c>
      <c r="FA60" s="180" t="n">
        <v>9.95123384941998</v>
      </c>
      <c r="FB60" s="180" t="n">
        <v>10.02096953744</v>
      </c>
      <c r="FC60" s="180" t="n">
        <v>10.09070522546</v>
      </c>
      <c r="FD60" s="180" t="n">
        <v>10.16044091348</v>
      </c>
      <c r="FE60" s="180" t="n">
        <v>10.2301766015</v>
      </c>
      <c r="FF60" s="180" t="n">
        <v>10.29991228952</v>
      </c>
      <c r="FG60" s="180" t="n">
        <v>10.36964797754</v>
      </c>
      <c r="FH60" s="180" t="n">
        <v>10.43938366556</v>
      </c>
      <c r="FI60" s="180" t="n">
        <v>10.50911935358</v>
      </c>
      <c r="FJ60" s="180" t="n">
        <v>10.5788550416</v>
      </c>
      <c r="FK60" s="180" t="n">
        <v>10.64859072962</v>
      </c>
      <c r="FL60" s="180" t="n">
        <v>10.71832641764</v>
      </c>
      <c r="FM60" s="180" t="n">
        <v>10.78806210566</v>
      </c>
      <c r="FN60" s="180" t="n">
        <v>10.85779779368</v>
      </c>
      <c r="FO60" s="180" t="n">
        <v>10.9275334817</v>
      </c>
      <c r="FP60" s="180" t="n">
        <v>10.99726916972</v>
      </c>
      <c r="FQ60" s="180" t="n">
        <v>11.06700485774</v>
      </c>
      <c r="FR60" s="180" t="n">
        <v>11.13674054576</v>
      </c>
      <c r="FS60" s="180" t="n">
        <v>11.20647623378</v>
      </c>
      <c r="FT60" s="180" t="n">
        <v>11.2762119218</v>
      </c>
      <c r="FU60" s="180" t="n">
        <v>11.34594760982</v>
      </c>
      <c r="FV60" s="180" t="n">
        <v>11.41568329784</v>
      </c>
      <c r="FW60" s="180" t="n">
        <v>11.48541898586</v>
      </c>
      <c r="FX60" s="180" t="n">
        <v>11.55515467388</v>
      </c>
      <c r="FY60" s="180" t="n">
        <v>11.6248903619</v>
      </c>
      <c r="FZ60" s="180" t="n">
        <v>11.69462604992</v>
      </c>
      <c r="GA60" s="180" t="n">
        <v>11.76436173794</v>
      </c>
      <c r="GB60" s="180" t="n">
        <v>11.83409742596</v>
      </c>
      <c r="GC60" s="180" t="n">
        <v>11.90383311398</v>
      </c>
      <c r="GD60" s="180" t="n">
        <v>11.973568802</v>
      </c>
      <c r="GE60" s="180" t="n">
        <v>12.04330449002</v>
      </c>
      <c r="GF60" s="180" t="n">
        <v>12.11304017804</v>
      </c>
      <c r="GG60" s="180" t="n">
        <v>12.18277586606</v>
      </c>
      <c r="GH60" s="180" t="n">
        <v>12.25251155408</v>
      </c>
      <c r="GI60" s="180" t="n">
        <v>12.3222472421</v>
      </c>
      <c r="GJ60" s="180" t="n">
        <v>12.39198293012</v>
      </c>
      <c r="GK60" s="180" t="n">
        <v>12.46171861814</v>
      </c>
      <c r="GL60" s="180" t="n">
        <v>12.53145430616</v>
      </c>
      <c r="GM60" s="180" t="n">
        <v>12.60118999418</v>
      </c>
      <c r="GN60" s="180" t="n">
        <v>12.6709256822</v>
      </c>
      <c r="GO60" s="180" t="n">
        <v>12.74066137022</v>
      </c>
      <c r="GP60" s="180" t="n">
        <v>12.81039705824</v>
      </c>
      <c r="GQ60" s="180" t="n">
        <v>12.88013274626</v>
      </c>
      <c r="GR60" s="180" t="n">
        <v>12.94986843428</v>
      </c>
      <c r="GS60" s="180" t="n">
        <v>13.0196041223</v>
      </c>
      <c r="GT60" s="180" t="n">
        <v>13.08933981032</v>
      </c>
      <c r="GU60" s="180" t="n">
        <v>13.15907549834</v>
      </c>
      <c r="GV60" s="180" t="n">
        <v>13.22881118636</v>
      </c>
      <c r="GW60" s="180" t="n">
        <v>13.29854687438</v>
      </c>
      <c r="GX60" s="180" t="n">
        <v>13.3682825624</v>
      </c>
      <c r="GY60" s="180" t="n">
        <v>13.43801825042</v>
      </c>
      <c r="GZ60" s="180" t="n">
        <v>13.50775393844</v>
      </c>
      <c r="HA60" s="180" t="n">
        <v>13.57748962646</v>
      </c>
      <c r="HB60" s="180" t="n">
        <v>13.64722531448</v>
      </c>
      <c r="HC60" s="180" t="n">
        <v>13.7169610025</v>
      </c>
      <c r="HD60" s="180" t="n">
        <v>13.78669669052</v>
      </c>
      <c r="HE60" s="180" t="n">
        <v>13.85643237854</v>
      </c>
      <c r="HF60" s="180" t="n">
        <v>13.92616806656</v>
      </c>
      <c r="HG60" s="180" t="n">
        <v>13.99590375458</v>
      </c>
      <c r="HH60" s="180" t="n">
        <v>14.0656394426</v>
      </c>
      <c r="HI60" s="180" t="n">
        <v>14.13537513062</v>
      </c>
      <c r="HJ60" s="180" t="n">
        <v>14.20511081864</v>
      </c>
      <c r="HK60" s="180" t="n">
        <v>14.27484650666</v>
      </c>
      <c r="HL60" s="180" t="n">
        <v>14.34458219468</v>
      </c>
      <c r="HM60" s="180" t="n">
        <v>14.4143178827</v>
      </c>
      <c r="HN60" s="180" t="n">
        <v>14.48405357072</v>
      </c>
      <c r="HO60" s="180" t="n">
        <v>14.55378925874</v>
      </c>
      <c r="HP60" s="180" t="n">
        <v>14.62352494676</v>
      </c>
      <c r="HQ60" s="180" t="n">
        <v>14.69326063478</v>
      </c>
      <c r="HR60" s="180" t="n">
        <v>14.7629963228</v>
      </c>
      <c r="HS60" s="180" t="n">
        <v>14.83273201082</v>
      </c>
      <c r="HT60" s="180" t="n">
        <v>14.90246769884</v>
      </c>
      <c r="HU60" s="180" t="n">
        <v>14.97220338686</v>
      </c>
      <c r="HV60" s="180" t="n">
        <v>15.04193907488</v>
      </c>
      <c r="HW60" s="180" t="n">
        <v>15.1116747629</v>
      </c>
      <c r="HX60" s="180" t="n">
        <v>15.18141045092</v>
      </c>
      <c r="HY60" s="180" t="n">
        <v>15.25114613894</v>
      </c>
      <c r="HZ60" s="180" t="n">
        <v>15.32088182696</v>
      </c>
      <c r="IA60" s="180" t="n">
        <v>15.39061751498</v>
      </c>
      <c r="IB60" s="180" t="n">
        <v>15.460353203</v>
      </c>
      <c r="IC60" s="180" t="n">
        <v>15.53008889102</v>
      </c>
      <c r="ID60" s="180" t="n">
        <v>15.59982457904</v>
      </c>
      <c r="IE60" s="180" t="n">
        <v>15.66956026706</v>
      </c>
      <c r="IF60" s="180" t="n">
        <v>15.73929595508</v>
      </c>
      <c r="IG60" s="180" t="n">
        <v>15.8090316431</v>
      </c>
      <c r="IH60" s="180" t="n">
        <v>15.87876733112</v>
      </c>
      <c r="II60" s="180" t="n">
        <v>15.94850301914</v>
      </c>
      <c r="IJ60" s="180" t="n">
        <v>16.01823870716</v>
      </c>
      <c r="IK60" s="180" t="n">
        <v>16.08797439518</v>
      </c>
      <c r="IL60" s="180" t="n">
        <v>16.1577100832</v>
      </c>
      <c r="IM60" s="180" t="n">
        <v>16.22744577122</v>
      </c>
      <c r="IN60" s="180" t="n">
        <v>16.29718145924</v>
      </c>
      <c r="IO60" s="180" t="n">
        <v>16.36691714726</v>
      </c>
      <c r="IP60" s="180" t="n">
        <v>16.43665283528</v>
      </c>
      <c r="IQ60" s="180" t="n">
        <v>16.5063885233</v>
      </c>
      <c r="IR60" s="180" t="n">
        <v>16.57612421132</v>
      </c>
      <c r="IS60" s="180" t="n">
        <v>16.64585989934</v>
      </c>
      <c r="IT60" s="180" t="n">
        <v>16.71559558736</v>
      </c>
      <c r="IU60" s="180" t="n">
        <v>16.78533127538</v>
      </c>
      <c r="IV60" s="180" t="n">
        <v>16.8550669634</v>
      </c>
    </row>
    <row r="61" customFormat="false" ht="12.75" hidden="false" customHeight="false" outlineLevel="0" collapsed="false">
      <c r="A61" s="189" t="n">
        <v>38534</v>
      </c>
      <c r="B61" s="185" t="n">
        <v>-2.021005929375</v>
      </c>
      <c r="C61" s="185" t="n">
        <v>-1.9907047400625</v>
      </c>
      <c r="D61" s="185" t="n">
        <v>-1.96040355075</v>
      </c>
      <c r="E61" s="185" t="n">
        <v>-1.9301023614375</v>
      </c>
      <c r="F61" s="185" t="n">
        <v>-1.899801172125</v>
      </c>
      <c r="G61" s="185" t="n">
        <v>-1.8694999828125</v>
      </c>
      <c r="H61" s="185" t="n">
        <v>-1.8391987935</v>
      </c>
      <c r="I61" s="185" t="n">
        <v>-1.8088976041875</v>
      </c>
      <c r="J61" s="185" t="n">
        <v>-1.778596414875</v>
      </c>
      <c r="K61" s="185" t="n">
        <v>-1.7482952255625</v>
      </c>
      <c r="L61" s="185" t="n">
        <v>-1.71799403625</v>
      </c>
      <c r="M61" s="185" t="n">
        <v>-1.6876928469375</v>
      </c>
      <c r="N61" s="185" t="n">
        <v>-1.657391657625</v>
      </c>
      <c r="O61" s="185" t="n">
        <v>-1.6270904683125</v>
      </c>
      <c r="P61" s="185" t="n">
        <v>-1.596789279</v>
      </c>
      <c r="Q61" s="185" t="n">
        <v>-1.5664880896875</v>
      </c>
      <c r="R61" s="185" t="n">
        <v>-1.536186900375</v>
      </c>
      <c r="S61" s="185" t="n">
        <v>-1.5058857110625</v>
      </c>
      <c r="T61" s="185" t="n">
        <v>-1.47558452175</v>
      </c>
      <c r="U61" s="185" t="n">
        <v>-1.4452833324375</v>
      </c>
      <c r="V61" s="186" t="n">
        <v>-1.414982143125</v>
      </c>
      <c r="W61" s="185" t="n">
        <v>-1.3846809538125</v>
      </c>
      <c r="X61" s="186" t="n">
        <v>-1.3543797645</v>
      </c>
      <c r="Y61" s="185" t="n">
        <v>-1.3240785751875</v>
      </c>
      <c r="Z61" s="186" t="n">
        <v>-1.293777385875</v>
      </c>
      <c r="AA61" s="185" t="n">
        <v>-1.2634761965625</v>
      </c>
      <c r="AB61" s="187" t="n">
        <v>-1.23317500725</v>
      </c>
      <c r="AC61" s="185" t="n">
        <v>-1.2028738179375</v>
      </c>
      <c r="AD61" s="187" t="n">
        <v>-1.172572628625</v>
      </c>
      <c r="AE61" s="185" t="n">
        <v>-1.1422714393125</v>
      </c>
      <c r="AF61" s="185" t="n">
        <v>-1.11197025</v>
      </c>
      <c r="AG61" s="190" t="n">
        <v>-1.083235125</v>
      </c>
      <c r="AH61" s="190" t="n">
        <v>-1.0545</v>
      </c>
      <c r="AI61" s="190" t="n">
        <v>-1.02725</v>
      </c>
      <c r="AJ61" s="190" t="n">
        <v>-1</v>
      </c>
      <c r="AK61" s="190" t="n">
        <v>-0.8</v>
      </c>
      <c r="AL61" s="190" t="n">
        <v>-0.6</v>
      </c>
      <c r="AM61" s="190" t="n">
        <v>-0.4</v>
      </c>
      <c r="AN61" s="190" t="n">
        <v>-0.2</v>
      </c>
      <c r="AO61" s="190" t="n">
        <v>0</v>
      </c>
      <c r="AP61" s="190" t="n">
        <v>0.2</v>
      </c>
      <c r="AQ61" s="190" t="n">
        <v>0.4</v>
      </c>
      <c r="AR61" s="190" t="n">
        <v>0.6</v>
      </c>
      <c r="AS61" s="190" t="n">
        <v>0.8</v>
      </c>
      <c r="AT61" s="190" t="n">
        <v>1</v>
      </c>
      <c r="AU61" s="190" t="n">
        <v>1.2</v>
      </c>
      <c r="AV61" s="190" t="n">
        <v>1.4</v>
      </c>
      <c r="AW61" s="190" t="n">
        <v>1.58</v>
      </c>
      <c r="AX61" s="190" t="n">
        <v>1.76</v>
      </c>
      <c r="AY61" s="190" t="n">
        <v>1.922</v>
      </c>
      <c r="AZ61" s="190" t="n">
        <v>2.084</v>
      </c>
      <c r="BA61" s="190" t="n">
        <v>2.2298</v>
      </c>
      <c r="BB61" s="190" t="n">
        <v>2.3756</v>
      </c>
      <c r="BC61" s="190" t="n">
        <v>2.50682</v>
      </c>
      <c r="BD61" s="190" t="n">
        <v>2.63804</v>
      </c>
      <c r="BE61" s="190" t="n">
        <v>2.756138</v>
      </c>
      <c r="BF61" s="190" t="n">
        <v>2.874236</v>
      </c>
      <c r="BG61" s="190" t="n">
        <v>2.9805242</v>
      </c>
      <c r="BH61" s="190" t="n">
        <v>3.0868124</v>
      </c>
      <c r="BI61" s="190" t="n">
        <v>3.18247178</v>
      </c>
      <c r="BJ61" s="190" t="n">
        <v>3.27813116</v>
      </c>
      <c r="BK61" s="190" t="n">
        <v>3.364224602</v>
      </c>
      <c r="BL61" s="190" t="n">
        <v>3.450318044</v>
      </c>
      <c r="BM61" s="190" t="n">
        <v>3.5278021418</v>
      </c>
      <c r="BN61" s="190" t="n">
        <v>3.6052862396</v>
      </c>
      <c r="BO61" s="190" t="n">
        <v>3.67502192762</v>
      </c>
      <c r="BP61" s="190" t="n">
        <v>3.74475761564</v>
      </c>
      <c r="BQ61" s="190" t="n">
        <v>3.81449330366</v>
      </c>
      <c r="BR61" s="190" t="n">
        <v>3.88422899168</v>
      </c>
      <c r="BS61" s="190" t="n">
        <v>3.9539646797</v>
      </c>
      <c r="BT61" s="190" t="n">
        <v>4.02370036772</v>
      </c>
      <c r="BU61" s="190" t="n">
        <v>4.09343605574</v>
      </c>
      <c r="BV61" s="190" t="n">
        <v>4.16317174376</v>
      </c>
      <c r="BW61" s="190" t="n">
        <v>4.23290743178</v>
      </c>
      <c r="BX61" s="190" t="n">
        <v>4.3026431198</v>
      </c>
      <c r="BY61" s="190" t="n">
        <v>4.37237880782</v>
      </c>
      <c r="BZ61" s="190" t="n">
        <v>4.44211449584</v>
      </c>
      <c r="CA61" s="190" t="n">
        <v>4.51185018386</v>
      </c>
      <c r="CB61" s="190" t="n">
        <v>4.58158587188</v>
      </c>
      <c r="CC61" s="190" t="n">
        <v>4.6513215599</v>
      </c>
      <c r="CD61" s="190" t="n">
        <v>4.72105724792</v>
      </c>
      <c r="CE61" s="190" t="n">
        <v>4.79079293594</v>
      </c>
      <c r="CF61" s="190" t="n">
        <v>4.86052862396</v>
      </c>
      <c r="CG61" s="190" t="n">
        <v>4.93026431198</v>
      </c>
      <c r="CH61" s="190" t="n">
        <v>5</v>
      </c>
      <c r="CI61" s="190" t="n">
        <v>5.06973568801999</v>
      </c>
      <c r="CJ61" s="190" t="n">
        <v>5.13947137603999</v>
      </c>
      <c r="CK61" s="190" t="n">
        <v>5.20920706405999</v>
      </c>
      <c r="CL61" s="190" t="n">
        <v>5.27894275207999</v>
      </c>
      <c r="CM61" s="190" t="n">
        <v>5.34867844009999</v>
      </c>
      <c r="CN61" s="190" t="n">
        <v>5.41841412811999</v>
      </c>
      <c r="CO61" s="190" t="n">
        <v>5.48814981613999</v>
      </c>
      <c r="CP61" s="190" t="n">
        <v>5.55788550415999</v>
      </c>
      <c r="CQ61" s="190" t="n">
        <v>5.62762119217999</v>
      </c>
      <c r="CR61" s="190" t="n">
        <v>5.69735688019999</v>
      </c>
      <c r="CS61" s="190" t="n">
        <v>5.76709256821999</v>
      </c>
      <c r="CT61" s="190" t="n">
        <v>5.83682825623999</v>
      </c>
      <c r="CU61" s="190" t="n">
        <v>5.90656394425999</v>
      </c>
      <c r="CV61" s="190" t="n">
        <v>5.97629963227999</v>
      </c>
      <c r="CW61" s="190" t="n">
        <v>6.04603532029999</v>
      </c>
      <c r="CX61" s="190" t="n">
        <v>6.11577100831999</v>
      </c>
      <c r="CY61" s="190" t="n">
        <v>6.18550669633999</v>
      </c>
      <c r="CZ61" s="190" t="n">
        <v>6.25524238435999</v>
      </c>
      <c r="DA61" s="190" t="n">
        <v>6.32497807237999</v>
      </c>
      <c r="DB61" s="190" t="n">
        <v>6.39471376039999</v>
      </c>
      <c r="DC61" s="190" t="n">
        <v>6.46444944841999</v>
      </c>
      <c r="DD61" s="190" t="n">
        <v>6.53418513643999</v>
      </c>
      <c r="DE61" s="190" t="n">
        <v>6.60392082445999</v>
      </c>
      <c r="DF61" s="190" t="n">
        <v>6.67365651247999</v>
      </c>
      <c r="DG61" s="190" t="n">
        <v>6.74339220049999</v>
      </c>
      <c r="DH61" s="190" t="n">
        <v>6.81312788851999</v>
      </c>
      <c r="DI61" s="190" t="n">
        <v>6.88286357653999</v>
      </c>
      <c r="DJ61" s="190" t="n">
        <v>6.95259926455999</v>
      </c>
      <c r="DK61" s="190" t="n">
        <v>7.02233495257999</v>
      </c>
      <c r="DL61" s="190" t="n">
        <v>7.09207064059999</v>
      </c>
      <c r="DM61" s="190" t="n">
        <v>7.16180632861999</v>
      </c>
      <c r="DN61" s="190" t="n">
        <v>7.23154201663999</v>
      </c>
      <c r="DO61" s="190" t="n">
        <v>7.30127770465999</v>
      </c>
      <c r="DP61" s="190" t="n">
        <v>7.37101339267999</v>
      </c>
      <c r="DQ61" s="190" t="n">
        <v>7.44074908069999</v>
      </c>
      <c r="DR61" s="190" t="n">
        <v>7.51048476871999</v>
      </c>
      <c r="DS61" s="190" t="n">
        <v>7.58022045673999</v>
      </c>
      <c r="DT61" s="190" t="n">
        <v>7.64995614475999</v>
      </c>
      <c r="DU61" s="190" t="n">
        <v>7.71969183277999</v>
      </c>
      <c r="DV61" s="190" t="n">
        <v>7.78942752079998</v>
      </c>
      <c r="DW61" s="190" t="n">
        <v>7.85916320881998</v>
      </c>
      <c r="DX61" s="190" t="n">
        <v>7.92889889683998</v>
      </c>
      <c r="DY61" s="190" t="n">
        <v>7.99863458485998</v>
      </c>
      <c r="DZ61" s="190" t="n">
        <v>8.06837027287998</v>
      </c>
      <c r="EA61" s="190" t="n">
        <v>8.13810596089998</v>
      </c>
      <c r="EB61" s="190" t="n">
        <v>8.20784164891998</v>
      </c>
      <c r="EC61" s="190" t="n">
        <v>8.27757733693998</v>
      </c>
      <c r="ED61" s="190" t="n">
        <v>8.34731302495998</v>
      </c>
      <c r="EE61" s="190" t="n">
        <v>8.41704871297998</v>
      </c>
      <c r="EF61" s="190" t="n">
        <v>8.48678440099998</v>
      </c>
      <c r="EG61" s="190" t="n">
        <v>8.55652008901998</v>
      </c>
      <c r="EH61" s="190" t="n">
        <v>8.62625577703998</v>
      </c>
      <c r="EI61" s="190" t="n">
        <v>8.69599146505998</v>
      </c>
      <c r="EJ61" s="190" t="n">
        <v>8.76572715307998</v>
      </c>
      <c r="EK61" s="190" t="n">
        <v>8.83546284109998</v>
      </c>
      <c r="EL61" s="180" t="n">
        <v>8.90519852911998</v>
      </c>
      <c r="EM61" s="180" t="n">
        <v>8.97493421713998</v>
      </c>
      <c r="EN61" s="180" t="n">
        <v>9.04466990515998</v>
      </c>
      <c r="EO61" s="180" t="n">
        <v>9.11440559317998</v>
      </c>
      <c r="EP61" s="180" t="n">
        <v>9.18414128119998</v>
      </c>
      <c r="EQ61" s="180" t="n">
        <v>9.25387696921998</v>
      </c>
      <c r="ER61" s="180" t="n">
        <v>9.32361265723998</v>
      </c>
      <c r="ES61" s="180" t="n">
        <v>9.39334834525998</v>
      </c>
      <c r="ET61" s="180" t="n">
        <v>9.46308403327998</v>
      </c>
      <c r="EU61" s="180" t="n">
        <v>9.53281972129998</v>
      </c>
      <c r="EV61" s="180" t="n">
        <v>9.60255540931998</v>
      </c>
      <c r="EW61" s="180" t="n">
        <v>9.67229109733998</v>
      </c>
      <c r="EX61" s="180" t="n">
        <v>9.74202678535998</v>
      </c>
      <c r="EY61" s="180" t="n">
        <v>9.81176247337998</v>
      </c>
      <c r="EZ61" s="180" t="n">
        <v>9.88149816139998</v>
      </c>
      <c r="FA61" s="180" t="n">
        <v>9.95123384941998</v>
      </c>
      <c r="FB61" s="180" t="n">
        <v>10.02096953744</v>
      </c>
      <c r="FC61" s="180" t="n">
        <v>10.09070522546</v>
      </c>
      <c r="FD61" s="180" t="n">
        <v>10.16044091348</v>
      </c>
      <c r="FE61" s="180" t="n">
        <v>10.2301766015</v>
      </c>
      <c r="FF61" s="180" t="n">
        <v>10.29991228952</v>
      </c>
      <c r="FG61" s="180" t="n">
        <v>10.36964797754</v>
      </c>
      <c r="FH61" s="180" t="n">
        <v>10.43938366556</v>
      </c>
      <c r="FI61" s="180" t="n">
        <v>10.50911935358</v>
      </c>
      <c r="FJ61" s="180" t="n">
        <v>10.5788550416</v>
      </c>
      <c r="FK61" s="180" t="n">
        <v>10.64859072962</v>
      </c>
      <c r="FL61" s="180" t="n">
        <v>10.71832641764</v>
      </c>
      <c r="FM61" s="180" t="n">
        <v>10.78806210566</v>
      </c>
      <c r="FN61" s="180" t="n">
        <v>10.85779779368</v>
      </c>
      <c r="FO61" s="180" t="n">
        <v>10.9275334817</v>
      </c>
      <c r="FP61" s="180" t="n">
        <v>10.99726916972</v>
      </c>
      <c r="FQ61" s="180" t="n">
        <v>11.06700485774</v>
      </c>
      <c r="FR61" s="180" t="n">
        <v>11.13674054576</v>
      </c>
      <c r="FS61" s="180" t="n">
        <v>11.20647623378</v>
      </c>
      <c r="FT61" s="180" t="n">
        <v>11.2762119218</v>
      </c>
      <c r="FU61" s="180" t="n">
        <v>11.34594760982</v>
      </c>
      <c r="FV61" s="180" t="n">
        <v>11.41568329784</v>
      </c>
      <c r="FW61" s="180" t="n">
        <v>11.48541898586</v>
      </c>
      <c r="FX61" s="180" t="n">
        <v>11.55515467388</v>
      </c>
      <c r="FY61" s="180" t="n">
        <v>11.6248903619</v>
      </c>
      <c r="FZ61" s="180" t="n">
        <v>11.69462604992</v>
      </c>
      <c r="GA61" s="180" t="n">
        <v>11.76436173794</v>
      </c>
      <c r="GB61" s="180" t="n">
        <v>11.83409742596</v>
      </c>
      <c r="GC61" s="180" t="n">
        <v>11.90383311398</v>
      </c>
      <c r="GD61" s="180" t="n">
        <v>11.973568802</v>
      </c>
      <c r="GE61" s="180" t="n">
        <v>12.04330449002</v>
      </c>
      <c r="GF61" s="180" t="n">
        <v>12.11304017804</v>
      </c>
      <c r="GG61" s="180" t="n">
        <v>12.18277586606</v>
      </c>
      <c r="GH61" s="180" t="n">
        <v>12.25251155408</v>
      </c>
      <c r="GI61" s="180" t="n">
        <v>12.3222472421</v>
      </c>
      <c r="GJ61" s="180" t="n">
        <v>12.39198293012</v>
      </c>
      <c r="GK61" s="180" t="n">
        <v>12.46171861814</v>
      </c>
      <c r="GL61" s="180" t="n">
        <v>12.53145430616</v>
      </c>
      <c r="GM61" s="180" t="n">
        <v>12.60118999418</v>
      </c>
      <c r="GN61" s="180" t="n">
        <v>12.6709256822</v>
      </c>
      <c r="GO61" s="180" t="n">
        <v>12.74066137022</v>
      </c>
      <c r="GP61" s="180" t="n">
        <v>12.81039705824</v>
      </c>
      <c r="GQ61" s="180" t="n">
        <v>12.88013274626</v>
      </c>
      <c r="GR61" s="180" t="n">
        <v>12.94986843428</v>
      </c>
      <c r="GS61" s="180" t="n">
        <v>13.0196041223</v>
      </c>
      <c r="GT61" s="180" t="n">
        <v>13.08933981032</v>
      </c>
      <c r="GU61" s="180" t="n">
        <v>13.15907549834</v>
      </c>
      <c r="GV61" s="180" t="n">
        <v>13.22881118636</v>
      </c>
      <c r="GW61" s="180" t="n">
        <v>13.29854687438</v>
      </c>
      <c r="GX61" s="180" t="n">
        <v>13.3682825624</v>
      </c>
      <c r="GY61" s="180" t="n">
        <v>13.43801825042</v>
      </c>
      <c r="GZ61" s="180" t="n">
        <v>13.50775393844</v>
      </c>
      <c r="HA61" s="180" t="n">
        <v>13.57748962646</v>
      </c>
      <c r="HB61" s="180" t="n">
        <v>13.64722531448</v>
      </c>
      <c r="HC61" s="180" t="n">
        <v>13.7169610025</v>
      </c>
      <c r="HD61" s="180" t="n">
        <v>13.78669669052</v>
      </c>
      <c r="HE61" s="180" t="n">
        <v>13.85643237854</v>
      </c>
      <c r="HF61" s="180" t="n">
        <v>13.92616806656</v>
      </c>
      <c r="HG61" s="180" t="n">
        <v>13.99590375458</v>
      </c>
      <c r="HH61" s="180" t="n">
        <v>14.0656394426</v>
      </c>
      <c r="HI61" s="180" t="n">
        <v>14.13537513062</v>
      </c>
      <c r="HJ61" s="180" t="n">
        <v>14.20511081864</v>
      </c>
      <c r="HK61" s="180" t="n">
        <v>14.27484650666</v>
      </c>
      <c r="HL61" s="180" t="n">
        <v>14.34458219468</v>
      </c>
      <c r="HM61" s="180" t="n">
        <v>14.4143178827</v>
      </c>
      <c r="HN61" s="180" t="n">
        <v>14.48405357072</v>
      </c>
      <c r="HO61" s="180" t="n">
        <v>14.55378925874</v>
      </c>
      <c r="HP61" s="180" t="n">
        <v>14.62352494676</v>
      </c>
      <c r="HQ61" s="180" t="n">
        <v>14.69326063478</v>
      </c>
      <c r="HR61" s="180" t="n">
        <v>14.7629963228</v>
      </c>
      <c r="HS61" s="180" t="n">
        <v>14.83273201082</v>
      </c>
      <c r="HT61" s="180" t="n">
        <v>14.90246769884</v>
      </c>
      <c r="HU61" s="180" t="n">
        <v>14.97220338686</v>
      </c>
      <c r="HV61" s="180" t="n">
        <v>15.04193907488</v>
      </c>
      <c r="HW61" s="180" t="n">
        <v>15.1116747629</v>
      </c>
      <c r="HX61" s="180" t="n">
        <v>15.18141045092</v>
      </c>
      <c r="HY61" s="180" t="n">
        <v>15.25114613894</v>
      </c>
      <c r="HZ61" s="180" t="n">
        <v>15.32088182696</v>
      </c>
      <c r="IA61" s="180" t="n">
        <v>15.39061751498</v>
      </c>
      <c r="IB61" s="180" t="n">
        <v>15.460353203</v>
      </c>
      <c r="IC61" s="180" t="n">
        <v>15.53008889102</v>
      </c>
      <c r="ID61" s="180" t="n">
        <v>15.59982457904</v>
      </c>
      <c r="IE61" s="180" t="n">
        <v>15.66956026706</v>
      </c>
      <c r="IF61" s="180" t="n">
        <v>15.73929595508</v>
      </c>
      <c r="IG61" s="180" t="n">
        <v>15.8090316431</v>
      </c>
      <c r="IH61" s="180" t="n">
        <v>15.87876733112</v>
      </c>
      <c r="II61" s="180" t="n">
        <v>15.94850301914</v>
      </c>
      <c r="IJ61" s="180" t="n">
        <v>16.01823870716</v>
      </c>
      <c r="IK61" s="180" t="n">
        <v>16.08797439518</v>
      </c>
      <c r="IL61" s="180" t="n">
        <v>16.1577100832</v>
      </c>
      <c r="IM61" s="180" t="n">
        <v>16.22744577122</v>
      </c>
      <c r="IN61" s="180" t="n">
        <v>16.29718145924</v>
      </c>
      <c r="IO61" s="180" t="n">
        <v>16.36691714726</v>
      </c>
      <c r="IP61" s="180" t="n">
        <v>16.43665283528</v>
      </c>
      <c r="IQ61" s="180" t="n">
        <v>16.5063885233</v>
      </c>
      <c r="IR61" s="180" t="n">
        <v>16.57612421132</v>
      </c>
      <c r="IS61" s="180" t="n">
        <v>16.64585989934</v>
      </c>
      <c r="IT61" s="180" t="n">
        <v>16.71559558736</v>
      </c>
      <c r="IU61" s="180" t="n">
        <v>16.78533127538</v>
      </c>
      <c r="IV61" s="180" t="n">
        <v>16.8550669634</v>
      </c>
    </row>
    <row r="62" customFormat="false" ht="12.75" hidden="false" customHeight="false" outlineLevel="0" collapsed="false">
      <c r="A62" s="189" t="n">
        <v>38565</v>
      </c>
      <c r="B62" s="185" t="n">
        <v>-2.021005929375</v>
      </c>
      <c r="C62" s="185" t="n">
        <v>-1.9907047400625</v>
      </c>
      <c r="D62" s="185" t="n">
        <v>-1.96040355075</v>
      </c>
      <c r="E62" s="185" t="n">
        <v>-1.9301023614375</v>
      </c>
      <c r="F62" s="185" t="n">
        <v>-1.899801172125</v>
      </c>
      <c r="G62" s="185" t="n">
        <v>-1.8694999828125</v>
      </c>
      <c r="H62" s="185" t="n">
        <v>-1.8391987935</v>
      </c>
      <c r="I62" s="185" t="n">
        <v>-1.8088976041875</v>
      </c>
      <c r="J62" s="185" t="n">
        <v>-1.778596414875</v>
      </c>
      <c r="K62" s="185" t="n">
        <v>-1.7482952255625</v>
      </c>
      <c r="L62" s="185" t="n">
        <v>-1.71799403625</v>
      </c>
      <c r="M62" s="185" t="n">
        <v>-1.6876928469375</v>
      </c>
      <c r="N62" s="185" t="n">
        <v>-1.657391657625</v>
      </c>
      <c r="O62" s="185" t="n">
        <v>-1.6270904683125</v>
      </c>
      <c r="P62" s="185" t="n">
        <v>-1.596789279</v>
      </c>
      <c r="Q62" s="185" t="n">
        <v>-1.5664880896875</v>
      </c>
      <c r="R62" s="185" t="n">
        <v>-1.536186900375</v>
      </c>
      <c r="S62" s="185" t="n">
        <v>-1.5058857110625</v>
      </c>
      <c r="T62" s="185" t="n">
        <v>-1.47558452175</v>
      </c>
      <c r="U62" s="185" t="n">
        <v>-1.4452833324375</v>
      </c>
      <c r="V62" s="186" t="n">
        <v>-1.414982143125</v>
      </c>
      <c r="W62" s="185" t="n">
        <v>-1.3846809538125</v>
      </c>
      <c r="X62" s="186" t="n">
        <v>-1.3543797645</v>
      </c>
      <c r="Y62" s="185" t="n">
        <v>-1.3240785751875</v>
      </c>
      <c r="Z62" s="186" t="n">
        <v>-1.293777385875</v>
      </c>
      <c r="AA62" s="185" t="n">
        <v>-1.2634761965625</v>
      </c>
      <c r="AB62" s="187" t="n">
        <v>-1.23317500725</v>
      </c>
      <c r="AC62" s="185" t="n">
        <v>-1.2028738179375</v>
      </c>
      <c r="AD62" s="187" t="n">
        <v>-1.172572628625</v>
      </c>
      <c r="AE62" s="185" t="n">
        <v>-1.1422714393125</v>
      </c>
      <c r="AF62" s="185" t="n">
        <v>-1.11197025</v>
      </c>
      <c r="AG62" s="190" t="n">
        <v>-1.083235125</v>
      </c>
      <c r="AH62" s="190" t="n">
        <v>-1.0545</v>
      </c>
      <c r="AI62" s="190" t="n">
        <v>-1.02725</v>
      </c>
      <c r="AJ62" s="190" t="n">
        <v>-1</v>
      </c>
      <c r="AK62" s="190" t="n">
        <v>-0.8</v>
      </c>
      <c r="AL62" s="190" t="n">
        <v>-0.6</v>
      </c>
      <c r="AM62" s="190" t="n">
        <v>-0.4</v>
      </c>
      <c r="AN62" s="190" t="n">
        <v>-0.2</v>
      </c>
      <c r="AO62" s="190" t="n">
        <v>0</v>
      </c>
      <c r="AP62" s="190" t="n">
        <v>0.2</v>
      </c>
      <c r="AQ62" s="190" t="n">
        <v>0.4</v>
      </c>
      <c r="AR62" s="190" t="n">
        <v>0.6</v>
      </c>
      <c r="AS62" s="190" t="n">
        <v>0.8</v>
      </c>
      <c r="AT62" s="190" t="n">
        <v>1</v>
      </c>
      <c r="AU62" s="190" t="n">
        <v>1.2</v>
      </c>
      <c r="AV62" s="190" t="n">
        <v>1.4</v>
      </c>
      <c r="AW62" s="190" t="n">
        <v>1.58</v>
      </c>
      <c r="AX62" s="190" t="n">
        <v>1.76</v>
      </c>
      <c r="AY62" s="190" t="n">
        <v>1.922</v>
      </c>
      <c r="AZ62" s="190" t="n">
        <v>2.084</v>
      </c>
      <c r="BA62" s="190" t="n">
        <v>2.2298</v>
      </c>
      <c r="BB62" s="190" t="n">
        <v>2.3756</v>
      </c>
      <c r="BC62" s="190" t="n">
        <v>2.50682</v>
      </c>
      <c r="BD62" s="190" t="n">
        <v>2.63804</v>
      </c>
      <c r="BE62" s="190" t="n">
        <v>2.756138</v>
      </c>
      <c r="BF62" s="190" t="n">
        <v>2.874236</v>
      </c>
      <c r="BG62" s="190" t="n">
        <v>2.9805242</v>
      </c>
      <c r="BH62" s="190" t="n">
        <v>3.0868124</v>
      </c>
      <c r="BI62" s="190" t="n">
        <v>3.18247178</v>
      </c>
      <c r="BJ62" s="190" t="n">
        <v>3.27813116</v>
      </c>
      <c r="BK62" s="190" t="n">
        <v>3.364224602</v>
      </c>
      <c r="BL62" s="190" t="n">
        <v>3.450318044</v>
      </c>
      <c r="BM62" s="190" t="n">
        <v>3.5278021418</v>
      </c>
      <c r="BN62" s="190" t="n">
        <v>3.6052862396</v>
      </c>
      <c r="BO62" s="190" t="n">
        <v>3.67502192762</v>
      </c>
      <c r="BP62" s="190" t="n">
        <v>3.74475761564</v>
      </c>
      <c r="BQ62" s="190" t="n">
        <v>3.81449330366</v>
      </c>
      <c r="BR62" s="190" t="n">
        <v>3.88422899168</v>
      </c>
      <c r="BS62" s="190" t="n">
        <v>3.9539646797</v>
      </c>
      <c r="BT62" s="190" t="n">
        <v>4.02370036772</v>
      </c>
      <c r="BU62" s="190" t="n">
        <v>4.09343605574</v>
      </c>
      <c r="BV62" s="190" t="n">
        <v>4.16317174376</v>
      </c>
      <c r="BW62" s="190" t="n">
        <v>4.23290743178</v>
      </c>
      <c r="BX62" s="190" t="n">
        <v>4.3026431198</v>
      </c>
      <c r="BY62" s="190" t="n">
        <v>4.37237880782</v>
      </c>
      <c r="BZ62" s="190" t="n">
        <v>4.44211449584</v>
      </c>
      <c r="CA62" s="190" t="n">
        <v>4.51185018386</v>
      </c>
      <c r="CB62" s="190" t="n">
        <v>4.58158587188</v>
      </c>
      <c r="CC62" s="190" t="n">
        <v>4.6513215599</v>
      </c>
      <c r="CD62" s="190" t="n">
        <v>4.72105724792</v>
      </c>
      <c r="CE62" s="190" t="n">
        <v>4.79079293594</v>
      </c>
      <c r="CF62" s="190" t="n">
        <v>4.86052862396</v>
      </c>
      <c r="CG62" s="190" t="n">
        <v>4.93026431198</v>
      </c>
      <c r="CH62" s="190" t="n">
        <v>5</v>
      </c>
      <c r="CI62" s="190" t="n">
        <v>5.06973568801999</v>
      </c>
      <c r="CJ62" s="190" t="n">
        <v>5.13947137603999</v>
      </c>
      <c r="CK62" s="190" t="n">
        <v>5.20920706405999</v>
      </c>
      <c r="CL62" s="190" t="n">
        <v>5.27894275207999</v>
      </c>
      <c r="CM62" s="190" t="n">
        <v>5.34867844009999</v>
      </c>
      <c r="CN62" s="190" t="n">
        <v>5.41841412811999</v>
      </c>
      <c r="CO62" s="190" t="n">
        <v>5.48814981613999</v>
      </c>
      <c r="CP62" s="190" t="n">
        <v>5.55788550415999</v>
      </c>
      <c r="CQ62" s="190" t="n">
        <v>5.62762119217999</v>
      </c>
      <c r="CR62" s="190" t="n">
        <v>5.69735688019999</v>
      </c>
      <c r="CS62" s="190" t="n">
        <v>5.76709256821999</v>
      </c>
      <c r="CT62" s="190" t="n">
        <v>5.83682825623999</v>
      </c>
      <c r="CU62" s="190" t="n">
        <v>5.90656394425999</v>
      </c>
      <c r="CV62" s="190" t="n">
        <v>5.97629963227999</v>
      </c>
      <c r="CW62" s="190" t="n">
        <v>6.04603532029999</v>
      </c>
      <c r="CX62" s="190" t="n">
        <v>6.11577100831999</v>
      </c>
      <c r="CY62" s="190" t="n">
        <v>6.18550669633999</v>
      </c>
      <c r="CZ62" s="190" t="n">
        <v>6.25524238435999</v>
      </c>
      <c r="DA62" s="190" t="n">
        <v>6.32497807237999</v>
      </c>
      <c r="DB62" s="190" t="n">
        <v>6.39471376039999</v>
      </c>
      <c r="DC62" s="190" t="n">
        <v>6.46444944841999</v>
      </c>
      <c r="DD62" s="190" t="n">
        <v>6.53418513643999</v>
      </c>
      <c r="DE62" s="190" t="n">
        <v>6.60392082445999</v>
      </c>
      <c r="DF62" s="190" t="n">
        <v>6.67365651247999</v>
      </c>
      <c r="DG62" s="190" t="n">
        <v>6.74339220049999</v>
      </c>
      <c r="DH62" s="190" t="n">
        <v>6.81312788851999</v>
      </c>
      <c r="DI62" s="190" t="n">
        <v>6.88286357653999</v>
      </c>
      <c r="DJ62" s="190" t="n">
        <v>6.95259926455999</v>
      </c>
      <c r="DK62" s="190" t="n">
        <v>7.02233495257999</v>
      </c>
      <c r="DL62" s="190" t="n">
        <v>7.09207064059999</v>
      </c>
      <c r="DM62" s="190" t="n">
        <v>7.16180632861999</v>
      </c>
      <c r="DN62" s="190" t="n">
        <v>7.23154201663999</v>
      </c>
      <c r="DO62" s="190" t="n">
        <v>7.30127770465999</v>
      </c>
      <c r="DP62" s="190" t="n">
        <v>7.37101339267999</v>
      </c>
      <c r="DQ62" s="190" t="n">
        <v>7.44074908069999</v>
      </c>
      <c r="DR62" s="190" t="n">
        <v>7.51048476871999</v>
      </c>
      <c r="DS62" s="190" t="n">
        <v>7.58022045673999</v>
      </c>
      <c r="DT62" s="190" t="n">
        <v>7.64995614475999</v>
      </c>
      <c r="DU62" s="190" t="n">
        <v>7.71969183277999</v>
      </c>
      <c r="DV62" s="190" t="n">
        <v>7.78942752079998</v>
      </c>
      <c r="DW62" s="190" t="n">
        <v>7.85916320881998</v>
      </c>
      <c r="DX62" s="190" t="n">
        <v>7.92889889683998</v>
      </c>
      <c r="DY62" s="190" t="n">
        <v>7.99863458485998</v>
      </c>
      <c r="DZ62" s="190" t="n">
        <v>8.06837027287998</v>
      </c>
      <c r="EA62" s="190" t="n">
        <v>8.13810596089998</v>
      </c>
      <c r="EB62" s="190" t="n">
        <v>8.20784164891998</v>
      </c>
      <c r="EC62" s="190" t="n">
        <v>8.27757733693998</v>
      </c>
      <c r="ED62" s="190" t="n">
        <v>8.34731302495998</v>
      </c>
      <c r="EE62" s="190" t="n">
        <v>8.41704871297998</v>
      </c>
      <c r="EF62" s="190" t="n">
        <v>8.48678440099998</v>
      </c>
      <c r="EG62" s="190" t="n">
        <v>8.55652008901998</v>
      </c>
      <c r="EH62" s="190" t="n">
        <v>8.62625577703998</v>
      </c>
      <c r="EI62" s="190" t="n">
        <v>8.69599146505998</v>
      </c>
      <c r="EJ62" s="190" t="n">
        <v>8.76572715307998</v>
      </c>
      <c r="EK62" s="190" t="n">
        <v>8.83546284109998</v>
      </c>
      <c r="EL62" s="180" t="n">
        <v>8.90519852911998</v>
      </c>
      <c r="EM62" s="180" t="n">
        <v>8.97493421713998</v>
      </c>
      <c r="EN62" s="180" t="n">
        <v>9.04466990515998</v>
      </c>
      <c r="EO62" s="180" t="n">
        <v>9.11440559317998</v>
      </c>
      <c r="EP62" s="180" t="n">
        <v>9.18414128119998</v>
      </c>
      <c r="EQ62" s="180" t="n">
        <v>9.25387696921998</v>
      </c>
      <c r="ER62" s="180" t="n">
        <v>9.32361265723998</v>
      </c>
      <c r="ES62" s="180" t="n">
        <v>9.39334834525998</v>
      </c>
      <c r="ET62" s="180" t="n">
        <v>9.46308403327998</v>
      </c>
      <c r="EU62" s="180" t="n">
        <v>9.53281972129998</v>
      </c>
      <c r="EV62" s="180" t="n">
        <v>9.60255540931998</v>
      </c>
      <c r="EW62" s="180" t="n">
        <v>9.67229109733998</v>
      </c>
      <c r="EX62" s="180" t="n">
        <v>9.74202678535998</v>
      </c>
      <c r="EY62" s="180" t="n">
        <v>9.81176247337998</v>
      </c>
      <c r="EZ62" s="180" t="n">
        <v>9.88149816139998</v>
      </c>
      <c r="FA62" s="180" t="n">
        <v>9.95123384941998</v>
      </c>
      <c r="FB62" s="180" t="n">
        <v>10.02096953744</v>
      </c>
      <c r="FC62" s="180" t="n">
        <v>10.09070522546</v>
      </c>
      <c r="FD62" s="180" t="n">
        <v>10.16044091348</v>
      </c>
      <c r="FE62" s="180" t="n">
        <v>10.2301766015</v>
      </c>
      <c r="FF62" s="180" t="n">
        <v>10.29991228952</v>
      </c>
      <c r="FG62" s="180" t="n">
        <v>10.36964797754</v>
      </c>
      <c r="FH62" s="180" t="n">
        <v>10.43938366556</v>
      </c>
      <c r="FI62" s="180" t="n">
        <v>10.50911935358</v>
      </c>
      <c r="FJ62" s="180" t="n">
        <v>10.5788550416</v>
      </c>
      <c r="FK62" s="180" t="n">
        <v>10.64859072962</v>
      </c>
      <c r="FL62" s="180" t="n">
        <v>10.71832641764</v>
      </c>
      <c r="FM62" s="180" t="n">
        <v>10.78806210566</v>
      </c>
      <c r="FN62" s="180" t="n">
        <v>10.85779779368</v>
      </c>
      <c r="FO62" s="180" t="n">
        <v>10.9275334817</v>
      </c>
      <c r="FP62" s="180" t="n">
        <v>10.99726916972</v>
      </c>
      <c r="FQ62" s="180" t="n">
        <v>11.06700485774</v>
      </c>
      <c r="FR62" s="180" t="n">
        <v>11.13674054576</v>
      </c>
      <c r="FS62" s="180" t="n">
        <v>11.20647623378</v>
      </c>
      <c r="FT62" s="180" t="n">
        <v>11.2762119218</v>
      </c>
      <c r="FU62" s="180" t="n">
        <v>11.34594760982</v>
      </c>
      <c r="FV62" s="180" t="n">
        <v>11.41568329784</v>
      </c>
      <c r="FW62" s="180" t="n">
        <v>11.48541898586</v>
      </c>
      <c r="FX62" s="180" t="n">
        <v>11.55515467388</v>
      </c>
      <c r="FY62" s="180" t="n">
        <v>11.6248903619</v>
      </c>
      <c r="FZ62" s="180" t="n">
        <v>11.69462604992</v>
      </c>
      <c r="GA62" s="180" t="n">
        <v>11.76436173794</v>
      </c>
      <c r="GB62" s="180" t="n">
        <v>11.83409742596</v>
      </c>
      <c r="GC62" s="180" t="n">
        <v>11.90383311398</v>
      </c>
      <c r="GD62" s="180" t="n">
        <v>11.973568802</v>
      </c>
      <c r="GE62" s="180" t="n">
        <v>12.04330449002</v>
      </c>
      <c r="GF62" s="180" t="n">
        <v>12.11304017804</v>
      </c>
      <c r="GG62" s="180" t="n">
        <v>12.18277586606</v>
      </c>
      <c r="GH62" s="180" t="n">
        <v>12.25251155408</v>
      </c>
      <c r="GI62" s="180" t="n">
        <v>12.3222472421</v>
      </c>
      <c r="GJ62" s="180" t="n">
        <v>12.39198293012</v>
      </c>
      <c r="GK62" s="180" t="n">
        <v>12.46171861814</v>
      </c>
      <c r="GL62" s="180" t="n">
        <v>12.53145430616</v>
      </c>
      <c r="GM62" s="180" t="n">
        <v>12.60118999418</v>
      </c>
      <c r="GN62" s="180" t="n">
        <v>12.6709256822</v>
      </c>
      <c r="GO62" s="180" t="n">
        <v>12.74066137022</v>
      </c>
      <c r="GP62" s="180" t="n">
        <v>12.81039705824</v>
      </c>
      <c r="GQ62" s="180" t="n">
        <v>12.88013274626</v>
      </c>
      <c r="GR62" s="180" t="n">
        <v>12.94986843428</v>
      </c>
      <c r="GS62" s="180" t="n">
        <v>13.0196041223</v>
      </c>
      <c r="GT62" s="180" t="n">
        <v>13.08933981032</v>
      </c>
      <c r="GU62" s="180" t="n">
        <v>13.15907549834</v>
      </c>
      <c r="GV62" s="180" t="n">
        <v>13.22881118636</v>
      </c>
      <c r="GW62" s="180" t="n">
        <v>13.29854687438</v>
      </c>
      <c r="GX62" s="180" t="n">
        <v>13.3682825624</v>
      </c>
      <c r="GY62" s="180" t="n">
        <v>13.43801825042</v>
      </c>
      <c r="GZ62" s="180" t="n">
        <v>13.50775393844</v>
      </c>
      <c r="HA62" s="180" t="n">
        <v>13.57748962646</v>
      </c>
      <c r="HB62" s="180" t="n">
        <v>13.64722531448</v>
      </c>
      <c r="HC62" s="180" t="n">
        <v>13.7169610025</v>
      </c>
      <c r="HD62" s="180" t="n">
        <v>13.78669669052</v>
      </c>
      <c r="HE62" s="180" t="n">
        <v>13.85643237854</v>
      </c>
      <c r="HF62" s="180" t="n">
        <v>13.92616806656</v>
      </c>
      <c r="HG62" s="180" t="n">
        <v>13.99590375458</v>
      </c>
      <c r="HH62" s="180" t="n">
        <v>14.0656394426</v>
      </c>
      <c r="HI62" s="180" t="n">
        <v>14.13537513062</v>
      </c>
      <c r="HJ62" s="180" t="n">
        <v>14.20511081864</v>
      </c>
      <c r="HK62" s="180" t="n">
        <v>14.27484650666</v>
      </c>
      <c r="HL62" s="180" t="n">
        <v>14.34458219468</v>
      </c>
      <c r="HM62" s="180" t="n">
        <v>14.4143178827</v>
      </c>
      <c r="HN62" s="180" t="n">
        <v>14.48405357072</v>
      </c>
      <c r="HO62" s="180" t="n">
        <v>14.55378925874</v>
      </c>
      <c r="HP62" s="180" t="n">
        <v>14.62352494676</v>
      </c>
      <c r="HQ62" s="180" t="n">
        <v>14.69326063478</v>
      </c>
      <c r="HR62" s="180" t="n">
        <v>14.7629963228</v>
      </c>
      <c r="HS62" s="180" t="n">
        <v>14.83273201082</v>
      </c>
      <c r="HT62" s="180" t="n">
        <v>14.90246769884</v>
      </c>
      <c r="HU62" s="180" t="n">
        <v>14.97220338686</v>
      </c>
      <c r="HV62" s="180" t="n">
        <v>15.04193907488</v>
      </c>
      <c r="HW62" s="180" t="n">
        <v>15.1116747629</v>
      </c>
      <c r="HX62" s="180" t="n">
        <v>15.18141045092</v>
      </c>
      <c r="HY62" s="180" t="n">
        <v>15.25114613894</v>
      </c>
      <c r="HZ62" s="180" t="n">
        <v>15.32088182696</v>
      </c>
      <c r="IA62" s="180" t="n">
        <v>15.39061751498</v>
      </c>
      <c r="IB62" s="180" t="n">
        <v>15.460353203</v>
      </c>
      <c r="IC62" s="180" t="n">
        <v>15.53008889102</v>
      </c>
      <c r="ID62" s="180" t="n">
        <v>15.59982457904</v>
      </c>
      <c r="IE62" s="180" t="n">
        <v>15.66956026706</v>
      </c>
      <c r="IF62" s="180" t="n">
        <v>15.73929595508</v>
      </c>
      <c r="IG62" s="180" t="n">
        <v>15.8090316431</v>
      </c>
      <c r="IH62" s="180" t="n">
        <v>15.87876733112</v>
      </c>
      <c r="II62" s="180" t="n">
        <v>15.94850301914</v>
      </c>
      <c r="IJ62" s="180" t="n">
        <v>16.01823870716</v>
      </c>
      <c r="IK62" s="180" t="n">
        <v>16.08797439518</v>
      </c>
      <c r="IL62" s="180" t="n">
        <v>16.1577100832</v>
      </c>
      <c r="IM62" s="180" t="n">
        <v>16.22744577122</v>
      </c>
      <c r="IN62" s="180" t="n">
        <v>16.29718145924</v>
      </c>
      <c r="IO62" s="180" t="n">
        <v>16.36691714726</v>
      </c>
      <c r="IP62" s="180" t="n">
        <v>16.43665283528</v>
      </c>
      <c r="IQ62" s="180" t="n">
        <v>16.5063885233</v>
      </c>
      <c r="IR62" s="180" t="n">
        <v>16.57612421132</v>
      </c>
      <c r="IS62" s="180" t="n">
        <v>16.64585989934</v>
      </c>
      <c r="IT62" s="180" t="n">
        <v>16.71559558736</v>
      </c>
      <c r="IU62" s="180" t="n">
        <v>16.78533127538</v>
      </c>
      <c r="IV62" s="180" t="n">
        <v>16.8550669634</v>
      </c>
    </row>
    <row r="63" customFormat="false" ht="12.75" hidden="false" customHeight="false" outlineLevel="0" collapsed="false">
      <c r="A63" s="189" t="n">
        <v>38596</v>
      </c>
      <c r="B63" s="185" t="n">
        <v>-2.021005929375</v>
      </c>
      <c r="C63" s="185" t="n">
        <v>-1.9907047400625</v>
      </c>
      <c r="D63" s="185" t="n">
        <v>-1.96040355075</v>
      </c>
      <c r="E63" s="185" t="n">
        <v>-1.9301023614375</v>
      </c>
      <c r="F63" s="185" t="n">
        <v>-1.899801172125</v>
      </c>
      <c r="G63" s="185" t="n">
        <v>-1.8694999828125</v>
      </c>
      <c r="H63" s="185" t="n">
        <v>-1.8391987935</v>
      </c>
      <c r="I63" s="185" t="n">
        <v>-1.8088976041875</v>
      </c>
      <c r="J63" s="185" t="n">
        <v>-1.778596414875</v>
      </c>
      <c r="K63" s="185" t="n">
        <v>-1.7482952255625</v>
      </c>
      <c r="L63" s="185" t="n">
        <v>-1.71799403625</v>
      </c>
      <c r="M63" s="185" t="n">
        <v>-1.6876928469375</v>
      </c>
      <c r="N63" s="185" t="n">
        <v>-1.657391657625</v>
      </c>
      <c r="O63" s="185" t="n">
        <v>-1.6270904683125</v>
      </c>
      <c r="P63" s="185" t="n">
        <v>-1.596789279</v>
      </c>
      <c r="Q63" s="185" t="n">
        <v>-1.5664880896875</v>
      </c>
      <c r="R63" s="185" t="n">
        <v>-1.536186900375</v>
      </c>
      <c r="S63" s="185" t="n">
        <v>-1.5058857110625</v>
      </c>
      <c r="T63" s="185" t="n">
        <v>-1.47558452175</v>
      </c>
      <c r="U63" s="185" t="n">
        <v>-1.4452833324375</v>
      </c>
      <c r="V63" s="186" t="n">
        <v>-1.414982143125</v>
      </c>
      <c r="W63" s="185" t="n">
        <v>-1.3846809538125</v>
      </c>
      <c r="X63" s="186" t="n">
        <v>-1.3543797645</v>
      </c>
      <c r="Y63" s="185" t="n">
        <v>-1.3240785751875</v>
      </c>
      <c r="Z63" s="186" t="n">
        <v>-1.293777385875</v>
      </c>
      <c r="AA63" s="185" t="n">
        <v>-1.2634761965625</v>
      </c>
      <c r="AB63" s="187" t="n">
        <v>-1.23317500725</v>
      </c>
      <c r="AC63" s="185" t="n">
        <v>-1.2028738179375</v>
      </c>
      <c r="AD63" s="187" t="n">
        <v>-1.172572628625</v>
      </c>
      <c r="AE63" s="185" t="n">
        <v>-1.1422714393125</v>
      </c>
      <c r="AF63" s="185" t="n">
        <v>-1.11197025</v>
      </c>
      <c r="AG63" s="190" t="n">
        <v>-1.083235125</v>
      </c>
      <c r="AH63" s="190" t="n">
        <v>-1.0545</v>
      </c>
      <c r="AI63" s="190" t="n">
        <v>-1.02725</v>
      </c>
      <c r="AJ63" s="190" t="n">
        <v>-1</v>
      </c>
      <c r="AK63" s="190" t="n">
        <v>-0.8</v>
      </c>
      <c r="AL63" s="190" t="n">
        <v>-0.6</v>
      </c>
      <c r="AM63" s="190" t="n">
        <v>-0.4</v>
      </c>
      <c r="AN63" s="190" t="n">
        <v>-0.2</v>
      </c>
      <c r="AO63" s="190" t="n">
        <v>0</v>
      </c>
      <c r="AP63" s="190" t="n">
        <v>0.2</v>
      </c>
      <c r="AQ63" s="190" t="n">
        <v>0.4</v>
      </c>
      <c r="AR63" s="190" t="n">
        <v>0.6</v>
      </c>
      <c r="AS63" s="190" t="n">
        <v>0.8</v>
      </c>
      <c r="AT63" s="190" t="n">
        <v>1</v>
      </c>
      <c r="AU63" s="190" t="n">
        <v>1.2</v>
      </c>
      <c r="AV63" s="190" t="n">
        <v>1.4</v>
      </c>
      <c r="AW63" s="190" t="n">
        <v>1.58</v>
      </c>
      <c r="AX63" s="190" t="n">
        <v>1.76</v>
      </c>
      <c r="AY63" s="190" t="n">
        <v>1.922</v>
      </c>
      <c r="AZ63" s="190" t="n">
        <v>2.084</v>
      </c>
      <c r="BA63" s="190" t="n">
        <v>2.2298</v>
      </c>
      <c r="BB63" s="190" t="n">
        <v>2.3756</v>
      </c>
      <c r="BC63" s="190" t="n">
        <v>2.50682</v>
      </c>
      <c r="BD63" s="190" t="n">
        <v>2.63804</v>
      </c>
      <c r="BE63" s="190" t="n">
        <v>2.756138</v>
      </c>
      <c r="BF63" s="190" t="n">
        <v>2.874236</v>
      </c>
      <c r="BG63" s="190" t="n">
        <v>2.9805242</v>
      </c>
      <c r="BH63" s="190" t="n">
        <v>3.0868124</v>
      </c>
      <c r="BI63" s="190" t="n">
        <v>3.18247178</v>
      </c>
      <c r="BJ63" s="190" t="n">
        <v>3.27813116</v>
      </c>
      <c r="BK63" s="190" t="n">
        <v>3.364224602</v>
      </c>
      <c r="BL63" s="190" t="n">
        <v>3.450318044</v>
      </c>
      <c r="BM63" s="190" t="n">
        <v>3.5278021418</v>
      </c>
      <c r="BN63" s="190" t="n">
        <v>3.6052862396</v>
      </c>
      <c r="BO63" s="190" t="n">
        <v>3.67502192762</v>
      </c>
      <c r="BP63" s="190" t="n">
        <v>3.74475761564</v>
      </c>
      <c r="BQ63" s="190" t="n">
        <v>3.81449330366</v>
      </c>
      <c r="BR63" s="190" t="n">
        <v>3.88422899168</v>
      </c>
      <c r="BS63" s="190" t="n">
        <v>3.9539646797</v>
      </c>
      <c r="BT63" s="190" t="n">
        <v>4.02370036772</v>
      </c>
      <c r="BU63" s="190" t="n">
        <v>4.09343605574</v>
      </c>
      <c r="BV63" s="190" t="n">
        <v>4.16317174376</v>
      </c>
      <c r="BW63" s="190" t="n">
        <v>4.23290743178</v>
      </c>
      <c r="BX63" s="190" t="n">
        <v>4.3026431198</v>
      </c>
      <c r="BY63" s="190" t="n">
        <v>4.37237880782</v>
      </c>
      <c r="BZ63" s="190" t="n">
        <v>4.44211449584</v>
      </c>
      <c r="CA63" s="190" t="n">
        <v>4.51185018386</v>
      </c>
      <c r="CB63" s="190" t="n">
        <v>4.58158587188</v>
      </c>
      <c r="CC63" s="190" t="n">
        <v>4.6513215599</v>
      </c>
      <c r="CD63" s="190" t="n">
        <v>4.72105724792</v>
      </c>
      <c r="CE63" s="190" t="n">
        <v>4.79079293594</v>
      </c>
      <c r="CF63" s="190" t="n">
        <v>4.86052862396</v>
      </c>
      <c r="CG63" s="190" t="n">
        <v>4.93026431198</v>
      </c>
      <c r="CH63" s="190" t="n">
        <v>5</v>
      </c>
      <c r="CI63" s="190" t="n">
        <v>5.06973568801999</v>
      </c>
      <c r="CJ63" s="190" t="n">
        <v>5.13947137603999</v>
      </c>
      <c r="CK63" s="190" t="n">
        <v>5.20920706405999</v>
      </c>
      <c r="CL63" s="190" t="n">
        <v>5.27894275207999</v>
      </c>
      <c r="CM63" s="190" t="n">
        <v>5.34867844009999</v>
      </c>
      <c r="CN63" s="190" t="n">
        <v>5.41841412811999</v>
      </c>
      <c r="CO63" s="190" t="n">
        <v>5.48814981613999</v>
      </c>
      <c r="CP63" s="190" t="n">
        <v>5.55788550415999</v>
      </c>
      <c r="CQ63" s="190" t="n">
        <v>5.62762119217999</v>
      </c>
      <c r="CR63" s="190" t="n">
        <v>5.69735688019999</v>
      </c>
      <c r="CS63" s="190" t="n">
        <v>5.76709256821999</v>
      </c>
      <c r="CT63" s="190" t="n">
        <v>5.83682825623999</v>
      </c>
      <c r="CU63" s="190" t="n">
        <v>5.90656394425999</v>
      </c>
      <c r="CV63" s="190" t="n">
        <v>5.97629963227999</v>
      </c>
      <c r="CW63" s="190" t="n">
        <v>6.04603532029999</v>
      </c>
      <c r="CX63" s="190" t="n">
        <v>6.11577100831999</v>
      </c>
      <c r="CY63" s="190" t="n">
        <v>6.18550669633999</v>
      </c>
      <c r="CZ63" s="190" t="n">
        <v>6.25524238435999</v>
      </c>
      <c r="DA63" s="190" t="n">
        <v>6.32497807237999</v>
      </c>
      <c r="DB63" s="190" t="n">
        <v>6.39471376039999</v>
      </c>
      <c r="DC63" s="190" t="n">
        <v>6.46444944841999</v>
      </c>
      <c r="DD63" s="190" t="n">
        <v>6.53418513643999</v>
      </c>
      <c r="DE63" s="190" t="n">
        <v>6.60392082445999</v>
      </c>
      <c r="DF63" s="190" t="n">
        <v>6.67365651247999</v>
      </c>
      <c r="DG63" s="190" t="n">
        <v>6.74339220049999</v>
      </c>
      <c r="DH63" s="190" t="n">
        <v>6.81312788851999</v>
      </c>
      <c r="DI63" s="190" t="n">
        <v>6.88286357653999</v>
      </c>
      <c r="DJ63" s="190" t="n">
        <v>6.95259926455999</v>
      </c>
      <c r="DK63" s="190" t="n">
        <v>7.02233495257999</v>
      </c>
      <c r="DL63" s="190" t="n">
        <v>7.09207064059999</v>
      </c>
      <c r="DM63" s="190" t="n">
        <v>7.16180632861999</v>
      </c>
      <c r="DN63" s="190" t="n">
        <v>7.23154201663999</v>
      </c>
      <c r="DO63" s="190" t="n">
        <v>7.30127770465999</v>
      </c>
      <c r="DP63" s="190" t="n">
        <v>7.37101339267999</v>
      </c>
      <c r="DQ63" s="190" t="n">
        <v>7.44074908069999</v>
      </c>
      <c r="DR63" s="190" t="n">
        <v>7.51048476871999</v>
      </c>
      <c r="DS63" s="190" t="n">
        <v>7.58022045673999</v>
      </c>
      <c r="DT63" s="190" t="n">
        <v>7.64995614475999</v>
      </c>
      <c r="DU63" s="190" t="n">
        <v>7.71969183277999</v>
      </c>
      <c r="DV63" s="190" t="n">
        <v>7.78942752079998</v>
      </c>
      <c r="DW63" s="190" t="n">
        <v>7.85916320881998</v>
      </c>
      <c r="DX63" s="190" t="n">
        <v>7.92889889683998</v>
      </c>
      <c r="DY63" s="190" t="n">
        <v>7.99863458485998</v>
      </c>
      <c r="DZ63" s="190" t="n">
        <v>8.06837027287998</v>
      </c>
      <c r="EA63" s="190" t="n">
        <v>8.13810596089998</v>
      </c>
      <c r="EB63" s="190" t="n">
        <v>8.20784164891998</v>
      </c>
      <c r="EC63" s="190" t="n">
        <v>8.27757733693998</v>
      </c>
      <c r="ED63" s="190" t="n">
        <v>8.34731302495998</v>
      </c>
      <c r="EE63" s="190" t="n">
        <v>8.41704871297998</v>
      </c>
      <c r="EF63" s="190" t="n">
        <v>8.48678440099998</v>
      </c>
      <c r="EG63" s="190" t="n">
        <v>8.55652008901998</v>
      </c>
      <c r="EH63" s="190" t="n">
        <v>8.62625577703998</v>
      </c>
      <c r="EI63" s="190" t="n">
        <v>8.69599146505998</v>
      </c>
      <c r="EJ63" s="190" t="n">
        <v>8.76572715307998</v>
      </c>
      <c r="EK63" s="190" t="n">
        <v>8.83546284109998</v>
      </c>
      <c r="EL63" s="180" t="n">
        <v>8.90519852911998</v>
      </c>
      <c r="EM63" s="180" t="n">
        <v>8.97493421713998</v>
      </c>
      <c r="EN63" s="180" t="n">
        <v>9.04466990515998</v>
      </c>
      <c r="EO63" s="180" t="n">
        <v>9.11440559317998</v>
      </c>
      <c r="EP63" s="180" t="n">
        <v>9.18414128119998</v>
      </c>
      <c r="EQ63" s="180" t="n">
        <v>9.25387696921998</v>
      </c>
      <c r="ER63" s="180" t="n">
        <v>9.32361265723998</v>
      </c>
      <c r="ES63" s="180" t="n">
        <v>9.39334834525998</v>
      </c>
      <c r="ET63" s="180" t="n">
        <v>9.46308403327998</v>
      </c>
      <c r="EU63" s="180" t="n">
        <v>9.53281972129998</v>
      </c>
      <c r="EV63" s="180" t="n">
        <v>9.60255540931998</v>
      </c>
      <c r="EW63" s="180" t="n">
        <v>9.67229109733998</v>
      </c>
      <c r="EX63" s="180" t="n">
        <v>9.74202678535998</v>
      </c>
      <c r="EY63" s="180" t="n">
        <v>9.81176247337998</v>
      </c>
      <c r="EZ63" s="180" t="n">
        <v>9.88149816139998</v>
      </c>
      <c r="FA63" s="180" t="n">
        <v>9.95123384941998</v>
      </c>
      <c r="FB63" s="180" t="n">
        <v>10.02096953744</v>
      </c>
      <c r="FC63" s="180" t="n">
        <v>10.09070522546</v>
      </c>
      <c r="FD63" s="180" t="n">
        <v>10.16044091348</v>
      </c>
      <c r="FE63" s="180" t="n">
        <v>10.2301766015</v>
      </c>
      <c r="FF63" s="180" t="n">
        <v>10.29991228952</v>
      </c>
      <c r="FG63" s="180" t="n">
        <v>10.36964797754</v>
      </c>
      <c r="FH63" s="180" t="n">
        <v>10.43938366556</v>
      </c>
      <c r="FI63" s="180" t="n">
        <v>10.50911935358</v>
      </c>
      <c r="FJ63" s="180" t="n">
        <v>10.5788550416</v>
      </c>
      <c r="FK63" s="180" t="n">
        <v>10.64859072962</v>
      </c>
      <c r="FL63" s="180" t="n">
        <v>10.71832641764</v>
      </c>
      <c r="FM63" s="180" t="n">
        <v>10.78806210566</v>
      </c>
      <c r="FN63" s="180" t="n">
        <v>10.85779779368</v>
      </c>
      <c r="FO63" s="180" t="n">
        <v>10.9275334817</v>
      </c>
      <c r="FP63" s="180" t="n">
        <v>10.99726916972</v>
      </c>
      <c r="FQ63" s="180" t="n">
        <v>11.06700485774</v>
      </c>
      <c r="FR63" s="180" t="n">
        <v>11.13674054576</v>
      </c>
      <c r="FS63" s="180" t="n">
        <v>11.20647623378</v>
      </c>
      <c r="FT63" s="180" t="n">
        <v>11.2762119218</v>
      </c>
      <c r="FU63" s="180" t="n">
        <v>11.34594760982</v>
      </c>
      <c r="FV63" s="180" t="n">
        <v>11.41568329784</v>
      </c>
      <c r="FW63" s="180" t="n">
        <v>11.48541898586</v>
      </c>
      <c r="FX63" s="180" t="n">
        <v>11.55515467388</v>
      </c>
      <c r="FY63" s="180" t="n">
        <v>11.6248903619</v>
      </c>
      <c r="FZ63" s="180" t="n">
        <v>11.69462604992</v>
      </c>
      <c r="GA63" s="180" t="n">
        <v>11.76436173794</v>
      </c>
      <c r="GB63" s="180" t="n">
        <v>11.83409742596</v>
      </c>
      <c r="GC63" s="180" t="n">
        <v>11.90383311398</v>
      </c>
      <c r="GD63" s="180" t="n">
        <v>11.973568802</v>
      </c>
      <c r="GE63" s="180" t="n">
        <v>12.04330449002</v>
      </c>
      <c r="GF63" s="180" t="n">
        <v>12.11304017804</v>
      </c>
      <c r="GG63" s="180" t="n">
        <v>12.18277586606</v>
      </c>
      <c r="GH63" s="180" t="n">
        <v>12.25251155408</v>
      </c>
      <c r="GI63" s="180" t="n">
        <v>12.3222472421</v>
      </c>
      <c r="GJ63" s="180" t="n">
        <v>12.39198293012</v>
      </c>
      <c r="GK63" s="180" t="n">
        <v>12.46171861814</v>
      </c>
      <c r="GL63" s="180" t="n">
        <v>12.53145430616</v>
      </c>
      <c r="GM63" s="180" t="n">
        <v>12.60118999418</v>
      </c>
      <c r="GN63" s="180" t="n">
        <v>12.6709256822</v>
      </c>
      <c r="GO63" s="180" t="n">
        <v>12.74066137022</v>
      </c>
      <c r="GP63" s="180" t="n">
        <v>12.81039705824</v>
      </c>
      <c r="GQ63" s="180" t="n">
        <v>12.88013274626</v>
      </c>
      <c r="GR63" s="180" t="n">
        <v>12.94986843428</v>
      </c>
      <c r="GS63" s="180" t="n">
        <v>13.0196041223</v>
      </c>
      <c r="GT63" s="180" t="n">
        <v>13.08933981032</v>
      </c>
      <c r="GU63" s="180" t="n">
        <v>13.15907549834</v>
      </c>
      <c r="GV63" s="180" t="n">
        <v>13.22881118636</v>
      </c>
      <c r="GW63" s="180" t="n">
        <v>13.29854687438</v>
      </c>
      <c r="GX63" s="180" t="n">
        <v>13.3682825624</v>
      </c>
      <c r="GY63" s="180" t="n">
        <v>13.43801825042</v>
      </c>
      <c r="GZ63" s="180" t="n">
        <v>13.50775393844</v>
      </c>
      <c r="HA63" s="180" t="n">
        <v>13.57748962646</v>
      </c>
      <c r="HB63" s="180" t="n">
        <v>13.64722531448</v>
      </c>
      <c r="HC63" s="180" t="n">
        <v>13.7169610025</v>
      </c>
      <c r="HD63" s="180" t="n">
        <v>13.78669669052</v>
      </c>
      <c r="HE63" s="180" t="n">
        <v>13.85643237854</v>
      </c>
      <c r="HF63" s="180" t="n">
        <v>13.92616806656</v>
      </c>
      <c r="HG63" s="180" t="n">
        <v>13.99590375458</v>
      </c>
      <c r="HH63" s="180" t="n">
        <v>14.0656394426</v>
      </c>
      <c r="HI63" s="180" t="n">
        <v>14.13537513062</v>
      </c>
      <c r="HJ63" s="180" t="n">
        <v>14.20511081864</v>
      </c>
      <c r="HK63" s="180" t="n">
        <v>14.27484650666</v>
      </c>
      <c r="HL63" s="180" t="n">
        <v>14.34458219468</v>
      </c>
      <c r="HM63" s="180" t="n">
        <v>14.4143178827</v>
      </c>
      <c r="HN63" s="180" t="n">
        <v>14.48405357072</v>
      </c>
      <c r="HO63" s="180" t="n">
        <v>14.55378925874</v>
      </c>
      <c r="HP63" s="180" t="n">
        <v>14.62352494676</v>
      </c>
      <c r="HQ63" s="180" t="n">
        <v>14.69326063478</v>
      </c>
      <c r="HR63" s="180" t="n">
        <v>14.7629963228</v>
      </c>
      <c r="HS63" s="180" t="n">
        <v>14.83273201082</v>
      </c>
      <c r="HT63" s="180" t="n">
        <v>14.90246769884</v>
      </c>
      <c r="HU63" s="180" t="n">
        <v>14.97220338686</v>
      </c>
      <c r="HV63" s="180" t="n">
        <v>15.04193907488</v>
      </c>
      <c r="HW63" s="180" t="n">
        <v>15.1116747629</v>
      </c>
      <c r="HX63" s="180" t="n">
        <v>15.18141045092</v>
      </c>
      <c r="HY63" s="180" t="n">
        <v>15.25114613894</v>
      </c>
      <c r="HZ63" s="180" t="n">
        <v>15.32088182696</v>
      </c>
      <c r="IA63" s="180" t="n">
        <v>15.39061751498</v>
      </c>
      <c r="IB63" s="180" t="n">
        <v>15.460353203</v>
      </c>
      <c r="IC63" s="180" t="n">
        <v>15.53008889102</v>
      </c>
      <c r="ID63" s="180" t="n">
        <v>15.59982457904</v>
      </c>
      <c r="IE63" s="180" t="n">
        <v>15.66956026706</v>
      </c>
      <c r="IF63" s="180" t="n">
        <v>15.73929595508</v>
      </c>
      <c r="IG63" s="180" t="n">
        <v>15.8090316431</v>
      </c>
      <c r="IH63" s="180" t="n">
        <v>15.87876733112</v>
      </c>
      <c r="II63" s="180" t="n">
        <v>15.94850301914</v>
      </c>
      <c r="IJ63" s="180" t="n">
        <v>16.01823870716</v>
      </c>
      <c r="IK63" s="180" t="n">
        <v>16.08797439518</v>
      </c>
      <c r="IL63" s="180" t="n">
        <v>16.1577100832</v>
      </c>
      <c r="IM63" s="180" t="n">
        <v>16.22744577122</v>
      </c>
      <c r="IN63" s="180" t="n">
        <v>16.29718145924</v>
      </c>
      <c r="IO63" s="180" t="n">
        <v>16.36691714726</v>
      </c>
      <c r="IP63" s="180" t="n">
        <v>16.43665283528</v>
      </c>
      <c r="IQ63" s="180" t="n">
        <v>16.5063885233</v>
      </c>
      <c r="IR63" s="180" t="n">
        <v>16.57612421132</v>
      </c>
      <c r="IS63" s="180" t="n">
        <v>16.64585989934</v>
      </c>
      <c r="IT63" s="180" t="n">
        <v>16.71559558736</v>
      </c>
      <c r="IU63" s="180" t="n">
        <v>16.78533127538</v>
      </c>
      <c r="IV63" s="180" t="n">
        <v>16.8550669634</v>
      </c>
    </row>
    <row r="64" customFormat="false" ht="12.75" hidden="false" customHeight="false" outlineLevel="0" collapsed="false">
      <c r="A64" s="189" t="n">
        <v>38626</v>
      </c>
      <c r="B64" s="185" t="n">
        <v>-2.021005929375</v>
      </c>
      <c r="C64" s="185" t="n">
        <v>-1.9907047400625</v>
      </c>
      <c r="D64" s="185" t="n">
        <v>-1.96040355075</v>
      </c>
      <c r="E64" s="185" t="n">
        <v>-1.9301023614375</v>
      </c>
      <c r="F64" s="185" t="n">
        <v>-1.899801172125</v>
      </c>
      <c r="G64" s="185" t="n">
        <v>-1.8694999828125</v>
      </c>
      <c r="H64" s="185" t="n">
        <v>-1.8391987935</v>
      </c>
      <c r="I64" s="185" t="n">
        <v>-1.8088976041875</v>
      </c>
      <c r="J64" s="185" t="n">
        <v>-1.778596414875</v>
      </c>
      <c r="K64" s="185" t="n">
        <v>-1.7482952255625</v>
      </c>
      <c r="L64" s="185" t="n">
        <v>-1.71799403625</v>
      </c>
      <c r="M64" s="185" t="n">
        <v>-1.6876928469375</v>
      </c>
      <c r="N64" s="185" t="n">
        <v>-1.657391657625</v>
      </c>
      <c r="O64" s="185" t="n">
        <v>-1.6270904683125</v>
      </c>
      <c r="P64" s="185" t="n">
        <v>-1.596789279</v>
      </c>
      <c r="Q64" s="185" t="n">
        <v>-1.5664880896875</v>
      </c>
      <c r="R64" s="185" t="n">
        <v>-1.536186900375</v>
      </c>
      <c r="S64" s="185" t="n">
        <v>-1.5058857110625</v>
      </c>
      <c r="T64" s="185" t="n">
        <v>-1.47558452175</v>
      </c>
      <c r="U64" s="185" t="n">
        <v>-1.4452833324375</v>
      </c>
      <c r="V64" s="186" t="n">
        <v>-1.414982143125</v>
      </c>
      <c r="W64" s="185" t="n">
        <v>-1.3846809538125</v>
      </c>
      <c r="X64" s="186" t="n">
        <v>-1.3543797645</v>
      </c>
      <c r="Y64" s="185" t="n">
        <v>-1.3240785751875</v>
      </c>
      <c r="Z64" s="186" t="n">
        <v>-1.293777385875</v>
      </c>
      <c r="AA64" s="185" t="n">
        <v>-1.2634761965625</v>
      </c>
      <c r="AB64" s="187" t="n">
        <v>-1.23317500725</v>
      </c>
      <c r="AC64" s="185" t="n">
        <v>-1.2028738179375</v>
      </c>
      <c r="AD64" s="187" t="n">
        <v>-1.172572628625</v>
      </c>
      <c r="AE64" s="185" t="n">
        <v>-1.1422714393125</v>
      </c>
      <c r="AF64" s="185" t="n">
        <v>-1.11197025</v>
      </c>
      <c r="AG64" s="190" t="n">
        <v>-1.083235125</v>
      </c>
      <c r="AH64" s="190" t="n">
        <v>-1.0545</v>
      </c>
      <c r="AI64" s="190" t="n">
        <v>-1.02725</v>
      </c>
      <c r="AJ64" s="190" t="n">
        <v>-1</v>
      </c>
      <c r="AK64" s="190" t="n">
        <v>-0.8</v>
      </c>
      <c r="AL64" s="190" t="n">
        <v>-0.6</v>
      </c>
      <c r="AM64" s="190" t="n">
        <v>-0.4</v>
      </c>
      <c r="AN64" s="190" t="n">
        <v>-0.2</v>
      </c>
      <c r="AO64" s="190" t="n">
        <v>0</v>
      </c>
      <c r="AP64" s="190" t="n">
        <v>0.2</v>
      </c>
      <c r="AQ64" s="190" t="n">
        <v>0.4</v>
      </c>
      <c r="AR64" s="190" t="n">
        <v>0.6</v>
      </c>
      <c r="AS64" s="190" t="n">
        <v>0.8</v>
      </c>
      <c r="AT64" s="190" t="n">
        <v>1</v>
      </c>
      <c r="AU64" s="190" t="n">
        <v>1.2</v>
      </c>
      <c r="AV64" s="190" t="n">
        <v>1.4</v>
      </c>
      <c r="AW64" s="190" t="n">
        <v>1.58</v>
      </c>
      <c r="AX64" s="190" t="n">
        <v>1.76</v>
      </c>
      <c r="AY64" s="190" t="n">
        <v>1.922</v>
      </c>
      <c r="AZ64" s="190" t="n">
        <v>2.084</v>
      </c>
      <c r="BA64" s="190" t="n">
        <v>2.2298</v>
      </c>
      <c r="BB64" s="190" t="n">
        <v>2.3756</v>
      </c>
      <c r="BC64" s="190" t="n">
        <v>2.50682</v>
      </c>
      <c r="BD64" s="190" t="n">
        <v>2.63804</v>
      </c>
      <c r="BE64" s="190" t="n">
        <v>2.756138</v>
      </c>
      <c r="BF64" s="190" t="n">
        <v>2.874236</v>
      </c>
      <c r="BG64" s="190" t="n">
        <v>2.9805242</v>
      </c>
      <c r="BH64" s="190" t="n">
        <v>3.0868124</v>
      </c>
      <c r="BI64" s="190" t="n">
        <v>3.18247178</v>
      </c>
      <c r="BJ64" s="190" t="n">
        <v>3.27813116</v>
      </c>
      <c r="BK64" s="190" t="n">
        <v>3.364224602</v>
      </c>
      <c r="BL64" s="190" t="n">
        <v>3.450318044</v>
      </c>
      <c r="BM64" s="190" t="n">
        <v>3.5278021418</v>
      </c>
      <c r="BN64" s="190" t="n">
        <v>3.6052862396</v>
      </c>
      <c r="BO64" s="190" t="n">
        <v>3.67502192762</v>
      </c>
      <c r="BP64" s="190" t="n">
        <v>3.74475761564</v>
      </c>
      <c r="BQ64" s="190" t="n">
        <v>3.81449330366</v>
      </c>
      <c r="BR64" s="190" t="n">
        <v>3.88422899168</v>
      </c>
      <c r="BS64" s="190" t="n">
        <v>3.9539646797</v>
      </c>
      <c r="BT64" s="190" t="n">
        <v>4.02370036772</v>
      </c>
      <c r="BU64" s="190" t="n">
        <v>4.09343605574</v>
      </c>
      <c r="BV64" s="190" t="n">
        <v>4.16317174376</v>
      </c>
      <c r="BW64" s="190" t="n">
        <v>4.23290743178</v>
      </c>
      <c r="BX64" s="190" t="n">
        <v>4.3026431198</v>
      </c>
      <c r="BY64" s="190" t="n">
        <v>4.37237880782</v>
      </c>
      <c r="BZ64" s="190" t="n">
        <v>4.44211449584</v>
      </c>
      <c r="CA64" s="190" t="n">
        <v>4.51185018386</v>
      </c>
      <c r="CB64" s="190" t="n">
        <v>4.58158587188</v>
      </c>
      <c r="CC64" s="190" t="n">
        <v>4.6513215599</v>
      </c>
      <c r="CD64" s="190" t="n">
        <v>4.72105724792</v>
      </c>
      <c r="CE64" s="190" t="n">
        <v>4.79079293594</v>
      </c>
      <c r="CF64" s="190" t="n">
        <v>4.86052862396</v>
      </c>
      <c r="CG64" s="190" t="n">
        <v>4.93026431198</v>
      </c>
      <c r="CH64" s="190" t="n">
        <v>5</v>
      </c>
      <c r="CI64" s="190" t="n">
        <v>5.06973568801999</v>
      </c>
      <c r="CJ64" s="190" t="n">
        <v>5.13947137603999</v>
      </c>
      <c r="CK64" s="190" t="n">
        <v>5.20920706405999</v>
      </c>
      <c r="CL64" s="190" t="n">
        <v>5.27894275207999</v>
      </c>
      <c r="CM64" s="190" t="n">
        <v>5.34867844009999</v>
      </c>
      <c r="CN64" s="190" t="n">
        <v>5.41841412811999</v>
      </c>
      <c r="CO64" s="190" t="n">
        <v>5.48814981613999</v>
      </c>
      <c r="CP64" s="190" t="n">
        <v>5.55788550415999</v>
      </c>
      <c r="CQ64" s="190" t="n">
        <v>5.62762119217999</v>
      </c>
      <c r="CR64" s="190" t="n">
        <v>5.69735688019999</v>
      </c>
      <c r="CS64" s="190" t="n">
        <v>5.76709256821999</v>
      </c>
      <c r="CT64" s="190" t="n">
        <v>5.83682825623999</v>
      </c>
      <c r="CU64" s="190" t="n">
        <v>5.90656394425999</v>
      </c>
      <c r="CV64" s="190" t="n">
        <v>5.97629963227999</v>
      </c>
      <c r="CW64" s="190" t="n">
        <v>6.04603532029999</v>
      </c>
      <c r="CX64" s="190" t="n">
        <v>6.11577100831999</v>
      </c>
      <c r="CY64" s="190" t="n">
        <v>6.18550669633999</v>
      </c>
      <c r="CZ64" s="190" t="n">
        <v>6.25524238435999</v>
      </c>
      <c r="DA64" s="190" t="n">
        <v>6.32497807237999</v>
      </c>
      <c r="DB64" s="190" t="n">
        <v>6.39471376039999</v>
      </c>
      <c r="DC64" s="190" t="n">
        <v>6.46444944841999</v>
      </c>
      <c r="DD64" s="190" t="n">
        <v>6.53418513643999</v>
      </c>
      <c r="DE64" s="190" t="n">
        <v>6.60392082445999</v>
      </c>
      <c r="DF64" s="190" t="n">
        <v>6.67365651247999</v>
      </c>
      <c r="DG64" s="190" t="n">
        <v>6.74339220049999</v>
      </c>
      <c r="DH64" s="190" t="n">
        <v>6.81312788851999</v>
      </c>
      <c r="DI64" s="190" t="n">
        <v>6.88286357653999</v>
      </c>
      <c r="DJ64" s="190" t="n">
        <v>6.95259926455999</v>
      </c>
      <c r="DK64" s="190" t="n">
        <v>7.02233495257999</v>
      </c>
      <c r="DL64" s="190" t="n">
        <v>7.09207064059999</v>
      </c>
      <c r="DM64" s="190" t="n">
        <v>7.16180632861999</v>
      </c>
      <c r="DN64" s="190" t="n">
        <v>7.23154201663999</v>
      </c>
      <c r="DO64" s="190" t="n">
        <v>7.30127770465999</v>
      </c>
      <c r="DP64" s="190" t="n">
        <v>7.37101339267999</v>
      </c>
      <c r="DQ64" s="190" t="n">
        <v>7.44074908069999</v>
      </c>
      <c r="DR64" s="190" t="n">
        <v>7.51048476871999</v>
      </c>
      <c r="DS64" s="190" t="n">
        <v>7.58022045673999</v>
      </c>
      <c r="DT64" s="190" t="n">
        <v>7.64995614475999</v>
      </c>
      <c r="DU64" s="190" t="n">
        <v>7.71969183277999</v>
      </c>
      <c r="DV64" s="190" t="n">
        <v>7.78942752079998</v>
      </c>
      <c r="DW64" s="190" t="n">
        <v>7.85916320881998</v>
      </c>
      <c r="DX64" s="190" t="n">
        <v>7.92889889683998</v>
      </c>
      <c r="DY64" s="190" t="n">
        <v>7.99863458485998</v>
      </c>
      <c r="DZ64" s="190" t="n">
        <v>8.06837027287998</v>
      </c>
      <c r="EA64" s="190" t="n">
        <v>8.13810596089998</v>
      </c>
      <c r="EB64" s="190" t="n">
        <v>8.20784164891998</v>
      </c>
      <c r="EC64" s="190" t="n">
        <v>8.27757733693998</v>
      </c>
      <c r="ED64" s="190" t="n">
        <v>8.34731302495998</v>
      </c>
      <c r="EE64" s="190" t="n">
        <v>8.41704871297998</v>
      </c>
      <c r="EF64" s="190" t="n">
        <v>8.48678440099998</v>
      </c>
      <c r="EG64" s="190" t="n">
        <v>8.55652008901998</v>
      </c>
      <c r="EH64" s="190" t="n">
        <v>8.62625577703998</v>
      </c>
      <c r="EI64" s="190" t="n">
        <v>8.69599146505998</v>
      </c>
      <c r="EJ64" s="190" t="n">
        <v>8.76572715307998</v>
      </c>
      <c r="EK64" s="190" t="n">
        <v>8.83546284109998</v>
      </c>
      <c r="EL64" s="180" t="n">
        <v>8.90519852911998</v>
      </c>
      <c r="EM64" s="180" t="n">
        <v>8.97493421713998</v>
      </c>
      <c r="EN64" s="180" t="n">
        <v>9.04466990515998</v>
      </c>
      <c r="EO64" s="180" t="n">
        <v>9.11440559317998</v>
      </c>
      <c r="EP64" s="180" t="n">
        <v>9.18414128119998</v>
      </c>
      <c r="EQ64" s="180" t="n">
        <v>9.25387696921998</v>
      </c>
      <c r="ER64" s="180" t="n">
        <v>9.32361265723998</v>
      </c>
      <c r="ES64" s="180" t="n">
        <v>9.39334834525998</v>
      </c>
      <c r="ET64" s="180" t="n">
        <v>9.46308403327998</v>
      </c>
      <c r="EU64" s="180" t="n">
        <v>9.53281972129998</v>
      </c>
      <c r="EV64" s="180" t="n">
        <v>9.60255540931998</v>
      </c>
      <c r="EW64" s="180" t="n">
        <v>9.67229109733998</v>
      </c>
      <c r="EX64" s="180" t="n">
        <v>9.74202678535998</v>
      </c>
      <c r="EY64" s="180" t="n">
        <v>9.81176247337998</v>
      </c>
      <c r="EZ64" s="180" t="n">
        <v>9.88149816139998</v>
      </c>
      <c r="FA64" s="180" t="n">
        <v>9.95123384941998</v>
      </c>
      <c r="FB64" s="180" t="n">
        <v>10.02096953744</v>
      </c>
      <c r="FC64" s="180" t="n">
        <v>10.09070522546</v>
      </c>
      <c r="FD64" s="180" t="n">
        <v>10.16044091348</v>
      </c>
      <c r="FE64" s="180" t="n">
        <v>10.2301766015</v>
      </c>
      <c r="FF64" s="180" t="n">
        <v>10.29991228952</v>
      </c>
      <c r="FG64" s="180" t="n">
        <v>10.36964797754</v>
      </c>
      <c r="FH64" s="180" t="n">
        <v>10.43938366556</v>
      </c>
      <c r="FI64" s="180" t="n">
        <v>10.50911935358</v>
      </c>
      <c r="FJ64" s="180" t="n">
        <v>10.5788550416</v>
      </c>
      <c r="FK64" s="180" t="n">
        <v>10.64859072962</v>
      </c>
      <c r="FL64" s="180" t="n">
        <v>10.71832641764</v>
      </c>
      <c r="FM64" s="180" t="n">
        <v>10.78806210566</v>
      </c>
      <c r="FN64" s="180" t="n">
        <v>10.85779779368</v>
      </c>
      <c r="FO64" s="180" t="n">
        <v>10.9275334817</v>
      </c>
      <c r="FP64" s="180" t="n">
        <v>10.99726916972</v>
      </c>
      <c r="FQ64" s="180" t="n">
        <v>11.06700485774</v>
      </c>
      <c r="FR64" s="180" t="n">
        <v>11.13674054576</v>
      </c>
      <c r="FS64" s="180" t="n">
        <v>11.20647623378</v>
      </c>
      <c r="FT64" s="180" t="n">
        <v>11.2762119218</v>
      </c>
      <c r="FU64" s="180" t="n">
        <v>11.34594760982</v>
      </c>
      <c r="FV64" s="180" t="n">
        <v>11.41568329784</v>
      </c>
      <c r="FW64" s="180" t="n">
        <v>11.48541898586</v>
      </c>
      <c r="FX64" s="180" t="n">
        <v>11.55515467388</v>
      </c>
      <c r="FY64" s="180" t="n">
        <v>11.6248903619</v>
      </c>
      <c r="FZ64" s="180" t="n">
        <v>11.69462604992</v>
      </c>
      <c r="GA64" s="180" t="n">
        <v>11.76436173794</v>
      </c>
      <c r="GB64" s="180" t="n">
        <v>11.83409742596</v>
      </c>
      <c r="GC64" s="180" t="n">
        <v>11.90383311398</v>
      </c>
      <c r="GD64" s="180" t="n">
        <v>11.973568802</v>
      </c>
      <c r="GE64" s="180" t="n">
        <v>12.04330449002</v>
      </c>
      <c r="GF64" s="180" t="n">
        <v>12.11304017804</v>
      </c>
      <c r="GG64" s="180" t="n">
        <v>12.18277586606</v>
      </c>
      <c r="GH64" s="180" t="n">
        <v>12.25251155408</v>
      </c>
      <c r="GI64" s="180" t="n">
        <v>12.3222472421</v>
      </c>
      <c r="GJ64" s="180" t="n">
        <v>12.39198293012</v>
      </c>
      <c r="GK64" s="180" t="n">
        <v>12.46171861814</v>
      </c>
      <c r="GL64" s="180" t="n">
        <v>12.53145430616</v>
      </c>
      <c r="GM64" s="180" t="n">
        <v>12.60118999418</v>
      </c>
      <c r="GN64" s="180" t="n">
        <v>12.6709256822</v>
      </c>
      <c r="GO64" s="180" t="n">
        <v>12.74066137022</v>
      </c>
      <c r="GP64" s="180" t="n">
        <v>12.81039705824</v>
      </c>
      <c r="GQ64" s="180" t="n">
        <v>12.88013274626</v>
      </c>
      <c r="GR64" s="180" t="n">
        <v>12.94986843428</v>
      </c>
      <c r="GS64" s="180" t="n">
        <v>13.0196041223</v>
      </c>
      <c r="GT64" s="180" t="n">
        <v>13.08933981032</v>
      </c>
      <c r="GU64" s="180" t="n">
        <v>13.15907549834</v>
      </c>
      <c r="GV64" s="180" t="n">
        <v>13.22881118636</v>
      </c>
      <c r="GW64" s="180" t="n">
        <v>13.29854687438</v>
      </c>
      <c r="GX64" s="180" t="n">
        <v>13.3682825624</v>
      </c>
      <c r="GY64" s="180" t="n">
        <v>13.43801825042</v>
      </c>
      <c r="GZ64" s="180" t="n">
        <v>13.50775393844</v>
      </c>
      <c r="HA64" s="180" t="n">
        <v>13.57748962646</v>
      </c>
      <c r="HB64" s="180" t="n">
        <v>13.64722531448</v>
      </c>
      <c r="HC64" s="180" t="n">
        <v>13.7169610025</v>
      </c>
      <c r="HD64" s="180" t="n">
        <v>13.78669669052</v>
      </c>
      <c r="HE64" s="180" t="n">
        <v>13.85643237854</v>
      </c>
      <c r="HF64" s="180" t="n">
        <v>13.92616806656</v>
      </c>
      <c r="HG64" s="180" t="n">
        <v>13.99590375458</v>
      </c>
      <c r="HH64" s="180" t="n">
        <v>14.0656394426</v>
      </c>
      <c r="HI64" s="180" t="n">
        <v>14.13537513062</v>
      </c>
      <c r="HJ64" s="180" t="n">
        <v>14.20511081864</v>
      </c>
      <c r="HK64" s="180" t="n">
        <v>14.27484650666</v>
      </c>
      <c r="HL64" s="180" t="n">
        <v>14.34458219468</v>
      </c>
      <c r="HM64" s="180" t="n">
        <v>14.4143178827</v>
      </c>
      <c r="HN64" s="180" t="n">
        <v>14.48405357072</v>
      </c>
      <c r="HO64" s="180" t="n">
        <v>14.55378925874</v>
      </c>
      <c r="HP64" s="180" t="n">
        <v>14.62352494676</v>
      </c>
      <c r="HQ64" s="180" t="n">
        <v>14.69326063478</v>
      </c>
      <c r="HR64" s="180" t="n">
        <v>14.7629963228</v>
      </c>
      <c r="HS64" s="180" t="n">
        <v>14.83273201082</v>
      </c>
      <c r="HT64" s="180" t="n">
        <v>14.90246769884</v>
      </c>
      <c r="HU64" s="180" t="n">
        <v>14.97220338686</v>
      </c>
      <c r="HV64" s="180" t="n">
        <v>15.04193907488</v>
      </c>
      <c r="HW64" s="180" t="n">
        <v>15.1116747629</v>
      </c>
      <c r="HX64" s="180" t="n">
        <v>15.18141045092</v>
      </c>
      <c r="HY64" s="180" t="n">
        <v>15.25114613894</v>
      </c>
      <c r="HZ64" s="180" t="n">
        <v>15.32088182696</v>
      </c>
      <c r="IA64" s="180" t="n">
        <v>15.39061751498</v>
      </c>
      <c r="IB64" s="180" t="n">
        <v>15.460353203</v>
      </c>
      <c r="IC64" s="180" t="n">
        <v>15.53008889102</v>
      </c>
      <c r="ID64" s="180" t="n">
        <v>15.59982457904</v>
      </c>
      <c r="IE64" s="180" t="n">
        <v>15.66956026706</v>
      </c>
      <c r="IF64" s="180" t="n">
        <v>15.73929595508</v>
      </c>
      <c r="IG64" s="180" t="n">
        <v>15.8090316431</v>
      </c>
      <c r="IH64" s="180" t="n">
        <v>15.87876733112</v>
      </c>
      <c r="II64" s="180" t="n">
        <v>15.94850301914</v>
      </c>
      <c r="IJ64" s="180" t="n">
        <v>16.01823870716</v>
      </c>
      <c r="IK64" s="180" t="n">
        <v>16.08797439518</v>
      </c>
      <c r="IL64" s="180" t="n">
        <v>16.1577100832</v>
      </c>
      <c r="IM64" s="180" t="n">
        <v>16.22744577122</v>
      </c>
      <c r="IN64" s="180" t="n">
        <v>16.29718145924</v>
      </c>
      <c r="IO64" s="180" t="n">
        <v>16.36691714726</v>
      </c>
      <c r="IP64" s="180" t="n">
        <v>16.43665283528</v>
      </c>
      <c r="IQ64" s="180" t="n">
        <v>16.5063885233</v>
      </c>
      <c r="IR64" s="180" t="n">
        <v>16.57612421132</v>
      </c>
      <c r="IS64" s="180" t="n">
        <v>16.64585989934</v>
      </c>
      <c r="IT64" s="180" t="n">
        <v>16.71559558736</v>
      </c>
      <c r="IU64" s="180" t="n">
        <v>16.78533127538</v>
      </c>
      <c r="IV64" s="180" t="n">
        <v>16.8550669634</v>
      </c>
    </row>
    <row r="65" customFormat="false" ht="12.75" hidden="false" customHeight="false" outlineLevel="0" collapsed="false">
      <c r="A65" s="189" t="n">
        <v>38657</v>
      </c>
      <c r="B65" s="185" t="n">
        <v>-2.021005929375</v>
      </c>
      <c r="C65" s="185" t="n">
        <v>-1.9907047400625</v>
      </c>
      <c r="D65" s="185" t="n">
        <v>-1.96040355075</v>
      </c>
      <c r="E65" s="185" t="n">
        <v>-1.9301023614375</v>
      </c>
      <c r="F65" s="185" t="n">
        <v>-1.899801172125</v>
      </c>
      <c r="G65" s="185" t="n">
        <v>-1.8694999828125</v>
      </c>
      <c r="H65" s="185" t="n">
        <v>-1.8391987935</v>
      </c>
      <c r="I65" s="185" t="n">
        <v>-1.8088976041875</v>
      </c>
      <c r="J65" s="185" t="n">
        <v>-1.778596414875</v>
      </c>
      <c r="K65" s="185" t="n">
        <v>-1.7482952255625</v>
      </c>
      <c r="L65" s="185" t="n">
        <v>-1.71799403625</v>
      </c>
      <c r="M65" s="185" t="n">
        <v>-1.6876928469375</v>
      </c>
      <c r="N65" s="185" t="n">
        <v>-1.657391657625</v>
      </c>
      <c r="O65" s="185" t="n">
        <v>-1.6270904683125</v>
      </c>
      <c r="P65" s="185" t="n">
        <v>-1.596789279</v>
      </c>
      <c r="Q65" s="185" t="n">
        <v>-1.5664880896875</v>
      </c>
      <c r="R65" s="185" t="n">
        <v>-1.536186900375</v>
      </c>
      <c r="S65" s="185" t="n">
        <v>-1.5058857110625</v>
      </c>
      <c r="T65" s="185" t="n">
        <v>-1.47558452175</v>
      </c>
      <c r="U65" s="185" t="n">
        <v>-1.4452833324375</v>
      </c>
      <c r="V65" s="186" t="n">
        <v>-1.414982143125</v>
      </c>
      <c r="W65" s="185" t="n">
        <v>-1.3846809538125</v>
      </c>
      <c r="X65" s="186" t="n">
        <v>-1.3543797645</v>
      </c>
      <c r="Y65" s="185" t="n">
        <v>-1.3240785751875</v>
      </c>
      <c r="Z65" s="186" t="n">
        <v>-1.293777385875</v>
      </c>
      <c r="AA65" s="185" t="n">
        <v>-1.2634761965625</v>
      </c>
      <c r="AB65" s="187" t="n">
        <v>-1.23317500725</v>
      </c>
      <c r="AC65" s="185" t="n">
        <v>-1.2028738179375</v>
      </c>
      <c r="AD65" s="187" t="n">
        <v>-1.172572628625</v>
      </c>
      <c r="AE65" s="185" t="n">
        <v>-1.1422714393125</v>
      </c>
      <c r="AF65" s="185" t="n">
        <v>-1.11197025</v>
      </c>
      <c r="AG65" s="190" t="n">
        <v>-1.083235125</v>
      </c>
      <c r="AH65" s="190" t="n">
        <v>-1.0545</v>
      </c>
      <c r="AI65" s="190" t="n">
        <v>-1.02725</v>
      </c>
      <c r="AJ65" s="190" t="n">
        <v>-1</v>
      </c>
      <c r="AK65" s="190" t="n">
        <v>-0.8</v>
      </c>
      <c r="AL65" s="190" t="n">
        <v>-0.6</v>
      </c>
      <c r="AM65" s="190" t="n">
        <v>-0.4</v>
      </c>
      <c r="AN65" s="190" t="n">
        <v>-0.2</v>
      </c>
      <c r="AO65" s="190" t="n">
        <v>0</v>
      </c>
      <c r="AP65" s="190" t="n">
        <v>0.2</v>
      </c>
      <c r="AQ65" s="190" t="n">
        <v>0.4</v>
      </c>
      <c r="AR65" s="190" t="n">
        <v>0.6</v>
      </c>
      <c r="AS65" s="190" t="n">
        <v>0.8</v>
      </c>
      <c r="AT65" s="190" t="n">
        <v>1</v>
      </c>
      <c r="AU65" s="190" t="n">
        <v>1.2</v>
      </c>
      <c r="AV65" s="190" t="n">
        <v>1.4</v>
      </c>
      <c r="AW65" s="190" t="n">
        <v>1.58</v>
      </c>
      <c r="AX65" s="190" t="n">
        <v>1.76</v>
      </c>
      <c r="AY65" s="190" t="n">
        <v>1.922</v>
      </c>
      <c r="AZ65" s="190" t="n">
        <v>2.084</v>
      </c>
      <c r="BA65" s="190" t="n">
        <v>2.2298</v>
      </c>
      <c r="BB65" s="190" t="n">
        <v>2.3756</v>
      </c>
      <c r="BC65" s="190" t="n">
        <v>2.50682</v>
      </c>
      <c r="BD65" s="190" t="n">
        <v>2.63804</v>
      </c>
      <c r="BE65" s="190" t="n">
        <v>2.756138</v>
      </c>
      <c r="BF65" s="190" t="n">
        <v>2.874236</v>
      </c>
      <c r="BG65" s="190" t="n">
        <v>2.9805242</v>
      </c>
      <c r="BH65" s="190" t="n">
        <v>3.0868124</v>
      </c>
      <c r="BI65" s="190" t="n">
        <v>3.18247178</v>
      </c>
      <c r="BJ65" s="190" t="n">
        <v>3.27813116</v>
      </c>
      <c r="BK65" s="190" t="n">
        <v>3.364224602</v>
      </c>
      <c r="BL65" s="190" t="n">
        <v>3.450318044</v>
      </c>
      <c r="BM65" s="190" t="n">
        <v>3.5278021418</v>
      </c>
      <c r="BN65" s="190" t="n">
        <v>3.6052862396</v>
      </c>
      <c r="BO65" s="190" t="n">
        <v>3.67502192762</v>
      </c>
      <c r="BP65" s="190" t="n">
        <v>3.74475761564</v>
      </c>
      <c r="BQ65" s="190" t="n">
        <v>3.81449330366</v>
      </c>
      <c r="BR65" s="190" t="n">
        <v>3.88422899168</v>
      </c>
      <c r="BS65" s="190" t="n">
        <v>3.9539646797</v>
      </c>
      <c r="BT65" s="190" t="n">
        <v>4.02370036772</v>
      </c>
      <c r="BU65" s="190" t="n">
        <v>4.09343605574</v>
      </c>
      <c r="BV65" s="190" t="n">
        <v>4.16317174376</v>
      </c>
      <c r="BW65" s="190" t="n">
        <v>4.23290743178</v>
      </c>
      <c r="BX65" s="190" t="n">
        <v>4.3026431198</v>
      </c>
      <c r="BY65" s="190" t="n">
        <v>4.37237880782</v>
      </c>
      <c r="BZ65" s="190" t="n">
        <v>4.44211449584</v>
      </c>
      <c r="CA65" s="190" t="n">
        <v>4.51185018386</v>
      </c>
      <c r="CB65" s="190" t="n">
        <v>4.58158587188</v>
      </c>
      <c r="CC65" s="190" t="n">
        <v>4.6513215599</v>
      </c>
      <c r="CD65" s="190" t="n">
        <v>4.72105724792</v>
      </c>
      <c r="CE65" s="190" t="n">
        <v>4.79079293594</v>
      </c>
      <c r="CF65" s="190" t="n">
        <v>4.86052862396</v>
      </c>
      <c r="CG65" s="190" t="n">
        <v>4.93026431198</v>
      </c>
      <c r="CH65" s="190" t="n">
        <v>5</v>
      </c>
      <c r="CI65" s="190" t="n">
        <v>5.06973568801999</v>
      </c>
      <c r="CJ65" s="190" t="n">
        <v>5.13947137603999</v>
      </c>
      <c r="CK65" s="190" t="n">
        <v>5.20920706405999</v>
      </c>
      <c r="CL65" s="190" t="n">
        <v>5.27894275207999</v>
      </c>
      <c r="CM65" s="190" t="n">
        <v>5.34867844009999</v>
      </c>
      <c r="CN65" s="190" t="n">
        <v>5.41841412811999</v>
      </c>
      <c r="CO65" s="190" t="n">
        <v>5.48814981613999</v>
      </c>
      <c r="CP65" s="190" t="n">
        <v>5.55788550415999</v>
      </c>
      <c r="CQ65" s="190" t="n">
        <v>5.62762119217999</v>
      </c>
      <c r="CR65" s="190" t="n">
        <v>5.69735688019999</v>
      </c>
      <c r="CS65" s="190" t="n">
        <v>5.76709256821999</v>
      </c>
      <c r="CT65" s="190" t="n">
        <v>5.83682825623999</v>
      </c>
      <c r="CU65" s="190" t="n">
        <v>5.90656394425999</v>
      </c>
      <c r="CV65" s="190" t="n">
        <v>5.97629963227999</v>
      </c>
      <c r="CW65" s="190" t="n">
        <v>6.04603532029999</v>
      </c>
      <c r="CX65" s="190" t="n">
        <v>6.11577100831999</v>
      </c>
      <c r="CY65" s="190" t="n">
        <v>6.18550669633999</v>
      </c>
      <c r="CZ65" s="190" t="n">
        <v>6.25524238435999</v>
      </c>
      <c r="DA65" s="190" t="n">
        <v>6.32497807237999</v>
      </c>
      <c r="DB65" s="190" t="n">
        <v>6.39471376039999</v>
      </c>
      <c r="DC65" s="190" t="n">
        <v>6.46444944841999</v>
      </c>
      <c r="DD65" s="190" t="n">
        <v>6.53418513643999</v>
      </c>
      <c r="DE65" s="190" t="n">
        <v>6.60392082445999</v>
      </c>
      <c r="DF65" s="190" t="n">
        <v>6.67365651247999</v>
      </c>
      <c r="DG65" s="190" t="n">
        <v>6.74339220049999</v>
      </c>
      <c r="DH65" s="190" t="n">
        <v>6.81312788851999</v>
      </c>
      <c r="DI65" s="190" t="n">
        <v>6.88286357653999</v>
      </c>
      <c r="DJ65" s="190" t="n">
        <v>6.95259926455999</v>
      </c>
      <c r="DK65" s="190" t="n">
        <v>7.02233495257999</v>
      </c>
      <c r="DL65" s="190" t="n">
        <v>7.09207064059999</v>
      </c>
      <c r="DM65" s="190" t="n">
        <v>7.16180632861999</v>
      </c>
      <c r="DN65" s="190" t="n">
        <v>7.23154201663999</v>
      </c>
      <c r="DO65" s="190" t="n">
        <v>7.30127770465999</v>
      </c>
      <c r="DP65" s="190" t="n">
        <v>7.37101339267999</v>
      </c>
      <c r="DQ65" s="190" t="n">
        <v>7.44074908069999</v>
      </c>
      <c r="DR65" s="190" t="n">
        <v>7.51048476871999</v>
      </c>
      <c r="DS65" s="190" t="n">
        <v>7.58022045673999</v>
      </c>
      <c r="DT65" s="190" t="n">
        <v>7.64995614475999</v>
      </c>
      <c r="DU65" s="190" t="n">
        <v>7.71969183277999</v>
      </c>
      <c r="DV65" s="190" t="n">
        <v>7.78942752079998</v>
      </c>
      <c r="DW65" s="190" t="n">
        <v>7.85916320881998</v>
      </c>
      <c r="DX65" s="190" t="n">
        <v>7.92889889683998</v>
      </c>
      <c r="DY65" s="190" t="n">
        <v>7.99863458485998</v>
      </c>
      <c r="DZ65" s="190" t="n">
        <v>8.06837027287998</v>
      </c>
      <c r="EA65" s="190" t="n">
        <v>8.13810596089998</v>
      </c>
      <c r="EB65" s="190" t="n">
        <v>8.20784164891998</v>
      </c>
      <c r="EC65" s="190" t="n">
        <v>8.27757733693998</v>
      </c>
      <c r="ED65" s="190" t="n">
        <v>8.34731302495998</v>
      </c>
      <c r="EE65" s="190" t="n">
        <v>8.41704871297998</v>
      </c>
      <c r="EF65" s="190" t="n">
        <v>8.48678440099998</v>
      </c>
      <c r="EG65" s="190" t="n">
        <v>8.55652008901998</v>
      </c>
      <c r="EH65" s="190" t="n">
        <v>8.62625577703998</v>
      </c>
      <c r="EI65" s="190" t="n">
        <v>8.69599146505998</v>
      </c>
      <c r="EJ65" s="190" t="n">
        <v>8.76572715307998</v>
      </c>
      <c r="EK65" s="190" t="n">
        <v>8.83546284109998</v>
      </c>
      <c r="EL65" s="180" t="n">
        <v>8.90519852911998</v>
      </c>
      <c r="EM65" s="180" t="n">
        <v>8.97493421713998</v>
      </c>
      <c r="EN65" s="180" t="n">
        <v>9.04466990515998</v>
      </c>
      <c r="EO65" s="180" t="n">
        <v>9.11440559317998</v>
      </c>
      <c r="EP65" s="180" t="n">
        <v>9.18414128119998</v>
      </c>
      <c r="EQ65" s="180" t="n">
        <v>9.25387696921998</v>
      </c>
      <c r="ER65" s="180" t="n">
        <v>9.32361265723998</v>
      </c>
      <c r="ES65" s="180" t="n">
        <v>9.39334834525998</v>
      </c>
      <c r="ET65" s="180" t="n">
        <v>9.46308403327998</v>
      </c>
      <c r="EU65" s="180" t="n">
        <v>9.53281972129998</v>
      </c>
      <c r="EV65" s="180" t="n">
        <v>9.60255540931998</v>
      </c>
      <c r="EW65" s="180" t="n">
        <v>9.67229109733998</v>
      </c>
      <c r="EX65" s="180" t="n">
        <v>9.74202678535998</v>
      </c>
      <c r="EY65" s="180" t="n">
        <v>9.81176247337998</v>
      </c>
      <c r="EZ65" s="180" t="n">
        <v>9.88149816139998</v>
      </c>
      <c r="FA65" s="180" t="n">
        <v>9.95123384941998</v>
      </c>
      <c r="FB65" s="180" t="n">
        <v>10.02096953744</v>
      </c>
      <c r="FC65" s="180" t="n">
        <v>10.09070522546</v>
      </c>
      <c r="FD65" s="180" t="n">
        <v>10.16044091348</v>
      </c>
      <c r="FE65" s="180" t="n">
        <v>10.2301766015</v>
      </c>
      <c r="FF65" s="180" t="n">
        <v>10.29991228952</v>
      </c>
      <c r="FG65" s="180" t="n">
        <v>10.36964797754</v>
      </c>
      <c r="FH65" s="180" t="n">
        <v>10.43938366556</v>
      </c>
      <c r="FI65" s="180" t="n">
        <v>10.50911935358</v>
      </c>
      <c r="FJ65" s="180" t="n">
        <v>10.5788550416</v>
      </c>
      <c r="FK65" s="180" t="n">
        <v>10.64859072962</v>
      </c>
      <c r="FL65" s="180" t="n">
        <v>10.71832641764</v>
      </c>
      <c r="FM65" s="180" t="n">
        <v>10.78806210566</v>
      </c>
      <c r="FN65" s="180" t="n">
        <v>10.85779779368</v>
      </c>
      <c r="FO65" s="180" t="n">
        <v>10.9275334817</v>
      </c>
      <c r="FP65" s="180" t="n">
        <v>10.99726916972</v>
      </c>
      <c r="FQ65" s="180" t="n">
        <v>11.06700485774</v>
      </c>
      <c r="FR65" s="180" t="n">
        <v>11.13674054576</v>
      </c>
      <c r="FS65" s="180" t="n">
        <v>11.20647623378</v>
      </c>
      <c r="FT65" s="180" t="n">
        <v>11.2762119218</v>
      </c>
      <c r="FU65" s="180" t="n">
        <v>11.34594760982</v>
      </c>
      <c r="FV65" s="180" t="n">
        <v>11.41568329784</v>
      </c>
      <c r="FW65" s="180" t="n">
        <v>11.48541898586</v>
      </c>
      <c r="FX65" s="180" t="n">
        <v>11.55515467388</v>
      </c>
      <c r="FY65" s="180" t="n">
        <v>11.6248903619</v>
      </c>
      <c r="FZ65" s="180" t="n">
        <v>11.69462604992</v>
      </c>
      <c r="GA65" s="180" t="n">
        <v>11.76436173794</v>
      </c>
      <c r="GB65" s="180" t="n">
        <v>11.83409742596</v>
      </c>
      <c r="GC65" s="180" t="n">
        <v>11.90383311398</v>
      </c>
      <c r="GD65" s="180" t="n">
        <v>11.973568802</v>
      </c>
      <c r="GE65" s="180" t="n">
        <v>12.04330449002</v>
      </c>
      <c r="GF65" s="180" t="n">
        <v>12.11304017804</v>
      </c>
      <c r="GG65" s="180" t="n">
        <v>12.18277586606</v>
      </c>
      <c r="GH65" s="180" t="n">
        <v>12.25251155408</v>
      </c>
      <c r="GI65" s="180" t="n">
        <v>12.3222472421</v>
      </c>
      <c r="GJ65" s="180" t="n">
        <v>12.39198293012</v>
      </c>
      <c r="GK65" s="180" t="n">
        <v>12.46171861814</v>
      </c>
      <c r="GL65" s="180" t="n">
        <v>12.53145430616</v>
      </c>
      <c r="GM65" s="180" t="n">
        <v>12.60118999418</v>
      </c>
      <c r="GN65" s="180" t="n">
        <v>12.6709256822</v>
      </c>
      <c r="GO65" s="180" t="n">
        <v>12.74066137022</v>
      </c>
      <c r="GP65" s="180" t="n">
        <v>12.81039705824</v>
      </c>
      <c r="GQ65" s="180" t="n">
        <v>12.88013274626</v>
      </c>
      <c r="GR65" s="180" t="n">
        <v>12.94986843428</v>
      </c>
      <c r="GS65" s="180" t="n">
        <v>13.0196041223</v>
      </c>
      <c r="GT65" s="180" t="n">
        <v>13.08933981032</v>
      </c>
      <c r="GU65" s="180" t="n">
        <v>13.15907549834</v>
      </c>
      <c r="GV65" s="180" t="n">
        <v>13.22881118636</v>
      </c>
      <c r="GW65" s="180" t="n">
        <v>13.29854687438</v>
      </c>
      <c r="GX65" s="180" t="n">
        <v>13.3682825624</v>
      </c>
      <c r="GY65" s="180" t="n">
        <v>13.43801825042</v>
      </c>
      <c r="GZ65" s="180" t="n">
        <v>13.50775393844</v>
      </c>
      <c r="HA65" s="180" t="n">
        <v>13.57748962646</v>
      </c>
      <c r="HB65" s="180" t="n">
        <v>13.64722531448</v>
      </c>
      <c r="HC65" s="180" t="n">
        <v>13.7169610025</v>
      </c>
      <c r="HD65" s="180" t="n">
        <v>13.78669669052</v>
      </c>
      <c r="HE65" s="180" t="n">
        <v>13.85643237854</v>
      </c>
      <c r="HF65" s="180" t="n">
        <v>13.92616806656</v>
      </c>
      <c r="HG65" s="180" t="n">
        <v>13.99590375458</v>
      </c>
      <c r="HH65" s="180" t="n">
        <v>14.0656394426</v>
      </c>
      <c r="HI65" s="180" t="n">
        <v>14.13537513062</v>
      </c>
      <c r="HJ65" s="180" t="n">
        <v>14.20511081864</v>
      </c>
      <c r="HK65" s="180" t="n">
        <v>14.27484650666</v>
      </c>
      <c r="HL65" s="180" t="n">
        <v>14.34458219468</v>
      </c>
      <c r="HM65" s="180" t="n">
        <v>14.4143178827</v>
      </c>
      <c r="HN65" s="180" t="n">
        <v>14.48405357072</v>
      </c>
      <c r="HO65" s="180" t="n">
        <v>14.55378925874</v>
      </c>
      <c r="HP65" s="180" t="n">
        <v>14.62352494676</v>
      </c>
      <c r="HQ65" s="180" t="n">
        <v>14.69326063478</v>
      </c>
      <c r="HR65" s="180" t="n">
        <v>14.7629963228</v>
      </c>
      <c r="HS65" s="180" t="n">
        <v>14.83273201082</v>
      </c>
      <c r="HT65" s="180" t="n">
        <v>14.90246769884</v>
      </c>
      <c r="HU65" s="180" t="n">
        <v>14.97220338686</v>
      </c>
      <c r="HV65" s="180" t="n">
        <v>15.04193907488</v>
      </c>
      <c r="HW65" s="180" t="n">
        <v>15.1116747629</v>
      </c>
      <c r="HX65" s="180" t="n">
        <v>15.18141045092</v>
      </c>
      <c r="HY65" s="180" t="n">
        <v>15.25114613894</v>
      </c>
      <c r="HZ65" s="180" t="n">
        <v>15.32088182696</v>
      </c>
      <c r="IA65" s="180" t="n">
        <v>15.39061751498</v>
      </c>
      <c r="IB65" s="180" t="n">
        <v>15.460353203</v>
      </c>
      <c r="IC65" s="180" t="n">
        <v>15.53008889102</v>
      </c>
      <c r="ID65" s="180" t="n">
        <v>15.59982457904</v>
      </c>
      <c r="IE65" s="180" t="n">
        <v>15.66956026706</v>
      </c>
      <c r="IF65" s="180" t="n">
        <v>15.73929595508</v>
      </c>
      <c r="IG65" s="180" t="n">
        <v>15.8090316431</v>
      </c>
      <c r="IH65" s="180" t="n">
        <v>15.87876733112</v>
      </c>
      <c r="II65" s="180" t="n">
        <v>15.94850301914</v>
      </c>
      <c r="IJ65" s="180" t="n">
        <v>16.01823870716</v>
      </c>
      <c r="IK65" s="180" t="n">
        <v>16.08797439518</v>
      </c>
      <c r="IL65" s="180" t="n">
        <v>16.1577100832</v>
      </c>
      <c r="IM65" s="180" t="n">
        <v>16.22744577122</v>
      </c>
      <c r="IN65" s="180" t="n">
        <v>16.29718145924</v>
      </c>
      <c r="IO65" s="180" t="n">
        <v>16.36691714726</v>
      </c>
      <c r="IP65" s="180" t="n">
        <v>16.43665283528</v>
      </c>
      <c r="IQ65" s="180" t="n">
        <v>16.5063885233</v>
      </c>
      <c r="IR65" s="180" t="n">
        <v>16.57612421132</v>
      </c>
      <c r="IS65" s="180" t="n">
        <v>16.64585989934</v>
      </c>
      <c r="IT65" s="180" t="n">
        <v>16.71559558736</v>
      </c>
      <c r="IU65" s="180" t="n">
        <v>16.78533127538</v>
      </c>
      <c r="IV65" s="180" t="n">
        <v>16.8550669634</v>
      </c>
    </row>
    <row r="66" customFormat="false" ht="12.75" hidden="false" customHeight="false" outlineLevel="0" collapsed="false">
      <c r="A66" s="189" t="n">
        <v>38687</v>
      </c>
      <c r="B66" s="185" t="n">
        <v>-2.021005929375</v>
      </c>
      <c r="C66" s="185" t="n">
        <v>-1.9907047400625</v>
      </c>
      <c r="D66" s="185" t="n">
        <v>-1.96040355075</v>
      </c>
      <c r="E66" s="185" t="n">
        <v>-1.9301023614375</v>
      </c>
      <c r="F66" s="185" t="n">
        <v>-1.899801172125</v>
      </c>
      <c r="G66" s="185" t="n">
        <v>-1.8694999828125</v>
      </c>
      <c r="H66" s="185" t="n">
        <v>-1.8391987935</v>
      </c>
      <c r="I66" s="185" t="n">
        <v>-1.8088976041875</v>
      </c>
      <c r="J66" s="185" t="n">
        <v>-1.778596414875</v>
      </c>
      <c r="K66" s="185" t="n">
        <v>-1.7482952255625</v>
      </c>
      <c r="L66" s="185" t="n">
        <v>-1.71799403625</v>
      </c>
      <c r="M66" s="185" t="n">
        <v>-1.6876928469375</v>
      </c>
      <c r="N66" s="185" t="n">
        <v>-1.657391657625</v>
      </c>
      <c r="O66" s="185" t="n">
        <v>-1.6270904683125</v>
      </c>
      <c r="P66" s="185" t="n">
        <v>-1.596789279</v>
      </c>
      <c r="Q66" s="185" t="n">
        <v>-1.5664880896875</v>
      </c>
      <c r="R66" s="185" t="n">
        <v>-1.536186900375</v>
      </c>
      <c r="S66" s="185" t="n">
        <v>-1.5058857110625</v>
      </c>
      <c r="T66" s="185" t="n">
        <v>-1.47558452175</v>
      </c>
      <c r="U66" s="185" t="n">
        <v>-1.4452833324375</v>
      </c>
      <c r="V66" s="186" t="n">
        <v>-1.414982143125</v>
      </c>
      <c r="W66" s="185" t="n">
        <v>-1.3846809538125</v>
      </c>
      <c r="X66" s="186" t="n">
        <v>-1.3543797645</v>
      </c>
      <c r="Y66" s="185" t="n">
        <v>-1.3240785751875</v>
      </c>
      <c r="Z66" s="186" t="n">
        <v>-1.293777385875</v>
      </c>
      <c r="AA66" s="185" t="n">
        <v>-1.2634761965625</v>
      </c>
      <c r="AB66" s="187" t="n">
        <v>-1.23317500725</v>
      </c>
      <c r="AC66" s="185" t="n">
        <v>-1.2028738179375</v>
      </c>
      <c r="AD66" s="187" t="n">
        <v>-1.172572628625</v>
      </c>
      <c r="AE66" s="185" t="n">
        <v>-1.1422714393125</v>
      </c>
      <c r="AF66" s="185" t="n">
        <v>-1.11197025</v>
      </c>
      <c r="AG66" s="190" t="n">
        <v>-1.083235125</v>
      </c>
      <c r="AH66" s="190" t="n">
        <v>-1.0545</v>
      </c>
      <c r="AI66" s="190" t="n">
        <v>-1.02725</v>
      </c>
      <c r="AJ66" s="190" t="n">
        <v>-1</v>
      </c>
      <c r="AK66" s="190" t="n">
        <v>-0.8</v>
      </c>
      <c r="AL66" s="190" t="n">
        <v>-0.6</v>
      </c>
      <c r="AM66" s="190" t="n">
        <v>-0.4</v>
      </c>
      <c r="AN66" s="190" t="n">
        <v>-0.2</v>
      </c>
      <c r="AO66" s="190" t="n">
        <v>0</v>
      </c>
      <c r="AP66" s="190" t="n">
        <v>0.2</v>
      </c>
      <c r="AQ66" s="190" t="n">
        <v>0.4</v>
      </c>
      <c r="AR66" s="190" t="n">
        <v>0.6</v>
      </c>
      <c r="AS66" s="190" t="n">
        <v>0.8</v>
      </c>
      <c r="AT66" s="190" t="n">
        <v>1</v>
      </c>
      <c r="AU66" s="190" t="n">
        <v>1.2</v>
      </c>
      <c r="AV66" s="190" t="n">
        <v>1.4</v>
      </c>
      <c r="AW66" s="190" t="n">
        <v>1.58</v>
      </c>
      <c r="AX66" s="190" t="n">
        <v>1.76</v>
      </c>
      <c r="AY66" s="190" t="n">
        <v>1.922</v>
      </c>
      <c r="AZ66" s="190" t="n">
        <v>2.084</v>
      </c>
      <c r="BA66" s="190" t="n">
        <v>2.2298</v>
      </c>
      <c r="BB66" s="190" t="n">
        <v>2.3756</v>
      </c>
      <c r="BC66" s="190" t="n">
        <v>2.50682</v>
      </c>
      <c r="BD66" s="190" t="n">
        <v>2.63804</v>
      </c>
      <c r="BE66" s="190" t="n">
        <v>2.756138</v>
      </c>
      <c r="BF66" s="190" t="n">
        <v>2.874236</v>
      </c>
      <c r="BG66" s="190" t="n">
        <v>2.9805242</v>
      </c>
      <c r="BH66" s="190" t="n">
        <v>3.0868124</v>
      </c>
      <c r="BI66" s="190" t="n">
        <v>3.18247178</v>
      </c>
      <c r="BJ66" s="190" t="n">
        <v>3.27813116</v>
      </c>
      <c r="BK66" s="190" t="n">
        <v>3.364224602</v>
      </c>
      <c r="BL66" s="190" t="n">
        <v>3.450318044</v>
      </c>
      <c r="BM66" s="190" t="n">
        <v>3.5278021418</v>
      </c>
      <c r="BN66" s="190" t="n">
        <v>3.6052862396</v>
      </c>
      <c r="BO66" s="190" t="n">
        <v>3.67502192762</v>
      </c>
      <c r="BP66" s="190" t="n">
        <v>3.74475761564</v>
      </c>
      <c r="BQ66" s="190" t="n">
        <v>3.81449330366</v>
      </c>
      <c r="BR66" s="190" t="n">
        <v>3.88422899168</v>
      </c>
      <c r="BS66" s="190" t="n">
        <v>3.9539646797</v>
      </c>
      <c r="BT66" s="190" t="n">
        <v>4.02370036772</v>
      </c>
      <c r="BU66" s="190" t="n">
        <v>4.09343605574</v>
      </c>
      <c r="BV66" s="190" t="n">
        <v>4.16317174376</v>
      </c>
      <c r="BW66" s="190" t="n">
        <v>4.23290743178</v>
      </c>
      <c r="BX66" s="190" t="n">
        <v>4.3026431198</v>
      </c>
      <c r="BY66" s="190" t="n">
        <v>4.37237880782</v>
      </c>
      <c r="BZ66" s="190" t="n">
        <v>4.44211449584</v>
      </c>
      <c r="CA66" s="190" t="n">
        <v>4.51185018386</v>
      </c>
      <c r="CB66" s="190" t="n">
        <v>4.58158587188</v>
      </c>
      <c r="CC66" s="190" t="n">
        <v>4.6513215599</v>
      </c>
      <c r="CD66" s="190" t="n">
        <v>4.72105724792</v>
      </c>
      <c r="CE66" s="190" t="n">
        <v>4.79079293594</v>
      </c>
      <c r="CF66" s="190" t="n">
        <v>4.86052862396</v>
      </c>
      <c r="CG66" s="190" t="n">
        <v>4.93026431198</v>
      </c>
      <c r="CH66" s="190" t="n">
        <v>5</v>
      </c>
      <c r="CI66" s="190" t="n">
        <v>5.06973568801999</v>
      </c>
      <c r="CJ66" s="190" t="n">
        <v>5.13947137603999</v>
      </c>
      <c r="CK66" s="190" t="n">
        <v>5.20920706405999</v>
      </c>
      <c r="CL66" s="190" t="n">
        <v>5.27894275207999</v>
      </c>
      <c r="CM66" s="190" t="n">
        <v>5.34867844009999</v>
      </c>
      <c r="CN66" s="190" t="n">
        <v>5.41841412811999</v>
      </c>
      <c r="CO66" s="190" t="n">
        <v>5.48814981613999</v>
      </c>
      <c r="CP66" s="190" t="n">
        <v>5.55788550415999</v>
      </c>
      <c r="CQ66" s="190" t="n">
        <v>5.62762119217999</v>
      </c>
      <c r="CR66" s="190" t="n">
        <v>5.69735688019999</v>
      </c>
      <c r="CS66" s="190" t="n">
        <v>5.76709256821999</v>
      </c>
      <c r="CT66" s="190" t="n">
        <v>5.83682825623999</v>
      </c>
      <c r="CU66" s="190" t="n">
        <v>5.90656394425999</v>
      </c>
      <c r="CV66" s="190" t="n">
        <v>5.97629963227999</v>
      </c>
      <c r="CW66" s="190" t="n">
        <v>6.04603532029999</v>
      </c>
      <c r="CX66" s="190" t="n">
        <v>6.11577100831999</v>
      </c>
      <c r="CY66" s="190" t="n">
        <v>6.18550669633999</v>
      </c>
      <c r="CZ66" s="190" t="n">
        <v>6.25524238435999</v>
      </c>
      <c r="DA66" s="190" t="n">
        <v>6.32497807237999</v>
      </c>
      <c r="DB66" s="190" t="n">
        <v>6.39471376039999</v>
      </c>
      <c r="DC66" s="190" t="n">
        <v>6.46444944841999</v>
      </c>
      <c r="DD66" s="190" t="n">
        <v>6.53418513643999</v>
      </c>
      <c r="DE66" s="190" t="n">
        <v>6.60392082445999</v>
      </c>
      <c r="DF66" s="190" t="n">
        <v>6.67365651247999</v>
      </c>
      <c r="DG66" s="190" t="n">
        <v>6.74339220049999</v>
      </c>
      <c r="DH66" s="190" t="n">
        <v>6.81312788851999</v>
      </c>
      <c r="DI66" s="190" t="n">
        <v>6.88286357653999</v>
      </c>
      <c r="DJ66" s="190" t="n">
        <v>6.95259926455999</v>
      </c>
      <c r="DK66" s="190" t="n">
        <v>7.02233495257999</v>
      </c>
      <c r="DL66" s="190" t="n">
        <v>7.09207064059999</v>
      </c>
      <c r="DM66" s="190" t="n">
        <v>7.16180632861999</v>
      </c>
      <c r="DN66" s="190" t="n">
        <v>7.23154201663999</v>
      </c>
      <c r="DO66" s="190" t="n">
        <v>7.30127770465999</v>
      </c>
      <c r="DP66" s="190" t="n">
        <v>7.37101339267999</v>
      </c>
      <c r="DQ66" s="190" t="n">
        <v>7.44074908069999</v>
      </c>
      <c r="DR66" s="190" t="n">
        <v>7.51048476871999</v>
      </c>
      <c r="DS66" s="190" t="n">
        <v>7.58022045673999</v>
      </c>
      <c r="DT66" s="190" t="n">
        <v>7.64995614475999</v>
      </c>
      <c r="DU66" s="190" t="n">
        <v>7.71969183277999</v>
      </c>
      <c r="DV66" s="190" t="n">
        <v>7.78942752079998</v>
      </c>
      <c r="DW66" s="190" t="n">
        <v>7.85916320881998</v>
      </c>
      <c r="DX66" s="190" t="n">
        <v>7.92889889683998</v>
      </c>
      <c r="DY66" s="190" t="n">
        <v>7.99863458485998</v>
      </c>
      <c r="DZ66" s="190" t="n">
        <v>8.06837027287998</v>
      </c>
      <c r="EA66" s="190" t="n">
        <v>8.13810596089998</v>
      </c>
      <c r="EB66" s="190" t="n">
        <v>8.20784164891998</v>
      </c>
      <c r="EC66" s="190" t="n">
        <v>8.27757733693998</v>
      </c>
      <c r="ED66" s="190" t="n">
        <v>8.34731302495998</v>
      </c>
      <c r="EE66" s="190" t="n">
        <v>8.41704871297998</v>
      </c>
      <c r="EF66" s="190" t="n">
        <v>8.48678440099998</v>
      </c>
      <c r="EG66" s="190" t="n">
        <v>8.55652008901998</v>
      </c>
      <c r="EH66" s="190" t="n">
        <v>8.62625577703998</v>
      </c>
      <c r="EI66" s="190" t="n">
        <v>8.69599146505998</v>
      </c>
      <c r="EJ66" s="190" t="n">
        <v>8.76572715307998</v>
      </c>
      <c r="EK66" s="190" t="n">
        <v>8.83546284109998</v>
      </c>
      <c r="EL66" s="180" t="n">
        <v>8.90519852911998</v>
      </c>
      <c r="EM66" s="180" t="n">
        <v>8.97493421713998</v>
      </c>
      <c r="EN66" s="180" t="n">
        <v>9.04466990515998</v>
      </c>
      <c r="EO66" s="180" t="n">
        <v>9.11440559317998</v>
      </c>
      <c r="EP66" s="180" t="n">
        <v>9.18414128119998</v>
      </c>
      <c r="EQ66" s="180" t="n">
        <v>9.25387696921998</v>
      </c>
      <c r="ER66" s="180" t="n">
        <v>9.32361265723998</v>
      </c>
      <c r="ES66" s="180" t="n">
        <v>9.39334834525998</v>
      </c>
      <c r="ET66" s="180" t="n">
        <v>9.46308403327998</v>
      </c>
      <c r="EU66" s="180" t="n">
        <v>9.53281972129998</v>
      </c>
      <c r="EV66" s="180" t="n">
        <v>9.60255540931998</v>
      </c>
      <c r="EW66" s="180" t="n">
        <v>9.67229109733998</v>
      </c>
      <c r="EX66" s="180" t="n">
        <v>9.74202678535998</v>
      </c>
      <c r="EY66" s="180" t="n">
        <v>9.81176247337998</v>
      </c>
      <c r="EZ66" s="180" t="n">
        <v>9.88149816139998</v>
      </c>
      <c r="FA66" s="180" t="n">
        <v>9.95123384941998</v>
      </c>
      <c r="FB66" s="180" t="n">
        <v>10.02096953744</v>
      </c>
      <c r="FC66" s="180" t="n">
        <v>10.09070522546</v>
      </c>
      <c r="FD66" s="180" t="n">
        <v>10.16044091348</v>
      </c>
      <c r="FE66" s="180" t="n">
        <v>10.2301766015</v>
      </c>
      <c r="FF66" s="180" t="n">
        <v>10.29991228952</v>
      </c>
      <c r="FG66" s="180" t="n">
        <v>10.36964797754</v>
      </c>
      <c r="FH66" s="180" t="n">
        <v>10.43938366556</v>
      </c>
      <c r="FI66" s="180" t="n">
        <v>10.50911935358</v>
      </c>
      <c r="FJ66" s="180" t="n">
        <v>10.5788550416</v>
      </c>
      <c r="FK66" s="180" t="n">
        <v>10.64859072962</v>
      </c>
      <c r="FL66" s="180" t="n">
        <v>10.71832641764</v>
      </c>
      <c r="FM66" s="180" t="n">
        <v>10.78806210566</v>
      </c>
      <c r="FN66" s="180" t="n">
        <v>10.85779779368</v>
      </c>
      <c r="FO66" s="180" t="n">
        <v>10.9275334817</v>
      </c>
      <c r="FP66" s="180" t="n">
        <v>10.99726916972</v>
      </c>
      <c r="FQ66" s="180" t="n">
        <v>11.06700485774</v>
      </c>
      <c r="FR66" s="180" t="n">
        <v>11.13674054576</v>
      </c>
      <c r="FS66" s="180" t="n">
        <v>11.20647623378</v>
      </c>
      <c r="FT66" s="180" t="n">
        <v>11.2762119218</v>
      </c>
      <c r="FU66" s="180" t="n">
        <v>11.34594760982</v>
      </c>
      <c r="FV66" s="180" t="n">
        <v>11.41568329784</v>
      </c>
      <c r="FW66" s="180" t="n">
        <v>11.48541898586</v>
      </c>
      <c r="FX66" s="180" t="n">
        <v>11.55515467388</v>
      </c>
      <c r="FY66" s="180" t="n">
        <v>11.6248903619</v>
      </c>
      <c r="FZ66" s="180" t="n">
        <v>11.69462604992</v>
      </c>
      <c r="GA66" s="180" t="n">
        <v>11.76436173794</v>
      </c>
      <c r="GB66" s="180" t="n">
        <v>11.83409742596</v>
      </c>
      <c r="GC66" s="180" t="n">
        <v>11.90383311398</v>
      </c>
      <c r="GD66" s="180" t="n">
        <v>11.973568802</v>
      </c>
      <c r="GE66" s="180" t="n">
        <v>12.04330449002</v>
      </c>
      <c r="GF66" s="180" t="n">
        <v>12.11304017804</v>
      </c>
      <c r="GG66" s="180" t="n">
        <v>12.18277586606</v>
      </c>
      <c r="GH66" s="180" t="n">
        <v>12.25251155408</v>
      </c>
      <c r="GI66" s="180" t="n">
        <v>12.3222472421</v>
      </c>
      <c r="GJ66" s="180" t="n">
        <v>12.39198293012</v>
      </c>
      <c r="GK66" s="180" t="n">
        <v>12.46171861814</v>
      </c>
      <c r="GL66" s="180" t="n">
        <v>12.53145430616</v>
      </c>
      <c r="GM66" s="180" t="n">
        <v>12.60118999418</v>
      </c>
      <c r="GN66" s="180" t="n">
        <v>12.6709256822</v>
      </c>
      <c r="GO66" s="180" t="n">
        <v>12.74066137022</v>
      </c>
      <c r="GP66" s="180" t="n">
        <v>12.81039705824</v>
      </c>
      <c r="GQ66" s="180" t="n">
        <v>12.88013274626</v>
      </c>
      <c r="GR66" s="180" t="n">
        <v>12.94986843428</v>
      </c>
      <c r="GS66" s="180" t="n">
        <v>13.0196041223</v>
      </c>
      <c r="GT66" s="180" t="n">
        <v>13.08933981032</v>
      </c>
      <c r="GU66" s="180" t="n">
        <v>13.15907549834</v>
      </c>
      <c r="GV66" s="180" t="n">
        <v>13.22881118636</v>
      </c>
      <c r="GW66" s="180" t="n">
        <v>13.29854687438</v>
      </c>
      <c r="GX66" s="180" t="n">
        <v>13.3682825624</v>
      </c>
      <c r="GY66" s="180" t="n">
        <v>13.43801825042</v>
      </c>
      <c r="GZ66" s="180" t="n">
        <v>13.50775393844</v>
      </c>
      <c r="HA66" s="180" t="n">
        <v>13.57748962646</v>
      </c>
      <c r="HB66" s="180" t="n">
        <v>13.64722531448</v>
      </c>
      <c r="HC66" s="180" t="n">
        <v>13.7169610025</v>
      </c>
      <c r="HD66" s="180" t="n">
        <v>13.78669669052</v>
      </c>
      <c r="HE66" s="180" t="n">
        <v>13.85643237854</v>
      </c>
      <c r="HF66" s="180" t="n">
        <v>13.92616806656</v>
      </c>
      <c r="HG66" s="180" t="n">
        <v>13.99590375458</v>
      </c>
      <c r="HH66" s="180" t="n">
        <v>14.0656394426</v>
      </c>
      <c r="HI66" s="180" t="n">
        <v>14.13537513062</v>
      </c>
      <c r="HJ66" s="180" t="n">
        <v>14.20511081864</v>
      </c>
      <c r="HK66" s="180" t="n">
        <v>14.27484650666</v>
      </c>
      <c r="HL66" s="180" t="n">
        <v>14.34458219468</v>
      </c>
      <c r="HM66" s="180" t="n">
        <v>14.4143178827</v>
      </c>
      <c r="HN66" s="180" t="n">
        <v>14.48405357072</v>
      </c>
      <c r="HO66" s="180" t="n">
        <v>14.55378925874</v>
      </c>
      <c r="HP66" s="180" t="n">
        <v>14.62352494676</v>
      </c>
      <c r="HQ66" s="180" t="n">
        <v>14.69326063478</v>
      </c>
      <c r="HR66" s="180" t="n">
        <v>14.7629963228</v>
      </c>
      <c r="HS66" s="180" t="n">
        <v>14.83273201082</v>
      </c>
      <c r="HT66" s="180" t="n">
        <v>14.90246769884</v>
      </c>
      <c r="HU66" s="180" t="n">
        <v>14.97220338686</v>
      </c>
      <c r="HV66" s="180" t="n">
        <v>15.04193907488</v>
      </c>
      <c r="HW66" s="180" t="n">
        <v>15.1116747629</v>
      </c>
      <c r="HX66" s="180" t="n">
        <v>15.18141045092</v>
      </c>
      <c r="HY66" s="180" t="n">
        <v>15.25114613894</v>
      </c>
      <c r="HZ66" s="180" t="n">
        <v>15.32088182696</v>
      </c>
      <c r="IA66" s="180" t="n">
        <v>15.39061751498</v>
      </c>
      <c r="IB66" s="180" t="n">
        <v>15.460353203</v>
      </c>
      <c r="IC66" s="180" t="n">
        <v>15.53008889102</v>
      </c>
      <c r="ID66" s="180" t="n">
        <v>15.59982457904</v>
      </c>
      <c r="IE66" s="180" t="n">
        <v>15.66956026706</v>
      </c>
      <c r="IF66" s="180" t="n">
        <v>15.73929595508</v>
      </c>
      <c r="IG66" s="180" t="n">
        <v>15.8090316431</v>
      </c>
      <c r="IH66" s="180" t="n">
        <v>15.87876733112</v>
      </c>
      <c r="II66" s="180" t="n">
        <v>15.94850301914</v>
      </c>
      <c r="IJ66" s="180" t="n">
        <v>16.01823870716</v>
      </c>
      <c r="IK66" s="180" t="n">
        <v>16.08797439518</v>
      </c>
      <c r="IL66" s="180" t="n">
        <v>16.1577100832</v>
      </c>
      <c r="IM66" s="180" t="n">
        <v>16.22744577122</v>
      </c>
      <c r="IN66" s="180" t="n">
        <v>16.29718145924</v>
      </c>
      <c r="IO66" s="180" t="n">
        <v>16.36691714726</v>
      </c>
      <c r="IP66" s="180" t="n">
        <v>16.43665283528</v>
      </c>
      <c r="IQ66" s="180" t="n">
        <v>16.5063885233</v>
      </c>
      <c r="IR66" s="180" t="n">
        <v>16.57612421132</v>
      </c>
      <c r="IS66" s="180" t="n">
        <v>16.64585989934</v>
      </c>
      <c r="IT66" s="180" t="n">
        <v>16.71559558736</v>
      </c>
      <c r="IU66" s="180" t="n">
        <v>16.78533127538</v>
      </c>
      <c r="IV66" s="180" t="n">
        <v>16.8550669634</v>
      </c>
    </row>
    <row r="67" customFormat="false" ht="12.75" hidden="false" customHeight="false" outlineLevel="0" collapsed="false">
      <c r="A67" s="189" t="n">
        <v>38718</v>
      </c>
      <c r="B67" s="185" t="n">
        <v>-2.021005929375</v>
      </c>
      <c r="C67" s="185" t="n">
        <v>-1.9907047400625</v>
      </c>
      <c r="D67" s="185" t="n">
        <v>-1.96040355075</v>
      </c>
      <c r="E67" s="185" t="n">
        <v>-1.9301023614375</v>
      </c>
      <c r="F67" s="185" t="n">
        <v>-1.899801172125</v>
      </c>
      <c r="G67" s="185" t="n">
        <v>-1.8694999828125</v>
      </c>
      <c r="H67" s="185" t="n">
        <v>-1.8391987935</v>
      </c>
      <c r="I67" s="185" t="n">
        <v>-1.8088976041875</v>
      </c>
      <c r="J67" s="185" t="n">
        <v>-1.778596414875</v>
      </c>
      <c r="K67" s="185" t="n">
        <v>-1.7482952255625</v>
      </c>
      <c r="L67" s="185" t="n">
        <v>-1.71799403625</v>
      </c>
      <c r="M67" s="185" t="n">
        <v>-1.6876928469375</v>
      </c>
      <c r="N67" s="185" t="n">
        <v>-1.657391657625</v>
      </c>
      <c r="O67" s="185" t="n">
        <v>-1.6270904683125</v>
      </c>
      <c r="P67" s="185" t="n">
        <v>-1.596789279</v>
      </c>
      <c r="Q67" s="185" t="n">
        <v>-1.5664880896875</v>
      </c>
      <c r="R67" s="185" t="n">
        <v>-1.536186900375</v>
      </c>
      <c r="S67" s="185" t="n">
        <v>-1.5058857110625</v>
      </c>
      <c r="T67" s="185" t="n">
        <v>-1.47558452175</v>
      </c>
      <c r="U67" s="185" t="n">
        <v>-1.4452833324375</v>
      </c>
      <c r="V67" s="186" t="n">
        <v>-1.414982143125</v>
      </c>
      <c r="W67" s="185" t="n">
        <v>-1.3846809538125</v>
      </c>
      <c r="X67" s="186" t="n">
        <v>-1.3543797645</v>
      </c>
      <c r="Y67" s="185" t="n">
        <v>-1.3240785751875</v>
      </c>
      <c r="Z67" s="186" t="n">
        <v>-1.293777385875</v>
      </c>
      <c r="AA67" s="185" t="n">
        <v>-1.2634761965625</v>
      </c>
      <c r="AB67" s="187" t="n">
        <v>-1.23317500725</v>
      </c>
      <c r="AC67" s="185" t="n">
        <v>-1.2028738179375</v>
      </c>
      <c r="AD67" s="187" t="n">
        <v>-1.172572628625</v>
      </c>
      <c r="AE67" s="185" t="n">
        <v>-1.1422714393125</v>
      </c>
      <c r="AF67" s="185" t="n">
        <v>-1.11197025</v>
      </c>
      <c r="AG67" s="190" t="n">
        <v>-1.083235125</v>
      </c>
      <c r="AH67" s="190" t="n">
        <v>-1.0545</v>
      </c>
      <c r="AI67" s="190" t="n">
        <v>-1.02725</v>
      </c>
      <c r="AJ67" s="190" t="n">
        <v>-1</v>
      </c>
      <c r="AK67" s="190" t="n">
        <v>-0.8</v>
      </c>
      <c r="AL67" s="190" t="n">
        <v>-0.6</v>
      </c>
      <c r="AM67" s="190" t="n">
        <v>-0.4</v>
      </c>
      <c r="AN67" s="190" t="n">
        <v>-0.2</v>
      </c>
      <c r="AO67" s="190" t="n">
        <v>0</v>
      </c>
      <c r="AP67" s="190" t="n">
        <v>0.2</v>
      </c>
      <c r="AQ67" s="190" t="n">
        <v>0.4</v>
      </c>
      <c r="AR67" s="190" t="n">
        <v>0.6</v>
      </c>
      <c r="AS67" s="190" t="n">
        <v>0.8</v>
      </c>
      <c r="AT67" s="190" t="n">
        <v>1</v>
      </c>
      <c r="AU67" s="190" t="n">
        <v>1.2</v>
      </c>
      <c r="AV67" s="190" t="n">
        <v>1.4</v>
      </c>
      <c r="AW67" s="190" t="n">
        <v>1.58</v>
      </c>
      <c r="AX67" s="190" t="n">
        <v>1.76</v>
      </c>
      <c r="AY67" s="190" t="n">
        <v>1.922</v>
      </c>
      <c r="AZ67" s="190" t="n">
        <v>2.084</v>
      </c>
      <c r="BA67" s="190" t="n">
        <v>2.2298</v>
      </c>
      <c r="BB67" s="190" t="n">
        <v>2.3756</v>
      </c>
      <c r="BC67" s="190" t="n">
        <v>2.50682</v>
      </c>
      <c r="BD67" s="190" t="n">
        <v>2.63804</v>
      </c>
      <c r="BE67" s="190" t="n">
        <v>2.756138</v>
      </c>
      <c r="BF67" s="190" t="n">
        <v>2.874236</v>
      </c>
      <c r="BG67" s="190" t="n">
        <v>2.9805242</v>
      </c>
      <c r="BH67" s="190" t="n">
        <v>3.0868124</v>
      </c>
      <c r="BI67" s="190" t="n">
        <v>3.18247178</v>
      </c>
      <c r="BJ67" s="190" t="n">
        <v>3.27813116</v>
      </c>
      <c r="BK67" s="190" t="n">
        <v>3.364224602</v>
      </c>
      <c r="BL67" s="190" t="n">
        <v>3.450318044</v>
      </c>
      <c r="BM67" s="190" t="n">
        <v>3.5278021418</v>
      </c>
      <c r="BN67" s="190" t="n">
        <v>3.6052862396</v>
      </c>
      <c r="BO67" s="190" t="n">
        <v>3.67502192762</v>
      </c>
      <c r="BP67" s="190" t="n">
        <v>3.74475761564</v>
      </c>
      <c r="BQ67" s="190" t="n">
        <v>3.81449330366</v>
      </c>
      <c r="BR67" s="190" t="n">
        <v>3.88422899168</v>
      </c>
      <c r="BS67" s="190" t="n">
        <v>3.9539646797</v>
      </c>
      <c r="BT67" s="190" t="n">
        <v>4.02370036772</v>
      </c>
      <c r="BU67" s="190" t="n">
        <v>4.09343605574</v>
      </c>
      <c r="BV67" s="190" t="n">
        <v>4.16317174376</v>
      </c>
      <c r="BW67" s="190" t="n">
        <v>4.23290743178</v>
      </c>
      <c r="BX67" s="190" t="n">
        <v>4.3026431198</v>
      </c>
      <c r="BY67" s="190" t="n">
        <v>4.37237880782</v>
      </c>
      <c r="BZ67" s="190" t="n">
        <v>4.44211449584</v>
      </c>
      <c r="CA67" s="190" t="n">
        <v>4.51185018386</v>
      </c>
      <c r="CB67" s="190" t="n">
        <v>4.58158587188</v>
      </c>
      <c r="CC67" s="190" t="n">
        <v>4.6513215599</v>
      </c>
      <c r="CD67" s="190" t="n">
        <v>4.72105724792</v>
      </c>
      <c r="CE67" s="190" t="n">
        <v>4.79079293594</v>
      </c>
      <c r="CF67" s="190" t="n">
        <v>4.86052862396</v>
      </c>
      <c r="CG67" s="190" t="n">
        <v>4.93026431198</v>
      </c>
      <c r="CH67" s="190" t="n">
        <v>5</v>
      </c>
      <c r="CI67" s="190" t="n">
        <v>5.06973568801999</v>
      </c>
      <c r="CJ67" s="190" t="n">
        <v>5.13947137603999</v>
      </c>
      <c r="CK67" s="190" t="n">
        <v>5.20920706405999</v>
      </c>
      <c r="CL67" s="190" t="n">
        <v>5.27894275207999</v>
      </c>
      <c r="CM67" s="190" t="n">
        <v>5.34867844009999</v>
      </c>
      <c r="CN67" s="190" t="n">
        <v>5.41841412811999</v>
      </c>
      <c r="CO67" s="190" t="n">
        <v>5.48814981613999</v>
      </c>
      <c r="CP67" s="190" t="n">
        <v>5.55788550415999</v>
      </c>
      <c r="CQ67" s="190" t="n">
        <v>5.62762119217999</v>
      </c>
      <c r="CR67" s="190" t="n">
        <v>5.69735688019999</v>
      </c>
      <c r="CS67" s="190" t="n">
        <v>5.76709256821999</v>
      </c>
      <c r="CT67" s="190" t="n">
        <v>5.83682825623999</v>
      </c>
      <c r="CU67" s="190" t="n">
        <v>5.90656394425999</v>
      </c>
      <c r="CV67" s="190" t="n">
        <v>5.97629963227999</v>
      </c>
      <c r="CW67" s="190" t="n">
        <v>6.04603532029999</v>
      </c>
      <c r="CX67" s="190" t="n">
        <v>6.11577100831999</v>
      </c>
      <c r="CY67" s="190" t="n">
        <v>6.18550669633999</v>
      </c>
      <c r="CZ67" s="190" t="n">
        <v>6.25524238435999</v>
      </c>
      <c r="DA67" s="190" t="n">
        <v>6.32497807237999</v>
      </c>
      <c r="DB67" s="190" t="n">
        <v>6.39471376039999</v>
      </c>
      <c r="DC67" s="190" t="n">
        <v>6.46444944841999</v>
      </c>
      <c r="DD67" s="190" t="n">
        <v>6.53418513643999</v>
      </c>
      <c r="DE67" s="190" t="n">
        <v>6.60392082445999</v>
      </c>
      <c r="DF67" s="190" t="n">
        <v>6.67365651247999</v>
      </c>
      <c r="DG67" s="190" t="n">
        <v>6.74339220049999</v>
      </c>
      <c r="DH67" s="190" t="n">
        <v>6.81312788851999</v>
      </c>
      <c r="DI67" s="190" t="n">
        <v>6.88286357653999</v>
      </c>
      <c r="DJ67" s="190" t="n">
        <v>6.95259926455999</v>
      </c>
      <c r="DK67" s="190" t="n">
        <v>7.02233495257999</v>
      </c>
      <c r="DL67" s="190" t="n">
        <v>7.09207064059999</v>
      </c>
      <c r="DM67" s="190" t="n">
        <v>7.16180632861999</v>
      </c>
      <c r="DN67" s="190" t="n">
        <v>7.23154201663999</v>
      </c>
      <c r="DO67" s="190" t="n">
        <v>7.30127770465999</v>
      </c>
      <c r="DP67" s="190" t="n">
        <v>7.37101339267999</v>
      </c>
      <c r="DQ67" s="190" t="n">
        <v>7.44074908069999</v>
      </c>
      <c r="DR67" s="190" t="n">
        <v>7.51048476871999</v>
      </c>
      <c r="DS67" s="190" t="n">
        <v>7.58022045673999</v>
      </c>
      <c r="DT67" s="190" t="n">
        <v>7.64995614475999</v>
      </c>
      <c r="DU67" s="190" t="n">
        <v>7.71969183277999</v>
      </c>
      <c r="DV67" s="190" t="n">
        <v>7.78942752079998</v>
      </c>
      <c r="DW67" s="190" t="n">
        <v>7.85916320881998</v>
      </c>
      <c r="DX67" s="190" t="n">
        <v>7.92889889683998</v>
      </c>
      <c r="DY67" s="190" t="n">
        <v>7.99863458485998</v>
      </c>
      <c r="DZ67" s="190" t="n">
        <v>8.06837027287998</v>
      </c>
      <c r="EA67" s="190" t="n">
        <v>8.13810596089998</v>
      </c>
      <c r="EB67" s="190" t="n">
        <v>8.20784164891998</v>
      </c>
      <c r="EC67" s="190" t="n">
        <v>8.27757733693998</v>
      </c>
      <c r="ED67" s="190" t="n">
        <v>8.34731302495998</v>
      </c>
      <c r="EE67" s="190" t="n">
        <v>8.41704871297998</v>
      </c>
      <c r="EF67" s="190" t="n">
        <v>8.48678440099998</v>
      </c>
      <c r="EG67" s="190" t="n">
        <v>8.55652008901998</v>
      </c>
      <c r="EH67" s="190" t="n">
        <v>8.62625577703998</v>
      </c>
      <c r="EI67" s="190" t="n">
        <v>8.69599146505998</v>
      </c>
      <c r="EJ67" s="190" t="n">
        <v>8.76572715307998</v>
      </c>
      <c r="EK67" s="190" t="n">
        <v>8.83546284109998</v>
      </c>
      <c r="EL67" s="180" t="n">
        <v>8.90519852911998</v>
      </c>
      <c r="EM67" s="180" t="n">
        <v>8.97493421713998</v>
      </c>
      <c r="EN67" s="180" t="n">
        <v>9.04466990515998</v>
      </c>
      <c r="EO67" s="180" t="n">
        <v>9.11440559317998</v>
      </c>
      <c r="EP67" s="180" t="n">
        <v>9.18414128119998</v>
      </c>
      <c r="EQ67" s="180" t="n">
        <v>9.25387696921998</v>
      </c>
      <c r="ER67" s="180" t="n">
        <v>9.32361265723998</v>
      </c>
      <c r="ES67" s="180" t="n">
        <v>9.39334834525998</v>
      </c>
      <c r="ET67" s="180" t="n">
        <v>9.46308403327998</v>
      </c>
      <c r="EU67" s="180" t="n">
        <v>9.53281972129998</v>
      </c>
      <c r="EV67" s="180" t="n">
        <v>9.60255540931998</v>
      </c>
      <c r="EW67" s="180" t="n">
        <v>9.67229109733998</v>
      </c>
      <c r="EX67" s="180" t="n">
        <v>9.74202678535998</v>
      </c>
      <c r="EY67" s="180" t="n">
        <v>9.81176247337998</v>
      </c>
      <c r="EZ67" s="180" t="n">
        <v>9.88149816139998</v>
      </c>
      <c r="FA67" s="180" t="n">
        <v>9.95123384941998</v>
      </c>
      <c r="FB67" s="180" t="n">
        <v>10.02096953744</v>
      </c>
      <c r="FC67" s="180" t="n">
        <v>10.09070522546</v>
      </c>
      <c r="FD67" s="180" t="n">
        <v>10.16044091348</v>
      </c>
      <c r="FE67" s="180" t="n">
        <v>10.2301766015</v>
      </c>
      <c r="FF67" s="180" t="n">
        <v>10.29991228952</v>
      </c>
      <c r="FG67" s="180" t="n">
        <v>10.36964797754</v>
      </c>
      <c r="FH67" s="180" t="n">
        <v>10.43938366556</v>
      </c>
      <c r="FI67" s="180" t="n">
        <v>10.50911935358</v>
      </c>
      <c r="FJ67" s="180" t="n">
        <v>10.5788550416</v>
      </c>
      <c r="FK67" s="180" t="n">
        <v>10.64859072962</v>
      </c>
      <c r="FL67" s="180" t="n">
        <v>10.71832641764</v>
      </c>
      <c r="FM67" s="180" t="n">
        <v>10.78806210566</v>
      </c>
      <c r="FN67" s="180" t="n">
        <v>10.85779779368</v>
      </c>
      <c r="FO67" s="180" t="n">
        <v>10.9275334817</v>
      </c>
      <c r="FP67" s="180" t="n">
        <v>10.99726916972</v>
      </c>
      <c r="FQ67" s="180" t="n">
        <v>11.06700485774</v>
      </c>
      <c r="FR67" s="180" t="n">
        <v>11.13674054576</v>
      </c>
      <c r="FS67" s="180" t="n">
        <v>11.20647623378</v>
      </c>
      <c r="FT67" s="180" t="n">
        <v>11.2762119218</v>
      </c>
      <c r="FU67" s="180" t="n">
        <v>11.34594760982</v>
      </c>
      <c r="FV67" s="180" t="n">
        <v>11.41568329784</v>
      </c>
      <c r="FW67" s="180" t="n">
        <v>11.48541898586</v>
      </c>
      <c r="FX67" s="180" t="n">
        <v>11.55515467388</v>
      </c>
      <c r="FY67" s="180" t="n">
        <v>11.6248903619</v>
      </c>
      <c r="FZ67" s="180" t="n">
        <v>11.69462604992</v>
      </c>
      <c r="GA67" s="180" t="n">
        <v>11.76436173794</v>
      </c>
      <c r="GB67" s="180" t="n">
        <v>11.83409742596</v>
      </c>
      <c r="GC67" s="180" t="n">
        <v>11.90383311398</v>
      </c>
      <c r="GD67" s="180" t="n">
        <v>11.973568802</v>
      </c>
      <c r="GE67" s="180" t="n">
        <v>12.04330449002</v>
      </c>
      <c r="GF67" s="180" t="n">
        <v>12.11304017804</v>
      </c>
      <c r="GG67" s="180" t="n">
        <v>12.18277586606</v>
      </c>
      <c r="GH67" s="180" t="n">
        <v>12.25251155408</v>
      </c>
      <c r="GI67" s="180" t="n">
        <v>12.3222472421</v>
      </c>
      <c r="GJ67" s="180" t="n">
        <v>12.39198293012</v>
      </c>
      <c r="GK67" s="180" t="n">
        <v>12.46171861814</v>
      </c>
      <c r="GL67" s="180" t="n">
        <v>12.53145430616</v>
      </c>
      <c r="GM67" s="180" t="n">
        <v>12.60118999418</v>
      </c>
      <c r="GN67" s="180" t="n">
        <v>12.6709256822</v>
      </c>
      <c r="GO67" s="180" t="n">
        <v>12.74066137022</v>
      </c>
      <c r="GP67" s="180" t="n">
        <v>12.81039705824</v>
      </c>
      <c r="GQ67" s="180" t="n">
        <v>12.88013274626</v>
      </c>
      <c r="GR67" s="180" t="n">
        <v>12.94986843428</v>
      </c>
      <c r="GS67" s="180" t="n">
        <v>13.0196041223</v>
      </c>
      <c r="GT67" s="180" t="n">
        <v>13.08933981032</v>
      </c>
      <c r="GU67" s="180" t="n">
        <v>13.15907549834</v>
      </c>
      <c r="GV67" s="180" t="n">
        <v>13.22881118636</v>
      </c>
      <c r="GW67" s="180" t="n">
        <v>13.29854687438</v>
      </c>
      <c r="GX67" s="180" t="n">
        <v>13.3682825624</v>
      </c>
      <c r="GY67" s="180" t="n">
        <v>13.43801825042</v>
      </c>
      <c r="GZ67" s="180" t="n">
        <v>13.50775393844</v>
      </c>
      <c r="HA67" s="180" t="n">
        <v>13.57748962646</v>
      </c>
      <c r="HB67" s="180" t="n">
        <v>13.64722531448</v>
      </c>
      <c r="HC67" s="180" t="n">
        <v>13.7169610025</v>
      </c>
      <c r="HD67" s="180" t="n">
        <v>13.78669669052</v>
      </c>
      <c r="HE67" s="180" t="n">
        <v>13.85643237854</v>
      </c>
      <c r="HF67" s="180" t="n">
        <v>13.92616806656</v>
      </c>
      <c r="HG67" s="180" t="n">
        <v>13.99590375458</v>
      </c>
      <c r="HH67" s="180" t="n">
        <v>14.0656394426</v>
      </c>
      <c r="HI67" s="180" t="n">
        <v>14.13537513062</v>
      </c>
      <c r="HJ67" s="180" t="n">
        <v>14.20511081864</v>
      </c>
      <c r="HK67" s="180" t="n">
        <v>14.27484650666</v>
      </c>
      <c r="HL67" s="180" t="n">
        <v>14.34458219468</v>
      </c>
      <c r="HM67" s="180" t="n">
        <v>14.4143178827</v>
      </c>
      <c r="HN67" s="180" t="n">
        <v>14.48405357072</v>
      </c>
      <c r="HO67" s="180" t="n">
        <v>14.55378925874</v>
      </c>
      <c r="HP67" s="180" t="n">
        <v>14.62352494676</v>
      </c>
      <c r="HQ67" s="180" t="n">
        <v>14.69326063478</v>
      </c>
      <c r="HR67" s="180" t="n">
        <v>14.7629963228</v>
      </c>
      <c r="HS67" s="180" t="n">
        <v>14.83273201082</v>
      </c>
      <c r="HT67" s="180" t="n">
        <v>14.90246769884</v>
      </c>
      <c r="HU67" s="180" t="n">
        <v>14.97220338686</v>
      </c>
      <c r="HV67" s="180" t="n">
        <v>15.04193907488</v>
      </c>
      <c r="HW67" s="180" t="n">
        <v>15.1116747629</v>
      </c>
      <c r="HX67" s="180" t="n">
        <v>15.18141045092</v>
      </c>
      <c r="HY67" s="180" t="n">
        <v>15.25114613894</v>
      </c>
      <c r="HZ67" s="180" t="n">
        <v>15.32088182696</v>
      </c>
      <c r="IA67" s="180" t="n">
        <v>15.39061751498</v>
      </c>
      <c r="IB67" s="180" t="n">
        <v>15.460353203</v>
      </c>
      <c r="IC67" s="180" t="n">
        <v>15.53008889102</v>
      </c>
      <c r="ID67" s="180" t="n">
        <v>15.59982457904</v>
      </c>
      <c r="IE67" s="180" t="n">
        <v>15.66956026706</v>
      </c>
      <c r="IF67" s="180" t="n">
        <v>15.73929595508</v>
      </c>
      <c r="IG67" s="180" t="n">
        <v>15.8090316431</v>
      </c>
      <c r="IH67" s="180" t="n">
        <v>15.87876733112</v>
      </c>
      <c r="II67" s="180" t="n">
        <v>15.94850301914</v>
      </c>
      <c r="IJ67" s="180" t="n">
        <v>16.01823870716</v>
      </c>
      <c r="IK67" s="180" t="n">
        <v>16.08797439518</v>
      </c>
      <c r="IL67" s="180" t="n">
        <v>16.1577100832</v>
      </c>
      <c r="IM67" s="180" t="n">
        <v>16.22744577122</v>
      </c>
      <c r="IN67" s="180" t="n">
        <v>16.29718145924</v>
      </c>
      <c r="IO67" s="180" t="n">
        <v>16.36691714726</v>
      </c>
      <c r="IP67" s="180" t="n">
        <v>16.43665283528</v>
      </c>
      <c r="IQ67" s="180" t="n">
        <v>16.5063885233</v>
      </c>
      <c r="IR67" s="180" t="n">
        <v>16.57612421132</v>
      </c>
      <c r="IS67" s="180" t="n">
        <v>16.64585989934</v>
      </c>
      <c r="IT67" s="180" t="n">
        <v>16.71559558736</v>
      </c>
      <c r="IU67" s="180" t="n">
        <v>16.78533127538</v>
      </c>
      <c r="IV67" s="180" t="n">
        <v>16.8550669634</v>
      </c>
    </row>
    <row r="68" customFormat="false" ht="12.75" hidden="false" customHeight="false" outlineLevel="0" collapsed="false">
      <c r="A68" s="189" t="n">
        <v>38749</v>
      </c>
      <c r="B68" s="185" t="n">
        <v>-2.021005929375</v>
      </c>
      <c r="C68" s="185" t="n">
        <v>-1.9907047400625</v>
      </c>
      <c r="D68" s="185" t="n">
        <v>-1.96040355075</v>
      </c>
      <c r="E68" s="185" t="n">
        <v>-1.9301023614375</v>
      </c>
      <c r="F68" s="185" t="n">
        <v>-1.899801172125</v>
      </c>
      <c r="G68" s="185" t="n">
        <v>-1.8694999828125</v>
      </c>
      <c r="H68" s="185" t="n">
        <v>-1.8391987935</v>
      </c>
      <c r="I68" s="185" t="n">
        <v>-1.8088976041875</v>
      </c>
      <c r="J68" s="185" t="n">
        <v>-1.778596414875</v>
      </c>
      <c r="K68" s="185" t="n">
        <v>-1.7482952255625</v>
      </c>
      <c r="L68" s="185" t="n">
        <v>-1.71799403625</v>
      </c>
      <c r="M68" s="185" t="n">
        <v>-1.6876928469375</v>
      </c>
      <c r="N68" s="185" t="n">
        <v>-1.657391657625</v>
      </c>
      <c r="O68" s="185" t="n">
        <v>-1.6270904683125</v>
      </c>
      <c r="P68" s="185" t="n">
        <v>-1.596789279</v>
      </c>
      <c r="Q68" s="185" t="n">
        <v>-1.5664880896875</v>
      </c>
      <c r="R68" s="185" t="n">
        <v>-1.536186900375</v>
      </c>
      <c r="S68" s="185" t="n">
        <v>-1.5058857110625</v>
      </c>
      <c r="T68" s="185" t="n">
        <v>-1.47558452175</v>
      </c>
      <c r="U68" s="185" t="n">
        <v>-1.4452833324375</v>
      </c>
      <c r="V68" s="186" t="n">
        <v>-1.414982143125</v>
      </c>
      <c r="W68" s="185" t="n">
        <v>-1.3846809538125</v>
      </c>
      <c r="X68" s="186" t="n">
        <v>-1.3543797645</v>
      </c>
      <c r="Y68" s="185" t="n">
        <v>-1.3240785751875</v>
      </c>
      <c r="Z68" s="186" t="n">
        <v>-1.293777385875</v>
      </c>
      <c r="AA68" s="185" t="n">
        <v>-1.2634761965625</v>
      </c>
      <c r="AB68" s="187" t="n">
        <v>-1.23317500725</v>
      </c>
      <c r="AC68" s="185" t="n">
        <v>-1.2028738179375</v>
      </c>
      <c r="AD68" s="187" t="n">
        <v>-1.172572628625</v>
      </c>
      <c r="AE68" s="185" t="n">
        <v>-1.1422714393125</v>
      </c>
      <c r="AF68" s="185" t="n">
        <v>-1.11197025</v>
      </c>
      <c r="AG68" s="190" t="n">
        <v>-1.083235125</v>
      </c>
      <c r="AH68" s="190" t="n">
        <v>-1.0545</v>
      </c>
      <c r="AI68" s="190" t="n">
        <v>-1.02725</v>
      </c>
      <c r="AJ68" s="190" t="n">
        <v>-1</v>
      </c>
      <c r="AK68" s="190" t="n">
        <v>-0.8</v>
      </c>
      <c r="AL68" s="190" t="n">
        <v>-0.6</v>
      </c>
      <c r="AM68" s="190" t="n">
        <v>-0.4</v>
      </c>
      <c r="AN68" s="190" t="n">
        <v>-0.2</v>
      </c>
      <c r="AO68" s="190" t="n">
        <v>0</v>
      </c>
      <c r="AP68" s="190" t="n">
        <v>0.2</v>
      </c>
      <c r="AQ68" s="190" t="n">
        <v>0.4</v>
      </c>
      <c r="AR68" s="190" t="n">
        <v>0.6</v>
      </c>
      <c r="AS68" s="190" t="n">
        <v>0.8</v>
      </c>
      <c r="AT68" s="190" t="n">
        <v>1</v>
      </c>
      <c r="AU68" s="190" t="n">
        <v>1.2</v>
      </c>
      <c r="AV68" s="190" t="n">
        <v>1.4</v>
      </c>
      <c r="AW68" s="190" t="n">
        <v>1.58</v>
      </c>
      <c r="AX68" s="190" t="n">
        <v>1.76</v>
      </c>
      <c r="AY68" s="190" t="n">
        <v>1.922</v>
      </c>
      <c r="AZ68" s="190" t="n">
        <v>2.084</v>
      </c>
      <c r="BA68" s="190" t="n">
        <v>2.2298</v>
      </c>
      <c r="BB68" s="190" t="n">
        <v>2.3756</v>
      </c>
      <c r="BC68" s="190" t="n">
        <v>2.50682</v>
      </c>
      <c r="BD68" s="190" t="n">
        <v>2.63804</v>
      </c>
      <c r="BE68" s="190" t="n">
        <v>2.756138</v>
      </c>
      <c r="BF68" s="190" t="n">
        <v>2.874236</v>
      </c>
      <c r="BG68" s="190" t="n">
        <v>2.9805242</v>
      </c>
      <c r="BH68" s="190" t="n">
        <v>3.0868124</v>
      </c>
      <c r="BI68" s="190" t="n">
        <v>3.18247178</v>
      </c>
      <c r="BJ68" s="190" t="n">
        <v>3.27813116</v>
      </c>
      <c r="BK68" s="190" t="n">
        <v>3.364224602</v>
      </c>
      <c r="BL68" s="190" t="n">
        <v>3.450318044</v>
      </c>
      <c r="BM68" s="190" t="n">
        <v>3.5278021418</v>
      </c>
      <c r="BN68" s="190" t="n">
        <v>3.6052862396</v>
      </c>
      <c r="BO68" s="190" t="n">
        <v>3.67502192762</v>
      </c>
      <c r="BP68" s="190" t="n">
        <v>3.74475761564</v>
      </c>
      <c r="BQ68" s="190" t="n">
        <v>3.81449330366</v>
      </c>
      <c r="BR68" s="190" t="n">
        <v>3.88422899168</v>
      </c>
      <c r="BS68" s="190" t="n">
        <v>3.9539646797</v>
      </c>
      <c r="BT68" s="190" t="n">
        <v>4.02370036772</v>
      </c>
      <c r="BU68" s="190" t="n">
        <v>4.09343605574</v>
      </c>
      <c r="BV68" s="190" t="n">
        <v>4.16317174376</v>
      </c>
      <c r="BW68" s="190" t="n">
        <v>4.23290743178</v>
      </c>
      <c r="BX68" s="190" t="n">
        <v>4.3026431198</v>
      </c>
      <c r="BY68" s="190" t="n">
        <v>4.37237880782</v>
      </c>
      <c r="BZ68" s="190" t="n">
        <v>4.44211449584</v>
      </c>
      <c r="CA68" s="190" t="n">
        <v>4.51185018386</v>
      </c>
      <c r="CB68" s="190" t="n">
        <v>4.58158587188</v>
      </c>
      <c r="CC68" s="190" t="n">
        <v>4.6513215599</v>
      </c>
      <c r="CD68" s="190" t="n">
        <v>4.72105724792</v>
      </c>
      <c r="CE68" s="190" t="n">
        <v>4.79079293594</v>
      </c>
      <c r="CF68" s="190" t="n">
        <v>4.86052862396</v>
      </c>
      <c r="CG68" s="190" t="n">
        <v>4.93026431198</v>
      </c>
      <c r="CH68" s="190" t="n">
        <v>5</v>
      </c>
      <c r="CI68" s="190" t="n">
        <v>5.06973568801999</v>
      </c>
      <c r="CJ68" s="190" t="n">
        <v>5.13947137603999</v>
      </c>
      <c r="CK68" s="190" t="n">
        <v>5.20920706405999</v>
      </c>
      <c r="CL68" s="190" t="n">
        <v>5.27894275207999</v>
      </c>
      <c r="CM68" s="190" t="n">
        <v>5.34867844009999</v>
      </c>
      <c r="CN68" s="190" t="n">
        <v>5.41841412811999</v>
      </c>
      <c r="CO68" s="190" t="n">
        <v>5.48814981613999</v>
      </c>
      <c r="CP68" s="190" t="n">
        <v>5.55788550415999</v>
      </c>
      <c r="CQ68" s="190" t="n">
        <v>5.62762119217999</v>
      </c>
      <c r="CR68" s="190" t="n">
        <v>5.69735688019999</v>
      </c>
      <c r="CS68" s="190" t="n">
        <v>5.76709256821999</v>
      </c>
      <c r="CT68" s="190" t="n">
        <v>5.83682825623999</v>
      </c>
      <c r="CU68" s="190" t="n">
        <v>5.90656394425999</v>
      </c>
      <c r="CV68" s="190" t="n">
        <v>5.97629963227999</v>
      </c>
      <c r="CW68" s="190" t="n">
        <v>6.04603532029999</v>
      </c>
      <c r="CX68" s="190" t="n">
        <v>6.11577100831999</v>
      </c>
      <c r="CY68" s="190" t="n">
        <v>6.18550669633999</v>
      </c>
      <c r="CZ68" s="190" t="n">
        <v>6.25524238435999</v>
      </c>
      <c r="DA68" s="190" t="n">
        <v>6.32497807237999</v>
      </c>
      <c r="DB68" s="190" t="n">
        <v>6.39471376039999</v>
      </c>
      <c r="DC68" s="190" t="n">
        <v>6.46444944841999</v>
      </c>
      <c r="DD68" s="190" t="n">
        <v>6.53418513643999</v>
      </c>
      <c r="DE68" s="190" t="n">
        <v>6.60392082445999</v>
      </c>
      <c r="DF68" s="190" t="n">
        <v>6.67365651247999</v>
      </c>
      <c r="DG68" s="190" t="n">
        <v>6.74339220049999</v>
      </c>
      <c r="DH68" s="190" t="n">
        <v>6.81312788851999</v>
      </c>
      <c r="DI68" s="190" t="n">
        <v>6.88286357653999</v>
      </c>
      <c r="DJ68" s="190" t="n">
        <v>6.95259926455999</v>
      </c>
      <c r="DK68" s="190" t="n">
        <v>7.02233495257999</v>
      </c>
      <c r="DL68" s="190" t="n">
        <v>7.09207064059999</v>
      </c>
      <c r="DM68" s="190" t="n">
        <v>7.16180632861999</v>
      </c>
      <c r="DN68" s="190" t="n">
        <v>7.23154201663999</v>
      </c>
      <c r="DO68" s="190" t="n">
        <v>7.30127770465999</v>
      </c>
      <c r="DP68" s="190" t="n">
        <v>7.37101339267999</v>
      </c>
      <c r="DQ68" s="190" t="n">
        <v>7.44074908069999</v>
      </c>
      <c r="DR68" s="190" t="n">
        <v>7.51048476871999</v>
      </c>
      <c r="DS68" s="190" t="n">
        <v>7.58022045673999</v>
      </c>
      <c r="DT68" s="190" t="n">
        <v>7.64995614475999</v>
      </c>
      <c r="DU68" s="190" t="n">
        <v>7.71969183277999</v>
      </c>
      <c r="DV68" s="190" t="n">
        <v>7.78942752079998</v>
      </c>
      <c r="DW68" s="190" t="n">
        <v>7.85916320881998</v>
      </c>
      <c r="DX68" s="190" t="n">
        <v>7.92889889683998</v>
      </c>
      <c r="DY68" s="190" t="n">
        <v>7.99863458485998</v>
      </c>
      <c r="DZ68" s="190" t="n">
        <v>8.06837027287998</v>
      </c>
      <c r="EA68" s="190" t="n">
        <v>8.13810596089998</v>
      </c>
      <c r="EB68" s="190" t="n">
        <v>8.20784164891998</v>
      </c>
      <c r="EC68" s="190" t="n">
        <v>8.27757733693998</v>
      </c>
      <c r="ED68" s="190" t="n">
        <v>8.34731302495998</v>
      </c>
      <c r="EE68" s="190" t="n">
        <v>8.41704871297998</v>
      </c>
      <c r="EF68" s="190" t="n">
        <v>8.48678440099998</v>
      </c>
      <c r="EG68" s="190" t="n">
        <v>8.55652008901998</v>
      </c>
      <c r="EH68" s="190" t="n">
        <v>8.62625577703998</v>
      </c>
      <c r="EI68" s="190" t="n">
        <v>8.69599146505998</v>
      </c>
      <c r="EJ68" s="190" t="n">
        <v>8.76572715307998</v>
      </c>
      <c r="EK68" s="190" t="n">
        <v>8.83546284109998</v>
      </c>
      <c r="EL68" s="180" t="n">
        <v>8.90519852911998</v>
      </c>
      <c r="EM68" s="180" t="n">
        <v>8.97493421713998</v>
      </c>
      <c r="EN68" s="180" t="n">
        <v>9.04466990515998</v>
      </c>
      <c r="EO68" s="180" t="n">
        <v>9.11440559317998</v>
      </c>
      <c r="EP68" s="180" t="n">
        <v>9.18414128119998</v>
      </c>
      <c r="EQ68" s="180" t="n">
        <v>9.25387696921998</v>
      </c>
      <c r="ER68" s="180" t="n">
        <v>9.32361265723998</v>
      </c>
      <c r="ES68" s="180" t="n">
        <v>9.39334834525998</v>
      </c>
      <c r="ET68" s="180" t="n">
        <v>9.46308403327998</v>
      </c>
      <c r="EU68" s="180" t="n">
        <v>9.53281972129998</v>
      </c>
      <c r="EV68" s="180" t="n">
        <v>9.60255540931998</v>
      </c>
      <c r="EW68" s="180" t="n">
        <v>9.67229109733998</v>
      </c>
      <c r="EX68" s="180" t="n">
        <v>9.74202678535998</v>
      </c>
      <c r="EY68" s="180" t="n">
        <v>9.81176247337998</v>
      </c>
      <c r="EZ68" s="180" t="n">
        <v>9.88149816139998</v>
      </c>
      <c r="FA68" s="180" t="n">
        <v>9.95123384941998</v>
      </c>
      <c r="FB68" s="180" t="n">
        <v>10.02096953744</v>
      </c>
      <c r="FC68" s="180" t="n">
        <v>10.09070522546</v>
      </c>
      <c r="FD68" s="180" t="n">
        <v>10.16044091348</v>
      </c>
      <c r="FE68" s="180" t="n">
        <v>10.2301766015</v>
      </c>
      <c r="FF68" s="180" t="n">
        <v>10.29991228952</v>
      </c>
      <c r="FG68" s="180" t="n">
        <v>10.36964797754</v>
      </c>
      <c r="FH68" s="180" t="n">
        <v>10.43938366556</v>
      </c>
      <c r="FI68" s="180" t="n">
        <v>10.50911935358</v>
      </c>
      <c r="FJ68" s="180" t="n">
        <v>10.5788550416</v>
      </c>
      <c r="FK68" s="180" t="n">
        <v>10.64859072962</v>
      </c>
      <c r="FL68" s="180" t="n">
        <v>10.71832641764</v>
      </c>
      <c r="FM68" s="180" t="n">
        <v>10.78806210566</v>
      </c>
      <c r="FN68" s="180" t="n">
        <v>10.85779779368</v>
      </c>
      <c r="FO68" s="180" t="n">
        <v>10.9275334817</v>
      </c>
      <c r="FP68" s="180" t="n">
        <v>10.99726916972</v>
      </c>
      <c r="FQ68" s="180" t="n">
        <v>11.06700485774</v>
      </c>
      <c r="FR68" s="180" t="n">
        <v>11.13674054576</v>
      </c>
      <c r="FS68" s="180" t="n">
        <v>11.20647623378</v>
      </c>
      <c r="FT68" s="180" t="n">
        <v>11.2762119218</v>
      </c>
      <c r="FU68" s="180" t="n">
        <v>11.34594760982</v>
      </c>
      <c r="FV68" s="180" t="n">
        <v>11.41568329784</v>
      </c>
      <c r="FW68" s="180" t="n">
        <v>11.48541898586</v>
      </c>
      <c r="FX68" s="180" t="n">
        <v>11.55515467388</v>
      </c>
      <c r="FY68" s="180" t="n">
        <v>11.6248903619</v>
      </c>
      <c r="FZ68" s="180" t="n">
        <v>11.69462604992</v>
      </c>
      <c r="GA68" s="180" t="n">
        <v>11.76436173794</v>
      </c>
      <c r="GB68" s="180" t="n">
        <v>11.83409742596</v>
      </c>
      <c r="GC68" s="180" t="n">
        <v>11.90383311398</v>
      </c>
      <c r="GD68" s="180" t="n">
        <v>11.973568802</v>
      </c>
      <c r="GE68" s="180" t="n">
        <v>12.04330449002</v>
      </c>
      <c r="GF68" s="180" t="n">
        <v>12.11304017804</v>
      </c>
      <c r="GG68" s="180" t="n">
        <v>12.18277586606</v>
      </c>
      <c r="GH68" s="180" t="n">
        <v>12.25251155408</v>
      </c>
      <c r="GI68" s="180" t="n">
        <v>12.3222472421</v>
      </c>
      <c r="GJ68" s="180" t="n">
        <v>12.39198293012</v>
      </c>
      <c r="GK68" s="180" t="n">
        <v>12.46171861814</v>
      </c>
      <c r="GL68" s="180" t="n">
        <v>12.53145430616</v>
      </c>
      <c r="GM68" s="180" t="n">
        <v>12.60118999418</v>
      </c>
      <c r="GN68" s="180" t="n">
        <v>12.6709256822</v>
      </c>
      <c r="GO68" s="180" t="n">
        <v>12.74066137022</v>
      </c>
      <c r="GP68" s="180" t="n">
        <v>12.81039705824</v>
      </c>
      <c r="GQ68" s="180" t="n">
        <v>12.88013274626</v>
      </c>
      <c r="GR68" s="180" t="n">
        <v>12.94986843428</v>
      </c>
      <c r="GS68" s="180" t="n">
        <v>13.0196041223</v>
      </c>
      <c r="GT68" s="180" t="n">
        <v>13.08933981032</v>
      </c>
      <c r="GU68" s="180" t="n">
        <v>13.15907549834</v>
      </c>
      <c r="GV68" s="180" t="n">
        <v>13.22881118636</v>
      </c>
      <c r="GW68" s="180" t="n">
        <v>13.29854687438</v>
      </c>
      <c r="GX68" s="180" t="n">
        <v>13.3682825624</v>
      </c>
      <c r="GY68" s="180" t="n">
        <v>13.43801825042</v>
      </c>
      <c r="GZ68" s="180" t="n">
        <v>13.50775393844</v>
      </c>
      <c r="HA68" s="180" t="n">
        <v>13.57748962646</v>
      </c>
      <c r="HB68" s="180" t="n">
        <v>13.64722531448</v>
      </c>
      <c r="HC68" s="180" t="n">
        <v>13.7169610025</v>
      </c>
      <c r="HD68" s="180" t="n">
        <v>13.78669669052</v>
      </c>
      <c r="HE68" s="180" t="n">
        <v>13.85643237854</v>
      </c>
      <c r="HF68" s="180" t="n">
        <v>13.92616806656</v>
      </c>
      <c r="HG68" s="180" t="n">
        <v>13.99590375458</v>
      </c>
      <c r="HH68" s="180" t="n">
        <v>14.0656394426</v>
      </c>
      <c r="HI68" s="180" t="n">
        <v>14.13537513062</v>
      </c>
      <c r="HJ68" s="180" t="n">
        <v>14.20511081864</v>
      </c>
      <c r="HK68" s="180" t="n">
        <v>14.27484650666</v>
      </c>
      <c r="HL68" s="180" t="n">
        <v>14.34458219468</v>
      </c>
      <c r="HM68" s="180" t="n">
        <v>14.4143178827</v>
      </c>
      <c r="HN68" s="180" t="n">
        <v>14.48405357072</v>
      </c>
      <c r="HO68" s="180" t="n">
        <v>14.55378925874</v>
      </c>
      <c r="HP68" s="180" t="n">
        <v>14.62352494676</v>
      </c>
      <c r="HQ68" s="180" t="n">
        <v>14.69326063478</v>
      </c>
      <c r="HR68" s="180" t="n">
        <v>14.7629963228</v>
      </c>
      <c r="HS68" s="180" t="n">
        <v>14.83273201082</v>
      </c>
      <c r="HT68" s="180" t="n">
        <v>14.90246769884</v>
      </c>
      <c r="HU68" s="180" t="n">
        <v>14.97220338686</v>
      </c>
      <c r="HV68" s="180" t="n">
        <v>15.04193907488</v>
      </c>
      <c r="HW68" s="180" t="n">
        <v>15.1116747629</v>
      </c>
      <c r="HX68" s="180" t="n">
        <v>15.18141045092</v>
      </c>
      <c r="HY68" s="180" t="n">
        <v>15.25114613894</v>
      </c>
      <c r="HZ68" s="180" t="n">
        <v>15.32088182696</v>
      </c>
      <c r="IA68" s="180" t="n">
        <v>15.39061751498</v>
      </c>
      <c r="IB68" s="180" t="n">
        <v>15.460353203</v>
      </c>
      <c r="IC68" s="180" t="n">
        <v>15.53008889102</v>
      </c>
      <c r="ID68" s="180" t="n">
        <v>15.59982457904</v>
      </c>
      <c r="IE68" s="180" t="n">
        <v>15.66956026706</v>
      </c>
      <c r="IF68" s="180" t="n">
        <v>15.73929595508</v>
      </c>
      <c r="IG68" s="180" t="n">
        <v>15.8090316431</v>
      </c>
      <c r="IH68" s="180" t="n">
        <v>15.87876733112</v>
      </c>
      <c r="II68" s="180" t="n">
        <v>15.94850301914</v>
      </c>
      <c r="IJ68" s="180" t="n">
        <v>16.01823870716</v>
      </c>
      <c r="IK68" s="180" t="n">
        <v>16.08797439518</v>
      </c>
      <c r="IL68" s="180" t="n">
        <v>16.1577100832</v>
      </c>
      <c r="IM68" s="180" t="n">
        <v>16.22744577122</v>
      </c>
      <c r="IN68" s="180" t="n">
        <v>16.29718145924</v>
      </c>
      <c r="IO68" s="180" t="n">
        <v>16.36691714726</v>
      </c>
      <c r="IP68" s="180" t="n">
        <v>16.43665283528</v>
      </c>
      <c r="IQ68" s="180" t="n">
        <v>16.5063885233</v>
      </c>
      <c r="IR68" s="180" t="n">
        <v>16.57612421132</v>
      </c>
      <c r="IS68" s="180" t="n">
        <v>16.64585989934</v>
      </c>
      <c r="IT68" s="180" t="n">
        <v>16.71559558736</v>
      </c>
      <c r="IU68" s="180" t="n">
        <v>16.78533127538</v>
      </c>
      <c r="IV68" s="180" t="n">
        <v>16.8550669634</v>
      </c>
    </row>
    <row r="69" customFormat="false" ht="12.75" hidden="false" customHeight="false" outlineLevel="0" collapsed="false">
      <c r="A69" s="189" t="n">
        <v>38777</v>
      </c>
      <c r="B69" s="185" t="n">
        <v>-2.021005929375</v>
      </c>
      <c r="C69" s="185" t="n">
        <v>-1.9907047400625</v>
      </c>
      <c r="D69" s="185" t="n">
        <v>-1.96040355075</v>
      </c>
      <c r="E69" s="185" t="n">
        <v>-1.9301023614375</v>
      </c>
      <c r="F69" s="185" t="n">
        <v>-1.899801172125</v>
      </c>
      <c r="G69" s="185" t="n">
        <v>-1.8694999828125</v>
      </c>
      <c r="H69" s="185" t="n">
        <v>-1.8391987935</v>
      </c>
      <c r="I69" s="185" t="n">
        <v>-1.8088976041875</v>
      </c>
      <c r="J69" s="185" t="n">
        <v>-1.778596414875</v>
      </c>
      <c r="K69" s="185" t="n">
        <v>-1.7482952255625</v>
      </c>
      <c r="L69" s="185" t="n">
        <v>-1.71799403625</v>
      </c>
      <c r="M69" s="185" t="n">
        <v>-1.6876928469375</v>
      </c>
      <c r="N69" s="185" t="n">
        <v>-1.657391657625</v>
      </c>
      <c r="O69" s="185" t="n">
        <v>-1.6270904683125</v>
      </c>
      <c r="P69" s="185" t="n">
        <v>-1.596789279</v>
      </c>
      <c r="Q69" s="185" t="n">
        <v>-1.5664880896875</v>
      </c>
      <c r="R69" s="185" t="n">
        <v>-1.536186900375</v>
      </c>
      <c r="S69" s="185" t="n">
        <v>-1.5058857110625</v>
      </c>
      <c r="T69" s="185" t="n">
        <v>-1.47558452175</v>
      </c>
      <c r="U69" s="185" t="n">
        <v>-1.4452833324375</v>
      </c>
      <c r="V69" s="186" t="n">
        <v>-1.414982143125</v>
      </c>
      <c r="W69" s="185" t="n">
        <v>-1.3846809538125</v>
      </c>
      <c r="X69" s="186" t="n">
        <v>-1.3543797645</v>
      </c>
      <c r="Y69" s="185" t="n">
        <v>-1.3240785751875</v>
      </c>
      <c r="Z69" s="186" t="n">
        <v>-1.293777385875</v>
      </c>
      <c r="AA69" s="185" t="n">
        <v>-1.2634761965625</v>
      </c>
      <c r="AB69" s="187" t="n">
        <v>-1.23317500725</v>
      </c>
      <c r="AC69" s="185" t="n">
        <v>-1.2028738179375</v>
      </c>
      <c r="AD69" s="187" t="n">
        <v>-1.172572628625</v>
      </c>
      <c r="AE69" s="185" t="n">
        <v>-1.1422714393125</v>
      </c>
      <c r="AF69" s="185" t="n">
        <v>-1.11197025</v>
      </c>
      <c r="AG69" s="190" t="n">
        <v>-1.083235125</v>
      </c>
      <c r="AH69" s="190" t="n">
        <v>-1.0545</v>
      </c>
      <c r="AI69" s="190" t="n">
        <v>-1.02725</v>
      </c>
      <c r="AJ69" s="190" t="n">
        <v>-1</v>
      </c>
      <c r="AK69" s="190" t="n">
        <v>-0.8</v>
      </c>
      <c r="AL69" s="190" t="n">
        <v>-0.6</v>
      </c>
      <c r="AM69" s="190" t="n">
        <v>-0.4</v>
      </c>
      <c r="AN69" s="190" t="n">
        <v>-0.2</v>
      </c>
      <c r="AO69" s="190" t="n">
        <v>0</v>
      </c>
      <c r="AP69" s="190" t="n">
        <v>0.2</v>
      </c>
      <c r="AQ69" s="190" t="n">
        <v>0.4</v>
      </c>
      <c r="AR69" s="190" t="n">
        <v>0.6</v>
      </c>
      <c r="AS69" s="190" t="n">
        <v>0.8</v>
      </c>
      <c r="AT69" s="190" t="n">
        <v>1</v>
      </c>
      <c r="AU69" s="190" t="n">
        <v>1.2</v>
      </c>
      <c r="AV69" s="190" t="n">
        <v>1.4</v>
      </c>
      <c r="AW69" s="190" t="n">
        <v>1.58</v>
      </c>
      <c r="AX69" s="190" t="n">
        <v>1.76</v>
      </c>
      <c r="AY69" s="190" t="n">
        <v>1.922</v>
      </c>
      <c r="AZ69" s="190" t="n">
        <v>2.084</v>
      </c>
      <c r="BA69" s="190" t="n">
        <v>2.2298</v>
      </c>
      <c r="BB69" s="190" t="n">
        <v>2.3756</v>
      </c>
      <c r="BC69" s="190" t="n">
        <v>2.50682</v>
      </c>
      <c r="BD69" s="190" t="n">
        <v>2.63804</v>
      </c>
      <c r="BE69" s="190" t="n">
        <v>2.756138</v>
      </c>
      <c r="BF69" s="190" t="n">
        <v>2.874236</v>
      </c>
      <c r="BG69" s="190" t="n">
        <v>2.9805242</v>
      </c>
      <c r="BH69" s="190" t="n">
        <v>3.0868124</v>
      </c>
      <c r="BI69" s="190" t="n">
        <v>3.18247178</v>
      </c>
      <c r="BJ69" s="190" t="n">
        <v>3.27813116</v>
      </c>
      <c r="BK69" s="190" t="n">
        <v>3.364224602</v>
      </c>
      <c r="BL69" s="190" t="n">
        <v>3.450318044</v>
      </c>
      <c r="BM69" s="190" t="n">
        <v>3.5278021418</v>
      </c>
      <c r="BN69" s="190" t="n">
        <v>3.6052862396</v>
      </c>
      <c r="BO69" s="190" t="n">
        <v>3.67502192762</v>
      </c>
      <c r="BP69" s="190" t="n">
        <v>3.74475761564</v>
      </c>
      <c r="BQ69" s="190" t="n">
        <v>3.81449330366</v>
      </c>
      <c r="BR69" s="190" t="n">
        <v>3.88422899168</v>
      </c>
      <c r="BS69" s="190" t="n">
        <v>3.9539646797</v>
      </c>
      <c r="BT69" s="190" t="n">
        <v>4.02370036772</v>
      </c>
      <c r="BU69" s="190" t="n">
        <v>4.09343605574</v>
      </c>
      <c r="BV69" s="190" t="n">
        <v>4.16317174376</v>
      </c>
      <c r="BW69" s="190" t="n">
        <v>4.23290743178</v>
      </c>
      <c r="BX69" s="190" t="n">
        <v>4.3026431198</v>
      </c>
      <c r="BY69" s="190" t="n">
        <v>4.37237880782</v>
      </c>
      <c r="BZ69" s="190" t="n">
        <v>4.44211449584</v>
      </c>
      <c r="CA69" s="190" t="n">
        <v>4.51185018386</v>
      </c>
      <c r="CB69" s="190" t="n">
        <v>4.58158587188</v>
      </c>
      <c r="CC69" s="190" t="n">
        <v>4.6513215599</v>
      </c>
      <c r="CD69" s="190" t="n">
        <v>4.72105724792</v>
      </c>
      <c r="CE69" s="190" t="n">
        <v>4.79079293594</v>
      </c>
      <c r="CF69" s="190" t="n">
        <v>4.86052862396</v>
      </c>
      <c r="CG69" s="190" t="n">
        <v>4.93026431198</v>
      </c>
      <c r="CH69" s="190" t="n">
        <v>5</v>
      </c>
      <c r="CI69" s="190" t="n">
        <v>5.06973568801999</v>
      </c>
      <c r="CJ69" s="190" t="n">
        <v>5.13947137603999</v>
      </c>
      <c r="CK69" s="190" t="n">
        <v>5.20920706405999</v>
      </c>
      <c r="CL69" s="190" t="n">
        <v>5.27894275207999</v>
      </c>
      <c r="CM69" s="190" t="n">
        <v>5.34867844009999</v>
      </c>
      <c r="CN69" s="190" t="n">
        <v>5.41841412811999</v>
      </c>
      <c r="CO69" s="190" t="n">
        <v>5.48814981613999</v>
      </c>
      <c r="CP69" s="190" t="n">
        <v>5.55788550415999</v>
      </c>
      <c r="CQ69" s="190" t="n">
        <v>5.62762119217999</v>
      </c>
      <c r="CR69" s="190" t="n">
        <v>5.69735688019999</v>
      </c>
      <c r="CS69" s="190" t="n">
        <v>5.76709256821999</v>
      </c>
      <c r="CT69" s="190" t="n">
        <v>5.83682825623999</v>
      </c>
      <c r="CU69" s="190" t="n">
        <v>5.90656394425999</v>
      </c>
      <c r="CV69" s="190" t="n">
        <v>5.97629963227999</v>
      </c>
      <c r="CW69" s="190" t="n">
        <v>6.04603532029999</v>
      </c>
      <c r="CX69" s="190" t="n">
        <v>6.11577100831999</v>
      </c>
      <c r="CY69" s="190" t="n">
        <v>6.18550669633999</v>
      </c>
      <c r="CZ69" s="190" t="n">
        <v>6.25524238435999</v>
      </c>
      <c r="DA69" s="190" t="n">
        <v>6.32497807237999</v>
      </c>
      <c r="DB69" s="190" t="n">
        <v>6.39471376039999</v>
      </c>
      <c r="DC69" s="190" t="n">
        <v>6.46444944841999</v>
      </c>
      <c r="DD69" s="190" t="n">
        <v>6.53418513643999</v>
      </c>
      <c r="DE69" s="190" t="n">
        <v>6.60392082445999</v>
      </c>
      <c r="DF69" s="190" t="n">
        <v>6.67365651247999</v>
      </c>
      <c r="DG69" s="190" t="n">
        <v>6.74339220049999</v>
      </c>
      <c r="DH69" s="190" t="n">
        <v>6.81312788851999</v>
      </c>
      <c r="DI69" s="190" t="n">
        <v>6.88286357653999</v>
      </c>
      <c r="DJ69" s="190" t="n">
        <v>6.95259926455999</v>
      </c>
      <c r="DK69" s="190" t="n">
        <v>7.02233495257999</v>
      </c>
      <c r="DL69" s="190" t="n">
        <v>7.09207064059999</v>
      </c>
      <c r="DM69" s="190" t="n">
        <v>7.16180632861999</v>
      </c>
      <c r="DN69" s="190" t="n">
        <v>7.23154201663999</v>
      </c>
      <c r="DO69" s="190" t="n">
        <v>7.30127770465999</v>
      </c>
      <c r="DP69" s="190" t="n">
        <v>7.37101339267999</v>
      </c>
      <c r="DQ69" s="190" t="n">
        <v>7.44074908069999</v>
      </c>
      <c r="DR69" s="190" t="n">
        <v>7.51048476871999</v>
      </c>
      <c r="DS69" s="190" t="n">
        <v>7.58022045673999</v>
      </c>
      <c r="DT69" s="190" t="n">
        <v>7.64995614475999</v>
      </c>
      <c r="DU69" s="190" t="n">
        <v>7.71969183277999</v>
      </c>
      <c r="DV69" s="190" t="n">
        <v>7.78942752079998</v>
      </c>
      <c r="DW69" s="190" t="n">
        <v>7.85916320881998</v>
      </c>
      <c r="DX69" s="190" t="n">
        <v>7.92889889683998</v>
      </c>
      <c r="DY69" s="190" t="n">
        <v>7.99863458485998</v>
      </c>
      <c r="DZ69" s="190" t="n">
        <v>8.06837027287998</v>
      </c>
      <c r="EA69" s="190" t="n">
        <v>8.13810596089998</v>
      </c>
      <c r="EB69" s="190" t="n">
        <v>8.20784164891998</v>
      </c>
      <c r="EC69" s="190" t="n">
        <v>8.27757733693998</v>
      </c>
      <c r="ED69" s="190" t="n">
        <v>8.34731302495998</v>
      </c>
      <c r="EE69" s="190" t="n">
        <v>8.41704871297998</v>
      </c>
      <c r="EF69" s="190" t="n">
        <v>8.48678440099998</v>
      </c>
      <c r="EG69" s="190" t="n">
        <v>8.55652008901998</v>
      </c>
      <c r="EH69" s="190" t="n">
        <v>8.62625577703998</v>
      </c>
      <c r="EI69" s="190" t="n">
        <v>8.69599146505998</v>
      </c>
      <c r="EJ69" s="190" t="n">
        <v>8.76572715307998</v>
      </c>
      <c r="EK69" s="190" t="n">
        <v>8.83546284109998</v>
      </c>
      <c r="EL69" s="180" t="n">
        <v>8.90519852911998</v>
      </c>
      <c r="EM69" s="180" t="n">
        <v>8.97493421713998</v>
      </c>
      <c r="EN69" s="180" t="n">
        <v>9.04466990515998</v>
      </c>
      <c r="EO69" s="180" t="n">
        <v>9.11440559317998</v>
      </c>
      <c r="EP69" s="180" t="n">
        <v>9.18414128119998</v>
      </c>
      <c r="EQ69" s="180" t="n">
        <v>9.25387696921998</v>
      </c>
      <c r="ER69" s="180" t="n">
        <v>9.32361265723998</v>
      </c>
      <c r="ES69" s="180" t="n">
        <v>9.39334834525998</v>
      </c>
      <c r="ET69" s="180" t="n">
        <v>9.46308403327998</v>
      </c>
      <c r="EU69" s="180" t="n">
        <v>9.53281972129998</v>
      </c>
      <c r="EV69" s="180" t="n">
        <v>9.60255540931998</v>
      </c>
      <c r="EW69" s="180" t="n">
        <v>9.67229109733998</v>
      </c>
      <c r="EX69" s="180" t="n">
        <v>9.74202678535998</v>
      </c>
      <c r="EY69" s="180" t="n">
        <v>9.81176247337998</v>
      </c>
      <c r="EZ69" s="180" t="n">
        <v>9.88149816139998</v>
      </c>
      <c r="FA69" s="180" t="n">
        <v>9.95123384941998</v>
      </c>
      <c r="FB69" s="180" t="n">
        <v>10.02096953744</v>
      </c>
      <c r="FC69" s="180" t="n">
        <v>10.09070522546</v>
      </c>
      <c r="FD69" s="180" t="n">
        <v>10.16044091348</v>
      </c>
      <c r="FE69" s="180" t="n">
        <v>10.2301766015</v>
      </c>
      <c r="FF69" s="180" t="n">
        <v>10.29991228952</v>
      </c>
      <c r="FG69" s="180" t="n">
        <v>10.36964797754</v>
      </c>
      <c r="FH69" s="180" t="n">
        <v>10.43938366556</v>
      </c>
      <c r="FI69" s="180" t="n">
        <v>10.50911935358</v>
      </c>
      <c r="FJ69" s="180" t="n">
        <v>10.5788550416</v>
      </c>
      <c r="FK69" s="180" t="n">
        <v>10.64859072962</v>
      </c>
      <c r="FL69" s="180" t="n">
        <v>10.71832641764</v>
      </c>
      <c r="FM69" s="180" t="n">
        <v>10.78806210566</v>
      </c>
      <c r="FN69" s="180" t="n">
        <v>10.85779779368</v>
      </c>
      <c r="FO69" s="180" t="n">
        <v>10.9275334817</v>
      </c>
      <c r="FP69" s="180" t="n">
        <v>10.99726916972</v>
      </c>
      <c r="FQ69" s="180" t="n">
        <v>11.06700485774</v>
      </c>
      <c r="FR69" s="180" t="n">
        <v>11.13674054576</v>
      </c>
      <c r="FS69" s="180" t="n">
        <v>11.20647623378</v>
      </c>
      <c r="FT69" s="180" t="n">
        <v>11.2762119218</v>
      </c>
      <c r="FU69" s="180" t="n">
        <v>11.34594760982</v>
      </c>
      <c r="FV69" s="180" t="n">
        <v>11.41568329784</v>
      </c>
      <c r="FW69" s="180" t="n">
        <v>11.48541898586</v>
      </c>
      <c r="FX69" s="180" t="n">
        <v>11.55515467388</v>
      </c>
      <c r="FY69" s="180" t="n">
        <v>11.6248903619</v>
      </c>
      <c r="FZ69" s="180" t="n">
        <v>11.69462604992</v>
      </c>
      <c r="GA69" s="180" t="n">
        <v>11.76436173794</v>
      </c>
      <c r="GB69" s="180" t="n">
        <v>11.83409742596</v>
      </c>
      <c r="GC69" s="180" t="n">
        <v>11.90383311398</v>
      </c>
      <c r="GD69" s="180" t="n">
        <v>11.973568802</v>
      </c>
      <c r="GE69" s="180" t="n">
        <v>12.04330449002</v>
      </c>
      <c r="GF69" s="180" t="n">
        <v>12.11304017804</v>
      </c>
      <c r="GG69" s="180" t="n">
        <v>12.18277586606</v>
      </c>
      <c r="GH69" s="180" t="n">
        <v>12.25251155408</v>
      </c>
      <c r="GI69" s="180" t="n">
        <v>12.3222472421</v>
      </c>
      <c r="GJ69" s="180" t="n">
        <v>12.39198293012</v>
      </c>
      <c r="GK69" s="180" t="n">
        <v>12.46171861814</v>
      </c>
      <c r="GL69" s="180" t="n">
        <v>12.53145430616</v>
      </c>
      <c r="GM69" s="180" t="n">
        <v>12.60118999418</v>
      </c>
      <c r="GN69" s="180" t="n">
        <v>12.6709256822</v>
      </c>
      <c r="GO69" s="180" t="n">
        <v>12.74066137022</v>
      </c>
      <c r="GP69" s="180" t="n">
        <v>12.81039705824</v>
      </c>
      <c r="GQ69" s="180" t="n">
        <v>12.88013274626</v>
      </c>
      <c r="GR69" s="180" t="n">
        <v>12.94986843428</v>
      </c>
      <c r="GS69" s="180" t="n">
        <v>13.0196041223</v>
      </c>
      <c r="GT69" s="180" t="n">
        <v>13.08933981032</v>
      </c>
      <c r="GU69" s="180" t="n">
        <v>13.15907549834</v>
      </c>
      <c r="GV69" s="180" t="n">
        <v>13.22881118636</v>
      </c>
      <c r="GW69" s="180" t="n">
        <v>13.29854687438</v>
      </c>
      <c r="GX69" s="180" t="n">
        <v>13.3682825624</v>
      </c>
      <c r="GY69" s="180" t="n">
        <v>13.43801825042</v>
      </c>
      <c r="GZ69" s="180" t="n">
        <v>13.50775393844</v>
      </c>
      <c r="HA69" s="180" t="n">
        <v>13.57748962646</v>
      </c>
      <c r="HB69" s="180" t="n">
        <v>13.64722531448</v>
      </c>
      <c r="HC69" s="180" t="n">
        <v>13.7169610025</v>
      </c>
      <c r="HD69" s="180" t="n">
        <v>13.78669669052</v>
      </c>
      <c r="HE69" s="180" t="n">
        <v>13.85643237854</v>
      </c>
      <c r="HF69" s="180" t="n">
        <v>13.92616806656</v>
      </c>
      <c r="HG69" s="180" t="n">
        <v>13.99590375458</v>
      </c>
      <c r="HH69" s="180" t="n">
        <v>14.0656394426</v>
      </c>
      <c r="HI69" s="180" t="n">
        <v>14.13537513062</v>
      </c>
      <c r="HJ69" s="180" t="n">
        <v>14.20511081864</v>
      </c>
      <c r="HK69" s="180" t="n">
        <v>14.27484650666</v>
      </c>
      <c r="HL69" s="180" t="n">
        <v>14.34458219468</v>
      </c>
      <c r="HM69" s="180" t="n">
        <v>14.4143178827</v>
      </c>
      <c r="HN69" s="180" t="n">
        <v>14.48405357072</v>
      </c>
      <c r="HO69" s="180" t="n">
        <v>14.55378925874</v>
      </c>
      <c r="HP69" s="180" t="n">
        <v>14.62352494676</v>
      </c>
      <c r="HQ69" s="180" t="n">
        <v>14.69326063478</v>
      </c>
      <c r="HR69" s="180" t="n">
        <v>14.7629963228</v>
      </c>
      <c r="HS69" s="180" t="n">
        <v>14.83273201082</v>
      </c>
      <c r="HT69" s="180" t="n">
        <v>14.90246769884</v>
      </c>
      <c r="HU69" s="180" t="n">
        <v>14.97220338686</v>
      </c>
      <c r="HV69" s="180" t="n">
        <v>15.04193907488</v>
      </c>
      <c r="HW69" s="180" t="n">
        <v>15.1116747629</v>
      </c>
      <c r="HX69" s="180" t="n">
        <v>15.18141045092</v>
      </c>
      <c r="HY69" s="180" t="n">
        <v>15.25114613894</v>
      </c>
      <c r="HZ69" s="180" t="n">
        <v>15.32088182696</v>
      </c>
      <c r="IA69" s="180" t="n">
        <v>15.39061751498</v>
      </c>
      <c r="IB69" s="180" t="n">
        <v>15.460353203</v>
      </c>
      <c r="IC69" s="180" t="n">
        <v>15.53008889102</v>
      </c>
      <c r="ID69" s="180" t="n">
        <v>15.59982457904</v>
      </c>
      <c r="IE69" s="180" t="n">
        <v>15.66956026706</v>
      </c>
      <c r="IF69" s="180" t="n">
        <v>15.73929595508</v>
      </c>
      <c r="IG69" s="180" t="n">
        <v>15.8090316431</v>
      </c>
      <c r="IH69" s="180" t="n">
        <v>15.87876733112</v>
      </c>
      <c r="II69" s="180" t="n">
        <v>15.94850301914</v>
      </c>
      <c r="IJ69" s="180" t="n">
        <v>16.01823870716</v>
      </c>
      <c r="IK69" s="180" t="n">
        <v>16.08797439518</v>
      </c>
      <c r="IL69" s="180" t="n">
        <v>16.1577100832</v>
      </c>
      <c r="IM69" s="180" t="n">
        <v>16.22744577122</v>
      </c>
      <c r="IN69" s="180" t="n">
        <v>16.29718145924</v>
      </c>
      <c r="IO69" s="180" t="n">
        <v>16.36691714726</v>
      </c>
      <c r="IP69" s="180" t="n">
        <v>16.43665283528</v>
      </c>
      <c r="IQ69" s="180" t="n">
        <v>16.5063885233</v>
      </c>
      <c r="IR69" s="180" t="n">
        <v>16.57612421132</v>
      </c>
      <c r="IS69" s="180" t="n">
        <v>16.64585989934</v>
      </c>
      <c r="IT69" s="180" t="n">
        <v>16.71559558736</v>
      </c>
      <c r="IU69" s="180" t="n">
        <v>16.78533127538</v>
      </c>
      <c r="IV69" s="180" t="n">
        <v>16.8550669634</v>
      </c>
    </row>
    <row r="70" customFormat="false" ht="12.75" hidden="false" customHeight="false" outlineLevel="0" collapsed="false">
      <c r="A70" s="189" t="n">
        <v>38808</v>
      </c>
      <c r="B70" s="185" t="n">
        <v>-2.021005929375</v>
      </c>
      <c r="C70" s="185" t="n">
        <v>-1.9907047400625</v>
      </c>
      <c r="D70" s="185" t="n">
        <v>-1.96040355075</v>
      </c>
      <c r="E70" s="185" t="n">
        <v>-1.9301023614375</v>
      </c>
      <c r="F70" s="185" t="n">
        <v>-1.899801172125</v>
      </c>
      <c r="G70" s="185" t="n">
        <v>-1.8694999828125</v>
      </c>
      <c r="H70" s="185" t="n">
        <v>-1.8391987935</v>
      </c>
      <c r="I70" s="185" t="n">
        <v>-1.8088976041875</v>
      </c>
      <c r="J70" s="185" t="n">
        <v>-1.778596414875</v>
      </c>
      <c r="K70" s="185" t="n">
        <v>-1.7482952255625</v>
      </c>
      <c r="L70" s="185" t="n">
        <v>-1.71799403625</v>
      </c>
      <c r="M70" s="185" t="n">
        <v>-1.6876928469375</v>
      </c>
      <c r="N70" s="185" t="n">
        <v>-1.657391657625</v>
      </c>
      <c r="O70" s="185" t="n">
        <v>-1.6270904683125</v>
      </c>
      <c r="P70" s="185" t="n">
        <v>-1.596789279</v>
      </c>
      <c r="Q70" s="185" t="n">
        <v>-1.5664880896875</v>
      </c>
      <c r="R70" s="185" t="n">
        <v>-1.536186900375</v>
      </c>
      <c r="S70" s="185" t="n">
        <v>-1.5058857110625</v>
      </c>
      <c r="T70" s="185" t="n">
        <v>-1.47558452175</v>
      </c>
      <c r="U70" s="185" t="n">
        <v>-1.4452833324375</v>
      </c>
      <c r="V70" s="186" t="n">
        <v>-1.414982143125</v>
      </c>
      <c r="W70" s="185" t="n">
        <v>-1.3846809538125</v>
      </c>
      <c r="X70" s="186" t="n">
        <v>-1.3543797645</v>
      </c>
      <c r="Y70" s="185" t="n">
        <v>-1.3240785751875</v>
      </c>
      <c r="Z70" s="186" t="n">
        <v>-1.293777385875</v>
      </c>
      <c r="AA70" s="185" t="n">
        <v>-1.2634761965625</v>
      </c>
      <c r="AB70" s="187" t="n">
        <v>-1.23317500725</v>
      </c>
      <c r="AC70" s="185" t="n">
        <v>-1.2028738179375</v>
      </c>
      <c r="AD70" s="187" t="n">
        <v>-1.172572628625</v>
      </c>
      <c r="AE70" s="185" t="n">
        <v>-1.1422714393125</v>
      </c>
      <c r="AF70" s="185" t="n">
        <v>-1.11197025</v>
      </c>
      <c r="AG70" s="190" t="n">
        <v>-1.083235125</v>
      </c>
      <c r="AH70" s="190" t="n">
        <v>-1.0545</v>
      </c>
      <c r="AI70" s="190" t="n">
        <v>-1.02725</v>
      </c>
      <c r="AJ70" s="190" t="n">
        <v>-1</v>
      </c>
      <c r="AK70" s="190" t="n">
        <v>-0.8</v>
      </c>
      <c r="AL70" s="190" t="n">
        <v>-0.6</v>
      </c>
      <c r="AM70" s="190" t="n">
        <v>-0.4</v>
      </c>
      <c r="AN70" s="190" t="n">
        <v>-0.2</v>
      </c>
      <c r="AO70" s="190" t="n">
        <v>0</v>
      </c>
      <c r="AP70" s="190" t="n">
        <v>0.2</v>
      </c>
      <c r="AQ70" s="190" t="n">
        <v>0.4</v>
      </c>
      <c r="AR70" s="190" t="n">
        <v>0.6</v>
      </c>
      <c r="AS70" s="190" t="n">
        <v>0.8</v>
      </c>
      <c r="AT70" s="190" t="n">
        <v>1</v>
      </c>
      <c r="AU70" s="190" t="n">
        <v>1.2</v>
      </c>
      <c r="AV70" s="190" t="n">
        <v>1.4</v>
      </c>
      <c r="AW70" s="190" t="n">
        <v>1.58</v>
      </c>
      <c r="AX70" s="190" t="n">
        <v>1.76</v>
      </c>
      <c r="AY70" s="190" t="n">
        <v>1.922</v>
      </c>
      <c r="AZ70" s="190" t="n">
        <v>2.084</v>
      </c>
      <c r="BA70" s="190" t="n">
        <v>2.2298</v>
      </c>
      <c r="BB70" s="190" t="n">
        <v>2.3756</v>
      </c>
      <c r="BC70" s="190" t="n">
        <v>2.50682</v>
      </c>
      <c r="BD70" s="190" t="n">
        <v>2.63804</v>
      </c>
      <c r="BE70" s="190" t="n">
        <v>2.756138</v>
      </c>
      <c r="BF70" s="190" t="n">
        <v>2.874236</v>
      </c>
      <c r="BG70" s="190" t="n">
        <v>2.9805242</v>
      </c>
      <c r="BH70" s="190" t="n">
        <v>3.0868124</v>
      </c>
      <c r="BI70" s="190" t="n">
        <v>3.18247178</v>
      </c>
      <c r="BJ70" s="190" t="n">
        <v>3.27813116</v>
      </c>
      <c r="BK70" s="190" t="n">
        <v>3.364224602</v>
      </c>
      <c r="BL70" s="190" t="n">
        <v>3.450318044</v>
      </c>
      <c r="BM70" s="190" t="n">
        <v>3.5278021418</v>
      </c>
      <c r="BN70" s="190" t="n">
        <v>3.6052862396</v>
      </c>
      <c r="BO70" s="190" t="n">
        <v>3.67502192762</v>
      </c>
      <c r="BP70" s="190" t="n">
        <v>3.74475761564</v>
      </c>
      <c r="BQ70" s="190" t="n">
        <v>3.81449330366</v>
      </c>
      <c r="BR70" s="190" t="n">
        <v>3.88422899168</v>
      </c>
      <c r="BS70" s="190" t="n">
        <v>3.9539646797</v>
      </c>
      <c r="BT70" s="190" t="n">
        <v>4.02370036772</v>
      </c>
      <c r="BU70" s="190" t="n">
        <v>4.09343605574</v>
      </c>
      <c r="BV70" s="190" t="n">
        <v>4.16317174376</v>
      </c>
      <c r="BW70" s="190" t="n">
        <v>4.23290743178</v>
      </c>
      <c r="BX70" s="190" t="n">
        <v>4.3026431198</v>
      </c>
      <c r="BY70" s="190" t="n">
        <v>4.37237880782</v>
      </c>
      <c r="BZ70" s="190" t="n">
        <v>4.44211449584</v>
      </c>
      <c r="CA70" s="190" t="n">
        <v>4.51185018386</v>
      </c>
      <c r="CB70" s="190" t="n">
        <v>4.58158587188</v>
      </c>
      <c r="CC70" s="190" t="n">
        <v>4.6513215599</v>
      </c>
      <c r="CD70" s="190" t="n">
        <v>4.72105724792</v>
      </c>
      <c r="CE70" s="190" t="n">
        <v>4.79079293594</v>
      </c>
      <c r="CF70" s="190" t="n">
        <v>4.86052862396</v>
      </c>
      <c r="CG70" s="190" t="n">
        <v>4.93026431198</v>
      </c>
      <c r="CH70" s="190" t="n">
        <v>5</v>
      </c>
      <c r="CI70" s="190" t="n">
        <v>5.06973568801999</v>
      </c>
      <c r="CJ70" s="190" t="n">
        <v>5.13947137603999</v>
      </c>
      <c r="CK70" s="190" t="n">
        <v>5.20920706405999</v>
      </c>
      <c r="CL70" s="190" t="n">
        <v>5.27894275207999</v>
      </c>
      <c r="CM70" s="190" t="n">
        <v>5.34867844009999</v>
      </c>
      <c r="CN70" s="190" t="n">
        <v>5.41841412811999</v>
      </c>
      <c r="CO70" s="190" t="n">
        <v>5.48814981613999</v>
      </c>
      <c r="CP70" s="190" t="n">
        <v>5.55788550415999</v>
      </c>
      <c r="CQ70" s="190" t="n">
        <v>5.62762119217999</v>
      </c>
      <c r="CR70" s="190" t="n">
        <v>5.69735688019999</v>
      </c>
      <c r="CS70" s="190" t="n">
        <v>5.76709256821999</v>
      </c>
      <c r="CT70" s="190" t="n">
        <v>5.83682825623999</v>
      </c>
      <c r="CU70" s="190" t="n">
        <v>5.90656394425999</v>
      </c>
      <c r="CV70" s="190" t="n">
        <v>5.97629963227999</v>
      </c>
      <c r="CW70" s="190" t="n">
        <v>6.04603532029999</v>
      </c>
      <c r="CX70" s="190" t="n">
        <v>6.11577100831999</v>
      </c>
      <c r="CY70" s="190" t="n">
        <v>6.18550669633999</v>
      </c>
      <c r="CZ70" s="190" t="n">
        <v>6.25524238435999</v>
      </c>
      <c r="DA70" s="190" t="n">
        <v>6.32497807237999</v>
      </c>
      <c r="DB70" s="190" t="n">
        <v>6.39471376039999</v>
      </c>
      <c r="DC70" s="190" t="n">
        <v>6.46444944841999</v>
      </c>
      <c r="DD70" s="190" t="n">
        <v>6.53418513643999</v>
      </c>
      <c r="DE70" s="190" t="n">
        <v>6.60392082445999</v>
      </c>
      <c r="DF70" s="190" t="n">
        <v>6.67365651247999</v>
      </c>
      <c r="DG70" s="190" t="n">
        <v>6.74339220049999</v>
      </c>
      <c r="DH70" s="190" t="n">
        <v>6.81312788851999</v>
      </c>
      <c r="DI70" s="190" t="n">
        <v>6.88286357653999</v>
      </c>
      <c r="DJ70" s="190" t="n">
        <v>6.95259926455999</v>
      </c>
      <c r="DK70" s="190" t="n">
        <v>7.02233495257999</v>
      </c>
      <c r="DL70" s="190" t="n">
        <v>7.09207064059999</v>
      </c>
      <c r="DM70" s="190" t="n">
        <v>7.16180632861999</v>
      </c>
      <c r="DN70" s="190" t="n">
        <v>7.23154201663999</v>
      </c>
      <c r="DO70" s="190" t="n">
        <v>7.30127770465999</v>
      </c>
      <c r="DP70" s="190" t="n">
        <v>7.37101339267999</v>
      </c>
      <c r="DQ70" s="190" t="n">
        <v>7.44074908069999</v>
      </c>
      <c r="DR70" s="190" t="n">
        <v>7.51048476871999</v>
      </c>
      <c r="DS70" s="190" t="n">
        <v>7.58022045673999</v>
      </c>
      <c r="DT70" s="190" t="n">
        <v>7.64995614475999</v>
      </c>
      <c r="DU70" s="190" t="n">
        <v>7.71969183277999</v>
      </c>
      <c r="DV70" s="190" t="n">
        <v>7.78942752079998</v>
      </c>
      <c r="DW70" s="190" t="n">
        <v>7.85916320881998</v>
      </c>
      <c r="DX70" s="190" t="n">
        <v>7.92889889683998</v>
      </c>
      <c r="DY70" s="190" t="n">
        <v>7.99863458485998</v>
      </c>
      <c r="DZ70" s="190" t="n">
        <v>8.06837027287998</v>
      </c>
      <c r="EA70" s="190" t="n">
        <v>8.13810596089998</v>
      </c>
      <c r="EB70" s="190" t="n">
        <v>8.20784164891998</v>
      </c>
      <c r="EC70" s="190" t="n">
        <v>8.27757733693998</v>
      </c>
      <c r="ED70" s="190" t="n">
        <v>8.34731302495998</v>
      </c>
      <c r="EE70" s="190" t="n">
        <v>8.41704871297998</v>
      </c>
      <c r="EF70" s="190" t="n">
        <v>8.48678440099998</v>
      </c>
      <c r="EG70" s="190" t="n">
        <v>8.55652008901998</v>
      </c>
      <c r="EH70" s="190" t="n">
        <v>8.62625577703998</v>
      </c>
      <c r="EI70" s="190" t="n">
        <v>8.69599146505998</v>
      </c>
      <c r="EJ70" s="190" t="n">
        <v>8.76572715307998</v>
      </c>
      <c r="EK70" s="190" t="n">
        <v>8.83546284109998</v>
      </c>
      <c r="EL70" s="180" t="n">
        <v>8.90519852911998</v>
      </c>
      <c r="EM70" s="180" t="n">
        <v>8.97493421713998</v>
      </c>
      <c r="EN70" s="180" t="n">
        <v>9.04466990515998</v>
      </c>
      <c r="EO70" s="180" t="n">
        <v>9.11440559317998</v>
      </c>
      <c r="EP70" s="180" t="n">
        <v>9.18414128119998</v>
      </c>
      <c r="EQ70" s="180" t="n">
        <v>9.25387696921998</v>
      </c>
      <c r="ER70" s="180" t="n">
        <v>9.32361265723998</v>
      </c>
      <c r="ES70" s="180" t="n">
        <v>9.39334834525998</v>
      </c>
      <c r="ET70" s="180" t="n">
        <v>9.46308403327998</v>
      </c>
      <c r="EU70" s="180" t="n">
        <v>9.53281972129998</v>
      </c>
      <c r="EV70" s="180" t="n">
        <v>9.60255540931998</v>
      </c>
      <c r="EW70" s="180" t="n">
        <v>9.67229109733998</v>
      </c>
      <c r="EX70" s="180" t="n">
        <v>9.74202678535998</v>
      </c>
      <c r="EY70" s="180" t="n">
        <v>9.81176247337998</v>
      </c>
      <c r="EZ70" s="180" t="n">
        <v>9.88149816139998</v>
      </c>
      <c r="FA70" s="180" t="n">
        <v>9.95123384941998</v>
      </c>
      <c r="FB70" s="180" t="n">
        <v>10.02096953744</v>
      </c>
      <c r="FC70" s="180" t="n">
        <v>10.09070522546</v>
      </c>
      <c r="FD70" s="180" t="n">
        <v>10.16044091348</v>
      </c>
      <c r="FE70" s="180" t="n">
        <v>10.2301766015</v>
      </c>
      <c r="FF70" s="180" t="n">
        <v>10.29991228952</v>
      </c>
      <c r="FG70" s="180" t="n">
        <v>10.36964797754</v>
      </c>
      <c r="FH70" s="180" t="n">
        <v>10.43938366556</v>
      </c>
      <c r="FI70" s="180" t="n">
        <v>10.50911935358</v>
      </c>
      <c r="FJ70" s="180" t="n">
        <v>10.5788550416</v>
      </c>
      <c r="FK70" s="180" t="n">
        <v>10.64859072962</v>
      </c>
      <c r="FL70" s="180" t="n">
        <v>10.71832641764</v>
      </c>
      <c r="FM70" s="180" t="n">
        <v>10.78806210566</v>
      </c>
      <c r="FN70" s="180" t="n">
        <v>10.85779779368</v>
      </c>
      <c r="FO70" s="180" t="n">
        <v>10.9275334817</v>
      </c>
      <c r="FP70" s="180" t="n">
        <v>10.99726916972</v>
      </c>
      <c r="FQ70" s="180" t="n">
        <v>11.06700485774</v>
      </c>
      <c r="FR70" s="180" t="n">
        <v>11.13674054576</v>
      </c>
      <c r="FS70" s="180" t="n">
        <v>11.20647623378</v>
      </c>
      <c r="FT70" s="180" t="n">
        <v>11.2762119218</v>
      </c>
      <c r="FU70" s="180" t="n">
        <v>11.34594760982</v>
      </c>
      <c r="FV70" s="180" t="n">
        <v>11.41568329784</v>
      </c>
      <c r="FW70" s="180" t="n">
        <v>11.48541898586</v>
      </c>
      <c r="FX70" s="180" t="n">
        <v>11.55515467388</v>
      </c>
      <c r="FY70" s="180" t="n">
        <v>11.6248903619</v>
      </c>
      <c r="FZ70" s="180" t="n">
        <v>11.69462604992</v>
      </c>
      <c r="GA70" s="180" t="n">
        <v>11.76436173794</v>
      </c>
      <c r="GB70" s="180" t="n">
        <v>11.83409742596</v>
      </c>
      <c r="GC70" s="180" t="n">
        <v>11.90383311398</v>
      </c>
      <c r="GD70" s="180" t="n">
        <v>11.973568802</v>
      </c>
      <c r="GE70" s="180" t="n">
        <v>12.04330449002</v>
      </c>
      <c r="GF70" s="180" t="n">
        <v>12.11304017804</v>
      </c>
      <c r="GG70" s="180" t="n">
        <v>12.18277586606</v>
      </c>
      <c r="GH70" s="180" t="n">
        <v>12.25251155408</v>
      </c>
      <c r="GI70" s="180" t="n">
        <v>12.3222472421</v>
      </c>
      <c r="GJ70" s="180" t="n">
        <v>12.39198293012</v>
      </c>
      <c r="GK70" s="180" t="n">
        <v>12.46171861814</v>
      </c>
      <c r="GL70" s="180" t="n">
        <v>12.53145430616</v>
      </c>
      <c r="GM70" s="180" t="n">
        <v>12.60118999418</v>
      </c>
      <c r="GN70" s="180" t="n">
        <v>12.6709256822</v>
      </c>
      <c r="GO70" s="180" t="n">
        <v>12.74066137022</v>
      </c>
      <c r="GP70" s="180" t="n">
        <v>12.81039705824</v>
      </c>
      <c r="GQ70" s="180" t="n">
        <v>12.88013274626</v>
      </c>
      <c r="GR70" s="180" t="n">
        <v>12.94986843428</v>
      </c>
      <c r="GS70" s="180" t="n">
        <v>13.0196041223</v>
      </c>
      <c r="GT70" s="180" t="n">
        <v>13.08933981032</v>
      </c>
      <c r="GU70" s="180" t="n">
        <v>13.15907549834</v>
      </c>
      <c r="GV70" s="180" t="n">
        <v>13.22881118636</v>
      </c>
      <c r="GW70" s="180" t="n">
        <v>13.29854687438</v>
      </c>
      <c r="GX70" s="180" t="n">
        <v>13.3682825624</v>
      </c>
      <c r="GY70" s="180" t="n">
        <v>13.43801825042</v>
      </c>
      <c r="GZ70" s="180" t="n">
        <v>13.50775393844</v>
      </c>
      <c r="HA70" s="180" t="n">
        <v>13.57748962646</v>
      </c>
      <c r="HB70" s="180" t="n">
        <v>13.64722531448</v>
      </c>
      <c r="HC70" s="180" t="n">
        <v>13.7169610025</v>
      </c>
      <c r="HD70" s="180" t="n">
        <v>13.78669669052</v>
      </c>
      <c r="HE70" s="180" t="n">
        <v>13.85643237854</v>
      </c>
      <c r="HF70" s="180" t="n">
        <v>13.92616806656</v>
      </c>
      <c r="HG70" s="180" t="n">
        <v>13.99590375458</v>
      </c>
      <c r="HH70" s="180" t="n">
        <v>14.0656394426</v>
      </c>
      <c r="HI70" s="180" t="n">
        <v>14.13537513062</v>
      </c>
      <c r="HJ70" s="180" t="n">
        <v>14.20511081864</v>
      </c>
      <c r="HK70" s="180" t="n">
        <v>14.27484650666</v>
      </c>
      <c r="HL70" s="180" t="n">
        <v>14.34458219468</v>
      </c>
      <c r="HM70" s="180" t="n">
        <v>14.4143178827</v>
      </c>
      <c r="HN70" s="180" t="n">
        <v>14.48405357072</v>
      </c>
      <c r="HO70" s="180" t="n">
        <v>14.55378925874</v>
      </c>
      <c r="HP70" s="180" t="n">
        <v>14.62352494676</v>
      </c>
      <c r="HQ70" s="180" t="n">
        <v>14.69326063478</v>
      </c>
      <c r="HR70" s="180" t="n">
        <v>14.7629963228</v>
      </c>
      <c r="HS70" s="180" t="n">
        <v>14.83273201082</v>
      </c>
      <c r="HT70" s="180" t="n">
        <v>14.90246769884</v>
      </c>
      <c r="HU70" s="180" t="n">
        <v>14.97220338686</v>
      </c>
      <c r="HV70" s="180" t="n">
        <v>15.04193907488</v>
      </c>
      <c r="HW70" s="180" t="n">
        <v>15.1116747629</v>
      </c>
      <c r="HX70" s="180" t="n">
        <v>15.18141045092</v>
      </c>
      <c r="HY70" s="180" t="n">
        <v>15.25114613894</v>
      </c>
      <c r="HZ70" s="180" t="n">
        <v>15.32088182696</v>
      </c>
      <c r="IA70" s="180" t="n">
        <v>15.39061751498</v>
      </c>
      <c r="IB70" s="180" t="n">
        <v>15.460353203</v>
      </c>
      <c r="IC70" s="180" t="n">
        <v>15.53008889102</v>
      </c>
      <c r="ID70" s="180" t="n">
        <v>15.59982457904</v>
      </c>
      <c r="IE70" s="180" t="n">
        <v>15.66956026706</v>
      </c>
      <c r="IF70" s="180" t="n">
        <v>15.73929595508</v>
      </c>
      <c r="IG70" s="180" t="n">
        <v>15.8090316431</v>
      </c>
      <c r="IH70" s="180" t="n">
        <v>15.87876733112</v>
      </c>
      <c r="II70" s="180" t="n">
        <v>15.94850301914</v>
      </c>
      <c r="IJ70" s="180" t="n">
        <v>16.01823870716</v>
      </c>
      <c r="IK70" s="180" t="n">
        <v>16.08797439518</v>
      </c>
      <c r="IL70" s="180" t="n">
        <v>16.1577100832</v>
      </c>
      <c r="IM70" s="180" t="n">
        <v>16.22744577122</v>
      </c>
      <c r="IN70" s="180" t="n">
        <v>16.29718145924</v>
      </c>
      <c r="IO70" s="180" t="n">
        <v>16.36691714726</v>
      </c>
      <c r="IP70" s="180" t="n">
        <v>16.43665283528</v>
      </c>
      <c r="IQ70" s="180" t="n">
        <v>16.5063885233</v>
      </c>
      <c r="IR70" s="180" t="n">
        <v>16.57612421132</v>
      </c>
      <c r="IS70" s="180" t="n">
        <v>16.64585989934</v>
      </c>
      <c r="IT70" s="180" t="n">
        <v>16.71559558736</v>
      </c>
      <c r="IU70" s="180" t="n">
        <v>16.78533127538</v>
      </c>
      <c r="IV70" s="180" t="n">
        <v>16.8550669634</v>
      </c>
    </row>
    <row r="71" customFormat="false" ht="12.75" hidden="false" customHeight="false" outlineLevel="0" collapsed="false">
      <c r="A71" s="189" t="n">
        <v>38838</v>
      </c>
      <c r="B71" s="185" t="n">
        <v>-2.021005929375</v>
      </c>
      <c r="C71" s="185" t="n">
        <v>-1.9907047400625</v>
      </c>
      <c r="D71" s="185" t="n">
        <v>-1.96040355075</v>
      </c>
      <c r="E71" s="185" t="n">
        <v>-1.9301023614375</v>
      </c>
      <c r="F71" s="185" t="n">
        <v>-1.899801172125</v>
      </c>
      <c r="G71" s="185" t="n">
        <v>-1.8694999828125</v>
      </c>
      <c r="H71" s="185" t="n">
        <v>-1.8391987935</v>
      </c>
      <c r="I71" s="185" t="n">
        <v>-1.8088976041875</v>
      </c>
      <c r="J71" s="185" t="n">
        <v>-1.778596414875</v>
      </c>
      <c r="K71" s="185" t="n">
        <v>-1.7482952255625</v>
      </c>
      <c r="L71" s="185" t="n">
        <v>-1.71799403625</v>
      </c>
      <c r="M71" s="185" t="n">
        <v>-1.6876928469375</v>
      </c>
      <c r="N71" s="185" t="n">
        <v>-1.657391657625</v>
      </c>
      <c r="O71" s="185" t="n">
        <v>-1.6270904683125</v>
      </c>
      <c r="P71" s="185" t="n">
        <v>-1.596789279</v>
      </c>
      <c r="Q71" s="185" t="n">
        <v>-1.5664880896875</v>
      </c>
      <c r="R71" s="185" t="n">
        <v>-1.536186900375</v>
      </c>
      <c r="S71" s="185" t="n">
        <v>-1.5058857110625</v>
      </c>
      <c r="T71" s="185" t="n">
        <v>-1.47558452175</v>
      </c>
      <c r="U71" s="185" t="n">
        <v>-1.4452833324375</v>
      </c>
      <c r="V71" s="186" t="n">
        <v>-1.414982143125</v>
      </c>
      <c r="W71" s="185" t="n">
        <v>-1.3846809538125</v>
      </c>
      <c r="X71" s="186" t="n">
        <v>-1.3543797645</v>
      </c>
      <c r="Y71" s="185" t="n">
        <v>-1.3240785751875</v>
      </c>
      <c r="Z71" s="186" t="n">
        <v>-1.293777385875</v>
      </c>
      <c r="AA71" s="185" t="n">
        <v>-1.2634761965625</v>
      </c>
      <c r="AB71" s="187" t="n">
        <v>-1.23317500725</v>
      </c>
      <c r="AC71" s="185" t="n">
        <v>-1.2028738179375</v>
      </c>
      <c r="AD71" s="187" t="n">
        <v>-1.172572628625</v>
      </c>
      <c r="AE71" s="185" t="n">
        <v>-1.1422714393125</v>
      </c>
      <c r="AF71" s="185" t="n">
        <v>-1.11197025</v>
      </c>
      <c r="AG71" s="190" t="n">
        <v>-1.083235125</v>
      </c>
      <c r="AH71" s="190" t="n">
        <v>-1.0545</v>
      </c>
      <c r="AI71" s="190" t="n">
        <v>-1.02725</v>
      </c>
      <c r="AJ71" s="190" t="n">
        <v>-1</v>
      </c>
      <c r="AK71" s="190" t="n">
        <v>-0.8</v>
      </c>
      <c r="AL71" s="190" t="n">
        <v>-0.6</v>
      </c>
      <c r="AM71" s="190" t="n">
        <v>-0.4</v>
      </c>
      <c r="AN71" s="190" t="n">
        <v>-0.2</v>
      </c>
      <c r="AO71" s="190" t="n">
        <v>0</v>
      </c>
      <c r="AP71" s="190" t="n">
        <v>0.2</v>
      </c>
      <c r="AQ71" s="190" t="n">
        <v>0.4</v>
      </c>
      <c r="AR71" s="190" t="n">
        <v>0.6</v>
      </c>
      <c r="AS71" s="190" t="n">
        <v>0.8</v>
      </c>
      <c r="AT71" s="190" t="n">
        <v>1</v>
      </c>
      <c r="AU71" s="190" t="n">
        <v>1.2</v>
      </c>
      <c r="AV71" s="190" t="n">
        <v>1.4</v>
      </c>
      <c r="AW71" s="190" t="n">
        <v>1.58</v>
      </c>
      <c r="AX71" s="190" t="n">
        <v>1.76</v>
      </c>
      <c r="AY71" s="190" t="n">
        <v>1.922</v>
      </c>
      <c r="AZ71" s="190" t="n">
        <v>2.084</v>
      </c>
      <c r="BA71" s="190" t="n">
        <v>2.2298</v>
      </c>
      <c r="BB71" s="190" t="n">
        <v>2.3756</v>
      </c>
      <c r="BC71" s="190" t="n">
        <v>2.50682</v>
      </c>
      <c r="BD71" s="190" t="n">
        <v>2.63804</v>
      </c>
      <c r="BE71" s="190" t="n">
        <v>2.756138</v>
      </c>
      <c r="BF71" s="190" t="n">
        <v>2.874236</v>
      </c>
      <c r="BG71" s="190" t="n">
        <v>2.9805242</v>
      </c>
      <c r="BH71" s="190" t="n">
        <v>3.0868124</v>
      </c>
      <c r="BI71" s="190" t="n">
        <v>3.18247178</v>
      </c>
      <c r="BJ71" s="190" t="n">
        <v>3.27813116</v>
      </c>
      <c r="BK71" s="190" t="n">
        <v>3.364224602</v>
      </c>
      <c r="BL71" s="190" t="n">
        <v>3.450318044</v>
      </c>
      <c r="BM71" s="190" t="n">
        <v>3.5278021418</v>
      </c>
      <c r="BN71" s="190" t="n">
        <v>3.6052862396</v>
      </c>
      <c r="BO71" s="190" t="n">
        <v>3.67502192762</v>
      </c>
      <c r="BP71" s="190" t="n">
        <v>3.74475761564</v>
      </c>
      <c r="BQ71" s="190" t="n">
        <v>3.81449330366</v>
      </c>
      <c r="BR71" s="190" t="n">
        <v>3.88422899168</v>
      </c>
      <c r="BS71" s="190" t="n">
        <v>3.9539646797</v>
      </c>
      <c r="BT71" s="190" t="n">
        <v>4.02370036772</v>
      </c>
      <c r="BU71" s="190" t="n">
        <v>4.09343605574</v>
      </c>
      <c r="BV71" s="190" t="n">
        <v>4.16317174376</v>
      </c>
      <c r="BW71" s="190" t="n">
        <v>4.23290743178</v>
      </c>
      <c r="BX71" s="190" t="n">
        <v>4.3026431198</v>
      </c>
      <c r="BY71" s="190" t="n">
        <v>4.37237880782</v>
      </c>
      <c r="BZ71" s="190" t="n">
        <v>4.44211449584</v>
      </c>
      <c r="CA71" s="190" t="n">
        <v>4.51185018386</v>
      </c>
      <c r="CB71" s="190" t="n">
        <v>4.58158587188</v>
      </c>
      <c r="CC71" s="190" t="n">
        <v>4.6513215599</v>
      </c>
      <c r="CD71" s="190" t="n">
        <v>4.72105724792</v>
      </c>
      <c r="CE71" s="190" t="n">
        <v>4.79079293594</v>
      </c>
      <c r="CF71" s="190" t="n">
        <v>4.86052862396</v>
      </c>
      <c r="CG71" s="190" t="n">
        <v>4.93026431198</v>
      </c>
      <c r="CH71" s="190" t="n">
        <v>5</v>
      </c>
      <c r="CI71" s="190" t="n">
        <v>5.06973568801999</v>
      </c>
      <c r="CJ71" s="190" t="n">
        <v>5.13947137603999</v>
      </c>
      <c r="CK71" s="190" t="n">
        <v>5.20920706405999</v>
      </c>
      <c r="CL71" s="190" t="n">
        <v>5.27894275207999</v>
      </c>
      <c r="CM71" s="190" t="n">
        <v>5.34867844009999</v>
      </c>
      <c r="CN71" s="190" t="n">
        <v>5.41841412811999</v>
      </c>
      <c r="CO71" s="190" t="n">
        <v>5.48814981613999</v>
      </c>
      <c r="CP71" s="190" t="n">
        <v>5.55788550415999</v>
      </c>
      <c r="CQ71" s="190" t="n">
        <v>5.62762119217999</v>
      </c>
      <c r="CR71" s="190" t="n">
        <v>5.69735688019999</v>
      </c>
      <c r="CS71" s="190" t="n">
        <v>5.76709256821999</v>
      </c>
      <c r="CT71" s="190" t="n">
        <v>5.83682825623999</v>
      </c>
      <c r="CU71" s="190" t="n">
        <v>5.90656394425999</v>
      </c>
      <c r="CV71" s="190" t="n">
        <v>5.97629963227999</v>
      </c>
      <c r="CW71" s="190" t="n">
        <v>6.04603532029999</v>
      </c>
      <c r="CX71" s="190" t="n">
        <v>6.11577100831999</v>
      </c>
      <c r="CY71" s="190" t="n">
        <v>6.18550669633999</v>
      </c>
      <c r="CZ71" s="190" t="n">
        <v>6.25524238435999</v>
      </c>
      <c r="DA71" s="190" t="n">
        <v>6.32497807237999</v>
      </c>
      <c r="DB71" s="190" t="n">
        <v>6.39471376039999</v>
      </c>
      <c r="DC71" s="190" t="n">
        <v>6.46444944841999</v>
      </c>
      <c r="DD71" s="190" t="n">
        <v>6.53418513643999</v>
      </c>
      <c r="DE71" s="190" t="n">
        <v>6.60392082445999</v>
      </c>
      <c r="DF71" s="190" t="n">
        <v>6.67365651247999</v>
      </c>
      <c r="DG71" s="190" t="n">
        <v>6.74339220049999</v>
      </c>
      <c r="DH71" s="190" t="n">
        <v>6.81312788851999</v>
      </c>
      <c r="DI71" s="190" t="n">
        <v>6.88286357653999</v>
      </c>
      <c r="DJ71" s="190" t="n">
        <v>6.95259926455999</v>
      </c>
      <c r="DK71" s="190" t="n">
        <v>7.02233495257999</v>
      </c>
      <c r="DL71" s="190" t="n">
        <v>7.09207064059999</v>
      </c>
      <c r="DM71" s="190" t="n">
        <v>7.16180632861999</v>
      </c>
      <c r="DN71" s="190" t="n">
        <v>7.23154201663999</v>
      </c>
      <c r="DO71" s="190" t="n">
        <v>7.30127770465999</v>
      </c>
      <c r="DP71" s="190" t="n">
        <v>7.37101339267999</v>
      </c>
      <c r="DQ71" s="190" t="n">
        <v>7.44074908069999</v>
      </c>
      <c r="DR71" s="190" t="n">
        <v>7.51048476871999</v>
      </c>
      <c r="DS71" s="190" t="n">
        <v>7.58022045673999</v>
      </c>
      <c r="DT71" s="190" t="n">
        <v>7.64995614475999</v>
      </c>
      <c r="DU71" s="190" t="n">
        <v>7.71969183277999</v>
      </c>
      <c r="DV71" s="190" t="n">
        <v>7.78942752079998</v>
      </c>
      <c r="DW71" s="190" t="n">
        <v>7.85916320881998</v>
      </c>
      <c r="DX71" s="190" t="n">
        <v>7.92889889683998</v>
      </c>
      <c r="DY71" s="190" t="n">
        <v>7.99863458485998</v>
      </c>
      <c r="DZ71" s="190" t="n">
        <v>8.06837027287998</v>
      </c>
      <c r="EA71" s="190" t="n">
        <v>8.13810596089998</v>
      </c>
      <c r="EB71" s="190" t="n">
        <v>8.20784164891998</v>
      </c>
      <c r="EC71" s="190" t="n">
        <v>8.27757733693998</v>
      </c>
      <c r="ED71" s="190" t="n">
        <v>8.34731302495998</v>
      </c>
      <c r="EE71" s="190" t="n">
        <v>8.41704871297998</v>
      </c>
      <c r="EF71" s="190" t="n">
        <v>8.48678440099998</v>
      </c>
      <c r="EG71" s="190" t="n">
        <v>8.55652008901998</v>
      </c>
      <c r="EH71" s="190" t="n">
        <v>8.62625577703998</v>
      </c>
      <c r="EI71" s="190" t="n">
        <v>8.69599146505998</v>
      </c>
      <c r="EJ71" s="190" t="n">
        <v>8.76572715307998</v>
      </c>
      <c r="EK71" s="190" t="n">
        <v>8.83546284109998</v>
      </c>
      <c r="EL71" s="180" t="n">
        <v>8.90519852911998</v>
      </c>
      <c r="EM71" s="180" t="n">
        <v>8.97493421713998</v>
      </c>
      <c r="EN71" s="180" t="n">
        <v>9.04466990515998</v>
      </c>
      <c r="EO71" s="180" t="n">
        <v>9.11440559317998</v>
      </c>
      <c r="EP71" s="180" t="n">
        <v>9.18414128119998</v>
      </c>
      <c r="EQ71" s="180" t="n">
        <v>9.25387696921998</v>
      </c>
      <c r="ER71" s="180" t="n">
        <v>9.32361265723998</v>
      </c>
      <c r="ES71" s="180" t="n">
        <v>9.39334834525998</v>
      </c>
      <c r="ET71" s="180" t="n">
        <v>9.46308403327998</v>
      </c>
      <c r="EU71" s="180" t="n">
        <v>9.53281972129998</v>
      </c>
      <c r="EV71" s="180" t="n">
        <v>9.60255540931998</v>
      </c>
      <c r="EW71" s="180" t="n">
        <v>9.67229109733998</v>
      </c>
      <c r="EX71" s="180" t="n">
        <v>9.74202678535998</v>
      </c>
      <c r="EY71" s="180" t="n">
        <v>9.81176247337998</v>
      </c>
      <c r="EZ71" s="180" t="n">
        <v>9.88149816139998</v>
      </c>
      <c r="FA71" s="180" t="n">
        <v>9.95123384941998</v>
      </c>
      <c r="FB71" s="180" t="n">
        <v>10.02096953744</v>
      </c>
      <c r="FC71" s="180" t="n">
        <v>10.09070522546</v>
      </c>
      <c r="FD71" s="180" t="n">
        <v>10.16044091348</v>
      </c>
      <c r="FE71" s="180" t="n">
        <v>10.2301766015</v>
      </c>
      <c r="FF71" s="180" t="n">
        <v>10.29991228952</v>
      </c>
      <c r="FG71" s="180" t="n">
        <v>10.36964797754</v>
      </c>
      <c r="FH71" s="180" t="n">
        <v>10.43938366556</v>
      </c>
      <c r="FI71" s="180" t="n">
        <v>10.50911935358</v>
      </c>
      <c r="FJ71" s="180" t="n">
        <v>10.5788550416</v>
      </c>
      <c r="FK71" s="180" t="n">
        <v>10.64859072962</v>
      </c>
      <c r="FL71" s="180" t="n">
        <v>10.71832641764</v>
      </c>
      <c r="FM71" s="180" t="n">
        <v>10.78806210566</v>
      </c>
      <c r="FN71" s="180" t="n">
        <v>10.85779779368</v>
      </c>
      <c r="FO71" s="180" t="n">
        <v>10.9275334817</v>
      </c>
      <c r="FP71" s="180" t="n">
        <v>10.99726916972</v>
      </c>
      <c r="FQ71" s="180" t="n">
        <v>11.06700485774</v>
      </c>
      <c r="FR71" s="180" t="n">
        <v>11.13674054576</v>
      </c>
      <c r="FS71" s="180" t="n">
        <v>11.20647623378</v>
      </c>
      <c r="FT71" s="180" t="n">
        <v>11.2762119218</v>
      </c>
      <c r="FU71" s="180" t="n">
        <v>11.34594760982</v>
      </c>
      <c r="FV71" s="180" t="n">
        <v>11.41568329784</v>
      </c>
      <c r="FW71" s="180" t="n">
        <v>11.48541898586</v>
      </c>
      <c r="FX71" s="180" t="n">
        <v>11.55515467388</v>
      </c>
      <c r="FY71" s="180" t="n">
        <v>11.6248903619</v>
      </c>
      <c r="FZ71" s="180" t="n">
        <v>11.69462604992</v>
      </c>
      <c r="GA71" s="180" t="n">
        <v>11.76436173794</v>
      </c>
      <c r="GB71" s="180" t="n">
        <v>11.83409742596</v>
      </c>
      <c r="GC71" s="180" t="n">
        <v>11.90383311398</v>
      </c>
      <c r="GD71" s="180" t="n">
        <v>11.973568802</v>
      </c>
      <c r="GE71" s="180" t="n">
        <v>12.04330449002</v>
      </c>
      <c r="GF71" s="180" t="n">
        <v>12.11304017804</v>
      </c>
      <c r="GG71" s="180" t="n">
        <v>12.18277586606</v>
      </c>
      <c r="GH71" s="180" t="n">
        <v>12.25251155408</v>
      </c>
      <c r="GI71" s="180" t="n">
        <v>12.3222472421</v>
      </c>
      <c r="GJ71" s="180" t="n">
        <v>12.39198293012</v>
      </c>
      <c r="GK71" s="180" t="n">
        <v>12.46171861814</v>
      </c>
      <c r="GL71" s="180" t="n">
        <v>12.53145430616</v>
      </c>
      <c r="GM71" s="180" t="n">
        <v>12.60118999418</v>
      </c>
      <c r="GN71" s="180" t="n">
        <v>12.6709256822</v>
      </c>
      <c r="GO71" s="180" t="n">
        <v>12.74066137022</v>
      </c>
      <c r="GP71" s="180" t="n">
        <v>12.81039705824</v>
      </c>
      <c r="GQ71" s="180" t="n">
        <v>12.88013274626</v>
      </c>
      <c r="GR71" s="180" t="n">
        <v>12.94986843428</v>
      </c>
      <c r="GS71" s="180" t="n">
        <v>13.0196041223</v>
      </c>
      <c r="GT71" s="180" t="n">
        <v>13.08933981032</v>
      </c>
      <c r="GU71" s="180" t="n">
        <v>13.15907549834</v>
      </c>
      <c r="GV71" s="180" t="n">
        <v>13.22881118636</v>
      </c>
      <c r="GW71" s="180" t="n">
        <v>13.29854687438</v>
      </c>
      <c r="GX71" s="180" t="n">
        <v>13.3682825624</v>
      </c>
      <c r="GY71" s="180" t="n">
        <v>13.43801825042</v>
      </c>
      <c r="GZ71" s="180" t="n">
        <v>13.50775393844</v>
      </c>
      <c r="HA71" s="180" t="n">
        <v>13.57748962646</v>
      </c>
      <c r="HB71" s="180" t="n">
        <v>13.64722531448</v>
      </c>
      <c r="HC71" s="180" t="n">
        <v>13.7169610025</v>
      </c>
      <c r="HD71" s="180" t="n">
        <v>13.78669669052</v>
      </c>
      <c r="HE71" s="180" t="n">
        <v>13.85643237854</v>
      </c>
      <c r="HF71" s="180" t="n">
        <v>13.92616806656</v>
      </c>
      <c r="HG71" s="180" t="n">
        <v>13.99590375458</v>
      </c>
      <c r="HH71" s="180" t="n">
        <v>14.0656394426</v>
      </c>
      <c r="HI71" s="180" t="n">
        <v>14.13537513062</v>
      </c>
      <c r="HJ71" s="180" t="n">
        <v>14.20511081864</v>
      </c>
      <c r="HK71" s="180" t="n">
        <v>14.27484650666</v>
      </c>
      <c r="HL71" s="180" t="n">
        <v>14.34458219468</v>
      </c>
      <c r="HM71" s="180" t="n">
        <v>14.4143178827</v>
      </c>
      <c r="HN71" s="180" t="n">
        <v>14.48405357072</v>
      </c>
      <c r="HO71" s="180" t="n">
        <v>14.55378925874</v>
      </c>
      <c r="HP71" s="180" t="n">
        <v>14.62352494676</v>
      </c>
      <c r="HQ71" s="180" t="n">
        <v>14.69326063478</v>
      </c>
      <c r="HR71" s="180" t="n">
        <v>14.7629963228</v>
      </c>
      <c r="HS71" s="180" t="n">
        <v>14.83273201082</v>
      </c>
      <c r="HT71" s="180" t="n">
        <v>14.90246769884</v>
      </c>
      <c r="HU71" s="180" t="n">
        <v>14.97220338686</v>
      </c>
      <c r="HV71" s="180" t="n">
        <v>15.04193907488</v>
      </c>
      <c r="HW71" s="180" t="n">
        <v>15.1116747629</v>
      </c>
      <c r="HX71" s="180" t="n">
        <v>15.18141045092</v>
      </c>
      <c r="HY71" s="180" t="n">
        <v>15.25114613894</v>
      </c>
      <c r="HZ71" s="180" t="n">
        <v>15.32088182696</v>
      </c>
      <c r="IA71" s="180" t="n">
        <v>15.39061751498</v>
      </c>
      <c r="IB71" s="180" t="n">
        <v>15.460353203</v>
      </c>
      <c r="IC71" s="180" t="n">
        <v>15.53008889102</v>
      </c>
      <c r="ID71" s="180" t="n">
        <v>15.59982457904</v>
      </c>
      <c r="IE71" s="180" t="n">
        <v>15.66956026706</v>
      </c>
      <c r="IF71" s="180" t="n">
        <v>15.73929595508</v>
      </c>
      <c r="IG71" s="180" t="n">
        <v>15.8090316431</v>
      </c>
      <c r="IH71" s="180" t="n">
        <v>15.87876733112</v>
      </c>
      <c r="II71" s="180" t="n">
        <v>15.94850301914</v>
      </c>
      <c r="IJ71" s="180" t="n">
        <v>16.01823870716</v>
      </c>
      <c r="IK71" s="180" t="n">
        <v>16.08797439518</v>
      </c>
      <c r="IL71" s="180" t="n">
        <v>16.1577100832</v>
      </c>
      <c r="IM71" s="180" t="n">
        <v>16.22744577122</v>
      </c>
      <c r="IN71" s="180" t="n">
        <v>16.29718145924</v>
      </c>
      <c r="IO71" s="180" t="n">
        <v>16.36691714726</v>
      </c>
      <c r="IP71" s="180" t="n">
        <v>16.43665283528</v>
      </c>
      <c r="IQ71" s="180" t="n">
        <v>16.5063885233</v>
      </c>
      <c r="IR71" s="180" t="n">
        <v>16.57612421132</v>
      </c>
      <c r="IS71" s="180" t="n">
        <v>16.64585989934</v>
      </c>
      <c r="IT71" s="180" t="n">
        <v>16.71559558736</v>
      </c>
      <c r="IU71" s="180" t="n">
        <v>16.78533127538</v>
      </c>
      <c r="IV71" s="180" t="n">
        <v>16.8550669634</v>
      </c>
    </row>
    <row r="72" customFormat="false" ht="12.75" hidden="false" customHeight="false" outlineLevel="0" collapsed="false">
      <c r="A72" s="189" t="n">
        <v>38869</v>
      </c>
      <c r="B72" s="185" t="n">
        <v>-2.021005929375</v>
      </c>
      <c r="C72" s="185" t="n">
        <v>-1.9907047400625</v>
      </c>
      <c r="D72" s="185" t="n">
        <v>-1.96040355075</v>
      </c>
      <c r="E72" s="185" t="n">
        <v>-1.9301023614375</v>
      </c>
      <c r="F72" s="185" t="n">
        <v>-1.899801172125</v>
      </c>
      <c r="G72" s="185" t="n">
        <v>-1.8694999828125</v>
      </c>
      <c r="H72" s="185" t="n">
        <v>-1.8391987935</v>
      </c>
      <c r="I72" s="185" t="n">
        <v>-1.8088976041875</v>
      </c>
      <c r="J72" s="185" t="n">
        <v>-1.778596414875</v>
      </c>
      <c r="K72" s="185" t="n">
        <v>-1.7482952255625</v>
      </c>
      <c r="L72" s="185" t="n">
        <v>-1.71799403625</v>
      </c>
      <c r="M72" s="185" t="n">
        <v>-1.6876928469375</v>
      </c>
      <c r="N72" s="185" t="n">
        <v>-1.657391657625</v>
      </c>
      <c r="O72" s="185" t="n">
        <v>-1.6270904683125</v>
      </c>
      <c r="P72" s="185" t="n">
        <v>-1.596789279</v>
      </c>
      <c r="Q72" s="185" t="n">
        <v>-1.5664880896875</v>
      </c>
      <c r="R72" s="185" t="n">
        <v>-1.536186900375</v>
      </c>
      <c r="S72" s="185" t="n">
        <v>-1.5058857110625</v>
      </c>
      <c r="T72" s="185" t="n">
        <v>-1.47558452175</v>
      </c>
      <c r="U72" s="185" t="n">
        <v>-1.4452833324375</v>
      </c>
      <c r="V72" s="186" t="n">
        <v>-1.414982143125</v>
      </c>
      <c r="W72" s="185" t="n">
        <v>-1.3846809538125</v>
      </c>
      <c r="X72" s="186" t="n">
        <v>-1.3543797645</v>
      </c>
      <c r="Y72" s="185" t="n">
        <v>-1.3240785751875</v>
      </c>
      <c r="Z72" s="186" t="n">
        <v>-1.293777385875</v>
      </c>
      <c r="AA72" s="185" t="n">
        <v>-1.2634761965625</v>
      </c>
      <c r="AB72" s="187" t="n">
        <v>-1.23317500725</v>
      </c>
      <c r="AC72" s="185" t="n">
        <v>-1.2028738179375</v>
      </c>
      <c r="AD72" s="187" t="n">
        <v>-1.172572628625</v>
      </c>
      <c r="AE72" s="185" t="n">
        <v>-1.1422714393125</v>
      </c>
      <c r="AF72" s="185" t="n">
        <v>-1.11197025</v>
      </c>
      <c r="AG72" s="190" t="n">
        <v>-1.083235125</v>
      </c>
      <c r="AH72" s="190" t="n">
        <v>-1.0545</v>
      </c>
      <c r="AI72" s="190" t="n">
        <v>-1.02725</v>
      </c>
      <c r="AJ72" s="190" t="n">
        <v>-1</v>
      </c>
      <c r="AK72" s="190" t="n">
        <v>-0.8</v>
      </c>
      <c r="AL72" s="190" t="n">
        <v>-0.6</v>
      </c>
      <c r="AM72" s="190" t="n">
        <v>-0.4</v>
      </c>
      <c r="AN72" s="190" t="n">
        <v>-0.2</v>
      </c>
      <c r="AO72" s="190" t="n">
        <v>0</v>
      </c>
      <c r="AP72" s="190" t="n">
        <v>0.2</v>
      </c>
      <c r="AQ72" s="190" t="n">
        <v>0.4</v>
      </c>
      <c r="AR72" s="190" t="n">
        <v>0.6</v>
      </c>
      <c r="AS72" s="190" t="n">
        <v>0.8</v>
      </c>
      <c r="AT72" s="190" t="n">
        <v>1</v>
      </c>
      <c r="AU72" s="190" t="n">
        <v>1.2</v>
      </c>
      <c r="AV72" s="190" t="n">
        <v>1.4</v>
      </c>
      <c r="AW72" s="190" t="n">
        <v>1.58</v>
      </c>
      <c r="AX72" s="190" t="n">
        <v>1.76</v>
      </c>
      <c r="AY72" s="190" t="n">
        <v>1.922</v>
      </c>
      <c r="AZ72" s="190" t="n">
        <v>2.084</v>
      </c>
      <c r="BA72" s="190" t="n">
        <v>2.2298</v>
      </c>
      <c r="BB72" s="190" t="n">
        <v>2.3756</v>
      </c>
      <c r="BC72" s="190" t="n">
        <v>2.50682</v>
      </c>
      <c r="BD72" s="190" t="n">
        <v>2.63804</v>
      </c>
      <c r="BE72" s="190" t="n">
        <v>2.756138</v>
      </c>
      <c r="BF72" s="190" t="n">
        <v>2.874236</v>
      </c>
      <c r="BG72" s="190" t="n">
        <v>2.9805242</v>
      </c>
      <c r="BH72" s="190" t="n">
        <v>3.0868124</v>
      </c>
      <c r="BI72" s="190" t="n">
        <v>3.18247178</v>
      </c>
      <c r="BJ72" s="190" t="n">
        <v>3.27813116</v>
      </c>
      <c r="BK72" s="190" t="n">
        <v>3.364224602</v>
      </c>
      <c r="BL72" s="190" t="n">
        <v>3.450318044</v>
      </c>
      <c r="BM72" s="190" t="n">
        <v>3.5278021418</v>
      </c>
      <c r="BN72" s="190" t="n">
        <v>3.6052862396</v>
      </c>
      <c r="BO72" s="190" t="n">
        <v>3.67502192762</v>
      </c>
      <c r="BP72" s="190" t="n">
        <v>3.74475761564</v>
      </c>
      <c r="BQ72" s="190" t="n">
        <v>3.81449330366</v>
      </c>
      <c r="BR72" s="190" t="n">
        <v>3.88422899168</v>
      </c>
      <c r="BS72" s="190" t="n">
        <v>3.9539646797</v>
      </c>
      <c r="BT72" s="190" t="n">
        <v>4.02370036772</v>
      </c>
      <c r="BU72" s="190" t="n">
        <v>4.09343605574</v>
      </c>
      <c r="BV72" s="190" t="n">
        <v>4.16317174376</v>
      </c>
      <c r="BW72" s="190" t="n">
        <v>4.23290743178</v>
      </c>
      <c r="BX72" s="190" t="n">
        <v>4.3026431198</v>
      </c>
      <c r="BY72" s="190" t="n">
        <v>4.37237880782</v>
      </c>
      <c r="BZ72" s="190" t="n">
        <v>4.44211449584</v>
      </c>
      <c r="CA72" s="190" t="n">
        <v>4.51185018386</v>
      </c>
      <c r="CB72" s="190" t="n">
        <v>4.58158587188</v>
      </c>
      <c r="CC72" s="190" t="n">
        <v>4.6513215599</v>
      </c>
      <c r="CD72" s="190" t="n">
        <v>4.72105724792</v>
      </c>
      <c r="CE72" s="190" t="n">
        <v>4.79079293594</v>
      </c>
      <c r="CF72" s="190" t="n">
        <v>4.86052862396</v>
      </c>
      <c r="CG72" s="190" t="n">
        <v>4.93026431198</v>
      </c>
      <c r="CH72" s="190" t="n">
        <v>5</v>
      </c>
      <c r="CI72" s="190" t="n">
        <v>5.06973568801999</v>
      </c>
      <c r="CJ72" s="190" t="n">
        <v>5.13947137603999</v>
      </c>
      <c r="CK72" s="190" t="n">
        <v>5.20920706405999</v>
      </c>
      <c r="CL72" s="190" t="n">
        <v>5.27894275207999</v>
      </c>
      <c r="CM72" s="190" t="n">
        <v>5.34867844009999</v>
      </c>
      <c r="CN72" s="190" t="n">
        <v>5.41841412811999</v>
      </c>
      <c r="CO72" s="190" t="n">
        <v>5.48814981613999</v>
      </c>
      <c r="CP72" s="190" t="n">
        <v>5.55788550415999</v>
      </c>
      <c r="CQ72" s="190" t="n">
        <v>5.62762119217999</v>
      </c>
      <c r="CR72" s="190" t="n">
        <v>5.69735688019999</v>
      </c>
      <c r="CS72" s="190" t="n">
        <v>5.76709256821999</v>
      </c>
      <c r="CT72" s="190" t="n">
        <v>5.83682825623999</v>
      </c>
      <c r="CU72" s="190" t="n">
        <v>5.90656394425999</v>
      </c>
      <c r="CV72" s="190" t="n">
        <v>5.97629963227999</v>
      </c>
      <c r="CW72" s="190" t="n">
        <v>6.04603532029999</v>
      </c>
      <c r="CX72" s="190" t="n">
        <v>6.11577100831999</v>
      </c>
      <c r="CY72" s="190" t="n">
        <v>6.18550669633999</v>
      </c>
      <c r="CZ72" s="190" t="n">
        <v>6.25524238435999</v>
      </c>
      <c r="DA72" s="190" t="n">
        <v>6.32497807237999</v>
      </c>
      <c r="DB72" s="190" t="n">
        <v>6.39471376039999</v>
      </c>
      <c r="DC72" s="190" t="n">
        <v>6.46444944841999</v>
      </c>
      <c r="DD72" s="190" t="n">
        <v>6.53418513643999</v>
      </c>
      <c r="DE72" s="190" t="n">
        <v>6.60392082445999</v>
      </c>
      <c r="DF72" s="190" t="n">
        <v>6.67365651247999</v>
      </c>
      <c r="DG72" s="190" t="n">
        <v>6.74339220049999</v>
      </c>
      <c r="DH72" s="190" t="n">
        <v>6.81312788851999</v>
      </c>
      <c r="DI72" s="190" t="n">
        <v>6.88286357653999</v>
      </c>
      <c r="DJ72" s="190" t="n">
        <v>6.95259926455999</v>
      </c>
      <c r="DK72" s="190" t="n">
        <v>7.02233495257999</v>
      </c>
      <c r="DL72" s="190" t="n">
        <v>7.09207064059999</v>
      </c>
      <c r="DM72" s="190" t="n">
        <v>7.16180632861999</v>
      </c>
      <c r="DN72" s="190" t="n">
        <v>7.23154201663999</v>
      </c>
      <c r="DO72" s="190" t="n">
        <v>7.30127770465999</v>
      </c>
      <c r="DP72" s="190" t="n">
        <v>7.37101339267999</v>
      </c>
      <c r="DQ72" s="190" t="n">
        <v>7.44074908069999</v>
      </c>
      <c r="DR72" s="190" t="n">
        <v>7.51048476871999</v>
      </c>
      <c r="DS72" s="190" t="n">
        <v>7.58022045673999</v>
      </c>
      <c r="DT72" s="190" t="n">
        <v>7.64995614475999</v>
      </c>
      <c r="DU72" s="190" t="n">
        <v>7.71969183277999</v>
      </c>
      <c r="DV72" s="190" t="n">
        <v>7.78942752079998</v>
      </c>
      <c r="DW72" s="190" t="n">
        <v>7.85916320881998</v>
      </c>
      <c r="DX72" s="190" t="n">
        <v>7.92889889683998</v>
      </c>
      <c r="DY72" s="190" t="n">
        <v>7.99863458485998</v>
      </c>
      <c r="DZ72" s="190" t="n">
        <v>8.06837027287998</v>
      </c>
      <c r="EA72" s="190" t="n">
        <v>8.13810596089998</v>
      </c>
      <c r="EB72" s="190" t="n">
        <v>8.20784164891998</v>
      </c>
      <c r="EC72" s="190" t="n">
        <v>8.27757733693998</v>
      </c>
      <c r="ED72" s="190" t="n">
        <v>8.34731302495998</v>
      </c>
      <c r="EE72" s="190" t="n">
        <v>8.41704871297998</v>
      </c>
      <c r="EF72" s="190" t="n">
        <v>8.48678440099998</v>
      </c>
      <c r="EG72" s="190" t="n">
        <v>8.55652008901998</v>
      </c>
      <c r="EH72" s="190" t="n">
        <v>8.62625577703998</v>
      </c>
      <c r="EI72" s="190" t="n">
        <v>8.69599146505998</v>
      </c>
      <c r="EJ72" s="190" t="n">
        <v>8.76572715307998</v>
      </c>
      <c r="EK72" s="190" t="n">
        <v>8.83546284109998</v>
      </c>
      <c r="EL72" s="180" t="n">
        <v>8.90519852911998</v>
      </c>
      <c r="EM72" s="180" t="n">
        <v>8.97493421713998</v>
      </c>
      <c r="EN72" s="180" t="n">
        <v>9.04466990515998</v>
      </c>
      <c r="EO72" s="180" t="n">
        <v>9.11440559317998</v>
      </c>
      <c r="EP72" s="180" t="n">
        <v>9.18414128119998</v>
      </c>
      <c r="EQ72" s="180" t="n">
        <v>9.25387696921998</v>
      </c>
      <c r="ER72" s="180" t="n">
        <v>9.32361265723998</v>
      </c>
      <c r="ES72" s="180" t="n">
        <v>9.39334834525998</v>
      </c>
      <c r="ET72" s="180" t="n">
        <v>9.46308403327998</v>
      </c>
      <c r="EU72" s="180" t="n">
        <v>9.53281972129998</v>
      </c>
      <c r="EV72" s="180" t="n">
        <v>9.60255540931998</v>
      </c>
      <c r="EW72" s="180" t="n">
        <v>9.67229109733998</v>
      </c>
      <c r="EX72" s="180" t="n">
        <v>9.74202678535998</v>
      </c>
      <c r="EY72" s="180" t="n">
        <v>9.81176247337998</v>
      </c>
      <c r="EZ72" s="180" t="n">
        <v>9.88149816139998</v>
      </c>
      <c r="FA72" s="180" t="n">
        <v>9.95123384941998</v>
      </c>
      <c r="FB72" s="180" t="n">
        <v>10.02096953744</v>
      </c>
      <c r="FC72" s="180" t="n">
        <v>10.09070522546</v>
      </c>
      <c r="FD72" s="180" t="n">
        <v>10.16044091348</v>
      </c>
      <c r="FE72" s="180" t="n">
        <v>10.2301766015</v>
      </c>
      <c r="FF72" s="180" t="n">
        <v>10.29991228952</v>
      </c>
      <c r="FG72" s="180" t="n">
        <v>10.36964797754</v>
      </c>
      <c r="FH72" s="180" t="n">
        <v>10.43938366556</v>
      </c>
      <c r="FI72" s="180" t="n">
        <v>10.50911935358</v>
      </c>
      <c r="FJ72" s="180" t="n">
        <v>10.5788550416</v>
      </c>
      <c r="FK72" s="180" t="n">
        <v>10.64859072962</v>
      </c>
      <c r="FL72" s="180" t="n">
        <v>10.71832641764</v>
      </c>
      <c r="FM72" s="180" t="n">
        <v>10.78806210566</v>
      </c>
      <c r="FN72" s="180" t="n">
        <v>10.85779779368</v>
      </c>
      <c r="FO72" s="180" t="n">
        <v>10.9275334817</v>
      </c>
      <c r="FP72" s="180" t="n">
        <v>10.99726916972</v>
      </c>
      <c r="FQ72" s="180" t="n">
        <v>11.06700485774</v>
      </c>
      <c r="FR72" s="180" t="n">
        <v>11.13674054576</v>
      </c>
      <c r="FS72" s="180" t="n">
        <v>11.20647623378</v>
      </c>
      <c r="FT72" s="180" t="n">
        <v>11.2762119218</v>
      </c>
      <c r="FU72" s="180" t="n">
        <v>11.34594760982</v>
      </c>
      <c r="FV72" s="180" t="n">
        <v>11.41568329784</v>
      </c>
      <c r="FW72" s="180" t="n">
        <v>11.48541898586</v>
      </c>
      <c r="FX72" s="180" t="n">
        <v>11.55515467388</v>
      </c>
      <c r="FY72" s="180" t="n">
        <v>11.6248903619</v>
      </c>
      <c r="FZ72" s="180" t="n">
        <v>11.69462604992</v>
      </c>
      <c r="GA72" s="180" t="n">
        <v>11.76436173794</v>
      </c>
      <c r="GB72" s="180" t="n">
        <v>11.83409742596</v>
      </c>
      <c r="GC72" s="180" t="n">
        <v>11.90383311398</v>
      </c>
      <c r="GD72" s="180" t="n">
        <v>11.973568802</v>
      </c>
      <c r="GE72" s="180" t="n">
        <v>12.04330449002</v>
      </c>
      <c r="GF72" s="180" t="n">
        <v>12.11304017804</v>
      </c>
      <c r="GG72" s="180" t="n">
        <v>12.18277586606</v>
      </c>
      <c r="GH72" s="180" t="n">
        <v>12.25251155408</v>
      </c>
      <c r="GI72" s="180" t="n">
        <v>12.3222472421</v>
      </c>
      <c r="GJ72" s="180" t="n">
        <v>12.39198293012</v>
      </c>
      <c r="GK72" s="180" t="n">
        <v>12.46171861814</v>
      </c>
      <c r="GL72" s="180" t="n">
        <v>12.53145430616</v>
      </c>
      <c r="GM72" s="180" t="n">
        <v>12.60118999418</v>
      </c>
      <c r="GN72" s="180" t="n">
        <v>12.6709256822</v>
      </c>
      <c r="GO72" s="180" t="n">
        <v>12.74066137022</v>
      </c>
      <c r="GP72" s="180" t="n">
        <v>12.81039705824</v>
      </c>
      <c r="GQ72" s="180" t="n">
        <v>12.88013274626</v>
      </c>
      <c r="GR72" s="180" t="n">
        <v>12.94986843428</v>
      </c>
      <c r="GS72" s="180" t="n">
        <v>13.0196041223</v>
      </c>
      <c r="GT72" s="180" t="n">
        <v>13.08933981032</v>
      </c>
      <c r="GU72" s="180" t="n">
        <v>13.15907549834</v>
      </c>
      <c r="GV72" s="180" t="n">
        <v>13.22881118636</v>
      </c>
      <c r="GW72" s="180" t="n">
        <v>13.29854687438</v>
      </c>
      <c r="GX72" s="180" t="n">
        <v>13.3682825624</v>
      </c>
      <c r="GY72" s="180" t="n">
        <v>13.43801825042</v>
      </c>
      <c r="GZ72" s="180" t="n">
        <v>13.50775393844</v>
      </c>
      <c r="HA72" s="180" t="n">
        <v>13.57748962646</v>
      </c>
      <c r="HB72" s="180" t="n">
        <v>13.64722531448</v>
      </c>
      <c r="HC72" s="180" t="n">
        <v>13.7169610025</v>
      </c>
      <c r="HD72" s="180" t="n">
        <v>13.78669669052</v>
      </c>
      <c r="HE72" s="180" t="n">
        <v>13.85643237854</v>
      </c>
      <c r="HF72" s="180" t="n">
        <v>13.92616806656</v>
      </c>
      <c r="HG72" s="180" t="n">
        <v>13.99590375458</v>
      </c>
      <c r="HH72" s="180" t="n">
        <v>14.0656394426</v>
      </c>
      <c r="HI72" s="180" t="n">
        <v>14.13537513062</v>
      </c>
      <c r="HJ72" s="180" t="n">
        <v>14.20511081864</v>
      </c>
      <c r="HK72" s="180" t="n">
        <v>14.27484650666</v>
      </c>
      <c r="HL72" s="180" t="n">
        <v>14.34458219468</v>
      </c>
      <c r="HM72" s="180" t="n">
        <v>14.4143178827</v>
      </c>
      <c r="HN72" s="180" t="n">
        <v>14.48405357072</v>
      </c>
      <c r="HO72" s="180" t="n">
        <v>14.55378925874</v>
      </c>
      <c r="HP72" s="180" t="n">
        <v>14.62352494676</v>
      </c>
      <c r="HQ72" s="180" t="n">
        <v>14.69326063478</v>
      </c>
      <c r="HR72" s="180" t="n">
        <v>14.7629963228</v>
      </c>
      <c r="HS72" s="180" t="n">
        <v>14.83273201082</v>
      </c>
      <c r="HT72" s="180" t="n">
        <v>14.90246769884</v>
      </c>
      <c r="HU72" s="180" t="n">
        <v>14.97220338686</v>
      </c>
      <c r="HV72" s="180" t="n">
        <v>15.04193907488</v>
      </c>
      <c r="HW72" s="180" t="n">
        <v>15.1116747629</v>
      </c>
      <c r="HX72" s="180" t="n">
        <v>15.18141045092</v>
      </c>
      <c r="HY72" s="180" t="n">
        <v>15.25114613894</v>
      </c>
      <c r="HZ72" s="180" t="n">
        <v>15.32088182696</v>
      </c>
      <c r="IA72" s="180" t="n">
        <v>15.39061751498</v>
      </c>
      <c r="IB72" s="180" t="n">
        <v>15.460353203</v>
      </c>
      <c r="IC72" s="180" t="n">
        <v>15.53008889102</v>
      </c>
      <c r="ID72" s="180" t="n">
        <v>15.59982457904</v>
      </c>
      <c r="IE72" s="180" t="n">
        <v>15.66956026706</v>
      </c>
      <c r="IF72" s="180" t="n">
        <v>15.73929595508</v>
      </c>
      <c r="IG72" s="180" t="n">
        <v>15.8090316431</v>
      </c>
      <c r="IH72" s="180" t="n">
        <v>15.87876733112</v>
      </c>
      <c r="II72" s="180" t="n">
        <v>15.94850301914</v>
      </c>
      <c r="IJ72" s="180" t="n">
        <v>16.01823870716</v>
      </c>
      <c r="IK72" s="180" t="n">
        <v>16.08797439518</v>
      </c>
      <c r="IL72" s="180" t="n">
        <v>16.1577100832</v>
      </c>
      <c r="IM72" s="180" t="n">
        <v>16.22744577122</v>
      </c>
      <c r="IN72" s="180" t="n">
        <v>16.29718145924</v>
      </c>
      <c r="IO72" s="180" t="n">
        <v>16.36691714726</v>
      </c>
      <c r="IP72" s="180" t="n">
        <v>16.43665283528</v>
      </c>
      <c r="IQ72" s="180" t="n">
        <v>16.5063885233</v>
      </c>
      <c r="IR72" s="180" t="n">
        <v>16.57612421132</v>
      </c>
      <c r="IS72" s="180" t="n">
        <v>16.64585989934</v>
      </c>
      <c r="IT72" s="180" t="n">
        <v>16.71559558736</v>
      </c>
      <c r="IU72" s="180" t="n">
        <v>16.78533127538</v>
      </c>
      <c r="IV72" s="180" t="n">
        <v>16.8550669634</v>
      </c>
    </row>
    <row r="73" customFormat="false" ht="12.75" hidden="false" customHeight="false" outlineLevel="0" collapsed="false">
      <c r="A73" s="189" t="n">
        <v>38899</v>
      </c>
      <c r="B73" s="185" t="n">
        <v>-2.021005929375</v>
      </c>
      <c r="C73" s="185" t="n">
        <v>-1.9907047400625</v>
      </c>
      <c r="D73" s="185" t="n">
        <v>-1.96040355075</v>
      </c>
      <c r="E73" s="185" t="n">
        <v>-1.9301023614375</v>
      </c>
      <c r="F73" s="185" t="n">
        <v>-1.899801172125</v>
      </c>
      <c r="G73" s="185" t="n">
        <v>-1.8694999828125</v>
      </c>
      <c r="H73" s="185" t="n">
        <v>-1.8391987935</v>
      </c>
      <c r="I73" s="185" t="n">
        <v>-1.8088976041875</v>
      </c>
      <c r="J73" s="185" t="n">
        <v>-1.778596414875</v>
      </c>
      <c r="K73" s="185" t="n">
        <v>-1.7482952255625</v>
      </c>
      <c r="L73" s="185" t="n">
        <v>-1.71799403625</v>
      </c>
      <c r="M73" s="185" t="n">
        <v>-1.6876928469375</v>
      </c>
      <c r="N73" s="185" t="n">
        <v>-1.657391657625</v>
      </c>
      <c r="O73" s="185" t="n">
        <v>-1.6270904683125</v>
      </c>
      <c r="P73" s="185" t="n">
        <v>-1.596789279</v>
      </c>
      <c r="Q73" s="185" t="n">
        <v>-1.5664880896875</v>
      </c>
      <c r="R73" s="185" t="n">
        <v>-1.536186900375</v>
      </c>
      <c r="S73" s="185" t="n">
        <v>-1.5058857110625</v>
      </c>
      <c r="T73" s="185" t="n">
        <v>-1.47558452175</v>
      </c>
      <c r="U73" s="185" t="n">
        <v>-1.4452833324375</v>
      </c>
      <c r="V73" s="186" t="n">
        <v>-1.414982143125</v>
      </c>
      <c r="W73" s="185" t="n">
        <v>-1.3846809538125</v>
      </c>
      <c r="X73" s="186" t="n">
        <v>-1.3543797645</v>
      </c>
      <c r="Y73" s="185" t="n">
        <v>-1.3240785751875</v>
      </c>
      <c r="Z73" s="186" t="n">
        <v>-1.293777385875</v>
      </c>
      <c r="AA73" s="185" t="n">
        <v>-1.2634761965625</v>
      </c>
      <c r="AB73" s="187" t="n">
        <v>-1.23317500725</v>
      </c>
      <c r="AC73" s="185" t="n">
        <v>-1.2028738179375</v>
      </c>
      <c r="AD73" s="187" t="n">
        <v>-1.172572628625</v>
      </c>
      <c r="AE73" s="185" t="n">
        <v>-1.1422714393125</v>
      </c>
      <c r="AF73" s="185" t="n">
        <v>-1.11197025</v>
      </c>
      <c r="AG73" s="190" t="n">
        <v>-1.083235125</v>
      </c>
      <c r="AH73" s="190" t="n">
        <v>-1.0545</v>
      </c>
      <c r="AI73" s="190" t="n">
        <v>-1.02725</v>
      </c>
      <c r="AJ73" s="190" t="n">
        <v>-1</v>
      </c>
      <c r="AK73" s="190" t="n">
        <v>-0.8</v>
      </c>
      <c r="AL73" s="190" t="n">
        <v>-0.6</v>
      </c>
      <c r="AM73" s="190" t="n">
        <v>-0.4</v>
      </c>
      <c r="AN73" s="190" t="n">
        <v>-0.2</v>
      </c>
      <c r="AO73" s="190" t="n">
        <v>0</v>
      </c>
      <c r="AP73" s="190" t="n">
        <v>0.2</v>
      </c>
      <c r="AQ73" s="190" t="n">
        <v>0.4</v>
      </c>
      <c r="AR73" s="190" t="n">
        <v>0.6</v>
      </c>
      <c r="AS73" s="190" t="n">
        <v>0.8</v>
      </c>
      <c r="AT73" s="190" t="n">
        <v>1</v>
      </c>
      <c r="AU73" s="190" t="n">
        <v>1.2</v>
      </c>
      <c r="AV73" s="190" t="n">
        <v>1.4</v>
      </c>
      <c r="AW73" s="190" t="n">
        <v>1.58</v>
      </c>
      <c r="AX73" s="190" t="n">
        <v>1.76</v>
      </c>
      <c r="AY73" s="190" t="n">
        <v>1.922</v>
      </c>
      <c r="AZ73" s="190" t="n">
        <v>2.084</v>
      </c>
      <c r="BA73" s="190" t="n">
        <v>2.2298</v>
      </c>
      <c r="BB73" s="190" t="n">
        <v>2.3756</v>
      </c>
      <c r="BC73" s="190" t="n">
        <v>2.50682</v>
      </c>
      <c r="BD73" s="190" t="n">
        <v>2.63804</v>
      </c>
      <c r="BE73" s="190" t="n">
        <v>2.756138</v>
      </c>
      <c r="BF73" s="190" t="n">
        <v>2.874236</v>
      </c>
      <c r="BG73" s="190" t="n">
        <v>2.9805242</v>
      </c>
      <c r="BH73" s="190" t="n">
        <v>3.0868124</v>
      </c>
      <c r="BI73" s="190" t="n">
        <v>3.18247178</v>
      </c>
      <c r="BJ73" s="190" t="n">
        <v>3.27813116</v>
      </c>
      <c r="BK73" s="190" t="n">
        <v>3.364224602</v>
      </c>
      <c r="BL73" s="190" t="n">
        <v>3.450318044</v>
      </c>
      <c r="BM73" s="190" t="n">
        <v>3.5278021418</v>
      </c>
      <c r="BN73" s="190" t="n">
        <v>3.6052862396</v>
      </c>
      <c r="BO73" s="190" t="n">
        <v>3.67502192762</v>
      </c>
      <c r="BP73" s="190" t="n">
        <v>3.74475761564</v>
      </c>
      <c r="BQ73" s="190" t="n">
        <v>3.81449330366</v>
      </c>
      <c r="BR73" s="190" t="n">
        <v>3.88422899168</v>
      </c>
      <c r="BS73" s="190" t="n">
        <v>3.9539646797</v>
      </c>
      <c r="BT73" s="190" t="n">
        <v>4.02370036772</v>
      </c>
      <c r="BU73" s="190" t="n">
        <v>4.09343605574</v>
      </c>
      <c r="BV73" s="190" t="n">
        <v>4.16317174376</v>
      </c>
      <c r="BW73" s="190" t="n">
        <v>4.23290743178</v>
      </c>
      <c r="BX73" s="190" t="n">
        <v>4.3026431198</v>
      </c>
      <c r="BY73" s="190" t="n">
        <v>4.37237880782</v>
      </c>
      <c r="BZ73" s="190" t="n">
        <v>4.44211449584</v>
      </c>
      <c r="CA73" s="190" t="n">
        <v>4.51185018386</v>
      </c>
      <c r="CB73" s="190" t="n">
        <v>4.58158587188</v>
      </c>
      <c r="CC73" s="190" t="n">
        <v>4.6513215599</v>
      </c>
      <c r="CD73" s="190" t="n">
        <v>4.72105724792</v>
      </c>
      <c r="CE73" s="190" t="n">
        <v>4.79079293594</v>
      </c>
      <c r="CF73" s="190" t="n">
        <v>4.86052862396</v>
      </c>
      <c r="CG73" s="190" t="n">
        <v>4.93026431198</v>
      </c>
      <c r="CH73" s="190" t="n">
        <v>5</v>
      </c>
      <c r="CI73" s="190" t="n">
        <v>5.06973568801999</v>
      </c>
      <c r="CJ73" s="190" t="n">
        <v>5.13947137603999</v>
      </c>
      <c r="CK73" s="190" t="n">
        <v>5.20920706405999</v>
      </c>
      <c r="CL73" s="190" t="n">
        <v>5.27894275207999</v>
      </c>
      <c r="CM73" s="190" t="n">
        <v>5.34867844009999</v>
      </c>
      <c r="CN73" s="190" t="n">
        <v>5.41841412811999</v>
      </c>
      <c r="CO73" s="190" t="n">
        <v>5.48814981613999</v>
      </c>
      <c r="CP73" s="190" t="n">
        <v>5.55788550415999</v>
      </c>
      <c r="CQ73" s="190" t="n">
        <v>5.62762119217999</v>
      </c>
      <c r="CR73" s="190" t="n">
        <v>5.69735688019999</v>
      </c>
      <c r="CS73" s="190" t="n">
        <v>5.76709256821999</v>
      </c>
      <c r="CT73" s="190" t="n">
        <v>5.83682825623999</v>
      </c>
      <c r="CU73" s="190" t="n">
        <v>5.90656394425999</v>
      </c>
      <c r="CV73" s="190" t="n">
        <v>5.97629963227999</v>
      </c>
      <c r="CW73" s="190" t="n">
        <v>6.04603532029999</v>
      </c>
      <c r="CX73" s="190" t="n">
        <v>6.11577100831999</v>
      </c>
      <c r="CY73" s="190" t="n">
        <v>6.18550669633999</v>
      </c>
      <c r="CZ73" s="190" t="n">
        <v>6.25524238435999</v>
      </c>
      <c r="DA73" s="190" t="n">
        <v>6.32497807237999</v>
      </c>
      <c r="DB73" s="190" t="n">
        <v>6.39471376039999</v>
      </c>
      <c r="DC73" s="190" t="n">
        <v>6.46444944841999</v>
      </c>
      <c r="DD73" s="190" t="n">
        <v>6.53418513643999</v>
      </c>
      <c r="DE73" s="190" t="n">
        <v>6.60392082445999</v>
      </c>
      <c r="DF73" s="190" t="n">
        <v>6.67365651247999</v>
      </c>
      <c r="DG73" s="190" t="n">
        <v>6.74339220049999</v>
      </c>
      <c r="DH73" s="190" t="n">
        <v>6.81312788851999</v>
      </c>
      <c r="DI73" s="190" t="n">
        <v>6.88286357653999</v>
      </c>
      <c r="DJ73" s="190" t="n">
        <v>6.95259926455999</v>
      </c>
      <c r="DK73" s="190" t="n">
        <v>7.02233495257999</v>
      </c>
      <c r="DL73" s="190" t="n">
        <v>7.09207064059999</v>
      </c>
      <c r="DM73" s="190" t="n">
        <v>7.16180632861999</v>
      </c>
      <c r="DN73" s="190" t="n">
        <v>7.23154201663999</v>
      </c>
      <c r="DO73" s="190" t="n">
        <v>7.30127770465999</v>
      </c>
      <c r="DP73" s="190" t="n">
        <v>7.37101339267999</v>
      </c>
      <c r="DQ73" s="190" t="n">
        <v>7.44074908069999</v>
      </c>
      <c r="DR73" s="190" t="n">
        <v>7.51048476871999</v>
      </c>
      <c r="DS73" s="190" t="n">
        <v>7.58022045673999</v>
      </c>
      <c r="DT73" s="190" t="n">
        <v>7.64995614475999</v>
      </c>
      <c r="DU73" s="190" t="n">
        <v>7.71969183277999</v>
      </c>
      <c r="DV73" s="190" t="n">
        <v>7.78942752079998</v>
      </c>
      <c r="DW73" s="190" t="n">
        <v>7.85916320881998</v>
      </c>
      <c r="DX73" s="190" t="n">
        <v>7.92889889683998</v>
      </c>
      <c r="DY73" s="190" t="n">
        <v>7.99863458485998</v>
      </c>
      <c r="DZ73" s="190" t="n">
        <v>8.06837027287998</v>
      </c>
      <c r="EA73" s="190" t="n">
        <v>8.13810596089998</v>
      </c>
      <c r="EB73" s="190" t="n">
        <v>8.20784164891998</v>
      </c>
      <c r="EC73" s="190" t="n">
        <v>8.27757733693998</v>
      </c>
      <c r="ED73" s="190" t="n">
        <v>8.34731302495998</v>
      </c>
      <c r="EE73" s="190" t="n">
        <v>8.41704871297998</v>
      </c>
      <c r="EF73" s="190" t="n">
        <v>8.48678440099998</v>
      </c>
      <c r="EG73" s="190" t="n">
        <v>8.55652008901998</v>
      </c>
      <c r="EH73" s="190" t="n">
        <v>8.62625577703998</v>
      </c>
      <c r="EI73" s="190" t="n">
        <v>8.69599146505998</v>
      </c>
      <c r="EJ73" s="190" t="n">
        <v>8.76572715307998</v>
      </c>
      <c r="EK73" s="190" t="n">
        <v>8.83546284109998</v>
      </c>
      <c r="EL73" s="180" t="n">
        <v>8.90519852911998</v>
      </c>
      <c r="EM73" s="180" t="n">
        <v>8.97493421713998</v>
      </c>
      <c r="EN73" s="180" t="n">
        <v>9.04466990515998</v>
      </c>
      <c r="EO73" s="180" t="n">
        <v>9.11440559317998</v>
      </c>
      <c r="EP73" s="180" t="n">
        <v>9.18414128119998</v>
      </c>
      <c r="EQ73" s="180" t="n">
        <v>9.25387696921998</v>
      </c>
      <c r="ER73" s="180" t="n">
        <v>9.32361265723998</v>
      </c>
      <c r="ES73" s="180" t="n">
        <v>9.39334834525998</v>
      </c>
      <c r="ET73" s="180" t="n">
        <v>9.46308403327998</v>
      </c>
      <c r="EU73" s="180" t="n">
        <v>9.53281972129998</v>
      </c>
      <c r="EV73" s="180" t="n">
        <v>9.60255540931998</v>
      </c>
      <c r="EW73" s="180" t="n">
        <v>9.67229109733998</v>
      </c>
      <c r="EX73" s="180" t="n">
        <v>9.74202678535998</v>
      </c>
      <c r="EY73" s="180" t="n">
        <v>9.81176247337998</v>
      </c>
      <c r="EZ73" s="180" t="n">
        <v>9.88149816139998</v>
      </c>
      <c r="FA73" s="180" t="n">
        <v>9.95123384941998</v>
      </c>
      <c r="FB73" s="180" t="n">
        <v>10.02096953744</v>
      </c>
      <c r="FC73" s="180" t="n">
        <v>10.09070522546</v>
      </c>
      <c r="FD73" s="180" t="n">
        <v>10.16044091348</v>
      </c>
      <c r="FE73" s="180" t="n">
        <v>10.2301766015</v>
      </c>
      <c r="FF73" s="180" t="n">
        <v>10.29991228952</v>
      </c>
      <c r="FG73" s="180" t="n">
        <v>10.36964797754</v>
      </c>
      <c r="FH73" s="180" t="n">
        <v>10.43938366556</v>
      </c>
      <c r="FI73" s="180" t="n">
        <v>10.50911935358</v>
      </c>
      <c r="FJ73" s="180" t="n">
        <v>10.5788550416</v>
      </c>
      <c r="FK73" s="180" t="n">
        <v>10.64859072962</v>
      </c>
      <c r="FL73" s="180" t="n">
        <v>10.71832641764</v>
      </c>
      <c r="FM73" s="180" t="n">
        <v>10.78806210566</v>
      </c>
      <c r="FN73" s="180" t="n">
        <v>10.85779779368</v>
      </c>
      <c r="FO73" s="180" t="n">
        <v>10.9275334817</v>
      </c>
      <c r="FP73" s="180" t="n">
        <v>10.99726916972</v>
      </c>
      <c r="FQ73" s="180" t="n">
        <v>11.06700485774</v>
      </c>
      <c r="FR73" s="180" t="n">
        <v>11.13674054576</v>
      </c>
      <c r="FS73" s="180" t="n">
        <v>11.20647623378</v>
      </c>
      <c r="FT73" s="180" t="n">
        <v>11.2762119218</v>
      </c>
      <c r="FU73" s="180" t="n">
        <v>11.34594760982</v>
      </c>
      <c r="FV73" s="180" t="n">
        <v>11.41568329784</v>
      </c>
      <c r="FW73" s="180" t="n">
        <v>11.48541898586</v>
      </c>
      <c r="FX73" s="180" t="n">
        <v>11.55515467388</v>
      </c>
      <c r="FY73" s="180" t="n">
        <v>11.6248903619</v>
      </c>
      <c r="FZ73" s="180" t="n">
        <v>11.69462604992</v>
      </c>
      <c r="GA73" s="180" t="n">
        <v>11.76436173794</v>
      </c>
      <c r="GB73" s="180" t="n">
        <v>11.83409742596</v>
      </c>
      <c r="GC73" s="180" t="n">
        <v>11.90383311398</v>
      </c>
      <c r="GD73" s="180" t="n">
        <v>11.973568802</v>
      </c>
      <c r="GE73" s="180" t="n">
        <v>12.04330449002</v>
      </c>
      <c r="GF73" s="180" t="n">
        <v>12.11304017804</v>
      </c>
      <c r="GG73" s="180" t="n">
        <v>12.18277586606</v>
      </c>
      <c r="GH73" s="180" t="n">
        <v>12.25251155408</v>
      </c>
      <c r="GI73" s="180" t="n">
        <v>12.3222472421</v>
      </c>
      <c r="GJ73" s="180" t="n">
        <v>12.39198293012</v>
      </c>
      <c r="GK73" s="180" t="n">
        <v>12.46171861814</v>
      </c>
      <c r="GL73" s="180" t="n">
        <v>12.53145430616</v>
      </c>
      <c r="GM73" s="180" t="n">
        <v>12.60118999418</v>
      </c>
      <c r="GN73" s="180" t="n">
        <v>12.6709256822</v>
      </c>
      <c r="GO73" s="180" t="n">
        <v>12.74066137022</v>
      </c>
      <c r="GP73" s="180" t="n">
        <v>12.81039705824</v>
      </c>
      <c r="GQ73" s="180" t="n">
        <v>12.88013274626</v>
      </c>
      <c r="GR73" s="180" t="n">
        <v>12.94986843428</v>
      </c>
      <c r="GS73" s="180" t="n">
        <v>13.0196041223</v>
      </c>
      <c r="GT73" s="180" t="n">
        <v>13.08933981032</v>
      </c>
      <c r="GU73" s="180" t="n">
        <v>13.15907549834</v>
      </c>
      <c r="GV73" s="180" t="n">
        <v>13.22881118636</v>
      </c>
      <c r="GW73" s="180" t="n">
        <v>13.29854687438</v>
      </c>
      <c r="GX73" s="180" t="n">
        <v>13.3682825624</v>
      </c>
      <c r="GY73" s="180" t="n">
        <v>13.43801825042</v>
      </c>
      <c r="GZ73" s="180" t="n">
        <v>13.50775393844</v>
      </c>
      <c r="HA73" s="180" t="n">
        <v>13.57748962646</v>
      </c>
      <c r="HB73" s="180" t="n">
        <v>13.64722531448</v>
      </c>
      <c r="HC73" s="180" t="n">
        <v>13.7169610025</v>
      </c>
      <c r="HD73" s="180" t="n">
        <v>13.78669669052</v>
      </c>
      <c r="HE73" s="180" t="n">
        <v>13.85643237854</v>
      </c>
      <c r="HF73" s="180" t="n">
        <v>13.92616806656</v>
      </c>
      <c r="HG73" s="180" t="n">
        <v>13.99590375458</v>
      </c>
      <c r="HH73" s="180" t="n">
        <v>14.0656394426</v>
      </c>
      <c r="HI73" s="180" t="n">
        <v>14.13537513062</v>
      </c>
      <c r="HJ73" s="180" t="n">
        <v>14.20511081864</v>
      </c>
      <c r="HK73" s="180" t="n">
        <v>14.27484650666</v>
      </c>
      <c r="HL73" s="180" t="n">
        <v>14.34458219468</v>
      </c>
      <c r="HM73" s="180" t="n">
        <v>14.4143178827</v>
      </c>
      <c r="HN73" s="180" t="n">
        <v>14.48405357072</v>
      </c>
      <c r="HO73" s="180" t="n">
        <v>14.55378925874</v>
      </c>
      <c r="HP73" s="180" t="n">
        <v>14.62352494676</v>
      </c>
      <c r="HQ73" s="180" t="n">
        <v>14.69326063478</v>
      </c>
      <c r="HR73" s="180" t="n">
        <v>14.7629963228</v>
      </c>
      <c r="HS73" s="180" t="n">
        <v>14.83273201082</v>
      </c>
      <c r="HT73" s="180" t="n">
        <v>14.90246769884</v>
      </c>
      <c r="HU73" s="180" t="n">
        <v>14.97220338686</v>
      </c>
      <c r="HV73" s="180" t="n">
        <v>15.04193907488</v>
      </c>
      <c r="HW73" s="180" t="n">
        <v>15.1116747629</v>
      </c>
      <c r="HX73" s="180" t="n">
        <v>15.18141045092</v>
      </c>
      <c r="HY73" s="180" t="n">
        <v>15.25114613894</v>
      </c>
      <c r="HZ73" s="180" t="n">
        <v>15.32088182696</v>
      </c>
      <c r="IA73" s="180" t="n">
        <v>15.39061751498</v>
      </c>
      <c r="IB73" s="180" t="n">
        <v>15.460353203</v>
      </c>
      <c r="IC73" s="180" t="n">
        <v>15.53008889102</v>
      </c>
      <c r="ID73" s="180" t="n">
        <v>15.59982457904</v>
      </c>
      <c r="IE73" s="180" t="n">
        <v>15.66956026706</v>
      </c>
      <c r="IF73" s="180" t="n">
        <v>15.73929595508</v>
      </c>
      <c r="IG73" s="180" t="n">
        <v>15.8090316431</v>
      </c>
      <c r="IH73" s="180" t="n">
        <v>15.87876733112</v>
      </c>
      <c r="II73" s="180" t="n">
        <v>15.94850301914</v>
      </c>
      <c r="IJ73" s="180" t="n">
        <v>16.01823870716</v>
      </c>
      <c r="IK73" s="180" t="n">
        <v>16.08797439518</v>
      </c>
      <c r="IL73" s="180" t="n">
        <v>16.1577100832</v>
      </c>
      <c r="IM73" s="180" t="n">
        <v>16.22744577122</v>
      </c>
      <c r="IN73" s="180" t="n">
        <v>16.29718145924</v>
      </c>
      <c r="IO73" s="180" t="n">
        <v>16.36691714726</v>
      </c>
      <c r="IP73" s="180" t="n">
        <v>16.43665283528</v>
      </c>
      <c r="IQ73" s="180" t="n">
        <v>16.5063885233</v>
      </c>
      <c r="IR73" s="180" t="n">
        <v>16.57612421132</v>
      </c>
      <c r="IS73" s="180" t="n">
        <v>16.64585989934</v>
      </c>
      <c r="IT73" s="180" t="n">
        <v>16.71559558736</v>
      </c>
      <c r="IU73" s="180" t="n">
        <v>16.78533127538</v>
      </c>
      <c r="IV73" s="180" t="n">
        <v>16.8550669634</v>
      </c>
    </row>
    <row r="74" customFormat="false" ht="12.75" hidden="false" customHeight="false" outlineLevel="0" collapsed="false">
      <c r="A74" s="189" t="n">
        <v>38930</v>
      </c>
      <c r="B74" s="185" t="n">
        <v>-2.021005929375</v>
      </c>
      <c r="C74" s="185" t="n">
        <v>-1.9907047400625</v>
      </c>
      <c r="D74" s="185" t="n">
        <v>-1.96040355075</v>
      </c>
      <c r="E74" s="185" t="n">
        <v>-1.9301023614375</v>
      </c>
      <c r="F74" s="185" t="n">
        <v>-1.899801172125</v>
      </c>
      <c r="G74" s="185" t="n">
        <v>-1.8694999828125</v>
      </c>
      <c r="H74" s="185" t="n">
        <v>-1.8391987935</v>
      </c>
      <c r="I74" s="185" t="n">
        <v>-1.8088976041875</v>
      </c>
      <c r="J74" s="185" t="n">
        <v>-1.778596414875</v>
      </c>
      <c r="K74" s="185" t="n">
        <v>-1.7482952255625</v>
      </c>
      <c r="L74" s="185" t="n">
        <v>-1.71799403625</v>
      </c>
      <c r="M74" s="185" t="n">
        <v>-1.6876928469375</v>
      </c>
      <c r="N74" s="185" t="n">
        <v>-1.657391657625</v>
      </c>
      <c r="O74" s="185" t="n">
        <v>-1.6270904683125</v>
      </c>
      <c r="P74" s="185" t="n">
        <v>-1.596789279</v>
      </c>
      <c r="Q74" s="185" t="n">
        <v>-1.5664880896875</v>
      </c>
      <c r="R74" s="185" t="n">
        <v>-1.536186900375</v>
      </c>
      <c r="S74" s="185" t="n">
        <v>-1.5058857110625</v>
      </c>
      <c r="T74" s="185" t="n">
        <v>-1.47558452175</v>
      </c>
      <c r="U74" s="185" t="n">
        <v>-1.4452833324375</v>
      </c>
      <c r="V74" s="186" t="n">
        <v>-1.414982143125</v>
      </c>
      <c r="W74" s="185" t="n">
        <v>-1.3846809538125</v>
      </c>
      <c r="X74" s="186" t="n">
        <v>-1.3543797645</v>
      </c>
      <c r="Y74" s="185" t="n">
        <v>-1.3240785751875</v>
      </c>
      <c r="Z74" s="186" t="n">
        <v>-1.293777385875</v>
      </c>
      <c r="AA74" s="185" t="n">
        <v>-1.2634761965625</v>
      </c>
      <c r="AB74" s="187" t="n">
        <v>-1.23317500725</v>
      </c>
      <c r="AC74" s="185" t="n">
        <v>-1.2028738179375</v>
      </c>
      <c r="AD74" s="187" t="n">
        <v>-1.172572628625</v>
      </c>
      <c r="AE74" s="185" t="n">
        <v>-1.1422714393125</v>
      </c>
      <c r="AF74" s="185" t="n">
        <v>-1.11197025</v>
      </c>
      <c r="AG74" s="190" t="n">
        <v>-1.083235125</v>
      </c>
      <c r="AH74" s="190" t="n">
        <v>-1.0545</v>
      </c>
      <c r="AI74" s="190" t="n">
        <v>-1.02725</v>
      </c>
      <c r="AJ74" s="190" t="n">
        <v>-1</v>
      </c>
      <c r="AK74" s="190" t="n">
        <v>-0.8</v>
      </c>
      <c r="AL74" s="190" t="n">
        <v>-0.6</v>
      </c>
      <c r="AM74" s="190" t="n">
        <v>-0.4</v>
      </c>
      <c r="AN74" s="190" t="n">
        <v>-0.2</v>
      </c>
      <c r="AO74" s="190" t="n">
        <v>0</v>
      </c>
      <c r="AP74" s="190" t="n">
        <v>0.2</v>
      </c>
      <c r="AQ74" s="190" t="n">
        <v>0.4</v>
      </c>
      <c r="AR74" s="190" t="n">
        <v>0.6</v>
      </c>
      <c r="AS74" s="190" t="n">
        <v>0.8</v>
      </c>
      <c r="AT74" s="190" t="n">
        <v>1</v>
      </c>
      <c r="AU74" s="190" t="n">
        <v>1.2</v>
      </c>
      <c r="AV74" s="190" t="n">
        <v>1.4</v>
      </c>
      <c r="AW74" s="190" t="n">
        <v>1.58</v>
      </c>
      <c r="AX74" s="190" t="n">
        <v>1.76</v>
      </c>
      <c r="AY74" s="190" t="n">
        <v>1.922</v>
      </c>
      <c r="AZ74" s="190" t="n">
        <v>2.084</v>
      </c>
      <c r="BA74" s="190" t="n">
        <v>2.2298</v>
      </c>
      <c r="BB74" s="190" t="n">
        <v>2.3756</v>
      </c>
      <c r="BC74" s="190" t="n">
        <v>2.50682</v>
      </c>
      <c r="BD74" s="190" t="n">
        <v>2.63804</v>
      </c>
      <c r="BE74" s="190" t="n">
        <v>2.756138</v>
      </c>
      <c r="BF74" s="190" t="n">
        <v>2.874236</v>
      </c>
      <c r="BG74" s="190" t="n">
        <v>2.9805242</v>
      </c>
      <c r="BH74" s="190" t="n">
        <v>3.0868124</v>
      </c>
      <c r="BI74" s="190" t="n">
        <v>3.18247178</v>
      </c>
      <c r="BJ74" s="190" t="n">
        <v>3.27813116</v>
      </c>
      <c r="BK74" s="190" t="n">
        <v>3.364224602</v>
      </c>
      <c r="BL74" s="190" t="n">
        <v>3.450318044</v>
      </c>
      <c r="BM74" s="190" t="n">
        <v>3.5278021418</v>
      </c>
      <c r="BN74" s="190" t="n">
        <v>3.6052862396</v>
      </c>
      <c r="BO74" s="190" t="n">
        <v>3.67502192762</v>
      </c>
      <c r="BP74" s="190" t="n">
        <v>3.74475761564</v>
      </c>
      <c r="BQ74" s="190" t="n">
        <v>3.81449330366</v>
      </c>
      <c r="BR74" s="190" t="n">
        <v>3.88422899168</v>
      </c>
      <c r="BS74" s="190" t="n">
        <v>3.9539646797</v>
      </c>
      <c r="BT74" s="190" t="n">
        <v>4.02370036772</v>
      </c>
      <c r="BU74" s="190" t="n">
        <v>4.09343605574</v>
      </c>
      <c r="BV74" s="190" t="n">
        <v>4.16317174376</v>
      </c>
      <c r="BW74" s="190" t="n">
        <v>4.23290743178</v>
      </c>
      <c r="BX74" s="190" t="n">
        <v>4.3026431198</v>
      </c>
      <c r="BY74" s="190" t="n">
        <v>4.37237880782</v>
      </c>
      <c r="BZ74" s="190" t="n">
        <v>4.44211449584</v>
      </c>
      <c r="CA74" s="190" t="n">
        <v>4.51185018386</v>
      </c>
      <c r="CB74" s="190" t="n">
        <v>4.58158587188</v>
      </c>
      <c r="CC74" s="190" t="n">
        <v>4.6513215599</v>
      </c>
      <c r="CD74" s="190" t="n">
        <v>4.72105724792</v>
      </c>
      <c r="CE74" s="190" t="n">
        <v>4.79079293594</v>
      </c>
      <c r="CF74" s="190" t="n">
        <v>4.86052862396</v>
      </c>
      <c r="CG74" s="190" t="n">
        <v>4.93026431198</v>
      </c>
      <c r="CH74" s="190" t="n">
        <v>5</v>
      </c>
      <c r="CI74" s="190" t="n">
        <v>5.06973568801999</v>
      </c>
      <c r="CJ74" s="190" t="n">
        <v>5.13947137603999</v>
      </c>
      <c r="CK74" s="190" t="n">
        <v>5.20920706405999</v>
      </c>
      <c r="CL74" s="190" t="n">
        <v>5.27894275207999</v>
      </c>
      <c r="CM74" s="190" t="n">
        <v>5.34867844009999</v>
      </c>
      <c r="CN74" s="190" t="n">
        <v>5.41841412811999</v>
      </c>
      <c r="CO74" s="190" t="n">
        <v>5.48814981613999</v>
      </c>
      <c r="CP74" s="190" t="n">
        <v>5.55788550415999</v>
      </c>
      <c r="CQ74" s="190" t="n">
        <v>5.62762119217999</v>
      </c>
      <c r="CR74" s="190" t="n">
        <v>5.69735688019999</v>
      </c>
      <c r="CS74" s="190" t="n">
        <v>5.76709256821999</v>
      </c>
      <c r="CT74" s="190" t="n">
        <v>5.83682825623999</v>
      </c>
      <c r="CU74" s="190" t="n">
        <v>5.90656394425999</v>
      </c>
      <c r="CV74" s="190" t="n">
        <v>5.97629963227999</v>
      </c>
      <c r="CW74" s="190" t="n">
        <v>6.04603532029999</v>
      </c>
      <c r="CX74" s="190" t="n">
        <v>6.11577100831999</v>
      </c>
      <c r="CY74" s="190" t="n">
        <v>6.18550669633999</v>
      </c>
      <c r="CZ74" s="190" t="n">
        <v>6.25524238435999</v>
      </c>
      <c r="DA74" s="190" t="n">
        <v>6.32497807237999</v>
      </c>
      <c r="DB74" s="190" t="n">
        <v>6.39471376039999</v>
      </c>
      <c r="DC74" s="190" t="n">
        <v>6.46444944841999</v>
      </c>
      <c r="DD74" s="190" t="n">
        <v>6.53418513643999</v>
      </c>
      <c r="DE74" s="190" t="n">
        <v>6.60392082445999</v>
      </c>
      <c r="DF74" s="190" t="n">
        <v>6.67365651247999</v>
      </c>
      <c r="DG74" s="190" t="n">
        <v>6.74339220049999</v>
      </c>
      <c r="DH74" s="190" t="n">
        <v>6.81312788851999</v>
      </c>
      <c r="DI74" s="190" t="n">
        <v>6.88286357653999</v>
      </c>
      <c r="DJ74" s="190" t="n">
        <v>6.95259926455999</v>
      </c>
      <c r="DK74" s="190" t="n">
        <v>7.02233495257999</v>
      </c>
      <c r="DL74" s="190" t="n">
        <v>7.09207064059999</v>
      </c>
      <c r="DM74" s="190" t="n">
        <v>7.16180632861999</v>
      </c>
      <c r="DN74" s="190" t="n">
        <v>7.23154201663999</v>
      </c>
      <c r="DO74" s="190" t="n">
        <v>7.30127770465999</v>
      </c>
      <c r="DP74" s="190" t="n">
        <v>7.37101339267999</v>
      </c>
      <c r="DQ74" s="190" t="n">
        <v>7.44074908069999</v>
      </c>
      <c r="DR74" s="190" t="n">
        <v>7.51048476871999</v>
      </c>
      <c r="DS74" s="190" t="n">
        <v>7.58022045673999</v>
      </c>
      <c r="DT74" s="190" t="n">
        <v>7.64995614475999</v>
      </c>
      <c r="DU74" s="190" t="n">
        <v>7.71969183277999</v>
      </c>
      <c r="DV74" s="190" t="n">
        <v>7.78942752079998</v>
      </c>
      <c r="DW74" s="190" t="n">
        <v>7.85916320881998</v>
      </c>
      <c r="DX74" s="190" t="n">
        <v>7.92889889683998</v>
      </c>
      <c r="DY74" s="190" t="n">
        <v>7.99863458485998</v>
      </c>
      <c r="DZ74" s="190" t="n">
        <v>8.06837027287998</v>
      </c>
      <c r="EA74" s="190" t="n">
        <v>8.13810596089998</v>
      </c>
      <c r="EB74" s="190" t="n">
        <v>8.20784164891998</v>
      </c>
      <c r="EC74" s="190" t="n">
        <v>8.27757733693998</v>
      </c>
      <c r="ED74" s="190" t="n">
        <v>8.34731302495998</v>
      </c>
      <c r="EE74" s="190" t="n">
        <v>8.41704871297998</v>
      </c>
      <c r="EF74" s="190" t="n">
        <v>8.48678440099998</v>
      </c>
      <c r="EG74" s="190" t="n">
        <v>8.55652008901998</v>
      </c>
      <c r="EH74" s="190" t="n">
        <v>8.62625577703998</v>
      </c>
      <c r="EI74" s="190" t="n">
        <v>8.69599146505998</v>
      </c>
      <c r="EJ74" s="190" t="n">
        <v>8.76572715307998</v>
      </c>
      <c r="EK74" s="190" t="n">
        <v>8.83546284109998</v>
      </c>
      <c r="EL74" s="180" t="n">
        <v>8.90519852911998</v>
      </c>
      <c r="EM74" s="180" t="n">
        <v>8.97493421713998</v>
      </c>
      <c r="EN74" s="180" t="n">
        <v>9.04466990515998</v>
      </c>
      <c r="EO74" s="180" t="n">
        <v>9.11440559317998</v>
      </c>
      <c r="EP74" s="180" t="n">
        <v>9.18414128119998</v>
      </c>
      <c r="EQ74" s="180" t="n">
        <v>9.25387696921998</v>
      </c>
      <c r="ER74" s="180" t="n">
        <v>9.32361265723998</v>
      </c>
      <c r="ES74" s="180" t="n">
        <v>9.39334834525998</v>
      </c>
      <c r="ET74" s="180" t="n">
        <v>9.46308403327998</v>
      </c>
      <c r="EU74" s="180" t="n">
        <v>9.53281972129998</v>
      </c>
      <c r="EV74" s="180" t="n">
        <v>9.60255540931998</v>
      </c>
      <c r="EW74" s="180" t="n">
        <v>9.67229109733998</v>
      </c>
      <c r="EX74" s="180" t="n">
        <v>9.74202678535998</v>
      </c>
      <c r="EY74" s="180" t="n">
        <v>9.81176247337998</v>
      </c>
      <c r="EZ74" s="180" t="n">
        <v>9.88149816139998</v>
      </c>
      <c r="FA74" s="180" t="n">
        <v>9.95123384941998</v>
      </c>
      <c r="FB74" s="180" t="n">
        <v>10.02096953744</v>
      </c>
      <c r="FC74" s="180" t="n">
        <v>10.09070522546</v>
      </c>
      <c r="FD74" s="180" t="n">
        <v>10.16044091348</v>
      </c>
      <c r="FE74" s="180" t="n">
        <v>10.2301766015</v>
      </c>
      <c r="FF74" s="180" t="n">
        <v>10.29991228952</v>
      </c>
      <c r="FG74" s="180" t="n">
        <v>10.36964797754</v>
      </c>
      <c r="FH74" s="180" t="n">
        <v>10.43938366556</v>
      </c>
      <c r="FI74" s="180" t="n">
        <v>10.50911935358</v>
      </c>
      <c r="FJ74" s="180" t="n">
        <v>10.5788550416</v>
      </c>
      <c r="FK74" s="180" t="n">
        <v>10.64859072962</v>
      </c>
      <c r="FL74" s="180" t="n">
        <v>10.71832641764</v>
      </c>
      <c r="FM74" s="180" t="n">
        <v>10.78806210566</v>
      </c>
      <c r="FN74" s="180" t="n">
        <v>10.85779779368</v>
      </c>
      <c r="FO74" s="180" t="n">
        <v>10.9275334817</v>
      </c>
      <c r="FP74" s="180" t="n">
        <v>10.99726916972</v>
      </c>
      <c r="FQ74" s="180" t="n">
        <v>11.06700485774</v>
      </c>
      <c r="FR74" s="180" t="n">
        <v>11.13674054576</v>
      </c>
      <c r="FS74" s="180" t="n">
        <v>11.20647623378</v>
      </c>
      <c r="FT74" s="180" t="n">
        <v>11.2762119218</v>
      </c>
      <c r="FU74" s="180" t="n">
        <v>11.34594760982</v>
      </c>
      <c r="FV74" s="180" t="n">
        <v>11.41568329784</v>
      </c>
      <c r="FW74" s="180" t="n">
        <v>11.48541898586</v>
      </c>
      <c r="FX74" s="180" t="n">
        <v>11.55515467388</v>
      </c>
      <c r="FY74" s="180" t="n">
        <v>11.6248903619</v>
      </c>
      <c r="FZ74" s="180" t="n">
        <v>11.69462604992</v>
      </c>
      <c r="GA74" s="180" t="n">
        <v>11.76436173794</v>
      </c>
      <c r="GB74" s="180" t="n">
        <v>11.83409742596</v>
      </c>
      <c r="GC74" s="180" t="n">
        <v>11.90383311398</v>
      </c>
      <c r="GD74" s="180" t="n">
        <v>11.973568802</v>
      </c>
      <c r="GE74" s="180" t="n">
        <v>12.04330449002</v>
      </c>
      <c r="GF74" s="180" t="n">
        <v>12.11304017804</v>
      </c>
      <c r="GG74" s="180" t="n">
        <v>12.18277586606</v>
      </c>
      <c r="GH74" s="180" t="n">
        <v>12.25251155408</v>
      </c>
      <c r="GI74" s="180" t="n">
        <v>12.3222472421</v>
      </c>
      <c r="GJ74" s="180" t="n">
        <v>12.39198293012</v>
      </c>
      <c r="GK74" s="180" t="n">
        <v>12.46171861814</v>
      </c>
      <c r="GL74" s="180" t="n">
        <v>12.53145430616</v>
      </c>
      <c r="GM74" s="180" t="n">
        <v>12.60118999418</v>
      </c>
      <c r="GN74" s="180" t="n">
        <v>12.6709256822</v>
      </c>
      <c r="GO74" s="180" t="n">
        <v>12.74066137022</v>
      </c>
      <c r="GP74" s="180" t="n">
        <v>12.81039705824</v>
      </c>
      <c r="GQ74" s="180" t="n">
        <v>12.88013274626</v>
      </c>
      <c r="GR74" s="180" t="n">
        <v>12.94986843428</v>
      </c>
      <c r="GS74" s="180" t="n">
        <v>13.0196041223</v>
      </c>
      <c r="GT74" s="180" t="n">
        <v>13.08933981032</v>
      </c>
      <c r="GU74" s="180" t="n">
        <v>13.15907549834</v>
      </c>
      <c r="GV74" s="180" t="n">
        <v>13.22881118636</v>
      </c>
      <c r="GW74" s="180" t="n">
        <v>13.29854687438</v>
      </c>
      <c r="GX74" s="180" t="n">
        <v>13.3682825624</v>
      </c>
      <c r="GY74" s="180" t="n">
        <v>13.43801825042</v>
      </c>
      <c r="GZ74" s="180" t="n">
        <v>13.50775393844</v>
      </c>
      <c r="HA74" s="180" t="n">
        <v>13.57748962646</v>
      </c>
      <c r="HB74" s="180" t="n">
        <v>13.64722531448</v>
      </c>
      <c r="HC74" s="180" t="n">
        <v>13.7169610025</v>
      </c>
      <c r="HD74" s="180" t="n">
        <v>13.78669669052</v>
      </c>
      <c r="HE74" s="180" t="n">
        <v>13.85643237854</v>
      </c>
      <c r="HF74" s="180" t="n">
        <v>13.92616806656</v>
      </c>
      <c r="HG74" s="180" t="n">
        <v>13.99590375458</v>
      </c>
      <c r="HH74" s="180" t="n">
        <v>14.0656394426</v>
      </c>
      <c r="HI74" s="180" t="n">
        <v>14.13537513062</v>
      </c>
      <c r="HJ74" s="180" t="n">
        <v>14.20511081864</v>
      </c>
      <c r="HK74" s="180" t="n">
        <v>14.27484650666</v>
      </c>
      <c r="HL74" s="180" t="n">
        <v>14.34458219468</v>
      </c>
      <c r="HM74" s="180" t="n">
        <v>14.4143178827</v>
      </c>
      <c r="HN74" s="180" t="n">
        <v>14.48405357072</v>
      </c>
      <c r="HO74" s="180" t="n">
        <v>14.55378925874</v>
      </c>
      <c r="HP74" s="180" t="n">
        <v>14.62352494676</v>
      </c>
      <c r="HQ74" s="180" t="n">
        <v>14.69326063478</v>
      </c>
      <c r="HR74" s="180" t="n">
        <v>14.7629963228</v>
      </c>
      <c r="HS74" s="180" t="n">
        <v>14.83273201082</v>
      </c>
      <c r="HT74" s="180" t="n">
        <v>14.90246769884</v>
      </c>
      <c r="HU74" s="180" t="n">
        <v>14.97220338686</v>
      </c>
      <c r="HV74" s="180" t="n">
        <v>15.04193907488</v>
      </c>
      <c r="HW74" s="180" t="n">
        <v>15.1116747629</v>
      </c>
      <c r="HX74" s="180" t="n">
        <v>15.18141045092</v>
      </c>
      <c r="HY74" s="180" t="n">
        <v>15.25114613894</v>
      </c>
      <c r="HZ74" s="180" t="n">
        <v>15.32088182696</v>
      </c>
      <c r="IA74" s="180" t="n">
        <v>15.39061751498</v>
      </c>
      <c r="IB74" s="180" t="n">
        <v>15.460353203</v>
      </c>
      <c r="IC74" s="180" t="n">
        <v>15.53008889102</v>
      </c>
      <c r="ID74" s="180" t="n">
        <v>15.59982457904</v>
      </c>
      <c r="IE74" s="180" t="n">
        <v>15.66956026706</v>
      </c>
      <c r="IF74" s="180" t="n">
        <v>15.73929595508</v>
      </c>
      <c r="IG74" s="180" t="n">
        <v>15.8090316431</v>
      </c>
      <c r="IH74" s="180" t="n">
        <v>15.87876733112</v>
      </c>
      <c r="II74" s="180" t="n">
        <v>15.94850301914</v>
      </c>
      <c r="IJ74" s="180" t="n">
        <v>16.01823870716</v>
      </c>
      <c r="IK74" s="180" t="n">
        <v>16.08797439518</v>
      </c>
      <c r="IL74" s="180" t="n">
        <v>16.1577100832</v>
      </c>
      <c r="IM74" s="180" t="n">
        <v>16.22744577122</v>
      </c>
      <c r="IN74" s="180" t="n">
        <v>16.29718145924</v>
      </c>
      <c r="IO74" s="180" t="n">
        <v>16.36691714726</v>
      </c>
      <c r="IP74" s="180" t="n">
        <v>16.43665283528</v>
      </c>
      <c r="IQ74" s="180" t="n">
        <v>16.5063885233</v>
      </c>
      <c r="IR74" s="180" t="n">
        <v>16.57612421132</v>
      </c>
      <c r="IS74" s="180" t="n">
        <v>16.64585989934</v>
      </c>
      <c r="IT74" s="180" t="n">
        <v>16.71559558736</v>
      </c>
      <c r="IU74" s="180" t="n">
        <v>16.78533127538</v>
      </c>
      <c r="IV74" s="180" t="n">
        <v>16.8550669634</v>
      </c>
    </row>
    <row r="75" customFormat="false" ht="12.75" hidden="false" customHeight="false" outlineLevel="0" collapsed="false">
      <c r="A75" s="189" t="n">
        <v>38961</v>
      </c>
      <c r="B75" s="185" t="n">
        <v>-2.021005929375</v>
      </c>
      <c r="C75" s="185" t="n">
        <v>-1.9907047400625</v>
      </c>
      <c r="D75" s="185" t="n">
        <v>-1.96040355075</v>
      </c>
      <c r="E75" s="185" t="n">
        <v>-1.9301023614375</v>
      </c>
      <c r="F75" s="185" t="n">
        <v>-1.899801172125</v>
      </c>
      <c r="G75" s="185" t="n">
        <v>-1.8694999828125</v>
      </c>
      <c r="H75" s="185" t="n">
        <v>-1.8391987935</v>
      </c>
      <c r="I75" s="185" t="n">
        <v>-1.8088976041875</v>
      </c>
      <c r="J75" s="185" t="n">
        <v>-1.778596414875</v>
      </c>
      <c r="K75" s="185" t="n">
        <v>-1.7482952255625</v>
      </c>
      <c r="L75" s="185" t="n">
        <v>-1.71799403625</v>
      </c>
      <c r="M75" s="185" t="n">
        <v>-1.6876928469375</v>
      </c>
      <c r="N75" s="185" t="n">
        <v>-1.657391657625</v>
      </c>
      <c r="O75" s="185" t="n">
        <v>-1.6270904683125</v>
      </c>
      <c r="P75" s="185" t="n">
        <v>-1.596789279</v>
      </c>
      <c r="Q75" s="185" t="n">
        <v>-1.5664880896875</v>
      </c>
      <c r="R75" s="185" t="n">
        <v>-1.536186900375</v>
      </c>
      <c r="S75" s="185" t="n">
        <v>-1.5058857110625</v>
      </c>
      <c r="T75" s="185" t="n">
        <v>-1.47558452175</v>
      </c>
      <c r="U75" s="185" t="n">
        <v>-1.4452833324375</v>
      </c>
      <c r="V75" s="186" t="n">
        <v>-1.414982143125</v>
      </c>
      <c r="W75" s="185" t="n">
        <v>-1.3846809538125</v>
      </c>
      <c r="X75" s="186" t="n">
        <v>-1.3543797645</v>
      </c>
      <c r="Y75" s="185" t="n">
        <v>-1.3240785751875</v>
      </c>
      <c r="Z75" s="186" t="n">
        <v>-1.293777385875</v>
      </c>
      <c r="AA75" s="185" t="n">
        <v>-1.2634761965625</v>
      </c>
      <c r="AB75" s="187" t="n">
        <v>-1.23317500725</v>
      </c>
      <c r="AC75" s="185" t="n">
        <v>-1.2028738179375</v>
      </c>
      <c r="AD75" s="187" t="n">
        <v>-1.172572628625</v>
      </c>
      <c r="AE75" s="185" t="n">
        <v>-1.1422714393125</v>
      </c>
      <c r="AF75" s="185" t="n">
        <v>-1.11197025</v>
      </c>
      <c r="AG75" s="190" t="n">
        <v>-1.083235125</v>
      </c>
      <c r="AH75" s="190" t="n">
        <v>-1.0545</v>
      </c>
      <c r="AI75" s="190" t="n">
        <v>-1.02725</v>
      </c>
      <c r="AJ75" s="190" t="n">
        <v>-1</v>
      </c>
      <c r="AK75" s="190" t="n">
        <v>-0.8</v>
      </c>
      <c r="AL75" s="190" t="n">
        <v>-0.6</v>
      </c>
      <c r="AM75" s="190" t="n">
        <v>-0.4</v>
      </c>
      <c r="AN75" s="190" t="n">
        <v>-0.2</v>
      </c>
      <c r="AO75" s="190" t="n">
        <v>0</v>
      </c>
      <c r="AP75" s="190" t="n">
        <v>0.2</v>
      </c>
      <c r="AQ75" s="190" t="n">
        <v>0.4</v>
      </c>
      <c r="AR75" s="190" t="n">
        <v>0.6</v>
      </c>
      <c r="AS75" s="190" t="n">
        <v>0.8</v>
      </c>
      <c r="AT75" s="190" t="n">
        <v>1</v>
      </c>
      <c r="AU75" s="190" t="n">
        <v>1.2</v>
      </c>
      <c r="AV75" s="190" t="n">
        <v>1.4</v>
      </c>
      <c r="AW75" s="190" t="n">
        <v>1.58</v>
      </c>
      <c r="AX75" s="190" t="n">
        <v>1.76</v>
      </c>
      <c r="AY75" s="190" t="n">
        <v>1.922</v>
      </c>
      <c r="AZ75" s="190" t="n">
        <v>2.084</v>
      </c>
      <c r="BA75" s="190" t="n">
        <v>2.2298</v>
      </c>
      <c r="BB75" s="190" t="n">
        <v>2.3756</v>
      </c>
      <c r="BC75" s="190" t="n">
        <v>2.50682</v>
      </c>
      <c r="BD75" s="190" t="n">
        <v>2.63804</v>
      </c>
      <c r="BE75" s="190" t="n">
        <v>2.756138</v>
      </c>
      <c r="BF75" s="190" t="n">
        <v>2.874236</v>
      </c>
      <c r="BG75" s="190" t="n">
        <v>2.9805242</v>
      </c>
      <c r="BH75" s="190" t="n">
        <v>3.0868124</v>
      </c>
      <c r="BI75" s="190" t="n">
        <v>3.18247178</v>
      </c>
      <c r="BJ75" s="190" t="n">
        <v>3.27813116</v>
      </c>
      <c r="BK75" s="190" t="n">
        <v>3.364224602</v>
      </c>
      <c r="BL75" s="190" t="n">
        <v>3.450318044</v>
      </c>
      <c r="BM75" s="190" t="n">
        <v>3.5278021418</v>
      </c>
      <c r="BN75" s="190" t="n">
        <v>3.6052862396</v>
      </c>
      <c r="BO75" s="190" t="n">
        <v>3.67502192762</v>
      </c>
      <c r="BP75" s="190" t="n">
        <v>3.74475761564</v>
      </c>
      <c r="BQ75" s="190" t="n">
        <v>3.81449330366</v>
      </c>
      <c r="BR75" s="190" t="n">
        <v>3.88422899168</v>
      </c>
      <c r="BS75" s="190" t="n">
        <v>3.9539646797</v>
      </c>
      <c r="BT75" s="190" t="n">
        <v>4.02370036772</v>
      </c>
      <c r="BU75" s="190" t="n">
        <v>4.09343605574</v>
      </c>
      <c r="BV75" s="190" t="n">
        <v>4.16317174376</v>
      </c>
      <c r="BW75" s="190" t="n">
        <v>4.23290743178</v>
      </c>
      <c r="BX75" s="190" t="n">
        <v>4.3026431198</v>
      </c>
      <c r="BY75" s="190" t="n">
        <v>4.37237880782</v>
      </c>
      <c r="BZ75" s="190" t="n">
        <v>4.44211449584</v>
      </c>
      <c r="CA75" s="190" t="n">
        <v>4.51185018386</v>
      </c>
      <c r="CB75" s="190" t="n">
        <v>4.58158587188</v>
      </c>
      <c r="CC75" s="190" t="n">
        <v>4.6513215599</v>
      </c>
      <c r="CD75" s="190" t="n">
        <v>4.72105724792</v>
      </c>
      <c r="CE75" s="190" t="n">
        <v>4.79079293594</v>
      </c>
      <c r="CF75" s="190" t="n">
        <v>4.86052862396</v>
      </c>
      <c r="CG75" s="190" t="n">
        <v>4.93026431198</v>
      </c>
      <c r="CH75" s="190" t="n">
        <v>5</v>
      </c>
      <c r="CI75" s="190" t="n">
        <v>5.06973568801999</v>
      </c>
      <c r="CJ75" s="190" t="n">
        <v>5.13947137603999</v>
      </c>
      <c r="CK75" s="190" t="n">
        <v>5.20920706405999</v>
      </c>
      <c r="CL75" s="190" t="n">
        <v>5.27894275207999</v>
      </c>
      <c r="CM75" s="190" t="n">
        <v>5.34867844009999</v>
      </c>
      <c r="CN75" s="190" t="n">
        <v>5.41841412811999</v>
      </c>
      <c r="CO75" s="190" t="n">
        <v>5.48814981613999</v>
      </c>
      <c r="CP75" s="190" t="n">
        <v>5.55788550415999</v>
      </c>
      <c r="CQ75" s="190" t="n">
        <v>5.62762119217999</v>
      </c>
      <c r="CR75" s="190" t="n">
        <v>5.69735688019999</v>
      </c>
      <c r="CS75" s="190" t="n">
        <v>5.76709256821999</v>
      </c>
      <c r="CT75" s="190" t="n">
        <v>5.83682825623999</v>
      </c>
      <c r="CU75" s="190" t="n">
        <v>5.90656394425999</v>
      </c>
      <c r="CV75" s="190" t="n">
        <v>5.97629963227999</v>
      </c>
      <c r="CW75" s="190" t="n">
        <v>6.04603532029999</v>
      </c>
      <c r="CX75" s="190" t="n">
        <v>6.11577100831999</v>
      </c>
      <c r="CY75" s="190" t="n">
        <v>6.18550669633999</v>
      </c>
      <c r="CZ75" s="190" t="n">
        <v>6.25524238435999</v>
      </c>
      <c r="DA75" s="190" t="n">
        <v>6.32497807237999</v>
      </c>
      <c r="DB75" s="190" t="n">
        <v>6.39471376039999</v>
      </c>
      <c r="DC75" s="190" t="n">
        <v>6.46444944841999</v>
      </c>
      <c r="DD75" s="190" t="n">
        <v>6.53418513643999</v>
      </c>
      <c r="DE75" s="190" t="n">
        <v>6.60392082445999</v>
      </c>
      <c r="DF75" s="190" t="n">
        <v>6.67365651247999</v>
      </c>
      <c r="DG75" s="190" t="n">
        <v>6.74339220049999</v>
      </c>
      <c r="DH75" s="190" t="n">
        <v>6.81312788851999</v>
      </c>
      <c r="DI75" s="190" t="n">
        <v>6.88286357653999</v>
      </c>
      <c r="DJ75" s="190" t="n">
        <v>6.95259926455999</v>
      </c>
      <c r="DK75" s="190" t="n">
        <v>7.02233495257999</v>
      </c>
      <c r="DL75" s="190" t="n">
        <v>7.09207064059999</v>
      </c>
      <c r="DM75" s="190" t="n">
        <v>7.16180632861999</v>
      </c>
      <c r="DN75" s="190" t="n">
        <v>7.23154201663999</v>
      </c>
      <c r="DO75" s="190" t="n">
        <v>7.30127770465999</v>
      </c>
      <c r="DP75" s="190" t="n">
        <v>7.37101339267999</v>
      </c>
      <c r="DQ75" s="190" t="n">
        <v>7.44074908069999</v>
      </c>
      <c r="DR75" s="190" t="n">
        <v>7.51048476871999</v>
      </c>
      <c r="DS75" s="190" t="n">
        <v>7.58022045673999</v>
      </c>
      <c r="DT75" s="190" t="n">
        <v>7.64995614475999</v>
      </c>
      <c r="DU75" s="190" t="n">
        <v>7.71969183277999</v>
      </c>
      <c r="DV75" s="190" t="n">
        <v>7.78942752079998</v>
      </c>
      <c r="DW75" s="190" t="n">
        <v>7.85916320881998</v>
      </c>
      <c r="DX75" s="190" t="n">
        <v>7.92889889683998</v>
      </c>
      <c r="DY75" s="190" t="n">
        <v>7.99863458485998</v>
      </c>
      <c r="DZ75" s="190" t="n">
        <v>8.06837027287998</v>
      </c>
      <c r="EA75" s="190" t="n">
        <v>8.13810596089998</v>
      </c>
      <c r="EB75" s="190" t="n">
        <v>8.20784164891998</v>
      </c>
      <c r="EC75" s="190" t="n">
        <v>8.27757733693998</v>
      </c>
      <c r="ED75" s="190" t="n">
        <v>8.34731302495998</v>
      </c>
      <c r="EE75" s="190" t="n">
        <v>8.41704871297998</v>
      </c>
      <c r="EF75" s="190" t="n">
        <v>8.48678440099998</v>
      </c>
      <c r="EG75" s="190" t="n">
        <v>8.55652008901998</v>
      </c>
      <c r="EH75" s="190" t="n">
        <v>8.62625577703998</v>
      </c>
      <c r="EI75" s="190" t="n">
        <v>8.69599146505998</v>
      </c>
      <c r="EJ75" s="190" t="n">
        <v>8.76572715307998</v>
      </c>
      <c r="EK75" s="190" t="n">
        <v>8.83546284109998</v>
      </c>
      <c r="EL75" s="180" t="n">
        <v>8.90519852911998</v>
      </c>
      <c r="EM75" s="180" t="n">
        <v>8.97493421713998</v>
      </c>
      <c r="EN75" s="180" t="n">
        <v>9.04466990515998</v>
      </c>
      <c r="EO75" s="180" t="n">
        <v>9.11440559317998</v>
      </c>
      <c r="EP75" s="180" t="n">
        <v>9.18414128119998</v>
      </c>
      <c r="EQ75" s="180" t="n">
        <v>9.25387696921998</v>
      </c>
      <c r="ER75" s="180" t="n">
        <v>9.32361265723998</v>
      </c>
      <c r="ES75" s="180" t="n">
        <v>9.39334834525998</v>
      </c>
      <c r="ET75" s="180" t="n">
        <v>9.46308403327998</v>
      </c>
      <c r="EU75" s="180" t="n">
        <v>9.53281972129998</v>
      </c>
      <c r="EV75" s="180" t="n">
        <v>9.60255540931998</v>
      </c>
      <c r="EW75" s="180" t="n">
        <v>9.67229109733998</v>
      </c>
      <c r="EX75" s="180" t="n">
        <v>9.74202678535998</v>
      </c>
      <c r="EY75" s="180" t="n">
        <v>9.81176247337998</v>
      </c>
      <c r="EZ75" s="180" t="n">
        <v>9.88149816139998</v>
      </c>
      <c r="FA75" s="180" t="n">
        <v>9.95123384941998</v>
      </c>
      <c r="FB75" s="180" t="n">
        <v>10.02096953744</v>
      </c>
      <c r="FC75" s="180" t="n">
        <v>10.09070522546</v>
      </c>
      <c r="FD75" s="180" t="n">
        <v>10.16044091348</v>
      </c>
      <c r="FE75" s="180" t="n">
        <v>10.2301766015</v>
      </c>
      <c r="FF75" s="180" t="n">
        <v>10.29991228952</v>
      </c>
      <c r="FG75" s="180" t="n">
        <v>10.36964797754</v>
      </c>
      <c r="FH75" s="180" t="n">
        <v>10.43938366556</v>
      </c>
      <c r="FI75" s="180" t="n">
        <v>10.50911935358</v>
      </c>
      <c r="FJ75" s="180" t="n">
        <v>10.5788550416</v>
      </c>
      <c r="FK75" s="180" t="n">
        <v>10.64859072962</v>
      </c>
      <c r="FL75" s="180" t="n">
        <v>10.71832641764</v>
      </c>
      <c r="FM75" s="180" t="n">
        <v>10.78806210566</v>
      </c>
      <c r="FN75" s="180" t="n">
        <v>10.85779779368</v>
      </c>
      <c r="FO75" s="180" t="n">
        <v>10.9275334817</v>
      </c>
      <c r="FP75" s="180" t="n">
        <v>10.99726916972</v>
      </c>
      <c r="FQ75" s="180" t="n">
        <v>11.06700485774</v>
      </c>
      <c r="FR75" s="180" t="n">
        <v>11.13674054576</v>
      </c>
      <c r="FS75" s="180" t="n">
        <v>11.20647623378</v>
      </c>
      <c r="FT75" s="180" t="n">
        <v>11.2762119218</v>
      </c>
      <c r="FU75" s="180" t="n">
        <v>11.34594760982</v>
      </c>
      <c r="FV75" s="180" t="n">
        <v>11.41568329784</v>
      </c>
      <c r="FW75" s="180" t="n">
        <v>11.48541898586</v>
      </c>
      <c r="FX75" s="180" t="n">
        <v>11.55515467388</v>
      </c>
      <c r="FY75" s="180" t="n">
        <v>11.6248903619</v>
      </c>
      <c r="FZ75" s="180" t="n">
        <v>11.69462604992</v>
      </c>
      <c r="GA75" s="180" t="n">
        <v>11.76436173794</v>
      </c>
      <c r="GB75" s="180" t="n">
        <v>11.83409742596</v>
      </c>
      <c r="GC75" s="180" t="n">
        <v>11.90383311398</v>
      </c>
      <c r="GD75" s="180" t="n">
        <v>11.973568802</v>
      </c>
      <c r="GE75" s="180" t="n">
        <v>12.04330449002</v>
      </c>
      <c r="GF75" s="180" t="n">
        <v>12.11304017804</v>
      </c>
      <c r="GG75" s="180" t="n">
        <v>12.18277586606</v>
      </c>
      <c r="GH75" s="180" t="n">
        <v>12.25251155408</v>
      </c>
      <c r="GI75" s="180" t="n">
        <v>12.3222472421</v>
      </c>
      <c r="GJ75" s="180" t="n">
        <v>12.39198293012</v>
      </c>
      <c r="GK75" s="180" t="n">
        <v>12.46171861814</v>
      </c>
      <c r="GL75" s="180" t="n">
        <v>12.53145430616</v>
      </c>
      <c r="GM75" s="180" t="n">
        <v>12.60118999418</v>
      </c>
      <c r="GN75" s="180" t="n">
        <v>12.6709256822</v>
      </c>
      <c r="GO75" s="180" t="n">
        <v>12.74066137022</v>
      </c>
      <c r="GP75" s="180" t="n">
        <v>12.81039705824</v>
      </c>
      <c r="GQ75" s="180" t="n">
        <v>12.88013274626</v>
      </c>
      <c r="GR75" s="180" t="n">
        <v>12.94986843428</v>
      </c>
      <c r="GS75" s="180" t="n">
        <v>13.0196041223</v>
      </c>
      <c r="GT75" s="180" t="n">
        <v>13.08933981032</v>
      </c>
      <c r="GU75" s="180" t="n">
        <v>13.15907549834</v>
      </c>
      <c r="GV75" s="180" t="n">
        <v>13.22881118636</v>
      </c>
      <c r="GW75" s="180" t="n">
        <v>13.29854687438</v>
      </c>
      <c r="GX75" s="180" t="n">
        <v>13.3682825624</v>
      </c>
      <c r="GY75" s="180" t="n">
        <v>13.43801825042</v>
      </c>
      <c r="GZ75" s="180" t="n">
        <v>13.50775393844</v>
      </c>
      <c r="HA75" s="180" t="n">
        <v>13.57748962646</v>
      </c>
      <c r="HB75" s="180" t="n">
        <v>13.64722531448</v>
      </c>
      <c r="HC75" s="180" t="n">
        <v>13.7169610025</v>
      </c>
      <c r="HD75" s="180" t="n">
        <v>13.78669669052</v>
      </c>
      <c r="HE75" s="180" t="n">
        <v>13.85643237854</v>
      </c>
      <c r="HF75" s="180" t="n">
        <v>13.92616806656</v>
      </c>
      <c r="HG75" s="180" t="n">
        <v>13.99590375458</v>
      </c>
      <c r="HH75" s="180" t="n">
        <v>14.0656394426</v>
      </c>
      <c r="HI75" s="180" t="n">
        <v>14.13537513062</v>
      </c>
      <c r="HJ75" s="180" t="n">
        <v>14.20511081864</v>
      </c>
      <c r="HK75" s="180" t="n">
        <v>14.27484650666</v>
      </c>
      <c r="HL75" s="180" t="n">
        <v>14.34458219468</v>
      </c>
      <c r="HM75" s="180" t="n">
        <v>14.4143178827</v>
      </c>
      <c r="HN75" s="180" t="n">
        <v>14.48405357072</v>
      </c>
      <c r="HO75" s="180" t="n">
        <v>14.55378925874</v>
      </c>
      <c r="HP75" s="180" t="n">
        <v>14.62352494676</v>
      </c>
      <c r="HQ75" s="180" t="n">
        <v>14.69326063478</v>
      </c>
      <c r="HR75" s="180" t="n">
        <v>14.7629963228</v>
      </c>
      <c r="HS75" s="180" t="n">
        <v>14.83273201082</v>
      </c>
      <c r="HT75" s="180" t="n">
        <v>14.90246769884</v>
      </c>
      <c r="HU75" s="180" t="n">
        <v>14.97220338686</v>
      </c>
      <c r="HV75" s="180" t="n">
        <v>15.04193907488</v>
      </c>
      <c r="HW75" s="180" t="n">
        <v>15.1116747629</v>
      </c>
      <c r="HX75" s="180" t="n">
        <v>15.18141045092</v>
      </c>
      <c r="HY75" s="180" t="n">
        <v>15.25114613894</v>
      </c>
      <c r="HZ75" s="180" t="n">
        <v>15.32088182696</v>
      </c>
      <c r="IA75" s="180" t="n">
        <v>15.39061751498</v>
      </c>
      <c r="IB75" s="180" t="n">
        <v>15.460353203</v>
      </c>
      <c r="IC75" s="180" t="n">
        <v>15.53008889102</v>
      </c>
      <c r="ID75" s="180" t="n">
        <v>15.59982457904</v>
      </c>
      <c r="IE75" s="180" t="n">
        <v>15.66956026706</v>
      </c>
      <c r="IF75" s="180" t="n">
        <v>15.73929595508</v>
      </c>
      <c r="IG75" s="180" t="n">
        <v>15.8090316431</v>
      </c>
      <c r="IH75" s="180" t="n">
        <v>15.87876733112</v>
      </c>
      <c r="II75" s="180" t="n">
        <v>15.94850301914</v>
      </c>
      <c r="IJ75" s="180" t="n">
        <v>16.01823870716</v>
      </c>
      <c r="IK75" s="180" t="n">
        <v>16.08797439518</v>
      </c>
      <c r="IL75" s="180" t="n">
        <v>16.1577100832</v>
      </c>
      <c r="IM75" s="180" t="n">
        <v>16.22744577122</v>
      </c>
      <c r="IN75" s="180" t="n">
        <v>16.29718145924</v>
      </c>
      <c r="IO75" s="180" t="n">
        <v>16.36691714726</v>
      </c>
      <c r="IP75" s="180" t="n">
        <v>16.43665283528</v>
      </c>
      <c r="IQ75" s="180" t="n">
        <v>16.5063885233</v>
      </c>
      <c r="IR75" s="180" t="n">
        <v>16.57612421132</v>
      </c>
      <c r="IS75" s="180" t="n">
        <v>16.64585989934</v>
      </c>
      <c r="IT75" s="180" t="n">
        <v>16.71559558736</v>
      </c>
      <c r="IU75" s="180" t="n">
        <v>16.78533127538</v>
      </c>
      <c r="IV75" s="180" t="n">
        <v>16.8550669634</v>
      </c>
    </row>
    <row r="76" customFormat="false" ht="12.75" hidden="false" customHeight="false" outlineLevel="0" collapsed="false">
      <c r="A76" s="189" t="n">
        <v>38991</v>
      </c>
      <c r="B76" s="185" t="n">
        <v>-2.021005929375</v>
      </c>
      <c r="C76" s="185" t="n">
        <v>-1.9907047400625</v>
      </c>
      <c r="D76" s="185" t="n">
        <v>-1.96040355075</v>
      </c>
      <c r="E76" s="185" t="n">
        <v>-1.9301023614375</v>
      </c>
      <c r="F76" s="185" t="n">
        <v>-1.899801172125</v>
      </c>
      <c r="G76" s="185" t="n">
        <v>-1.8694999828125</v>
      </c>
      <c r="H76" s="185" t="n">
        <v>-1.8391987935</v>
      </c>
      <c r="I76" s="185" t="n">
        <v>-1.8088976041875</v>
      </c>
      <c r="J76" s="185" t="n">
        <v>-1.778596414875</v>
      </c>
      <c r="K76" s="185" t="n">
        <v>-1.7482952255625</v>
      </c>
      <c r="L76" s="185" t="n">
        <v>-1.71799403625</v>
      </c>
      <c r="M76" s="185" t="n">
        <v>-1.6876928469375</v>
      </c>
      <c r="N76" s="185" t="n">
        <v>-1.657391657625</v>
      </c>
      <c r="O76" s="185" t="n">
        <v>-1.6270904683125</v>
      </c>
      <c r="P76" s="185" t="n">
        <v>-1.596789279</v>
      </c>
      <c r="Q76" s="185" t="n">
        <v>-1.5664880896875</v>
      </c>
      <c r="R76" s="185" t="n">
        <v>-1.536186900375</v>
      </c>
      <c r="S76" s="185" t="n">
        <v>-1.5058857110625</v>
      </c>
      <c r="T76" s="185" t="n">
        <v>-1.47558452175</v>
      </c>
      <c r="U76" s="185" t="n">
        <v>-1.4452833324375</v>
      </c>
      <c r="V76" s="186" t="n">
        <v>-1.414982143125</v>
      </c>
      <c r="W76" s="185" t="n">
        <v>-1.3846809538125</v>
      </c>
      <c r="X76" s="186" t="n">
        <v>-1.3543797645</v>
      </c>
      <c r="Y76" s="185" t="n">
        <v>-1.3240785751875</v>
      </c>
      <c r="Z76" s="186" t="n">
        <v>-1.293777385875</v>
      </c>
      <c r="AA76" s="185" t="n">
        <v>-1.2634761965625</v>
      </c>
      <c r="AB76" s="187" t="n">
        <v>-1.23317500725</v>
      </c>
      <c r="AC76" s="185" t="n">
        <v>-1.2028738179375</v>
      </c>
      <c r="AD76" s="187" t="n">
        <v>-1.172572628625</v>
      </c>
      <c r="AE76" s="185" t="n">
        <v>-1.1422714393125</v>
      </c>
      <c r="AF76" s="185" t="n">
        <v>-1.11197025</v>
      </c>
      <c r="AG76" s="190" t="n">
        <v>-1.083235125</v>
      </c>
      <c r="AH76" s="190" t="n">
        <v>-1.0545</v>
      </c>
      <c r="AI76" s="190" t="n">
        <v>-1.02725</v>
      </c>
      <c r="AJ76" s="190" t="n">
        <v>-1</v>
      </c>
      <c r="AK76" s="190" t="n">
        <v>-0.8</v>
      </c>
      <c r="AL76" s="190" t="n">
        <v>-0.6</v>
      </c>
      <c r="AM76" s="190" t="n">
        <v>-0.4</v>
      </c>
      <c r="AN76" s="190" t="n">
        <v>-0.2</v>
      </c>
      <c r="AO76" s="190" t="n">
        <v>0</v>
      </c>
      <c r="AP76" s="190" t="n">
        <v>0.2</v>
      </c>
      <c r="AQ76" s="190" t="n">
        <v>0.4</v>
      </c>
      <c r="AR76" s="190" t="n">
        <v>0.6</v>
      </c>
      <c r="AS76" s="190" t="n">
        <v>0.8</v>
      </c>
      <c r="AT76" s="190" t="n">
        <v>1</v>
      </c>
      <c r="AU76" s="190" t="n">
        <v>1.2</v>
      </c>
      <c r="AV76" s="190" t="n">
        <v>1.4</v>
      </c>
      <c r="AW76" s="190" t="n">
        <v>1.58</v>
      </c>
      <c r="AX76" s="190" t="n">
        <v>1.76</v>
      </c>
      <c r="AY76" s="190" t="n">
        <v>1.922</v>
      </c>
      <c r="AZ76" s="190" t="n">
        <v>2.084</v>
      </c>
      <c r="BA76" s="190" t="n">
        <v>2.2298</v>
      </c>
      <c r="BB76" s="190" t="n">
        <v>2.3756</v>
      </c>
      <c r="BC76" s="190" t="n">
        <v>2.50682</v>
      </c>
      <c r="BD76" s="190" t="n">
        <v>2.63804</v>
      </c>
      <c r="BE76" s="190" t="n">
        <v>2.756138</v>
      </c>
      <c r="BF76" s="190" t="n">
        <v>2.874236</v>
      </c>
      <c r="BG76" s="190" t="n">
        <v>2.9805242</v>
      </c>
      <c r="BH76" s="190" t="n">
        <v>3.0868124</v>
      </c>
      <c r="BI76" s="190" t="n">
        <v>3.18247178</v>
      </c>
      <c r="BJ76" s="190" t="n">
        <v>3.27813116</v>
      </c>
      <c r="BK76" s="190" t="n">
        <v>3.364224602</v>
      </c>
      <c r="BL76" s="190" t="n">
        <v>3.450318044</v>
      </c>
      <c r="BM76" s="190" t="n">
        <v>3.5278021418</v>
      </c>
      <c r="BN76" s="190" t="n">
        <v>3.6052862396</v>
      </c>
      <c r="BO76" s="190" t="n">
        <v>3.67502192762</v>
      </c>
      <c r="BP76" s="190" t="n">
        <v>3.74475761564</v>
      </c>
      <c r="BQ76" s="190" t="n">
        <v>3.81449330366</v>
      </c>
      <c r="BR76" s="190" t="n">
        <v>3.88422899168</v>
      </c>
      <c r="BS76" s="190" t="n">
        <v>3.9539646797</v>
      </c>
      <c r="BT76" s="190" t="n">
        <v>4.02370036772</v>
      </c>
      <c r="BU76" s="190" t="n">
        <v>4.09343605574</v>
      </c>
      <c r="BV76" s="190" t="n">
        <v>4.16317174376</v>
      </c>
      <c r="BW76" s="190" t="n">
        <v>4.23290743178</v>
      </c>
      <c r="BX76" s="190" t="n">
        <v>4.3026431198</v>
      </c>
      <c r="BY76" s="190" t="n">
        <v>4.37237880782</v>
      </c>
      <c r="BZ76" s="190" t="n">
        <v>4.44211449584</v>
      </c>
      <c r="CA76" s="190" t="n">
        <v>4.51185018386</v>
      </c>
      <c r="CB76" s="190" t="n">
        <v>4.58158587188</v>
      </c>
      <c r="CC76" s="190" t="n">
        <v>4.6513215599</v>
      </c>
      <c r="CD76" s="190" t="n">
        <v>4.72105724792</v>
      </c>
      <c r="CE76" s="190" t="n">
        <v>4.79079293594</v>
      </c>
      <c r="CF76" s="190" t="n">
        <v>4.86052862396</v>
      </c>
      <c r="CG76" s="190" t="n">
        <v>4.93026431198</v>
      </c>
      <c r="CH76" s="190" t="n">
        <v>5</v>
      </c>
      <c r="CI76" s="190" t="n">
        <v>5.06973568801999</v>
      </c>
      <c r="CJ76" s="190" t="n">
        <v>5.13947137603999</v>
      </c>
      <c r="CK76" s="190" t="n">
        <v>5.20920706405999</v>
      </c>
      <c r="CL76" s="190" t="n">
        <v>5.27894275207999</v>
      </c>
      <c r="CM76" s="190" t="n">
        <v>5.34867844009999</v>
      </c>
      <c r="CN76" s="190" t="n">
        <v>5.41841412811999</v>
      </c>
      <c r="CO76" s="190" t="n">
        <v>5.48814981613999</v>
      </c>
      <c r="CP76" s="190" t="n">
        <v>5.55788550415999</v>
      </c>
      <c r="CQ76" s="190" t="n">
        <v>5.62762119217999</v>
      </c>
      <c r="CR76" s="190" t="n">
        <v>5.69735688019999</v>
      </c>
      <c r="CS76" s="190" t="n">
        <v>5.76709256821999</v>
      </c>
      <c r="CT76" s="190" t="n">
        <v>5.83682825623999</v>
      </c>
      <c r="CU76" s="190" t="n">
        <v>5.90656394425999</v>
      </c>
      <c r="CV76" s="190" t="n">
        <v>5.97629963227999</v>
      </c>
      <c r="CW76" s="190" t="n">
        <v>6.04603532029999</v>
      </c>
      <c r="CX76" s="190" t="n">
        <v>6.11577100831999</v>
      </c>
      <c r="CY76" s="190" t="n">
        <v>6.18550669633999</v>
      </c>
      <c r="CZ76" s="190" t="n">
        <v>6.25524238435999</v>
      </c>
      <c r="DA76" s="190" t="n">
        <v>6.32497807237999</v>
      </c>
      <c r="DB76" s="190" t="n">
        <v>6.39471376039999</v>
      </c>
      <c r="DC76" s="190" t="n">
        <v>6.46444944841999</v>
      </c>
      <c r="DD76" s="190" t="n">
        <v>6.53418513643999</v>
      </c>
      <c r="DE76" s="190" t="n">
        <v>6.60392082445999</v>
      </c>
      <c r="DF76" s="190" t="n">
        <v>6.67365651247999</v>
      </c>
      <c r="DG76" s="190" t="n">
        <v>6.74339220049999</v>
      </c>
      <c r="DH76" s="190" t="n">
        <v>6.81312788851999</v>
      </c>
      <c r="DI76" s="190" t="n">
        <v>6.88286357653999</v>
      </c>
      <c r="DJ76" s="190" t="n">
        <v>6.95259926455999</v>
      </c>
      <c r="DK76" s="190" t="n">
        <v>7.02233495257999</v>
      </c>
      <c r="DL76" s="190" t="n">
        <v>7.09207064059999</v>
      </c>
      <c r="DM76" s="190" t="n">
        <v>7.16180632861999</v>
      </c>
      <c r="DN76" s="190" t="n">
        <v>7.23154201663999</v>
      </c>
      <c r="DO76" s="190" t="n">
        <v>7.30127770465999</v>
      </c>
      <c r="DP76" s="190" t="n">
        <v>7.37101339267999</v>
      </c>
      <c r="DQ76" s="190" t="n">
        <v>7.44074908069999</v>
      </c>
      <c r="DR76" s="190" t="n">
        <v>7.51048476871999</v>
      </c>
      <c r="DS76" s="190" t="n">
        <v>7.58022045673999</v>
      </c>
      <c r="DT76" s="190" t="n">
        <v>7.64995614475999</v>
      </c>
      <c r="DU76" s="190" t="n">
        <v>7.71969183277999</v>
      </c>
      <c r="DV76" s="190" t="n">
        <v>7.78942752079998</v>
      </c>
      <c r="DW76" s="190" t="n">
        <v>7.85916320881998</v>
      </c>
      <c r="DX76" s="190" t="n">
        <v>7.92889889683998</v>
      </c>
      <c r="DY76" s="190" t="n">
        <v>7.99863458485998</v>
      </c>
      <c r="DZ76" s="190" t="n">
        <v>8.06837027287998</v>
      </c>
      <c r="EA76" s="190" t="n">
        <v>8.13810596089998</v>
      </c>
      <c r="EB76" s="190" t="n">
        <v>8.20784164891998</v>
      </c>
      <c r="EC76" s="190" t="n">
        <v>8.27757733693998</v>
      </c>
      <c r="ED76" s="190" t="n">
        <v>8.34731302495998</v>
      </c>
      <c r="EE76" s="190" t="n">
        <v>8.41704871297998</v>
      </c>
      <c r="EF76" s="190" t="n">
        <v>8.48678440099998</v>
      </c>
      <c r="EG76" s="190" t="n">
        <v>8.55652008901998</v>
      </c>
      <c r="EH76" s="190" t="n">
        <v>8.62625577703998</v>
      </c>
      <c r="EI76" s="190" t="n">
        <v>8.69599146505998</v>
      </c>
      <c r="EJ76" s="190" t="n">
        <v>8.76572715307998</v>
      </c>
      <c r="EK76" s="190" t="n">
        <v>8.83546284109998</v>
      </c>
      <c r="EL76" s="180" t="n">
        <v>8.90519852911998</v>
      </c>
      <c r="EM76" s="180" t="n">
        <v>8.97493421713998</v>
      </c>
      <c r="EN76" s="180" t="n">
        <v>9.04466990515998</v>
      </c>
      <c r="EO76" s="180" t="n">
        <v>9.11440559317998</v>
      </c>
      <c r="EP76" s="180" t="n">
        <v>9.18414128119998</v>
      </c>
      <c r="EQ76" s="180" t="n">
        <v>9.25387696921998</v>
      </c>
      <c r="ER76" s="180" t="n">
        <v>9.32361265723998</v>
      </c>
      <c r="ES76" s="180" t="n">
        <v>9.39334834525998</v>
      </c>
      <c r="ET76" s="180" t="n">
        <v>9.46308403327998</v>
      </c>
      <c r="EU76" s="180" t="n">
        <v>9.53281972129998</v>
      </c>
      <c r="EV76" s="180" t="n">
        <v>9.60255540931998</v>
      </c>
      <c r="EW76" s="180" t="n">
        <v>9.67229109733998</v>
      </c>
      <c r="EX76" s="180" t="n">
        <v>9.74202678535998</v>
      </c>
      <c r="EY76" s="180" t="n">
        <v>9.81176247337998</v>
      </c>
      <c r="EZ76" s="180" t="n">
        <v>9.88149816139998</v>
      </c>
      <c r="FA76" s="180" t="n">
        <v>9.95123384941998</v>
      </c>
      <c r="FB76" s="180" t="n">
        <v>10.02096953744</v>
      </c>
      <c r="FC76" s="180" t="n">
        <v>10.09070522546</v>
      </c>
      <c r="FD76" s="180" t="n">
        <v>10.16044091348</v>
      </c>
      <c r="FE76" s="180" t="n">
        <v>10.2301766015</v>
      </c>
      <c r="FF76" s="180" t="n">
        <v>10.29991228952</v>
      </c>
      <c r="FG76" s="180" t="n">
        <v>10.36964797754</v>
      </c>
      <c r="FH76" s="180" t="n">
        <v>10.43938366556</v>
      </c>
      <c r="FI76" s="180" t="n">
        <v>10.50911935358</v>
      </c>
      <c r="FJ76" s="180" t="n">
        <v>10.5788550416</v>
      </c>
      <c r="FK76" s="180" t="n">
        <v>10.64859072962</v>
      </c>
      <c r="FL76" s="180" t="n">
        <v>10.71832641764</v>
      </c>
      <c r="FM76" s="180" t="n">
        <v>10.78806210566</v>
      </c>
      <c r="FN76" s="180" t="n">
        <v>10.85779779368</v>
      </c>
      <c r="FO76" s="180" t="n">
        <v>10.9275334817</v>
      </c>
      <c r="FP76" s="180" t="n">
        <v>10.99726916972</v>
      </c>
      <c r="FQ76" s="180" t="n">
        <v>11.06700485774</v>
      </c>
      <c r="FR76" s="180" t="n">
        <v>11.13674054576</v>
      </c>
      <c r="FS76" s="180" t="n">
        <v>11.20647623378</v>
      </c>
      <c r="FT76" s="180" t="n">
        <v>11.2762119218</v>
      </c>
      <c r="FU76" s="180" t="n">
        <v>11.34594760982</v>
      </c>
      <c r="FV76" s="180" t="n">
        <v>11.41568329784</v>
      </c>
      <c r="FW76" s="180" t="n">
        <v>11.48541898586</v>
      </c>
      <c r="FX76" s="180" t="n">
        <v>11.55515467388</v>
      </c>
      <c r="FY76" s="180" t="n">
        <v>11.6248903619</v>
      </c>
      <c r="FZ76" s="180" t="n">
        <v>11.69462604992</v>
      </c>
      <c r="GA76" s="180" t="n">
        <v>11.76436173794</v>
      </c>
      <c r="GB76" s="180" t="n">
        <v>11.83409742596</v>
      </c>
      <c r="GC76" s="180" t="n">
        <v>11.90383311398</v>
      </c>
      <c r="GD76" s="180" t="n">
        <v>11.973568802</v>
      </c>
      <c r="GE76" s="180" t="n">
        <v>12.04330449002</v>
      </c>
      <c r="GF76" s="180" t="n">
        <v>12.11304017804</v>
      </c>
      <c r="GG76" s="180" t="n">
        <v>12.18277586606</v>
      </c>
      <c r="GH76" s="180" t="n">
        <v>12.25251155408</v>
      </c>
      <c r="GI76" s="180" t="n">
        <v>12.3222472421</v>
      </c>
      <c r="GJ76" s="180" t="n">
        <v>12.39198293012</v>
      </c>
      <c r="GK76" s="180" t="n">
        <v>12.46171861814</v>
      </c>
      <c r="GL76" s="180" t="n">
        <v>12.53145430616</v>
      </c>
      <c r="GM76" s="180" t="n">
        <v>12.60118999418</v>
      </c>
      <c r="GN76" s="180" t="n">
        <v>12.6709256822</v>
      </c>
      <c r="GO76" s="180" t="n">
        <v>12.74066137022</v>
      </c>
      <c r="GP76" s="180" t="n">
        <v>12.81039705824</v>
      </c>
      <c r="GQ76" s="180" t="n">
        <v>12.88013274626</v>
      </c>
      <c r="GR76" s="180" t="n">
        <v>12.94986843428</v>
      </c>
      <c r="GS76" s="180" t="n">
        <v>13.0196041223</v>
      </c>
      <c r="GT76" s="180" t="n">
        <v>13.08933981032</v>
      </c>
      <c r="GU76" s="180" t="n">
        <v>13.15907549834</v>
      </c>
      <c r="GV76" s="180" t="n">
        <v>13.22881118636</v>
      </c>
      <c r="GW76" s="180" t="n">
        <v>13.29854687438</v>
      </c>
      <c r="GX76" s="180" t="n">
        <v>13.3682825624</v>
      </c>
      <c r="GY76" s="180" t="n">
        <v>13.43801825042</v>
      </c>
      <c r="GZ76" s="180" t="n">
        <v>13.50775393844</v>
      </c>
      <c r="HA76" s="180" t="n">
        <v>13.57748962646</v>
      </c>
      <c r="HB76" s="180" t="n">
        <v>13.64722531448</v>
      </c>
      <c r="HC76" s="180" t="n">
        <v>13.7169610025</v>
      </c>
      <c r="HD76" s="180" t="n">
        <v>13.78669669052</v>
      </c>
      <c r="HE76" s="180" t="n">
        <v>13.85643237854</v>
      </c>
      <c r="HF76" s="180" t="n">
        <v>13.92616806656</v>
      </c>
      <c r="HG76" s="180" t="n">
        <v>13.99590375458</v>
      </c>
      <c r="HH76" s="180" t="n">
        <v>14.0656394426</v>
      </c>
      <c r="HI76" s="180" t="n">
        <v>14.13537513062</v>
      </c>
      <c r="HJ76" s="180" t="n">
        <v>14.20511081864</v>
      </c>
      <c r="HK76" s="180" t="n">
        <v>14.27484650666</v>
      </c>
      <c r="HL76" s="180" t="n">
        <v>14.34458219468</v>
      </c>
      <c r="HM76" s="180" t="n">
        <v>14.4143178827</v>
      </c>
      <c r="HN76" s="180" t="n">
        <v>14.48405357072</v>
      </c>
      <c r="HO76" s="180" t="n">
        <v>14.55378925874</v>
      </c>
      <c r="HP76" s="180" t="n">
        <v>14.62352494676</v>
      </c>
      <c r="HQ76" s="180" t="n">
        <v>14.69326063478</v>
      </c>
      <c r="HR76" s="180" t="n">
        <v>14.7629963228</v>
      </c>
      <c r="HS76" s="180" t="n">
        <v>14.83273201082</v>
      </c>
      <c r="HT76" s="180" t="n">
        <v>14.90246769884</v>
      </c>
      <c r="HU76" s="180" t="n">
        <v>14.97220338686</v>
      </c>
      <c r="HV76" s="180" t="n">
        <v>15.04193907488</v>
      </c>
      <c r="HW76" s="180" t="n">
        <v>15.1116747629</v>
      </c>
      <c r="HX76" s="180" t="n">
        <v>15.18141045092</v>
      </c>
      <c r="HY76" s="180" t="n">
        <v>15.25114613894</v>
      </c>
      <c r="HZ76" s="180" t="n">
        <v>15.32088182696</v>
      </c>
      <c r="IA76" s="180" t="n">
        <v>15.39061751498</v>
      </c>
      <c r="IB76" s="180" t="n">
        <v>15.460353203</v>
      </c>
      <c r="IC76" s="180" t="n">
        <v>15.53008889102</v>
      </c>
      <c r="ID76" s="180" t="n">
        <v>15.59982457904</v>
      </c>
      <c r="IE76" s="180" t="n">
        <v>15.66956026706</v>
      </c>
      <c r="IF76" s="180" t="n">
        <v>15.73929595508</v>
      </c>
      <c r="IG76" s="180" t="n">
        <v>15.8090316431</v>
      </c>
      <c r="IH76" s="180" t="n">
        <v>15.87876733112</v>
      </c>
      <c r="II76" s="180" t="n">
        <v>15.94850301914</v>
      </c>
      <c r="IJ76" s="180" t="n">
        <v>16.01823870716</v>
      </c>
      <c r="IK76" s="180" t="n">
        <v>16.08797439518</v>
      </c>
      <c r="IL76" s="180" t="n">
        <v>16.1577100832</v>
      </c>
      <c r="IM76" s="180" t="n">
        <v>16.22744577122</v>
      </c>
      <c r="IN76" s="180" t="n">
        <v>16.29718145924</v>
      </c>
      <c r="IO76" s="180" t="n">
        <v>16.36691714726</v>
      </c>
      <c r="IP76" s="180" t="n">
        <v>16.43665283528</v>
      </c>
      <c r="IQ76" s="180" t="n">
        <v>16.5063885233</v>
      </c>
      <c r="IR76" s="180" t="n">
        <v>16.57612421132</v>
      </c>
      <c r="IS76" s="180" t="n">
        <v>16.64585989934</v>
      </c>
      <c r="IT76" s="180" t="n">
        <v>16.71559558736</v>
      </c>
      <c r="IU76" s="180" t="n">
        <v>16.78533127538</v>
      </c>
      <c r="IV76" s="180" t="n">
        <v>16.8550669634</v>
      </c>
    </row>
    <row r="77" customFormat="false" ht="12.75" hidden="false" customHeight="false" outlineLevel="0" collapsed="false">
      <c r="A77" s="189" t="n">
        <v>39022</v>
      </c>
      <c r="B77" s="185" t="n">
        <v>-2.021005929375</v>
      </c>
      <c r="C77" s="185" t="n">
        <v>-1.9907047400625</v>
      </c>
      <c r="D77" s="185" t="n">
        <v>-1.96040355075</v>
      </c>
      <c r="E77" s="185" t="n">
        <v>-1.9301023614375</v>
      </c>
      <c r="F77" s="185" t="n">
        <v>-1.899801172125</v>
      </c>
      <c r="G77" s="185" t="n">
        <v>-1.8694999828125</v>
      </c>
      <c r="H77" s="185" t="n">
        <v>-1.8391987935</v>
      </c>
      <c r="I77" s="185" t="n">
        <v>-1.8088976041875</v>
      </c>
      <c r="J77" s="185" t="n">
        <v>-1.778596414875</v>
      </c>
      <c r="K77" s="185" t="n">
        <v>-1.7482952255625</v>
      </c>
      <c r="L77" s="185" t="n">
        <v>-1.71799403625</v>
      </c>
      <c r="M77" s="185" t="n">
        <v>-1.6876928469375</v>
      </c>
      <c r="N77" s="185" t="n">
        <v>-1.657391657625</v>
      </c>
      <c r="O77" s="185" t="n">
        <v>-1.6270904683125</v>
      </c>
      <c r="P77" s="185" t="n">
        <v>-1.596789279</v>
      </c>
      <c r="Q77" s="185" t="n">
        <v>-1.5664880896875</v>
      </c>
      <c r="R77" s="185" t="n">
        <v>-1.536186900375</v>
      </c>
      <c r="S77" s="185" t="n">
        <v>-1.5058857110625</v>
      </c>
      <c r="T77" s="185" t="n">
        <v>-1.47558452175</v>
      </c>
      <c r="U77" s="185" t="n">
        <v>-1.4452833324375</v>
      </c>
      <c r="V77" s="186" t="n">
        <v>-1.414982143125</v>
      </c>
      <c r="W77" s="185" t="n">
        <v>-1.3846809538125</v>
      </c>
      <c r="X77" s="186" t="n">
        <v>-1.3543797645</v>
      </c>
      <c r="Y77" s="185" t="n">
        <v>-1.3240785751875</v>
      </c>
      <c r="Z77" s="186" t="n">
        <v>-1.293777385875</v>
      </c>
      <c r="AA77" s="185" t="n">
        <v>-1.2634761965625</v>
      </c>
      <c r="AB77" s="187" t="n">
        <v>-1.23317500725</v>
      </c>
      <c r="AC77" s="185" t="n">
        <v>-1.2028738179375</v>
      </c>
      <c r="AD77" s="187" t="n">
        <v>-1.172572628625</v>
      </c>
      <c r="AE77" s="185" t="n">
        <v>-1.1422714393125</v>
      </c>
      <c r="AF77" s="185" t="n">
        <v>-1.11197025</v>
      </c>
      <c r="AG77" s="190" t="n">
        <v>-1.083235125</v>
      </c>
      <c r="AH77" s="190" t="n">
        <v>-1.0545</v>
      </c>
      <c r="AI77" s="190" t="n">
        <v>-1.02725</v>
      </c>
      <c r="AJ77" s="190" t="n">
        <v>-1</v>
      </c>
      <c r="AK77" s="190" t="n">
        <v>-0.8</v>
      </c>
      <c r="AL77" s="190" t="n">
        <v>-0.6</v>
      </c>
      <c r="AM77" s="190" t="n">
        <v>-0.4</v>
      </c>
      <c r="AN77" s="190" t="n">
        <v>-0.2</v>
      </c>
      <c r="AO77" s="190" t="n">
        <v>0</v>
      </c>
      <c r="AP77" s="190" t="n">
        <v>0.2</v>
      </c>
      <c r="AQ77" s="190" t="n">
        <v>0.4</v>
      </c>
      <c r="AR77" s="190" t="n">
        <v>0.6</v>
      </c>
      <c r="AS77" s="190" t="n">
        <v>0.8</v>
      </c>
      <c r="AT77" s="190" t="n">
        <v>1</v>
      </c>
      <c r="AU77" s="190" t="n">
        <v>1.2</v>
      </c>
      <c r="AV77" s="190" t="n">
        <v>1.4</v>
      </c>
      <c r="AW77" s="190" t="n">
        <v>1.58</v>
      </c>
      <c r="AX77" s="190" t="n">
        <v>1.76</v>
      </c>
      <c r="AY77" s="190" t="n">
        <v>1.922</v>
      </c>
      <c r="AZ77" s="190" t="n">
        <v>2.084</v>
      </c>
      <c r="BA77" s="190" t="n">
        <v>2.2298</v>
      </c>
      <c r="BB77" s="190" t="n">
        <v>2.3756</v>
      </c>
      <c r="BC77" s="190" t="n">
        <v>2.50682</v>
      </c>
      <c r="BD77" s="190" t="n">
        <v>2.63804</v>
      </c>
      <c r="BE77" s="190" t="n">
        <v>2.756138</v>
      </c>
      <c r="BF77" s="190" t="n">
        <v>2.874236</v>
      </c>
      <c r="BG77" s="190" t="n">
        <v>2.9805242</v>
      </c>
      <c r="BH77" s="190" t="n">
        <v>3.0868124</v>
      </c>
      <c r="BI77" s="190" t="n">
        <v>3.18247178</v>
      </c>
      <c r="BJ77" s="190" t="n">
        <v>3.27813116</v>
      </c>
      <c r="BK77" s="190" t="n">
        <v>3.364224602</v>
      </c>
      <c r="BL77" s="190" t="n">
        <v>3.450318044</v>
      </c>
      <c r="BM77" s="190" t="n">
        <v>3.5278021418</v>
      </c>
      <c r="BN77" s="190" t="n">
        <v>3.6052862396</v>
      </c>
      <c r="BO77" s="190" t="n">
        <v>3.67502192762</v>
      </c>
      <c r="BP77" s="190" t="n">
        <v>3.74475761564</v>
      </c>
      <c r="BQ77" s="190" t="n">
        <v>3.81449330366</v>
      </c>
      <c r="BR77" s="190" t="n">
        <v>3.88422899168</v>
      </c>
      <c r="BS77" s="190" t="n">
        <v>3.9539646797</v>
      </c>
      <c r="BT77" s="190" t="n">
        <v>4.02370036772</v>
      </c>
      <c r="BU77" s="190" t="n">
        <v>4.09343605574</v>
      </c>
      <c r="BV77" s="190" t="n">
        <v>4.16317174376</v>
      </c>
      <c r="BW77" s="190" t="n">
        <v>4.23290743178</v>
      </c>
      <c r="BX77" s="190" t="n">
        <v>4.3026431198</v>
      </c>
      <c r="BY77" s="190" t="n">
        <v>4.37237880782</v>
      </c>
      <c r="BZ77" s="190" t="n">
        <v>4.44211449584</v>
      </c>
      <c r="CA77" s="190" t="n">
        <v>4.51185018386</v>
      </c>
      <c r="CB77" s="190" t="n">
        <v>4.58158587188</v>
      </c>
      <c r="CC77" s="190" t="n">
        <v>4.6513215599</v>
      </c>
      <c r="CD77" s="190" t="n">
        <v>4.72105724792</v>
      </c>
      <c r="CE77" s="190" t="n">
        <v>4.79079293594</v>
      </c>
      <c r="CF77" s="190" t="n">
        <v>4.86052862396</v>
      </c>
      <c r="CG77" s="190" t="n">
        <v>4.93026431198</v>
      </c>
      <c r="CH77" s="190" t="n">
        <v>5</v>
      </c>
      <c r="CI77" s="190" t="n">
        <v>5.06973568801999</v>
      </c>
      <c r="CJ77" s="190" t="n">
        <v>5.13947137603999</v>
      </c>
      <c r="CK77" s="190" t="n">
        <v>5.20920706405999</v>
      </c>
      <c r="CL77" s="190" t="n">
        <v>5.27894275207999</v>
      </c>
      <c r="CM77" s="190" t="n">
        <v>5.34867844009999</v>
      </c>
      <c r="CN77" s="190" t="n">
        <v>5.41841412811999</v>
      </c>
      <c r="CO77" s="190" t="n">
        <v>5.48814981613999</v>
      </c>
      <c r="CP77" s="190" t="n">
        <v>5.55788550415999</v>
      </c>
      <c r="CQ77" s="190" t="n">
        <v>5.62762119217999</v>
      </c>
      <c r="CR77" s="190" t="n">
        <v>5.69735688019999</v>
      </c>
      <c r="CS77" s="190" t="n">
        <v>5.76709256821999</v>
      </c>
      <c r="CT77" s="190" t="n">
        <v>5.83682825623999</v>
      </c>
      <c r="CU77" s="190" t="n">
        <v>5.90656394425999</v>
      </c>
      <c r="CV77" s="190" t="n">
        <v>5.97629963227999</v>
      </c>
      <c r="CW77" s="190" t="n">
        <v>6.04603532029999</v>
      </c>
      <c r="CX77" s="190" t="n">
        <v>6.11577100831999</v>
      </c>
      <c r="CY77" s="190" t="n">
        <v>6.18550669633999</v>
      </c>
      <c r="CZ77" s="190" t="n">
        <v>6.25524238435999</v>
      </c>
      <c r="DA77" s="190" t="n">
        <v>6.32497807237999</v>
      </c>
      <c r="DB77" s="190" t="n">
        <v>6.39471376039999</v>
      </c>
      <c r="DC77" s="190" t="n">
        <v>6.46444944841999</v>
      </c>
      <c r="DD77" s="190" t="n">
        <v>6.53418513643999</v>
      </c>
      <c r="DE77" s="190" t="n">
        <v>6.60392082445999</v>
      </c>
      <c r="DF77" s="190" t="n">
        <v>6.67365651247999</v>
      </c>
      <c r="DG77" s="190" t="n">
        <v>6.74339220049999</v>
      </c>
      <c r="DH77" s="190" t="n">
        <v>6.81312788851999</v>
      </c>
      <c r="DI77" s="190" t="n">
        <v>6.88286357653999</v>
      </c>
      <c r="DJ77" s="190" t="n">
        <v>6.95259926455999</v>
      </c>
      <c r="DK77" s="190" t="n">
        <v>7.02233495257999</v>
      </c>
      <c r="DL77" s="190" t="n">
        <v>7.09207064059999</v>
      </c>
      <c r="DM77" s="190" t="n">
        <v>7.16180632861999</v>
      </c>
      <c r="DN77" s="190" t="n">
        <v>7.23154201663999</v>
      </c>
      <c r="DO77" s="190" t="n">
        <v>7.30127770465999</v>
      </c>
      <c r="DP77" s="190" t="n">
        <v>7.37101339267999</v>
      </c>
      <c r="DQ77" s="190" t="n">
        <v>7.44074908069999</v>
      </c>
      <c r="DR77" s="190" t="n">
        <v>7.51048476871999</v>
      </c>
      <c r="DS77" s="190" t="n">
        <v>7.58022045673999</v>
      </c>
      <c r="DT77" s="190" t="n">
        <v>7.64995614475999</v>
      </c>
      <c r="DU77" s="190" t="n">
        <v>7.71969183277999</v>
      </c>
      <c r="DV77" s="190" t="n">
        <v>7.78942752079998</v>
      </c>
      <c r="DW77" s="190" t="n">
        <v>7.85916320881998</v>
      </c>
      <c r="DX77" s="190" t="n">
        <v>7.92889889683998</v>
      </c>
      <c r="DY77" s="190" t="n">
        <v>7.99863458485998</v>
      </c>
      <c r="DZ77" s="190" t="n">
        <v>8.06837027287998</v>
      </c>
      <c r="EA77" s="190" t="n">
        <v>8.13810596089998</v>
      </c>
      <c r="EB77" s="190" t="n">
        <v>8.20784164891998</v>
      </c>
      <c r="EC77" s="190" t="n">
        <v>8.27757733693998</v>
      </c>
      <c r="ED77" s="190" t="n">
        <v>8.34731302495998</v>
      </c>
      <c r="EE77" s="190" t="n">
        <v>8.41704871297998</v>
      </c>
      <c r="EF77" s="190" t="n">
        <v>8.48678440099998</v>
      </c>
      <c r="EG77" s="190" t="n">
        <v>8.55652008901998</v>
      </c>
      <c r="EH77" s="190" t="n">
        <v>8.62625577703998</v>
      </c>
      <c r="EI77" s="190" t="n">
        <v>8.69599146505998</v>
      </c>
      <c r="EJ77" s="190" t="n">
        <v>8.76572715307998</v>
      </c>
      <c r="EK77" s="190" t="n">
        <v>8.83546284109998</v>
      </c>
      <c r="EL77" s="180" t="n">
        <v>8.90519852911998</v>
      </c>
      <c r="EM77" s="180" t="n">
        <v>8.97493421713998</v>
      </c>
      <c r="EN77" s="180" t="n">
        <v>9.04466990515998</v>
      </c>
      <c r="EO77" s="180" t="n">
        <v>9.11440559317998</v>
      </c>
      <c r="EP77" s="180" t="n">
        <v>9.18414128119998</v>
      </c>
      <c r="EQ77" s="180" t="n">
        <v>9.25387696921998</v>
      </c>
      <c r="ER77" s="180" t="n">
        <v>9.32361265723998</v>
      </c>
      <c r="ES77" s="180" t="n">
        <v>9.39334834525998</v>
      </c>
      <c r="ET77" s="180" t="n">
        <v>9.46308403327998</v>
      </c>
      <c r="EU77" s="180" t="n">
        <v>9.53281972129998</v>
      </c>
      <c r="EV77" s="180" t="n">
        <v>9.60255540931998</v>
      </c>
      <c r="EW77" s="180" t="n">
        <v>9.67229109733998</v>
      </c>
      <c r="EX77" s="180" t="n">
        <v>9.74202678535998</v>
      </c>
      <c r="EY77" s="180" t="n">
        <v>9.81176247337998</v>
      </c>
      <c r="EZ77" s="180" t="n">
        <v>9.88149816139998</v>
      </c>
      <c r="FA77" s="180" t="n">
        <v>9.95123384941998</v>
      </c>
      <c r="FB77" s="180" t="n">
        <v>10.02096953744</v>
      </c>
      <c r="FC77" s="180" t="n">
        <v>10.09070522546</v>
      </c>
      <c r="FD77" s="180" t="n">
        <v>10.16044091348</v>
      </c>
      <c r="FE77" s="180" t="n">
        <v>10.2301766015</v>
      </c>
      <c r="FF77" s="180" t="n">
        <v>10.29991228952</v>
      </c>
      <c r="FG77" s="180" t="n">
        <v>10.36964797754</v>
      </c>
      <c r="FH77" s="180" t="n">
        <v>10.43938366556</v>
      </c>
      <c r="FI77" s="180" t="n">
        <v>10.50911935358</v>
      </c>
      <c r="FJ77" s="180" t="n">
        <v>10.5788550416</v>
      </c>
      <c r="FK77" s="180" t="n">
        <v>10.64859072962</v>
      </c>
      <c r="FL77" s="180" t="n">
        <v>10.71832641764</v>
      </c>
      <c r="FM77" s="180" t="n">
        <v>10.78806210566</v>
      </c>
      <c r="FN77" s="180" t="n">
        <v>10.85779779368</v>
      </c>
      <c r="FO77" s="180" t="n">
        <v>10.9275334817</v>
      </c>
      <c r="FP77" s="180" t="n">
        <v>10.99726916972</v>
      </c>
      <c r="FQ77" s="180" t="n">
        <v>11.06700485774</v>
      </c>
      <c r="FR77" s="180" t="n">
        <v>11.13674054576</v>
      </c>
      <c r="FS77" s="180" t="n">
        <v>11.20647623378</v>
      </c>
      <c r="FT77" s="180" t="n">
        <v>11.2762119218</v>
      </c>
      <c r="FU77" s="180" t="n">
        <v>11.34594760982</v>
      </c>
      <c r="FV77" s="180" t="n">
        <v>11.41568329784</v>
      </c>
      <c r="FW77" s="180" t="n">
        <v>11.48541898586</v>
      </c>
      <c r="FX77" s="180" t="n">
        <v>11.55515467388</v>
      </c>
      <c r="FY77" s="180" t="n">
        <v>11.6248903619</v>
      </c>
      <c r="FZ77" s="180" t="n">
        <v>11.69462604992</v>
      </c>
      <c r="GA77" s="180" t="n">
        <v>11.76436173794</v>
      </c>
      <c r="GB77" s="180" t="n">
        <v>11.83409742596</v>
      </c>
      <c r="GC77" s="180" t="n">
        <v>11.90383311398</v>
      </c>
      <c r="GD77" s="180" t="n">
        <v>11.973568802</v>
      </c>
      <c r="GE77" s="180" t="n">
        <v>12.04330449002</v>
      </c>
      <c r="GF77" s="180" t="n">
        <v>12.11304017804</v>
      </c>
      <c r="GG77" s="180" t="n">
        <v>12.18277586606</v>
      </c>
      <c r="GH77" s="180" t="n">
        <v>12.25251155408</v>
      </c>
      <c r="GI77" s="180" t="n">
        <v>12.3222472421</v>
      </c>
      <c r="GJ77" s="180" t="n">
        <v>12.39198293012</v>
      </c>
      <c r="GK77" s="180" t="n">
        <v>12.46171861814</v>
      </c>
      <c r="GL77" s="180" t="n">
        <v>12.53145430616</v>
      </c>
      <c r="GM77" s="180" t="n">
        <v>12.60118999418</v>
      </c>
      <c r="GN77" s="180" t="n">
        <v>12.6709256822</v>
      </c>
      <c r="GO77" s="180" t="n">
        <v>12.74066137022</v>
      </c>
      <c r="GP77" s="180" t="n">
        <v>12.81039705824</v>
      </c>
      <c r="GQ77" s="180" t="n">
        <v>12.88013274626</v>
      </c>
      <c r="GR77" s="180" t="n">
        <v>12.94986843428</v>
      </c>
      <c r="GS77" s="180" t="n">
        <v>13.0196041223</v>
      </c>
      <c r="GT77" s="180" t="n">
        <v>13.08933981032</v>
      </c>
      <c r="GU77" s="180" t="n">
        <v>13.15907549834</v>
      </c>
      <c r="GV77" s="180" t="n">
        <v>13.22881118636</v>
      </c>
      <c r="GW77" s="180" t="n">
        <v>13.29854687438</v>
      </c>
      <c r="GX77" s="180" t="n">
        <v>13.3682825624</v>
      </c>
      <c r="GY77" s="180" t="n">
        <v>13.43801825042</v>
      </c>
      <c r="GZ77" s="180" t="n">
        <v>13.50775393844</v>
      </c>
      <c r="HA77" s="180" t="n">
        <v>13.57748962646</v>
      </c>
      <c r="HB77" s="180" t="n">
        <v>13.64722531448</v>
      </c>
      <c r="HC77" s="180" t="n">
        <v>13.7169610025</v>
      </c>
      <c r="HD77" s="180" t="n">
        <v>13.78669669052</v>
      </c>
      <c r="HE77" s="180" t="n">
        <v>13.85643237854</v>
      </c>
      <c r="HF77" s="180" t="n">
        <v>13.92616806656</v>
      </c>
      <c r="HG77" s="180" t="n">
        <v>13.99590375458</v>
      </c>
      <c r="HH77" s="180" t="n">
        <v>14.0656394426</v>
      </c>
      <c r="HI77" s="180" t="n">
        <v>14.13537513062</v>
      </c>
      <c r="HJ77" s="180" t="n">
        <v>14.20511081864</v>
      </c>
      <c r="HK77" s="180" t="n">
        <v>14.27484650666</v>
      </c>
      <c r="HL77" s="180" t="n">
        <v>14.34458219468</v>
      </c>
      <c r="HM77" s="180" t="n">
        <v>14.4143178827</v>
      </c>
      <c r="HN77" s="180" t="n">
        <v>14.48405357072</v>
      </c>
      <c r="HO77" s="180" t="n">
        <v>14.55378925874</v>
      </c>
      <c r="HP77" s="180" t="n">
        <v>14.62352494676</v>
      </c>
      <c r="HQ77" s="180" t="n">
        <v>14.69326063478</v>
      </c>
      <c r="HR77" s="180" t="n">
        <v>14.7629963228</v>
      </c>
      <c r="HS77" s="180" t="n">
        <v>14.83273201082</v>
      </c>
      <c r="HT77" s="180" t="n">
        <v>14.90246769884</v>
      </c>
      <c r="HU77" s="180" t="n">
        <v>14.97220338686</v>
      </c>
      <c r="HV77" s="180" t="n">
        <v>15.04193907488</v>
      </c>
      <c r="HW77" s="180" t="n">
        <v>15.1116747629</v>
      </c>
      <c r="HX77" s="180" t="n">
        <v>15.18141045092</v>
      </c>
      <c r="HY77" s="180" t="n">
        <v>15.25114613894</v>
      </c>
      <c r="HZ77" s="180" t="n">
        <v>15.32088182696</v>
      </c>
      <c r="IA77" s="180" t="n">
        <v>15.39061751498</v>
      </c>
      <c r="IB77" s="180" t="n">
        <v>15.460353203</v>
      </c>
      <c r="IC77" s="180" t="n">
        <v>15.53008889102</v>
      </c>
      <c r="ID77" s="180" t="n">
        <v>15.59982457904</v>
      </c>
      <c r="IE77" s="180" t="n">
        <v>15.66956026706</v>
      </c>
      <c r="IF77" s="180" t="n">
        <v>15.73929595508</v>
      </c>
      <c r="IG77" s="180" t="n">
        <v>15.8090316431</v>
      </c>
      <c r="IH77" s="180" t="n">
        <v>15.87876733112</v>
      </c>
      <c r="II77" s="180" t="n">
        <v>15.94850301914</v>
      </c>
      <c r="IJ77" s="180" t="n">
        <v>16.01823870716</v>
      </c>
      <c r="IK77" s="180" t="n">
        <v>16.08797439518</v>
      </c>
      <c r="IL77" s="180" t="n">
        <v>16.1577100832</v>
      </c>
      <c r="IM77" s="180" t="n">
        <v>16.22744577122</v>
      </c>
      <c r="IN77" s="180" t="n">
        <v>16.29718145924</v>
      </c>
      <c r="IO77" s="180" t="n">
        <v>16.36691714726</v>
      </c>
      <c r="IP77" s="180" t="n">
        <v>16.43665283528</v>
      </c>
      <c r="IQ77" s="180" t="n">
        <v>16.5063885233</v>
      </c>
      <c r="IR77" s="180" t="n">
        <v>16.57612421132</v>
      </c>
      <c r="IS77" s="180" t="n">
        <v>16.64585989934</v>
      </c>
      <c r="IT77" s="180" t="n">
        <v>16.71559558736</v>
      </c>
      <c r="IU77" s="180" t="n">
        <v>16.78533127538</v>
      </c>
      <c r="IV77" s="180" t="n">
        <v>16.8550669634</v>
      </c>
    </row>
    <row r="78" customFormat="false" ht="12.75" hidden="false" customHeight="false" outlineLevel="0" collapsed="false">
      <c r="A78" s="189" t="n">
        <v>39052</v>
      </c>
      <c r="B78" s="185" t="n">
        <v>-2.021005929375</v>
      </c>
      <c r="C78" s="185" t="n">
        <v>-1.9907047400625</v>
      </c>
      <c r="D78" s="185" t="n">
        <v>-1.96040355075</v>
      </c>
      <c r="E78" s="185" t="n">
        <v>-1.9301023614375</v>
      </c>
      <c r="F78" s="185" t="n">
        <v>-1.899801172125</v>
      </c>
      <c r="G78" s="185" t="n">
        <v>-1.8694999828125</v>
      </c>
      <c r="H78" s="185" t="n">
        <v>-1.8391987935</v>
      </c>
      <c r="I78" s="185" t="n">
        <v>-1.8088976041875</v>
      </c>
      <c r="J78" s="185" t="n">
        <v>-1.778596414875</v>
      </c>
      <c r="K78" s="185" t="n">
        <v>-1.7482952255625</v>
      </c>
      <c r="L78" s="185" t="n">
        <v>-1.71799403625</v>
      </c>
      <c r="M78" s="185" t="n">
        <v>-1.6876928469375</v>
      </c>
      <c r="N78" s="185" t="n">
        <v>-1.657391657625</v>
      </c>
      <c r="O78" s="185" t="n">
        <v>-1.6270904683125</v>
      </c>
      <c r="P78" s="185" t="n">
        <v>-1.596789279</v>
      </c>
      <c r="Q78" s="185" t="n">
        <v>-1.5664880896875</v>
      </c>
      <c r="R78" s="185" t="n">
        <v>-1.536186900375</v>
      </c>
      <c r="S78" s="185" t="n">
        <v>-1.5058857110625</v>
      </c>
      <c r="T78" s="185" t="n">
        <v>-1.47558452175</v>
      </c>
      <c r="U78" s="185" t="n">
        <v>-1.4452833324375</v>
      </c>
      <c r="V78" s="186" t="n">
        <v>-1.414982143125</v>
      </c>
      <c r="W78" s="185" t="n">
        <v>-1.3846809538125</v>
      </c>
      <c r="X78" s="186" t="n">
        <v>-1.3543797645</v>
      </c>
      <c r="Y78" s="185" t="n">
        <v>-1.3240785751875</v>
      </c>
      <c r="Z78" s="186" t="n">
        <v>-1.293777385875</v>
      </c>
      <c r="AA78" s="185" t="n">
        <v>-1.2634761965625</v>
      </c>
      <c r="AB78" s="187" t="n">
        <v>-1.23317500725</v>
      </c>
      <c r="AC78" s="185" t="n">
        <v>-1.2028738179375</v>
      </c>
      <c r="AD78" s="187" t="n">
        <v>-1.172572628625</v>
      </c>
      <c r="AE78" s="185" t="n">
        <v>-1.1422714393125</v>
      </c>
      <c r="AF78" s="185" t="n">
        <v>-1.11197025</v>
      </c>
      <c r="AG78" s="190" t="n">
        <v>-1.083235125</v>
      </c>
      <c r="AH78" s="190" t="n">
        <v>-1.0545</v>
      </c>
      <c r="AI78" s="190" t="n">
        <v>-1.02725</v>
      </c>
      <c r="AJ78" s="190" t="n">
        <v>-1</v>
      </c>
      <c r="AK78" s="190" t="n">
        <v>-0.8</v>
      </c>
      <c r="AL78" s="190" t="n">
        <v>-0.6</v>
      </c>
      <c r="AM78" s="190" t="n">
        <v>-0.4</v>
      </c>
      <c r="AN78" s="190" t="n">
        <v>-0.2</v>
      </c>
      <c r="AO78" s="190" t="n">
        <v>0</v>
      </c>
      <c r="AP78" s="190" t="n">
        <v>0.2</v>
      </c>
      <c r="AQ78" s="190" t="n">
        <v>0.4</v>
      </c>
      <c r="AR78" s="190" t="n">
        <v>0.6</v>
      </c>
      <c r="AS78" s="190" t="n">
        <v>0.8</v>
      </c>
      <c r="AT78" s="190" t="n">
        <v>1</v>
      </c>
      <c r="AU78" s="190" t="n">
        <v>1.2</v>
      </c>
      <c r="AV78" s="190" t="n">
        <v>1.4</v>
      </c>
      <c r="AW78" s="190" t="n">
        <v>1.58</v>
      </c>
      <c r="AX78" s="190" t="n">
        <v>1.76</v>
      </c>
      <c r="AY78" s="190" t="n">
        <v>1.922</v>
      </c>
      <c r="AZ78" s="190" t="n">
        <v>2.084</v>
      </c>
      <c r="BA78" s="190" t="n">
        <v>2.2298</v>
      </c>
      <c r="BB78" s="190" t="n">
        <v>2.3756</v>
      </c>
      <c r="BC78" s="190" t="n">
        <v>2.50682</v>
      </c>
      <c r="BD78" s="190" t="n">
        <v>2.63804</v>
      </c>
      <c r="BE78" s="190" t="n">
        <v>2.756138</v>
      </c>
      <c r="BF78" s="190" t="n">
        <v>2.874236</v>
      </c>
      <c r="BG78" s="190" t="n">
        <v>2.9805242</v>
      </c>
      <c r="BH78" s="190" t="n">
        <v>3.0868124</v>
      </c>
      <c r="BI78" s="190" t="n">
        <v>3.18247178</v>
      </c>
      <c r="BJ78" s="190" t="n">
        <v>3.27813116</v>
      </c>
      <c r="BK78" s="190" t="n">
        <v>3.364224602</v>
      </c>
      <c r="BL78" s="190" t="n">
        <v>3.450318044</v>
      </c>
      <c r="BM78" s="190" t="n">
        <v>3.5278021418</v>
      </c>
      <c r="BN78" s="190" t="n">
        <v>3.6052862396</v>
      </c>
      <c r="BO78" s="190" t="n">
        <v>3.67502192762</v>
      </c>
      <c r="BP78" s="190" t="n">
        <v>3.74475761564</v>
      </c>
      <c r="BQ78" s="190" t="n">
        <v>3.81449330366</v>
      </c>
      <c r="BR78" s="190" t="n">
        <v>3.88422899168</v>
      </c>
      <c r="BS78" s="190" t="n">
        <v>3.9539646797</v>
      </c>
      <c r="BT78" s="190" t="n">
        <v>4.02370036772</v>
      </c>
      <c r="BU78" s="190" t="n">
        <v>4.09343605574</v>
      </c>
      <c r="BV78" s="190" t="n">
        <v>4.16317174376</v>
      </c>
      <c r="BW78" s="190" t="n">
        <v>4.23290743178</v>
      </c>
      <c r="BX78" s="190" t="n">
        <v>4.3026431198</v>
      </c>
      <c r="BY78" s="190" t="n">
        <v>4.37237880782</v>
      </c>
      <c r="BZ78" s="190" t="n">
        <v>4.44211449584</v>
      </c>
      <c r="CA78" s="190" t="n">
        <v>4.51185018386</v>
      </c>
      <c r="CB78" s="190" t="n">
        <v>4.58158587188</v>
      </c>
      <c r="CC78" s="190" t="n">
        <v>4.6513215599</v>
      </c>
      <c r="CD78" s="190" t="n">
        <v>4.72105724792</v>
      </c>
      <c r="CE78" s="190" t="n">
        <v>4.79079293594</v>
      </c>
      <c r="CF78" s="190" t="n">
        <v>4.86052862396</v>
      </c>
      <c r="CG78" s="190" t="n">
        <v>4.93026431198</v>
      </c>
      <c r="CH78" s="190" t="n">
        <v>5</v>
      </c>
      <c r="CI78" s="190" t="n">
        <v>5.06973568801999</v>
      </c>
      <c r="CJ78" s="190" t="n">
        <v>5.13947137603999</v>
      </c>
      <c r="CK78" s="190" t="n">
        <v>5.20920706405999</v>
      </c>
      <c r="CL78" s="190" t="n">
        <v>5.27894275207999</v>
      </c>
      <c r="CM78" s="190" t="n">
        <v>5.34867844009999</v>
      </c>
      <c r="CN78" s="190" t="n">
        <v>5.41841412811999</v>
      </c>
      <c r="CO78" s="190" t="n">
        <v>5.48814981613999</v>
      </c>
      <c r="CP78" s="190" t="n">
        <v>5.55788550415999</v>
      </c>
      <c r="CQ78" s="190" t="n">
        <v>5.62762119217999</v>
      </c>
      <c r="CR78" s="190" t="n">
        <v>5.69735688019999</v>
      </c>
      <c r="CS78" s="190" t="n">
        <v>5.76709256821999</v>
      </c>
      <c r="CT78" s="190" t="n">
        <v>5.83682825623999</v>
      </c>
      <c r="CU78" s="190" t="n">
        <v>5.90656394425999</v>
      </c>
      <c r="CV78" s="190" t="n">
        <v>5.97629963227999</v>
      </c>
      <c r="CW78" s="190" t="n">
        <v>6.04603532029999</v>
      </c>
      <c r="CX78" s="190" t="n">
        <v>6.11577100831999</v>
      </c>
      <c r="CY78" s="190" t="n">
        <v>6.18550669633999</v>
      </c>
      <c r="CZ78" s="190" t="n">
        <v>6.25524238435999</v>
      </c>
      <c r="DA78" s="190" t="n">
        <v>6.32497807237999</v>
      </c>
      <c r="DB78" s="190" t="n">
        <v>6.39471376039999</v>
      </c>
      <c r="DC78" s="190" t="n">
        <v>6.46444944841999</v>
      </c>
      <c r="DD78" s="190" t="n">
        <v>6.53418513643999</v>
      </c>
      <c r="DE78" s="190" t="n">
        <v>6.60392082445999</v>
      </c>
      <c r="DF78" s="190" t="n">
        <v>6.67365651247999</v>
      </c>
      <c r="DG78" s="190" t="n">
        <v>6.74339220049999</v>
      </c>
      <c r="DH78" s="190" t="n">
        <v>6.81312788851999</v>
      </c>
      <c r="DI78" s="190" t="n">
        <v>6.88286357653999</v>
      </c>
      <c r="DJ78" s="190" t="n">
        <v>6.95259926455999</v>
      </c>
      <c r="DK78" s="190" t="n">
        <v>7.02233495257999</v>
      </c>
      <c r="DL78" s="190" t="n">
        <v>7.09207064059999</v>
      </c>
      <c r="DM78" s="190" t="n">
        <v>7.16180632861999</v>
      </c>
      <c r="DN78" s="190" t="n">
        <v>7.23154201663999</v>
      </c>
      <c r="DO78" s="190" t="n">
        <v>7.30127770465999</v>
      </c>
      <c r="DP78" s="190" t="n">
        <v>7.37101339267999</v>
      </c>
      <c r="DQ78" s="190" t="n">
        <v>7.44074908069999</v>
      </c>
      <c r="DR78" s="190" t="n">
        <v>7.51048476871999</v>
      </c>
      <c r="DS78" s="190" t="n">
        <v>7.58022045673999</v>
      </c>
      <c r="DT78" s="190" t="n">
        <v>7.64995614475999</v>
      </c>
      <c r="DU78" s="190" t="n">
        <v>7.71969183277999</v>
      </c>
      <c r="DV78" s="190" t="n">
        <v>7.78942752079998</v>
      </c>
      <c r="DW78" s="190" t="n">
        <v>7.85916320881998</v>
      </c>
      <c r="DX78" s="190" t="n">
        <v>7.92889889683998</v>
      </c>
      <c r="DY78" s="190" t="n">
        <v>7.99863458485998</v>
      </c>
      <c r="DZ78" s="190" t="n">
        <v>8.06837027287998</v>
      </c>
      <c r="EA78" s="190" t="n">
        <v>8.13810596089998</v>
      </c>
      <c r="EB78" s="190" t="n">
        <v>8.20784164891998</v>
      </c>
      <c r="EC78" s="190" t="n">
        <v>8.27757733693998</v>
      </c>
      <c r="ED78" s="190" t="n">
        <v>8.34731302495998</v>
      </c>
      <c r="EE78" s="190" t="n">
        <v>8.41704871297998</v>
      </c>
      <c r="EF78" s="190" t="n">
        <v>8.48678440099998</v>
      </c>
      <c r="EG78" s="190" t="n">
        <v>8.55652008901998</v>
      </c>
      <c r="EH78" s="190" t="n">
        <v>8.62625577703998</v>
      </c>
      <c r="EI78" s="190" t="n">
        <v>8.69599146505998</v>
      </c>
      <c r="EJ78" s="190" t="n">
        <v>8.76572715307998</v>
      </c>
      <c r="EK78" s="190" t="n">
        <v>8.83546284109998</v>
      </c>
      <c r="EL78" s="180" t="n">
        <v>8.90519852911998</v>
      </c>
      <c r="EM78" s="180" t="n">
        <v>8.97493421713998</v>
      </c>
      <c r="EN78" s="180" t="n">
        <v>9.04466990515998</v>
      </c>
      <c r="EO78" s="180" t="n">
        <v>9.11440559317998</v>
      </c>
      <c r="EP78" s="180" t="n">
        <v>9.18414128119998</v>
      </c>
      <c r="EQ78" s="180" t="n">
        <v>9.25387696921998</v>
      </c>
      <c r="ER78" s="180" t="n">
        <v>9.32361265723998</v>
      </c>
      <c r="ES78" s="180" t="n">
        <v>9.39334834525998</v>
      </c>
      <c r="ET78" s="180" t="n">
        <v>9.46308403327998</v>
      </c>
      <c r="EU78" s="180" t="n">
        <v>9.53281972129998</v>
      </c>
      <c r="EV78" s="180" t="n">
        <v>9.60255540931998</v>
      </c>
      <c r="EW78" s="180" t="n">
        <v>9.67229109733998</v>
      </c>
      <c r="EX78" s="180" t="n">
        <v>9.74202678535998</v>
      </c>
      <c r="EY78" s="180" t="n">
        <v>9.81176247337998</v>
      </c>
      <c r="EZ78" s="180" t="n">
        <v>9.88149816139998</v>
      </c>
      <c r="FA78" s="180" t="n">
        <v>9.95123384941998</v>
      </c>
      <c r="FB78" s="180" t="n">
        <v>10.02096953744</v>
      </c>
      <c r="FC78" s="180" t="n">
        <v>10.09070522546</v>
      </c>
      <c r="FD78" s="180" t="n">
        <v>10.16044091348</v>
      </c>
      <c r="FE78" s="180" t="n">
        <v>10.2301766015</v>
      </c>
      <c r="FF78" s="180" t="n">
        <v>10.29991228952</v>
      </c>
      <c r="FG78" s="180" t="n">
        <v>10.36964797754</v>
      </c>
      <c r="FH78" s="180" t="n">
        <v>10.43938366556</v>
      </c>
      <c r="FI78" s="180" t="n">
        <v>10.50911935358</v>
      </c>
      <c r="FJ78" s="180" t="n">
        <v>10.5788550416</v>
      </c>
      <c r="FK78" s="180" t="n">
        <v>10.64859072962</v>
      </c>
      <c r="FL78" s="180" t="n">
        <v>10.71832641764</v>
      </c>
      <c r="FM78" s="180" t="n">
        <v>10.78806210566</v>
      </c>
      <c r="FN78" s="180" t="n">
        <v>10.85779779368</v>
      </c>
      <c r="FO78" s="180" t="n">
        <v>10.9275334817</v>
      </c>
      <c r="FP78" s="180" t="n">
        <v>10.99726916972</v>
      </c>
      <c r="FQ78" s="180" t="n">
        <v>11.06700485774</v>
      </c>
      <c r="FR78" s="180" t="n">
        <v>11.13674054576</v>
      </c>
      <c r="FS78" s="180" t="n">
        <v>11.20647623378</v>
      </c>
      <c r="FT78" s="180" t="n">
        <v>11.2762119218</v>
      </c>
      <c r="FU78" s="180" t="n">
        <v>11.34594760982</v>
      </c>
      <c r="FV78" s="180" t="n">
        <v>11.41568329784</v>
      </c>
      <c r="FW78" s="180" t="n">
        <v>11.48541898586</v>
      </c>
      <c r="FX78" s="180" t="n">
        <v>11.55515467388</v>
      </c>
      <c r="FY78" s="180" t="n">
        <v>11.6248903619</v>
      </c>
      <c r="FZ78" s="180" t="n">
        <v>11.69462604992</v>
      </c>
      <c r="GA78" s="180" t="n">
        <v>11.76436173794</v>
      </c>
      <c r="GB78" s="180" t="n">
        <v>11.83409742596</v>
      </c>
      <c r="GC78" s="180" t="n">
        <v>11.90383311398</v>
      </c>
      <c r="GD78" s="180" t="n">
        <v>11.973568802</v>
      </c>
      <c r="GE78" s="180" t="n">
        <v>12.04330449002</v>
      </c>
      <c r="GF78" s="180" t="n">
        <v>12.11304017804</v>
      </c>
      <c r="GG78" s="180" t="n">
        <v>12.18277586606</v>
      </c>
      <c r="GH78" s="180" t="n">
        <v>12.25251155408</v>
      </c>
      <c r="GI78" s="180" t="n">
        <v>12.3222472421</v>
      </c>
      <c r="GJ78" s="180" t="n">
        <v>12.39198293012</v>
      </c>
      <c r="GK78" s="180" t="n">
        <v>12.46171861814</v>
      </c>
      <c r="GL78" s="180" t="n">
        <v>12.53145430616</v>
      </c>
      <c r="GM78" s="180" t="n">
        <v>12.60118999418</v>
      </c>
      <c r="GN78" s="180" t="n">
        <v>12.6709256822</v>
      </c>
      <c r="GO78" s="180" t="n">
        <v>12.74066137022</v>
      </c>
      <c r="GP78" s="180" t="n">
        <v>12.81039705824</v>
      </c>
      <c r="GQ78" s="180" t="n">
        <v>12.88013274626</v>
      </c>
      <c r="GR78" s="180" t="n">
        <v>12.94986843428</v>
      </c>
      <c r="GS78" s="180" t="n">
        <v>13.0196041223</v>
      </c>
      <c r="GT78" s="180" t="n">
        <v>13.08933981032</v>
      </c>
      <c r="GU78" s="180" t="n">
        <v>13.15907549834</v>
      </c>
      <c r="GV78" s="180" t="n">
        <v>13.22881118636</v>
      </c>
      <c r="GW78" s="180" t="n">
        <v>13.29854687438</v>
      </c>
      <c r="GX78" s="180" t="n">
        <v>13.3682825624</v>
      </c>
      <c r="GY78" s="180" t="n">
        <v>13.43801825042</v>
      </c>
      <c r="GZ78" s="180" t="n">
        <v>13.50775393844</v>
      </c>
      <c r="HA78" s="180" t="n">
        <v>13.57748962646</v>
      </c>
      <c r="HB78" s="180" t="n">
        <v>13.64722531448</v>
      </c>
      <c r="HC78" s="180" t="n">
        <v>13.7169610025</v>
      </c>
      <c r="HD78" s="180" t="n">
        <v>13.78669669052</v>
      </c>
      <c r="HE78" s="180" t="n">
        <v>13.85643237854</v>
      </c>
      <c r="HF78" s="180" t="n">
        <v>13.92616806656</v>
      </c>
      <c r="HG78" s="180" t="n">
        <v>13.99590375458</v>
      </c>
      <c r="HH78" s="180" t="n">
        <v>14.0656394426</v>
      </c>
      <c r="HI78" s="180" t="n">
        <v>14.13537513062</v>
      </c>
      <c r="HJ78" s="180" t="n">
        <v>14.20511081864</v>
      </c>
      <c r="HK78" s="180" t="n">
        <v>14.27484650666</v>
      </c>
      <c r="HL78" s="180" t="n">
        <v>14.34458219468</v>
      </c>
      <c r="HM78" s="180" t="n">
        <v>14.4143178827</v>
      </c>
      <c r="HN78" s="180" t="n">
        <v>14.48405357072</v>
      </c>
      <c r="HO78" s="180" t="n">
        <v>14.55378925874</v>
      </c>
      <c r="HP78" s="180" t="n">
        <v>14.62352494676</v>
      </c>
      <c r="HQ78" s="180" t="n">
        <v>14.69326063478</v>
      </c>
      <c r="HR78" s="180" t="n">
        <v>14.7629963228</v>
      </c>
      <c r="HS78" s="180" t="n">
        <v>14.83273201082</v>
      </c>
      <c r="HT78" s="180" t="n">
        <v>14.90246769884</v>
      </c>
      <c r="HU78" s="180" t="n">
        <v>14.97220338686</v>
      </c>
      <c r="HV78" s="180" t="n">
        <v>15.04193907488</v>
      </c>
      <c r="HW78" s="180" t="n">
        <v>15.1116747629</v>
      </c>
      <c r="HX78" s="180" t="n">
        <v>15.18141045092</v>
      </c>
      <c r="HY78" s="180" t="n">
        <v>15.25114613894</v>
      </c>
      <c r="HZ78" s="180" t="n">
        <v>15.32088182696</v>
      </c>
      <c r="IA78" s="180" t="n">
        <v>15.39061751498</v>
      </c>
      <c r="IB78" s="180" t="n">
        <v>15.460353203</v>
      </c>
      <c r="IC78" s="180" t="n">
        <v>15.53008889102</v>
      </c>
      <c r="ID78" s="180" t="n">
        <v>15.59982457904</v>
      </c>
      <c r="IE78" s="180" t="n">
        <v>15.66956026706</v>
      </c>
      <c r="IF78" s="180" t="n">
        <v>15.73929595508</v>
      </c>
      <c r="IG78" s="180" t="n">
        <v>15.8090316431</v>
      </c>
      <c r="IH78" s="180" t="n">
        <v>15.87876733112</v>
      </c>
      <c r="II78" s="180" t="n">
        <v>15.94850301914</v>
      </c>
      <c r="IJ78" s="180" t="n">
        <v>16.01823870716</v>
      </c>
      <c r="IK78" s="180" t="n">
        <v>16.08797439518</v>
      </c>
      <c r="IL78" s="180" t="n">
        <v>16.1577100832</v>
      </c>
      <c r="IM78" s="180" t="n">
        <v>16.22744577122</v>
      </c>
      <c r="IN78" s="180" t="n">
        <v>16.29718145924</v>
      </c>
      <c r="IO78" s="180" t="n">
        <v>16.36691714726</v>
      </c>
      <c r="IP78" s="180" t="n">
        <v>16.43665283528</v>
      </c>
      <c r="IQ78" s="180" t="n">
        <v>16.5063885233</v>
      </c>
      <c r="IR78" s="180" t="n">
        <v>16.57612421132</v>
      </c>
      <c r="IS78" s="180" t="n">
        <v>16.64585989934</v>
      </c>
      <c r="IT78" s="180" t="n">
        <v>16.71559558736</v>
      </c>
      <c r="IU78" s="180" t="n">
        <v>16.78533127538</v>
      </c>
      <c r="IV78" s="180" t="n">
        <v>16.8550669634</v>
      </c>
    </row>
    <row r="79" customFormat="false" ht="12.75" hidden="false" customHeight="false" outlineLevel="0" collapsed="false">
      <c r="A79" s="189" t="n">
        <v>39083</v>
      </c>
      <c r="B79" s="185" t="n">
        <v>-2.021005929375</v>
      </c>
      <c r="C79" s="185" t="n">
        <v>-1.9907047400625</v>
      </c>
      <c r="D79" s="185" t="n">
        <v>-1.96040355075</v>
      </c>
      <c r="E79" s="185" t="n">
        <v>-1.9301023614375</v>
      </c>
      <c r="F79" s="185" t="n">
        <v>-1.899801172125</v>
      </c>
      <c r="G79" s="185" t="n">
        <v>-1.8694999828125</v>
      </c>
      <c r="H79" s="185" t="n">
        <v>-1.8391987935</v>
      </c>
      <c r="I79" s="185" t="n">
        <v>-1.8088976041875</v>
      </c>
      <c r="J79" s="185" t="n">
        <v>-1.778596414875</v>
      </c>
      <c r="K79" s="185" t="n">
        <v>-1.7482952255625</v>
      </c>
      <c r="L79" s="185" t="n">
        <v>-1.71799403625</v>
      </c>
      <c r="M79" s="185" t="n">
        <v>-1.6876928469375</v>
      </c>
      <c r="N79" s="185" t="n">
        <v>-1.657391657625</v>
      </c>
      <c r="O79" s="185" t="n">
        <v>-1.6270904683125</v>
      </c>
      <c r="P79" s="185" t="n">
        <v>-1.596789279</v>
      </c>
      <c r="Q79" s="185" t="n">
        <v>-1.5664880896875</v>
      </c>
      <c r="R79" s="185" t="n">
        <v>-1.536186900375</v>
      </c>
      <c r="S79" s="185" t="n">
        <v>-1.5058857110625</v>
      </c>
      <c r="T79" s="185" t="n">
        <v>-1.47558452175</v>
      </c>
      <c r="U79" s="185" t="n">
        <v>-1.4452833324375</v>
      </c>
      <c r="V79" s="186" t="n">
        <v>-1.414982143125</v>
      </c>
      <c r="W79" s="185" t="n">
        <v>-1.3846809538125</v>
      </c>
      <c r="X79" s="186" t="n">
        <v>-1.3543797645</v>
      </c>
      <c r="Y79" s="185" t="n">
        <v>-1.3240785751875</v>
      </c>
      <c r="Z79" s="186" t="n">
        <v>-1.293777385875</v>
      </c>
      <c r="AA79" s="185" t="n">
        <v>-1.2634761965625</v>
      </c>
      <c r="AB79" s="187" t="n">
        <v>-1.23317500725</v>
      </c>
      <c r="AC79" s="185" t="n">
        <v>-1.2028738179375</v>
      </c>
      <c r="AD79" s="187" t="n">
        <v>-1.172572628625</v>
      </c>
      <c r="AE79" s="185" t="n">
        <v>-1.1422714393125</v>
      </c>
      <c r="AF79" s="185" t="n">
        <v>-1.11197025</v>
      </c>
      <c r="AG79" s="190" t="n">
        <v>-1.083235125</v>
      </c>
      <c r="AH79" s="190" t="n">
        <v>-1.0545</v>
      </c>
      <c r="AI79" s="190" t="n">
        <v>-1.02725</v>
      </c>
      <c r="AJ79" s="190" t="n">
        <v>-1</v>
      </c>
      <c r="AK79" s="190" t="n">
        <v>-0.8</v>
      </c>
      <c r="AL79" s="190" t="n">
        <v>-0.6</v>
      </c>
      <c r="AM79" s="190" t="n">
        <v>-0.4</v>
      </c>
      <c r="AN79" s="190" t="n">
        <v>-0.2</v>
      </c>
      <c r="AO79" s="190" t="n">
        <v>0</v>
      </c>
      <c r="AP79" s="190" t="n">
        <v>0.2</v>
      </c>
      <c r="AQ79" s="190" t="n">
        <v>0.4</v>
      </c>
      <c r="AR79" s="190" t="n">
        <v>0.6</v>
      </c>
      <c r="AS79" s="190" t="n">
        <v>0.8</v>
      </c>
      <c r="AT79" s="190" t="n">
        <v>1</v>
      </c>
      <c r="AU79" s="190" t="n">
        <v>1.2</v>
      </c>
      <c r="AV79" s="190" t="n">
        <v>1.4</v>
      </c>
      <c r="AW79" s="190" t="n">
        <v>1.58</v>
      </c>
      <c r="AX79" s="190" t="n">
        <v>1.76</v>
      </c>
      <c r="AY79" s="190" t="n">
        <v>1.922</v>
      </c>
      <c r="AZ79" s="190" t="n">
        <v>2.084</v>
      </c>
      <c r="BA79" s="190" t="n">
        <v>2.2298</v>
      </c>
      <c r="BB79" s="190" t="n">
        <v>2.3756</v>
      </c>
      <c r="BC79" s="190" t="n">
        <v>2.50682</v>
      </c>
      <c r="BD79" s="190" t="n">
        <v>2.63804</v>
      </c>
      <c r="BE79" s="190" t="n">
        <v>2.756138</v>
      </c>
      <c r="BF79" s="190" t="n">
        <v>2.874236</v>
      </c>
      <c r="BG79" s="190" t="n">
        <v>2.9805242</v>
      </c>
      <c r="BH79" s="190" t="n">
        <v>3.0868124</v>
      </c>
      <c r="BI79" s="190" t="n">
        <v>3.18247178</v>
      </c>
      <c r="BJ79" s="190" t="n">
        <v>3.27813116</v>
      </c>
      <c r="BK79" s="190" t="n">
        <v>3.364224602</v>
      </c>
      <c r="BL79" s="190" t="n">
        <v>3.450318044</v>
      </c>
      <c r="BM79" s="190" t="n">
        <v>3.5278021418</v>
      </c>
      <c r="BN79" s="190" t="n">
        <v>3.6052862396</v>
      </c>
      <c r="BO79" s="190" t="n">
        <v>3.67502192762</v>
      </c>
      <c r="BP79" s="190" t="n">
        <v>3.74475761564</v>
      </c>
      <c r="BQ79" s="190" t="n">
        <v>3.81449330366</v>
      </c>
      <c r="BR79" s="190" t="n">
        <v>3.88422899168</v>
      </c>
      <c r="BS79" s="190" t="n">
        <v>3.9539646797</v>
      </c>
      <c r="BT79" s="190" t="n">
        <v>4.02370036772</v>
      </c>
      <c r="BU79" s="190" t="n">
        <v>4.09343605574</v>
      </c>
      <c r="BV79" s="190" t="n">
        <v>4.16317174376</v>
      </c>
      <c r="BW79" s="190" t="n">
        <v>4.23290743178</v>
      </c>
      <c r="BX79" s="190" t="n">
        <v>4.3026431198</v>
      </c>
      <c r="BY79" s="190" t="n">
        <v>4.37237880782</v>
      </c>
      <c r="BZ79" s="190" t="n">
        <v>4.44211449584</v>
      </c>
      <c r="CA79" s="190" t="n">
        <v>4.51185018386</v>
      </c>
      <c r="CB79" s="190" t="n">
        <v>4.58158587188</v>
      </c>
      <c r="CC79" s="190" t="n">
        <v>4.6513215599</v>
      </c>
      <c r="CD79" s="190" t="n">
        <v>4.72105724792</v>
      </c>
      <c r="CE79" s="190" t="n">
        <v>4.79079293594</v>
      </c>
      <c r="CF79" s="190" t="n">
        <v>4.86052862396</v>
      </c>
      <c r="CG79" s="190" t="n">
        <v>4.93026431198</v>
      </c>
      <c r="CH79" s="190" t="n">
        <v>5</v>
      </c>
      <c r="CI79" s="190" t="n">
        <v>5.06973568801999</v>
      </c>
      <c r="CJ79" s="190" t="n">
        <v>5.13947137603999</v>
      </c>
      <c r="CK79" s="190" t="n">
        <v>5.20920706405999</v>
      </c>
      <c r="CL79" s="190" t="n">
        <v>5.27894275207999</v>
      </c>
      <c r="CM79" s="190" t="n">
        <v>5.34867844009999</v>
      </c>
      <c r="CN79" s="190" t="n">
        <v>5.41841412811999</v>
      </c>
      <c r="CO79" s="190" t="n">
        <v>5.48814981613999</v>
      </c>
      <c r="CP79" s="190" t="n">
        <v>5.55788550415999</v>
      </c>
      <c r="CQ79" s="190" t="n">
        <v>5.62762119217999</v>
      </c>
      <c r="CR79" s="190" t="n">
        <v>5.69735688019999</v>
      </c>
      <c r="CS79" s="190" t="n">
        <v>5.76709256821999</v>
      </c>
      <c r="CT79" s="190" t="n">
        <v>5.83682825623999</v>
      </c>
      <c r="CU79" s="190" t="n">
        <v>5.90656394425999</v>
      </c>
      <c r="CV79" s="190" t="n">
        <v>5.97629963227999</v>
      </c>
      <c r="CW79" s="190" t="n">
        <v>6.04603532029999</v>
      </c>
      <c r="CX79" s="190" t="n">
        <v>6.11577100831999</v>
      </c>
      <c r="CY79" s="190" t="n">
        <v>6.18550669633999</v>
      </c>
      <c r="CZ79" s="190" t="n">
        <v>6.25524238435999</v>
      </c>
      <c r="DA79" s="190" t="n">
        <v>6.32497807237999</v>
      </c>
      <c r="DB79" s="190" t="n">
        <v>6.39471376039999</v>
      </c>
      <c r="DC79" s="190" t="n">
        <v>6.46444944841999</v>
      </c>
      <c r="DD79" s="190" t="n">
        <v>6.53418513643999</v>
      </c>
      <c r="DE79" s="190" t="n">
        <v>6.60392082445999</v>
      </c>
      <c r="DF79" s="190" t="n">
        <v>6.67365651247999</v>
      </c>
      <c r="DG79" s="190" t="n">
        <v>6.74339220049999</v>
      </c>
      <c r="DH79" s="190" t="n">
        <v>6.81312788851999</v>
      </c>
      <c r="DI79" s="190" t="n">
        <v>6.88286357653999</v>
      </c>
      <c r="DJ79" s="190" t="n">
        <v>6.95259926455999</v>
      </c>
      <c r="DK79" s="190" t="n">
        <v>7.02233495257999</v>
      </c>
      <c r="DL79" s="190" t="n">
        <v>7.09207064059999</v>
      </c>
      <c r="DM79" s="190" t="n">
        <v>7.16180632861999</v>
      </c>
      <c r="DN79" s="190" t="n">
        <v>7.23154201663999</v>
      </c>
      <c r="DO79" s="190" t="n">
        <v>7.30127770465999</v>
      </c>
      <c r="DP79" s="190" t="n">
        <v>7.37101339267999</v>
      </c>
      <c r="DQ79" s="190" t="n">
        <v>7.44074908069999</v>
      </c>
      <c r="DR79" s="190" t="n">
        <v>7.51048476871999</v>
      </c>
      <c r="DS79" s="190" t="n">
        <v>7.58022045673999</v>
      </c>
      <c r="DT79" s="190" t="n">
        <v>7.64995614475999</v>
      </c>
      <c r="DU79" s="190" t="n">
        <v>7.71969183277999</v>
      </c>
      <c r="DV79" s="190" t="n">
        <v>7.78942752079998</v>
      </c>
      <c r="DW79" s="190" t="n">
        <v>7.85916320881998</v>
      </c>
      <c r="DX79" s="190" t="n">
        <v>7.92889889683998</v>
      </c>
      <c r="DY79" s="190" t="n">
        <v>7.99863458485998</v>
      </c>
      <c r="DZ79" s="190" t="n">
        <v>8.06837027287998</v>
      </c>
      <c r="EA79" s="190" t="n">
        <v>8.13810596089998</v>
      </c>
      <c r="EB79" s="190" t="n">
        <v>8.20784164891998</v>
      </c>
      <c r="EC79" s="190" t="n">
        <v>8.27757733693998</v>
      </c>
      <c r="ED79" s="190" t="n">
        <v>8.34731302495998</v>
      </c>
      <c r="EE79" s="190" t="n">
        <v>8.41704871297998</v>
      </c>
      <c r="EF79" s="190" t="n">
        <v>8.48678440099998</v>
      </c>
      <c r="EG79" s="190" t="n">
        <v>8.55652008901998</v>
      </c>
      <c r="EH79" s="190" t="n">
        <v>8.62625577703998</v>
      </c>
      <c r="EI79" s="190" t="n">
        <v>8.69599146505998</v>
      </c>
      <c r="EJ79" s="190" t="n">
        <v>8.76572715307998</v>
      </c>
      <c r="EK79" s="190" t="n">
        <v>8.83546284109998</v>
      </c>
      <c r="EL79" s="180" t="n">
        <v>8.90519852911998</v>
      </c>
      <c r="EM79" s="180" t="n">
        <v>8.97493421713998</v>
      </c>
      <c r="EN79" s="180" t="n">
        <v>9.04466990515998</v>
      </c>
      <c r="EO79" s="180" t="n">
        <v>9.11440559317998</v>
      </c>
      <c r="EP79" s="180" t="n">
        <v>9.18414128119998</v>
      </c>
      <c r="EQ79" s="180" t="n">
        <v>9.25387696921998</v>
      </c>
      <c r="ER79" s="180" t="n">
        <v>9.32361265723998</v>
      </c>
      <c r="ES79" s="180" t="n">
        <v>9.39334834525998</v>
      </c>
      <c r="ET79" s="180" t="n">
        <v>9.46308403327998</v>
      </c>
      <c r="EU79" s="180" t="n">
        <v>9.53281972129998</v>
      </c>
      <c r="EV79" s="180" t="n">
        <v>9.60255540931998</v>
      </c>
      <c r="EW79" s="180" t="n">
        <v>9.67229109733998</v>
      </c>
      <c r="EX79" s="180" t="n">
        <v>9.74202678535998</v>
      </c>
      <c r="EY79" s="180" t="n">
        <v>9.81176247337998</v>
      </c>
      <c r="EZ79" s="180" t="n">
        <v>9.88149816139998</v>
      </c>
      <c r="FA79" s="180" t="n">
        <v>9.95123384941998</v>
      </c>
      <c r="FB79" s="180" t="n">
        <v>10.02096953744</v>
      </c>
      <c r="FC79" s="180" t="n">
        <v>10.09070522546</v>
      </c>
      <c r="FD79" s="180" t="n">
        <v>10.16044091348</v>
      </c>
      <c r="FE79" s="180" t="n">
        <v>10.2301766015</v>
      </c>
      <c r="FF79" s="180" t="n">
        <v>10.29991228952</v>
      </c>
      <c r="FG79" s="180" t="n">
        <v>10.36964797754</v>
      </c>
      <c r="FH79" s="180" t="n">
        <v>10.43938366556</v>
      </c>
      <c r="FI79" s="180" t="n">
        <v>10.50911935358</v>
      </c>
      <c r="FJ79" s="180" t="n">
        <v>10.5788550416</v>
      </c>
      <c r="FK79" s="180" t="n">
        <v>10.64859072962</v>
      </c>
      <c r="FL79" s="180" t="n">
        <v>10.71832641764</v>
      </c>
      <c r="FM79" s="180" t="n">
        <v>10.78806210566</v>
      </c>
      <c r="FN79" s="180" t="n">
        <v>10.85779779368</v>
      </c>
      <c r="FO79" s="180" t="n">
        <v>10.9275334817</v>
      </c>
      <c r="FP79" s="180" t="n">
        <v>10.99726916972</v>
      </c>
      <c r="FQ79" s="180" t="n">
        <v>11.06700485774</v>
      </c>
      <c r="FR79" s="180" t="n">
        <v>11.13674054576</v>
      </c>
      <c r="FS79" s="180" t="n">
        <v>11.20647623378</v>
      </c>
      <c r="FT79" s="180" t="n">
        <v>11.2762119218</v>
      </c>
      <c r="FU79" s="180" t="n">
        <v>11.34594760982</v>
      </c>
      <c r="FV79" s="180" t="n">
        <v>11.41568329784</v>
      </c>
      <c r="FW79" s="180" t="n">
        <v>11.48541898586</v>
      </c>
      <c r="FX79" s="180" t="n">
        <v>11.55515467388</v>
      </c>
      <c r="FY79" s="180" t="n">
        <v>11.6248903619</v>
      </c>
      <c r="FZ79" s="180" t="n">
        <v>11.69462604992</v>
      </c>
      <c r="GA79" s="180" t="n">
        <v>11.76436173794</v>
      </c>
      <c r="GB79" s="180" t="n">
        <v>11.83409742596</v>
      </c>
      <c r="GC79" s="180" t="n">
        <v>11.90383311398</v>
      </c>
      <c r="GD79" s="180" t="n">
        <v>11.973568802</v>
      </c>
      <c r="GE79" s="180" t="n">
        <v>12.04330449002</v>
      </c>
      <c r="GF79" s="180" t="n">
        <v>12.11304017804</v>
      </c>
      <c r="GG79" s="180" t="n">
        <v>12.18277586606</v>
      </c>
      <c r="GH79" s="180" t="n">
        <v>12.25251155408</v>
      </c>
      <c r="GI79" s="180" t="n">
        <v>12.3222472421</v>
      </c>
      <c r="GJ79" s="180" t="n">
        <v>12.39198293012</v>
      </c>
      <c r="GK79" s="180" t="n">
        <v>12.46171861814</v>
      </c>
      <c r="GL79" s="180" t="n">
        <v>12.53145430616</v>
      </c>
      <c r="GM79" s="180" t="n">
        <v>12.60118999418</v>
      </c>
      <c r="GN79" s="180" t="n">
        <v>12.6709256822</v>
      </c>
      <c r="GO79" s="180" t="n">
        <v>12.74066137022</v>
      </c>
      <c r="GP79" s="180" t="n">
        <v>12.81039705824</v>
      </c>
      <c r="GQ79" s="180" t="n">
        <v>12.88013274626</v>
      </c>
      <c r="GR79" s="180" t="n">
        <v>12.94986843428</v>
      </c>
      <c r="GS79" s="180" t="n">
        <v>13.0196041223</v>
      </c>
      <c r="GT79" s="180" t="n">
        <v>13.08933981032</v>
      </c>
      <c r="GU79" s="180" t="n">
        <v>13.15907549834</v>
      </c>
      <c r="GV79" s="180" t="n">
        <v>13.22881118636</v>
      </c>
      <c r="GW79" s="180" t="n">
        <v>13.29854687438</v>
      </c>
      <c r="GX79" s="180" t="n">
        <v>13.3682825624</v>
      </c>
      <c r="GY79" s="180" t="n">
        <v>13.43801825042</v>
      </c>
      <c r="GZ79" s="180" t="n">
        <v>13.50775393844</v>
      </c>
      <c r="HA79" s="180" t="n">
        <v>13.57748962646</v>
      </c>
      <c r="HB79" s="180" t="n">
        <v>13.64722531448</v>
      </c>
      <c r="HC79" s="180" t="n">
        <v>13.7169610025</v>
      </c>
      <c r="HD79" s="180" t="n">
        <v>13.78669669052</v>
      </c>
      <c r="HE79" s="180" t="n">
        <v>13.85643237854</v>
      </c>
      <c r="HF79" s="180" t="n">
        <v>13.92616806656</v>
      </c>
      <c r="HG79" s="180" t="n">
        <v>13.99590375458</v>
      </c>
      <c r="HH79" s="180" t="n">
        <v>14.0656394426</v>
      </c>
      <c r="HI79" s="180" t="n">
        <v>14.13537513062</v>
      </c>
      <c r="HJ79" s="180" t="n">
        <v>14.20511081864</v>
      </c>
      <c r="HK79" s="180" t="n">
        <v>14.27484650666</v>
      </c>
      <c r="HL79" s="180" t="n">
        <v>14.34458219468</v>
      </c>
      <c r="HM79" s="180" t="n">
        <v>14.4143178827</v>
      </c>
      <c r="HN79" s="180" t="n">
        <v>14.48405357072</v>
      </c>
      <c r="HO79" s="180" t="n">
        <v>14.55378925874</v>
      </c>
      <c r="HP79" s="180" t="n">
        <v>14.62352494676</v>
      </c>
      <c r="HQ79" s="180" t="n">
        <v>14.69326063478</v>
      </c>
      <c r="HR79" s="180" t="n">
        <v>14.7629963228</v>
      </c>
      <c r="HS79" s="180" t="n">
        <v>14.83273201082</v>
      </c>
      <c r="HT79" s="180" t="n">
        <v>14.90246769884</v>
      </c>
      <c r="HU79" s="180" t="n">
        <v>14.97220338686</v>
      </c>
      <c r="HV79" s="180" t="n">
        <v>15.04193907488</v>
      </c>
      <c r="HW79" s="180" t="n">
        <v>15.1116747629</v>
      </c>
      <c r="HX79" s="180" t="n">
        <v>15.18141045092</v>
      </c>
      <c r="HY79" s="180" t="n">
        <v>15.25114613894</v>
      </c>
      <c r="HZ79" s="180" t="n">
        <v>15.32088182696</v>
      </c>
      <c r="IA79" s="180" t="n">
        <v>15.39061751498</v>
      </c>
      <c r="IB79" s="180" t="n">
        <v>15.460353203</v>
      </c>
      <c r="IC79" s="180" t="n">
        <v>15.53008889102</v>
      </c>
      <c r="ID79" s="180" t="n">
        <v>15.59982457904</v>
      </c>
      <c r="IE79" s="180" t="n">
        <v>15.66956026706</v>
      </c>
      <c r="IF79" s="180" t="n">
        <v>15.73929595508</v>
      </c>
      <c r="IG79" s="180" t="n">
        <v>15.8090316431</v>
      </c>
      <c r="IH79" s="180" t="n">
        <v>15.87876733112</v>
      </c>
      <c r="II79" s="180" t="n">
        <v>15.94850301914</v>
      </c>
      <c r="IJ79" s="180" t="n">
        <v>16.01823870716</v>
      </c>
      <c r="IK79" s="180" t="n">
        <v>16.08797439518</v>
      </c>
      <c r="IL79" s="180" t="n">
        <v>16.1577100832</v>
      </c>
      <c r="IM79" s="180" t="n">
        <v>16.22744577122</v>
      </c>
      <c r="IN79" s="180" t="n">
        <v>16.29718145924</v>
      </c>
      <c r="IO79" s="180" t="n">
        <v>16.36691714726</v>
      </c>
      <c r="IP79" s="180" t="n">
        <v>16.43665283528</v>
      </c>
      <c r="IQ79" s="180" t="n">
        <v>16.5063885233</v>
      </c>
      <c r="IR79" s="180" t="n">
        <v>16.57612421132</v>
      </c>
      <c r="IS79" s="180" t="n">
        <v>16.64585989934</v>
      </c>
      <c r="IT79" s="180" t="n">
        <v>16.71559558736</v>
      </c>
      <c r="IU79" s="180" t="n">
        <v>16.78533127538</v>
      </c>
      <c r="IV79" s="180" t="n">
        <v>16.8550669634</v>
      </c>
    </row>
    <row r="80" customFormat="false" ht="12.75" hidden="false" customHeight="false" outlineLevel="0" collapsed="false">
      <c r="A80" s="189" t="n">
        <v>39114</v>
      </c>
      <c r="B80" s="185" t="n">
        <v>-2.021005929375</v>
      </c>
      <c r="C80" s="185" t="n">
        <v>-1.9907047400625</v>
      </c>
      <c r="D80" s="185" t="n">
        <v>-1.96040355075</v>
      </c>
      <c r="E80" s="185" t="n">
        <v>-1.9301023614375</v>
      </c>
      <c r="F80" s="185" t="n">
        <v>-1.899801172125</v>
      </c>
      <c r="G80" s="185" t="n">
        <v>-1.8694999828125</v>
      </c>
      <c r="H80" s="185" t="n">
        <v>-1.8391987935</v>
      </c>
      <c r="I80" s="185" t="n">
        <v>-1.8088976041875</v>
      </c>
      <c r="J80" s="185" t="n">
        <v>-1.778596414875</v>
      </c>
      <c r="K80" s="185" t="n">
        <v>-1.7482952255625</v>
      </c>
      <c r="L80" s="185" t="n">
        <v>-1.71799403625</v>
      </c>
      <c r="M80" s="185" t="n">
        <v>-1.6876928469375</v>
      </c>
      <c r="N80" s="185" t="n">
        <v>-1.657391657625</v>
      </c>
      <c r="O80" s="185" t="n">
        <v>-1.6270904683125</v>
      </c>
      <c r="P80" s="185" t="n">
        <v>-1.596789279</v>
      </c>
      <c r="Q80" s="185" t="n">
        <v>-1.5664880896875</v>
      </c>
      <c r="R80" s="185" t="n">
        <v>-1.536186900375</v>
      </c>
      <c r="S80" s="185" t="n">
        <v>-1.5058857110625</v>
      </c>
      <c r="T80" s="185" t="n">
        <v>-1.47558452175</v>
      </c>
      <c r="U80" s="185" t="n">
        <v>-1.4452833324375</v>
      </c>
      <c r="V80" s="186" t="n">
        <v>-1.414982143125</v>
      </c>
      <c r="W80" s="185" t="n">
        <v>-1.3846809538125</v>
      </c>
      <c r="X80" s="186" t="n">
        <v>-1.3543797645</v>
      </c>
      <c r="Y80" s="185" t="n">
        <v>-1.3240785751875</v>
      </c>
      <c r="Z80" s="186" t="n">
        <v>-1.293777385875</v>
      </c>
      <c r="AA80" s="185" t="n">
        <v>-1.2634761965625</v>
      </c>
      <c r="AB80" s="187" t="n">
        <v>-1.23317500725</v>
      </c>
      <c r="AC80" s="185" t="n">
        <v>-1.2028738179375</v>
      </c>
      <c r="AD80" s="187" t="n">
        <v>-1.172572628625</v>
      </c>
      <c r="AE80" s="185" t="n">
        <v>-1.1422714393125</v>
      </c>
      <c r="AF80" s="185" t="n">
        <v>-1.11197025</v>
      </c>
      <c r="AG80" s="190" t="n">
        <v>-1.083235125</v>
      </c>
      <c r="AH80" s="190" t="n">
        <v>-1.0545</v>
      </c>
      <c r="AI80" s="190" t="n">
        <v>-1.02725</v>
      </c>
      <c r="AJ80" s="190" t="n">
        <v>-1</v>
      </c>
      <c r="AK80" s="190" t="n">
        <v>-0.8</v>
      </c>
      <c r="AL80" s="190" t="n">
        <v>-0.6</v>
      </c>
      <c r="AM80" s="190" t="n">
        <v>-0.4</v>
      </c>
      <c r="AN80" s="190" t="n">
        <v>-0.2</v>
      </c>
      <c r="AO80" s="190" t="n">
        <v>0</v>
      </c>
      <c r="AP80" s="190" t="n">
        <v>0.2</v>
      </c>
      <c r="AQ80" s="190" t="n">
        <v>0.4</v>
      </c>
      <c r="AR80" s="190" t="n">
        <v>0.6</v>
      </c>
      <c r="AS80" s="190" t="n">
        <v>0.8</v>
      </c>
      <c r="AT80" s="190" t="n">
        <v>1</v>
      </c>
      <c r="AU80" s="190" t="n">
        <v>1.2</v>
      </c>
      <c r="AV80" s="190" t="n">
        <v>1.4</v>
      </c>
      <c r="AW80" s="190" t="n">
        <v>1.58</v>
      </c>
      <c r="AX80" s="190" t="n">
        <v>1.76</v>
      </c>
      <c r="AY80" s="190" t="n">
        <v>1.922</v>
      </c>
      <c r="AZ80" s="190" t="n">
        <v>2.084</v>
      </c>
      <c r="BA80" s="190" t="n">
        <v>2.2298</v>
      </c>
      <c r="BB80" s="190" t="n">
        <v>2.3756</v>
      </c>
      <c r="BC80" s="190" t="n">
        <v>2.50682</v>
      </c>
      <c r="BD80" s="190" t="n">
        <v>2.63804</v>
      </c>
      <c r="BE80" s="190" t="n">
        <v>2.756138</v>
      </c>
      <c r="BF80" s="190" t="n">
        <v>2.874236</v>
      </c>
      <c r="BG80" s="190" t="n">
        <v>2.9805242</v>
      </c>
      <c r="BH80" s="190" t="n">
        <v>3.0868124</v>
      </c>
      <c r="BI80" s="190" t="n">
        <v>3.18247178</v>
      </c>
      <c r="BJ80" s="190" t="n">
        <v>3.27813116</v>
      </c>
      <c r="BK80" s="190" t="n">
        <v>3.364224602</v>
      </c>
      <c r="BL80" s="190" t="n">
        <v>3.450318044</v>
      </c>
      <c r="BM80" s="190" t="n">
        <v>3.5278021418</v>
      </c>
      <c r="BN80" s="190" t="n">
        <v>3.6052862396</v>
      </c>
      <c r="BO80" s="190" t="n">
        <v>3.67502192762</v>
      </c>
      <c r="BP80" s="190" t="n">
        <v>3.74475761564</v>
      </c>
      <c r="BQ80" s="190" t="n">
        <v>3.81449330366</v>
      </c>
      <c r="BR80" s="190" t="n">
        <v>3.88422899168</v>
      </c>
      <c r="BS80" s="190" t="n">
        <v>3.9539646797</v>
      </c>
      <c r="BT80" s="190" t="n">
        <v>4.02370036772</v>
      </c>
      <c r="BU80" s="190" t="n">
        <v>4.09343605574</v>
      </c>
      <c r="BV80" s="190" t="n">
        <v>4.16317174376</v>
      </c>
      <c r="BW80" s="190" t="n">
        <v>4.23290743178</v>
      </c>
      <c r="BX80" s="190" t="n">
        <v>4.3026431198</v>
      </c>
      <c r="BY80" s="190" t="n">
        <v>4.37237880782</v>
      </c>
      <c r="BZ80" s="190" t="n">
        <v>4.44211449584</v>
      </c>
      <c r="CA80" s="190" t="n">
        <v>4.51185018386</v>
      </c>
      <c r="CB80" s="190" t="n">
        <v>4.58158587188</v>
      </c>
      <c r="CC80" s="190" t="n">
        <v>4.6513215599</v>
      </c>
      <c r="CD80" s="190" t="n">
        <v>4.72105724792</v>
      </c>
      <c r="CE80" s="190" t="n">
        <v>4.79079293594</v>
      </c>
      <c r="CF80" s="190" t="n">
        <v>4.86052862396</v>
      </c>
      <c r="CG80" s="190" t="n">
        <v>4.93026431198</v>
      </c>
      <c r="CH80" s="190" t="n">
        <v>5</v>
      </c>
      <c r="CI80" s="190" t="n">
        <v>5.06973568801999</v>
      </c>
      <c r="CJ80" s="190" t="n">
        <v>5.13947137603999</v>
      </c>
      <c r="CK80" s="190" t="n">
        <v>5.20920706405999</v>
      </c>
      <c r="CL80" s="190" t="n">
        <v>5.27894275207999</v>
      </c>
      <c r="CM80" s="190" t="n">
        <v>5.34867844009999</v>
      </c>
      <c r="CN80" s="190" t="n">
        <v>5.41841412811999</v>
      </c>
      <c r="CO80" s="190" t="n">
        <v>5.48814981613999</v>
      </c>
      <c r="CP80" s="190" t="n">
        <v>5.55788550415999</v>
      </c>
      <c r="CQ80" s="190" t="n">
        <v>5.62762119217999</v>
      </c>
      <c r="CR80" s="190" t="n">
        <v>5.69735688019999</v>
      </c>
      <c r="CS80" s="190" t="n">
        <v>5.76709256821999</v>
      </c>
      <c r="CT80" s="190" t="n">
        <v>5.83682825623999</v>
      </c>
      <c r="CU80" s="190" t="n">
        <v>5.90656394425999</v>
      </c>
      <c r="CV80" s="190" t="n">
        <v>5.97629963227999</v>
      </c>
      <c r="CW80" s="190" t="n">
        <v>6.04603532029999</v>
      </c>
      <c r="CX80" s="190" t="n">
        <v>6.11577100831999</v>
      </c>
      <c r="CY80" s="190" t="n">
        <v>6.18550669633999</v>
      </c>
      <c r="CZ80" s="190" t="n">
        <v>6.25524238435999</v>
      </c>
      <c r="DA80" s="190" t="n">
        <v>6.32497807237999</v>
      </c>
      <c r="DB80" s="190" t="n">
        <v>6.39471376039999</v>
      </c>
      <c r="DC80" s="190" t="n">
        <v>6.46444944841999</v>
      </c>
      <c r="DD80" s="190" t="n">
        <v>6.53418513643999</v>
      </c>
      <c r="DE80" s="190" t="n">
        <v>6.60392082445999</v>
      </c>
      <c r="DF80" s="190" t="n">
        <v>6.67365651247999</v>
      </c>
      <c r="DG80" s="190" t="n">
        <v>6.74339220049999</v>
      </c>
      <c r="DH80" s="190" t="n">
        <v>6.81312788851999</v>
      </c>
      <c r="DI80" s="190" t="n">
        <v>6.88286357653999</v>
      </c>
      <c r="DJ80" s="190" t="n">
        <v>6.95259926455999</v>
      </c>
      <c r="DK80" s="190" t="n">
        <v>7.02233495257999</v>
      </c>
      <c r="DL80" s="190" t="n">
        <v>7.09207064059999</v>
      </c>
      <c r="DM80" s="190" t="n">
        <v>7.16180632861999</v>
      </c>
      <c r="DN80" s="190" t="n">
        <v>7.23154201663999</v>
      </c>
      <c r="DO80" s="190" t="n">
        <v>7.30127770465999</v>
      </c>
      <c r="DP80" s="190" t="n">
        <v>7.37101339267999</v>
      </c>
      <c r="DQ80" s="190" t="n">
        <v>7.44074908069999</v>
      </c>
      <c r="DR80" s="190" t="n">
        <v>7.51048476871999</v>
      </c>
      <c r="DS80" s="190" t="n">
        <v>7.58022045673999</v>
      </c>
      <c r="DT80" s="190" t="n">
        <v>7.64995614475999</v>
      </c>
      <c r="DU80" s="190" t="n">
        <v>7.71969183277999</v>
      </c>
      <c r="DV80" s="190" t="n">
        <v>7.78942752079998</v>
      </c>
      <c r="DW80" s="190" t="n">
        <v>7.85916320881998</v>
      </c>
      <c r="DX80" s="190" t="n">
        <v>7.92889889683998</v>
      </c>
      <c r="DY80" s="190" t="n">
        <v>7.99863458485998</v>
      </c>
      <c r="DZ80" s="190" t="n">
        <v>8.06837027287998</v>
      </c>
      <c r="EA80" s="190" t="n">
        <v>8.13810596089998</v>
      </c>
      <c r="EB80" s="190" t="n">
        <v>8.20784164891998</v>
      </c>
      <c r="EC80" s="190" t="n">
        <v>8.27757733693998</v>
      </c>
      <c r="ED80" s="190" t="n">
        <v>8.34731302495998</v>
      </c>
      <c r="EE80" s="190" t="n">
        <v>8.41704871297998</v>
      </c>
      <c r="EF80" s="190" t="n">
        <v>8.48678440099998</v>
      </c>
      <c r="EG80" s="190" t="n">
        <v>8.55652008901998</v>
      </c>
      <c r="EH80" s="190" t="n">
        <v>8.62625577703998</v>
      </c>
      <c r="EI80" s="190" t="n">
        <v>8.69599146505998</v>
      </c>
      <c r="EJ80" s="190" t="n">
        <v>8.76572715307998</v>
      </c>
      <c r="EK80" s="190" t="n">
        <v>8.83546284109998</v>
      </c>
      <c r="EL80" s="180" t="n">
        <v>8.90519852911998</v>
      </c>
      <c r="EM80" s="180" t="n">
        <v>8.97493421713998</v>
      </c>
      <c r="EN80" s="180" t="n">
        <v>9.04466990515998</v>
      </c>
      <c r="EO80" s="180" t="n">
        <v>9.11440559317998</v>
      </c>
      <c r="EP80" s="180" t="n">
        <v>9.18414128119998</v>
      </c>
      <c r="EQ80" s="180" t="n">
        <v>9.25387696921998</v>
      </c>
      <c r="ER80" s="180" t="n">
        <v>9.32361265723998</v>
      </c>
      <c r="ES80" s="180" t="n">
        <v>9.39334834525998</v>
      </c>
      <c r="ET80" s="180" t="n">
        <v>9.46308403327998</v>
      </c>
      <c r="EU80" s="180" t="n">
        <v>9.53281972129998</v>
      </c>
      <c r="EV80" s="180" t="n">
        <v>9.60255540931998</v>
      </c>
      <c r="EW80" s="180" t="n">
        <v>9.67229109733998</v>
      </c>
      <c r="EX80" s="180" t="n">
        <v>9.74202678535998</v>
      </c>
      <c r="EY80" s="180" t="n">
        <v>9.81176247337998</v>
      </c>
      <c r="EZ80" s="180" t="n">
        <v>9.88149816139998</v>
      </c>
      <c r="FA80" s="180" t="n">
        <v>9.95123384941998</v>
      </c>
      <c r="FB80" s="180" t="n">
        <v>10.02096953744</v>
      </c>
      <c r="FC80" s="180" t="n">
        <v>10.09070522546</v>
      </c>
      <c r="FD80" s="180" t="n">
        <v>10.16044091348</v>
      </c>
      <c r="FE80" s="180" t="n">
        <v>10.2301766015</v>
      </c>
      <c r="FF80" s="180" t="n">
        <v>10.29991228952</v>
      </c>
      <c r="FG80" s="180" t="n">
        <v>10.36964797754</v>
      </c>
      <c r="FH80" s="180" t="n">
        <v>10.43938366556</v>
      </c>
      <c r="FI80" s="180" t="n">
        <v>10.50911935358</v>
      </c>
      <c r="FJ80" s="180" t="n">
        <v>10.5788550416</v>
      </c>
      <c r="FK80" s="180" t="n">
        <v>10.64859072962</v>
      </c>
      <c r="FL80" s="180" t="n">
        <v>10.71832641764</v>
      </c>
      <c r="FM80" s="180" t="n">
        <v>10.78806210566</v>
      </c>
      <c r="FN80" s="180" t="n">
        <v>10.85779779368</v>
      </c>
      <c r="FO80" s="180" t="n">
        <v>10.9275334817</v>
      </c>
      <c r="FP80" s="180" t="n">
        <v>10.99726916972</v>
      </c>
      <c r="FQ80" s="180" t="n">
        <v>11.06700485774</v>
      </c>
      <c r="FR80" s="180" t="n">
        <v>11.13674054576</v>
      </c>
      <c r="FS80" s="180" t="n">
        <v>11.20647623378</v>
      </c>
      <c r="FT80" s="180" t="n">
        <v>11.2762119218</v>
      </c>
      <c r="FU80" s="180" t="n">
        <v>11.34594760982</v>
      </c>
      <c r="FV80" s="180" t="n">
        <v>11.41568329784</v>
      </c>
      <c r="FW80" s="180" t="n">
        <v>11.48541898586</v>
      </c>
      <c r="FX80" s="180" t="n">
        <v>11.55515467388</v>
      </c>
      <c r="FY80" s="180" t="n">
        <v>11.6248903619</v>
      </c>
      <c r="FZ80" s="180" t="n">
        <v>11.69462604992</v>
      </c>
      <c r="GA80" s="180" t="n">
        <v>11.76436173794</v>
      </c>
      <c r="GB80" s="180" t="n">
        <v>11.83409742596</v>
      </c>
      <c r="GC80" s="180" t="n">
        <v>11.90383311398</v>
      </c>
      <c r="GD80" s="180" t="n">
        <v>11.973568802</v>
      </c>
      <c r="GE80" s="180" t="n">
        <v>12.04330449002</v>
      </c>
      <c r="GF80" s="180" t="n">
        <v>12.11304017804</v>
      </c>
      <c r="GG80" s="180" t="n">
        <v>12.18277586606</v>
      </c>
      <c r="GH80" s="180" t="n">
        <v>12.25251155408</v>
      </c>
      <c r="GI80" s="180" t="n">
        <v>12.3222472421</v>
      </c>
      <c r="GJ80" s="180" t="n">
        <v>12.39198293012</v>
      </c>
      <c r="GK80" s="180" t="n">
        <v>12.46171861814</v>
      </c>
      <c r="GL80" s="180" t="n">
        <v>12.53145430616</v>
      </c>
      <c r="GM80" s="180" t="n">
        <v>12.60118999418</v>
      </c>
      <c r="GN80" s="180" t="n">
        <v>12.6709256822</v>
      </c>
      <c r="GO80" s="180" t="n">
        <v>12.74066137022</v>
      </c>
      <c r="GP80" s="180" t="n">
        <v>12.81039705824</v>
      </c>
      <c r="GQ80" s="180" t="n">
        <v>12.88013274626</v>
      </c>
      <c r="GR80" s="180" t="n">
        <v>12.94986843428</v>
      </c>
      <c r="GS80" s="180" t="n">
        <v>13.0196041223</v>
      </c>
      <c r="GT80" s="180" t="n">
        <v>13.08933981032</v>
      </c>
      <c r="GU80" s="180" t="n">
        <v>13.15907549834</v>
      </c>
      <c r="GV80" s="180" t="n">
        <v>13.22881118636</v>
      </c>
      <c r="GW80" s="180" t="n">
        <v>13.29854687438</v>
      </c>
      <c r="GX80" s="180" t="n">
        <v>13.3682825624</v>
      </c>
      <c r="GY80" s="180" t="n">
        <v>13.43801825042</v>
      </c>
      <c r="GZ80" s="180" t="n">
        <v>13.50775393844</v>
      </c>
      <c r="HA80" s="180" t="n">
        <v>13.57748962646</v>
      </c>
      <c r="HB80" s="180" t="n">
        <v>13.64722531448</v>
      </c>
      <c r="HC80" s="180" t="n">
        <v>13.7169610025</v>
      </c>
      <c r="HD80" s="180" t="n">
        <v>13.78669669052</v>
      </c>
      <c r="HE80" s="180" t="n">
        <v>13.85643237854</v>
      </c>
      <c r="HF80" s="180" t="n">
        <v>13.92616806656</v>
      </c>
      <c r="HG80" s="180" t="n">
        <v>13.99590375458</v>
      </c>
      <c r="HH80" s="180" t="n">
        <v>14.0656394426</v>
      </c>
      <c r="HI80" s="180" t="n">
        <v>14.13537513062</v>
      </c>
      <c r="HJ80" s="180" t="n">
        <v>14.20511081864</v>
      </c>
      <c r="HK80" s="180" t="n">
        <v>14.27484650666</v>
      </c>
      <c r="HL80" s="180" t="n">
        <v>14.34458219468</v>
      </c>
      <c r="HM80" s="180" t="n">
        <v>14.4143178827</v>
      </c>
      <c r="HN80" s="180" t="n">
        <v>14.48405357072</v>
      </c>
      <c r="HO80" s="180" t="n">
        <v>14.55378925874</v>
      </c>
      <c r="HP80" s="180" t="n">
        <v>14.62352494676</v>
      </c>
      <c r="HQ80" s="180" t="n">
        <v>14.69326063478</v>
      </c>
      <c r="HR80" s="180" t="n">
        <v>14.7629963228</v>
      </c>
      <c r="HS80" s="180" t="n">
        <v>14.83273201082</v>
      </c>
      <c r="HT80" s="180" t="n">
        <v>14.90246769884</v>
      </c>
      <c r="HU80" s="180" t="n">
        <v>14.97220338686</v>
      </c>
      <c r="HV80" s="180" t="n">
        <v>15.04193907488</v>
      </c>
      <c r="HW80" s="180" t="n">
        <v>15.1116747629</v>
      </c>
      <c r="HX80" s="180" t="n">
        <v>15.18141045092</v>
      </c>
      <c r="HY80" s="180" t="n">
        <v>15.25114613894</v>
      </c>
      <c r="HZ80" s="180" t="n">
        <v>15.32088182696</v>
      </c>
      <c r="IA80" s="180" t="n">
        <v>15.39061751498</v>
      </c>
      <c r="IB80" s="180" t="n">
        <v>15.460353203</v>
      </c>
      <c r="IC80" s="180" t="n">
        <v>15.53008889102</v>
      </c>
      <c r="ID80" s="180" t="n">
        <v>15.59982457904</v>
      </c>
      <c r="IE80" s="180" t="n">
        <v>15.66956026706</v>
      </c>
      <c r="IF80" s="180" t="n">
        <v>15.73929595508</v>
      </c>
      <c r="IG80" s="180" t="n">
        <v>15.8090316431</v>
      </c>
      <c r="IH80" s="180" t="n">
        <v>15.87876733112</v>
      </c>
      <c r="II80" s="180" t="n">
        <v>15.94850301914</v>
      </c>
      <c r="IJ80" s="180" t="n">
        <v>16.01823870716</v>
      </c>
      <c r="IK80" s="180" t="n">
        <v>16.08797439518</v>
      </c>
      <c r="IL80" s="180" t="n">
        <v>16.1577100832</v>
      </c>
      <c r="IM80" s="180" t="n">
        <v>16.22744577122</v>
      </c>
      <c r="IN80" s="180" t="n">
        <v>16.29718145924</v>
      </c>
      <c r="IO80" s="180" t="n">
        <v>16.36691714726</v>
      </c>
      <c r="IP80" s="180" t="n">
        <v>16.43665283528</v>
      </c>
      <c r="IQ80" s="180" t="n">
        <v>16.5063885233</v>
      </c>
      <c r="IR80" s="180" t="n">
        <v>16.57612421132</v>
      </c>
      <c r="IS80" s="180" t="n">
        <v>16.64585989934</v>
      </c>
      <c r="IT80" s="180" t="n">
        <v>16.71559558736</v>
      </c>
      <c r="IU80" s="180" t="n">
        <v>16.78533127538</v>
      </c>
      <c r="IV80" s="180" t="n">
        <v>16.8550669634</v>
      </c>
    </row>
    <row r="81" customFormat="false" ht="12.75" hidden="false" customHeight="false" outlineLevel="0" collapsed="false">
      <c r="A81" s="189" t="n">
        <v>39142</v>
      </c>
      <c r="B81" s="185" t="n">
        <v>-2.021005929375</v>
      </c>
      <c r="C81" s="185" t="n">
        <v>-1.9907047400625</v>
      </c>
      <c r="D81" s="185" t="n">
        <v>-1.96040355075</v>
      </c>
      <c r="E81" s="185" t="n">
        <v>-1.9301023614375</v>
      </c>
      <c r="F81" s="185" t="n">
        <v>-1.899801172125</v>
      </c>
      <c r="G81" s="185" t="n">
        <v>-1.8694999828125</v>
      </c>
      <c r="H81" s="185" t="n">
        <v>-1.8391987935</v>
      </c>
      <c r="I81" s="185" t="n">
        <v>-1.8088976041875</v>
      </c>
      <c r="J81" s="185" t="n">
        <v>-1.778596414875</v>
      </c>
      <c r="K81" s="185" t="n">
        <v>-1.7482952255625</v>
      </c>
      <c r="L81" s="185" t="n">
        <v>-1.71799403625</v>
      </c>
      <c r="M81" s="185" t="n">
        <v>-1.6876928469375</v>
      </c>
      <c r="N81" s="185" t="n">
        <v>-1.657391657625</v>
      </c>
      <c r="O81" s="185" t="n">
        <v>-1.6270904683125</v>
      </c>
      <c r="P81" s="185" t="n">
        <v>-1.596789279</v>
      </c>
      <c r="Q81" s="185" t="n">
        <v>-1.5664880896875</v>
      </c>
      <c r="R81" s="185" t="n">
        <v>-1.536186900375</v>
      </c>
      <c r="S81" s="185" t="n">
        <v>-1.5058857110625</v>
      </c>
      <c r="T81" s="185" t="n">
        <v>-1.47558452175</v>
      </c>
      <c r="U81" s="185" t="n">
        <v>-1.4452833324375</v>
      </c>
      <c r="V81" s="186" t="n">
        <v>-1.414982143125</v>
      </c>
      <c r="W81" s="185" t="n">
        <v>-1.3846809538125</v>
      </c>
      <c r="X81" s="186" t="n">
        <v>-1.3543797645</v>
      </c>
      <c r="Y81" s="185" t="n">
        <v>-1.3240785751875</v>
      </c>
      <c r="Z81" s="186" t="n">
        <v>-1.293777385875</v>
      </c>
      <c r="AA81" s="185" t="n">
        <v>-1.2634761965625</v>
      </c>
      <c r="AB81" s="187" t="n">
        <v>-1.23317500725</v>
      </c>
      <c r="AC81" s="185" t="n">
        <v>-1.2028738179375</v>
      </c>
      <c r="AD81" s="187" t="n">
        <v>-1.172572628625</v>
      </c>
      <c r="AE81" s="185" t="n">
        <v>-1.1422714393125</v>
      </c>
      <c r="AF81" s="185" t="n">
        <v>-1.11197025</v>
      </c>
      <c r="AG81" s="190" t="n">
        <v>-1.083235125</v>
      </c>
      <c r="AH81" s="190" t="n">
        <v>-1.0545</v>
      </c>
      <c r="AI81" s="190" t="n">
        <v>-1.02725</v>
      </c>
      <c r="AJ81" s="190" t="n">
        <v>-1</v>
      </c>
      <c r="AK81" s="190" t="n">
        <v>-0.8</v>
      </c>
      <c r="AL81" s="190" t="n">
        <v>-0.6</v>
      </c>
      <c r="AM81" s="190" t="n">
        <v>-0.4</v>
      </c>
      <c r="AN81" s="190" t="n">
        <v>-0.2</v>
      </c>
      <c r="AO81" s="190" t="n">
        <v>0</v>
      </c>
      <c r="AP81" s="190" t="n">
        <v>0.2</v>
      </c>
      <c r="AQ81" s="190" t="n">
        <v>0.4</v>
      </c>
      <c r="AR81" s="190" t="n">
        <v>0.6</v>
      </c>
      <c r="AS81" s="190" t="n">
        <v>0.8</v>
      </c>
      <c r="AT81" s="190" t="n">
        <v>1</v>
      </c>
      <c r="AU81" s="190" t="n">
        <v>1.2</v>
      </c>
      <c r="AV81" s="190" t="n">
        <v>1.4</v>
      </c>
      <c r="AW81" s="190" t="n">
        <v>1.58</v>
      </c>
      <c r="AX81" s="190" t="n">
        <v>1.76</v>
      </c>
      <c r="AY81" s="190" t="n">
        <v>1.922</v>
      </c>
      <c r="AZ81" s="190" t="n">
        <v>2.084</v>
      </c>
      <c r="BA81" s="190" t="n">
        <v>2.2298</v>
      </c>
      <c r="BB81" s="190" t="n">
        <v>2.3756</v>
      </c>
      <c r="BC81" s="190" t="n">
        <v>2.50682</v>
      </c>
      <c r="BD81" s="190" t="n">
        <v>2.63804</v>
      </c>
      <c r="BE81" s="190" t="n">
        <v>2.756138</v>
      </c>
      <c r="BF81" s="190" t="n">
        <v>2.874236</v>
      </c>
      <c r="BG81" s="190" t="n">
        <v>2.9805242</v>
      </c>
      <c r="BH81" s="190" t="n">
        <v>3.0868124</v>
      </c>
      <c r="BI81" s="190" t="n">
        <v>3.18247178</v>
      </c>
      <c r="BJ81" s="190" t="n">
        <v>3.27813116</v>
      </c>
      <c r="BK81" s="190" t="n">
        <v>3.364224602</v>
      </c>
      <c r="BL81" s="190" t="n">
        <v>3.450318044</v>
      </c>
      <c r="BM81" s="190" t="n">
        <v>3.5278021418</v>
      </c>
      <c r="BN81" s="190" t="n">
        <v>3.6052862396</v>
      </c>
      <c r="BO81" s="190" t="n">
        <v>3.67502192762</v>
      </c>
      <c r="BP81" s="190" t="n">
        <v>3.74475761564</v>
      </c>
      <c r="BQ81" s="190" t="n">
        <v>3.81449330366</v>
      </c>
      <c r="BR81" s="190" t="n">
        <v>3.88422899168</v>
      </c>
      <c r="BS81" s="190" t="n">
        <v>3.9539646797</v>
      </c>
      <c r="BT81" s="190" t="n">
        <v>4.02370036772</v>
      </c>
      <c r="BU81" s="190" t="n">
        <v>4.09343605574</v>
      </c>
      <c r="BV81" s="190" t="n">
        <v>4.16317174376</v>
      </c>
      <c r="BW81" s="190" t="n">
        <v>4.23290743178</v>
      </c>
      <c r="BX81" s="190" t="n">
        <v>4.3026431198</v>
      </c>
      <c r="BY81" s="190" t="n">
        <v>4.37237880782</v>
      </c>
      <c r="BZ81" s="190" t="n">
        <v>4.44211449584</v>
      </c>
      <c r="CA81" s="190" t="n">
        <v>4.51185018386</v>
      </c>
      <c r="CB81" s="190" t="n">
        <v>4.58158587188</v>
      </c>
      <c r="CC81" s="190" t="n">
        <v>4.6513215599</v>
      </c>
      <c r="CD81" s="190" t="n">
        <v>4.72105724792</v>
      </c>
      <c r="CE81" s="190" t="n">
        <v>4.79079293594</v>
      </c>
      <c r="CF81" s="190" t="n">
        <v>4.86052862396</v>
      </c>
      <c r="CG81" s="190" t="n">
        <v>4.93026431198</v>
      </c>
      <c r="CH81" s="190" t="n">
        <v>5</v>
      </c>
      <c r="CI81" s="190" t="n">
        <v>5.06973568801999</v>
      </c>
      <c r="CJ81" s="190" t="n">
        <v>5.13947137603999</v>
      </c>
      <c r="CK81" s="190" t="n">
        <v>5.20920706405999</v>
      </c>
      <c r="CL81" s="190" t="n">
        <v>5.27894275207999</v>
      </c>
      <c r="CM81" s="190" t="n">
        <v>5.34867844009999</v>
      </c>
      <c r="CN81" s="190" t="n">
        <v>5.41841412811999</v>
      </c>
      <c r="CO81" s="190" t="n">
        <v>5.48814981613999</v>
      </c>
      <c r="CP81" s="190" t="n">
        <v>5.55788550415999</v>
      </c>
      <c r="CQ81" s="190" t="n">
        <v>5.62762119217999</v>
      </c>
      <c r="CR81" s="190" t="n">
        <v>5.69735688019999</v>
      </c>
      <c r="CS81" s="190" t="n">
        <v>5.76709256821999</v>
      </c>
      <c r="CT81" s="190" t="n">
        <v>5.83682825623999</v>
      </c>
      <c r="CU81" s="190" t="n">
        <v>5.90656394425999</v>
      </c>
      <c r="CV81" s="190" t="n">
        <v>5.97629963227999</v>
      </c>
      <c r="CW81" s="190" t="n">
        <v>6.04603532029999</v>
      </c>
      <c r="CX81" s="190" t="n">
        <v>6.11577100831999</v>
      </c>
      <c r="CY81" s="190" t="n">
        <v>6.18550669633999</v>
      </c>
      <c r="CZ81" s="190" t="n">
        <v>6.25524238435999</v>
      </c>
      <c r="DA81" s="190" t="n">
        <v>6.32497807237999</v>
      </c>
      <c r="DB81" s="190" t="n">
        <v>6.39471376039999</v>
      </c>
      <c r="DC81" s="190" t="n">
        <v>6.46444944841999</v>
      </c>
      <c r="DD81" s="190" t="n">
        <v>6.53418513643999</v>
      </c>
      <c r="DE81" s="190" t="n">
        <v>6.60392082445999</v>
      </c>
      <c r="DF81" s="190" t="n">
        <v>6.67365651247999</v>
      </c>
      <c r="DG81" s="190" t="n">
        <v>6.74339220049999</v>
      </c>
      <c r="DH81" s="190" t="n">
        <v>6.81312788851999</v>
      </c>
      <c r="DI81" s="190" t="n">
        <v>6.88286357653999</v>
      </c>
      <c r="DJ81" s="190" t="n">
        <v>6.95259926455999</v>
      </c>
      <c r="DK81" s="190" t="n">
        <v>7.02233495257999</v>
      </c>
      <c r="DL81" s="190" t="n">
        <v>7.09207064059999</v>
      </c>
      <c r="DM81" s="190" t="n">
        <v>7.16180632861999</v>
      </c>
      <c r="DN81" s="190" t="n">
        <v>7.23154201663999</v>
      </c>
      <c r="DO81" s="190" t="n">
        <v>7.30127770465999</v>
      </c>
      <c r="DP81" s="190" t="n">
        <v>7.37101339267999</v>
      </c>
      <c r="DQ81" s="190" t="n">
        <v>7.44074908069999</v>
      </c>
      <c r="DR81" s="190" t="n">
        <v>7.51048476871999</v>
      </c>
      <c r="DS81" s="190" t="n">
        <v>7.58022045673999</v>
      </c>
      <c r="DT81" s="190" t="n">
        <v>7.64995614475999</v>
      </c>
      <c r="DU81" s="190" t="n">
        <v>7.71969183277999</v>
      </c>
      <c r="DV81" s="190" t="n">
        <v>7.78942752079998</v>
      </c>
      <c r="DW81" s="190" t="n">
        <v>7.85916320881998</v>
      </c>
      <c r="DX81" s="190" t="n">
        <v>7.92889889683998</v>
      </c>
      <c r="DY81" s="190" t="n">
        <v>7.99863458485998</v>
      </c>
      <c r="DZ81" s="190" t="n">
        <v>8.06837027287998</v>
      </c>
      <c r="EA81" s="190" t="n">
        <v>8.13810596089998</v>
      </c>
      <c r="EB81" s="190" t="n">
        <v>8.20784164891998</v>
      </c>
      <c r="EC81" s="190" t="n">
        <v>8.27757733693998</v>
      </c>
      <c r="ED81" s="190" t="n">
        <v>8.34731302495998</v>
      </c>
      <c r="EE81" s="190" t="n">
        <v>8.41704871297998</v>
      </c>
      <c r="EF81" s="190" t="n">
        <v>8.48678440099998</v>
      </c>
      <c r="EG81" s="190" t="n">
        <v>8.55652008901998</v>
      </c>
      <c r="EH81" s="190" t="n">
        <v>8.62625577703998</v>
      </c>
      <c r="EI81" s="190" t="n">
        <v>8.69599146505998</v>
      </c>
      <c r="EJ81" s="190" t="n">
        <v>8.76572715307998</v>
      </c>
      <c r="EK81" s="190" t="n">
        <v>8.83546284109998</v>
      </c>
      <c r="EL81" s="180" t="n">
        <v>8.90519852911998</v>
      </c>
      <c r="EM81" s="180" t="n">
        <v>8.97493421713998</v>
      </c>
      <c r="EN81" s="180" t="n">
        <v>9.04466990515998</v>
      </c>
      <c r="EO81" s="180" t="n">
        <v>9.11440559317998</v>
      </c>
      <c r="EP81" s="180" t="n">
        <v>9.18414128119998</v>
      </c>
      <c r="EQ81" s="180" t="n">
        <v>9.25387696921998</v>
      </c>
      <c r="ER81" s="180" t="n">
        <v>9.32361265723998</v>
      </c>
      <c r="ES81" s="180" t="n">
        <v>9.39334834525998</v>
      </c>
      <c r="ET81" s="180" t="n">
        <v>9.46308403327998</v>
      </c>
      <c r="EU81" s="180" t="n">
        <v>9.53281972129998</v>
      </c>
      <c r="EV81" s="180" t="n">
        <v>9.60255540931998</v>
      </c>
      <c r="EW81" s="180" t="n">
        <v>9.67229109733998</v>
      </c>
      <c r="EX81" s="180" t="n">
        <v>9.74202678535998</v>
      </c>
      <c r="EY81" s="180" t="n">
        <v>9.81176247337998</v>
      </c>
      <c r="EZ81" s="180" t="n">
        <v>9.88149816139998</v>
      </c>
      <c r="FA81" s="180" t="n">
        <v>9.95123384941998</v>
      </c>
      <c r="FB81" s="180" t="n">
        <v>10.02096953744</v>
      </c>
      <c r="FC81" s="180" t="n">
        <v>10.09070522546</v>
      </c>
      <c r="FD81" s="180" t="n">
        <v>10.16044091348</v>
      </c>
      <c r="FE81" s="180" t="n">
        <v>10.2301766015</v>
      </c>
      <c r="FF81" s="180" t="n">
        <v>10.29991228952</v>
      </c>
      <c r="FG81" s="180" t="n">
        <v>10.36964797754</v>
      </c>
      <c r="FH81" s="180" t="n">
        <v>10.43938366556</v>
      </c>
      <c r="FI81" s="180" t="n">
        <v>10.50911935358</v>
      </c>
      <c r="FJ81" s="180" t="n">
        <v>10.5788550416</v>
      </c>
      <c r="FK81" s="180" t="n">
        <v>10.64859072962</v>
      </c>
      <c r="FL81" s="180" t="n">
        <v>10.71832641764</v>
      </c>
      <c r="FM81" s="180" t="n">
        <v>10.78806210566</v>
      </c>
      <c r="FN81" s="180" t="n">
        <v>10.85779779368</v>
      </c>
      <c r="FO81" s="180" t="n">
        <v>10.9275334817</v>
      </c>
      <c r="FP81" s="180" t="n">
        <v>10.99726916972</v>
      </c>
      <c r="FQ81" s="180" t="n">
        <v>11.06700485774</v>
      </c>
      <c r="FR81" s="180" t="n">
        <v>11.13674054576</v>
      </c>
      <c r="FS81" s="180" t="n">
        <v>11.20647623378</v>
      </c>
      <c r="FT81" s="180" t="n">
        <v>11.2762119218</v>
      </c>
      <c r="FU81" s="180" t="n">
        <v>11.34594760982</v>
      </c>
      <c r="FV81" s="180" t="n">
        <v>11.41568329784</v>
      </c>
      <c r="FW81" s="180" t="n">
        <v>11.48541898586</v>
      </c>
      <c r="FX81" s="180" t="n">
        <v>11.55515467388</v>
      </c>
      <c r="FY81" s="180" t="n">
        <v>11.6248903619</v>
      </c>
      <c r="FZ81" s="180" t="n">
        <v>11.69462604992</v>
      </c>
      <c r="GA81" s="180" t="n">
        <v>11.76436173794</v>
      </c>
      <c r="GB81" s="180" t="n">
        <v>11.83409742596</v>
      </c>
      <c r="GC81" s="180" t="n">
        <v>11.90383311398</v>
      </c>
      <c r="GD81" s="180" t="n">
        <v>11.973568802</v>
      </c>
      <c r="GE81" s="180" t="n">
        <v>12.04330449002</v>
      </c>
      <c r="GF81" s="180" t="n">
        <v>12.11304017804</v>
      </c>
      <c r="GG81" s="180" t="n">
        <v>12.18277586606</v>
      </c>
      <c r="GH81" s="180" t="n">
        <v>12.25251155408</v>
      </c>
      <c r="GI81" s="180" t="n">
        <v>12.3222472421</v>
      </c>
      <c r="GJ81" s="180" t="n">
        <v>12.39198293012</v>
      </c>
      <c r="GK81" s="180" t="n">
        <v>12.46171861814</v>
      </c>
      <c r="GL81" s="180" t="n">
        <v>12.53145430616</v>
      </c>
      <c r="GM81" s="180" t="n">
        <v>12.60118999418</v>
      </c>
      <c r="GN81" s="180" t="n">
        <v>12.6709256822</v>
      </c>
      <c r="GO81" s="180" t="n">
        <v>12.74066137022</v>
      </c>
      <c r="GP81" s="180" t="n">
        <v>12.81039705824</v>
      </c>
      <c r="GQ81" s="180" t="n">
        <v>12.88013274626</v>
      </c>
      <c r="GR81" s="180" t="n">
        <v>12.94986843428</v>
      </c>
      <c r="GS81" s="180" t="n">
        <v>13.0196041223</v>
      </c>
      <c r="GT81" s="180" t="n">
        <v>13.08933981032</v>
      </c>
      <c r="GU81" s="180" t="n">
        <v>13.15907549834</v>
      </c>
      <c r="GV81" s="180" t="n">
        <v>13.22881118636</v>
      </c>
      <c r="GW81" s="180" t="n">
        <v>13.29854687438</v>
      </c>
      <c r="GX81" s="180" t="n">
        <v>13.3682825624</v>
      </c>
      <c r="GY81" s="180" t="n">
        <v>13.43801825042</v>
      </c>
      <c r="GZ81" s="180" t="n">
        <v>13.50775393844</v>
      </c>
      <c r="HA81" s="180" t="n">
        <v>13.57748962646</v>
      </c>
      <c r="HB81" s="180" t="n">
        <v>13.64722531448</v>
      </c>
      <c r="HC81" s="180" t="n">
        <v>13.7169610025</v>
      </c>
      <c r="HD81" s="180" t="n">
        <v>13.78669669052</v>
      </c>
      <c r="HE81" s="180" t="n">
        <v>13.85643237854</v>
      </c>
      <c r="HF81" s="180" t="n">
        <v>13.92616806656</v>
      </c>
      <c r="HG81" s="180" t="n">
        <v>13.99590375458</v>
      </c>
      <c r="HH81" s="180" t="n">
        <v>14.0656394426</v>
      </c>
      <c r="HI81" s="180" t="n">
        <v>14.13537513062</v>
      </c>
      <c r="HJ81" s="180" t="n">
        <v>14.20511081864</v>
      </c>
      <c r="HK81" s="180" t="n">
        <v>14.27484650666</v>
      </c>
      <c r="HL81" s="180" t="n">
        <v>14.34458219468</v>
      </c>
      <c r="HM81" s="180" t="n">
        <v>14.4143178827</v>
      </c>
      <c r="HN81" s="180" t="n">
        <v>14.48405357072</v>
      </c>
      <c r="HO81" s="180" t="n">
        <v>14.55378925874</v>
      </c>
      <c r="HP81" s="180" t="n">
        <v>14.62352494676</v>
      </c>
      <c r="HQ81" s="180" t="n">
        <v>14.69326063478</v>
      </c>
      <c r="HR81" s="180" t="n">
        <v>14.7629963228</v>
      </c>
      <c r="HS81" s="180" t="n">
        <v>14.83273201082</v>
      </c>
      <c r="HT81" s="180" t="n">
        <v>14.90246769884</v>
      </c>
      <c r="HU81" s="180" t="n">
        <v>14.97220338686</v>
      </c>
      <c r="HV81" s="180" t="n">
        <v>15.04193907488</v>
      </c>
      <c r="HW81" s="180" t="n">
        <v>15.1116747629</v>
      </c>
      <c r="HX81" s="180" t="n">
        <v>15.18141045092</v>
      </c>
      <c r="HY81" s="180" t="n">
        <v>15.25114613894</v>
      </c>
      <c r="HZ81" s="180" t="n">
        <v>15.32088182696</v>
      </c>
      <c r="IA81" s="180" t="n">
        <v>15.39061751498</v>
      </c>
      <c r="IB81" s="180" t="n">
        <v>15.460353203</v>
      </c>
      <c r="IC81" s="180" t="n">
        <v>15.53008889102</v>
      </c>
      <c r="ID81" s="180" t="n">
        <v>15.59982457904</v>
      </c>
      <c r="IE81" s="180" t="n">
        <v>15.66956026706</v>
      </c>
      <c r="IF81" s="180" t="n">
        <v>15.73929595508</v>
      </c>
      <c r="IG81" s="180" t="n">
        <v>15.8090316431</v>
      </c>
      <c r="IH81" s="180" t="n">
        <v>15.87876733112</v>
      </c>
      <c r="II81" s="180" t="n">
        <v>15.94850301914</v>
      </c>
      <c r="IJ81" s="180" t="n">
        <v>16.01823870716</v>
      </c>
      <c r="IK81" s="180" t="n">
        <v>16.08797439518</v>
      </c>
      <c r="IL81" s="180" t="n">
        <v>16.1577100832</v>
      </c>
      <c r="IM81" s="180" t="n">
        <v>16.22744577122</v>
      </c>
      <c r="IN81" s="180" t="n">
        <v>16.29718145924</v>
      </c>
      <c r="IO81" s="180" t="n">
        <v>16.36691714726</v>
      </c>
      <c r="IP81" s="180" t="n">
        <v>16.43665283528</v>
      </c>
      <c r="IQ81" s="180" t="n">
        <v>16.5063885233</v>
      </c>
      <c r="IR81" s="180" t="n">
        <v>16.57612421132</v>
      </c>
      <c r="IS81" s="180" t="n">
        <v>16.64585989934</v>
      </c>
      <c r="IT81" s="180" t="n">
        <v>16.71559558736</v>
      </c>
      <c r="IU81" s="180" t="n">
        <v>16.78533127538</v>
      </c>
      <c r="IV81" s="180" t="n">
        <v>16.8550669634</v>
      </c>
    </row>
    <row r="82" customFormat="false" ht="12.75" hidden="false" customHeight="false" outlineLevel="0" collapsed="false">
      <c r="A82" s="189" t="n">
        <v>39173</v>
      </c>
      <c r="B82" s="185" t="n">
        <v>-2.021005929375</v>
      </c>
      <c r="C82" s="185" t="n">
        <v>-1.9907047400625</v>
      </c>
      <c r="D82" s="185" t="n">
        <v>-1.96040355075</v>
      </c>
      <c r="E82" s="185" t="n">
        <v>-1.9301023614375</v>
      </c>
      <c r="F82" s="185" t="n">
        <v>-1.899801172125</v>
      </c>
      <c r="G82" s="185" t="n">
        <v>-1.8694999828125</v>
      </c>
      <c r="H82" s="185" t="n">
        <v>-1.8391987935</v>
      </c>
      <c r="I82" s="185" t="n">
        <v>-1.8088976041875</v>
      </c>
      <c r="J82" s="185" t="n">
        <v>-1.778596414875</v>
      </c>
      <c r="K82" s="185" t="n">
        <v>-1.7482952255625</v>
      </c>
      <c r="L82" s="185" t="n">
        <v>-1.71799403625</v>
      </c>
      <c r="M82" s="185" t="n">
        <v>-1.6876928469375</v>
      </c>
      <c r="N82" s="185" t="n">
        <v>-1.657391657625</v>
      </c>
      <c r="O82" s="185" t="n">
        <v>-1.6270904683125</v>
      </c>
      <c r="P82" s="185" t="n">
        <v>-1.596789279</v>
      </c>
      <c r="Q82" s="185" t="n">
        <v>-1.5664880896875</v>
      </c>
      <c r="R82" s="185" t="n">
        <v>-1.536186900375</v>
      </c>
      <c r="S82" s="185" t="n">
        <v>-1.5058857110625</v>
      </c>
      <c r="T82" s="185" t="n">
        <v>-1.47558452175</v>
      </c>
      <c r="U82" s="185" t="n">
        <v>-1.4452833324375</v>
      </c>
      <c r="V82" s="186" t="n">
        <v>-1.414982143125</v>
      </c>
      <c r="W82" s="185" t="n">
        <v>-1.3846809538125</v>
      </c>
      <c r="X82" s="186" t="n">
        <v>-1.3543797645</v>
      </c>
      <c r="Y82" s="185" t="n">
        <v>-1.3240785751875</v>
      </c>
      <c r="Z82" s="186" t="n">
        <v>-1.293777385875</v>
      </c>
      <c r="AA82" s="185" t="n">
        <v>-1.2634761965625</v>
      </c>
      <c r="AB82" s="187" t="n">
        <v>-1.23317500725</v>
      </c>
      <c r="AC82" s="185" t="n">
        <v>-1.2028738179375</v>
      </c>
      <c r="AD82" s="187" t="n">
        <v>-1.172572628625</v>
      </c>
      <c r="AE82" s="185" t="n">
        <v>-1.1422714393125</v>
      </c>
      <c r="AF82" s="185" t="n">
        <v>-1.11197025</v>
      </c>
      <c r="AG82" s="190" t="n">
        <v>-1.083235125</v>
      </c>
      <c r="AH82" s="190" t="n">
        <v>-1.0545</v>
      </c>
      <c r="AI82" s="190" t="n">
        <v>-1.02725</v>
      </c>
      <c r="AJ82" s="190" t="n">
        <v>-1</v>
      </c>
      <c r="AK82" s="190" t="n">
        <v>-0.8</v>
      </c>
      <c r="AL82" s="190" t="n">
        <v>-0.6</v>
      </c>
      <c r="AM82" s="190" t="n">
        <v>-0.4</v>
      </c>
      <c r="AN82" s="190" t="n">
        <v>-0.2</v>
      </c>
      <c r="AO82" s="190" t="n">
        <v>0</v>
      </c>
      <c r="AP82" s="190" t="n">
        <v>0.2</v>
      </c>
      <c r="AQ82" s="190" t="n">
        <v>0.4</v>
      </c>
      <c r="AR82" s="190" t="n">
        <v>0.6</v>
      </c>
      <c r="AS82" s="190" t="n">
        <v>0.8</v>
      </c>
      <c r="AT82" s="190" t="n">
        <v>1</v>
      </c>
      <c r="AU82" s="190" t="n">
        <v>1.2</v>
      </c>
      <c r="AV82" s="190" t="n">
        <v>1.4</v>
      </c>
      <c r="AW82" s="190" t="n">
        <v>1.58</v>
      </c>
      <c r="AX82" s="190" t="n">
        <v>1.76</v>
      </c>
      <c r="AY82" s="190" t="n">
        <v>1.922</v>
      </c>
      <c r="AZ82" s="190" t="n">
        <v>2.084</v>
      </c>
      <c r="BA82" s="190" t="n">
        <v>2.2298</v>
      </c>
      <c r="BB82" s="190" t="n">
        <v>2.3756</v>
      </c>
      <c r="BC82" s="190" t="n">
        <v>2.50682</v>
      </c>
      <c r="BD82" s="190" t="n">
        <v>2.63804</v>
      </c>
      <c r="BE82" s="190" t="n">
        <v>2.756138</v>
      </c>
      <c r="BF82" s="190" t="n">
        <v>2.874236</v>
      </c>
      <c r="BG82" s="190" t="n">
        <v>2.9805242</v>
      </c>
      <c r="BH82" s="190" t="n">
        <v>3.0868124</v>
      </c>
      <c r="BI82" s="190" t="n">
        <v>3.18247178</v>
      </c>
      <c r="BJ82" s="190" t="n">
        <v>3.27813116</v>
      </c>
      <c r="BK82" s="190" t="n">
        <v>3.364224602</v>
      </c>
      <c r="BL82" s="190" t="n">
        <v>3.450318044</v>
      </c>
      <c r="BM82" s="190" t="n">
        <v>3.5278021418</v>
      </c>
      <c r="BN82" s="190" t="n">
        <v>3.6052862396</v>
      </c>
      <c r="BO82" s="190" t="n">
        <v>3.67502192762</v>
      </c>
      <c r="BP82" s="190" t="n">
        <v>3.74475761564</v>
      </c>
      <c r="BQ82" s="190" t="n">
        <v>3.81449330366</v>
      </c>
      <c r="BR82" s="190" t="n">
        <v>3.88422899168</v>
      </c>
      <c r="BS82" s="190" t="n">
        <v>3.9539646797</v>
      </c>
      <c r="BT82" s="190" t="n">
        <v>4.02370036772</v>
      </c>
      <c r="BU82" s="190" t="n">
        <v>4.09343605574</v>
      </c>
      <c r="BV82" s="190" t="n">
        <v>4.16317174376</v>
      </c>
      <c r="BW82" s="190" t="n">
        <v>4.23290743178</v>
      </c>
      <c r="BX82" s="190" t="n">
        <v>4.3026431198</v>
      </c>
      <c r="BY82" s="190" t="n">
        <v>4.37237880782</v>
      </c>
      <c r="BZ82" s="190" t="n">
        <v>4.44211449584</v>
      </c>
      <c r="CA82" s="190" t="n">
        <v>4.51185018386</v>
      </c>
      <c r="CB82" s="190" t="n">
        <v>4.58158587188</v>
      </c>
      <c r="CC82" s="190" t="n">
        <v>4.6513215599</v>
      </c>
      <c r="CD82" s="190" t="n">
        <v>4.72105724792</v>
      </c>
      <c r="CE82" s="190" t="n">
        <v>4.79079293594</v>
      </c>
      <c r="CF82" s="190" t="n">
        <v>4.86052862396</v>
      </c>
      <c r="CG82" s="190" t="n">
        <v>4.93026431198</v>
      </c>
      <c r="CH82" s="190" t="n">
        <v>5</v>
      </c>
      <c r="CI82" s="190" t="n">
        <v>5.06973568801999</v>
      </c>
      <c r="CJ82" s="190" t="n">
        <v>5.13947137603999</v>
      </c>
      <c r="CK82" s="190" t="n">
        <v>5.20920706405999</v>
      </c>
      <c r="CL82" s="190" t="n">
        <v>5.27894275207999</v>
      </c>
      <c r="CM82" s="190" t="n">
        <v>5.34867844009999</v>
      </c>
      <c r="CN82" s="190" t="n">
        <v>5.41841412811999</v>
      </c>
      <c r="CO82" s="190" t="n">
        <v>5.48814981613999</v>
      </c>
      <c r="CP82" s="190" t="n">
        <v>5.55788550415999</v>
      </c>
      <c r="CQ82" s="190" t="n">
        <v>5.62762119217999</v>
      </c>
      <c r="CR82" s="190" t="n">
        <v>5.69735688019999</v>
      </c>
      <c r="CS82" s="190" t="n">
        <v>5.76709256821999</v>
      </c>
      <c r="CT82" s="190" t="n">
        <v>5.83682825623999</v>
      </c>
      <c r="CU82" s="190" t="n">
        <v>5.90656394425999</v>
      </c>
      <c r="CV82" s="190" t="n">
        <v>5.97629963227999</v>
      </c>
      <c r="CW82" s="190" t="n">
        <v>6.04603532029999</v>
      </c>
      <c r="CX82" s="190" t="n">
        <v>6.11577100831999</v>
      </c>
      <c r="CY82" s="190" t="n">
        <v>6.18550669633999</v>
      </c>
      <c r="CZ82" s="190" t="n">
        <v>6.25524238435999</v>
      </c>
      <c r="DA82" s="190" t="n">
        <v>6.32497807237999</v>
      </c>
      <c r="DB82" s="190" t="n">
        <v>6.39471376039999</v>
      </c>
      <c r="DC82" s="190" t="n">
        <v>6.46444944841999</v>
      </c>
      <c r="DD82" s="190" t="n">
        <v>6.53418513643999</v>
      </c>
      <c r="DE82" s="190" t="n">
        <v>6.60392082445999</v>
      </c>
      <c r="DF82" s="190" t="n">
        <v>6.67365651247999</v>
      </c>
      <c r="DG82" s="190" t="n">
        <v>6.74339220049999</v>
      </c>
      <c r="DH82" s="190" t="n">
        <v>6.81312788851999</v>
      </c>
      <c r="DI82" s="190" t="n">
        <v>6.88286357653999</v>
      </c>
      <c r="DJ82" s="190" t="n">
        <v>6.95259926455999</v>
      </c>
      <c r="DK82" s="190" t="n">
        <v>7.02233495257999</v>
      </c>
      <c r="DL82" s="190" t="n">
        <v>7.09207064059999</v>
      </c>
      <c r="DM82" s="190" t="n">
        <v>7.16180632861999</v>
      </c>
      <c r="DN82" s="190" t="n">
        <v>7.23154201663999</v>
      </c>
      <c r="DO82" s="190" t="n">
        <v>7.30127770465999</v>
      </c>
      <c r="DP82" s="190" t="n">
        <v>7.37101339267999</v>
      </c>
      <c r="DQ82" s="190" t="n">
        <v>7.44074908069999</v>
      </c>
      <c r="DR82" s="190" t="n">
        <v>7.51048476871999</v>
      </c>
      <c r="DS82" s="190" t="n">
        <v>7.58022045673999</v>
      </c>
      <c r="DT82" s="190" t="n">
        <v>7.64995614475999</v>
      </c>
      <c r="DU82" s="190" t="n">
        <v>7.71969183277999</v>
      </c>
      <c r="DV82" s="190" t="n">
        <v>7.78942752079998</v>
      </c>
      <c r="DW82" s="190" t="n">
        <v>7.85916320881998</v>
      </c>
      <c r="DX82" s="190" t="n">
        <v>7.92889889683998</v>
      </c>
      <c r="DY82" s="190" t="n">
        <v>7.99863458485998</v>
      </c>
      <c r="DZ82" s="190" t="n">
        <v>8.06837027287998</v>
      </c>
      <c r="EA82" s="190" t="n">
        <v>8.13810596089998</v>
      </c>
      <c r="EB82" s="190" t="n">
        <v>8.20784164891998</v>
      </c>
      <c r="EC82" s="190" t="n">
        <v>8.27757733693998</v>
      </c>
      <c r="ED82" s="190" t="n">
        <v>8.34731302495998</v>
      </c>
      <c r="EE82" s="190" t="n">
        <v>8.41704871297998</v>
      </c>
      <c r="EF82" s="190" t="n">
        <v>8.48678440099998</v>
      </c>
      <c r="EG82" s="190" t="n">
        <v>8.55652008901998</v>
      </c>
      <c r="EH82" s="190" t="n">
        <v>8.62625577703998</v>
      </c>
      <c r="EI82" s="190" t="n">
        <v>8.69599146505998</v>
      </c>
      <c r="EJ82" s="190" t="n">
        <v>8.76572715307998</v>
      </c>
      <c r="EK82" s="190" t="n">
        <v>8.83546284109998</v>
      </c>
      <c r="EL82" s="180" t="n">
        <v>8.90519852911998</v>
      </c>
      <c r="EM82" s="180" t="n">
        <v>8.97493421713998</v>
      </c>
      <c r="EN82" s="180" t="n">
        <v>9.04466990515998</v>
      </c>
      <c r="EO82" s="180" t="n">
        <v>9.11440559317998</v>
      </c>
      <c r="EP82" s="180" t="n">
        <v>9.18414128119998</v>
      </c>
      <c r="EQ82" s="180" t="n">
        <v>9.25387696921998</v>
      </c>
      <c r="ER82" s="180" t="n">
        <v>9.32361265723998</v>
      </c>
      <c r="ES82" s="180" t="n">
        <v>9.39334834525998</v>
      </c>
      <c r="ET82" s="180" t="n">
        <v>9.46308403327998</v>
      </c>
      <c r="EU82" s="180" t="n">
        <v>9.53281972129998</v>
      </c>
      <c r="EV82" s="180" t="n">
        <v>9.60255540931998</v>
      </c>
      <c r="EW82" s="180" t="n">
        <v>9.67229109733998</v>
      </c>
      <c r="EX82" s="180" t="n">
        <v>9.74202678535998</v>
      </c>
      <c r="EY82" s="180" t="n">
        <v>9.81176247337998</v>
      </c>
      <c r="EZ82" s="180" t="n">
        <v>9.88149816139998</v>
      </c>
      <c r="FA82" s="180" t="n">
        <v>9.95123384941998</v>
      </c>
      <c r="FB82" s="180" t="n">
        <v>10.02096953744</v>
      </c>
      <c r="FC82" s="180" t="n">
        <v>10.09070522546</v>
      </c>
      <c r="FD82" s="180" t="n">
        <v>10.16044091348</v>
      </c>
      <c r="FE82" s="180" t="n">
        <v>10.2301766015</v>
      </c>
      <c r="FF82" s="180" t="n">
        <v>10.29991228952</v>
      </c>
      <c r="FG82" s="180" t="n">
        <v>10.36964797754</v>
      </c>
      <c r="FH82" s="180" t="n">
        <v>10.43938366556</v>
      </c>
      <c r="FI82" s="180" t="n">
        <v>10.50911935358</v>
      </c>
      <c r="FJ82" s="180" t="n">
        <v>10.5788550416</v>
      </c>
      <c r="FK82" s="180" t="n">
        <v>10.64859072962</v>
      </c>
      <c r="FL82" s="180" t="n">
        <v>10.71832641764</v>
      </c>
      <c r="FM82" s="180" t="n">
        <v>10.78806210566</v>
      </c>
      <c r="FN82" s="180" t="n">
        <v>10.85779779368</v>
      </c>
      <c r="FO82" s="180" t="n">
        <v>10.9275334817</v>
      </c>
      <c r="FP82" s="180" t="n">
        <v>10.99726916972</v>
      </c>
      <c r="FQ82" s="180" t="n">
        <v>11.06700485774</v>
      </c>
      <c r="FR82" s="180" t="n">
        <v>11.13674054576</v>
      </c>
      <c r="FS82" s="180" t="n">
        <v>11.20647623378</v>
      </c>
      <c r="FT82" s="180" t="n">
        <v>11.2762119218</v>
      </c>
      <c r="FU82" s="180" t="n">
        <v>11.34594760982</v>
      </c>
      <c r="FV82" s="180" t="n">
        <v>11.41568329784</v>
      </c>
      <c r="FW82" s="180" t="n">
        <v>11.48541898586</v>
      </c>
      <c r="FX82" s="180" t="n">
        <v>11.55515467388</v>
      </c>
      <c r="FY82" s="180" t="n">
        <v>11.6248903619</v>
      </c>
      <c r="FZ82" s="180" t="n">
        <v>11.69462604992</v>
      </c>
      <c r="GA82" s="180" t="n">
        <v>11.76436173794</v>
      </c>
      <c r="GB82" s="180" t="n">
        <v>11.83409742596</v>
      </c>
      <c r="GC82" s="180" t="n">
        <v>11.90383311398</v>
      </c>
      <c r="GD82" s="180" t="n">
        <v>11.973568802</v>
      </c>
      <c r="GE82" s="180" t="n">
        <v>12.04330449002</v>
      </c>
      <c r="GF82" s="180" t="n">
        <v>12.11304017804</v>
      </c>
      <c r="GG82" s="180" t="n">
        <v>12.18277586606</v>
      </c>
      <c r="GH82" s="180" t="n">
        <v>12.25251155408</v>
      </c>
      <c r="GI82" s="180" t="n">
        <v>12.3222472421</v>
      </c>
      <c r="GJ82" s="180" t="n">
        <v>12.39198293012</v>
      </c>
      <c r="GK82" s="180" t="n">
        <v>12.46171861814</v>
      </c>
      <c r="GL82" s="180" t="n">
        <v>12.53145430616</v>
      </c>
      <c r="GM82" s="180" t="n">
        <v>12.60118999418</v>
      </c>
      <c r="GN82" s="180" t="n">
        <v>12.6709256822</v>
      </c>
      <c r="GO82" s="180" t="n">
        <v>12.74066137022</v>
      </c>
      <c r="GP82" s="180" t="n">
        <v>12.81039705824</v>
      </c>
      <c r="GQ82" s="180" t="n">
        <v>12.88013274626</v>
      </c>
      <c r="GR82" s="180" t="n">
        <v>12.94986843428</v>
      </c>
      <c r="GS82" s="180" t="n">
        <v>13.0196041223</v>
      </c>
      <c r="GT82" s="180" t="n">
        <v>13.08933981032</v>
      </c>
      <c r="GU82" s="180" t="n">
        <v>13.15907549834</v>
      </c>
      <c r="GV82" s="180" t="n">
        <v>13.22881118636</v>
      </c>
      <c r="GW82" s="180" t="n">
        <v>13.29854687438</v>
      </c>
      <c r="GX82" s="180" t="n">
        <v>13.3682825624</v>
      </c>
      <c r="GY82" s="180" t="n">
        <v>13.43801825042</v>
      </c>
      <c r="GZ82" s="180" t="n">
        <v>13.50775393844</v>
      </c>
      <c r="HA82" s="180" t="n">
        <v>13.57748962646</v>
      </c>
      <c r="HB82" s="180" t="n">
        <v>13.64722531448</v>
      </c>
      <c r="HC82" s="180" t="n">
        <v>13.7169610025</v>
      </c>
      <c r="HD82" s="180" t="n">
        <v>13.78669669052</v>
      </c>
      <c r="HE82" s="180" t="n">
        <v>13.85643237854</v>
      </c>
      <c r="HF82" s="180" t="n">
        <v>13.92616806656</v>
      </c>
      <c r="HG82" s="180" t="n">
        <v>13.99590375458</v>
      </c>
      <c r="HH82" s="180" t="n">
        <v>14.0656394426</v>
      </c>
      <c r="HI82" s="180" t="n">
        <v>14.13537513062</v>
      </c>
      <c r="HJ82" s="180" t="n">
        <v>14.20511081864</v>
      </c>
      <c r="HK82" s="180" t="n">
        <v>14.27484650666</v>
      </c>
      <c r="HL82" s="180" t="n">
        <v>14.34458219468</v>
      </c>
      <c r="HM82" s="180" t="n">
        <v>14.4143178827</v>
      </c>
      <c r="HN82" s="180" t="n">
        <v>14.48405357072</v>
      </c>
      <c r="HO82" s="180" t="n">
        <v>14.55378925874</v>
      </c>
      <c r="HP82" s="180" t="n">
        <v>14.62352494676</v>
      </c>
      <c r="HQ82" s="180" t="n">
        <v>14.69326063478</v>
      </c>
      <c r="HR82" s="180" t="n">
        <v>14.7629963228</v>
      </c>
      <c r="HS82" s="180" t="n">
        <v>14.83273201082</v>
      </c>
      <c r="HT82" s="180" t="n">
        <v>14.90246769884</v>
      </c>
      <c r="HU82" s="180" t="n">
        <v>14.97220338686</v>
      </c>
      <c r="HV82" s="180" t="n">
        <v>15.04193907488</v>
      </c>
      <c r="HW82" s="180" t="n">
        <v>15.1116747629</v>
      </c>
      <c r="HX82" s="180" t="n">
        <v>15.18141045092</v>
      </c>
      <c r="HY82" s="180" t="n">
        <v>15.25114613894</v>
      </c>
      <c r="HZ82" s="180" t="n">
        <v>15.32088182696</v>
      </c>
      <c r="IA82" s="180" t="n">
        <v>15.39061751498</v>
      </c>
      <c r="IB82" s="180" t="n">
        <v>15.460353203</v>
      </c>
      <c r="IC82" s="180" t="n">
        <v>15.53008889102</v>
      </c>
      <c r="ID82" s="180" t="n">
        <v>15.59982457904</v>
      </c>
      <c r="IE82" s="180" t="n">
        <v>15.66956026706</v>
      </c>
      <c r="IF82" s="180" t="n">
        <v>15.73929595508</v>
      </c>
      <c r="IG82" s="180" t="n">
        <v>15.8090316431</v>
      </c>
      <c r="IH82" s="180" t="n">
        <v>15.87876733112</v>
      </c>
      <c r="II82" s="180" t="n">
        <v>15.94850301914</v>
      </c>
      <c r="IJ82" s="180" t="n">
        <v>16.01823870716</v>
      </c>
      <c r="IK82" s="180" t="n">
        <v>16.08797439518</v>
      </c>
      <c r="IL82" s="180" t="n">
        <v>16.1577100832</v>
      </c>
      <c r="IM82" s="180" t="n">
        <v>16.22744577122</v>
      </c>
      <c r="IN82" s="180" t="n">
        <v>16.29718145924</v>
      </c>
      <c r="IO82" s="180" t="n">
        <v>16.36691714726</v>
      </c>
      <c r="IP82" s="180" t="n">
        <v>16.43665283528</v>
      </c>
      <c r="IQ82" s="180" t="n">
        <v>16.5063885233</v>
      </c>
      <c r="IR82" s="180" t="n">
        <v>16.57612421132</v>
      </c>
      <c r="IS82" s="180" t="n">
        <v>16.64585989934</v>
      </c>
      <c r="IT82" s="180" t="n">
        <v>16.71559558736</v>
      </c>
      <c r="IU82" s="180" t="n">
        <v>16.78533127538</v>
      </c>
      <c r="IV82" s="180" t="n">
        <v>16.8550669634</v>
      </c>
    </row>
    <row r="83" customFormat="false" ht="12.75" hidden="false" customHeight="false" outlineLevel="0" collapsed="false">
      <c r="A83" s="189" t="n">
        <v>39203</v>
      </c>
      <c r="B83" s="185" t="n">
        <v>-2.021005929375</v>
      </c>
      <c r="C83" s="185" t="n">
        <v>-1.9907047400625</v>
      </c>
      <c r="D83" s="185" t="n">
        <v>-1.96040355075</v>
      </c>
      <c r="E83" s="185" t="n">
        <v>-1.9301023614375</v>
      </c>
      <c r="F83" s="185" t="n">
        <v>-1.899801172125</v>
      </c>
      <c r="G83" s="185" t="n">
        <v>-1.8694999828125</v>
      </c>
      <c r="H83" s="185" t="n">
        <v>-1.8391987935</v>
      </c>
      <c r="I83" s="185" t="n">
        <v>-1.8088976041875</v>
      </c>
      <c r="J83" s="185" t="n">
        <v>-1.778596414875</v>
      </c>
      <c r="K83" s="185" t="n">
        <v>-1.7482952255625</v>
      </c>
      <c r="L83" s="185" t="n">
        <v>-1.71799403625</v>
      </c>
      <c r="M83" s="185" t="n">
        <v>-1.6876928469375</v>
      </c>
      <c r="N83" s="185" t="n">
        <v>-1.657391657625</v>
      </c>
      <c r="O83" s="185" t="n">
        <v>-1.6270904683125</v>
      </c>
      <c r="P83" s="185" t="n">
        <v>-1.596789279</v>
      </c>
      <c r="Q83" s="185" t="n">
        <v>-1.5664880896875</v>
      </c>
      <c r="R83" s="185" t="n">
        <v>-1.536186900375</v>
      </c>
      <c r="S83" s="185" t="n">
        <v>-1.5058857110625</v>
      </c>
      <c r="T83" s="185" t="n">
        <v>-1.47558452175</v>
      </c>
      <c r="U83" s="185" t="n">
        <v>-1.4452833324375</v>
      </c>
      <c r="V83" s="186" t="n">
        <v>-1.414982143125</v>
      </c>
      <c r="W83" s="185" t="n">
        <v>-1.3846809538125</v>
      </c>
      <c r="X83" s="186" t="n">
        <v>-1.3543797645</v>
      </c>
      <c r="Y83" s="185" t="n">
        <v>-1.3240785751875</v>
      </c>
      <c r="Z83" s="186" t="n">
        <v>-1.293777385875</v>
      </c>
      <c r="AA83" s="185" t="n">
        <v>-1.2634761965625</v>
      </c>
      <c r="AB83" s="187" t="n">
        <v>-1.23317500725</v>
      </c>
      <c r="AC83" s="185" t="n">
        <v>-1.2028738179375</v>
      </c>
      <c r="AD83" s="187" t="n">
        <v>-1.172572628625</v>
      </c>
      <c r="AE83" s="185" t="n">
        <v>-1.1422714393125</v>
      </c>
      <c r="AF83" s="185" t="n">
        <v>-1.11197025</v>
      </c>
      <c r="AG83" s="190" t="n">
        <v>-1.083235125</v>
      </c>
      <c r="AH83" s="190" t="n">
        <v>-1.0545</v>
      </c>
      <c r="AI83" s="190" t="n">
        <v>-1.02725</v>
      </c>
      <c r="AJ83" s="190" t="n">
        <v>-1</v>
      </c>
      <c r="AK83" s="190" t="n">
        <v>-0.8</v>
      </c>
      <c r="AL83" s="190" t="n">
        <v>-0.6</v>
      </c>
      <c r="AM83" s="190" t="n">
        <v>-0.4</v>
      </c>
      <c r="AN83" s="190" t="n">
        <v>-0.2</v>
      </c>
      <c r="AO83" s="190" t="n">
        <v>0</v>
      </c>
      <c r="AP83" s="190" t="n">
        <v>0.2</v>
      </c>
      <c r="AQ83" s="190" t="n">
        <v>0.4</v>
      </c>
      <c r="AR83" s="190" t="n">
        <v>0.6</v>
      </c>
      <c r="AS83" s="190" t="n">
        <v>0.8</v>
      </c>
      <c r="AT83" s="190" t="n">
        <v>1</v>
      </c>
      <c r="AU83" s="190" t="n">
        <v>1.2</v>
      </c>
      <c r="AV83" s="190" t="n">
        <v>1.4</v>
      </c>
      <c r="AW83" s="190" t="n">
        <v>1.58</v>
      </c>
      <c r="AX83" s="190" t="n">
        <v>1.76</v>
      </c>
      <c r="AY83" s="190" t="n">
        <v>1.922</v>
      </c>
      <c r="AZ83" s="190" t="n">
        <v>2.084</v>
      </c>
      <c r="BA83" s="190" t="n">
        <v>2.2298</v>
      </c>
      <c r="BB83" s="190" t="n">
        <v>2.3756</v>
      </c>
      <c r="BC83" s="190" t="n">
        <v>2.50682</v>
      </c>
      <c r="BD83" s="190" t="n">
        <v>2.63804</v>
      </c>
      <c r="BE83" s="190" t="n">
        <v>2.756138</v>
      </c>
      <c r="BF83" s="190" t="n">
        <v>2.874236</v>
      </c>
      <c r="BG83" s="190" t="n">
        <v>2.9805242</v>
      </c>
      <c r="BH83" s="190" t="n">
        <v>3.0868124</v>
      </c>
      <c r="BI83" s="190" t="n">
        <v>3.18247178</v>
      </c>
      <c r="BJ83" s="190" t="n">
        <v>3.27813116</v>
      </c>
      <c r="BK83" s="190" t="n">
        <v>3.364224602</v>
      </c>
      <c r="BL83" s="190" t="n">
        <v>3.450318044</v>
      </c>
      <c r="BM83" s="190" t="n">
        <v>3.5278021418</v>
      </c>
      <c r="BN83" s="190" t="n">
        <v>3.6052862396</v>
      </c>
      <c r="BO83" s="190" t="n">
        <v>3.67502192762</v>
      </c>
      <c r="BP83" s="190" t="n">
        <v>3.74475761564</v>
      </c>
      <c r="BQ83" s="190" t="n">
        <v>3.81449330366</v>
      </c>
      <c r="BR83" s="190" t="n">
        <v>3.88422899168</v>
      </c>
      <c r="BS83" s="190" t="n">
        <v>3.9539646797</v>
      </c>
      <c r="BT83" s="190" t="n">
        <v>4.02370036772</v>
      </c>
      <c r="BU83" s="190" t="n">
        <v>4.09343605574</v>
      </c>
      <c r="BV83" s="190" t="n">
        <v>4.16317174376</v>
      </c>
      <c r="BW83" s="190" t="n">
        <v>4.23290743178</v>
      </c>
      <c r="BX83" s="190" t="n">
        <v>4.3026431198</v>
      </c>
      <c r="BY83" s="190" t="n">
        <v>4.37237880782</v>
      </c>
      <c r="BZ83" s="190" t="n">
        <v>4.44211449584</v>
      </c>
      <c r="CA83" s="190" t="n">
        <v>4.51185018386</v>
      </c>
      <c r="CB83" s="190" t="n">
        <v>4.58158587188</v>
      </c>
      <c r="CC83" s="190" t="n">
        <v>4.6513215599</v>
      </c>
      <c r="CD83" s="190" t="n">
        <v>4.72105724792</v>
      </c>
      <c r="CE83" s="190" t="n">
        <v>4.79079293594</v>
      </c>
      <c r="CF83" s="190" t="n">
        <v>4.86052862396</v>
      </c>
      <c r="CG83" s="190" t="n">
        <v>4.93026431198</v>
      </c>
      <c r="CH83" s="190" t="n">
        <v>5</v>
      </c>
      <c r="CI83" s="190" t="n">
        <v>5.06973568801999</v>
      </c>
      <c r="CJ83" s="190" t="n">
        <v>5.13947137603999</v>
      </c>
      <c r="CK83" s="190" t="n">
        <v>5.20920706405999</v>
      </c>
      <c r="CL83" s="190" t="n">
        <v>5.27894275207999</v>
      </c>
      <c r="CM83" s="190" t="n">
        <v>5.34867844009999</v>
      </c>
      <c r="CN83" s="190" t="n">
        <v>5.41841412811999</v>
      </c>
      <c r="CO83" s="190" t="n">
        <v>5.48814981613999</v>
      </c>
      <c r="CP83" s="190" t="n">
        <v>5.55788550415999</v>
      </c>
      <c r="CQ83" s="190" t="n">
        <v>5.62762119217999</v>
      </c>
      <c r="CR83" s="190" t="n">
        <v>5.69735688019999</v>
      </c>
      <c r="CS83" s="190" t="n">
        <v>5.76709256821999</v>
      </c>
      <c r="CT83" s="190" t="n">
        <v>5.83682825623999</v>
      </c>
      <c r="CU83" s="190" t="n">
        <v>5.90656394425999</v>
      </c>
      <c r="CV83" s="190" t="n">
        <v>5.97629963227999</v>
      </c>
      <c r="CW83" s="190" t="n">
        <v>6.04603532029999</v>
      </c>
      <c r="CX83" s="190" t="n">
        <v>6.11577100831999</v>
      </c>
      <c r="CY83" s="190" t="n">
        <v>6.18550669633999</v>
      </c>
      <c r="CZ83" s="190" t="n">
        <v>6.25524238435999</v>
      </c>
      <c r="DA83" s="190" t="n">
        <v>6.32497807237999</v>
      </c>
      <c r="DB83" s="190" t="n">
        <v>6.39471376039999</v>
      </c>
      <c r="DC83" s="190" t="n">
        <v>6.46444944841999</v>
      </c>
      <c r="DD83" s="190" t="n">
        <v>6.53418513643999</v>
      </c>
      <c r="DE83" s="190" t="n">
        <v>6.60392082445999</v>
      </c>
      <c r="DF83" s="190" t="n">
        <v>6.67365651247999</v>
      </c>
      <c r="DG83" s="190" t="n">
        <v>6.74339220049999</v>
      </c>
      <c r="DH83" s="190" t="n">
        <v>6.81312788851999</v>
      </c>
      <c r="DI83" s="190" t="n">
        <v>6.88286357653999</v>
      </c>
      <c r="DJ83" s="190" t="n">
        <v>6.95259926455999</v>
      </c>
      <c r="DK83" s="190" t="n">
        <v>7.02233495257999</v>
      </c>
      <c r="DL83" s="190" t="n">
        <v>7.09207064059999</v>
      </c>
      <c r="DM83" s="190" t="n">
        <v>7.16180632861999</v>
      </c>
      <c r="DN83" s="190" t="n">
        <v>7.23154201663999</v>
      </c>
      <c r="DO83" s="190" t="n">
        <v>7.30127770465999</v>
      </c>
      <c r="DP83" s="190" t="n">
        <v>7.37101339267999</v>
      </c>
      <c r="DQ83" s="190" t="n">
        <v>7.44074908069999</v>
      </c>
      <c r="DR83" s="190" t="n">
        <v>7.51048476871999</v>
      </c>
      <c r="DS83" s="190" t="n">
        <v>7.58022045673999</v>
      </c>
      <c r="DT83" s="190" t="n">
        <v>7.64995614475999</v>
      </c>
      <c r="DU83" s="190" t="n">
        <v>7.71969183277999</v>
      </c>
      <c r="DV83" s="190" t="n">
        <v>7.78942752079998</v>
      </c>
      <c r="DW83" s="190" t="n">
        <v>7.85916320881998</v>
      </c>
      <c r="DX83" s="190" t="n">
        <v>7.92889889683998</v>
      </c>
      <c r="DY83" s="190" t="n">
        <v>7.99863458485998</v>
      </c>
      <c r="DZ83" s="190" t="n">
        <v>8.06837027287998</v>
      </c>
      <c r="EA83" s="190" t="n">
        <v>8.13810596089998</v>
      </c>
      <c r="EB83" s="190" t="n">
        <v>8.20784164891998</v>
      </c>
      <c r="EC83" s="190" t="n">
        <v>8.27757733693998</v>
      </c>
      <c r="ED83" s="190" t="n">
        <v>8.34731302495998</v>
      </c>
      <c r="EE83" s="190" t="n">
        <v>8.41704871297998</v>
      </c>
      <c r="EF83" s="190" t="n">
        <v>8.48678440099998</v>
      </c>
      <c r="EG83" s="190" t="n">
        <v>8.55652008901998</v>
      </c>
      <c r="EH83" s="190" t="n">
        <v>8.62625577703998</v>
      </c>
      <c r="EI83" s="190" t="n">
        <v>8.69599146505998</v>
      </c>
      <c r="EJ83" s="190" t="n">
        <v>8.76572715307998</v>
      </c>
      <c r="EK83" s="190" t="n">
        <v>8.83546284109998</v>
      </c>
      <c r="EL83" s="180" t="n">
        <v>8.90519852911998</v>
      </c>
      <c r="EM83" s="180" t="n">
        <v>8.97493421713998</v>
      </c>
      <c r="EN83" s="180" t="n">
        <v>9.04466990515998</v>
      </c>
      <c r="EO83" s="180" t="n">
        <v>9.11440559317998</v>
      </c>
      <c r="EP83" s="180" t="n">
        <v>9.18414128119998</v>
      </c>
      <c r="EQ83" s="180" t="n">
        <v>9.25387696921998</v>
      </c>
      <c r="ER83" s="180" t="n">
        <v>9.32361265723998</v>
      </c>
      <c r="ES83" s="180" t="n">
        <v>9.39334834525998</v>
      </c>
      <c r="ET83" s="180" t="n">
        <v>9.46308403327998</v>
      </c>
      <c r="EU83" s="180" t="n">
        <v>9.53281972129998</v>
      </c>
      <c r="EV83" s="180" t="n">
        <v>9.60255540931998</v>
      </c>
      <c r="EW83" s="180" t="n">
        <v>9.67229109733998</v>
      </c>
      <c r="EX83" s="180" t="n">
        <v>9.74202678535998</v>
      </c>
      <c r="EY83" s="180" t="n">
        <v>9.81176247337998</v>
      </c>
      <c r="EZ83" s="180" t="n">
        <v>9.88149816139998</v>
      </c>
      <c r="FA83" s="180" t="n">
        <v>9.95123384941998</v>
      </c>
      <c r="FB83" s="180" t="n">
        <v>10.02096953744</v>
      </c>
      <c r="FC83" s="180" t="n">
        <v>10.09070522546</v>
      </c>
      <c r="FD83" s="180" t="n">
        <v>10.16044091348</v>
      </c>
      <c r="FE83" s="180" t="n">
        <v>10.2301766015</v>
      </c>
      <c r="FF83" s="180" t="n">
        <v>10.29991228952</v>
      </c>
      <c r="FG83" s="180" t="n">
        <v>10.36964797754</v>
      </c>
      <c r="FH83" s="180" t="n">
        <v>10.43938366556</v>
      </c>
      <c r="FI83" s="180" t="n">
        <v>10.50911935358</v>
      </c>
      <c r="FJ83" s="180" t="n">
        <v>10.5788550416</v>
      </c>
      <c r="FK83" s="180" t="n">
        <v>10.64859072962</v>
      </c>
      <c r="FL83" s="180" t="n">
        <v>10.71832641764</v>
      </c>
      <c r="FM83" s="180" t="n">
        <v>10.78806210566</v>
      </c>
      <c r="FN83" s="180" t="n">
        <v>10.85779779368</v>
      </c>
      <c r="FO83" s="180" t="n">
        <v>10.9275334817</v>
      </c>
      <c r="FP83" s="180" t="n">
        <v>10.99726916972</v>
      </c>
      <c r="FQ83" s="180" t="n">
        <v>11.06700485774</v>
      </c>
      <c r="FR83" s="180" t="n">
        <v>11.13674054576</v>
      </c>
      <c r="FS83" s="180" t="n">
        <v>11.20647623378</v>
      </c>
      <c r="FT83" s="180" t="n">
        <v>11.2762119218</v>
      </c>
      <c r="FU83" s="180" t="n">
        <v>11.34594760982</v>
      </c>
      <c r="FV83" s="180" t="n">
        <v>11.41568329784</v>
      </c>
      <c r="FW83" s="180" t="n">
        <v>11.48541898586</v>
      </c>
      <c r="FX83" s="180" t="n">
        <v>11.55515467388</v>
      </c>
      <c r="FY83" s="180" t="n">
        <v>11.6248903619</v>
      </c>
      <c r="FZ83" s="180" t="n">
        <v>11.69462604992</v>
      </c>
      <c r="GA83" s="180" t="n">
        <v>11.76436173794</v>
      </c>
      <c r="GB83" s="180" t="n">
        <v>11.83409742596</v>
      </c>
      <c r="GC83" s="180" t="n">
        <v>11.90383311398</v>
      </c>
      <c r="GD83" s="180" t="n">
        <v>11.973568802</v>
      </c>
      <c r="GE83" s="180" t="n">
        <v>12.04330449002</v>
      </c>
      <c r="GF83" s="180" t="n">
        <v>12.11304017804</v>
      </c>
      <c r="GG83" s="180" t="n">
        <v>12.18277586606</v>
      </c>
      <c r="GH83" s="180" t="n">
        <v>12.25251155408</v>
      </c>
      <c r="GI83" s="180" t="n">
        <v>12.3222472421</v>
      </c>
      <c r="GJ83" s="180" t="n">
        <v>12.39198293012</v>
      </c>
      <c r="GK83" s="180" t="n">
        <v>12.46171861814</v>
      </c>
      <c r="GL83" s="180" t="n">
        <v>12.53145430616</v>
      </c>
      <c r="GM83" s="180" t="n">
        <v>12.60118999418</v>
      </c>
      <c r="GN83" s="180" t="n">
        <v>12.6709256822</v>
      </c>
      <c r="GO83" s="180" t="n">
        <v>12.74066137022</v>
      </c>
      <c r="GP83" s="180" t="n">
        <v>12.81039705824</v>
      </c>
      <c r="GQ83" s="180" t="n">
        <v>12.88013274626</v>
      </c>
      <c r="GR83" s="180" t="n">
        <v>12.94986843428</v>
      </c>
      <c r="GS83" s="180" t="n">
        <v>13.0196041223</v>
      </c>
      <c r="GT83" s="180" t="n">
        <v>13.08933981032</v>
      </c>
      <c r="GU83" s="180" t="n">
        <v>13.15907549834</v>
      </c>
      <c r="GV83" s="180" t="n">
        <v>13.22881118636</v>
      </c>
      <c r="GW83" s="180" t="n">
        <v>13.29854687438</v>
      </c>
      <c r="GX83" s="180" t="n">
        <v>13.3682825624</v>
      </c>
      <c r="GY83" s="180" t="n">
        <v>13.43801825042</v>
      </c>
      <c r="GZ83" s="180" t="n">
        <v>13.50775393844</v>
      </c>
      <c r="HA83" s="180" t="n">
        <v>13.57748962646</v>
      </c>
      <c r="HB83" s="180" t="n">
        <v>13.64722531448</v>
      </c>
      <c r="HC83" s="180" t="n">
        <v>13.7169610025</v>
      </c>
      <c r="HD83" s="180" t="n">
        <v>13.78669669052</v>
      </c>
      <c r="HE83" s="180" t="n">
        <v>13.85643237854</v>
      </c>
      <c r="HF83" s="180" t="n">
        <v>13.92616806656</v>
      </c>
      <c r="HG83" s="180" t="n">
        <v>13.99590375458</v>
      </c>
      <c r="HH83" s="180" t="n">
        <v>14.0656394426</v>
      </c>
      <c r="HI83" s="180" t="n">
        <v>14.13537513062</v>
      </c>
      <c r="HJ83" s="180" t="n">
        <v>14.20511081864</v>
      </c>
      <c r="HK83" s="180" t="n">
        <v>14.27484650666</v>
      </c>
      <c r="HL83" s="180" t="n">
        <v>14.34458219468</v>
      </c>
      <c r="HM83" s="180" t="n">
        <v>14.4143178827</v>
      </c>
      <c r="HN83" s="180" t="n">
        <v>14.48405357072</v>
      </c>
      <c r="HO83" s="180" t="n">
        <v>14.55378925874</v>
      </c>
      <c r="HP83" s="180" t="n">
        <v>14.62352494676</v>
      </c>
      <c r="HQ83" s="180" t="n">
        <v>14.69326063478</v>
      </c>
      <c r="HR83" s="180" t="n">
        <v>14.7629963228</v>
      </c>
      <c r="HS83" s="180" t="n">
        <v>14.83273201082</v>
      </c>
      <c r="HT83" s="180" t="n">
        <v>14.90246769884</v>
      </c>
      <c r="HU83" s="180" t="n">
        <v>14.97220338686</v>
      </c>
      <c r="HV83" s="180" t="n">
        <v>15.04193907488</v>
      </c>
      <c r="HW83" s="180" t="n">
        <v>15.1116747629</v>
      </c>
      <c r="HX83" s="180" t="n">
        <v>15.18141045092</v>
      </c>
      <c r="HY83" s="180" t="n">
        <v>15.25114613894</v>
      </c>
      <c r="HZ83" s="180" t="n">
        <v>15.32088182696</v>
      </c>
      <c r="IA83" s="180" t="n">
        <v>15.39061751498</v>
      </c>
      <c r="IB83" s="180" t="n">
        <v>15.460353203</v>
      </c>
      <c r="IC83" s="180" t="n">
        <v>15.53008889102</v>
      </c>
      <c r="ID83" s="180" t="n">
        <v>15.59982457904</v>
      </c>
      <c r="IE83" s="180" t="n">
        <v>15.66956026706</v>
      </c>
      <c r="IF83" s="180" t="n">
        <v>15.73929595508</v>
      </c>
      <c r="IG83" s="180" t="n">
        <v>15.8090316431</v>
      </c>
      <c r="IH83" s="180" t="n">
        <v>15.87876733112</v>
      </c>
      <c r="II83" s="180" t="n">
        <v>15.94850301914</v>
      </c>
      <c r="IJ83" s="180" t="n">
        <v>16.01823870716</v>
      </c>
      <c r="IK83" s="180" t="n">
        <v>16.08797439518</v>
      </c>
      <c r="IL83" s="180" t="n">
        <v>16.1577100832</v>
      </c>
      <c r="IM83" s="180" t="n">
        <v>16.22744577122</v>
      </c>
      <c r="IN83" s="180" t="n">
        <v>16.29718145924</v>
      </c>
      <c r="IO83" s="180" t="n">
        <v>16.36691714726</v>
      </c>
      <c r="IP83" s="180" t="n">
        <v>16.43665283528</v>
      </c>
      <c r="IQ83" s="180" t="n">
        <v>16.5063885233</v>
      </c>
      <c r="IR83" s="180" t="n">
        <v>16.57612421132</v>
      </c>
      <c r="IS83" s="180" t="n">
        <v>16.64585989934</v>
      </c>
      <c r="IT83" s="180" t="n">
        <v>16.71559558736</v>
      </c>
      <c r="IU83" s="180" t="n">
        <v>16.78533127538</v>
      </c>
      <c r="IV83" s="180" t="n">
        <v>16.8550669634</v>
      </c>
    </row>
    <row r="84" customFormat="false" ht="12.75" hidden="false" customHeight="false" outlineLevel="0" collapsed="false">
      <c r="A84" s="189" t="n">
        <v>39234</v>
      </c>
      <c r="B84" s="185" t="n">
        <v>-2.021005929375</v>
      </c>
      <c r="C84" s="185" t="n">
        <v>-1.9907047400625</v>
      </c>
      <c r="D84" s="185" t="n">
        <v>-1.96040355075</v>
      </c>
      <c r="E84" s="185" t="n">
        <v>-1.9301023614375</v>
      </c>
      <c r="F84" s="185" t="n">
        <v>-1.899801172125</v>
      </c>
      <c r="G84" s="185" t="n">
        <v>-1.8694999828125</v>
      </c>
      <c r="H84" s="185" t="n">
        <v>-1.8391987935</v>
      </c>
      <c r="I84" s="185" t="n">
        <v>-1.8088976041875</v>
      </c>
      <c r="J84" s="185" t="n">
        <v>-1.778596414875</v>
      </c>
      <c r="K84" s="185" t="n">
        <v>-1.7482952255625</v>
      </c>
      <c r="L84" s="185" t="n">
        <v>-1.71799403625</v>
      </c>
      <c r="M84" s="185" t="n">
        <v>-1.6876928469375</v>
      </c>
      <c r="N84" s="185" t="n">
        <v>-1.657391657625</v>
      </c>
      <c r="O84" s="185" t="n">
        <v>-1.6270904683125</v>
      </c>
      <c r="P84" s="185" t="n">
        <v>-1.596789279</v>
      </c>
      <c r="Q84" s="185" t="n">
        <v>-1.5664880896875</v>
      </c>
      <c r="R84" s="185" t="n">
        <v>-1.536186900375</v>
      </c>
      <c r="S84" s="185" t="n">
        <v>-1.5058857110625</v>
      </c>
      <c r="T84" s="185" t="n">
        <v>-1.47558452175</v>
      </c>
      <c r="U84" s="185" t="n">
        <v>-1.4452833324375</v>
      </c>
      <c r="V84" s="186" t="n">
        <v>-1.414982143125</v>
      </c>
      <c r="W84" s="185" t="n">
        <v>-1.3846809538125</v>
      </c>
      <c r="X84" s="186" t="n">
        <v>-1.3543797645</v>
      </c>
      <c r="Y84" s="185" t="n">
        <v>-1.3240785751875</v>
      </c>
      <c r="Z84" s="186" t="n">
        <v>-1.293777385875</v>
      </c>
      <c r="AA84" s="185" t="n">
        <v>-1.2634761965625</v>
      </c>
      <c r="AB84" s="187" t="n">
        <v>-1.23317500725</v>
      </c>
      <c r="AC84" s="185" t="n">
        <v>-1.2028738179375</v>
      </c>
      <c r="AD84" s="187" t="n">
        <v>-1.172572628625</v>
      </c>
      <c r="AE84" s="185" t="n">
        <v>-1.1422714393125</v>
      </c>
      <c r="AF84" s="185" t="n">
        <v>-1.11197025</v>
      </c>
      <c r="AG84" s="190" t="n">
        <v>-1.083235125</v>
      </c>
      <c r="AH84" s="190" t="n">
        <v>-1.0545</v>
      </c>
      <c r="AI84" s="190" t="n">
        <v>-1.02725</v>
      </c>
      <c r="AJ84" s="190" t="n">
        <v>-1</v>
      </c>
      <c r="AK84" s="190" t="n">
        <v>-0.8</v>
      </c>
      <c r="AL84" s="190" t="n">
        <v>-0.6</v>
      </c>
      <c r="AM84" s="190" t="n">
        <v>-0.4</v>
      </c>
      <c r="AN84" s="190" t="n">
        <v>-0.2</v>
      </c>
      <c r="AO84" s="190" t="n">
        <v>0</v>
      </c>
      <c r="AP84" s="190" t="n">
        <v>0.2</v>
      </c>
      <c r="AQ84" s="190" t="n">
        <v>0.4</v>
      </c>
      <c r="AR84" s="190" t="n">
        <v>0.6</v>
      </c>
      <c r="AS84" s="190" t="n">
        <v>0.8</v>
      </c>
      <c r="AT84" s="190" t="n">
        <v>1</v>
      </c>
      <c r="AU84" s="190" t="n">
        <v>1.2</v>
      </c>
      <c r="AV84" s="190" t="n">
        <v>1.4</v>
      </c>
      <c r="AW84" s="190" t="n">
        <v>1.58</v>
      </c>
      <c r="AX84" s="190" t="n">
        <v>1.76</v>
      </c>
      <c r="AY84" s="190" t="n">
        <v>1.922</v>
      </c>
      <c r="AZ84" s="190" t="n">
        <v>2.084</v>
      </c>
      <c r="BA84" s="190" t="n">
        <v>2.2298</v>
      </c>
      <c r="BB84" s="190" t="n">
        <v>2.3756</v>
      </c>
      <c r="BC84" s="190" t="n">
        <v>2.50682</v>
      </c>
      <c r="BD84" s="190" t="n">
        <v>2.63804</v>
      </c>
      <c r="BE84" s="190" t="n">
        <v>2.756138</v>
      </c>
      <c r="BF84" s="190" t="n">
        <v>2.874236</v>
      </c>
      <c r="BG84" s="190" t="n">
        <v>2.9805242</v>
      </c>
      <c r="BH84" s="190" t="n">
        <v>3.0868124</v>
      </c>
      <c r="BI84" s="190" t="n">
        <v>3.18247178</v>
      </c>
      <c r="BJ84" s="190" t="n">
        <v>3.27813116</v>
      </c>
      <c r="BK84" s="190" t="n">
        <v>3.364224602</v>
      </c>
      <c r="BL84" s="190" t="n">
        <v>3.450318044</v>
      </c>
      <c r="BM84" s="190" t="n">
        <v>3.5278021418</v>
      </c>
      <c r="BN84" s="190" t="n">
        <v>3.6052862396</v>
      </c>
      <c r="BO84" s="190" t="n">
        <v>3.67502192762</v>
      </c>
      <c r="BP84" s="190" t="n">
        <v>3.74475761564</v>
      </c>
      <c r="BQ84" s="190" t="n">
        <v>3.81449330366</v>
      </c>
      <c r="BR84" s="190" t="n">
        <v>3.88422899168</v>
      </c>
      <c r="BS84" s="190" t="n">
        <v>3.9539646797</v>
      </c>
      <c r="BT84" s="190" t="n">
        <v>4.02370036772</v>
      </c>
      <c r="BU84" s="190" t="n">
        <v>4.09343605574</v>
      </c>
      <c r="BV84" s="190" t="n">
        <v>4.16317174376</v>
      </c>
      <c r="BW84" s="190" t="n">
        <v>4.23290743178</v>
      </c>
      <c r="BX84" s="190" t="n">
        <v>4.3026431198</v>
      </c>
      <c r="BY84" s="190" t="n">
        <v>4.37237880782</v>
      </c>
      <c r="BZ84" s="190" t="n">
        <v>4.44211449584</v>
      </c>
      <c r="CA84" s="190" t="n">
        <v>4.51185018386</v>
      </c>
      <c r="CB84" s="190" t="n">
        <v>4.58158587188</v>
      </c>
      <c r="CC84" s="190" t="n">
        <v>4.6513215599</v>
      </c>
      <c r="CD84" s="190" t="n">
        <v>4.72105724792</v>
      </c>
      <c r="CE84" s="190" t="n">
        <v>4.79079293594</v>
      </c>
      <c r="CF84" s="190" t="n">
        <v>4.86052862396</v>
      </c>
      <c r="CG84" s="190" t="n">
        <v>4.93026431198</v>
      </c>
      <c r="CH84" s="190" t="n">
        <v>5</v>
      </c>
      <c r="CI84" s="190" t="n">
        <v>5.06973568801999</v>
      </c>
      <c r="CJ84" s="190" t="n">
        <v>5.13947137603999</v>
      </c>
      <c r="CK84" s="190" t="n">
        <v>5.20920706405999</v>
      </c>
      <c r="CL84" s="190" t="n">
        <v>5.27894275207999</v>
      </c>
      <c r="CM84" s="190" t="n">
        <v>5.34867844009999</v>
      </c>
      <c r="CN84" s="190" t="n">
        <v>5.41841412811999</v>
      </c>
      <c r="CO84" s="190" t="n">
        <v>5.48814981613999</v>
      </c>
      <c r="CP84" s="190" t="n">
        <v>5.55788550415999</v>
      </c>
      <c r="CQ84" s="190" t="n">
        <v>5.62762119217999</v>
      </c>
      <c r="CR84" s="190" t="n">
        <v>5.69735688019999</v>
      </c>
      <c r="CS84" s="190" t="n">
        <v>5.76709256821999</v>
      </c>
      <c r="CT84" s="190" t="n">
        <v>5.83682825623999</v>
      </c>
      <c r="CU84" s="190" t="n">
        <v>5.90656394425999</v>
      </c>
      <c r="CV84" s="190" t="n">
        <v>5.97629963227999</v>
      </c>
      <c r="CW84" s="190" t="n">
        <v>6.04603532029999</v>
      </c>
      <c r="CX84" s="190" t="n">
        <v>6.11577100831999</v>
      </c>
      <c r="CY84" s="190" t="n">
        <v>6.18550669633999</v>
      </c>
      <c r="CZ84" s="190" t="n">
        <v>6.25524238435999</v>
      </c>
      <c r="DA84" s="190" t="n">
        <v>6.32497807237999</v>
      </c>
      <c r="DB84" s="190" t="n">
        <v>6.39471376039999</v>
      </c>
      <c r="DC84" s="190" t="n">
        <v>6.46444944841999</v>
      </c>
      <c r="DD84" s="190" t="n">
        <v>6.53418513643999</v>
      </c>
      <c r="DE84" s="190" t="n">
        <v>6.60392082445999</v>
      </c>
      <c r="DF84" s="190" t="n">
        <v>6.67365651247999</v>
      </c>
      <c r="DG84" s="190" t="n">
        <v>6.74339220049999</v>
      </c>
      <c r="DH84" s="190" t="n">
        <v>6.81312788851999</v>
      </c>
      <c r="DI84" s="190" t="n">
        <v>6.88286357653999</v>
      </c>
      <c r="DJ84" s="190" t="n">
        <v>6.95259926455999</v>
      </c>
      <c r="DK84" s="190" t="n">
        <v>7.02233495257999</v>
      </c>
      <c r="DL84" s="190" t="n">
        <v>7.09207064059999</v>
      </c>
      <c r="DM84" s="190" t="n">
        <v>7.16180632861999</v>
      </c>
      <c r="DN84" s="190" t="n">
        <v>7.23154201663999</v>
      </c>
      <c r="DO84" s="190" t="n">
        <v>7.30127770465999</v>
      </c>
      <c r="DP84" s="190" t="n">
        <v>7.37101339267999</v>
      </c>
      <c r="DQ84" s="190" t="n">
        <v>7.44074908069999</v>
      </c>
      <c r="DR84" s="190" t="n">
        <v>7.51048476871999</v>
      </c>
      <c r="DS84" s="190" t="n">
        <v>7.58022045673999</v>
      </c>
      <c r="DT84" s="190" t="n">
        <v>7.64995614475999</v>
      </c>
      <c r="DU84" s="190" t="n">
        <v>7.71969183277999</v>
      </c>
      <c r="DV84" s="190" t="n">
        <v>7.78942752079998</v>
      </c>
      <c r="DW84" s="190" t="n">
        <v>7.85916320881998</v>
      </c>
      <c r="DX84" s="190" t="n">
        <v>7.92889889683998</v>
      </c>
      <c r="DY84" s="190" t="n">
        <v>7.99863458485998</v>
      </c>
      <c r="DZ84" s="190" t="n">
        <v>8.06837027287998</v>
      </c>
      <c r="EA84" s="190" t="n">
        <v>8.13810596089998</v>
      </c>
      <c r="EB84" s="190" t="n">
        <v>8.20784164891998</v>
      </c>
      <c r="EC84" s="190" t="n">
        <v>8.27757733693998</v>
      </c>
      <c r="ED84" s="190" t="n">
        <v>8.34731302495998</v>
      </c>
      <c r="EE84" s="190" t="n">
        <v>8.41704871297998</v>
      </c>
      <c r="EF84" s="190" t="n">
        <v>8.48678440099998</v>
      </c>
      <c r="EG84" s="190" t="n">
        <v>8.55652008901998</v>
      </c>
      <c r="EH84" s="190" t="n">
        <v>8.62625577703998</v>
      </c>
      <c r="EI84" s="190" t="n">
        <v>8.69599146505998</v>
      </c>
      <c r="EJ84" s="190" t="n">
        <v>8.76572715307998</v>
      </c>
      <c r="EK84" s="190" t="n">
        <v>8.83546284109998</v>
      </c>
      <c r="EL84" s="180" t="n">
        <v>8.90519852911998</v>
      </c>
      <c r="EM84" s="180" t="n">
        <v>8.97493421713998</v>
      </c>
      <c r="EN84" s="180" t="n">
        <v>9.04466990515998</v>
      </c>
      <c r="EO84" s="180" t="n">
        <v>9.11440559317998</v>
      </c>
      <c r="EP84" s="180" t="n">
        <v>9.18414128119998</v>
      </c>
      <c r="EQ84" s="180" t="n">
        <v>9.25387696921998</v>
      </c>
      <c r="ER84" s="180" t="n">
        <v>9.32361265723998</v>
      </c>
      <c r="ES84" s="180" t="n">
        <v>9.39334834525998</v>
      </c>
      <c r="ET84" s="180" t="n">
        <v>9.46308403327998</v>
      </c>
      <c r="EU84" s="180" t="n">
        <v>9.53281972129998</v>
      </c>
      <c r="EV84" s="180" t="n">
        <v>9.60255540931998</v>
      </c>
      <c r="EW84" s="180" t="n">
        <v>9.67229109733998</v>
      </c>
      <c r="EX84" s="180" t="n">
        <v>9.74202678535998</v>
      </c>
      <c r="EY84" s="180" t="n">
        <v>9.81176247337998</v>
      </c>
      <c r="EZ84" s="180" t="n">
        <v>9.88149816139998</v>
      </c>
      <c r="FA84" s="180" t="n">
        <v>9.95123384941998</v>
      </c>
      <c r="FB84" s="180" t="n">
        <v>10.02096953744</v>
      </c>
      <c r="FC84" s="180" t="n">
        <v>10.09070522546</v>
      </c>
      <c r="FD84" s="180" t="n">
        <v>10.16044091348</v>
      </c>
      <c r="FE84" s="180" t="n">
        <v>10.2301766015</v>
      </c>
      <c r="FF84" s="180" t="n">
        <v>10.29991228952</v>
      </c>
      <c r="FG84" s="180" t="n">
        <v>10.36964797754</v>
      </c>
      <c r="FH84" s="180" t="n">
        <v>10.43938366556</v>
      </c>
      <c r="FI84" s="180" t="n">
        <v>10.50911935358</v>
      </c>
      <c r="FJ84" s="180" t="n">
        <v>10.5788550416</v>
      </c>
      <c r="FK84" s="180" t="n">
        <v>10.64859072962</v>
      </c>
      <c r="FL84" s="180" t="n">
        <v>10.71832641764</v>
      </c>
      <c r="FM84" s="180" t="n">
        <v>10.78806210566</v>
      </c>
      <c r="FN84" s="180" t="n">
        <v>10.85779779368</v>
      </c>
      <c r="FO84" s="180" t="n">
        <v>10.9275334817</v>
      </c>
      <c r="FP84" s="180" t="n">
        <v>10.99726916972</v>
      </c>
      <c r="FQ84" s="180" t="n">
        <v>11.06700485774</v>
      </c>
      <c r="FR84" s="180" t="n">
        <v>11.13674054576</v>
      </c>
      <c r="FS84" s="180" t="n">
        <v>11.20647623378</v>
      </c>
      <c r="FT84" s="180" t="n">
        <v>11.2762119218</v>
      </c>
      <c r="FU84" s="180" t="n">
        <v>11.34594760982</v>
      </c>
      <c r="FV84" s="180" t="n">
        <v>11.41568329784</v>
      </c>
      <c r="FW84" s="180" t="n">
        <v>11.48541898586</v>
      </c>
      <c r="FX84" s="180" t="n">
        <v>11.55515467388</v>
      </c>
      <c r="FY84" s="180" t="n">
        <v>11.6248903619</v>
      </c>
      <c r="FZ84" s="180" t="n">
        <v>11.69462604992</v>
      </c>
      <c r="GA84" s="180" t="n">
        <v>11.76436173794</v>
      </c>
      <c r="GB84" s="180" t="n">
        <v>11.83409742596</v>
      </c>
      <c r="GC84" s="180" t="n">
        <v>11.90383311398</v>
      </c>
      <c r="GD84" s="180" t="n">
        <v>11.973568802</v>
      </c>
      <c r="GE84" s="180" t="n">
        <v>12.04330449002</v>
      </c>
      <c r="GF84" s="180" t="n">
        <v>12.11304017804</v>
      </c>
      <c r="GG84" s="180" t="n">
        <v>12.18277586606</v>
      </c>
      <c r="GH84" s="180" t="n">
        <v>12.25251155408</v>
      </c>
      <c r="GI84" s="180" t="n">
        <v>12.3222472421</v>
      </c>
      <c r="GJ84" s="180" t="n">
        <v>12.39198293012</v>
      </c>
      <c r="GK84" s="180" t="n">
        <v>12.46171861814</v>
      </c>
      <c r="GL84" s="180" t="n">
        <v>12.53145430616</v>
      </c>
      <c r="GM84" s="180" t="n">
        <v>12.60118999418</v>
      </c>
      <c r="GN84" s="180" t="n">
        <v>12.6709256822</v>
      </c>
      <c r="GO84" s="180" t="n">
        <v>12.74066137022</v>
      </c>
      <c r="GP84" s="180" t="n">
        <v>12.81039705824</v>
      </c>
      <c r="GQ84" s="180" t="n">
        <v>12.88013274626</v>
      </c>
      <c r="GR84" s="180" t="n">
        <v>12.94986843428</v>
      </c>
      <c r="GS84" s="180" t="n">
        <v>13.0196041223</v>
      </c>
      <c r="GT84" s="180" t="n">
        <v>13.08933981032</v>
      </c>
      <c r="GU84" s="180" t="n">
        <v>13.15907549834</v>
      </c>
      <c r="GV84" s="180" t="n">
        <v>13.22881118636</v>
      </c>
      <c r="GW84" s="180" t="n">
        <v>13.29854687438</v>
      </c>
      <c r="GX84" s="180" t="n">
        <v>13.3682825624</v>
      </c>
      <c r="GY84" s="180" t="n">
        <v>13.43801825042</v>
      </c>
      <c r="GZ84" s="180" t="n">
        <v>13.50775393844</v>
      </c>
      <c r="HA84" s="180" t="n">
        <v>13.57748962646</v>
      </c>
      <c r="HB84" s="180" t="n">
        <v>13.64722531448</v>
      </c>
      <c r="HC84" s="180" t="n">
        <v>13.7169610025</v>
      </c>
      <c r="HD84" s="180" t="n">
        <v>13.78669669052</v>
      </c>
      <c r="HE84" s="180" t="n">
        <v>13.85643237854</v>
      </c>
      <c r="HF84" s="180" t="n">
        <v>13.92616806656</v>
      </c>
      <c r="HG84" s="180" t="n">
        <v>13.99590375458</v>
      </c>
      <c r="HH84" s="180" t="n">
        <v>14.0656394426</v>
      </c>
      <c r="HI84" s="180" t="n">
        <v>14.13537513062</v>
      </c>
      <c r="HJ84" s="180" t="n">
        <v>14.20511081864</v>
      </c>
      <c r="HK84" s="180" t="n">
        <v>14.27484650666</v>
      </c>
      <c r="HL84" s="180" t="n">
        <v>14.34458219468</v>
      </c>
      <c r="HM84" s="180" t="n">
        <v>14.4143178827</v>
      </c>
      <c r="HN84" s="180" t="n">
        <v>14.48405357072</v>
      </c>
      <c r="HO84" s="180" t="n">
        <v>14.55378925874</v>
      </c>
      <c r="HP84" s="180" t="n">
        <v>14.62352494676</v>
      </c>
      <c r="HQ84" s="180" t="n">
        <v>14.69326063478</v>
      </c>
      <c r="HR84" s="180" t="n">
        <v>14.7629963228</v>
      </c>
      <c r="HS84" s="180" t="n">
        <v>14.83273201082</v>
      </c>
      <c r="HT84" s="180" t="n">
        <v>14.90246769884</v>
      </c>
      <c r="HU84" s="180" t="n">
        <v>14.97220338686</v>
      </c>
      <c r="HV84" s="180" t="n">
        <v>15.04193907488</v>
      </c>
      <c r="HW84" s="180" t="n">
        <v>15.1116747629</v>
      </c>
      <c r="HX84" s="180" t="n">
        <v>15.18141045092</v>
      </c>
      <c r="HY84" s="180" t="n">
        <v>15.25114613894</v>
      </c>
      <c r="HZ84" s="180" t="n">
        <v>15.32088182696</v>
      </c>
      <c r="IA84" s="180" t="n">
        <v>15.39061751498</v>
      </c>
      <c r="IB84" s="180" t="n">
        <v>15.460353203</v>
      </c>
      <c r="IC84" s="180" t="n">
        <v>15.53008889102</v>
      </c>
      <c r="ID84" s="180" t="n">
        <v>15.59982457904</v>
      </c>
      <c r="IE84" s="180" t="n">
        <v>15.66956026706</v>
      </c>
      <c r="IF84" s="180" t="n">
        <v>15.73929595508</v>
      </c>
      <c r="IG84" s="180" t="n">
        <v>15.8090316431</v>
      </c>
      <c r="IH84" s="180" t="n">
        <v>15.87876733112</v>
      </c>
      <c r="II84" s="180" t="n">
        <v>15.94850301914</v>
      </c>
      <c r="IJ84" s="180" t="n">
        <v>16.01823870716</v>
      </c>
      <c r="IK84" s="180" t="n">
        <v>16.08797439518</v>
      </c>
      <c r="IL84" s="180" t="n">
        <v>16.1577100832</v>
      </c>
      <c r="IM84" s="180" t="n">
        <v>16.22744577122</v>
      </c>
      <c r="IN84" s="180" t="n">
        <v>16.29718145924</v>
      </c>
      <c r="IO84" s="180" t="n">
        <v>16.36691714726</v>
      </c>
      <c r="IP84" s="180" t="n">
        <v>16.43665283528</v>
      </c>
      <c r="IQ84" s="180" t="n">
        <v>16.5063885233</v>
      </c>
      <c r="IR84" s="180" t="n">
        <v>16.57612421132</v>
      </c>
      <c r="IS84" s="180" t="n">
        <v>16.64585989934</v>
      </c>
      <c r="IT84" s="180" t="n">
        <v>16.71559558736</v>
      </c>
      <c r="IU84" s="180" t="n">
        <v>16.78533127538</v>
      </c>
      <c r="IV84" s="180" t="n">
        <v>16.8550669634</v>
      </c>
    </row>
    <row r="85" customFormat="false" ht="12.75" hidden="false" customHeight="false" outlineLevel="0" collapsed="false">
      <c r="A85" s="189" t="n">
        <v>39264</v>
      </c>
      <c r="B85" s="185" t="n">
        <v>-2.021005929375</v>
      </c>
      <c r="C85" s="185" t="n">
        <v>-1.9907047400625</v>
      </c>
      <c r="D85" s="185" t="n">
        <v>-1.96040355075</v>
      </c>
      <c r="E85" s="185" t="n">
        <v>-1.9301023614375</v>
      </c>
      <c r="F85" s="185" t="n">
        <v>-1.899801172125</v>
      </c>
      <c r="G85" s="185" t="n">
        <v>-1.8694999828125</v>
      </c>
      <c r="H85" s="185" t="n">
        <v>-1.8391987935</v>
      </c>
      <c r="I85" s="185" t="n">
        <v>-1.8088976041875</v>
      </c>
      <c r="J85" s="185" t="n">
        <v>-1.778596414875</v>
      </c>
      <c r="K85" s="185" t="n">
        <v>-1.7482952255625</v>
      </c>
      <c r="L85" s="185" t="n">
        <v>-1.71799403625</v>
      </c>
      <c r="M85" s="185" t="n">
        <v>-1.6876928469375</v>
      </c>
      <c r="N85" s="185" t="n">
        <v>-1.657391657625</v>
      </c>
      <c r="O85" s="185" t="n">
        <v>-1.6270904683125</v>
      </c>
      <c r="P85" s="185" t="n">
        <v>-1.596789279</v>
      </c>
      <c r="Q85" s="185" t="n">
        <v>-1.5664880896875</v>
      </c>
      <c r="R85" s="185" t="n">
        <v>-1.536186900375</v>
      </c>
      <c r="S85" s="185" t="n">
        <v>-1.5058857110625</v>
      </c>
      <c r="T85" s="185" t="n">
        <v>-1.47558452175</v>
      </c>
      <c r="U85" s="185" t="n">
        <v>-1.4452833324375</v>
      </c>
      <c r="V85" s="186" t="n">
        <v>-1.414982143125</v>
      </c>
      <c r="W85" s="185" t="n">
        <v>-1.3846809538125</v>
      </c>
      <c r="X85" s="186" t="n">
        <v>-1.3543797645</v>
      </c>
      <c r="Y85" s="185" t="n">
        <v>-1.3240785751875</v>
      </c>
      <c r="Z85" s="186" t="n">
        <v>-1.293777385875</v>
      </c>
      <c r="AA85" s="185" t="n">
        <v>-1.2634761965625</v>
      </c>
      <c r="AB85" s="187" t="n">
        <v>-1.23317500725</v>
      </c>
      <c r="AC85" s="185" t="n">
        <v>-1.2028738179375</v>
      </c>
      <c r="AD85" s="187" t="n">
        <v>-1.172572628625</v>
      </c>
      <c r="AE85" s="185" t="n">
        <v>-1.1422714393125</v>
      </c>
      <c r="AF85" s="185" t="n">
        <v>-1.11197025</v>
      </c>
      <c r="AG85" s="190" t="n">
        <v>-1.083235125</v>
      </c>
      <c r="AH85" s="190" t="n">
        <v>-1.0545</v>
      </c>
      <c r="AI85" s="190" t="n">
        <v>-1.02725</v>
      </c>
      <c r="AJ85" s="190" t="n">
        <v>-1</v>
      </c>
      <c r="AK85" s="190" t="n">
        <v>-0.8</v>
      </c>
      <c r="AL85" s="190" t="n">
        <v>-0.6</v>
      </c>
      <c r="AM85" s="190" t="n">
        <v>-0.4</v>
      </c>
      <c r="AN85" s="190" t="n">
        <v>-0.2</v>
      </c>
      <c r="AO85" s="190" t="n">
        <v>0</v>
      </c>
      <c r="AP85" s="190" t="n">
        <v>0.2</v>
      </c>
      <c r="AQ85" s="190" t="n">
        <v>0.4</v>
      </c>
      <c r="AR85" s="190" t="n">
        <v>0.6</v>
      </c>
      <c r="AS85" s="190" t="n">
        <v>0.8</v>
      </c>
      <c r="AT85" s="190" t="n">
        <v>1</v>
      </c>
      <c r="AU85" s="190" t="n">
        <v>1.2</v>
      </c>
      <c r="AV85" s="190" t="n">
        <v>1.4</v>
      </c>
      <c r="AW85" s="190" t="n">
        <v>1.58</v>
      </c>
      <c r="AX85" s="190" t="n">
        <v>1.76</v>
      </c>
      <c r="AY85" s="190" t="n">
        <v>1.922</v>
      </c>
      <c r="AZ85" s="190" t="n">
        <v>2.084</v>
      </c>
      <c r="BA85" s="190" t="n">
        <v>2.2298</v>
      </c>
      <c r="BB85" s="190" t="n">
        <v>2.3756</v>
      </c>
      <c r="BC85" s="190" t="n">
        <v>2.50682</v>
      </c>
      <c r="BD85" s="190" t="n">
        <v>2.63804</v>
      </c>
      <c r="BE85" s="190" t="n">
        <v>2.756138</v>
      </c>
      <c r="BF85" s="190" t="n">
        <v>2.874236</v>
      </c>
      <c r="BG85" s="190" t="n">
        <v>2.9805242</v>
      </c>
      <c r="BH85" s="190" t="n">
        <v>3.0868124</v>
      </c>
      <c r="BI85" s="190" t="n">
        <v>3.18247178</v>
      </c>
      <c r="BJ85" s="190" t="n">
        <v>3.27813116</v>
      </c>
      <c r="BK85" s="190" t="n">
        <v>3.364224602</v>
      </c>
      <c r="BL85" s="190" t="n">
        <v>3.450318044</v>
      </c>
      <c r="BM85" s="190" t="n">
        <v>3.5278021418</v>
      </c>
      <c r="BN85" s="190" t="n">
        <v>3.6052862396</v>
      </c>
      <c r="BO85" s="190" t="n">
        <v>3.67502192762</v>
      </c>
      <c r="BP85" s="190" t="n">
        <v>3.74475761564</v>
      </c>
      <c r="BQ85" s="190" t="n">
        <v>3.81449330366</v>
      </c>
      <c r="BR85" s="190" t="n">
        <v>3.88422899168</v>
      </c>
      <c r="BS85" s="190" t="n">
        <v>3.9539646797</v>
      </c>
      <c r="BT85" s="190" t="n">
        <v>4.02370036772</v>
      </c>
      <c r="BU85" s="190" t="n">
        <v>4.09343605574</v>
      </c>
      <c r="BV85" s="190" t="n">
        <v>4.16317174376</v>
      </c>
      <c r="BW85" s="190" t="n">
        <v>4.23290743178</v>
      </c>
      <c r="BX85" s="190" t="n">
        <v>4.3026431198</v>
      </c>
      <c r="BY85" s="190" t="n">
        <v>4.37237880782</v>
      </c>
      <c r="BZ85" s="190" t="n">
        <v>4.44211449584</v>
      </c>
      <c r="CA85" s="190" t="n">
        <v>4.51185018386</v>
      </c>
      <c r="CB85" s="190" t="n">
        <v>4.58158587188</v>
      </c>
      <c r="CC85" s="190" t="n">
        <v>4.6513215599</v>
      </c>
      <c r="CD85" s="190" t="n">
        <v>4.72105724792</v>
      </c>
      <c r="CE85" s="190" t="n">
        <v>4.79079293594</v>
      </c>
      <c r="CF85" s="190" t="n">
        <v>4.86052862396</v>
      </c>
      <c r="CG85" s="190" t="n">
        <v>4.93026431198</v>
      </c>
      <c r="CH85" s="190" t="n">
        <v>5</v>
      </c>
      <c r="CI85" s="190" t="n">
        <v>5.06973568801999</v>
      </c>
      <c r="CJ85" s="190" t="n">
        <v>5.13947137603999</v>
      </c>
      <c r="CK85" s="190" t="n">
        <v>5.20920706405999</v>
      </c>
      <c r="CL85" s="190" t="n">
        <v>5.27894275207999</v>
      </c>
      <c r="CM85" s="190" t="n">
        <v>5.34867844009999</v>
      </c>
      <c r="CN85" s="190" t="n">
        <v>5.41841412811999</v>
      </c>
      <c r="CO85" s="190" t="n">
        <v>5.48814981613999</v>
      </c>
      <c r="CP85" s="190" t="n">
        <v>5.55788550415999</v>
      </c>
      <c r="CQ85" s="190" t="n">
        <v>5.62762119217999</v>
      </c>
      <c r="CR85" s="190" t="n">
        <v>5.69735688019999</v>
      </c>
      <c r="CS85" s="190" t="n">
        <v>5.76709256821999</v>
      </c>
      <c r="CT85" s="190" t="n">
        <v>5.83682825623999</v>
      </c>
      <c r="CU85" s="190" t="n">
        <v>5.90656394425999</v>
      </c>
      <c r="CV85" s="190" t="n">
        <v>5.97629963227999</v>
      </c>
      <c r="CW85" s="190" t="n">
        <v>6.04603532029999</v>
      </c>
      <c r="CX85" s="190" t="n">
        <v>6.11577100831999</v>
      </c>
      <c r="CY85" s="190" t="n">
        <v>6.18550669633999</v>
      </c>
      <c r="CZ85" s="190" t="n">
        <v>6.25524238435999</v>
      </c>
      <c r="DA85" s="190" t="n">
        <v>6.32497807237999</v>
      </c>
      <c r="DB85" s="190" t="n">
        <v>6.39471376039999</v>
      </c>
      <c r="DC85" s="190" t="n">
        <v>6.46444944841999</v>
      </c>
      <c r="DD85" s="190" t="n">
        <v>6.53418513643999</v>
      </c>
      <c r="DE85" s="190" t="n">
        <v>6.60392082445999</v>
      </c>
      <c r="DF85" s="190" t="n">
        <v>6.67365651247999</v>
      </c>
      <c r="DG85" s="190" t="n">
        <v>6.74339220049999</v>
      </c>
      <c r="DH85" s="190" t="n">
        <v>6.81312788851999</v>
      </c>
      <c r="DI85" s="190" t="n">
        <v>6.88286357653999</v>
      </c>
      <c r="DJ85" s="190" t="n">
        <v>6.95259926455999</v>
      </c>
      <c r="DK85" s="190" t="n">
        <v>7.02233495257999</v>
      </c>
      <c r="DL85" s="190" t="n">
        <v>7.09207064059999</v>
      </c>
      <c r="DM85" s="190" t="n">
        <v>7.16180632861999</v>
      </c>
      <c r="DN85" s="190" t="n">
        <v>7.23154201663999</v>
      </c>
      <c r="DO85" s="190" t="n">
        <v>7.30127770465999</v>
      </c>
      <c r="DP85" s="190" t="n">
        <v>7.37101339267999</v>
      </c>
      <c r="DQ85" s="190" t="n">
        <v>7.44074908069999</v>
      </c>
      <c r="DR85" s="190" t="n">
        <v>7.51048476871999</v>
      </c>
      <c r="DS85" s="190" t="n">
        <v>7.58022045673999</v>
      </c>
      <c r="DT85" s="190" t="n">
        <v>7.64995614475999</v>
      </c>
      <c r="DU85" s="190" t="n">
        <v>7.71969183277999</v>
      </c>
      <c r="DV85" s="190" t="n">
        <v>7.78942752079998</v>
      </c>
      <c r="DW85" s="190" t="n">
        <v>7.85916320881998</v>
      </c>
      <c r="DX85" s="190" t="n">
        <v>7.92889889683998</v>
      </c>
      <c r="DY85" s="190" t="n">
        <v>7.99863458485998</v>
      </c>
      <c r="DZ85" s="190" t="n">
        <v>8.06837027287998</v>
      </c>
      <c r="EA85" s="190" t="n">
        <v>8.13810596089998</v>
      </c>
      <c r="EB85" s="190" t="n">
        <v>8.20784164891998</v>
      </c>
      <c r="EC85" s="190" t="n">
        <v>8.27757733693998</v>
      </c>
      <c r="ED85" s="190" t="n">
        <v>8.34731302495998</v>
      </c>
      <c r="EE85" s="190" t="n">
        <v>8.41704871297998</v>
      </c>
      <c r="EF85" s="190" t="n">
        <v>8.48678440099998</v>
      </c>
      <c r="EG85" s="190" t="n">
        <v>8.55652008901998</v>
      </c>
      <c r="EH85" s="190" t="n">
        <v>8.62625577703998</v>
      </c>
      <c r="EI85" s="190" t="n">
        <v>8.69599146505998</v>
      </c>
      <c r="EJ85" s="190" t="n">
        <v>8.76572715307998</v>
      </c>
      <c r="EK85" s="190" t="n">
        <v>8.83546284109998</v>
      </c>
      <c r="EL85" s="180" t="n">
        <v>8.90519852911998</v>
      </c>
      <c r="EM85" s="180" t="n">
        <v>8.97493421713998</v>
      </c>
      <c r="EN85" s="180" t="n">
        <v>9.04466990515998</v>
      </c>
      <c r="EO85" s="180" t="n">
        <v>9.11440559317998</v>
      </c>
      <c r="EP85" s="180" t="n">
        <v>9.18414128119998</v>
      </c>
      <c r="EQ85" s="180" t="n">
        <v>9.25387696921998</v>
      </c>
      <c r="ER85" s="180" t="n">
        <v>9.32361265723998</v>
      </c>
      <c r="ES85" s="180" t="n">
        <v>9.39334834525998</v>
      </c>
      <c r="ET85" s="180" t="n">
        <v>9.46308403327998</v>
      </c>
      <c r="EU85" s="180" t="n">
        <v>9.53281972129998</v>
      </c>
      <c r="EV85" s="180" t="n">
        <v>9.60255540931998</v>
      </c>
      <c r="EW85" s="180" t="n">
        <v>9.67229109733998</v>
      </c>
      <c r="EX85" s="180" t="n">
        <v>9.74202678535998</v>
      </c>
      <c r="EY85" s="180" t="n">
        <v>9.81176247337998</v>
      </c>
      <c r="EZ85" s="180" t="n">
        <v>9.88149816139998</v>
      </c>
      <c r="FA85" s="180" t="n">
        <v>9.95123384941998</v>
      </c>
      <c r="FB85" s="180" t="n">
        <v>10.02096953744</v>
      </c>
      <c r="FC85" s="180" t="n">
        <v>10.09070522546</v>
      </c>
      <c r="FD85" s="180" t="n">
        <v>10.16044091348</v>
      </c>
      <c r="FE85" s="180" t="n">
        <v>10.2301766015</v>
      </c>
      <c r="FF85" s="180" t="n">
        <v>10.29991228952</v>
      </c>
      <c r="FG85" s="180" t="n">
        <v>10.36964797754</v>
      </c>
      <c r="FH85" s="180" t="n">
        <v>10.43938366556</v>
      </c>
      <c r="FI85" s="180" t="n">
        <v>10.50911935358</v>
      </c>
      <c r="FJ85" s="180" t="n">
        <v>10.5788550416</v>
      </c>
      <c r="FK85" s="180" t="n">
        <v>10.64859072962</v>
      </c>
      <c r="FL85" s="180" t="n">
        <v>10.71832641764</v>
      </c>
      <c r="FM85" s="180" t="n">
        <v>10.78806210566</v>
      </c>
      <c r="FN85" s="180" t="n">
        <v>10.85779779368</v>
      </c>
      <c r="FO85" s="180" t="n">
        <v>10.9275334817</v>
      </c>
      <c r="FP85" s="180" t="n">
        <v>10.99726916972</v>
      </c>
      <c r="FQ85" s="180" t="n">
        <v>11.06700485774</v>
      </c>
      <c r="FR85" s="180" t="n">
        <v>11.13674054576</v>
      </c>
      <c r="FS85" s="180" t="n">
        <v>11.20647623378</v>
      </c>
      <c r="FT85" s="180" t="n">
        <v>11.2762119218</v>
      </c>
      <c r="FU85" s="180" t="n">
        <v>11.34594760982</v>
      </c>
      <c r="FV85" s="180" t="n">
        <v>11.41568329784</v>
      </c>
      <c r="FW85" s="180" t="n">
        <v>11.48541898586</v>
      </c>
      <c r="FX85" s="180" t="n">
        <v>11.55515467388</v>
      </c>
      <c r="FY85" s="180" t="n">
        <v>11.6248903619</v>
      </c>
      <c r="FZ85" s="180" t="n">
        <v>11.69462604992</v>
      </c>
      <c r="GA85" s="180" t="n">
        <v>11.76436173794</v>
      </c>
      <c r="GB85" s="180" t="n">
        <v>11.83409742596</v>
      </c>
      <c r="GC85" s="180" t="n">
        <v>11.90383311398</v>
      </c>
      <c r="GD85" s="180" t="n">
        <v>11.973568802</v>
      </c>
      <c r="GE85" s="180" t="n">
        <v>12.04330449002</v>
      </c>
      <c r="GF85" s="180" t="n">
        <v>12.11304017804</v>
      </c>
      <c r="GG85" s="180" t="n">
        <v>12.18277586606</v>
      </c>
      <c r="GH85" s="180" t="n">
        <v>12.25251155408</v>
      </c>
      <c r="GI85" s="180" t="n">
        <v>12.3222472421</v>
      </c>
      <c r="GJ85" s="180" t="n">
        <v>12.39198293012</v>
      </c>
      <c r="GK85" s="180" t="n">
        <v>12.46171861814</v>
      </c>
      <c r="GL85" s="180" t="n">
        <v>12.53145430616</v>
      </c>
      <c r="GM85" s="180" t="n">
        <v>12.60118999418</v>
      </c>
      <c r="GN85" s="180" t="n">
        <v>12.6709256822</v>
      </c>
      <c r="GO85" s="180" t="n">
        <v>12.74066137022</v>
      </c>
      <c r="GP85" s="180" t="n">
        <v>12.81039705824</v>
      </c>
      <c r="GQ85" s="180" t="n">
        <v>12.88013274626</v>
      </c>
      <c r="GR85" s="180" t="n">
        <v>12.94986843428</v>
      </c>
      <c r="GS85" s="180" t="n">
        <v>13.0196041223</v>
      </c>
      <c r="GT85" s="180" t="n">
        <v>13.08933981032</v>
      </c>
      <c r="GU85" s="180" t="n">
        <v>13.15907549834</v>
      </c>
      <c r="GV85" s="180" t="n">
        <v>13.22881118636</v>
      </c>
      <c r="GW85" s="180" t="n">
        <v>13.29854687438</v>
      </c>
      <c r="GX85" s="180" t="n">
        <v>13.3682825624</v>
      </c>
      <c r="GY85" s="180" t="n">
        <v>13.43801825042</v>
      </c>
      <c r="GZ85" s="180" t="n">
        <v>13.50775393844</v>
      </c>
      <c r="HA85" s="180" t="n">
        <v>13.57748962646</v>
      </c>
      <c r="HB85" s="180" t="n">
        <v>13.64722531448</v>
      </c>
      <c r="HC85" s="180" t="n">
        <v>13.7169610025</v>
      </c>
      <c r="HD85" s="180" t="n">
        <v>13.78669669052</v>
      </c>
      <c r="HE85" s="180" t="n">
        <v>13.85643237854</v>
      </c>
      <c r="HF85" s="180" t="n">
        <v>13.92616806656</v>
      </c>
      <c r="HG85" s="180" t="n">
        <v>13.99590375458</v>
      </c>
      <c r="HH85" s="180" t="n">
        <v>14.0656394426</v>
      </c>
      <c r="HI85" s="180" t="n">
        <v>14.13537513062</v>
      </c>
      <c r="HJ85" s="180" t="n">
        <v>14.20511081864</v>
      </c>
      <c r="HK85" s="180" t="n">
        <v>14.27484650666</v>
      </c>
      <c r="HL85" s="180" t="n">
        <v>14.34458219468</v>
      </c>
      <c r="HM85" s="180" t="n">
        <v>14.4143178827</v>
      </c>
      <c r="HN85" s="180" t="n">
        <v>14.48405357072</v>
      </c>
      <c r="HO85" s="180" t="n">
        <v>14.55378925874</v>
      </c>
      <c r="HP85" s="180" t="n">
        <v>14.62352494676</v>
      </c>
      <c r="HQ85" s="180" t="n">
        <v>14.69326063478</v>
      </c>
      <c r="HR85" s="180" t="n">
        <v>14.7629963228</v>
      </c>
      <c r="HS85" s="180" t="n">
        <v>14.83273201082</v>
      </c>
      <c r="HT85" s="180" t="n">
        <v>14.90246769884</v>
      </c>
      <c r="HU85" s="180" t="n">
        <v>14.97220338686</v>
      </c>
      <c r="HV85" s="180" t="n">
        <v>15.04193907488</v>
      </c>
      <c r="HW85" s="180" t="n">
        <v>15.1116747629</v>
      </c>
      <c r="HX85" s="180" t="n">
        <v>15.18141045092</v>
      </c>
      <c r="HY85" s="180" t="n">
        <v>15.25114613894</v>
      </c>
      <c r="HZ85" s="180" t="n">
        <v>15.32088182696</v>
      </c>
      <c r="IA85" s="180" t="n">
        <v>15.39061751498</v>
      </c>
      <c r="IB85" s="180" t="n">
        <v>15.460353203</v>
      </c>
      <c r="IC85" s="180" t="n">
        <v>15.53008889102</v>
      </c>
      <c r="ID85" s="180" t="n">
        <v>15.59982457904</v>
      </c>
      <c r="IE85" s="180" t="n">
        <v>15.66956026706</v>
      </c>
      <c r="IF85" s="180" t="n">
        <v>15.73929595508</v>
      </c>
      <c r="IG85" s="180" t="n">
        <v>15.8090316431</v>
      </c>
      <c r="IH85" s="180" t="n">
        <v>15.87876733112</v>
      </c>
      <c r="II85" s="180" t="n">
        <v>15.94850301914</v>
      </c>
      <c r="IJ85" s="180" t="n">
        <v>16.01823870716</v>
      </c>
      <c r="IK85" s="180" t="n">
        <v>16.08797439518</v>
      </c>
      <c r="IL85" s="180" t="n">
        <v>16.1577100832</v>
      </c>
      <c r="IM85" s="180" t="n">
        <v>16.22744577122</v>
      </c>
      <c r="IN85" s="180" t="n">
        <v>16.29718145924</v>
      </c>
      <c r="IO85" s="180" t="n">
        <v>16.36691714726</v>
      </c>
      <c r="IP85" s="180" t="n">
        <v>16.43665283528</v>
      </c>
      <c r="IQ85" s="180" t="n">
        <v>16.5063885233</v>
      </c>
      <c r="IR85" s="180" t="n">
        <v>16.57612421132</v>
      </c>
      <c r="IS85" s="180" t="n">
        <v>16.64585989934</v>
      </c>
      <c r="IT85" s="180" t="n">
        <v>16.71559558736</v>
      </c>
      <c r="IU85" s="180" t="n">
        <v>16.78533127538</v>
      </c>
      <c r="IV85" s="180" t="n">
        <v>16.8550669634</v>
      </c>
    </row>
    <row r="86" customFormat="false" ht="12.75" hidden="false" customHeight="false" outlineLevel="0" collapsed="false">
      <c r="A86" s="189" t="n">
        <v>39295</v>
      </c>
      <c r="B86" s="185" t="n">
        <v>-2.021005929375</v>
      </c>
      <c r="C86" s="185" t="n">
        <v>-1.9907047400625</v>
      </c>
      <c r="D86" s="185" t="n">
        <v>-1.96040355075</v>
      </c>
      <c r="E86" s="185" t="n">
        <v>-1.9301023614375</v>
      </c>
      <c r="F86" s="185" t="n">
        <v>-1.899801172125</v>
      </c>
      <c r="G86" s="185" t="n">
        <v>-1.8694999828125</v>
      </c>
      <c r="H86" s="185" t="n">
        <v>-1.8391987935</v>
      </c>
      <c r="I86" s="185" t="n">
        <v>-1.8088976041875</v>
      </c>
      <c r="J86" s="185" t="n">
        <v>-1.778596414875</v>
      </c>
      <c r="K86" s="185" t="n">
        <v>-1.7482952255625</v>
      </c>
      <c r="L86" s="185" t="n">
        <v>-1.71799403625</v>
      </c>
      <c r="M86" s="185" t="n">
        <v>-1.6876928469375</v>
      </c>
      <c r="N86" s="185" t="n">
        <v>-1.657391657625</v>
      </c>
      <c r="O86" s="185" t="n">
        <v>-1.6270904683125</v>
      </c>
      <c r="P86" s="185" t="n">
        <v>-1.596789279</v>
      </c>
      <c r="Q86" s="185" t="n">
        <v>-1.5664880896875</v>
      </c>
      <c r="R86" s="185" t="n">
        <v>-1.536186900375</v>
      </c>
      <c r="S86" s="185" t="n">
        <v>-1.5058857110625</v>
      </c>
      <c r="T86" s="185" t="n">
        <v>-1.47558452175</v>
      </c>
      <c r="U86" s="185" t="n">
        <v>-1.4452833324375</v>
      </c>
      <c r="V86" s="186" t="n">
        <v>-1.414982143125</v>
      </c>
      <c r="W86" s="185" t="n">
        <v>-1.3846809538125</v>
      </c>
      <c r="X86" s="186" t="n">
        <v>-1.3543797645</v>
      </c>
      <c r="Y86" s="185" t="n">
        <v>-1.3240785751875</v>
      </c>
      <c r="Z86" s="186" t="n">
        <v>-1.293777385875</v>
      </c>
      <c r="AA86" s="185" t="n">
        <v>-1.2634761965625</v>
      </c>
      <c r="AB86" s="187" t="n">
        <v>-1.23317500725</v>
      </c>
      <c r="AC86" s="185" t="n">
        <v>-1.2028738179375</v>
      </c>
      <c r="AD86" s="187" t="n">
        <v>-1.172572628625</v>
      </c>
      <c r="AE86" s="185" t="n">
        <v>-1.1422714393125</v>
      </c>
      <c r="AF86" s="185" t="n">
        <v>-1.11197025</v>
      </c>
      <c r="AG86" s="190" t="n">
        <v>-1.083235125</v>
      </c>
      <c r="AH86" s="190" t="n">
        <v>-1.0545</v>
      </c>
      <c r="AI86" s="190" t="n">
        <v>-1.02725</v>
      </c>
      <c r="AJ86" s="190" t="n">
        <v>-1</v>
      </c>
      <c r="AK86" s="190" t="n">
        <v>-0.8</v>
      </c>
      <c r="AL86" s="190" t="n">
        <v>-0.6</v>
      </c>
      <c r="AM86" s="190" t="n">
        <v>-0.4</v>
      </c>
      <c r="AN86" s="190" t="n">
        <v>-0.2</v>
      </c>
      <c r="AO86" s="190" t="n">
        <v>0</v>
      </c>
      <c r="AP86" s="190" t="n">
        <v>0.2</v>
      </c>
      <c r="AQ86" s="190" t="n">
        <v>0.4</v>
      </c>
      <c r="AR86" s="190" t="n">
        <v>0.6</v>
      </c>
      <c r="AS86" s="190" t="n">
        <v>0.8</v>
      </c>
      <c r="AT86" s="190" t="n">
        <v>1</v>
      </c>
      <c r="AU86" s="190" t="n">
        <v>1.2</v>
      </c>
      <c r="AV86" s="190" t="n">
        <v>1.4</v>
      </c>
      <c r="AW86" s="190" t="n">
        <v>1.58</v>
      </c>
      <c r="AX86" s="190" t="n">
        <v>1.76</v>
      </c>
      <c r="AY86" s="190" t="n">
        <v>1.922</v>
      </c>
      <c r="AZ86" s="190" t="n">
        <v>2.084</v>
      </c>
      <c r="BA86" s="190" t="n">
        <v>2.2298</v>
      </c>
      <c r="BB86" s="190" t="n">
        <v>2.3756</v>
      </c>
      <c r="BC86" s="190" t="n">
        <v>2.50682</v>
      </c>
      <c r="BD86" s="190" t="n">
        <v>2.63804</v>
      </c>
      <c r="BE86" s="190" t="n">
        <v>2.756138</v>
      </c>
      <c r="BF86" s="190" t="n">
        <v>2.874236</v>
      </c>
      <c r="BG86" s="190" t="n">
        <v>2.9805242</v>
      </c>
      <c r="BH86" s="190" t="n">
        <v>3.0868124</v>
      </c>
      <c r="BI86" s="190" t="n">
        <v>3.18247178</v>
      </c>
      <c r="BJ86" s="190" t="n">
        <v>3.27813116</v>
      </c>
      <c r="BK86" s="190" t="n">
        <v>3.364224602</v>
      </c>
      <c r="BL86" s="190" t="n">
        <v>3.450318044</v>
      </c>
      <c r="BM86" s="190" t="n">
        <v>3.5278021418</v>
      </c>
      <c r="BN86" s="190" t="n">
        <v>3.6052862396</v>
      </c>
      <c r="BO86" s="190" t="n">
        <v>3.67502192762</v>
      </c>
      <c r="BP86" s="190" t="n">
        <v>3.74475761564</v>
      </c>
      <c r="BQ86" s="190" t="n">
        <v>3.81449330366</v>
      </c>
      <c r="BR86" s="190" t="n">
        <v>3.88422899168</v>
      </c>
      <c r="BS86" s="190" t="n">
        <v>3.9539646797</v>
      </c>
      <c r="BT86" s="190" t="n">
        <v>4.02370036772</v>
      </c>
      <c r="BU86" s="190" t="n">
        <v>4.09343605574</v>
      </c>
      <c r="BV86" s="190" t="n">
        <v>4.16317174376</v>
      </c>
      <c r="BW86" s="190" t="n">
        <v>4.23290743178</v>
      </c>
      <c r="BX86" s="190" t="n">
        <v>4.3026431198</v>
      </c>
      <c r="BY86" s="190" t="n">
        <v>4.37237880782</v>
      </c>
      <c r="BZ86" s="190" t="n">
        <v>4.44211449584</v>
      </c>
      <c r="CA86" s="190" t="n">
        <v>4.51185018386</v>
      </c>
      <c r="CB86" s="190" t="n">
        <v>4.58158587188</v>
      </c>
      <c r="CC86" s="190" t="n">
        <v>4.6513215599</v>
      </c>
      <c r="CD86" s="190" t="n">
        <v>4.72105724792</v>
      </c>
      <c r="CE86" s="190" t="n">
        <v>4.79079293594</v>
      </c>
      <c r="CF86" s="190" t="n">
        <v>4.86052862396</v>
      </c>
      <c r="CG86" s="190" t="n">
        <v>4.93026431198</v>
      </c>
      <c r="CH86" s="190" t="n">
        <v>5</v>
      </c>
      <c r="CI86" s="190" t="n">
        <v>5.06973568801999</v>
      </c>
      <c r="CJ86" s="190" t="n">
        <v>5.13947137603999</v>
      </c>
      <c r="CK86" s="190" t="n">
        <v>5.20920706405999</v>
      </c>
      <c r="CL86" s="190" t="n">
        <v>5.27894275207999</v>
      </c>
      <c r="CM86" s="190" t="n">
        <v>5.34867844009999</v>
      </c>
      <c r="CN86" s="190" t="n">
        <v>5.41841412811999</v>
      </c>
      <c r="CO86" s="190" t="n">
        <v>5.48814981613999</v>
      </c>
      <c r="CP86" s="190" t="n">
        <v>5.55788550415999</v>
      </c>
      <c r="CQ86" s="190" t="n">
        <v>5.62762119217999</v>
      </c>
      <c r="CR86" s="190" t="n">
        <v>5.69735688019999</v>
      </c>
      <c r="CS86" s="190" t="n">
        <v>5.76709256821999</v>
      </c>
      <c r="CT86" s="190" t="n">
        <v>5.83682825623999</v>
      </c>
      <c r="CU86" s="190" t="n">
        <v>5.90656394425999</v>
      </c>
      <c r="CV86" s="190" t="n">
        <v>5.97629963227999</v>
      </c>
      <c r="CW86" s="190" t="n">
        <v>6.04603532029999</v>
      </c>
      <c r="CX86" s="190" t="n">
        <v>6.11577100831999</v>
      </c>
      <c r="CY86" s="190" t="n">
        <v>6.18550669633999</v>
      </c>
      <c r="CZ86" s="190" t="n">
        <v>6.25524238435999</v>
      </c>
      <c r="DA86" s="190" t="n">
        <v>6.32497807237999</v>
      </c>
      <c r="DB86" s="190" t="n">
        <v>6.39471376039999</v>
      </c>
      <c r="DC86" s="190" t="n">
        <v>6.46444944841999</v>
      </c>
      <c r="DD86" s="190" t="n">
        <v>6.53418513643999</v>
      </c>
      <c r="DE86" s="190" t="n">
        <v>6.60392082445999</v>
      </c>
      <c r="DF86" s="190" t="n">
        <v>6.67365651247999</v>
      </c>
      <c r="DG86" s="190" t="n">
        <v>6.74339220049999</v>
      </c>
      <c r="DH86" s="190" t="n">
        <v>6.81312788851999</v>
      </c>
      <c r="DI86" s="190" t="n">
        <v>6.88286357653999</v>
      </c>
      <c r="DJ86" s="190" t="n">
        <v>6.95259926455999</v>
      </c>
      <c r="DK86" s="190" t="n">
        <v>7.02233495257999</v>
      </c>
      <c r="DL86" s="190" t="n">
        <v>7.09207064059999</v>
      </c>
      <c r="DM86" s="190" t="n">
        <v>7.16180632861999</v>
      </c>
      <c r="DN86" s="190" t="n">
        <v>7.23154201663999</v>
      </c>
      <c r="DO86" s="190" t="n">
        <v>7.30127770465999</v>
      </c>
      <c r="DP86" s="190" t="n">
        <v>7.37101339267999</v>
      </c>
      <c r="DQ86" s="190" t="n">
        <v>7.44074908069999</v>
      </c>
      <c r="DR86" s="190" t="n">
        <v>7.51048476871999</v>
      </c>
      <c r="DS86" s="190" t="n">
        <v>7.58022045673999</v>
      </c>
      <c r="DT86" s="190" t="n">
        <v>7.64995614475999</v>
      </c>
      <c r="DU86" s="190" t="n">
        <v>7.71969183277999</v>
      </c>
      <c r="DV86" s="190" t="n">
        <v>7.78942752079998</v>
      </c>
      <c r="DW86" s="190" t="n">
        <v>7.85916320881998</v>
      </c>
      <c r="DX86" s="190" t="n">
        <v>7.92889889683998</v>
      </c>
      <c r="DY86" s="190" t="n">
        <v>7.99863458485998</v>
      </c>
      <c r="DZ86" s="190" t="n">
        <v>8.06837027287998</v>
      </c>
      <c r="EA86" s="190" t="n">
        <v>8.13810596089998</v>
      </c>
      <c r="EB86" s="190" t="n">
        <v>8.20784164891998</v>
      </c>
      <c r="EC86" s="190" t="n">
        <v>8.27757733693998</v>
      </c>
      <c r="ED86" s="190" t="n">
        <v>8.34731302495998</v>
      </c>
      <c r="EE86" s="190" t="n">
        <v>8.41704871297998</v>
      </c>
      <c r="EF86" s="190" t="n">
        <v>8.48678440099998</v>
      </c>
      <c r="EG86" s="190" t="n">
        <v>8.55652008901998</v>
      </c>
      <c r="EH86" s="190" t="n">
        <v>8.62625577703998</v>
      </c>
      <c r="EI86" s="190" t="n">
        <v>8.69599146505998</v>
      </c>
      <c r="EJ86" s="190" t="n">
        <v>8.76572715307998</v>
      </c>
      <c r="EK86" s="190" t="n">
        <v>8.83546284109998</v>
      </c>
      <c r="EL86" s="180" t="n">
        <v>8.90519852911998</v>
      </c>
      <c r="EM86" s="180" t="n">
        <v>8.97493421713998</v>
      </c>
      <c r="EN86" s="180" t="n">
        <v>9.04466990515998</v>
      </c>
      <c r="EO86" s="180" t="n">
        <v>9.11440559317998</v>
      </c>
      <c r="EP86" s="180" t="n">
        <v>9.18414128119998</v>
      </c>
      <c r="EQ86" s="180" t="n">
        <v>9.25387696921998</v>
      </c>
      <c r="ER86" s="180" t="n">
        <v>9.32361265723998</v>
      </c>
      <c r="ES86" s="180" t="n">
        <v>9.39334834525998</v>
      </c>
      <c r="ET86" s="180" t="n">
        <v>9.46308403327998</v>
      </c>
      <c r="EU86" s="180" t="n">
        <v>9.53281972129998</v>
      </c>
      <c r="EV86" s="180" t="n">
        <v>9.60255540931998</v>
      </c>
      <c r="EW86" s="180" t="n">
        <v>9.67229109733998</v>
      </c>
      <c r="EX86" s="180" t="n">
        <v>9.74202678535998</v>
      </c>
      <c r="EY86" s="180" t="n">
        <v>9.81176247337998</v>
      </c>
      <c r="EZ86" s="180" t="n">
        <v>9.88149816139998</v>
      </c>
      <c r="FA86" s="180" t="n">
        <v>9.95123384941998</v>
      </c>
      <c r="FB86" s="180" t="n">
        <v>10.02096953744</v>
      </c>
      <c r="FC86" s="180" t="n">
        <v>10.09070522546</v>
      </c>
      <c r="FD86" s="180" t="n">
        <v>10.16044091348</v>
      </c>
      <c r="FE86" s="180" t="n">
        <v>10.2301766015</v>
      </c>
      <c r="FF86" s="180" t="n">
        <v>10.29991228952</v>
      </c>
      <c r="FG86" s="180" t="n">
        <v>10.36964797754</v>
      </c>
      <c r="FH86" s="180" t="n">
        <v>10.43938366556</v>
      </c>
      <c r="FI86" s="180" t="n">
        <v>10.50911935358</v>
      </c>
      <c r="FJ86" s="180" t="n">
        <v>10.5788550416</v>
      </c>
      <c r="FK86" s="180" t="n">
        <v>10.64859072962</v>
      </c>
      <c r="FL86" s="180" t="n">
        <v>10.71832641764</v>
      </c>
      <c r="FM86" s="180" t="n">
        <v>10.78806210566</v>
      </c>
      <c r="FN86" s="180" t="n">
        <v>10.85779779368</v>
      </c>
      <c r="FO86" s="180" t="n">
        <v>10.9275334817</v>
      </c>
      <c r="FP86" s="180" t="n">
        <v>10.99726916972</v>
      </c>
      <c r="FQ86" s="180" t="n">
        <v>11.06700485774</v>
      </c>
      <c r="FR86" s="180" t="n">
        <v>11.13674054576</v>
      </c>
      <c r="FS86" s="180" t="n">
        <v>11.20647623378</v>
      </c>
      <c r="FT86" s="180" t="n">
        <v>11.2762119218</v>
      </c>
      <c r="FU86" s="180" t="n">
        <v>11.34594760982</v>
      </c>
      <c r="FV86" s="180" t="n">
        <v>11.41568329784</v>
      </c>
      <c r="FW86" s="180" t="n">
        <v>11.48541898586</v>
      </c>
      <c r="FX86" s="180" t="n">
        <v>11.55515467388</v>
      </c>
      <c r="FY86" s="180" t="n">
        <v>11.6248903619</v>
      </c>
      <c r="FZ86" s="180" t="n">
        <v>11.69462604992</v>
      </c>
      <c r="GA86" s="180" t="n">
        <v>11.76436173794</v>
      </c>
      <c r="GB86" s="180" t="n">
        <v>11.83409742596</v>
      </c>
      <c r="GC86" s="180" t="n">
        <v>11.90383311398</v>
      </c>
      <c r="GD86" s="180" t="n">
        <v>11.973568802</v>
      </c>
      <c r="GE86" s="180" t="n">
        <v>12.04330449002</v>
      </c>
      <c r="GF86" s="180" t="n">
        <v>12.11304017804</v>
      </c>
      <c r="GG86" s="180" t="n">
        <v>12.18277586606</v>
      </c>
      <c r="GH86" s="180" t="n">
        <v>12.25251155408</v>
      </c>
      <c r="GI86" s="180" t="n">
        <v>12.3222472421</v>
      </c>
      <c r="GJ86" s="180" t="n">
        <v>12.39198293012</v>
      </c>
      <c r="GK86" s="180" t="n">
        <v>12.46171861814</v>
      </c>
      <c r="GL86" s="180" t="n">
        <v>12.53145430616</v>
      </c>
      <c r="GM86" s="180" t="n">
        <v>12.60118999418</v>
      </c>
      <c r="GN86" s="180" t="n">
        <v>12.6709256822</v>
      </c>
      <c r="GO86" s="180" t="n">
        <v>12.74066137022</v>
      </c>
      <c r="GP86" s="180" t="n">
        <v>12.81039705824</v>
      </c>
      <c r="GQ86" s="180" t="n">
        <v>12.88013274626</v>
      </c>
      <c r="GR86" s="180" t="n">
        <v>12.94986843428</v>
      </c>
      <c r="GS86" s="180" t="n">
        <v>13.0196041223</v>
      </c>
      <c r="GT86" s="180" t="n">
        <v>13.08933981032</v>
      </c>
      <c r="GU86" s="180" t="n">
        <v>13.15907549834</v>
      </c>
      <c r="GV86" s="180" t="n">
        <v>13.22881118636</v>
      </c>
      <c r="GW86" s="180" t="n">
        <v>13.29854687438</v>
      </c>
      <c r="GX86" s="180" t="n">
        <v>13.3682825624</v>
      </c>
      <c r="GY86" s="180" t="n">
        <v>13.43801825042</v>
      </c>
      <c r="GZ86" s="180" t="n">
        <v>13.50775393844</v>
      </c>
      <c r="HA86" s="180" t="n">
        <v>13.57748962646</v>
      </c>
      <c r="HB86" s="180" t="n">
        <v>13.64722531448</v>
      </c>
      <c r="HC86" s="180" t="n">
        <v>13.7169610025</v>
      </c>
      <c r="HD86" s="180" t="n">
        <v>13.78669669052</v>
      </c>
      <c r="HE86" s="180" t="n">
        <v>13.85643237854</v>
      </c>
      <c r="HF86" s="180" t="n">
        <v>13.92616806656</v>
      </c>
      <c r="HG86" s="180" t="n">
        <v>13.99590375458</v>
      </c>
      <c r="HH86" s="180" t="n">
        <v>14.0656394426</v>
      </c>
      <c r="HI86" s="180" t="n">
        <v>14.13537513062</v>
      </c>
      <c r="HJ86" s="180" t="n">
        <v>14.20511081864</v>
      </c>
      <c r="HK86" s="180" t="n">
        <v>14.27484650666</v>
      </c>
      <c r="HL86" s="180" t="n">
        <v>14.34458219468</v>
      </c>
      <c r="HM86" s="180" t="n">
        <v>14.4143178827</v>
      </c>
      <c r="HN86" s="180" t="n">
        <v>14.48405357072</v>
      </c>
      <c r="HO86" s="180" t="n">
        <v>14.55378925874</v>
      </c>
      <c r="HP86" s="180" t="n">
        <v>14.62352494676</v>
      </c>
      <c r="HQ86" s="180" t="n">
        <v>14.69326063478</v>
      </c>
      <c r="HR86" s="180" t="n">
        <v>14.7629963228</v>
      </c>
      <c r="HS86" s="180" t="n">
        <v>14.83273201082</v>
      </c>
      <c r="HT86" s="180" t="n">
        <v>14.90246769884</v>
      </c>
      <c r="HU86" s="180" t="n">
        <v>14.97220338686</v>
      </c>
      <c r="HV86" s="180" t="n">
        <v>15.04193907488</v>
      </c>
      <c r="HW86" s="180" t="n">
        <v>15.1116747629</v>
      </c>
      <c r="HX86" s="180" t="n">
        <v>15.18141045092</v>
      </c>
      <c r="HY86" s="180" t="n">
        <v>15.25114613894</v>
      </c>
      <c r="HZ86" s="180" t="n">
        <v>15.32088182696</v>
      </c>
      <c r="IA86" s="180" t="n">
        <v>15.39061751498</v>
      </c>
      <c r="IB86" s="180" t="n">
        <v>15.460353203</v>
      </c>
      <c r="IC86" s="180" t="n">
        <v>15.53008889102</v>
      </c>
      <c r="ID86" s="180" t="n">
        <v>15.59982457904</v>
      </c>
      <c r="IE86" s="180" t="n">
        <v>15.66956026706</v>
      </c>
      <c r="IF86" s="180" t="n">
        <v>15.73929595508</v>
      </c>
      <c r="IG86" s="180" t="n">
        <v>15.8090316431</v>
      </c>
      <c r="IH86" s="180" t="n">
        <v>15.87876733112</v>
      </c>
      <c r="II86" s="180" t="n">
        <v>15.94850301914</v>
      </c>
      <c r="IJ86" s="180" t="n">
        <v>16.01823870716</v>
      </c>
      <c r="IK86" s="180" t="n">
        <v>16.08797439518</v>
      </c>
      <c r="IL86" s="180" t="n">
        <v>16.1577100832</v>
      </c>
      <c r="IM86" s="180" t="n">
        <v>16.22744577122</v>
      </c>
      <c r="IN86" s="180" t="n">
        <v>16.29718145924</v>
      </c>
      <c r="IO86" s="180" t="n">
        <v>16.36691714726</v>
      </c>
      <c r="IP86" s="180" t="n">
        <v>16.43665283528</v>
      </c>
      <c r="IQ86" s="180" t="n">
        <v>16.5063885233</v>
      </c>
      <c r="IR86" s="180" t="n">
        <v>16.57612421132</v>
      </c>
      <c r="IS86" s="180" t="n">
        <v>16.64585989934</v>
      </c>
      <c r="IT86" s="180" t="n">
        <v>16.71559558736</v>
      </c>
      <c r="IU86" s="180" t="n">
        <v>16.78533127538</v>
      </c>
      <c r="IV86" s="180" t="n">
        <v>16.8550669634</v>
      </c>
    </row>
    <row r="87" customFormat="false" ht="12.75" hidden="false" customHeight="false" outlineLevel="0" collapsed="false">
      <c r="A87" s="189" t="n">
        <v>39326</v>
      </c>
      <c r="B87" s="185" t="n">
        <v>-2.021005929375</v>
      </c>
      <c r="C87" s="185" t="n">
        <v>-1.9907047400625</v>
      </c>
      <c r="D87" s="185" t="n">
        <v>-1.96040355075</v>
      </c>
      <c r="E87" s="185" t="n">
        <v>-1.9301023614375</v>
      </c>
      <c r="F87" s="185" t="n">
        <v>-1.899801172125</v>
      </c>
      <c r="G87" s="185" t="n">
        <v>-1.8694999828125</v>
      </c>
      <c r="H87" s="185" t="n">
        <v>-1.8391987935</v>
      </c>
      <c r="I87" s="185" t="n">
        <v>-1.8088976041875</v>
      </c>
      <c r="J87" s="185" t="n">
        <v>-1.778596414875</v>
      </c>
      <c r="K87" s="185" t="n">
        <v>-1.7482952255625</v>
      </c>
      <c r="L87" s="185" t="n">
        <v>-1.71799403625</v>
      </c>
      <c r="M87" s="185" t="n">
        <v>-1.6876928469375</v>
      </c>
      <c r="N87" s="185" t="n">
        <v>-1.657391657625</v>
      </c>
      <c r="O87" s="185" t="n">
        <v>-1.6270904683125</v>
      </c>
      <c r="P87" s="185" t="n">
        <v>-1.596789279</v>
      </c>
      <c r="Q87" s="185" t="n">
        <v>-1.5664880896875</v>
      </c>
      <c r="R87" s="185" t="n">
        <v>-1.536186900375</v>
      </c>
      <c r="S87" s="185" t="n">
        <v>-1.5058857110625</v>
      </c>
      <c r="T87" s="185" t="n">
        <v>-1.47558452175</v>
      </c>
      <c r="U87" s="185" t="n">
        <v>-1.4452833324375</v>
      </c>
      <c r="V87" s="186" t="n">
        <v>-1.414982143125</v>
      </c>
      <c r="W87" s="185" t="n">
        <v>-1.3846809538125</v>
      </c>
      <c r="X87" s="186" t="n">
        <v>-1.3543797645</v>
      </c>
      <c r="Y87" s="185" t="n">
        <v>-1.3240785751875</v>
      </c>
      <c r="Z87" s="186" t="n">
        <v>-1.293777385875</v>
      </c>
      <c r="AA87" s="185" t="n">
        <v>-1.2634761965625</v>
      </c>
      <c r="AB87" s="187" t="n">
        <v>-1.23317500725</v>
      </c>
      <c r="AC87" s="185" t="n">
        <v>-1.2028738179375</v>
      </c>
      <c r="AD87" s="187" t="n">
        <v>-1.172572628625</v>
      </c>
      <c r="AE87" s="185" t="n">
        <v>-1.1422714393125</v>
      </c>
      <c r="AF87" s="185" t="n">
        <v>-1.11197025</v>
      </c>
      <c r="AG87" s="190" t="n">
        <v>-1.083235125</v>
      </c>
      <c r="AH87" s="190" t="n">
        <v>-1.0545</v>
      </c>
      <c r="AI87" s="190" t="n">
        <v>-1.02725</v>
      </c>
      <c r="AJ87" s="190" t="n">
        <v>-1</v>
      </c>
      <c r="AK87" s="190" t="n">
        <v>-0.8</v>
      </c>
      <c r="AL87" s="190" t="n">
        <v>-0.6</v>
      </c>
      <c r="AM87" s="190" t="n">
        <v>-0.4</v>
      </c>
      <c r="AN87" s="190" t="n">
        <v>-0.2</v>
      </c>
      <c r="AO87" s="190" t="n">
        <v>0</v>
      </c>
      <c r="AP87" s="190" t="n">
        <v>0.2</v>
      </c>
      <c r="AQ87" s="190" t="n">
        <v>0.4</v>
      </c>
      <c r="AR87" s="190" t="n">
        <v>0.6</v>
      </c>
      <c r="AS87" s="190" t="n">
        <v>0.8</v>
      </c>
      <c r="AT87" s="190" t="n">
        <v>1</v>
      </c>
      <c r="AU87" s="190" t="n">
        <v>1.2</v>
      </c>
      <c r="AV87" s="190" t="n">
        <v>1.4</v>
      </c>
      <c r="AW87" s="190" t="n">
        <v>1.58</v>
      </c>
      <c r="AX87" s="190" t="n">
        <v>1.76</v>
      </c>
      <c r="AY87" s="190" t="n">
        <v>1.922</v>
      </c>
      <c r="AZ87" s="190" t="n">
        <v>2.084</v>
      </c>
      <c r="BA87" s="190" t="n">
        <v>2.2298</v>
      </c>
      <c r="BB87" s="190" t="n">
        <v>2.3756</v>
      </c>
      <c r="BC87" s="190" t="n">
        <v>2.50682</v>
      </c>
      <c r="BD87" s="190" t="n">
        <v>2.63804</v>
      </c>
      <c r="BE87" s="190" t="n">
        <v>2.756138</v>
      </c>
      <c r="BF87" s="190" t="n">
        <v>2.874236</v>
      </c>
      <c r="BG87" s="190" t="n">
        <v>2.9805242</v>
      </c>
      <c r="BH87" s="190" t="n">
        <v>3.0868124</v>
      </c>
      <c r="BI87" s="190" t="n">
        <v>3.18247178</v>
      </c>
      <c r="BJ87" s="190" t="n">
        <v>3.27813116</v>
      </c>
      <c r="BK87" s="190" t="n">
        <v>3.364224602</v>
      </c>
      <c r="BL87" s="190" t="n">
        <v>3.450318044</v>
      </c>
      <c r="BM87" s="190" t="n">
        <v>3.5278021418</v>
      </c>
      <c r="BN87" s="190" t="n">
        <v>3.6052862396</v>
      </c>
      <c r="BO87" s="190" t="n">
        <v>3.67502192762</v>
      </c>
      <c r="BP87" s="190" t="n">
        <v>3.74475761564</v>
      </c>
      <c r="BQ87" s="190" t="n">
        <v>3.81449330366</v>
      </c>
      <c r="BR87" s="190" t="n">
        <v>3.88422899168</v>
      </c>
      <c r="BS87" s="190" t="n">
        <v>3.9539646797</v>
      </c>
      <c r="BT87" s="190" t="n">
        <v>4.02370036772</v>
      </c>
      <c r="BU87" s="190" t="n">
        <v>4.09343605574</v>
      </c>
      <c r="BV87" s="190" t="n">
        <v>4.16317174376</v>
      </c>
      <c r="BW87" s="190" t="n">
        <v>4.23290743178</v>
      </c>
      <c r="BX87" s="190" t="n">
        <v>4.3026431198</v>
      </c>
      <c r="BY87" s="190" t="n">
        <v>4.37237880782</v>
      </c>
      <c r="BZ87" s="190" t="n">
        <v>4.44211449584</v>
      </c>
      <c r="CA87" s="190" t="n">
        <v>4.51185018386</v>
      </c>
      <c r="CB87" s="190" t="n">
        <v>4.58158587188</v>
      </c>
      <c r="CC87" s="190" t="n">
        <v>4.6513215599</v>
      </c>
      <c r="CD87" s="190" t="n">
        <v>4.72105724792</v>
      </c>
      <c r="CE87" s="190" t="n">
        <v>4.79079293594</v>
      </c>
      <c r="CF87" s="190" t="n">
        <v>4.86052862396</v>
      </c>
      <c r="CG87" s="190" t="n">
        <v>4.93026431198</v>
      </c>
      <c r="CH87" s="190" t="n">
        <v>5</v>
      </c>
      <c r="CI87" s="190" t="n">
        <v>5.06973568801999</v>
      </c>
      <c r="CJ87" s="190" t="n">
        <v>5.13947137603999</v>
      </c>
      <c r="CK87" s="190" t="n">
        <v>5.20920706405999</v>
      </c>
      <c r="CL87" s="190" t="n">
        <v>5.27894275207999</v>
      </c>
      <c r="CM87" s="190" t="n">
        <v>5.34867844009999</v>
      </c>
      <c r="CN87" s="190" t="n">
        <v>5.41841412811999</v>
      </c>
      <c r="CO87" s="190" t="n">
        <v>5.48814981613999</v>
      </c>
      <c r="CP87" s="190" t="n">
        <v>5.55788550415999</v>
      </c>
      <c r="CQ87" s="190" t="n">
        <v>5.62762119217999</v>
      </c>
      <c r="CR87" s="190" t="n">
        <v>5.69735688019999</v>
      </c>
      <c r="CS87" s="190" t="n">
        <v>5.76709256821999</v>
      </c>
      <c r="CT87" s="190" t="n">
        <v>5.83682825623999</v>
      </c>
      <c r="CU87" s="190" t="n">
        <v>5.90656394425999</v>
      </c>
      <c r="CV87" s="190" t="n">
        <v>5.97629963227999</v>
      </c>
      <c r="CW87" s="190" t="n">
        <v>6.04603532029999</v>
      </c>
      <c r="CX87" s="190" t="n">
        <v>6.11577100831999</v>
      </c>
      <c r="CY87" s="190" t="n">
        <v>6.18550669633999</v>
      </c>
      <c r="CZ87" s="190" t="n">
        <v>6.25524238435999</v>
      </c>
      <c r="DA87" s="190" t="n">
        <v>6.32497807237999</v>
      </c>
      <c r="DB87" s="190" t="n">
        <v>6.39471376039999</v>
      </c>
      <c r="DC87" s="190" t="n">
        <v>6.46444944841999</v>
      </c>
      <c r="DD87" s="190" t="n">
        <v>6.53418513643999</v>
      </c>
      <c r="DE87" s="190" t="n">
        <v>6.60392082445999</v>
      </c>
      <c r="DF87" s="190" t="n">
        <v>6.67365651247999</v>
      </c>
      <c r="DG87" s="190" t="n">
        <v>6.74339220049999</v>
      </c>
      <c r="DH87" s="190" t="n">
        <v>6.81312788851999</v>
      </c>
      <c r="DI87" s="190" t="n">
        <v>6.88286357653999</v>
      </c>
      <c r="DJ87" s="190" t="n">
        <v>6.95259926455999</v>
      </c>
      <c r="DK87" s="190" t="n">
        <v>7.02233495257999</v>
      </c>
      <c r="DL87" s="190" t="n">
        <v>7.09207064059999</v>
      </c>
      <c r="DM87" s="190" t="n">
        <v>7.16180632861999</v>
      </c>
      <c r="DN87" s="190" t="n">
        <v>7.23154201663999</v>
      </c>
      <c r="DO87" s="190" t="n">
        <v>7.30127770465999</v>
      </c>
      <c r="DP87" s="190" t="n">
        <v>7.37101339267999</v>
      </c>
      <c r="DQ87" s="190" t="n">
        <v>7.44074908069999</v>
      </c>
      <c r="DR87" s="190" t="n">
        <v>7.51048476871999</v>
      </c>
      <c r="DS87" s="190" t="n">
        <v>7.58022045673999</v>
      </c>
      <c r="DT87" s="190" t="n">
        <v>7.64995614475999</v>
      </c>
      <c r="DU87" s="190" t="n">
        <v>7.71969183277999</v>
      </c>
      <c r="DV87" s="190" t="n">
        <v>7.78942752079998</v>
      </c>
      <c r="DW87" s="190" t="n">
        <v>7.85916320881998</v>
      </c>
      <c r="DX87" s="190" t="n">
        <v>7.92889889683998</v>
      </c>
      <c r="DY87" s="190" t="n">
        <v>7.99863458485998</v>
      </c>
      <c r="DZ87" s="190" t="n">
        <v>8.06837027287998</v>
      </c>
      <c r="EA87" s="190" t="n">
        <v>8.13810596089998</v>
      </c>
      <c r="EB87" s="190" t="n">
        <v>8.20784164891998</v>
      </c>
      <c r="EC87" s="190" t="n">
        <v>8.27757733693998</v>
      </c>
      <c r="ED87" s="190" t="n">
        <v>8.34731302495998</v>
      </c>
      <c r="EE87" s="190" t="n">
        <v>8.41704871297998</v>
      </c>
      <c r="EF87" s="190" t="n">
        <v>8.48678440099998</v>
      </c>
      <c r="EG87" s="190" t="n">
        <v>8.55652008901998</v>
      </c>
      <c r="EH87" s="190" t="n">
        <v>8.62625577703998</v>
      </c>
      <c r="EI87" s="190" t="n">
        <v>8.69599146505998</v>
      </c>
      <c r="EJ87" s="190" t="n">
        <v>8.76572715307998</v>
      </c>
      <c r="EK87" s="190" t="n">
        <v>8.83546284109998</v>
      </c>
      <c r="EL87" s="180" t="n">
        <v>8.90519852911998</v>
      </c>
      <c r="EM87" s="180" t="n">
        <v>8.97493421713998</v>
      </c>
      <c r="EN87" s="180" t="n">
        <v>9.04466990515998</v>
      </c>
      <c r="EO87" s="180" t="n">
        <v>9.11440559317998</v>
      </c>
      <c r="EP87" s="180" t="n">
        <v>9.18414128119998</v>
      </c>
      <c r="EQ87" s="180" t="n">
        <v>9.25387696921998</v>
      </c>
      <c r="ER87" s="180" t="n">
        <v>9.32361265723998</v>
      </c>
      <c r="ES87" s="180" t="n">
        <v>9.39334834525998</v>
      </c>
      <c r="ET87" s="180" t="n">
        <v>9.46308403327998</v>
      </c>
      <c r="EU87" s="180" t="n">
        <v>9.53281972129998</v>
      </c>
      <c r="EV87" s="180" t="n">
        <v>9.60255540931998</v>
      </c>
      <c r="EW87" s="180" t="n">
        <v>9.67229109733998</v>
      </c>
      <c r="EX87" s="180" t="n">
        <v>9.74202678535998</v>
      </c>
      <c r="EY87" s="180" t="n">
        <v>9.81176247337998</v>
      </c>
      <c r="EZ87" s="180" t="n">
        <v>9.88149816139998</v>
      </c>
      <c r="FA87" s="180" t="n">
        <v>9.95123384941998</v>
      </c>
      <c r="FB87" s="180" t="n">
        <v>10.02096953744</v>
      </c>
      <c r="FC87" s="180" t="n">
        <v>10.09070522546</v>
      </c>
      <c r="FD87" s="180" t="n">
        <v>10.16044091348</v>
      </c>
      <c r="FE87" s="180" t="n">
        <v>10.2301766015</v>
      </c>
      <c r="FF87" s="180" t="n">
        <v>10.29991228952</v>
      </c>
      <c r="FG87" s="180" t="n">
        <v>10.36964797754</v>
      </c>
      <c r="FH87" s="180" t="n">
        <v>10.43938366556</v>
      </c>
      <c r="FI87" s="180" t="n">
        <v>10.50911935358</v>
      </c>
      <c r="FJ87" s="180" t="n">
        <v>10.5788550416</v>
      </c>
      <c r="FK87" s="180" t="n">
        <v>10.64859072962</v>
      </c>
      <c r="FL87" s="180" t="n">
        <v>10.71832641764</v>
      </c>
      <c r="FM87" s="180" t="n">
        <v>10.78806210566</v>
      </c>
      <c r="FN87" s="180" t="n">
        <v>10.85779779368</v>
      </c>
      <c r="FO87" s="180" t="n">
        <v>10.9275334817</v>
      </c>
      <c r="FP87" s="180" t="n">
        <v>10.99726916972</v>
      </c>
      <c r="FQ87" s="180" t="n">
        <v>11.06700485774</v>
      </c>
      <c r="FR87" s="180" t="n">
        <v>11.13674054576</v>
      </c>
      <c r="FS87" s="180" t="n">
        <v>11.20647623378</v>
      </c>
      <c r="FT87" s="180" t="n">
        <v>11.2762119218</v>
      </c>
      <c r="FU87" s="180" t="n">
        <v>11.34594760982</v>
      </c>
      <c r="FV87" s="180" t="n">
        <v>11.41568329784</v>
      </c>
      <c r="FW87" s="180" t="n">
        <v>11.48541898586</v>
      </c>
      <c r="FX87" s="180" t="n">
        <v>11.55515467388</v>
      </c>
      <c r="FY87" s="180" t="n">
        <v>11.6248903619</v>
      </c>
      <c r="FZ87" s="180" t="n">
        <v>11.69462604992</v>
      </c>
      <c r="GA87" s="180" t="n">
        <v>11.76436173794</v>
      </c>
      <c r="GB87" s="180" t="n">
        <v>11.83409742596</v>
      </c>
      <c r="GC87" s="180" t="n">
        <v>11.90383311398</v>
      </c>
      <c r="GD87" s="180" t="n">
        <v>11.973568802</v>
      </c>
      <c r="GE87" s="180" t="n">
        <v>12.04330449002</v>
      </c>
      <c r="GF87" s="180" t="n">
        <v>12.11304017804</v>
      </c>
      <c r="GG87" s="180" t="n">
        <v>12.18277586606</v>
      </c>
      <c r="GH87" s="180" t="n">
        <v>12.25251155408</v>
      </c>
      <c r="GI87" s="180" t="n">
        <v>12.3222472421</v>
      </c>
      <c r="GJ87" s="180" t="n">
        <v>12.39198293012</v>
      </c>
      <c r="GK87" s="180" t="n">
        <v>12.46171861814</v>
      </c>
      <c r="GL87" s="180" t="n">
        <v>12.53145430616</v>
      </c>
      <c r="GM87" s="180" t="n">
        <v>12.60118999418</v>
      </c>
      <c r="GN87" s="180" t="n">
        <v>12.6709256822</v>
      </c>
      <c r="GO87" s="180" t="n">
        <v>12.74066137022</v>
      </c>
      <c r="GP87" s="180" t="n">
        <v>12.81039705824</v>
      </c>
      <c r="GQ87" s="180" t="n">
        <v>12.88013274626</v>
      </c>
      <c r="GR87" s="180" t="n">
        <v>12.94986843428</v>
      </c>
      <c r="GS87" s="180" t="n">
        <v>13.0196041223</v>
      </c>
      <c r="GT87" s="180" t="n">
        <v>13.08933981032</v>
      </c>
      <c r="GU87" s="180" t="n">
        <v>13.15907549834</v>
      </c>
      <c r="GV87" s="180" t="n">
        <v>13.22881118636</v>
      </c>
      <c r="GW87" s="180" t="n">
        <v>13.29854687438</v>
      </c>
      <c r="GX87" s="180" t="n">
        <v>13.3682825624</v>
      </c>
      <c r="GY87" s="180" t="n">
        <v>13.43801825042</v>
      </c>
      <c r="GZ87" s="180" t="n">
        <v>13.50775393844</v>
      </c>
      <c r="HA87" s="180" t="n">
        <v>13.57748962646</v>
      </c>
      <c r="HB87" s="180" t="n">
        <v>13.64722531448</v>
      </c>
      <c r="HC87" s="180" t="n">
        <v>13.7169610025</v>
      </c>
      <c r="HD87" s="180" t="n">
        <v>13.78669669052</v>
      </c>
      <c r="HE87" s="180" t="n">
        <v>13.85643237854</v>
      </c>
      <c r="HF87" s="180" t="n">
        <v>13.92616806656</v>
      </c>
      <c r="HG87" s="180" t="n">
        <v>13.99590375458</v>
      </c>
      <c r="HH87" s="180" t="n">
        <v>14.0656394426</v>
      </c>
      <c r="HI87" s="180" t="n">
        <v>14.13537513062</v>
      </c>
      <c r="HJ87" s="180" t="n">
        <v>14.20511081864</v>
      </c>
      <c r="HK87" s="180" t="n">
        <v>14.27484650666</v>
      </c>
      <c r="HL87" s="180" t="n">
        <v>14.34458219468</v>
      </c>
      <c r="HM87" s="180" t="n">
        <v>14.4143178827</v>
      </c>
      <c r="HN87" s="180" t="n">
        <v>14.48405357072</v>
      </c>
      <c r="HO87" s="180" t="n">
        <v>14.55378925874</v>
      </c>
      <c r="HP87" s="180" t="n">
        <v>14.62352494676</v>
      </c>
      <c r="HQ87" s="180" t="n">
        <v>14.69326063478</v>
      </c>
      <c r="HR87" s="180" t="n">
        <v>14.7629963228</v>
      </c>
      <c r="HS87" s="180" t="n">
        <v>14.83273201082</v>
      </c>
      <c r="HT87" s="180" t="n">
        <v>14.90246769884</v>
      </c>
      <c r="HU87" s="180" t="n">
        <v>14.97220338686</v>
      </c>
      <c r="HV87" s="180" t="n">
        <v>15.04193907488</v>
      </c>
      <c r="HW87" s="180" t="n">
        <v>15.1116747629</v>
      </c>
      <c r="HX87" s="180" t="n">
        <v>15.18141045092</v>
      </c>
      <c r="HY87" s="180" t="n">
        <v>15.25114613894</v>
      </c>
      <c r="HZ87" s="180" t="n">
        <v>15.32088182696</v>
      </c>
      <c r="IA87" s="180" t="n">
        <v>15.39061751498</v>
      </c>
      <c r="IB87" s="180" t="n">
        <v>15.460353203</v>
      </c>
      <c r="IC87" s="180" t="n">
        <v>15.53008889102</v>
      </c>
      <c r="ID87" s="180" t="n">
        <v>15.59982457904</v>
      </c>
      <c r="IE87" s="180" t="n">
        <v>15.66956026706</v>
      </c>
      <c r="IF87" s="180" t="n">
        <v>15.73929595508</v>
      </c>
      <c r="IG87" s="180" t="n">
        <v>15.8090316431</v>
      </c>
      <c r="IH87" s="180" t="n">
        <v>15.87876733112</v>
      </c>
      <c r="II87" s="180" t="n">
        <v>15.94850301914</v>
      </c>
      <c r="IJ87" s="180" t="n">
        <v>16.01823870716</v>
      </c>
      <c r="IK87" s="180" t="n">
        <v>16.08797439518</v>
      </c>
      <c r="IL87" s="180" t="n">
        <v>16.1577100832</v>
      </c>
      <c r="IM87" s="180" t="n">
        <v>16.22744577122</v>
      </c>
      <c r="IN87" s="180" t="n">
        <v>16.29718145924</v>
      </c>
      <c r="IO87" s="180" t="n">
        <v>16.36691714726</v>
      </c>
      <c r="IP87" s="180" t="n">
        <v>16.43665283528</v>
      </c>
      <c r="IQ87" s="180" t="n">
        <v>16.5063885233</v>
      </c>
      <c r="IR87" s="180" t="n">
        <v>16.57612421132</v>
      </c>
      <c r="IS87" s="180" t="n">
        <v>16.64585989934</v>
      </c>
      <c r="IT87" s="180" t="n">
        <v>16.71559558736</v>
      </c>
      <c r="IU87" s="180" t="n">
        <v>16.78533127538</v>
      </c>
      <c r="IV87" s="180" t="n">
        <v>16.8550669634</v>
      </c>
    </row>
    <row r="88" customFormat="false" ht="12.75" hidden="false" customHeight="false" outlineLevel="0" collapsed="false">
      <c r="A88" s="189" t="n">
        <v>39356</v>
      </c>
      <c r="B88" s="185" t="n">
        <v>-2.021005929375</v>
      </c>
      <c r="C88" s="185" t="n">
        <v>-1.9907047400625</v>
      </c>
      <c r="D88" s="185" t="n">
        <v>-1.96040355075</v>
      </c>
      <c r="E88" s="185" t="n">
        <v>-1.9301023614375</v>
      </c>
      <c r="F88" s="185" t="n">
        <v>-1.899801172125</v>
      </c>
      <c r="G88" s="185" t="n">
        <v>-1.8694999828125</v>
      </c>
      <c r="H88" s="185" t="n">
        <v>-1.8391987935</v>
      </c>
      <c r="I88" s="185" t="n">
        <v>-1.8088976041875</v>
      </c>
      <c r="J88" s="185" t="n">
        <v>-1.778596414875</v>
      </c>
      <c r="K88" s="185" t="n">
        <v>-1.7482952255625</v>
      </c>
      <c r="L88" s="185" t="n">
        <v>-1.71799403625</v>
      </c>
      <c r="M88" s="185" t="n">
        <v>-1.6876928469375</v>
      </c>
      <c r="N88" s="185" t="n">
        <v>-1.657391657625</v>
      </c>
      <c r="O88" s="185" t="n">
        <v>-1.6270904683125</v>
      </c>
      <c r="P88" s="185" t="n">
        <v>-1.596789279</v>
      </c>
      <c r="Q88" s="185" t="n">
        <v>-1.5664880896875</v>
      </c>
      <c r="R88" s="185" t="n">
        <v>-1.536186900375</v>
      </c>
      <c r="S88" s="185" t="n">
        <v>-1.5058857110625</v>
      </c>
      <c r="T88" s="185" t="n">
        <v>-1.47558452175</v>
      </c>
      <c r="U88" s="185" t="n">
        <v>-1.4452833324375</v>
      </c>
      <c r="V88" s="186" t="n">
        <v>-1.414982143125</v>
      </c>
      <c r="W88" s="185" t="n">
        <v>-1.3846809538125</v>
      </c>
      <c r="X88" s="186" t="n">
        <v>-1.3543797645</v>
      </c>
      <c r="Y88" s="185" t="n">
        <v>-1.3240785751875</v>
      </c>
      <c r="Z88" s="186" t="n">
        <v>-1.293777385875</v>
      </c>
      <c r="AA88" s="185" t="n">
        <v>-1.2634761965625</v>
      </c>
      <c r="AB88" s="187" t="n">
        <v>-1.23317500725</v>
      </c>
      <c r="AC88" s="185" t="n">
        <v>-1.2028738179375</v>
      </c>
      <c r="AD88" s="187" t="n">
        <v>-1.172572628625</v>
      </c>
      <c r="AE88" s="185" t="n">
        <v>-1.1422714393125</v>
      </c>
      <c r="AF88" s="185" t="n">
        <v>-1.11197025</v>
      </c>
      <c r="AG88" s="190" t="n">
        <v>-1.083235125</v>
      </c>
      <c r="AH88" s="190" t="n">
        <v>-1.0545</v>
      </c>
      <c r="AI88" s="190" t="n">
        <v>-1.02725</v>
      </c>
      <c r="AJ88" s="190" t="n">
        <v>-1</v>
      </c>
      <c r="AK88" s="190" t="n">
        <v>-0.8</v>
      </c>
      <c r="AL88" s="190" t="n">
        <v>-0.6</v>
      </c>
      <c r="AM88" s="190" t="n">
        <v>-0.4</v>
      </c>
      <c r="AN88" s="190" t="n">
        <v>-0.2</v>
      </c>
      <c r="AO88" s="190" t="n">
        <v>0</v>
      </c>
      <c r="AP88" s="190" t="n">
        <v>0.2</v>
      </c>
      <c r="AQ88" s="190" t="n">
        <v>0.4</v>
      </c>
      <c r="AR88" s="190" t="n">
        <v>0.6</v>
      </c>
      <c r="AS88" s="190" t="n">
        <v>0.8</v>
      </c>
      <c r="AT88" s="190" t="n">
        <v>1</v>
      </c>
      <c r="AU88" s="190" t="n">
        <v>1.2</v>
      </c>
      <c r="AV88" s="190" t="n">
        <v>1.4</v>
      </c>
      <c r="AW88" s="190" t="n">
        <v>1.58</v>
      </c>
      <c r="AX88" s="190" t="n">
        <v>1.76</v>
      </c>
      <c r="AY88" s="190" t="n">
        <v>1.922</v>
      </c>
      <c r="AZ88" s="190" t="n">
        <v>2.084</v>
      </c>
      <c r="BA88" s="190" t="n">
        <v>2.2298</v>
      </c>
      <c r="BB88" s="190" t="n">
        <v>2.3756</v>
      </c>
      <c r="BC88" s="190" t="n">
        <v>2.50682</v>
      </c>
      <c r="BD88" s="190" t="n">
        <v>2.63804</v>
      </c>
      <c r="BE88" s="190" t="n">
        <v>2.756138</v>
      </c>
      <c r="BF88" s="190" t="n">
        <v>2.874236</v>
      </c>
      <c r="BG88" s="190" t="n">
        <v>2.9805242</v>
      </c>
      <c r="BH88" s="190" t="n">
        <v>3.0868124</v>
      </c>
      <c r="BI88" s="190" t="n">
        <v>3.18247178</v>
      </c>
      <c r="BJ88" s="190" t="n">
        <v>3.27813116</v>
      </c>
      <c r="BK88" s="190" t="n">
        <v>3.364224602</v>
      </c>
      <c r="BL88" s="190" t="n">
        <v>3.450318044</v>
      </c>
      <c r="BM88" s="190" t="n">
        <v>3.5278021418</v>
      </c>
      <c r="BN88" s="190" t="n">
        <v>3.6052862396</v>
      </c>
      <c r="BO88" s="190" t="n">
        <v>3.67502192762</v>
      </c>
      <c r="BP88" s="190" t="n">
        <v>3.74475761564</v>
      </c>
      <c r="BQ88" s="190" t="n">
        <v>3.81449330366</v>
      </c>
      <c r="BR88" s="190" t="n">
        <v>3.88422899168</v>
      </c>
      <c r="BS88" s="190" t="n">
        <v>3.9539646797</v>
      </c>
      <c r="BT88" s="190" t="n">
        <v>4.02370036772</v>
      </c>
      <c r="BU88" s="190" t="n">
        <v>4.09343605574</v>
      </c>
      <c r="BV88" s="190" t="n">
        <v>4.16317174376</v>
      </c>
      <c r="BW88" s="190" t="n">
        <v>4.23290743178</v>
      </c>
      <c r="BX88" s="190" t="n">
        <v>4.3026431198</v>
      </c>
      <c r="BY88" s="190" t="n">
        <v>4.37237880782</v>
      </c>
      <c r="BZ88" s="190" t="n">
        <v>4.44211449584</v>
      </c>
      <c r="CA88" s="190" t="n">
        <v>4.51185018386</v>
      </c>
      <c r="CB88" s="190" t="n">
        <v>4.58158587188</v>
      </c>
      <c r="CC88" s="190" t="n">
        <v>4.6513215599</v>
      </c>
      <c r="CD88" s="190" t="n">
        <v>4.72105724792</v>
      </c>
      <c r="CE88" s="190" t="n">
        <v>4.79079293594</v>
      </c>
      <c r="CF88" s="190" t="n">
        <v>4.86052862396</v>
      </c>
      <c r="CG88" s="190" t="n">
        <v>4.93026431198</v>
      </c>
      <c r="CH88" s="190" t="n">
        <v>5</v>
      </c>
      <c r="CI88" s="190" t="n">
        <v>5.06973568801999</v>
      </c>
      <c r="CJ88" s="190" t="n">
        <v>5.13947137603999</v>
      </c>
      <c r="CK88" s="190" t="n">
        <v>5.20920706405999</v>
      </c>
      <c r="CL88" s="190" t="n">
        <v>5.27894275207999</v>
      </c>
      <c r="CM88" s="190" t="n">
        <v>5.34867844009999</v>
      </c>
      <c r="CN88" s="190" t="n">
        <v>5.41841412811999</v>
      </c>
      <c r="CO88" s="190" t="n">
        <v>5.48814981613999</v>
      </c>
      <c r="CP88" s="190" t="n">
        <v>5.55788550415999</v>
      </c>
      <c r="CQ88" s="190" t="n">
        <v>5.62762119217999</v>
      </c>
      <c r="CR88" s="190" t="n">
        <v>5.69735688019999</v>
      </c>
      <c r="CS88" s="190" t="n">
        <v>5.76709256821999</v>
      </c>
      <c r="CT88" s="190" t="n">
        <v>5.83682825623999</v>
      </c>
      <c r="CU88" s="190" t="n">
        <v>5.90656394425999</v>
      </c>
      <c r="CV88" s="190" t="n">
        <v>5.97629963227999</v>
      </c>
      <c r="CW88" s="190" t="n">
        <v>6.04603532029999</v>
      </c>
      <c r="CX88" s="190" t="n">
        <v>6.11577100831999</v>
      </c>
      <c r="CY88" s="190" t="n">
        <v>6.18550669633999</v>
      </c>
      <c r="CZ88" s="190" t="n">
        <v>6.25524238435999</v>
      </c>
      <c r="DA88" s="190" t="n">
        <v>6.32497807237999</v>
      </c>
      <c r="DB88" s="190" t="n">
        <v>6.39471376039999</v>
      </c>
      <c r="DC88" s="190" t="n">
        <v>6.46444944841999</v>
      </c>
      <c r="DD88" s="190" t="n">
        <v>6.53418513643999</v>
      </c>
      <c r="DE88" s="190" t="n">
        <v>6.60392082445999</v>
      </c>
      <c r="DF88" s="190" t="n">
        <v>6.67365651247999</v>
      </c>
      <c r="DG88" s="190" t="n">
        <v>6.74339220049999</v>
      </c>
      <c r="DH88" s="190" t="n">
        <v>6.81312788851999</v>
      </c>
      <c r="DI88" s="190" t="n">
        <v>6.88286357653999</v>
      </c>
      <c r="DJ88" s="190" t="n">
        <v>6.95259926455999</v>
      </c>
      <c r="DK88" s="190" t="n">
        <v>7.02233495257999</v>
      </c>
      <c r="DL88" s="190" t="n">
        <v>7.09207064059999</v>
      </c>
      <c r="DM88" s="190" t="n">
        <v>7.16180632861999</v>
      </c>
      <c r="DN88" s="190" t="n">
        <v>7.23154201663999</v>
      </c>
      <c r="DO88" s="190" t="n">
        <v>7.30127770465999</v>
      </c>
      <c r="DP88" s="190" t="n">
        <v>7.37101339267999</v>
      </c>
      <c r="DQ88" s="190" t="n">
        <v>7.44074908069999</v>
      </c>
      <c r="DR88" s="190" t="n">
        <v>7.51048476871999</v>
      </c>
      <c r="DS88" s="190" t="n">
        <v>7.58022045673999</v>
      </c>
      <c r="DT88" s="190" t="n">
        <v>7.64995614475999</v>
      </c>
      <c r="DU88" s="190" t="n">
        <v>7.71969183277999</v>
      </c>
      <c r="DV88" s="190" t="n">
        <v>7.78942752079998</v>
      </c>
      <c r="DW88" s="190" t="n">
        <v>7.85916320881998</v>
      </c>
      <c r="DX88" s="190" t="n">
        <v>7.92889889683998</v>
      </c>
      <c r="DY88" s="190" t="n">
        <v>7.99863458485998</v>
      </c>
      <c r="DZ88" s="190" t="n">
        <v>8.06837027287998</v>
      </c>
      <c r="EA88" s="190" t="n">
        <v>8.13810596089998</v>
      </c>
      <c r="EB88" s="190" t="n">
        <v>8.20784164891998</v>
      </c>
      <c r="EC88" s="190" t="n">
        <v>8.27757733693998</v>
      </c>
      <c r="ED88" s="190" t="n">
        <v>8.34731302495998</v>
      </c>
      <c r="EE88" s="190" t="n">
        <v>8.41704871297998</v>
      </c>
      <c r="EF88" s="190" t="n">
        <v>8.48678440099998</v>
      </c>
      <c r="EG88" s="190" t="n">
        <v>8.55652008901998</v>
      </c>
      <c r="EH88" s="190" t="n">
        <v>8.62625577703998</v>
      </c>
      <c r="EI88" s="190" t="n">
        <v>8.69599146505998</v>
      </c>
      <c r="EJ88" s="190" t="n">
        <v>8.76572715307998</v>
      </c>
      <c r="EK88" s="190" t="n">
        <v>8.83546284109998</v>
      </c>
      <c r="EL88" s="180" t="n">
        <v>8.90519852911998</v>
      </c>
      <c r="EM88" s="180" t="n">
        <v>8.97493421713998</v>
      </c>
      <c r="EN88" s="180" t="n">
        <v>9.04466990515998</v>
      </c>
      <c r="EO88" s="180" t="n">
        <v>9.11440559317998</v>
      </c>
      <c r="EP88" s="180" t="n">
        <v>9.18414128119998</v>
      </c>
      <c r="EQ88" s="180" t="n">
        <v>9.25387696921998</v>
      </c>
      <c r="ER88" s="180" t="n">
        <v>9.32361265723998</v>
      </c>
      <c r="ES88" s="180" t="n">
        <v>9.39334834525998</v>
      </c>
      <c r="ET88" s="180" t="n">
        <v>9.46308403327998</v>
      </c>
      <c r="EU88" s="180" t="n">
        <v>9.53281972129998</v>
      </c>
      <c r="EV88" s="180" t="n">
        <v>9.60255540931998</v>
      </c>
      <c r="EW88" s="180" t="n">
        <v>9.67229109733998</v>
      </c>
      <c r="EX88" s="180" t="n">
        <v>9.74202678535998</v>
      </c>
      <c r="EY88" s="180" t="n">
        <v>9.81176247337998</v>
      </c>
      <c r="EZ88" s="180" t="n">
        <v>9.88149816139998</v>
      </c>
      <c r="FA88" s="180" t="n">
        <v>9.95123384941998</v>
      </c>
      <c r="FB88" s="180" t="n">
        <v>10.02096953744</v>
      </c>
      <c r="FC88" s="180" t="n">
        <v>10.09070522546</v>
      </c>
      <c r="FD88" s="180" t="n">
        <v>10.16044091348</v>
      </c>
      <c r="FE88" s="180" t="n">
        <v>10.2301766015</v>
      </c>
      <c r="FF88" s="180" t="n">
        <v>10.29991228952</v>
      </c>
      <c r="FG88" s="180" t="n">
        <v>10.36964797754</v>
      </c>
      <c r="FH88" s="180" t="n">
        <v>10.43938366556</v>
      </c>
      <c r="FI88" s="180" t="n">
        <v>10.50911935358</v>
      </c>
      <c r="FJ88" s="180" t="n">
        <v>10.5788550416</v>
      </c>
      <c r="FK88" s="180" t="n">
        <v>10.64859072962</v>
      </c>
      <c r="FL88" s="180" t="n">
        <v>10.71832641764</v>
      </c>
      <c r="FM88" s="180" t="n">
        <v>10.78806210566</v>
      </c>
      <c r="FN88" s="180" t="n">
        <v>10.85779779368</v>
      </c>
      <c r="FO88" s="180" t="n">
        <v>10.9275334817</v>
      </c>
      <c r="FP88" s="180" t="n">
        <v>10.99726916972</v>
      </c>
      <c r="FQ88" s="180" t="n">
        <v>11.06700485774</v>
      </c>
      <c r="FR88" s="180" t="n">
        <v>11.13674054576</v>
      </c>
      <c r="FS88" s="180" t="n">
        <v>11.20647623378</v>
      </c>
      <c r="FT88" s="180" t="n">
        <v>11.2762119218</v>
      </c>
      <c r="FU88" s="180" t="n">
        <v>11.34594760982</v>
      </c>
      <c r="FV88" s="180" t="n">
        <v>11.41568329784</v>
      </c>
      <c r="FW88" s="180" t="n">
        <v>11.48541898586</v>
      </c>
      <c r="FX88" s="180" t="n">
        <v>11.55515467388</v>
      </c>
      <c r="FY88" s="180" t="n">
        <v>11.6248903619</v>
      </c>
      <c r="FZ88" s="180" t="n">
        <v>11.69462604992</v>
      </c>
      <c r="GA88" s="180" t="n">
        <v>11.76436173794</v>
      </c>
      <c r="GB88" s="180" t="n">
        <v>11.83409742596</v>
      </c>
      <c r="GC88" s="180" t="n">
        <v>11.90383311398</v>
      </c>
      <c r="GD88" s="180" t="n">
        <v>11.973568802</v>
      </c>
      <c r="GE88" s="180" t="n">
        <v>12.04330449002</v>
      </c>
      <c r="GF88" s="180" t="n">
        <v>12.11304017804</v>
      </c>
      <c r="GG88" s="180" t="n">
        <v>12.18277586606</v>
      </c>
      <c r="GH88" s="180" t="n">
        <v>12.25251155408</v>
      </c>
      <c r="GI88" s="180" t="n">
        <v>12.3222472421</v>
      </c>
      <c r="GJ88" s="180" t="n">
        <v>12.39198293012</v>
      </c>
      <c r="GK88" s="180" t="n">
        <v>12.46171861814</v>
      </c>
      <c r="GL88" s="180" t="n">
        <v>12.53145430616</v>
      </c>
      <c r="GM88" s="180" t="n">
        <v>12.60118999418</v>
      </c>
      <c r="GN88" s="180" t="n">
        <v>12.6709256822</v>
      </c>
      <c r="GO88" s="180" t="n">
        <v>12.74066137022</v>
      </c>
      <c r="GP88" s="180" t="n">
        <v>12.81039705824</v>
      </c>
      <c r="GQ88" s="180" t="n">
        <v>12.88013274626</v>
      </c>
      <c r="GR88" s="180" t="n">
        <v>12.94986843428</v>
      </c>
      <c r="GS88" s="180" t="n">
        <v>13.0196041223</v>
      </c>
      <c r="GT88" s="180" t="n">
        <v>13.08933981032</v>
      </c>
      <c r="GU88" s="180" t="n">
        <v>13.15907549834</v>
      </c>
      <c r="GV88" s="180" t="n">
        <v>13.22881118636</v>
      </c>
      <c r="GW88" s="180" t="n">
        <v>13.29854687438</v>
      </c>
      <c r="GX88" s="180" t="n">
        <v>13.3682825624</v>
      </c>
      <c r="GY88" s="180" t="n">
        <v>13.43801825042</v>
      </c>
      <c r="GZ88" s="180" t="n">
        <v>13.50775393844</v>
      </c>
      <c r="HA88" s="180" t="n">
        <v>13.57748962646</v>
      </c>
      <c r="HB88" s="180" t="n">
        <v>13.64722531448</v>
      </c>
      <c r="HC88" s="180" t="n">
        <v>13.7169610025</v>
      </c>
      <c r="HD88" s="180" t="n">
        <v>13.78669669052</v>
      </c>
      <c r="HE88" s="180" t="n">
        <v>13.85643237854</v>
      </c>
      <c r="HF88" s="180" t="n">
        <v>13.92616806656</v>
      </c>
      <c r="HG88" s="180" t="n">
        <v>13.99590375458</v>
      </c>
      <c r="HH88" s="180" t="n">
        <v>14.0656394426</v>
      </c>
      <c r="HI88" s="180" t="n">
        <v>14.13537513062</v>
      </c>
      <c r="HJ88" s="180" t="n">
        <v>14.20511081864</v>
      </c>
      <c r="HK88" s="180" t="n">
        <v>14.27484650666</v>
      </c>
      <c r="HL88" s="180" t="n">
        <v>14.34458219468</v>
      </c>
      <c r="HM88" s="180" t="n">
        <v>14.4143178827</v>
      </c>
      <c r="HN88" s="180" t="n">
        <v>14.48405357072</v>
      </c>
      <c r="HO88" s="180" t="n">
        <v>14.55378925874</v>
      </c>
      <c r="HP88" s="180" t="n">
        <v>14.62352494676</v>
      </c>
      <c r="HQ88" s="180" t="n">
        <v>14.69326063478</v>
      </c>
      <c r="HR88" s="180" t="n">
        <v>14.7629963228</v>
      </c>
      <c r="HS88" s="180" t="n">
        <v>14.83273201082</v>
      </c>
      <c r="HT88" s="180" t="n">
        <v>14.90246769884</v>
      </c>
      <c r="HU88" s="180" t="n">
        <v>14.97220338686</v>
      </c>
      <c r="HV88" s="180" t="n">
        <v>15.04193907488</v>
      </c>
      <c r="HW88" s="180" t="n">
        <v>15.1116747629</v>
      </c>
      <c r="HX88" s="180" t="n">
        <v>15.18141045092</v>
      </c>
      <c r="HY88" s="180" t="n">
        <v>15.25114613894</v>
      </c>
      <c r="HZ88" s="180" t="n">
        <v>15.32088182696</v>
      </c>
      <c r="IA88" s="180" t="n">
        <v>15.39061751498</v>
      </c>
      <c r="IB88" s="180" t="n">
        <v>15.460353203</v>
      </c>
      <c r="IC88" s="180" t="n">
        <v>15.53008889102</v>
      </c>
      <c r="ID88" s="180" t="n">
        <v>15.59982457904</v>
      </c>
      <c r="IE88" s="180" t="n">
        <v>15.66956026706</v>
      </c>
      <c r="IF88" s="180" t="n">
        <v>15.73929595508</v>
      </c>
      <c r="IG88" s="180" t="n">
        <v>15.8090316431</v>
      </c>
      <c r="IH88" s="180" t="n">
        <v>15.87876733112</v>
      </c>
      <c r="II88" s="180" t="n">
        <v>15.94850301914</v>
      </c>
      <c r="IJ88" s="180" t="n">
        <v>16.01823870716</v>
      </c>
      <c r="IK88" s="180" t="n">
        <v>16.08797439518</v>
      </c>
      <c r="IL88" s="180" t="n">
        <v>16.1577100832</v>
      </c>
      <c r="IM88" s="180" t="n">
        <v>16.22744577122</v>
      </c>
      <c r="IN88" s="180" t="n">
        <v>16.29718145924</v>
      </c>
      <c r="IO88" s="180" t="n">
        <v>16.36691714726</v>
      </c>
      <c r="IP88" s="180" t="n">
        <v>16.43665283528</v>
      </c>
      <c r="IQ88" s="180" t="n">
        <v>16.5063885233</v>
      </c>
      <c r="IR88" s="180" t="n">
        <v>16.57612421132</v>
      </c>
      <c r="IS88" s="180" t="n">
        <v>16.64585989934</v>
      </c>
      <c r="IT88" s="180" t="n">
        <v>16.71559558736</v>
      </c>
      <c r="IU88" s="180" t="n">
        <v>16.78533127538</v>
      </c>
      <c r="IV88" s="180" t="n">
        <v>16.8550669634</v>
      </c>
    </row>
    <row r="89" customFormat="false" ht="12.75" hidden="false" customHeight="false" outlineLevel="0" collapsed="false">
      <c r="A89" s="189" t="n">
        <v>39387</v>
      </c>
      <c r="B89" s="185" t="n">
        <v>-2.021005929375</v>
      </c>
      <c r="C89" s="185" t="n">
        <v>-1.9907047400625</v>
      </c>
      <c r="D89" s="185" t="n">
        <v>-1.96040355075</v>
      </c>
      <c r="E89" s="185" t="n">
        <v>-1.9301023614375</v>
      </c>
      <c r="F89" s="185" t="n">
        <v>-1.899801172125</v>
      </c>
      <c r="G89" s="185" t="n">
        <v>-1.8694999828125</v>
      </c>
      <c r="H89" s="185" t="n">
        <v>-1.8391987935</v>
      </c>
      <c r="I89" s="185" t="n">
        <v>-1.8088976041875</v>
      </c>
      <c r="J89" s="185" t="n">
        <v>-1.778596414875</v>
      </c>
      <c r="K89" s="185" t="n">
        <v>-1.7482952255625</v>
      </c>
      <c r="L89" s="185" t="n">
        <v>-1.71799403625</v>
      </c>
      <c r="M89" s="185" t="n">
        <v>-1.6876928469375</v>
      </c>
      <c r="N89" s="185" t="n">
        <v>-1.657391657625</v>
      </c>
      <c r="O89" s="185" t="n">
        <v>-1.6270904683125</v>
      </c>
      <c r="P89" s="185" t="n">
        <v>-1.596789279</v>
      </c>
      <c r="Q89" s="185" t="n">
        <v>-1.5664880896875</v>
      </c>
      <c r="R89" s="185" t="n">
        <v>-1.536186900375</v>
      </c>
      <c r="S89" s="185" t="n">
        <v>-1.5058857110625</v>
      </c>
      <c r="T89" s="185" t="n">
        <v>-1.47558452175</v>
      </c>
      <c r="U89" s="185" t="n">
        <v>-1.4452833324375</v>
      </c>
      <c r="V89" s="186" t="n">
        <v>-1.414982143125</v>
      </c>
      <c r="W89" s="185" t="n">
        <v>-1.3846809538125</v>
      </c>
      <c r="X89" s="186" t="n">
        <v>-1.3543797645</v>
      </c>
      <c r="Y89" s="185" t="n">
        <v>-1.3240785751875</v>
      </c>
      <c r="Z89" s="186" t="n">
        <v>-1.293777385875</v>
      </c>
      <c r="AA89" s="185" t="n">
        <v>-1.2634761965625</v>
      </c>
      <c r="AB89" s="187" t="n">
        <v>-1.23317500725</v>
      </c>
      <c r="AC89" s="185" t="n">
        <v>-1.2028738179375</v>
      </c>
      <c r="AD89" s="187" t="n">
        <v>-1.172572628625</v>
      </c>
      <c r="AE89" s="185" t="n">
        <v>-1.1422714393125</v>
      </c>
      <c r="AF89" s="185" t="n">
        <v>-1.11197025</v>
      </c>
      <c r="AG89" s="190" t="n">
        <v>-1.083235125</v>
      </c>
      <c r="AH89" s="190" t="n">
        <v>-1.0545</v>
      </c>
      <c r="AI89" s="190" t="n">
        <v>-1.02725</v>
      </c>
      <c r="AJ89" s="190" t="n">
        <v>-1</v>
      </c>
      <c r="AK89" s="190" t="n">
        <v>-0.8</v>
      </c>
      <c r="AL89" s="190" t="n">
        <v>-0.6</v>
      </c>
      <c r="AM89" s="190" t="n">
        <v>-0.4</v>
      </c>
      <c r="AN89" s="190" t="n">
        <v>-0.2</v>
      </c>
      <c r="AO89" s="190" t="n">
        <v>0</v>
      </c>
      <c r="AP89" s="190" t="n">
        <v>0.2</v>
      </c>
      <c r="AQ89" s="190" t="n">
        <v>0.4</v>
      </c>
      <c r="AR89" s="190" t="n">
        <v>0.6</v>
      </c>
      <c r="AS89" s="190" t="n">
        <v>0.8</v>
      </c>
      <c r="AT89" s="190" t="n">
        <v>1</v>
      </c>
      <c r="AU89" s="190" t="n">
        <v>1.2</v>
      </c>
      <c r="AV89" s="190" t="n">
        <v>1.4</v>
      </c>
      <c r="AW89" s="190" t="n">
        <v>1.58</v>
      </c>
      <c r="AX89" s="190" t="n">
        <v>1.76</v>
      </c>
      <c r="AY89" s="190" t="n">
        <v>1.922</v>
      </c>
      <c r="AZ89" s="190" t="n">
        <v>2.084</v>
      </c>
      <c r="BA89" s="190" t="n">
        <v>2.2298</v>
      </c>
      <c r="BB89" s="190" t="n">
        <v>2.3756</v>
      </c>
      <c r="BC89" s="190" t="n">
        <v>2.50682</v>
      </c>
      <c r="BD89" s="190" t="n">
        <v>2.63804</v>
      </c>
      <c r="BE89" s="190" t="n">
        <v>2.756138</v>
      </c>
      <c r="BF89" s="190" t="n">
        <v>2.874236</v>
      </c>
      <c r="BG89" s="190" t="n">
        <v>2.9805242</v>
      </c>
      <c r="BH89" s="190" t="n">
        <v>3.0868124</v>
      </c>
      <c r="BI89" s="190" t="n">
        <v>3.18247178</v>
      </c>
      <c r="BJ89" s="190" t="n">
        <v>3.27813116</v>
      </c>
      <c r="BK89" s="190" t="n">
        <v>3.364224602</v>
      </c>
      <c r="BL89" s="190" t="n">
        <v>3.450318044</v>
      </c>
      <c r="BM89" s="190" t="n">
        <v>3.5278021418</v>
      </c>
      <c r="BN89" s="190" t="n">
        <v>3.6052862396</v>
      </c>
      <c r="BO89" s="190" t="n">
        <v>3.67502192762</v>
      </c>
      <c r="BP89" s="190" t="n">
        <v>3.74475761564</v>
      </c>
      <c r="BQ89" s="190" t="n">
        <v>3.81449330366</v>
      </c>
      <c r="BR89" s="190" t="n">
        <v>3.88422899168</v>
      </c>
      <c r="BS89" s="190" t="n">
        <v>3.9539646797</v>
      </c>
      <c r="BT89" s="190" t="n">
        <v>4.02370036772</v>
      </c>
      <c r="BU89" s="190" t="n">
        <v>4.09343605574</v>
      </c>
      <c r="BV89" s="190" t="n">
        <v>4.16317174376</v>
      </c>
      <c r="BW89" s="190" t="n">
        <v>4.23290743178</v>
      </c>
      <c r="BX89" s="190" t="n">
        <v>4.3026431198</v>
      </c>
      <c r="BY89" s="190" t="n">
        <v>4.37237880782</v>
      </c>
      <c r="BZ89" s="190" t="n">
        <v>4.44211449584</v>
      </c>
      <c r="CA89" s="190" t="n">
        <v>4.51185018386</v>
      </c>
      <c r="CB89" s="190" t="n">
        <v>4.58158587188</v>
      </c>
      <c r="CC89" s="190" t="n">
        <v>4.6513215599</v>
      </c>
      <c r="CD89" s="190" t="n">
        <v>4.72105724792</v>
      </c>
      <c r="CE89" s="190" t="n">
        <v>4.79079293594</v>
      </c>
      <c r="CF89" s="190" t="n">
        <v>4.86052862396</v>
      </c>
      <c r="CG89" s="190" t="n">
        <v>4.93026431198</v>
      </c>
      <c r="CH89" s="190" t="n">
        <v>5</v>
      </c>
      <c r="CI89" s="190" t="n">
        <v>5.06973568801999</v>
      </c>
      <c r="CJ89" s="190" t="n">
        <v>5.13947137603999</v>
      </c>
      <c r="CK89" s="190" t="n">
        <v>5.20920706405999</v>
      </c>
      <c r="CL89" s="190" t="n">
        <v>5.27894275207999</v>
      </c>
      <c r="CM89" s="190" t="n">
        <v>5.34867844009999</v>
      </c>
      <c r="CN89" s="190" t="n">
        <v>5.41841412811999</v>
      </c>
      <c r="CO89" s="190" t="n">
        <v>5.48814981613999</v>
      </c>
      <c r="CP89" s="190" t="n">
        <v>5.55788550415999</v>
      </c>
      <c r="CQ89" s="190" t="n">
        <v>5.62762119217999</v>
      </c>
      <c r="CR89" s="190" t="n">
        <v>5.69735688019999</v>
      </c>
      <c r="CS89" s="190" t="n">
        <v>5.76709256821999</v>
      </c>
      <c r="CT89" s="190" t="n">
        <v>5.83682825623999</v>
      </c>
      <c r="CU89" s="190" t="n">
        <v>5.90656394425999</v>
      </c>
      <c r="CV89" s="190" t="n">
        <v>5.97629963227999</v>
      </c>
      <c r="CW89" s="190" t="n">
        <v>6.04603532029999</v>
      </c>
      <c r="CX89" s="190" t="n">
        <v>6.11577100831999</v>
      </c>
      <c r="CY89" s="190" t="n">
        <v>6.18550669633999</v>
      </c>
      <c r="CZ89" s="190" t="n">
        <v>6.25524238435999</v>
      </c>
      <c r="DA89" s="190" t="n">
        <v>6.32497807237999</v>
      </c>
      <c r="DB89" s="190" t="n">
        <v>6.39471376039999</v>
      </c>
      <c r="DC89" s="190" t="n">
        <v>6.46444944841999</v>
      </c>
      <c r="DD89" s="190" t="n">
        <v>6.53418513643999</v>
      </c>
      <c r="DE89" s="190" t="n">
        <v>6.60392082445999</v>
      </c>
      <c r="DF89" s="190" t="n">
        <v>6.67365651247999</v>
      </c>
      <c r="DG89" s="190" t="n">
        <v>6.74339220049999</v>
      </c>
      <c r="DH89" s="190" t="n">
        <v>6.81312788851999</v>
      </c>
      <c r="DI89" s="190" t="n">
        <v>6.88286357653999</v>
      </c>
      <c r="DJ89" s="190" t="n">
        <v>6.95259926455999</v>
      </c>
      <c r="DK89" s="190" t="n">
        <v>7.02233495257999</v>
      </c>
      <c r="DL89" s="190" t="n">
        <v>7.09207064059999</v>
      </c>
      <c r="DM89" s="190" t="n">
        <v>7.16180632861999</v>
      </c>
      <c r="DN89" s="190" t="n">
        <v>7.23154201663999</v>
      </c>
      <c r="DO89" s="190" t="n">
        <v>7.30127770465999</v>
      </c>
      <c r="DP89" s="190" t="n">
        <v>7.37101339267999</v>
      </c>
      <c r="DQ89" s="190" t="n">
        <v>7.44074908069999</v>
      </c>
      <c r="DR89" s="190" t="n">
        <v>7.51048476871999</v>
      </c>
      <c r="DS89" s="190" t="n">
        <v>7.58022045673999</v>
      </c>
      <c r="DT89" s="190" t="n">
        <v>7.64995614475999</v>
      </c>
      <c r="DU89" s="190" t="n">
        <v>7.71969183277999</v>
      </c>
      <c r="DV89" s="190" t="n">
        <v>7.78942752079998</v>
      </c>
      <c r="DW89" s="190" t="n">
        <v>7.85916320881998</v>
      </c>
      <c r="DX89" s="190" t="n">
        <v>7.92889889683998</v>
      </c>
      <c r="DY89" s="190" t="n">
        <v>7.99863458485998</v>
      </c>
      <c r="DZ89" s="190" t="n">
        <v>8.06837027287998</v>
      </c>
      <c r="EA89" s="190" t="n">
        <v>8.13810596089998</v>
      </c>
      <c r="EB89" s="190" t="n">
        <v>8.20784164891998</v>
      </c>
      <c r="EC89" s="190" t="n">
        <v>8.27757733693998</v>
      </c>
      <c r="ED89" s="190" t="n">
        <v>8.34731302495998</v>
      </c>
      <c r="EE89" s="190" t="n">
        <v>8.41704871297998</v>
      </c>
      <c r="EF89" s="190" t="n">
        <v>8.48678440099998</v>
      </c>
      <c r="EG89" s="190" t="n">
        <v>8.55652008901998</v>
      </c>
      <c r="EH89" s="190" t="n">
        <v>8.62625577703998</v>
      </c>
      <c r="EI89" s="190" t="n">
        <v>8.69599146505998</v>
      </c>
      <c r="EJ89" s="190" t="n">
        <v>8.76572715307998</v>
      </c>
      <c r="EK89" s="190" t="n">
        <v>8.83546284109998</v>
      </c>
      <c r="EL89" s="180" t="n">
        <v>8.90519852911998</v>
      </c>
      <c r="EM89" s="180" t="n">
        <v>8.97493421713998</v>
      </c>
      <c r="EN89" s="180" t="n">
        <v>9.04466990515998</v>
      </c>
      <c r="EO89" s="180" t="n">
        <v>9.11440559317998</v>
      </c>
      <c r="EP89" s="180" t="n">
        <v>9.18414128119998</v>
      </c>
      <c r="EQ89" s="180" t="n">
        <v>9.25387696921998</v>
      </c>
      <c r="ER89" s="180" t="n">
        <v>9.32361265723998</v>
      </c>
      <c r="ES89" s="180" t="n">
        <v>9.39334834525998</v>
      </c>
      <c r="ET89" s="180" t="n">
        <v>9.46308403327998</v>
      </c>
      <c r="EU89" s="180" t="n">
        <v>9.53281972129998</v>
      </c>
      <c r="EV89" s="180" t="n">
        <v>9.60255540931998</v>
      </c>
      <c r="EW89" s="180" t="n">
        <v>9.67229109733998</v>
      </c>
      <c r="EX89" s="180" t="n">
        <v>9.74202678535998</v>
      </c>
      <c r="EY89" s="180" t="n">
        <v>9.81176247337998</v>
      </c>
      <c r="EZ89" s="180" t="n">
        <v>9.88149816139998</v>
      </c>
      <c r="FA89" s="180" t="n">
        <v>9.95123384941998</v>
      </c>
      <c r="FB89" s="180" t="n">
        <v>10.02096953744</v>
      </c>
      <c r="FC89" s="180" t="n">
        <v>10.09070522546</v>
      </c>
      <c r="FD89" s="180" t="n">
        <v>10.16044091348</v>
      </c>
      <c r="FE89" s="180" t="n">
        <v>10.2301766015</v>
      </c>
      <c r="FF89" s="180" t="n">
        <v>10.29991228952</v>
      </c>
      <c r="FG89" s="180" t="n">
        <v>10.36964797754</v>
      </c>
      <c r="FH89" s="180" t="n">
        <v>10.43938366556</v>
      </c>
      <c r="FI89" s="180" t="n">
        <v>10.50911935358</v>
      </c>
      <c r="FJ89" s="180" t="n">
        <v>10.5788550416</v>
      </c>
      <c r="FK89" s="180" t="n">
        <v>10.64859072962</v>
      </c>
      <c r="FL89" s="180" t="n">
        <v>10.71832641764</v>
      </c>
      <c r="FM89" s="180" t="n">
        <v>10.78806210566</v>
      </c>
      <c r="FN89" s="180" t="n">
        <v>10.85779779368</v>
      </c>
      <c r="FO89" s="180" t="n">
        <v>10.9275334817</v>
      </c>
      <c r="FP89" s="180" t="n">
        <v>10.99726916972</v>
      </c>
      <c r="FQ89" s="180" t="n">
        <v>11.06700485774</v>
      </c>
      <c r="FR89" s="180" t="n">
        <v>11.13674054576</v>
      </c>
      <c r="FS89" s="180" t="n">
        <v>11.20647623378</v>
      </c>
      <c r="FT89" s="180" t="n">
        <v>11.2762119218</v>
      </c>
      <c r="FU89" s="180" t="n">
        <v>11.34594760982</v>
      </c>
      <c r="FV89" s="180" t="n">
        <v>11.41568329784</v>
      </c>
      <c r="FW89" s="180" t="n">
        <v>11.48541898586</v>
      </c>
      <c r="FX89" s="180" t="n">
        <v>11.55515467388</v>
      </c>
      <c r="FY89" s="180" t="n">
        <v>11.6248903619</v>
      </c>
      <c r="FZ89" s="180" t="n">
        <v>11.69462604992</v>
      </c>
      <c r="GA89" s="180" t="n">
        <v>11.76436173794</v>
      </c>
      <c r="GB89" s="180" t="n">
        <v>11.83409742596</v>
      </c>
      <c r="GC89" s="180" t="n">
        <v>11.90383311398</v>
      </c>
      <c r="GD89" s="180" t="n">
        <v>11.973568802</v>
      </c>
      <c r="GE89" s="180" t="n">
        <v>12.04330449002</v>
      </c>
      <c r="GF89" s="180" t="n">
        <v>12.11304017804</v>
      </c>
      <c r="GG89" s="180" t="n">
        <v>12.18277586606</v>
      </c>
      <c r="GH89" s="180" t="n">
        <v>12.25251155408</v>
      </c>
      <c r="GI89" s="180" t="n">
        <v>12.3222472421</v>
      </c>
      <c r="GJ89" s="180" t="n">
        <v>12.39198293012</v>
      </c>
      <c r="GK89" s="180" t="n">
        <v>12.46171861814</v>
      </c>
      <c r="GL89" s="180" t="n">
        <v>12.53145430616</v>
      </c>
      <c r="GM89" s="180" t="n">
        <v>12.60118999418</v>
      </c>
      <c r="GN89" s="180" t="n">
        <v>12.6709256822</v>
      </c>
      <c r="GO89" s="180" t="n">
        <v>12.74066137022</v>
      </c>
      <c r="GP89" s="180" t="n">
        <v>12.81039705824</v>
      </c>
      <c r="GQ89" s="180" t="n">
        <v>12.88013274626</v>
      </c>
      <c r="GR89" s="180" t="n">
        <v>12.94986843428</v>
      </c>
      <c r="GS89" s="180" t="n">
        <v>13.0196041223</v>
      </c>
      <c r="GT89" s="180" t="n">
        <v>13.08933981032</v>
      </c>
      <c r="GU89" s="180" t="n">
        <v>13.15907549834</v>
      </c>
      <c r="GV89" s="180" t="n">
        <v>13.22881118636</v>
      </c>
      <c r="GW89" s="180" t="n">
        <v>13.29854687438</v>
      </c>
      <c r="GX89" s="180" t="n">
        <v>13.3682825624</v>
      </c>
      <c r="GY89" s="180" t="n">
        <v>13.43801825042</v>
      </c>
      <c r="GZ89" s="180" t="n">
        <v>13.50775393844</v>
      </c>
      <c r="HA89" s="180" t="n">
        <v>13.57748962646</v>
      </c>
      <c r="HB89" s="180" t="n">
        <v>13.64722531448</v>
      </c>
      <c r="HC89" s="180" t="n">
        <v>13.7169610025</v>
      </c>
      <c r="HD89" s="180" t="n">
        <v>13.78669669052</v>
      </c>
      <c r="HE89" s="180" t="n">
        <v>13.85643237854</v>
      </c>
      <c r="HF89" s="180" t="n">
        <v>13.92616806656</v>
      </c>
      <c r="HG89" s="180" t="n">
        <v>13.99590375458</v>
      </c>
      <c r="HH89" s="180" t="n">
        <v>14.0656394426</v>
      </c>
      <c r="HI89" s="180" t="n">
        <v>14.13537513062</v>
      </c>
      <c r="HJ89" s="180" t="n">
        <v>14.20511081864</v>
      </c>
      <c r="HK89" s="180" t="n">
        <v>14.27484650666</v>
      </c>
      <c r="HL89" s="180" t="n">
        <v>14.34458219468</v>
      </c>
      <c r="HM89" s="180" t="n">
        <v>14.4143178827</v>
      </c>
      <c r="HN89" s="180" t="n">
        <v>14.48405357072</v>
      </c>
      <c r="HO89" s="180" t="n">
        <v>14.55378925874</v>
      </c>
      <c r="HP89" s="180" t="n">
        <v>14.62352494676</v>
      </c>
      <c r="HQ89" s="180" t="n">
        <v>14.69326063478</v>
      </c>
      <c r="HR89" s="180" t="n">
        <v>14.7629963228</v>
      </c>
      <c r="HS89" s="180" t="n">
        <v>14.83273201082</v>
      </c>
      <c r="HT89" s="180" t="n">
        <v>14.90246769884</v>
      </c>
      <c r="HU89" s="180" t="n">
        <v>14.97220338686</v>
      </c>
      <c r="HV89" s="180" t="n">
        <v>15.04193907488</v>
      </c>
      <c r="HW89" s="180" t="n">
        <v>15.1116747629</v>
      </c>
      <c r="HX89" s="180" t="n">
        <v>15.18141045092</v>
      </c>
      <c r="HY89" s="180" t="n">
        <v>15.25114613894</v>
      </c>
      <c r="HZ89" s="180" t="n">
        <v>15.32088182696</v>
      </c>
      <c r="IA89" s="180" t="n">
        <v>15.39061751498</v>
      </c>
      <c r="IB89" s="180" t="n">
        <v>15.460353203</v>
      </c>
      <c r="IC89" s="180" t="n">
        <v>15.53008889102</v>
      </c>
      <c r="ID89" s="180" t="n">
        <v>15.59982457904</v>
      </c>
      <c r="IE89" s="180" t="n">
        <v>15.66956026706</v>
      </c>
      <c r="IF89" s="180" t="n">
        <v>15.73929595508</v>
      </c>
      <c r="IG89" s="180" t="n">
        <v>15.8090316431</v>
      </c>
      <c r="IH89" s="180" t="n">
        <v>15.87876733112</v>
      </c>
      <c r="II89" s="180" t="n">
        <v>15.94850301914</v>
      </c>
      <c r="IJ89" s="180" t="n">
        <v>16.01823870716</v>
      </c>
      <c r="IK89" s="180" t="n">
        <v>16.08797439518</v>
      </c>
      <c r="IL89" s="180" t="n">
        <v>16.1577100832</v>
      </c>
      <c r="IM89" s="180" t="n">
        <v>16.22744577122</v>
      </c>
      <c r="IN89" s="180" t="n">
        <v>16.29718145924</v>
      </c>
      <c r="IO89" s="180" t="n">
        <v>16.36691714726</v>
      </c>
      <c r="IP89" s="180" t="n">
        <v>16.43665283528</v>
      </c>
      <c r="IQ89" s="180" t="n">
        <v>16.5063885233</v>
      </c>
      <c r="IR89" s="180" t="n">
        <v>16.57612421132</v>
      </c>
      <c r="IS89" s="180" t="n">
        <v>16.64585989934</v>
      </c>
      <c r="IT89" s="180" t="n">
        <v>16.71559558736</v>
      </c>
      <c r="IU89" s="180" t="n">
        <v>16.78533127538</v>
      </c>
      <c r="IV89" s="180" t="n">
        <v>16.8550669634</v>
      </c>
    </row>
    <row r="90" customFormat="false" ht="12.75" hidden="false" customHeight="false" outlineLevel="0" collapsed="false">
      <c r="A90" s="189" t="n">
        <v>39417</v>
      </c>
      <c r="B90" s="185" t="n">
        <v>-2.021005929375</v>
      </c>
      <c r="C90" s="185" t="n">
        <v>-1.9907047400625</v>
      </c>
      <c r="D90" s="185" t="n">
        <v>-1.96040355075</v>
      </c>
      <c r="E90" s="185" t="n">
        <v>-1.9301023614375</v>
      </c>
      <c r="F90" s="185" t="n">
        <v>-1.899801172125</v>
      </c>
      <c r="G90" s="185" t="n">
        <v>-1.8694999828125</v>
      </c>
      <c r="H90" s="185" t="n">
        <v>-1.8391987935</v>
      </c>
      <c r="I90" s="185" t="n">
        <v>-1.8088976041875</v>
      </c>
      <c r="J90" s="185" t="n">
        <v>-1.778596414875</v>
      </c>
      <c r="K90" s="185" t="n">
        <v>-1.7482952255625</v>
      </c>
      <c r="L90" s="185" t="n">
        <v>-1.71799403625</v>
      </c>
      <c r="M90" s="185" t="n">
        <v>-1.6876928469375</v>
      </c>
      <c r="N90" s="185" t="n">
        <v>-1.657391657625</v>
      </c>
      <c r="O90" s="185" t="n">
        <v>-1.6270904683125</v>
      </c>
      <c r="P90" s="185" t="n">
        <v>-1.596789279</v>
      </c>
      <c r="Q90" s="185" t="n">
        <v>-1.5664880896875</v>
      </c>
      <c r="R90" s="185" t="n">
        <v>-1.536186900375</v>
      </c>
      <c r="S90" s="185" t="n">
        <v>-1.5058857110625</v>
      </c>
      <c r="T90" s="185" t="n">
        <v>-1.47558452175</v>
      </c>
      <c r="U90" s="185" t="n">
        <v>-1.4452833324375</v>
      </c>
      <c r="V90" s="186" t="n">
        <v>-1.414982143125</v>
      </c>
      <c r="W90" s="185" t="n">
        <v>-1.3846809538125</v>
      </c>
      <c r="X90" s="186" t="n">
        <v>-1.3543797645</v>
      </c>
      <c r="Y90" s="185" t="n">
        <v>-1.3240785751875</v>
      </c>
      <c r="Z90" s="186" t="n">
        <v>-1.293777385875</v>
      </c>
      <c r="AA90" s="185" t="n">
        <v>-1.2634761965625</v>
      </c>
      <c r="AB90" s="187" t="n">
        <v>-1.23317500725</v>
      </c>
      <c r="AC90" s="185" t="n">
        <v>-1.2028738179375</v>
      </c>
      <c r="AD90" s="187" t="n">
        <v>-1.172572628625</v>
      </c>
      <c r="AE90" s="185" t="n">
        <v>-1.1422714393125</v>
      </c>
      <c r="AF90" s="185" t="n">
        <v>-1.11197025</v>
      </c>
      <c r="AG90" s="190" t="n">
        <v>-1.083235125</v>
      </c>
      <c r="AH90" s="190" t="n">
        <v>-1.0545</v>
      </c>
      <c r="AI90" s="190" t="n">
        <v>-1.02725</v>
      </c>
      <c r="AJ90" s="190" t="n">
        <v>-1</v>
      </c>
      <c r="AK90" s="190" t="n">
        <v>-0.8</v>
      </c>
      <c r="AL90" s="190" t="n">
        <v>-0.6</v>
      </c>
      <c r="AM90" s="190" t="n">
        <v>-0.4</v>
      </c>
      <c r="AN90" s="190" t="n">
        <v>-0.2</v>
      </c>
      <c r="AO90" s="190" t="n">
        <v>0</v>
      </c>
      <c r="AP90" s="190" t="n">
        <v>0.2</v>
      </c>
      <c r="AQ90" s="190" t="n">
        <v>0.4</v>
      </c>
      <c r="AR90" s="190" t="n">
        <v>0.6</v>
      </c>
      <c r="AS90" s="190" t="n">
        <v>0.8</v>
      </c>
      <c r="AT90" s="190" t="n">
        <v>1</v>
      </c>
      <c r="AU90" s="190" t="n">
        <v>1.2</v>
      </c>
      <c r="AV90" s="190" t="n">
        <v>1.4</v>
      </c>
      <c r="AW90" s="190" t="n">
        <v>1.58</v>
      </c>
      <c r="AX90" s="190" t="n">
        <v>1.76</v>
      </c>
      <c r="AY90" s="190" t="n">
        <v>1.922</v>
      </c>
      <c r="AZ90" s="190" t="n">
        <v>2.084</v>
      </c>
      <c r="BA90" s="190" t="n">
        <v>2.2298</v>
      </c>
      <c r="BB90" s="190" t="n">
        <v>2.3756</v>
      </c>
      <c r="BC90" s="190" t="n">
        <v>2.50682</v>
      </c>
      <c r="BD90" s="190" t="n">
        <v>2.63804</v>
      </c>
      <c r="BE90" s="190" t="n">
        <v>2.756138</v>
      </c>
      <c r="BF90" s="190" t="n">
        <v>2.874236</v>
      </c>
      <c r="BG90" s="190" t="n">
        <v>2.9805242</v>
      </c>
      <c r="BH90" s="190" t="n">
        <v>3.0868124</v>
      </c>
      <c r="BI90" s="190" t="n">
        <v>3.18247178</v>
      </c>
      <c r="BJ90" s="190" t="n">
        <v>3.27813116</v>
      </c>
      <c r="BK90" s="190" t="n">
        <v>3.364224602</v>
      </c>
      <c r="BL90" s="190" t="n">
        <v>3.450318044</v>
      </c>
      <c r="BM90" s="190" t="n">
        <v>3.5278021418</v>
      </c>
      <c r="BN90" s="190" t="n">
        <v>3.6052862396</v>
      </c>
      <c r="BO90" s="190" t="n">
        <v>3.67502192762</v>
      </c>
      <c r="BP90" s="190" t="n">
        <v>3.74475761564</v>
      </c>
      <c r="BQ90" s="190" t="n">
        <v>3.81449330366</v>
      </c>
      <c r="BR90" s="190" t="n">
        <v>3.88422899168</v>
      </c>
      <c r="BS90" s="190" t="n">
        <v>3.9539646797</v>
      </c>
      <c r="BT90" s="190" t="n">
        <v>4.02370036772</v>
      </c>
      <c r="BU90" s="190" t="n">
        <v>4.09343605574</v>
      </c>
      <c r="BV90" s="190" t="n">
        <v>4.16317174376</v>
      </c>
      <c r="BW90" s="190" t="n">
        <v>4.23290743178</v>
      </c>
      <c r="BX90" s="190" t="n">
        <v>4.3026431198</v>
      </c>
      <c r="BY90" s="190" t="n">
        <v>4.37237880782</v>
      </c>
      <c r="BZ90" s="190" t="n">
        <v>4.44211449584</v>
      </c>
      <c r="CA90" s="190" t="n">
        <v>4.51185018386</v>
      </c>
      <c r="CB90" s="190" t="n">
        <v>4.58158587188</v>
      </c>
      <c r="CC90" s="190" t="n">
        <v>4.6513215599</v>
      </c>
      <c r="CD90" s="190" t="n">
        <v>4.72105724792</v>
      </c>
      <c r="CE90" s="190" t="n">
        <v>4.79079293594</v>
      </c>
      <c r="CF90" s="190" t="n">
        <v>4.86052862396</v>
      </c>
      <c r="CG90" s="190" t="n">
        <v>4.93026431198</v>
      </c>
      <c r="CH90" s="190" t="n">
        <v>5</v>
      </c>
      <c r="CI90" s="190" t="n">
        <v>5.06973568801999</v>
      </c>
      <c r="CJ90" s="190" t="n">
        <v>5.13947137603999</v>
      </c>
      <c r="CK90" s="190" t="n">
        <v>5.20920706405999</v>
      </c>
      <c r="CL90" s="190" t="n">
        <v>5.27894275207999</v>
      </c>
      <c r="CM90" s="190" t="n">
        <v>5.34867844009999</v>
      </c>
      <c r="CN90" s="190" t="n">
        <v>5.41841412811999</v>
      </c>
      <c r="CO90" s="190" t="n">
        <v>5.48814981613999</v>
      </c>
      <c r="CP90" s="190" t="n">
        <v>5.55788550415999</v>
      </c>
      <c r="CQ90" s="190" t="n">
        <v>5.62762119217999</v>
      </c>
      <c r="CR90" s="190" t="n">
        <v>5.69735688019999</v>
      </c>
      <c r="CS90" s="190" t="n">
        <v>5.76709256821999</v>
      </c>
      <c r="CT90" s="190" t="n">
        <v>5.83682825623999</v>
      </c>
      <c r="CU90" s="190" t="n">
        <v>5.90656394425999</v>
      </c>
      <c r="CV90" s="190" t="n">
        <v>5.97629963227999</v>
      </c>
      <c r="CW90" s="190" t="n">
        <v>6.04603532029999</v>
      </c>
      <c r="CX90" s="190" t="n">
        <v>6.11577100831999</v>
      </c>
      <c r="CY90" s="190" t="n">
        <v>6.18550669633999</v>
      </c>
      <c r="CZ90" s="190" t="n">
        <v>6.25524238435999</v>
      </c>
      <c r="DA90" s="190" t="n">
        <v>6.32497807237999</v>
      </c>
      <c r="DB90" s="190" t="n">
        <v>6.39471376039999</v>
      </c>
      <c r="DC90" s="190" t="n">
        <v>6.46444944841999</v>
      </c>
      <c r="DD90" s="190" t="n">
        <v>6.53418513643999</v>
      </c>
      <c r="DE90" s="190" t="n">
        <v>6.60392082445999</v>
      </c>
      <c r="DF90" s="190" t="n">
        <v>6.67365651247999</v>
      </c>
      <c r="DG90" s="190" t="n">
        <v>6.74339220049999</v>
      </c>
      <c r="DH90" s="190" t="n">
        <v>6.81312788851999</v>
      </c>
      <c r="DI90" s="190" t="n">
        <v>6.88286357653999</v>
      </c>
      <c r="DJ90" s="190" t="n">
        <v>6.95259926455999</v>
      </c>
      <c r="DK90" s="190" t="n">
        <v>7.02233495257999</v>
      </c>
      <c r="DL90" s="190" t="n">
        <v>7.09207064059999</v>
      </c>
      <c r="DM90" s="190" t="n">
        <v>7.16180632861999</v>
      </c>
      <c r="DN90" s="190" t="n">
        <v>7.23154201663999</v>
      </c>
      <c r="DO90" s="190" t="n">
        <v>7.30127770465999</v>
      </c>
      <c r="DP90" s="190" t="n">
        <v>7.37101339267999</v>
      </c>
      <c r="DQ90" s="190" t="n">
        <v>7.44074908069999</v>
      </c>
      <c r="DR90" s="190" t="n">
        <v>7.51048476871999</v>
      </c>
      <c r="DS90" s="190" t="n">
        <v>7.58022045673999</v>
      </c>
      <c r="DT90" s="190" t="n">
        <v>7.64995614475999</v>
      </c>
      <c r="DU90" s="190" t="n">
        <v>7.71969183277999</v>
      </c>
      <c r="DV90" s="190" t="n">
        <v>7.78942752079998</v>
      </c>
      <c r="DW90" s="190" t="n">
        <v>7.85916320881998</v>
      </c>
      <c r="DX90" s="190" t="n">
        <v>7.92889889683998</v>
      </c>
      <c r="DY90" s="190" t="n">
        <v>7.99863458485998</v>
      </c>
      <c r="DZ90" s="190" t="n">
        <v>8.06837027287998</v>
      </c>
      <c r="EA90" s="190" t="n">
        <v>8.13810596089998</v>
      </c>
      <c r="EB90" s="190" t="n">
        <v>8.20784164891998</v>
      </c>
      <c r="EC90" s="190" t="n">
        <v>8.27757733693998</v>
      </c>
      <c r="ED90" s="190" t="n">
        <v>8.34731302495998</v>
      </c>
      <c r="EE90" s="190" t="n">
        <v>8.41704871297998</v>
      </c>
      <c r="EF90" s="190" t="n">
        <v>8.48678440099998</v>
      </c>
      <c r="EG90" s="190" t="n">
        <v>8.55652008901998</v>
      </c>
      <c r="EH90" s="190" t="n">
        <v>8.62625577703998</v>
      </c>
      <c r="EI90" s="190" t="n">
        <v>8.69599146505998</v>
      </c>
      <c r="EJ90" s="190" t="n">
        <v>8.76572715307998</v>
      </c>
      <c r="EK90" s="190" t="n">
        <v>8.83546284109998</v>
      </c>
      <c r="EL90" s="180" t="n">
        <v>8.90519852911998</v>
      </c>
      <c r="EM90" s="180" t="n">
        <v>8.97493421713998</v>
      </c>
      <c r="EN90" s="180" t="n">
        <v>9.04466990515998</v>
      </c>
      <c r="EO90" s="180" t="n">
        <v>9.11440559317998</v>
      </c>
      <c r="EP90" s="180" t="n">
        <v>9.18414128119998</v>
      </c>
      <c r="EQ90" s="180" t="n">
        <v>9.25387696921998</v>
      </c>
      <c r="ER90" s="180" t="n">
        <v>9.32361265723998</v>
      </c>
      <c r="ES90" s="180" t="n">
        <v>9.39334834525998</v>
      </c>
      <c r="ET90" s="180" t="n">
        <v>9.46308403327998</v>
      </c>
      <c r="EU90" s="180" t="n">
        <v>9.53281972129998</v>
      </c>
      <c r="EV90" s="180" t="n">
        <v>9.60255540931998</v>
      </c>
      <c r="EW90" s="180" t="n">
        <v>9.67229109733998</v>
      </c>
      <c r="EX90" s="180" t="n">
        <v>9.74202678535998</v>
      </c>
      <c r="EY90" s="180" t="n">
        <v>9.81176247337998</v>
      </c>
      <c r="EZ90" s="180" t="n">
        <v>9.88149816139998</v>
      </c>
      <c r="FA90" s="180" t="n">
        <v>9.95123384941998</v>
      </c>
      <c r="FB90" s="180" t="n">
        <v>10.02096953744</v>
      </c>
      <c r="FC90" s="180" t="n">
        <v>10.09070522546</v>
      </c>
      <c r="FD90" s="180" t="n">
        <v>10.16044091348</v>
      </c>
      <c r="FE90" s="180" t="n">
        <v>10.2301766015</v>
      </c>
      <c r="FF90" s="180" t="n">
        <v>10.29991228952</v>
      </c>
      <c r="FG90" s="180" t="n">
        <v>10.36964797754</v>
      </c>
      <c r="FH90" s="180" t="n">
        <v>10.43938366556</v>
      </c>
      <c r="FI90" s="180" t="n">
        <v>10.50911935358</v>
      </c>
      <c r="FJ90" s="180" t="n">
        <v>10.5788550416</v>
      </c>
      <c r="FK90" s="180" t="n">
        <v>10.64859072962</v>
      </c>
      <c r="FL90" s="180" t="n">
        <v>10.71832641764</v>
      </c>
      <c r="FM90" s="180" t="n">
        <v>10.78806210566</v>
      </c>
      <c r="FN90" s="180" t="n">
        <v>10.85779779368</v>
      </c>
      <c r="FO90" s="180" t="n">
        <v>10.9275334817</v>
      </c>
      <c r="FP90" s="180" t="n">
        <v>10.99726916972</v>
      </c>
      <c r="FQ90" s="180" t="n">
        <v>11.06700485774</v>
      </c>
      <c r="FR90" s="180" t="n">
        <v>11.13674054576</v>
      </c>
      <c r="FS90" s="180" t="n">
        <v>11.20647623378</v>
      </c>
      <c r="FT90" s="180" t="n">
        <v>11.2762119218</v>
      </c>
      <c r="FU90" s="180" t="n">
        <v>11.34594760982</v>
      </c>
      <c r="FV90" s="180" t="n">
        <v>11.41568329784</v>
      </c>
      <c r="FW90" s="180" t="n">
        <v>11.48541898586</v>
      </c>
      <c r="FX90" s="180" t="n">
        <v>11.55515467388</v>
      </c>
      <c r="FY90" s="180" t="n">
        <v>11.6248903619</v>
      </c>
      <c r="FZ90" s="180" t="n">
        <v>11.69462604992</v>
      </c>
      <c r="GA90" s="180" t="n">
        <v>11.76436173794</v>
      </c>
      <c r="GB90" s="180" t="n">
        <v>11.83409742596</v>
      </c>
      <c r="GC90" s="180" t="n">
        <v>11.90383311398</v>
      </c>
      <c r="GD90" s="180" t="n">
        <v>11.973568802</v>
      </c>
      <c r="GE90" s="180" t="n">
        <v>12.04330449002</v>
      </c>
      <c r="GF90" s="180" t="n">
        <v>12.11304017804</v>
      </c>
      <c r="GG90" s="180" t="n">
        <v>12.18277586606</v>
      </c>
      <c r="GH90" s="180" t="n">
        <v>12.25251155408</v>
      </c>
      <c r="GI90" s="180" t="n">
        <v>12.3222472421</v>
      </c>
      <c r="GJ90" s="180" t="n">
        <v>12.39198293012</v>
      </c>
      <c r="GK90" s="180" t="n">
        <v>12.46171861814</v>
      </c>
      <c r="GL90" s="180" t="n">
        <v>12.53145430616</v>
      </c>
      <c r="GM90" s="180" t="n">
        <v>12.60118999418</v>
      </c>
      <c r="GN90" s="180" t="n">
        <v>12.6709256822</v>
      </c>
      <c r="GO90" s="180" t="n">
        <v>12.74066137022</v>
      </c>
      <c r="GP90" s="180" t="n">
        <v>12.81039705824</v>
      </c>
      <c r="GQ90" s="180" t="n">
        <v>12.88013274626</v>
      </c>
      <c r="GR90" s="180" t="n">
        <v>12.94986843428</v>
      </c>
      <c r="GS90" s="180" t="n">
        <v>13.0196041223</v>
      </c>
      <c r="GT90" s="180" t="n">
        <v>13.08933981032</v>
      </c>
      <c r="GU90" s="180" t="n">
        <v>13.15907549834</v>
      </c>
      <c r="GV90" s="180" t="n">
        <v>13.22881118636</v>
      </c>
      <c r="GW90" s="180" t="n">
        <v>13.29854687438</v>
      </c>
      <c r="GX90" s="180" t="n">
        <v>13.3682825624</v>
      </c>
      <c r="GY90" s="180" t="n">
        <v>13.43801825042</v>
      </c>
      <c r="GZ90" s="180" t="n">
        <v>13.50775393844</v>
      </c>
      <c r="HA90" s="180" t="n">
        <v>13.57748962646</v>
      </c>
      <c r="HB90" s="180" t="n">
        <v>13.64722531448</v>
      </c>
      <c r="HC90" s="180" t="n">
        <v>13.7169610025</v>
      </c>
      <c r="HD90" s="180" t="n">
        <v>13.78669669052</v>
      </c>
      <c r="HE90" s="180" t="n">
        <v>13.85643237854</v>
      </c>
      <c r="HF90" s="180" t="n">
        <v>13.92616806656</v>
      </c>
      <c r="HG90" s="180" t="n">
        <v>13.99590375458</v>
      </c>
      <c r="HH90" s="180" t="n">
        <v>14.0656394426</v>
      </c>
      <c r="HI90" s="180" t="n">
        <v>14.13537513062</v>
      </c>
      <c r="HJ90" s="180" t="n">
        <v>14.20511081864</v>
      </c>
      <c r="HK90" s="180" t="n">
        <v>14.27484650666</v>
      </c>
      <c r="HL90" s="180" t="n">
        <v>14.34458219468</v>
      </c>
      <c r="HM90" s="180" t="n">
        <v>14.4143178827</v>
      </c>
      <c r="HN90" s="180" t="n">
        <v>14.48405357072</v>
      </c>
      <c r="HO90" s="180" t="n">
        <v>14.55378925874</v>
      </c>
      <c r="HP90" s="180" t="n">
        <v>14.62352494676</v>
      </c>
      <c r="HQ90" s="180" t="n">
        <v>14.69326063478</v>
      </c>
      <c r="HR90" s="180" t="n">
        <v>14.7629963228</v>
      </c>
      <c r="HS90" s="180" t="n">
        <v>14.83273201082</v>
      </c>
      <c r="HT90" s="180" t="n">
        <v>14.90246769884</v>
      </c>
      <c r="HU90" s="180" t="n">
        <v>14.97220338686</v>
      </c>
      <c r="HV90" s="180" t="n">
        <v>15.04193907488</v>
      </c>
      <c r="HW90" s="180" t="n">
        <v>15.1116747629</v>
      </c>
      <c r="HX90" s="180" t="n">
        <v>15.18141045092</v>
      </c>
      <c r="HY90" s="180" t="n">
        <v>15.25114613894</v>
      </c>
      <c r="HZ90" s="180" t="n">
        <v>15.32088182696</v>
      </c>
      <c r="IA90" s="180" t="n">
        <v>15.39061751498</v>
      </c>
      <c r="IB90" s="180" t="n">
        <v>15.460353203</v>
      </c>
      <c r="IC90" s="180" t="n">
        <v>15.53008889102</v>
      </c>
      <c r="ID90" s="180" t="n">
        <v>15.59982457904</v>
      </c>
      <c r="IE90" s="180" t="n">
        <v>15.66956026706</v>
      </c>
      <c r="IF90" s="180" t="n">
        <v>15.73929595508</v>
      </c>
      <c r="IG90" s="180" t="n">
        <v>15.8090316431</v>
      </c>
      <c r="IH90" s="180" t="n">
        <v>15.87876733112</v>
      </c>
      <c r="II90" s="180" t="n">
        <v>15.94850301914</v>
      </c>
      <c r="IJ90" s="180" t="n">
        <v>16.01823870716</v>
      </c>
      <c r="IK90" s="180" t="n">
        <v>16.08797439518</v>
      </c>
      <c r="IL90" s="180" t="n">
        <v>16.1577100832</v>
      </c>
      <c r="IM90" s="180" t="n">
        <v>16.22744577122</v>
      </c>
      <c r="IN90" s="180" t="n">
        <v>16.29718145924</v>
      </c>
      <c r="IO90" s="180" t="n">
        <v>16.36691714726</v>
      </c>
      <c r="IP90" s="180" t="n">
        <v>16.43665283528</v>
      </c>
      <c r="IQ90" s="180" t="n">
        <v>16.5063885233</v>
      </c>
      <c r="IR90" s="180" t="n">
        <v>16.57612421132</v>
      </c>
      <c r="IS90" s="180" t="n">
        <v>16.64585989934</v>
      </c>
      <c r="IT90" s="180" t="n">
        <v>16.71559558736</v>
      </c>
      <c r="IU90" s="180" t="n">
        <v>16.78533127538</v>
      </c>
      <c r="IV90" s="180" t="n">
        <v>16.8550669634</v>
      </c>
    </row>
    <row r="91" customFormat="false" ht="12.75" hidden="false" customHeight="false" outlineLevel="0" collapsed="false">
      <c r="A91" s="189" t="n">
        <v>39448</v>
      </c>
      <c r="B91" s="185" t="n">
        <v>-2.021005929375</v>
      </c>
      <c r="C91" s="185" t="n">
        <v>-1.9907047400625</v>
      </c>
      <c r="D91" s="185" t="n">
        <v>-1.96040355075</v>
      </c>
      <c r="E91" s="185" t="n">
        <v>-1.9301023614375</v>
      </c>
      <c r="F91" s="185" t="n">
        <v>-1.899801172125</v>
      </c>
      <c r="G91" s="185" t="n">
        <v>-1.8694999828125</v>
      </c>
      <c r="H91" s="185" t="n">
        <v>-1.8391987935</v>
      </c>
      <c r="I91" s="185" t="n">
        <v>-1.8088976041875</v>
      </c>
      <c r="J91" s="185" t="n">
        <v>-1.778596414875</v>
      </c>
      <c r="K91" s="185" t="n">
        <v>-1.7482952255625</v>
      </c>
      <c r="L91" s="185" t="n">
        <v>-1.71799403625</v>
      </c>
      <c r="M91" s="185" t="n">
        <v>-1.6876928469375</v>
      </c>
      <c r="N91" s="185" t="n">
        <v>-1.657391657625</v>
      </c>
      <c r="O91" s="185" t="n">
        <v>-1.6270904683125</v>
      </c>
      <c r="P91" s="185" t="n">
        <v>-1.596789279</v>
      </c>
      <c r="Q91" s="185" t="n">
        <v>-1.5664880896875</v>
      </c>
      <c r="R91" s="185" t="n">
        <v>-1.536186900375</v>
      </c>
      <c r="S91" s="185" t="n">
        <v>-1.5058857110625</v>
      </c>
      <c r="T91" s="185" t="n">
        <v>-1.47558452175</v>
      </c>
      <c r="U91" s="185" t="n">
        <v>-1.4452833324375</v>
      </c>
      <c r="V91" s="186" t="n">
        <v>-1.414982143125</v>
      </c>
      <c r="W91" s="185" t="n">
        <v>-1.3846809538125</v>
      </c>
      <c r="X91" s="186" t="n">
        <v>-1.3543797645</v>
      </c>
      <c r="Y91" s="185" t="n">
        <v>-1.3240785751875</v>
      </c>
      <c r="Z91" s="186" t="n">
        <v>-1.293777385875</v>
      </c>
      <c r="AA91" s="185" t="n">
        <v>-1.2634761965625</v>
      </c>
      <c r="AB91" s="187" t="n">
        <v>-1.23317500725</v>
      </c>
      <c r="AC91" s="185" t="n">
        <v>-1.2028738179375</v>
      </c>
      <c r="AD91" s="187" t="n">
        <v>-1.172572628625</v>
      </c>
      <c r="AE91" s="185" t="n">
        <v>-1.1422714393125</v>
      </c>
      <c r="AF91" s="185" t="n">
        <v>-1.11197025</v>
      </c>
      <c r="AG91" s="190" t="n">
        <v>-1.083235125</v>
      </c>
      <c r="AH91" s="190" t="n">
        <v>-1.0545</v>
      </c>
      <c r="AI91" s="190" t="n">
        <v>-1.02725</v>
      </c>
      <c r="AJ91" s="190" t="n">
        <v>-1</v>
      </c>
      <c r="AK91" s="190" t="n">
        <v>-0.8</v>
      </c>
      <c r="AL91" s="190" t="n">
        <v>-0.6</v>
      </c>
      <c r="AM91" s="190" t="n">
        <v>-0.4</v>
      </c>
      <c r="AN91" s="190" t="n">
        <v>-0.2</v>
      </c>
      <c r="AO91" s="190" t="n">
        <v>0</v>
      </c>
      <c r="AP91" s="190" t="n">
        <v>0.2</v>
      </c>
      <c r="AQ91" s="190" t="n">
        <v>0.4</v>
      </c>
      <c r="AR91" s="190" t="n">
        <v>0.6</v>
      </c>
      <c r="AS91" s="190" t="n">
        <v>0.8</v>
      </c>
      <c r="AT91" s="190" t="n">
        <v>1</v>
      </c>
      <c r="AU91" s="190" t="n">
        <v>1.2</v>
      </c>
      <c r="AV91" s="190" t="n">
        <v>1.4</v>
      </c>
      <c r="AW91" s="190" t="n">
        <v>1.58</v>
      </c>
      <c r="AX91" s="190" t="n">
        <v>1.76</v>
      </c>
      <c r="AY91" s="190" t="n">
        <v>1.922</v>
      </c>
      <c r="AZ91" s="190" t="n">
        <v>2.084</v>
      </c>
      <c r="BA91" s="190" t="n">
        <v>2.2298</v>
      </c>
      <c r="BB91" s="190" t="n">
        <v>2.3756</v>
      </c>
      <c r="BC91" s="190" t="n">
        <v>2.50682</v>
      </c>
      <c r="BD91" s="190" t="n">
        <v>2.63804</v>
      </c>
      <c r="BE91" s="190" t="n">
        <v>2.756138</v>
      </c>
      <c r="BF91" s="190" t="n">
        <v>2.874236</v>
      </c>
      <c r="BG91" s="190" t="n">
        <v>2.9805242</v>
      </c>
      <c r="BH91" s="190" t="n">
        <v>3.0868124</v>
      </c>
      <c r="BI91" s="190" t="n">
        <v>3.18247178</v>
      </c>
      <c r="BJ91" s="190" t="n">
        <v>3.27813116</v>
      </c>
      <c r="BK91" s="190" t="n">
        <v>3.364224602</v>
      </c>
      <c r="BL91" s="190" t="n">
        <v>3.450318044</v>
      </c>
      <c r="BM91" s="190" t="n">
        <v>3.5278021418</v>
      </c>
      <c r="BN91" s="190" t="n">
        <v>3.6052862396</v>
      </c>
      <c r="BO91" s="190" t="n">
        <v>3.67502192762</v>
      </c>
      <c r="BP91" s="190" t="n">
        <v>3.74475761564</v>
      </c>
      <c r="BQ91" s="190" t="n">
        <v>3.81449330366</v>
      </c>
      <c r="BR91" s="190" t="n">
        <v>3.88422899168</v>
      </c>
      <c r="BS91" s="190" t="n">
        <v>3.9539646797</v>
      </c>
      <c r="BT91" s="190" t="n">
        <v>4.02370036772</v>
      </c>
      <c r="BU91" s="190" t="n">
        <v>4.09343605574</v>
      </c>
      <c r="BV91" s="190" t="n">
        <v>4.16317174376</v>
      </c>
      <c r="BW91" s="190" t="n">
        <v>4.23290743178</v>
      </c>
      <c r="BX91" s="190" t="n">
        <v>4.3026431198</v>
      </c>
      <c r="BY91" s="190" t="n">
        <v>4.37237880782</v>
      </c>
      <c r="BZ91" s="190" t="n">
        <v>4.44211449584</v>
      </c>
      <c r="CA91" s="190" t="n">
        <v>4.51185018386</v>
      </c>
      <c r="CB91" s="190" t="n">
        <v>4.58158587188</v>
      </c>
      <c r="CC91" s="190" t="n">
        <v>4.6513215599</v>
      </c>
      <c r="CD91" s="190" t="n">
        <v>4.72105724792</v>
      </c>
      <c r="CE91" s="190" t="n">
        <v>4.79079293594</v>
      </c>
      <c r="CF91" s="190" t="n">
        <v>4.86052862396</v>
      </c>
      <c r="CG91" s="190" t="n">
        <v>4.93026431198</v>
      </c>
      <c r="CH91" s="190" t="n">
        <v>5</v>
      </c>
      <c r="CI91" s="190" t="n">
        <v>5.06973568801999</v>
      </c>
      <c r="CJ91" s="190" t="n">
        <v>5.13947137603999</v>
      </c>
      <c r="CK91" s="190" t="n">
        <v>5.20920706405999</v>
      </c>
      <c r="CL91" s="190" t="n">
        <v>5.27894275207999</v>
      </c>
      <c r="CM91" s="190" t="n">
        <v>5.34867844009999</v>
      </c>
      <c r="CN91" s="190" t="n">
        <v>5.41841412811999</v>
      </c>
      <c r="CO91" s="190" t="n">
        <v>5.48814981613999</v>
      </c>
      <c r="CP91" s="190" t="n">
        <v>5.55788550415999</v>
      </c>
      <c r="CQ91" s="190" t="n">
        <v>5.62762119217999</v>
      </c>
      <c r="CR91" s="190" t="n">
        <v>5.69735688019999</v>
      </c>
      <c r="CS91" s="190" t="n">
        <v>5.76709256821999</v>
      </c>
      <c r="CT91" s="190" t="n">
        <v>5.83682825623999</v>
      </c>
      <c r="CU91" s="190" t="n">
        <v>5.90656394425999</v>
      </c>
      <c r="CV91" s="190" t="n">
        <v>5.97629963227999</v>
      </c>
      <c r="CW91" s="190" t="n">
        <v>6.04603532029999</v>
      </c>
      <c r="CX91" s="190" t="n">
        <v>6.11577100831999</v>
      </c>
      <c r="CY91" s="190" t="n">
        <v>6.18550669633999</v>
      </c>
      <c r="CZ91" s="190" t="n">
        <v>6.25524238435999</v>
      </c>
      <c r="DA91" s="190" t="n">
        <v>6.32497807237999</v>
      </c>
      <c r="DB91" s="190" t="n">
        <v>6.39471376039999</v>
      </c>
      <c r="DC91" s="190" t="n">
        <v>6.46444944841999</v>
      </c>
      <c r="DD91" s="190" t="n">
        <v>6.53418513643999</v>
      </c>
      <c r="DE91" s="190" t="n">
        <v>6.60392082445999</v>
      </c>
      <c r="DF91" s="190" t="n">
        <v>6.67365651247999</v>
      </c>
      <c r="DG91" s="190" t="n">
        <v>6.74339220049999</v>
      </c>
      <c r="DH91" s="190" t="n">
        <v>6.81312788851999</v>
      </c>
      <c r="DI91" s="190" t="n">
        <v>6.88286357653999</v>
      </c>
      <c r="DJ91" s="190" t="n">
        <v>6.95259926455999</v>
      </c>
      <c r="DK91" s="190" t="n">
        <v>7.02233495257999</v>
      </c>
      <c r="DL91" s="190" t="n">
        <v>7.09207064059999</v>
      </c>
      <c r="DM91" s="190" t="n">
        <v>7.16180632861999</v>
      </c>
      <c r="DN91" s="190" t="n">
        <v>7.23154201663999</v>
      </c>
      <c r="DO91" s="190" t="n">
        <v>7.30127770465999</v>
      </c>
      <c r="DP91" s="190" t="n">
        <v>7.37101339267999</v>
      </c>
      <c r="DQ91" s="190" t="n">
        <v>7.44074908069999</v>
      </c>
      <c r="DR91" s="190" t="n">
        <v>7.51048476871999</v>
      </c>
      <c r="DS91" s="190" t="n">
        <v>7.58022045673999</v>
      </c>
      <c r="DT91" s="190" t="n">
        <v>7.64995614475999</v>
      </c>
      <c r="DU91" s="190" t="n">
        <v>7.71969183277999</v>
      </c>
      <c r="DV91" s="190" t="n">
        <v>7.78942752079998</v>
      </c>
      <c r="DW91" s="190" t="n">
        <v>7.85916320881998</v>
      </c>
      <c r="DX91" s="190" t="n">
        <v>7.92889889683998</v>
      </c>
      <c r="DY91" s="190" t="n">
        <v>7.99863458485998</v>
      </c>
      <c r="DZ91" s="190" t="n">
        <v>8.06837027287998</v>
      </c>
      <c r="EA91" s="190" t="n">
        <v>8.13810596089998</v>
      </c>
      <c r="EB91" s="190" t="n">
        <v>8.20784164891998</v>
      </c>
      <c r="EC91" s="190" t="n">
        <v>8.27757733693998</v>
      </c>
      <c r="ED91" s="190" t="n">
        <v>8.34731302495998</v>
      </c>
      <c r="EE91" s="190" t="n">
        <v>8.41704871297998</v>
      </c>
      <c r="EF91" s="190" t="n">
        <v>8.48678440099998</v>
      </c>
      <c r="EG91" s="190" t="n">
        <v>8.55652008901998</v>
      </c>
      <c r="EH91" s="190" t="n">
        <v>8.62625577703998</v>
      </c>
      <c r="EI91" s="190" t="n">
        <v>8.69599146505998</v>
      </c>
      <c r="EJ91" s="190" t="n">
        <v>8.76572715307998</v>
      </c>
      <c r="EK91" s="190" t="n">
        <v>8.83546284109998</v>
      </c>
      <c r="EL91" s="180" t="n">
        <v>8.90519852911998</v>
      </c>
      <c r="EM91" s="180" t="n">
        <v>8.97493421713998</v>
      </c>
      <c r="EN91" s="180" t="n">
        <v>9.04466990515998</v>
      </c>
      <c r="EO91" s="180" t="n">
        <v>9.11440559317998</v>
      </c>
      <c r="EP91" s="180" t="n">
        <v>9.18414128119998</v>
      </c>
      <c r="EQ91" s="180" t="n">
        <v>9.25387696921998</v>
      </c>
      <c r="ER91" s="180" t="n">
        <v>9.32361265723998</v>
      </c>
      <c r="ES91" s="180" t="n">
        <v>9.39334834525998</v>
      </c>
      <c r="ET91" s="180" t="n">
        <v>9.46308403327998</v>
      </c>
      <c r="EU91" s="180" t="n">
        <v>9.53281972129998</v>
      </c>
      <c r="EV91" s="180" t="n">
        <v>9.60255540931998</v>
      </c>
      <c r="EW91" s="180" t="n">
        <v>9.67229109733998</v>
      </c>
      <c r="EX91" s="180" t="n">
        <v>9.74202678535998</v>
      </c>
      <c r="EY91" s="180" t="n">
        <v>9.81176247337998</v>
      </c>
      <c r="EZ91" s="180" t="n">
        <v>9.88149816139998</v>
      </c>
      <c r="FA91" s="180" t="n">
        <v>9.95123384941998</v>
      </c>
      <c r="FB91" s="180" t="n">
        <v>10.02096953744</v>
      </c>
      <c r="FC91" s="180" t="n">
        <v>10.09070522546</v>
      </c>
      <c r="FD91" s="180" t="n">
        <v>10.16044091348</v>
      </c>
      <c r="FE91" s="180" t="n">
        <v>10.2301766015</v>
      </c>
      <c r="FF91" s="180" t="n">
        <v>10.29991228952</v>
      </c>
      <c r="FG91" s="180" t="n">
        <v>10.36964797754</v>
      </c>
      <c r="FH91" s="180" t="n">
        <v>10.43938366556</v>
      </c>
      <c r="FI91" s="180" t="n">
        <v>10.50911935358</v>
      </c>
      <c r="FJ91" s="180" t="n">
        <v>10.5788550416</v>
      </c>
      <c r="FK91" s="180" t="n">
        <v>10.64859072962</v>
      </c>
      <c r="FL91" s="180" t="n">
        <v>10.71832641764</v>
      </c>
      <c r="FM91" s="180" t="n">
        <v>10.78806210566</v>
      </c>
      <c r="FN91" s="180" t="n">
        <v>10.85779779368</v>
      </c>
      <c r="FO91" s="180" t="n">
        <v>10.9275334817</v>
      </c>
      <c r="FP91" s="180" t="n">
        <v>10.99726916972</v>
      </c>
      <c r="FQ91" s="180" t="n">
        <v>11.06700485774</v>
      </c>
      <c r="FR91" s="180" t="n">
        <v>11.13674054576</v>
      </c>
      <c r="FS91" s="180" t="n">
        <v>11.20647623378</v>
      </c>
      <c r="FT91" s="180" t="n">
        <v>11.2762119218</v>
      </c>
      <c r="FU91" s="180" t="n">
        <v>11.34594760982</v>
      </c>
      <c r="FV91" s="180" t="n">
        <v>11.41568329784</v>
      </c>
      <c r="FW91" s="180" t="n">
        <v>11.48541898586</v>
      </c>
      <c r="FX91" s="180" t="n">
        <v>11.55515467388</v>
      </c>
      <c r="FY91" s="180" t="n">
        <v>11.6248903619</v>
      </c>
      <c r="FZ91" s="180" t="n">
        <v>11.69462604992</v>
      </c>
      <c r="GA91" s="180" t="n">
        <v>11.76436173794</v>
      </c>
      <c r="GB91" s="180" t="n">
        <v>11.83409742596</v>
      </c>
      <c r="GC91" s="180" t="n">
        <v>11.90383311398</v>
      </c>
      <c r="GD91" s="180" t="n">
        <v>11.973568802</v>
      </c>
      <c r="GE91" s="180" t="n">
        <v>12.04330449002</v>
      </c>
      <c r="GF91" s="180" t="n">
        <v>12.11304017804</v>
      </c>
      <c r="GG91" s="180" t="n">
        <v>12.18277586606</v>
      </c>
      <c r="GH91" s="180" t="n">
        <v>12.25251155408</v>
      </c>
      <c r="GI91" s="180" t="n">
        <v>12.3222472421</v>
      </c>
      <c r="GJ91" s="180" t="n">
        <v>12.39198293012</v>
      </c>
      <c r="GK91" s="180" t="n">
        <v>12.46171861814</v>
      </c>
      <c r="GL91" s="180" t="n">
        <v>12.53145430616</v>
      </c>
      <c r="GM91" s="180" t="n">
        <v>12.60118999418</v>
      </c>
      <c r="GN91" s="180" t="n">
        <v>12.6709256822</v>
      </c>
      <c r="GO91" s="180" t="n">
        <v>12.74066137022</v>
      </c>
      <c r="GP91" s="180" t="n">
        <v>12.81039705824</v>
      </c>
      <c r="GQ91" s="180" t="n">
        <v>12.88013274626</v>
      </c>
      <c r="GR91" s="180" t="n">
        <v>12.94986843428</v>
      </c>
      <c r="GS91" s="180" t="n">
        <v>13.0196041223</v>
      </c>
      <c r="GT91" s="180" t="n">
        <v>13.08933981032</v>
      </c>
      <c r="GU91" s="180" t="n">
        <v>13.15907549834</v>
      </c>
      <c r="GV91" s="180" t="n">
        <v>13.22881118636</v>
      </c>
      <c r="GW91" s="180" t="n">
        <v>13.29854687438</v>
      </c>
      <c r="GX91" s="180" t="n">
        <v>13.3682825624</v>
      </c>
      <c r="GY91" s="180" t="n">
        <v>13.43801825042</v>
      </c>
      <c r="GZ91" s="180" t="n">
        <v>13.50775393844</v>
      </c>
      <c r="HA91" s="180" t="n">
        <v>13.57748962646</v>
      </c>
      <c r="HB91" s="180" t="n">
        <v>13.64722531448</v>
      </c>
      <c r="HC91" s="180" t="n">
        <v>13.7169610025</v>
      </c>
      <c r="HD91" s="180" t="n">
        <v>13.78669669052</v>
      </c>
      <c r="HE91" s="180" t="n">
        <v>13.85643237854</v>
      </c>
      <c r="HF91" s="180" t="n">
        <v>13.92616806656</v>
      </c>
      <c r="HG91" s="180" t="n">
        <v>13.99590375458</v>
      </c>
      <c r="HH91" s="180" t="n">
        <v>14.0656394426</v>
      </c>
      <c r="HI91" s="180" t="n">
        <v>14.13537513062</v>
      </c>
      <c r="HJ91" s="180" t="n">
        <v>14.20511081864</v>
      </c>
      <c r="HK91" s="180" t="n">
        <v>14.27484650666</v>
      </c>
      <c r="HL91" s="180" t="n">
        <v>14.34458219468</v>
      </c>
      <c r="HM91" s="180" t="n">
        <v>14.4143178827</v>
      </c>
      <c r="HN91" s="180" t="n">
        <v>14.48405357072</v>
      </c>
      <c r="HO91" s="180" t="n">
        <v>14.55378925874</v>
      </c>
      <c r="HP91" s="180" t="n">
        <v>14.62352494676</v>
      </c>
      <c r="HQ91" s="180" t="n">
        <v>14.69326063478</v>
      </c>
      <c r="HR91" s="180" t="n">
        <v>14.7629963228</v>
      </c>
      <c r="HS91" s="180" t="n">
        <v>14.83273201082</v>
      </c>
      <c r="HT91" s="180" t="n">
        <v>14.90246769884</v>
      </c>
      <c r="HU91" s="180" t="n">
        <v>14.97220338686</v>
      </c>
      <c r="HV91" s="180" t="n">
        <v>15.04193907488</v>
      </c>
      <c r="HW91" s="180" t="n">
        <v>15.1116747629</v>
      </c>
      <c r="HX91" s="180" t="n">
        <v>15.18141045092</v>
      </c>
      <c r="HY91" s="180" t="n">
        <v>15.25114613894</v>
      </c>
      <c r="HZ91" s="180" t="n">
        <v>15.32088182696</v>
      </c>
      <c r="IA91" s="180" t="n">
        <v>15.39061751498</v>
      </c>
      <c r="IB91" s="180" t="n">
        <v>15.460353203</v>
      </c>
      <c r="IC91" s="180" t="n">
        <v>15.53008889102</v>
      </c>
      <c r="ID91" s="180" t="n">
        <v>15.59982457904</v>
      </c>
      <c r="IE91" s="180" t="n">
        <v>15.66956026706</v>
      </c>
      <c r="IF91" s="180" t="n">
        <v>15.73929595508</v>
      </c>
      <c r="IG91" s="180" t="n">
        <v>15.8090316431</v>
      </c>
      <c r="IH91" s="180" t="n">
        <v>15.87876733112</v>
      </c>
      <c r="II91" s="180" t="n">
        <v>15.94850301914</v>
      </c>
      <c r="IJ91" s="180" t="n">
        <v>16.01823870716</v>
      </c>
      <c r="IK91" s="180" t="n">
        <v>16.08797439518</v>
      </c>
      <c r="IL91" s="180" t="n">
        <v>16.1577100832</v>
      </c>
      <c r="IM91" s="180" t="n">
        <v>16.22744577122</v>
      </c>
      <c r="IN91" s="180" t="n">
        <v>16.29718145924</v>
      </c>
      <c r="IO91" s="180" t="n">
        <v>16.36691714726</v>
      </c>
      <c r="IP91" s="180" t="n">
        <v>16.43665283528</v>
      </c>
      <c r="IQ91" s="180" t="n">
        <v>16.5063885233</v>
      </c>
      <c r="IR91" s="180" t="n">
        <v>16.57612421132</v>
      </c>
      <c r="IS91" s="180" t="n">
        <v>16.64585989934</v>
      </c>
      <c r="IT91" s="180" t="n">
        <v>16.71559558736</v>
      </c>
      <c r="IU91" s="180" t="n">
        <v>16.78533127538</v>
      </c>
      <c r="IV91" s="180" t="n">
        <v>16.8550669634</v>
      </c>
    </row>
    <row r="92" customFormat="false" ht="12.75" hidden="false" customHeight="false" outlineLevel="0" collapsed="false">
      <c r="A92" s="189" t="n">
        <v>39479</v>
      </c>
      <c r="B92" s="185" t="n">
        <v>-2.021005929375</v>
      </c>
      <c r="C92" s="185" t="n">
        <v>-1.9907047400625</v>
      </c>
      <c r="D92" s="185" t="n">
        <v>-1.96040355075</v>
      </c>
      <c r="E92" s="185" t="n">
        <v>-1.9301023614375</v>
      </c>
      <c r="F92" s="185" t="n">
        <v>-1.899801172125</v>
      </c>
      <c r="G92" s="185" t="n">
        <v>-1.8694999828125</v>
      </c>
      <c r="H92" s="185" t="n">
        <v>-1.8391987935</v>
      </c>
      <c r="I92" s="185" t="n">
        <v>-1.8088976041875</v>
      </c>
      <c r="J92" s="185" t="n">
        <v>-1.778596414875</v>
      </c>
      <c r="K92" s="185" t="n">
        <v>-1.7482952255625</v>
      </c>
      <c r="L92" s="185" t="n">
        <v>-1.71799403625</v>
      </c>
      <c r="M92" s="185" t="n">
        <v>-1.6876928469375</v>
      </c>
      <c r="N92" s="185" t="n">
        <v>-1.657391657625</v>
      </c>
      <c r="O92" s="185" t="n">
        <v>-1.6270904683125</v>
      </c>
      <c r="P92" s="185" t="n">
        <v>-1.596789279</v>
      </c>
      <c r="Q92" s="185" t="n">
        <v>-1.5664880896875</v>
      </c>
      <c r="R92" s="185" t="n">
        <v>-1.536186900375</v>
      </c>
      <c r="S92" s="185" t="n">
        <v>-1.5058857110625</v>
      </c>
      <c r="T92" s="185" t="n">
        <v>-1.47558452175</v>
      </c>
      <c r="U92" s="185" t="n">
        <v>-1.4452833324375</v>
      </c>
      <c r="V92" s="186" t="n">
        <v>-1.414982143125</v>
      </c>
      <c r="W92" s="185" t="n">
        <v>-1.3846809538125</v>
      </c>
      <c r="X92" s="186" t="n">
        <v>-1.3543797645</v>
      </c>
      <c r="Y92" s="185" t="n">
        <v>-1.3240785751875</v>
      </c>
      <c r="Z92" s="186" t="n">
        <v>-1.293777385875</v>
      </c>
      <c r="AA92" s="185" t="n">
        <v>-1.2634761965625</v>
      </c>
      <c r="AB92" s="187" t="n">
        <v>-1.23317500725</v>
      </c>
      <c r="AC92" s="185" t="n">
        <v>-1.2028738179375</v>
      </c>
      <c r="AD92" s="187" t="n">
        <v>-1.172572628625</v>
      </c>
      <c r="AE92" s="185" t="n">
        <v>-1.1422714393125</v>
      </c>
      <c r="AF92" s="185" t="n">
        <v>-1.11197025</v>
      </c>
      <c r="AG92" s="190" t="n">
        <v>-1.083235125</v>
      </c>
      <c r="AH92" s="190" t="n">
        <v>-1.0545</v>
      </c>
      <c r="AI92" s="190" t="n">
        <v>-1.02725</v>
      </c>
      <c r="AJ92" s="190" t="n">
        <v>-1</v>
      </c>
      <c r="AK92" s="190" t="n">
        <v>-0.8</v>
      </c>
      <c r="AL92" s="190" t="n">
        <v>-0.6</v>
      </c>
      <c r="AM92" s="190" t="n">
        <v>-0.4</v>
      </c>
      <c r="AN92" s="190" t="n">
        <v>-0.2</v>
      </c>
      <c r="AO92" s="190" t="n">
        <v>0</v>
      </c>
      <c r="AP92" s="190" t="n">
        <v>0.2</v>
      </c>
      <c r="AQ92" s="190" t="n">
        <v>0.4</v>
      </c>
      <c r="AR92" s="190" t="n">
        <v>0.6</v>
      </c>
      <c r="AS92" s="190" t="n">
        <v>0.8</v>
      </c>
      <c r="AT92" s="190" t="n">
        <v>1</v>
      </c>
      <c r="AU92" s="190" t="n">
        <v>1.2</v>
      </c>
      <c r="AV92" s="190" t="n">
        <v>1.4</v>
      </c>
      <c r="AW92" s="190" t="n">
        <v>1.58</v>
      </c>
      <c r="AX92" s="190" t="n">
        <v>1.76</v>
      </c>
      <c r="AY92" s="190" t="n">
        <v>1.922</v>
      </c>
      <c r="AZ92" s="190" t="n">
        <v>2.084</v>
      </c>
      <c r="BA92" s="190" t="n">
        <v>2.2298</v>
      </c>
      <c r="BB92" s="190" t="n">
        <v>2.3756</v>
      </c>
      <c r="BC92" s="190" t="n">
        <v>2.50682</v>
      </c>
      <c r="BD92" s="190" t="n">
        <v>2.63804</v>
      </c>
      <c r="BE92" s="190" t="n">
        <v>2.756138</v>
      </c>
      <c r="BF92" s="190" t="n">
        <v>2.874236</v>
      </c>
      <c r="BG92" s="190" t="n">
        <v>2.9805242</v>
      </c>
      <c r="BH92" s="190" t="n">
        <v>3.0868124</v>
      </c>
      <c r="BI92" s="190" t="n">
        <v>3.18247178</v>
      </c>
      <c r="BJ92" s="190" t="n">
        <v>3.27813116</v>
      </c>
      <c r="BK92" s="190" t="n">
        <v>3.364224602</v>
      </c>
      <c r="BL92" s="190" t="n">
        <v>3.450318044</v>
      </c>
      <c r="BM92" s="190" t="n">
        <v>3.5278021418</v>
      </c>
      <c r="BN92" s="190" t="n">
        <v>3.6052862396</v>
      </c>
      <c r="BO92" s="190" t="n">
        <v>3.67502192762</v>
      </c>
      <c r="BP92" s="190" t="n">
        <v>3.74475761564</v>
      </c>
      <c r="BQ92" s="190" t="n">
        <v>3.81449330366</v>
      </c>
      <c r="BR92" s="190" t="n">
        <v>3.88422899168</v>
      </c>
      <c r="BS92" s="190" t="n">
        <v>3.9539646797</v>
      </c>
      <c r="BT92" s="190" t="n">
        <v>4.02370036772</v>
      </c>
      <c r="BU92" s="190" t="n">
        <v>4.09343605574</v>
      </c>
      <c r="BV92" s="190" t="n">
        <v>4.16317174376</v>
      </c>
      <c r="BW92" s="190" t="n">
        <v>4.23290743178</v>
      </c>
      <c r="BX92" s="190" t="n">
        <v>4.3026431198</v>
      </c>
      <c r="BY92" s="190" t="n">
        <v>4.37237880782</v>
      </c>
      <c r="BZ92" s="190" t="n">
        <v>4.44211449584</v>
      </c>
      <c r="CA92" s="190" t="n">
        <v>4.51185018386</v>
      </c>
      <c r="CB92" s="190" t="n">
        <v>4.58158587188</v>
      </c>
      <c r="CC92" s="190" t="n">
        <v>4.6513215599</v>
      </c>
      <c r="CD92" s="190" t="n">
        <v>4.72105724792</v>
      </c>
      <c r="CE92" s="190" t="n">
        <v>4.79079293594</v>
      </c>
      <c r="CF92" s="190" t="n">
        <v>4.86052862396</v>
      </c>
      <c r="CG92" s="190" t="n">
        <v>4.93026431198</v>
      </c>
      <c r="CH92" s="190" t="n">
        <v>5</v>
      </c>
      <c r="CI92" s="190" t="n">
        <v>5.06973568801999</v>
      </c>
      <c r="CJ92" s="190" t="n">
        <v>5.13947137603999</v>
      </c>
      <c r="CK92" s="190" t="n">
        <v>5.20920706405999</v>
      </c>
      <c r="CL92" s="190" t="n">
        <v>5.27894275207999</v>
      </c>
      <c r="CM92" s="190" t="n">
        <v>5.34867844009999</v>
      </c>
      <c r="CN92" s="190" t="n">
        <v>5.41841412811999</v>
      </c>
      <c r="CO92" s="190" t="n">
        <v>5.48814981613999</v>
      </c>
      <c r="CP92" s="190" t="n">
        <v>5.55788550415999</v>
      </c>
      <c r="CQ92" s="190" t="n">
        <v>5.62762119217999</v>
      </c>
      <c r="CR92" s="190" t="n">
        <v>5.69735688019999</v>
      </c>
      <c r="CS92" s="190" t="n">
        <v>5.76709256821999</v>
      </c>
      <c r="CT92" s="190" t="n">
        <v>5.83682825623999</v>
      </c>
      <c r="CU92" s="190" t="n">
        <v>5.90656394425999</v>
      </c>
      <c r="CV92" s="190" t="n">
        <v>5.97629963227999</v>
      </c>
      <c r="CW92" s="190" t="n">
        <v>6.04603532029999</v>
      </c>
      <c r="CX92" s="190" t="n">
        <v>6.11577100831999</v>
      </c>
      <c r="CY92" s="190" t="n">
        <v>6.18550669633999</v>
      </c>
      <c r="CZ92" s="190" t="n">
        <v>6.25524238435999</v>
      </c>
      <c r="DA92" s="190" t="n">
        <v>6.32497807237999</v>
      </c>
      <c r="DB92" s="190" t="n">
        <v>6.39471376039999</v>
      </c>
      <c r="DC92" s="190" t="n">
        <v>6.46444944841999</v>
      </c>
      <c r="DD92" s="190" t="n">
        <v>6.53418513643999</v>
      </c>
      <c r="DE92" s="190" t="n">
        <v>6.60392082445999</v>
      </c>
      <c r="DF92" s="190" t="n">
        <v>6.67365651247999</v>
      </c>
      <c r="DG92" s="190" t="n">
        <v>6.74339220049999</v>
      </c>
      <c r="DH92" s="190" t="n">
        <v>6.81312788851999</v>
      </c>
      <c r="DI92" s="190" t="n">
        <v>6.88286357653999</v>
      </c>
      <c r="DJ92" s="190" t="n">
        <v>6.95259926455999</v>
      </c>
      <c r="DK92" s="190" t="n">
        <v>7.02233495257999</v>
      </c>
      <c r="DL92" s="190" t="n">
        <v>7.09207064059999</v>
      </c>
      <c r="DM92" s="190" t="n">
        <v>7.16180632861999</v>
      </c>
      <c r="DN92" s="190" t="n">
        <v>7.23154201663999</v>
      </c>
      <c r="DO92" s="190" t="n">
        <v>7.30127770465999</v>
      </c>
      <c r="DP92" s="190" t="n">
        <v>7.37101339267999</v>
      </c>
      <c r="DQ92" s="190" t="n">
        <v>7.44074908069999</v>
      </c>
      <c r="DR92" s="190" t="n">
        <v>7.51048476871999</v>
      </c>
      <c r="DS92" s="190" t="n">
        <v>7.58022045673999</v>
      </c>
      <c r="DT92" s="190" t="n">
        <v>7.64995614475999</v>
      </c>
      <c r="DU92" s="190" t="n">
        <v>7.71969183277999</v>
      </c>
      <c r="DV92" s="190" t="n">
        <v>7.78942752079998</v>
      </c>
      <c r="DW92" s="190" t="n">
        <v>7.85916320881998</v>
      </c>
      <c r="DX92" s="190" t="n">
        <v>7.92889889683998</v>
      </c>
      <c r="DY92" s="190" t="n">
        <v>7.99863458485998</v>
      </c>
      <c r="DZ92" s="190" t="n">
        <v>8.06837027287998</v>
      </c>
      <c r="EA92" s="190" t="n">
        <v>8.13810596089998</v>
      </c>
      <c r="EB92" s="190" t="n">
        <v>8.20784164891998</v>
      </c>
      <c r="EC92" s="190" t="n">
        <v>8.27757733693998</v>
      </c>
      <c r="ED92" s="190" t="n">
        <v>8.34731302495998</v>
      </c>
      <c r="EE92" s="190" t="n">
        <v>8.41704871297998</v>
      </c>
      <c r="EF92" s="190" t="n">
        <v>8.48678440099998</v>
      </c>
      <c r="EG92" s="190" t="n">
        <v>8.55652008901998</v>
      </c>
      <c r="EH92" s="190" t="n">
        <v>8.62625577703998</v>
      </c>
      <c r="EI92" s="190" t="n">
        <v>8.69599146505998</v>
      </c>
      <c r="EJ92" s="190" t="n">
        <v>8.76572715307998</v>
      </c>
      <c r="EK92" s="190" t="n">
        <v>8.83546284109998</v>
      </c>
      <c r="EL92" s="180" t="n">
        <v>8.90519852911998</v>
      </c>
      <c r="EM92" s="180" t="n">
        <v>8.97493421713998</v>
      </c>
      <c r="EN92" s="180" t="n">
        <v>9.04466990515998</v>
      </c>
      <c r="EO92" s="180" t="n">
        <v>9.11440559317998</v>
      </c>
      <c r="EP92" s="180" t="n">
        <v>9.18414128119998</v>
      </c>
      <c r="EQ92" s="180" t="n">
        <v>9.25387696921998</v>
      </c>
      <c r="ER92" s="180" t="n">
        <v>9.32361265723998</v>
      </c>
      <c r="ES92" s="180" t="n">
        <v>9.39334834525998</v>
      </c>
      <c r="ET92" s="180" t="n">
        <v>9.46308403327998</v>
      </c>
      <c r="EU92" s="180" t="n">
        <v>9.53281972129998</v>
      </c>
      <c r="EV92" s="180" t="n">
        <v>9.60255540931998</v>
      </c>
      <c r="EW92" s="180" t="n">
        <v>9.67229109733998</v>
      </c>
      <c r="EX92" s="180" t="n">
        <v>9.74202678535998</v>
      </c>
      <c r="EY92" s="180" t="n">
        <v>9.81176247337998</v>
      </c>
      <c r="EZ92" s="180" t="n">
        <v>9.88149816139998</v>
      </c>
      <c r="FA92" s="180" t="n">
        <v>9.95123384941998</v>
      </c>
      <c r="FB92" s="180" t="n">
        <v>10.02096953744</v>
      </c>
      <c r="FC92" s="180" t="n">
        <v>10.09070522546</v>
      </c>
      <c r="FD92" s="180" t="n">
        <v>10.16044091348</v>
      </c>
      <c r="FE92" s="180" t="n">
        <v>10.2301766015</v>
      </c>
      <c r="FF92" s="180" t="n">
        <v>10.29991228952</v>
      </c>
      <c r="FG92" s="180" t="n">
        <v>10.36964797754</v>
      </c>
      <c r="FH92" s="180" t="n">
        <v>10.43938366556</v>
      </c>
      <c r="FI92" s="180" t="n">
        <v>10.50911935358</v>
      </c>
      <c r="FJ92" s="180" t="n">
        <v>10.5788550416</v>
      </c>
      <c r="FK92" s="180" t="n">
        <v>10.64859072962</v>
      </c>
      <c r="FL92" s="180" t="n">
        <v>10.71832641764</v>
      </c>
      <c r="FM92" s="180" t="n">
        <v>10.78806210566</v>
      </c>
      <c r="FN92" s="180" t="n">
        <v>10.85779779368</v>
      </c>
      <c r="FO92" s="180" t="n">
        <v>10.9275334817</v>
      </c>
      <c r="FP92" s="180" t="n">
        <v>10.99726916972</v>
      </c>
      <c r="FQ92" s="180" t="n">
        <v>11.06700485774</v>
      </c>
      <c r="FR92" s="180" t="n">
        <v>11.13674054576</v>
      </c>
      <c r="FS92" s="180" t="n">
        <v>11.20647623378</v>
      </c>
      <c r="FT92" s="180" t="n">
        <v>11.2762119218</v>
      </c>
      <c r="FU92" s="180" t="n">
        <v>11.34594760982</v>
      </c>
      <c r="FV92" s="180" t="n">
        <v>11.41568329784</v>
      </c>
      <c r="FW92" s="180" t="n">
        <v>11.48541898586</v>
      </c>
      <c r="FX92" s="180" t="n">
        <v>11.55515467388</v>
      </c>
      <c r="FY92" s="180" t="n">
        <v>11.6248903619</v>
      </c>
      <c r="FZ92" s="180" t="n">
        <v>11.69462604992</v>
      </c>
      <c r="GA92" s="180" t="n">
        <v>11.76436173794</v>
      </c>
      <c r="GB92" s="180" t="n">
        <v>11.83409742596</v>
      </c>
      <c r="GC92" s="180" t="n">
        <v>11.90383311398</v>
      </c>
      <c r="GD92" s="180" t="n">
        <v>11.973568802</v>
      </c>
      <c r="GE92" s="180" t="n">
        <v>12.04330449002</v>
      </c>
      <c r="GF92" s="180" t="n">
        <v>12.11304017804</v>
      </c>
      <c r="GG92" s="180" t="n">
        <v>12.18277586606</v>
      </c>
      <c r="GH92" s="180" t="n">
        <v>12.25251155408</v>
      </c>
      <c r="GI92" s="180" t="n">
        <v>12.3222472421</v>
      </c>
      <c r="GJ92" s="180" t="n">
        <v>12.39198293012</v>
      </c>
      <c r="GK92" s="180" t="n">
        <v>12.46171861814</v>
      </c>
      <c r="GL92" s="180" t="n">
        <v>12.53145430616</v>
      </c>
      <c r="GM92" s="180" t="n">
        <v>12.60118999418</v>
      </c>
      <c r="GN92" s="180" t="n">
        <v>12.6709256822</v>
      </c>
      <c r="GO92" s="180" t="n">
        <v>12.74066137022</v>
      </c>
      <c r="GP92" s="180" t="n">
        <v>12.81039705824</v>
      </c>
      <c r="GQ92" s="180" t="n">
        <v>12.88013274626</v>
      </c>
      <c r="GR92" s="180" t="n">
        <v>12.94986843428</v>
      </c>
      <c r="GS92" s="180" t="n">
        <v>13.0196041223</v>
      </c>
      <c r="GT92" s="180" t="n">
        <v>13.08933981032</v>
      </c>
      <c r="GU92" s="180" t="n">
        <v>13.15907549834</v>
      </c>
      <c r="GV92" s="180" t="n">
        <v>13.22881118636</v>
      </c>
      <c r="GW92" s="180" t="n">
        <v>13.29854687438</v>
      </c>
      <c r="GX92" s="180" t="n">
        <v>13.3682825624</v>
      </c>
      <c r="GY92" s="180" t="n">
        <v>13.43801825042</v>
      </c>
      <c r="GZ92" s="180" t="n">
        <v>13.50775393844</v>
      </c>
      <c r="HA92" s="180" t="n">
        <v>13.57748962646</v>
      </c>
      <c r="HB92" s="180" t="n">
        <v>13.64722531448</v>
      </c>
      <c r="HC92" s="180" t="n">
        <v>13.7169610025</v>
      </c>
      <c r="HD92" s="180" t="n">
        <v>13.78669669052</v>
      </c>
      <c r="HE92" s="180" t="n">
        <v>13.85643237854</v>
      </c>
      <c r="HF92" s="180" t="n">
        <v>13.92616806656</v>
      </c>
      <c r="HG92" s="180" t="n">
        <v>13.99590375458</v>
      </c>
      <c r="HH92" s="180" t="n">
        <v>14.0656394426</v>
      </c>
      <c r="HI92" s="180" t="n">
        <v>14.13537513062</v>
      </c>
      <c r="HJ92" s="180" t="n">
        <v>14.20511081864</v>
      </c>
      <c r="HK92" s="180" t="n">
        <v>14.27484650666</v>
      </c>
      <c r="HL92" s="180" t="n">
        <v>14.34458219468</v>
      </c>
      <c r="HM92" s="180" t="n">
        <v>14.4143178827</v>
      </c>
      <c r="HN92" s="180" t="n">
        <v>14.48405357072</v>
      </c>
      <c r="HO92" s="180" t="n">
        <v>14.55378925874</v>
      </c>
      <c r="HP92" s="180" t="n">
        <v>14.62352494676</v>
      </c>
      <c r="HQ92" s="180" t="n">
        <v>14.69326063478</v>
      </c>
      <c r="HR92" s="180" t="n">
        <v>14.7629963228</v>
      </c>
      <c r="HS92" s="180" t="n">
        <v>14.83273201082</v>
      </c>
      <c r="HT92" s="180" t="n">
        <v>14.90246769884</v>
      </c>
      <c r="HU92" s="180" t="n">
        <v>14.97220338686</v>
      </c>
      <c r="HV92" s="180" t="n">
        <v>15.04193907488</v>
      </c>
      <c r="HW92" s="180" t="n">
        <v>15.1116747629</v>
      </c>
      <c r="HX92" s="180" t="n">
        <v>15.18141045092</v>
      </c>
      <c r="HY92" s="180" t="n">
        <v>15.25114613894</v>
      </c>
      <c r="HZ92" s="180" t="n">
        <v>15.32088182696</v>
      </c>
      <c r="IA92" s="180" t="n">
        <v>15.39061751498</v>
      </c>
      <c r="IB92" s="180" t="n">
        <v>15.460353203</v>
      </c>
      <c r="IC92" s="180" t="n">
        <v>15.53008889102</v>
      </c>
      <c r="ID92" s="180" t="n">
        <v>15.59982457904</v>
      </c>
      <c r="IE92" s="180" t="n">
        <v>15.66956026706</v>
      </c>
      <c r="IF92" s="180" t="n">
        <v>15.73929595508</v>
      </c>
      <c r="IG92" s="180" t="n">
        <v>15.8090316431</v>
      </c>
      <c r="IH92" s="180" t="n">
        <v>15.87876733112</v>
      </c>
      <c r="II92" s="180" t="n">
        <v>15.94850301914</v>
      </c>
      <c r="IJ92" s="180" t="n">
        <v>16.01823870716</v>
      </c>
      <c r="IK92" s="180" t="n">
        <v>16.08797439518</v>
      </c>
      <c r="IL92" s="180" t="n">
        <v>16.1577100832</v>
      </c>
      <c r="IM92" s="180" t="n">
        <v>16.22744577122</v>
      </c>
      <c r="IN92" s="180" t="n">
        <v>16.29718145924</v>
      </c>
      <c r="IO92" s="180" t="n">
        <v>16.36691714726</v>
      </c>
      <c r="IP92" s="180" t="n">
        <v>16.43665283528</v>
      </c>
      <c r="IQ92" s="180" t="n">
        <v>16.5063885233</v>
      </c>
      <c r="IR92" s="180" t="n">
        <v>16.57612421132</v>
      </c>
      <c r="IS92" s="180" t="n">
        <v>16.64585989934</v>
      </c>
      <c r="IT92" s="180" t="n">
        <v>16.71559558736</v>
      </c>
      <c r="IU92" s="180" t="n">
        <v>16.78533127538</v>
      </c>
      <c r="IV92" s="180" t="n">
        <v>16.8550669634</v>
      </c>
    </row>
    <row r="93" customFormat="false" ht="12.75" hidden="false" customHeight="false" outlineLevel="0" collapsed="false">
      <c r="A93" s="189" t="n">
        <v>39508</v>
      </c>
      <c r="B93" s="185" t="n">
        <v>-2.021005929375</v>
      </c>
      <c r="C93" s="185" t="n">
        <v>-1.9907047400625</v>
      </c>
      <c r="D93" s="185" t="n">
        <v>-1.96040355075</v>
      </c>
      <c r="E93" s="185" t="n">
        <v>-1.9301023614375</v>
      </c>
      <c r="F93" s="185" t="n">
        <v>-1.899801172125</v>
      </c>
      <c r="G93" s="185" t="n">
        <v>-1.8694999828125</v>
      </c>
      <c r="H93" s="185" t="n">
        <v>-1.8391987935</v>
      </c>
      <c r="I93" s="185" t="n">
        <v>-1.8088976041875</v>
      </c>
      <c r="J93" s="185" t="n">
        <v>-1.778596414875</v>
      </c>
      <c r="K93" s="185" t="n">
        <v>-1.7482952255625</v>
      </c>
      <c r="L93" s="185" t="n">
        <v>-1.71799403625</v>
      </c>
      <c r="M93" s="185" t="n">
        <v>-1.6876928469375</v>
      </c>
      <c r="N93" s="185" t="n">
        <v>-1.657391657625</v>
      </c>
      <c r="O93" s="185" t="n">
        <v>-1.6270904683125</v>
      </c>
      <c r="P93" s="185" t="n">
        <v>-1.596789279</v>
      </c>
      <c r="Q93" s="185" t="n">
        <v>-1.5664880896875</v>
      </c>
      <c r="R93" s="185" t="n">
        <v>-1.536186900375</v>
      </c>
      <c r="S93" s="185" t="n">
        <v>-1.5058857110625</v>
      </c>
      <c r="T93" s="185" t="n">
        <v>-1.47558452175</v>
      </c>
      <c r="U93" s="185" t="n">
        <v>-1.4452833324375</v>
      </c>
      <c r="V93" s="186" t="n">
        <v>-1.414982143125</v>
      </c>
      <c r="W93" s="185" t="n">
        <v>-1.3846809538125</v>
      </c>
      <c r="X93" s="186" t="n">
        <v>-1.3543797645</v>
      </c>
      <c r="Y93" s="185" t="n">
        <v>-1.3240785751875</v>
      </c>
      <c r="Z93" s="186" t="n">
        <v>-1.293777385875</v>
      </c>
      <c r="AA93" s="185" t="n">
        <v>-1.2634761965625</v>
      </c>
      <c r="AB93" s="187" t="n">
        <v>-1.23317500725</v>
      </c>
      <c r="AC93" s="185" t="n">
        <v>-1.2028738179375</v>
      </c>
      <c r="AD93" s="187" t="n">
        <v>-1.172572628625</v>
      </c>
      <c r="AE93" s="185" t="n">
        <v>-1.1422714393125</v>
      </c>
      <c r="AF93" s="185" t="n">
        <v>-1.11197025</v>
      </c>
      <c r="AG93" s="190" t="n">
        <v>-1.083235125</v>
      </c>
      <c r="AH93" s="190" t="n">
        <v>-1.0545</v>
      </c>
      <c r="AI93" s="190" t="n">
        <v>-1.02725</v>
      </c>
      <c r="AJ93" s="190" t="n">
        <v>-1</v>
      </c>
      <c r="AK93" s="190" t="n">
        <v>-0.8</v>
      </c>
      <c r="AL93" s="190" t="n">
        <v>-0.6</v>
      </c>
      <c r="AM93" s="190" t="n">
        <v>-0.4</v>
      </c>
      <c r="AN93" s="190" t="n">
        <v>-0.2</v>
      </c>
      <c r="AO93" s="190" t="n">
        <v>0</v>
      </c>
      <c r="AP93" s="190" t="n">
        <v>0.2</v>
      </c>
      <c r="AQ93" s="190" t="n">
        <v>0.4</v>
      </c>
      <c r="AR93" s="190" t="n">
        <v>0.6</v>
      </c>
      <c r="AS93" s="190" t="n">
        <v>0.8</v>
      </c>
      <c r="AT93" s="190" t="n">
        <v>1</v>
      </c>
      <c r="AU93" s="190" t="n">
        <v>1.2</v>
      </c>
      <c r="AV93" s="190" t="n">
        <v>1.4</v>
      </c>
      <c r="AW93" s="190" t="n">
        <v>1.58</v>
      </c>
      <c r="AX93" s="190" t="n">
        <v>1.76</v>
      </c>
      <c r="AY93" s="190" t="n">
        <v>1.922</v>
      </c>
      <c r="AZ93" s="190" t="n">
        <v>2.084</v>
      </c>
      <c r="BA93" s="190" t="n">
        <v>2.2298</v>
      </c>
      <c r="BB93" s="190" t="n">
        <v>2.3756</v>
      </c>
      <c r="BC93" s="190" t="n">
        <v>2.50682</v>
      </c>
      <c r="BD93" s="190" t="n">
        <v>2.63804</v>
      </c>
      <c r="BE93" s="190" t="n">
        <v>2.756138</v>
      </c>
      <c r="BF93" s="190" t="n">
        <v>2.874236</v>
      </c>
      <c r="BG93" s="190" t="n">
        <v>2.9805242</v>
      </c>
      <c r="BH93" s="190" t="n">
        <v>3.0868124</v>
      </c>
      <c r="BI93" s="190" t="n">
        <v>3.18247178</v>
      </c>
      <c r="BJ93" s="190" t="n">
        <v>3.27813116</v>
      </c>
      <c r="BK93" s="190" t="n">
        <v>3.364224602</v>
      </c>
      <c r="BL93" s="190" t="n">
        <v>3.450318044</v>
      </c>
      <c r="BM93" s="190" t="n">
        <v>3.5278021418</v>
      </c>
      <c r="BN93" s="190" t="n">
        <v>3.6052862396</v>
      </c>
      <c r="BO93" s="190" t="n">
        <v>3.67502192762</v>
      </c>
      <c r="BP93" s="190" t="n">
        <v>3.74475761564</v>
      </c>
      <c r="BQ93" s="190" t="n">
        <v>3.81449330366</v>
      </c>
      <c r="BR93" s="190" t="n">
        <v>3.88422899168</v>
      </c>
      <c r="BS93" s="190" t="n">
        <v>3.9539646797</v>
      </c>
      <c r="BT93" s="190" t="n">
        <v>4.02370036772</v>
      </c>
      <c r="BU93" s="190" t="n">
        <v>4.09343605574</v>
      </c>
      <c r="BV93" s="190" t="n">
        <v>4.16317174376</v>
      </c>
      <c r="BW93" s="190" t="n">
        <v>4.23290743178</v>
      </c>
      <c r="BX93" s="190" t="n">
        <v>4.3026431198</v>
      </c>
      <c r="BY93" s="190" t="n">
        <v>4.37237880782</v>
      </c>
      <c r="BZ93" s="190" t="n">
        <v>4.44211449584</v>
      </c>
      <c r="CA93" s="190" t="n">
        <v>4.51185018386</v>
      </c>
      <c r="CB93" s="190" t="n">
        <v>4.58158587188</v>
      </c>
      <c r="CC93" s="190" t="n">
        <v>4.6513215599</v>
      </c>
      <c r="CD93" s="190" t="n">
        <v>4.72105724792</v>
      </c>
      <c r="CE93" s="190" t="n">
        <v>4.79079293594</v>
      </c>
      <c r="CF93" s="190" t="n">
        <v>4.86052862396</v>
      </c>
      <c r="CG93" s="190" t="n">
        <v>4.93026431198</v>
      </c>
      <c r="CH93" s="190" t="n">
        <v>5</v>
      </c>
      <c r="CI93" s="190" t="n">
        <v>5.06973568801999</v>
      </c>
      <c r="CJ93" s="190" t="n">
        <v>5.13947137603999</v>
      </c>
      <c r="CK93" s="190" t="n">
        <v>5.20920706405999</v>
      </c>
      <c r="CL93" s="190" t="n">
        <v>5.27894275207999</v>
      </c>
      <c r="CM93" s="190" t="n">
        <v>5.34867844009999</v>
      </c>
      <c r="CN93" s="190" t="n">
        <v>5.41841412811999</v>
      </c>
      <c r="CO93" s="190" t="n">
        <v>5.48814981613999</v>
      </c>
      <c r="CP93" s="190" t="n">
        <v>5.55788550415999</v>
      </c>
      <c r="CQ93" s="190" t="n">
        <v>5.62762119217999</v>
      </c>
      <c r="CR93" s="190" t="n">
        <v>5.69735688019999</v>
      </c>
      <c r="CS93" s="190" t="n">
        <v>5.76709256821999</v>
      </c>
      <c r="CT93" s="190" t="n">
        <v>5.83682825623999</v>
      </c>
      <c r="CU93" s="190" t="n">
        <v>5.90656394425999</v>
      </c>
      <c r="CV93" s="190" t="n">
        <v>5.97629963227999</v>
      </c>
      <c r="CW93" s="190" t="n">
        <v>6.04603532029999</v>
      </c>
      <c r="CX93" s="190" t="n">
        <v>6.11577100831999</v>
      </c>
      <c r="CY93" s="190" t="n">
        <v>6.18550669633999</v>
      </c>
      <c r="CZ93" s="190" t="n">
        <v>6.25524238435999</v>
      </c>
      <c r="DA93" s="190" t="n">
        <v>6.32497807237999</v>
      </c>
      <c r="DB93" s="190" t="n">
        <v>6.39471376039999</v>
      </c>
      <c r="DC93" s="190" t="n">
        <v>6.46444944841999</v>
      </c>
      <c r="DD93" s="190" t="n">
        <v>6.53418513643999</v>
      </c>
      <c r="DE93" s="190" t="n">
        <v>6.60392082445999</v>
      </c>
      <c r="DF93" s="190" t="n">
        <v>6.67365651247999</v>
      </c>
      <c r="DG93" s="190" t="n">
        <v>6.74339220049999</v>
      </c>
      <c r="DH93" s="190" t="n">
        <v>6.81312788851999</v>
      </c>
      <c r="DI93" s="190" t="n">
        <v>6.88286357653999</v>
      </c>
      <c r="DJ93" s="190" t="n">
        <v>6.95259926455999</v>
      </c>
      <c r="DK93" s="190" t="n">
        <v>7.02233495257999</v>
      </c>
      <c r="DL93" s="190" t="n">
        <v>7.09207064059999</v>
      </c>
      <c r="DM93" s="190" t="n">
        <v>7.16180632861999</v>
      </c>
      <c r="DN93" s="190" t="n">
        <v>7.23154201663999</v>
      </c>
      <c r="DO93" s="190" t="n">
        <v>7.30127770465999</v>
      </c>
      <c r="DP93" s="190" t="n">
        <v>7.37101339267999</v>
      </c>
      <c r="DQ93" s="190" t="n">
        <v>7.44074908069999</v>
      </c>
      <c r="DR93" s="190" t="n">
        <v>7.51048476871999</v>
      </c>
      <c r="DS93" s="190" t="n">
        <v>7.58022045673999</v>
      </c>
      <c r="DT93" s="190" t="n">
        <v>7.64995614475999</v>
      </c>
      <c r="DU93" s="190" t="n">
        <v>7.71969183277999</v>
      </c>
      <c r="DV93" s="190" t="n">
        <v>7.78942752079998</v>
      </c>
      <c r="DW93" s="190" t="n">
        <v>7.85916320881998</v>
      </c>
      <c r="DX93" s="190" t="n">
        <v>7.92889889683998</v>
      </c>
      <c r="DY93" s="190" t="n">
        <v>7.99863458485998</v>
      </c>
      <c r="DZ93" s="190" t="n">
        <v>8.06837027287998</v>
      </c>
      <c r="EA93" s="190" t="n">
        <v>8.13810596089998</v>
      </c>
      <c r="EB93" s="190" t="n">
        <v>8.20784164891998</v>
      </c>
      <c r="EC93" s="190" t="n">
        <v>8.27757733693998</v>
      </c>
      <c r="ED93" s="190" t="n">
        <v>8.34731302495998</v>
      </c>
      <c r="EE93" s="190" t="n">
        <v>8.41704871297998</v>
      </c>
      <c r="EF93" s="190" t="n">
        <v>8.48678440099998</v>
      </c>
      <c r="EG93" s="190" t="n">
        <v>8.55652008901998</v>
      </c>
      <c r="EH93" s="190" t="n">
        <v>8.62625577703998</v>
      </c>
      <c r="EI93" s="190" t="n">
        <v>8.69599146505998</v>
      </c>
      <c r="EJ93" s="190" t="n">
        <v>8.76572715307998</v>
      </c>
      <c r="EK93" s="190" t="n">
        <v>8.83546284109998</v>
      </c>
      <c r="EL93" s="180" t="n">
        <v>8.90519852911998</v>
      </c>
      <c r="EM93" s="180" t="n">
        <v>8.97493421713998</v>
      </c>
      <c r="EN93" s="180" t="n">
        <v>9.04466990515998</v>
      </c>
      <c r="EO93" s="180" t="n">
        <v>9.11440559317998</v>
      </c>
      <c r="EP93" s="180" t="n">
        <v>9.18414128119998</v>
      </c>
      <c r="EQ93" s="180" t="n">
        <v>9.25387696921998</v>
      </c>
      <c r="ER93" s="180" t="n">
        <v>9.32361265723998</v>
      </c>
      <c r="ES93" s="180" t="n">
        <v>9.39334834525998</v>
      </c>
      <c r="ET93" s="180" t="n">
        <v>9.46308403327998</v>
      </c>
      <c r="EU93" s="180" t="n">
        <v>9.53281972129998</v>
      </c>
      <c r="EV93" s="180" t="n">
        <v>9.60255540931998</v>
      </c>
      <c r="EW93" s="180" t="n">
        <v>9.67229109733998</v>
      </c>
      <c r="EX93" s="180" t="n">
        <v>9.74202678535998</v>
      </c>
      <c r="EY93" s="180" t="n">
        <v>9.81176247337998</v>
      </c>
      <c r="EZ93" s="180" t="n">
        <v>9.88149816139998</v>
      </c>
      <c r="FA93" s="180" t="n">
        <v>9.95123384941998</v>
      </c>
      <c r="FB93" s="180" t="n">
        <v>10.02096953744</v>
      </c>
      <c r="FC93" s="180" t="n">
        <v>10.09070522546</v>
      </c>
      <c r="FD93" s="180" t="n">
        <v>10.16044091348</v>
      </c>
      <c r="FE93" s="180" t="n">
        <v>10.2301766015</v>
      </c>
      <c r="FF93" s="180" t="n">
        <v>10.29991228952</v>
      </c>
      <c r="FG93" s="180" t="n">
        <v>10.36964797754</v>
      </c>
      <c r="FH93" s="180" t="n">
        <v>10.43938366556</v>
      </c>
      <c r="FI93" s="180" t="n">
        <v>10.50911935358</v>
      </c>
      <c r="FJ93" s="180" t="n">
        <v>10.5788550416</v>
      </c>
      <c r="FK93" s="180" t="n">
        <v>10.64859072962</v>
      </c>
      <c r="FL93" s="180" t="n">
        <v>10.71832641764</v>
      </c>
      <c r="FM93" s="180" t="n">
        <v>10.78806210566</v>
      </c>
      <c r="FN93" s="180" t="n">
        <v>10.85779779368</v>
      </c>
      <c r="FO93" s="180" t="n">
        <v>10.9275334817</v>
      </c>
      <c r="FP93" s="180" t="n">
        <v>10.99726916972</v>
      </c>
      <c r="FQ93" s="180" t="n">
        <v>11.06700485774</v>
      </c>
      <c r="FR93" s="180" t="n">
        <v>11.13674054576</v>
      </c>
      <c r="FS93" s="180" t="n">
        <v>11.20647623378</v>
      </c>
      <c r="FT93" s="180" t="n">
        <v>11.2762119218</v>
      </c>
      <c r="FU93" s="180" t="n">
        <v>11.34594760982</v>
      </c>
      <c r="FV93" s="180" t="n">
        <v>11.41568329784</v>
      </c>
      <c r="FW93" s="180" t="n">
        <v>11.48541898586</v>
      </c>
      <c r="FX93" s="180" t="n">
        <v>11.55515467388</v>
      </c>
      <c r="FY93" s="180" t="n">
        <v>11.6248903619</v>
      </c>
      <c r="FZ93" s="180" t="n">
        <v>11.69462604992</v>
      </c>
      <c r="GA93" s="180" t="n">
        <v>11.76436173794</v>
      </c>
      <c r="GB93" s="180" t="n">
        <v>11.83409742596</v>
      </c>
      <c r="GC93" s="180" t="n">
        <v>11.90383311398</v>
      </c>
      <c r="GD93" s="180" t="n">
        <v>11.973568802</v>
      </c>
      <c r="GE93" s="180" t="n">
        <v>12.04330449002</v>
      </c>
      <c r="GF93" s="180" t="n">
        <v>12.11304017804</v>
      </c>
      <c r="GG93" s="180" t="n">
        <v>12.18277586606</v>
      </c>
      <c r="GH93" s="180" t="n">
        <v>12.25251155408</v>
      </c>
      <c r="GI93" s="180" t="n">
        <v>12.3222472421</v>
      </c>
      <c r="GJ93" s="180" t="n">
        <v>12.39198293012</v>
      </c>
      <c r="GK93" s="180" t="n">
        <v>12.46171861814</v>
      </c>
      <c r="GL93" s="180" t="n">
        <v>12.53145430616</v>
      </c>
      <c r="GM93" s="180" t="n">
        <v>12.60118999418</v>
      </c>
      <c r="GN93" s="180" t="n">
        <v>12.6709256822</v>
      </c>
      <c r="GO93" s="180" t="n">
        <v>12.74066137022</v>
      </c>
      <c r="GP93" s="180" t="n">
        <v>12.81039705824</v>
      </c>
      <c r="GQ93" s="180" t="n">
        <v>12.88013274626</v>
      </c>
      <c r="GR93" s="180" t="n">
        <v>12.94986843428</v>
      </c>
      <c r="GS93" s="180" t="n">
        <v>13.0196041223</v>
      </c>
      <c r="GT93" s="180" t="n">
        <v>13.08933981032</v>
      </c>
      <c r="GU93" s="180" t="n">
        <v>13.15907549834</v>
      </c>
      <c r="GV93" s="180" t="n">
        <v>13.22881118636</v>
      </c>
      <c r="GW93" s="180" t="n">
        <v>13.29854687438</v>
      </c>
      <c r="GX93" s="180" t="n">
        <v>13.3682825624</v>
      </c>
      <c r="GY93" s="180" t="n">
        <v>13.43801825042</v>
      </c>
      <c r="GZ93" s="180" t="n">
        <v>13.50775393844</v>
      </c>
      <c r="HA93" s="180" t="n">
        <v>13.57748962646</v>
      </c>
      <c r="HB93" s="180" t="n">
        <v>13.64722531448</v>
      </c>
      <c r="HC93" s="180" t="n">
        <v>13.7169610025</v>
      </c>
      <c r="HD93" s="180" t="n">
        <v>13.78669669052</v>
      </c>
      <c r="HE93" s="180" t="n">
        <v>13.85643237854</v>
      </c>
      <c r="HF93" s="180" t="n">
        <v>13.92616806656</v>
      </c>
      <c r="HG93" s="180" t="n">
        <v>13.99590375458</v>
      </c>
      <c r="HH93" s="180" t="n">
        <v>14.0656394426</v>
      </c>
      <c r="HI93" s="180" t="n">
        <v>14.13537513062</v>
      </c>
      <c r="HJ93" s="180" t="n">
        <v>14.20511081864</v>
      </c>
      <c r="HK93" s="180" t="n">
        <v>14.27484650666</v>
      </c>
      <c r="HL93" s="180" t="n">
        <v>14.34458219468</v>
      </c>
      <c r="HM93" s="180" t="n">
        <v>14.4143178827</v>
      </c>
      <c r="HN93" s="180" t="n">
        <v>14.48405357072</v>
      </c>
      <c r="HO93" s="180" t="n">
        <v>14.55378925874</v>
      </c>
      <c r="HP93" s="180" t="n">
        <v>14.62352494676</v>
      </c>
      <c r="HQ93" s="180" t="n">
        <v>14.69326063478</v>
      </c>
      <c r="HR93" s="180" t="n">
        <v>14.7629963228</v>
      </c>
      <c r="HS93" s="180" t="n">
        <v>14.83273201082</v>
      </c>
      <c r="HT93" s="180" t="n">
        <v>14.90246769884</v>
      </c>
      <c r="HU93" s="180" t="n">
        <v>14.97220338686</v>
      </c>
      <c r="HV93" s="180" t="n">
        <v>15.04193907488</v>
      </c>
      <c r="HW93" s="180" t="n">
        <v>15.1116747629</v>
      </c>
      <c r="HX93" s="180" t="n">
        <v>15.18141045092</v>
      </c>
      <c r="HY93" s="180" t="n">
        <v>15.25114613894</v>
      </c>
      <c r="HZ93" s="180" t="n">
        <v>15.32088182696</v>
      </c>
      <c r="IA93" s="180" t="n">
        <v>15.39061751498</v>
      </c>
      <c r="IB93" s="180" t="n">
        <v>15.460353203</v>
      </c>
      <c r="IC93" s="180" t="n">
        <v>15.53008889102</v>
      </c>
      <c r="ID93" s="180" t="n">
        <v>15.59982457904</v>
      </c>
      <c r="IE93" s="180" t="n">
        <v>15.66956026706</v>
      </c>
      <c r="IF93" s="180" t="n">
        <v>15.73929595508</v>
      </c>
      <c r="IG93" s="180" t="n">
        <v>15.8090316431</v>
      </c>
      <c r="IH93" s="180" t="n">
        <v>15.87876733112</v>
      </c>
      <c r="II93" s="180" t="n">
        <v>15.94850301914</v>
      </c>
      <c r="IJ93" s="180" t="n">
        <v>16.01823870716</v>
      </c>
      <c r="IK93" s="180" t="n">
        <v>16.08797439518</v>
      </c>
      <c r="IL93" s="180" t="n">
        <v>16.1577100832</v>
      </c>
      <c r="IM93" s="180" t="n">
        <v>16.22744577122</v>
      </c>
      <c r="IN93" s="180" t="n">
        <v>16.29718145924</v>
      </c>
      <c r="IO93" s="180" t="n">
        <v>16.36691714726</v>
      </c>
      <c r="IP93" s="180" t="n">
        <v>16.43665283528</v>
      </c>
      <c r="IQ93" s="180" t="n">
        <v>16.5063885233</v>
      </c>
      <c r="IR93" s="180" t="n">
        <v>16.57612421132</v>
      </c>
      <c r="IS93" s="180" t="n">
        <v>16.64585989934</v>
      </c>
      <c r="IT93" s="180" t="n">
        <v>16.71559558736</v>
      </c>
      <c r="IU93" s="180" t="n">
        <v>16.78533127538</v>
      </c>
      <c r="IV93" s="180" t="n">
        <v>16.8550669634</v>
      </c>
    </row>
    <row r="94" customFormat="false" ht="12.75" hidden="false" customHeight="false" outlineLevel="0" collapsed="false">
      <c r="A94" s="189" t="n">
        <v>39539</v>
      </c>
      <c r="B94" s="185" t="n">
        <v>-2.021005929375</v>
      </c>
      <c r="C94" s="185" t="n">
        <v>-1.9907047400625</v>
      </c>
      <c r="D94" s="185" t="n">
        <v>-1.96040355075</v>
      </c>
      <c r="E94" s="185" t="n">
        <v>-1.9301023614375</v>
      </c>
      <c r="F94" s="185" t="n">
        <v>-1.899801172125</v>
      </c>
      <c r="G94" s="185" t="n">
        <v>-1.8694999828125</v>
      </c>
      <c r="H94" s="185" t="n">
        <v>-1.8391987935</v>
      </c>
      <c r="I94" s="185" t="n">
        <v>-1.8088976041875</v>
      </c>
      <c r="J94" s="185" t="n">
        <v>-1.778596414875</v>
      </c>
      <c r="K94" s="185" t="n">
        <v>-1.7482952255625</v>
      </c>
      <c r="L94" s="185" t="n">
        <v>-1.71799403625</v>
      </c>
      <c r="M94" s="185" t="n">
        <v>-1.6876928469375</v>
      </c>
      <c r="N94" s="185" t="n">
        <v>-1.657391657625</v>
      </c>
      <c r="O94" s="185" t="n">
        <v>-1.6270904683125</v>
      </c>
      <c r="P94" s="185" t="n">
        <v>-1.596789279</v>
      </c>
      <c r="Q94" s="185" t="n">
        <v>-1.5664880896875</v>
      </c>
      <c r="R94" s="185" t="n">
        <v>-1.536186900375</v>
      </c>
      <c r="S94" s="185" t="n">
        <v>-1.5058857110625</v>
      </c>
      <c r="T94" s="185" t="n">
        <v>-1.47558452175</v>
      </c>
      <c r="U94" s="185" t="n">
        <v>-1.4452833324375</v>
      </c>
      <c r="V94" s="186" t="n">
        <v>-1.414982143125</v>
      </c>
      <c r="W94" s="185" t="n">
        <v>-1.3846809538125</v>
      </c>
      <c r="X94" s="186" t="n">
        <v>-1.3543797645</v>
      </c>
      <c r="Y94" s="185" t="n">
        <v>-1.3240785751875</v>
      </c>
      <c r="Z94" s="186" t="n">
        <v>-1.293777385875</v>
      </c>
      <c r="AA94" s="185" t="n">
        <v>-1.2634761965625</v>
      </c>
      <c r="AB94" s="187" t="n">
        <v>-1.23317500725</v>
      </c>
      <c r="AC94" s="185" t="n">
        <v>-1.2028738179375</v>
      </c>
      <c r="AD94" s="187" t="n">
        <v>-1.172572628625</v>
      </c>
      <c r="AE94" s="185" t="n">
        <v>-1.1422714393125</v>
      </c>
      <c r="AF94" s="185" t="n">
        <v>-1.11197025</v>
      </c>
      <c r="AG94" s="190" t="n">
        <v>-1.083235125</v>
      </c>
      <c r="AH94" s="190" t="n">
        <v>-1.0545</v>
      </c>
      <c r="AI94" s="190" t="n">
        <v>-1.02725</v>
      </c>
      <c r="AJ94" s="190" t="n">
        <v>-1</v>
      </c>
      <c r="AK94" s="190" t="n">
        <v>-0.8</v>
      </c>
      <c r="AL94" s="190" t="n">
        <v>-0.6</v>
      </c>
      <c r="AM94" s="190" t="n">
        <v>-0.4</v>
      </c>
      <c r="AN94" s="190" t="n">
        <v>-0.2</v>
      </c>
      <c r="AO94" s="190" t="n">
        <v>0</v>
      </c>
      <c r="AP94" s="190" t="n">
        <v>0.2</v>
      </c>
      <c r="AQ94" s="190" t="n">
        <v>0.4</v>
      </c>
      <c r="AR94" s="190" t="n">
        <v>0.6</v>
      </c>
      <c r="AS94" s="190" t="n">
        <v>0.8</v>
      </c>
      <c r="AT94" s="190" t="n">
        <v>1</v>
      </c>
      <c r="AU94" s="190" t="n">
        <v>1.2</v>
      </c>
      <c r="AV94" s="190" t="n">
        <v>1.4</v>
      </c>
      <c r="AW94" s="190" t="n">
        <v>1.58</v>
      </c>
      <c r="AX94" s="190" t="n">
        <v>1.76</v>
      </c>
      <c r="AY94" s="190" t="n">
        <v>1.922</v>
      </c>
      <c r="AZ94" s="190" t="n">
        <v>2.084</v>
      </c>
      <c r="BA94" s="190" t="n">
        <v>2.2298</v>
      </c>
      <c r="BB94" s="190" t="n">
        <v>2.3756</v>
      </c>
      <c r="BC94" s="190" t="n">
        <v>2.50682</v>
      </c>
      <c r="BD94" s="190" t="n">
        <v>2.63804</v>
      </c>
      <c r="BE94" s="190" t="n">
        <v>2.756138</v>
      </c>
      <c r="BF94" s="190" t="n">
        <v>2.874236</v>
      </c>
      <c r="BG94" s="190" t="n">
        <v>2.9805242</v>
      </c>
      <c r="BH94" s="190" t="n">
        <v>3.0868124</v>
      </c>
      <c r="BI94" s="190" t="n">
        <v>3.18247178</v>
      </c>
      <c r="BJ94" s="190" t="n">
        <v>3.27813116</v>
      </c>
      <c r="BK94" s="190" t="n">
        <v>3.364224602</v>
      </c>
      <c r="BL94" s="190" t="n">
        <v>3.450318044</v>
      </c>
      <c r="BM94" s="190" t="n">
        <v>3.5278021418</v>
      </c>
      <c r="BN94" s="190" t="n">
        <v>3.6052862396</v>
      </c>
      <c r="BO94" s="190" t="n">
        <v>3.67502192762</v>
      </c>
      <c r="BP94" s="190" t="n">
        <v>3.74475761564</v>
      </c>
      <c r="BQ94" s="190" t="n">
        <v>3.81449330366</v>
      </c>
      <c r="BR94" s="190" t="n">
        <v>3.88422899168</v>
      </c>
      <c r="BS94" s="190" t="n">
        <v>3.9539646797</v>
      </c>
      <c r="BT94" s="190" t="n">
        <v>4.02370036772</v>
      </c>
      <c r="BU94" s="190" t="n">
        <v>4.09343605574</v>
      </c>
      <c r="BV94" s="190" t="n">
        <v>4.16317174376</v>
      </c>
      <c r="BW94" s="190" t="n">
        <v>4.23290743178</v>
      </c>
      <c r="BX94" s="190" t="n">
        <v>4.3026431198</v>
      </c>
      <c r="BY94" s="190" t="n">
        <v>4.37237880782</v>
      </c>
      <c r="BZ94" s="190" t="n">
        <v>4.44211449584</v>
      </c>
      <c r="CA94" s="190" t="n">
        <v>4.51185018386</v>
      </c>
      <c r="CB94" s="190" t="n">
        <v>4.58158587188</v>
      </c>
      <c r="CC94" s="190" t="n">
        <v>4.6513215599</v>
      </c>
      <c r="CD94" s="190" t="n">
        <v>4.72105724792</v>
      </c>
      <c r="CE94" s="190" t="n">
        <v>4.79079293594</v>
      </c>
      <c r="CF94" s="190" t="n">
        <v>4.86052862396</v>
      </c>
      <c r="CG94" s="190" t="n">
        <v>4.93026431198</v>
      </c>
      <c r="CH94" s="190" t="n">
        <v>5</v>
      </c>
      <c r="CI94" s="190" t="n">
        <v>5.06973568801999</v>
      </c>
      <c r="CJ94" s="190" t="n">
        <v>5.13947137603999</v>
      </c>
      <c r="CK94" s="190" t="n">
        <v>5.20920706405999</v>
      </c>
      <c r="CL94" s="190" t="n">
        <v>5.27894275207999</v>
      </c>
      <c r="CM94" s="190" t="n">
        <v>5.34867844009999</v>
      </c>
      <c r="CN94" s="190" t="n">
        <v>5.41841412811999</v>
      </c>
      <c r="CO94" s="190" t="n">
        <v>5.48814981613999</v>
      </c>
      <c r="CP94" s="190" t="n">
        <v>5.55788550415999</v>
      </c>
      <c r="CQ94" s="190" t="n">
        <v>5.62762119217999</v>
      </c>
      <c r="CR94" s="190" t="n">
        <v>5.69735688019999</v>
      </c>
      <c r="CS94" s="190" t="n">
        <v>5.76709256821999</v>
      </c>
      <c r="CT94" s="190" t="n">
        <v>5.83682825623999</v>
      </c>
      <c r="CU94" s="190" t="n">
        <v>5.90656394425999</v>
      </c>
      <c r="CV94" s="190" t="n">
        <v>5.97629963227999</v>
      </c>
      <c r="CW94" s="190" t="n">
        <v>6.04603532029999</v>
      </c>
      <c r="CX94" s="190" t="n">
        <v>6.11577100831999</v>
      </c>
      <c r="CY94" s="190" t="n">
        <v>6.18550669633999</v>
      </c>
      <c r="CZ94" s="190" t="n">
        <v>6.25524238435999</v>
      </c>
      <c r="DA94" s="190" t="n">
        <v>6.32497807237999</v>
      </c>
      <c r="DB94" s="190" t="n">
        <v>6.39471376039999</v>
      </c>
      <c r="DC94" s="190" t="n">
        <v>6.46444944841999</v>
      </c>
      <c r="DD94" s="190" t="n">
        <v>6.53418513643999</v>
      </c>
      <c r="DE94" s="190" t="n">
        <v>6.60392082445999</v>
      </c>
      <c r="DF94" s="190" t="n">
        <v>6.67365651247999</v>
      </c>
      <c r="DG94" s="190" t="n">
        <v>6.74339220049999</v>
      </c>
      <c r="DH94" s="190" t="n">
        <v>6.81312788851999</v>
      </c>
      <c r="DI94" s="190" t="n">
        <v>6.88286357653999</v>
      </c>
      <c r="DJ94" s="190" t="n">
        <v>6.95259926455999</v>
      </c>
      <c r="DK94" s="190" t="n">
        <v>7.02233495257999</v>
      </c>
      <c r="DL94" s="190" t="n">
        <v>7.09207064059999</v>
      </c>
      <c r="DM94" s="190" t="n">
        <v>7.16180632861999</v>
      </c>
      <c r="DN94" s="190" t="n">
        <v>7.23154201663999</v>
      </c>
      <c r="DO94" s="190" t="n">
        <v>7.30127770465999</v>
      </c>
      <c r="DP94" s="190" t="n">
        <v>7.37101339267999</v>
      </c>
      <c r="DQ94" s="190" t="n">
        <v>7.44074908069999</v>
      </c>
      <c r="DR94" s="190" t="n">
        <v>7.51048476871999</v>
      </c>
      <c r="DS94" s="190" t="n">
        <v>7.58022045673999</v>
      </c>
      <c r="DT94" s="190" t="n">
        <v>7.64995614475999</v>
      </c>
      <c r="DU94" s="190" t="n">
        <v>7.71969183277999</v>
      </c>
      <c r="DV94" s="190" t="n">
        <v>7.78942752079998</v>
      </c>
      <c r="DW94" s="190" t="n">
        <v>7.85916320881998</v>
      </c>
      <c r="DX94" s="190" t="n">
        <v>7.92889889683998</v>
      </c>
      <c r="DY94" s="190" t="n">
        <v>7.99863458485998</v>
      </c>
      <c r="DZ94" s="190" t="n">
        <v>8.06837027287998</v>
      </c>
      <c r="EA94" s="190" t="n">
        <v>8.13810596089998</v>
      </c>
      <c r="EB94" s="190" t="n">
        <v>8.20784164891998</v>
      </c>
      <c r="EC94" s="190" t="n">
        <v>8.27757733693998</v>
      </c>
      <c r="ED94" s="190" t="n">
        <v>8.34731302495998</v>
      </c>
      <c r="EE94" s="190" t="n">
        <v>8.41704871297998</v>
      </c>
      <c r="EF94" s="190" t="n">
        <v>8.48678440099998</v>
      </c>
      <c r="EG94" s="190" t="n">
        <v>8.55652008901998</v>
      </c>
      <c r="EH94" s="190" t="n">
        <v>8.62625577703998</v>
      </c>
      <c r="EI94" s="190" t="n">
        <v>8.69599146505998</v>
      </c>
      <c r="EJ94" s="190" t="n">
        <v>8.76572715307998</v>
      </c>
      <c r="EK94" s="190" t="n">
        <v>8.83546284109998</v>
      </c>
      <c r="EL94" s="180" t="n">
        <v>8.90519852911998</v>
      </c>
      <c r="EM94" s="180" t="n">
        <v>8.97493421713998</v>
      </c>
      <c r="EN94" s="180" t="n">
        <v>9.04466990515998</v>
      </c>
      <c r="EO94" s="180" t="n">
        <v>9.11440559317998</v>
      </c>
      <c r="EP94" s="180" t="n">
        <v>9.18414128119998</v>
      </c>
      <c r="EQ94" s="180" t="n">
        <v>9.25387696921998</v>
      </c>
      <c r="ER94" s="180" t="n">
        <v>9.32361265723998</v>
      </c>
      <c r="ES94" s="180" t="n">
        <v>9.39334834525998</v>
      </c>
      <c r="ET94" s="180" t="n">
        <v>9.46308403327998</v>
      </c>
      <c r="EU94" s="180" t="n">
        <v>9.53281972129998</v>
      </c>
      <c r="EV94" s="180" t="n">
        <v>9.60255540931998</v>
      </c>
      <c r="EW94" s="180" t="n">
        <v>9.67229109733998</v>
      </c>
      <c r="EX94" s="180" t="n">
        <v>9.74202678535998</v>
      </c>
      <c r="EY94" s="180" t="n">
        <v>9.81176247337998</v>
      </c>
      <c r="EZ94" s="180" t="n">
        <v>9.88149816139998</v>
      </c>
      <c r="FA94" s="180" t="n">
        <v>9.95123384941998</v>
      </c>
      <c r="FB94" s="180" t="n">
        <v>10.02096953744</v>
      </c>
      <c r="FC94" s="180" t="n">
        <v>10.09070522546</v>
      </c>
      <c r="FD94" s="180" t="n">
        <v>10.16044091348</v>
      </c>
      <c r="FE94" s="180" t="n">
        <v>10.2301766015</v>
      </c>
      <c r="FF94" s="180" t="n">
        <v>10.29991228952</v>
      </c>
      <c r="FG94" s="180" t="n">
        <v>10.36964797754</v>
      </c>
      <c r="FH94" s="180" t="n">
        <v>10.43938366556</v>
      </c>
      <c r="FI94" s="180" t="n">
        <v>10.50911935358</v>
      </c>
      <c r="FJ94" s="180" t="n">
        <v>10.5788550416</v>
      </c>
      <c r="FK94" s="180" t="n">
        <v>10.64859072962</v>
      </c>
      <c r="FL94" s="180" t="n">
        <v>10.71832641764</v>
      </c>
      <c r="FM94" s="180" t="n">
        <v>10.78806210566</v>
      </c>
      <c r="FN94" s="180" t="n">
        <v>10.85779779368</v>
      </c>
      <c r="FO94" s="180" t="n">
        <v>10.9275334817</v>
      </c>
      <c r="FP94" s="180" t="n">
        <v>10.99726916972</v>
      </c>
      <c r="FQ94" s="180" t="n">
        <v>11.06700485774</v>
      </c>
      <c r="FR94" s="180" t="n">
        <v>11.13674054576</v>
      </c>
      <c r="FS94" s="180" t="n">
        <v>11.20647623378</v>
      </c>
      <c r="FT94" s="180" t="n">
        <v>11.2762119218</v>
      </c>
      <c r="FU94" s="180" t="n">
        <v>11.34594760982</v>
      </c>
      <c r="FV94" s="180" t="n">
        <v>11.41568329784</v>
      </c>
      <c r="FW94" s="180" t="n">
        <v>11.48541898586</v>
      </c>
      <c r="FX94" s="180" t="n">
        <v>11.55515467388</v>
      </c>
      <c r="FY94" s="180" t="n">
        <v>11.6248903619</v>
      </c>
      <c r="FZ94" s="180" t="n">
        <v>11.69462604992</v>
      </c>
      <c r="GA94" s="180" t="n">
        <v>11.76436173794</v>
      </c>
      <c r="GB94" s="180" t="n">
        <v>11.83409742596</v>
      </c>
      <c r="GC94" s="180" t="n">
        <v>11.90383311398</v>
      </c>
      <c r="GD94" s="180" t="n">
        <v>11.973568802</v>
      </c>
      <c r="GE94" s="180" t="n">
        <v>12.04330449002</v>
      </c>
      <c r="GF94" s="180" t="n">
        <v>12.11304017804</v>
      </c>
      <c r="GG94" s="180" t="n">
        <v>12.18277586606</v>
      </c>
      <c r="GH94" s="180" t="n">
        <v>12.25251155408</v>
      </c>
      <c r="GI94" s="180" t="n">
        <v>12.3222472421</v>
      </c>
      <c r="GJ94" s="180" t="n">
        <v>12.39198293012</v>
      </c>
      <c r="GK94" s="180" t="n">
        <v>12.46171861814</v>
      </c>
      <c r="GL94" s="180" t="n">
        <v>12.53145430616</v>
      </c>
      <c r="GM94" s="180" t="n">
        <v>12.60118999418</v>
      </c>
      <c r="GN94" s="180" t="n">
        <v>12.6709256822</v>
      </c>
      <c r="GO94" s="180" t="n">
        <v>12.74066137022</v>
      </c>
      <c r="GP94" s="180" t="n">
        <v>12.81039705824</v>
      </c>
      <c r="GQ94" s="180" t="n">
        <v>12.88013274626</v>
      </c>
      <c r="GR94" s="180" t="n">
        <v>12.94986843428</v>
      </c>
      <c r="GS94" s="180" t="n">
        <v>13.0196041223</v>
      </c>
      <c r="GT94" s="180" t="n">
        <v>13.08933981032</v>
      </c>
      <c r="GU94" s="180" t="n">
        <v>13.15907549834</v>
      </c>
      <c r="GV94" s="180" t="n">
        <v>13.22881118636</v>
      </c>
      <c r="GW94" s="180" t="n">
        <v>13.29854687438</v>
      </c>
      <c r="GX94" s="180" t="n">
        <v>13.3682825624</v>
      </c>
      <c r="GY94" s="180" t="n">
        <v>13.43801825042</v>
      </c>
      <c r="GZ94" s="180" t="n">
        <v>13.50775393844</v>
      </c>
      <c r="HA94" s="180" t="n">
        <v>13.57748962646</v>
      </c>
      <c r="HB94" s="180" t="n">
        <v>13.64722531448</v>
      </c>
      <c r="HC94" s="180" t="n">
        <v>13.7169610025</v>
      </c>
      <c r="HD94" s="180" t="n">
        <v>13.78669669052</v>
      </c>
      <c r="HE94" s="180" t="n">
        <v>13.85643237854</v>
      </c>
      <c r="HF94" s="180" t="n">
        <v>13.92616806656</v>
      </c>
      <c r="HG94" s="180" t="n">
        <v>13.99590375458</v>
      </c>
      <c r="HH94" s="180" t="n">
        <v>14.0656394426</v>
      </c>
      <c r="HI94" s="180" t="n">
        <v>14.13537513062</v>
      </c>
      <c r="HJ94" s="180" t="n">
        <v>14.20511081864</v>
      </c>
      <c r="HK94" s="180" t="n">
        <v>14.27484650666</v>
      </c>
      <c r="HL94" s="180" t="n">
        <v>14.34458219468</v>
      </c>
      <c r="HM94" s="180" t="n">
        <v>14.4143178827</v>
      </c>
      <c r="HN94" s="180" t="n">
        <v>14.48405357072</v>
      </c>
      <c r="HO94" s="180" t="n">
        <v>14.55378925874</v>
      </c>
      <c r="HP94" s="180" t="n">
        <v>14.62352494676</v>
      </c>
      <c r="HQ94" s="180" t="n">
        <v>14.69326063478</v>
      </c>
      <c r="HR94" s="180" t="n">
        <v>14.7629963228</v>
      </c>
      <c r="HS94" s="180" t="n">
        <v>14.83273201082</v>
      </c>
      <c r="HT94" s="180" t="n">
        <v>14.90246769884</v>
      </c>
      <c r="HU94" s="180" t="n">
        <v>14.97220338686</v>
      </c>
      <c r="HV94" s="180" t="n">
        <v>15.04193907488</v>
      </c>
      <c r="HW94" s="180" t="n">
        <v>15.1116747629</v>
      </c>
      <c r="HX94" s="180" t="n">
        <v>15.18141045092</v>
      </c>
      <c r="HY94" s="180" t="n">
        <v>15.25114613894</v>
      </c>
      <c r="HZ94" s="180" t="n">
        <v>15.32088182696</v>
      </c>
      <c r="IA94" s="180" t="n">
        <v>15.39061751498</v>
      </c>
      <c r="IB94" s="180" t="n">
        <v>15.460353203</v>
      </c>
      <c r="IC94" s="180" t="n">
        <v>15.53008889102</v>
      </c>
      <c r="ID94" s="180" t="n">
        <v>15.59982457904</v>
      </c>
      <c r="IE94" s="180" t="n">
        <v>15.66956026706</v>
      </c>
      <c r="IF94" s="180" t="n">
        <v>15.73929595508</v>
      </c>
      <c r="IG94" s="180" t="n">
        <v>15.8090316431</v>
      </c>
      <c r="IH94" s="180" t="n">
        <v>15.87876733112</v>
      </c>
      <c r="II94" s="180" t="n">
        <v>15.94850301914</v>
      </c>
      <c r="IJ94" s="180" t="n">
        <v>16.01823870716</v>
      </c>
      <c r="IK94" s="180" t="n">
        <v>16.08797439518</v>
      </c>
      <c r="IL94" s="180" t="n">
        <v>16.1577100832</v>
      </c>
      <c r="IM94" s="180" t="n">
        <v>16.22744577122</v>
      </c>
      <c r="IN94" s="180" t="n">
        <v>16.29718145924</v>
      </c>
      <c r="IO94" s="180" t="n">
        <v>16.36691714726</v>
      </c>
      <c r="IP94" s="180" t="n">
        <v>16.43665283528</v>
      </c>
      <c r="IQ94" s="180" t="n">
        <v>16.5063885233</v>
      </c>
      <c r="IR94" s="180" t="n">
        <v>16.57612421132</v>
      </c>
      <c r="IS94" s="180" t="n">
        <v>16.64585989934</v>
      </c>
      <c r="IT94" s="180" t="n">
        <v>16.71559558736</v>
      </c>
      <c r="IU94" s="180" t="n">
        <v>16.78533127538</v>
      </c>
      <c r="IV94" s="180" t="n">
        <v>16.8550669634</v>
      </c>
    </row>
    <row r="95" customFormat="false" ht="12.75" hidden="false" customHeight="false" outlineLevel="0" collapsed="false">
      <c r="A95" s="189" t="n">
        <v>39569</v>
      </c>
      <c r="B95" s="185" t="n">
        <v>-2.021005929375</v>
      </c>
      <c r="C95" s="185" t="n">
        <v>-1.9907047400625</v>
      </c>
      <c r="D95" s="185" t="n">
        <v>-1.96040355075</v>
      </c>
      <c r="E95" s="185" t="n">
        <v>-1.9301023614375</v>
      </c>
      <c r="F95" s="185" t="n">
        <v>-1.899801172125</v>
      </c>
      <c r="G95" s="185" t="n">
        <v>-1.8694999828125</v>
      </c>
      <c r="H95" s="185" t="n">
        <v>-1.8391987935</v>
      </c>
      <c r="I95" s="185" t="n">
        <v>-1.8088976041875</v>
      </c>
      <c r="J95" s="185" t="n">
        <v>-1.778596414875</v>
      </c>
      <c r="K95" s="185" t="n">
        <v>-1.7482952255625</v>
      </c>
      <c r="L95" s="185" t="n">
        <v>-1.71799403625</v>
      </c>
      <c r="M95" s="185" t="n">
        <v>-1.6876928469375</v>
      </c>
      <c r="N95" s="185" t="n">
        <v>-1.657391657625</v>
      </c>
      <c r="O95" s="185" t="n">
        <v>-1.6270904683125</v>
      </c>
      <c r="P95" s="185" t="n">
        <v>-1.596789279</v>
      </c>
      <c r="Q95" s="185" t="n">
        <v>-1.5664880896875</v>
      </c>
      <c r="R95" s="185" t="n">
        <v>-1.536186900375</v>
      </c>
      <c r="S95" s="185" t="n">
        <v>-1.5058857110625</v>
      </c>
      <c r="T95" s="185" t="n">
        <v>-1.47558452175</v>
      </c>
      <c r="U95" s="185" t="n">
        <v>-1.4452833324375</v>
      </c>
      <c r="V95" s="186" t="n">
        <v>-1.414982143125</v>
      </c>
      <c r="W95" s="185" t="n">
        <v>-1.3846809538125</v>
      </c>
      <c r="X95" s="186" t="n">
        <v>-1.3543797645</v>
      </c>
      <c r="Y95" s="185" t="n">
        <v>-1.3240785751875</v>
      </c>
      <c r="Z95" s="186" t="n">
        <v>-1.293777385875</v>
      </c>
      <c r="AA95" s="185" t="n">
        <v>-1.2634761965625</v>
      </c>
      <c r="AB95" s="187" t="n">
        <v>-1.23317500725</v>
      </c>
      <c r="AC95" s="185" t="n">
        <v>-1.2028738179375</v>
      </c>
      <c r="AD95" s="187" t="n">
        <v>-1.172572628625</v>
      </c>
      <c r="AE95" s="185" t="n">
        <v>-1.1422714393125</v>
      </c>
      <c r="AF95" s="185" t="n">
        <v>-1.11197025</v>
      </c>
      <c r="AG95" s="190" t="n">
        <v>-1.083235125</v>
      </c>
      <c r="AH95" s="190" t="n">
        <v>-1.0545</v>
      </c>
      <c r="AI95" s="190" t="n">
        <v>-1.02725</v>
      </c>
      <c r="AJ95" s="190" t="n">
        <v>-1</v>
      </c>
      <c r="AK95" s="190" t="n">
        <v>-0.8</v>
      </c>
      <c r="AL95" s="190" t="n">
        <v>-0.6</v>
      </c>
      <c r="AM95" s="190" t="n">
        <v>-0.4</v>
      </c>
      <c r="AN95" s="190" t="n">
        <v>-0.2</v>
      </c>
      <c r="AO95" s="190" t="n">
        <v>0</v>
      </c>
      <c r="AP95" s="190" t="n">
        <v>0.2</v>
      </c>
      <c r="AQ95" s="190" t="n">
        <v>0.4</v>
      </c>
      <c r="AR95" s="190" t="n">
        <v>0.6</v>
      </c>
      <c r="AS95" s="190" t="n">
        <v>0.8</v>
      </c>
      <c r="AT95" s="190" t="n">
        <v>1</v>
      </c>
      <c r="AU95" s="190" t="n">
        <v>1.2</v>
      </c>
      <c r="AV95" s="190" t="n">
        <v>1.4</v>
      </c>
      <c r="AW95" s="190" t="n">
        <v>1.58</v>
      </c>
      <c r="AX95" s="190" t="n">
        <v>1.76</v>
      </c>
      <c r="AY95" s="190" t="n">
        <v>1.922</v>
      </c>
      <c r="AZ95" s="190" t="n">
        <v>2.084</v>
      </c>
      <c r="BA95" s="190" t="n">
        <v>2.2298</v>
      </c>
      <c r="BB95" s="190" t="n">
        <v>2.3756</v>
      </c>
      <c r="BC95" s="190" t="n">
        <v>2.50682</v>
      </c>
      <c r="BD95" s="190" t="n">
        <v>2.63804</v>
      </c>
      <c r="BE95" s="190" t="n">
        <v>2.756138</v>
      </c>
      <c r="BF95" s="190" t="n">
        <v>2.874236</v>
      </c>
      <c r="BG95" s="190" t="n">
        <v>2.9805242</v>
      </c>
      <c r="BH95" s="190" t="n">
        <v>3.0868124</v>
      </c>
      <c r="BI95" s="190" t="n">
        <v>3.18247178</v>
      </c>
      <c r="BJ95" s="190" t="n">
        <v>3.27813116</v>
      </c>
      <c r="BK95" s="190" t="n">
        <v>3.364224602</v>
      </c>
      <c r="BL95" s="190" t="n">
        <v>3.450318044</v>
      </c>
      <c r="BM95" s="190" t="n">
        <v>3.5278021418</v>
      </c>
      <c r="BN95" s="190" t="n">
        <v>3.6052862396</v>
      </c>
      <c r="BO95" s="190" t="n">
        <v>3.67502192762</v>
      </c>
      <c r="BP95" s="190" t="n">
        <v>3.74475761564</v>
      </c>
      <c r="BQ95" s="190" t="n">
        <v>3.81449330366</v>
      </c>
      <c r="BR95" s="190" t="n">
        <v>3.88422899168</v>
      </c>
      <c r="BS95" s="190" t="n">
        <v>3.9539646797</v>
      </c>
      <c r="BT95" s="190" t="n">
        <v>4.02370036772</v>
      </c>
      <c r="BU95" s="190" t="n">
        <v>4.09343605574</v>
      </c>
      <c r="BV95" s="190" t="n">
        <v>4.16317174376</v>
      </c>
      <c r="BW95" s="190" t="n">
        <v>4.23290743178</v>
      </c>
      <c r="BX95" s="190" t="n">
        <v>4.3026431198</v>
      </c>
      <c r="BY95" s="190" t="n">
        <v>4.37237880782</v>
      </c>
      <c r="BZ95" s="190" t="n">
        <v>4.44211449584</v>
      </c>
      <c r="CA95" s="190" t="n">
        <v>4.51185018386</v>
      </c>
      <c r="CB95" s="190" t="n">
        <v>4.58158587188</v>
      </c>
      <c r="CC95" s="190" t="n">
        <v>4.6513215599</v>
      </c>
      <c r="CD95" s="190" t="n">
        <v>4.72105724792</v>
      </c>
      <c r="CE95" s="190" t="n">
        <v>4.79079293594</v>
      </c>
      <c r="CF95" s="190" t="n">
        <v>4.86052862396</v>
      </c>
      <c r="CG95" s="190" t="n">
        <v>4.93026431198</v>
      </c>
      <c r="CH95" s="190" t="n">
        <v>5</v>
      </c>
      <c r="CI95" s="190" t="n">
        <v>5.06973568801999</v>
      </c>
      <c r="CJ95" s="190" t="n">
        <v>5.13947137603999</v>
      </c>
      <c r="CK95" s="190" t="n">
        <v>5.20920706405999</v>
      </c>
      <c r="CL95" s="190" t="n">
        <v>5.27894275207999</v>
      </c>
      <c r="CM95" s="190" t="n">
        <v>5.34867844009999</v>
      </c>
      <c r="CN95" s="190" t="n">
        <v>5.41841412811999</v>
      </c>
      <c r="CO95" s="190" t="n">
        <v>5.48814981613999</v>
      </c>
      <c r="CP95" s="190" t="n">
        <v>5.55788550415999</v>
      </c>
      <c r="CQ95" s="190" t="n">
        <v>5.62762119217999</v>
      </c>
      <c r="CR95" s="190" t="n">
        <v>5.69735688019999</v>
      </c>
      <c r="CS95" s="190" t="n">
        <v>5.76709256821999</v>
      </c>
      <c r="CT95" s="190" t="n">
        <v>5.83682825623999</v>
      </c>
      <c r="CU95" s="190" t="n">
        <v>5.90656394425999</v>
      </c>
      <c r="CV95" s="190" t="n">
        <v>5.97629963227999</v>
      </c>
      <c r="CW95" s="190" t="n">
        <v>6.04603532029999</v>
      </c>
      <c r="CX95" s="190" t="n">
        <v>6.11577100831999</v>
      </c>
      <c r="CY95" s="190" t="n">
        <v>6.18550669633999</v>
      </c>
      <c r="CZ95" s="190" t="n">
        <v>6.25524238435999</v>
      </c>
      <c r="DA95" s="190" t="n">
        <v>6.32497807237999</v>
      </c>
      <c r="DB95" s="190" t="n">
        <v>6.39471376039999</v>
      </c>
      <c r="DC95" s="190" t="n">
        <v>6.46444944841999</v>
      </c>
      <c r="DD95" s="190" t="n">
        <v>6.53418513643999</v>
      </c>
      <c r="DE95" s="190" t="n">
        <v>6.60392082445999</v>
      </c>
      <c r="DF95" s="190" t="n">
        <v>6.67365651247999</v>
      </c>
      <c r="DG95" s="190" t="n">
        <v>6.74339220049999</v>
      </c>
      <c r="DH95" s="190" t="n">
        <v>6.81312788851999</v>
      </c>
      <c r="DI95" s="190" t="n">
        <v>6.88286357653999</v>
      </c>
      <c r="DJ95" s="190" t="n">
        <v>6.95259926455999</v>
      </c>
      <c r="DK95" s="190" t="n">
        <v>7.02233495257999</v>
      </c>
      <c r="DL95" s="190" t="n">
        <v>7.09207064059999</v>
      </c>
      <c r="DM95" s="190" t="n">
        <v>7.16180632861999</v>
      </c>
      <c r="DN95" s="190" t="n">
        <v>7.23154201663999</v>
      </c>
      <c r="DO95" s="190" t="n">
        <v>7.30127770465999</v>
      </c>
      <c r="DP95" s="190" t="n">
        <v>7.37101339267999</v>
      </c>
      <c r="DQ95" s="190" t="n">
        <v>7.44074908069999</v>
      </c>
      <c r="DR95" s="190" t="n">
        <v>7.51048476871999</v>
      </c>
      <c r="DS95" s="190" t="n">
        <v>7.58022045673999</v>
      </c>
      <c r="DT95" s="190" t="n">
        <v>7.64995614475999</v>
      </c>
      <c r="DU95" s="190" t="n">
        <v>7.71969183277999</v>
      </c>
      <c r="DV95" s="190" t="n">
        <v>7.78942752079998</v>
      </c>
      <c r="DW95" s="190" t="n">
        <v>7.85916320881998</v>
      </c>
      <c r="DX95" s="190" t="n">
        <v>7.92889889683998</v>
      </c>
      <c r="DY95" s="190" t="n">
        <v>7.99863458485998</v>
      </c>
      <c r="DZ95" s="190" t="n">
        <v>8.06837027287998</v>
      </c>
      <c r="EA95" s="190" t="n">
        <v>8.13810596089998</v>
      </c>
      <c r="EB95" s="190" t="n">
        <v>8.20784164891998</v>
      </c>
      <c r="EC95" s="190" t="n">
        <v>8.27757733693998</v>
      </c>
      <c r="ED95" s="190" t="n">
        <v>8.34731302495998</v>
      </c>
      <c r="EE95" s="190" t="n">
        <v>8.41704871297998</v>
      </c>
      <c r="EF95" s="190" t="n">
        <v>8.48678440099998</v>
      </c>
      <c r="EG95" s="190" t="n">
        <v>8.55652008901998</v>
      </c>
      <c r="EH95" s="190" t="n">
        <v>8.62625577703998</v>
      </c>
      <c r="EI95" s="190" t="n">
        <v>8.69599146505998</v>
      </c>
      <c r="EJ95" s="190" t="n">
        <v>8.76572715307998</v>
      </c>
      <c r="EK95" s="190" t="n">
        <v>8.83546284109998</v>
      </c>
      <c r="EL95" s="180" t="n">
        <v>8.90519852911998</v>
      </c>
      <c r="EM95" s="180" t="n">
        <v>8.97493421713998</v>
      </c>
      <c r="EN95" s="180" t="n">
        <v>9.04466990515998</v>
      </c>
      <c r="EO95" s="180" t="n">
        <v>9.11440559317998</v>
      </c>
      <c r="EP95" s="180" t="n">
        <v>9.18414128119998</v>
      </c>
      <c r="EQ95" s="180" t="n">
        <v>9.25387696921998</v>
      </c>
      <c r="ER95" s="180" t="n">
        <v>9.32361265723998</v>
      </c>
      <c r="ES95" s="180" t="n">
        <v>9.39334834525998</v>
      </c>
      <c r="ET95" s="180" t="n">
        <v>9.46308403327998</v>
      </c>
      <c r="EU95" s="180" t="n">
        <v>9.53281972129998</v>
      </c>
      <c r="EV95" s="180" t="n">
        <v>9.60255540931998</v>
      </c>
      <c r="EW95" s="180" t="n">
        <v>9.67229109733998</v>
      </c>
      <c r="EX95" s="180" t="n">
        <v>9.74202678535998</v>
      </c>
      <c r="EY95" s="180" t="n">
        <v>9.81176247337998</v>
      </c>
      <c r="EZ95" s="180" t="n">
        <v>9.88149816139998</v>
      </c>
      <c r="FA95" s="180" t="n">
        <v>9.95123384941998</v>
      </c>
      <c r="FB95" s="180" t="n">
        <v>10.02096953744</v>
      </c>
      <c r="FC95" s="180" t="n">
        <v>10.09070522546</v>
      </c>
      <c r="FD95" s="180" t="n">
        <v>10.16044091348</v>
      </c>
      <c r="FE95" s="180" t="n">
        <v>10.2301766015</v>
      </c>
      <c r="FF95" s="180" t="n">
        <v>10.29991228952</v>
      </c>
      <c r="FG95" s="180" t="n">
        <v>10.36964797754</v>
      </c>
      <c r="FH95" s="180" t="n">
        <v>10.43938366556</v>
      </c>
      <c r="FI95" s="180" t="n">
        <v>10.50911935358</v>
      </c>
      <c r="FJ95" s="180" t="n">
        <v>10.5788550416</v>
      </c>
      <c r="FK95" s="180" t="n">
        <v>10.64859072962</v>
      </c>
      <c r="FL95" s="180" t="n">
        <v>10.71832641764</v>
      </c>
      <c r="FM95" s="180" t="n">
        <v>10.78806210566</v>
      </c>
      <c r="FN95" s="180" t="n">
        <v>10.85779779368</v>
      </c>
      <c r="FO95" s="180" t="n">
        <v>10.9275334817</v>
      </c>
      <c r="FP95" s="180" t="n">
        <v>10.99726916972</v>
      </c>
      <c r="FQ95" s="180" t="n">
        <v>11.06700485774</v>
      </c>
      <c r="FR95" s="180" t="n">
        <v>11.13674054576</v>
      </c>
      <c r="FS95" s="180" t="n">
        <v>11.20647623378</v>
      </c>
      <c r="FT95" s="180" t="n">
        <v>11.2762119218</v>
      </c>
      <c r="FU95" s="180" t="n">
        <v>11.34594760982</v>
      </c>
      <c r="FV95" s="180" t="n">
        <v>11.41568329784</v>
      </c>
      <c r="FW95" s="180" t="n">
        <v>11.48541898586</v>
      </c>
      <c r="FX95" s="180" t="n">
        <v>11.55515467388</v>
      </c>
      <c r="FY95" s="180" t="n">
        <v>11.6248903619</v>
      </c>
      <c r="FZ95" s="180" t="n">
        <v>11.69462604992</v>
      </c>
      <c r="GA95" s="180" t="n">
        <v>11.76436173794</v>
      </c>
      <c r="GB95" s="180" t="n">
        <v>11.83409742596</v>
      </c>
      <c r="GC95" s="180" t="n">
        <v>11.90383311398</v>
      </c>
      <c r="GD95" s="180" t="n">
        <v>11.973568802</v>
      </c>
      <c r="GE95" s="180" t="n">
        <v>12.04330449002</v>
      </c>
      <c r="GF95" s="180" t="n">
        <v>12.11304017804</v>
      </c>
      <c r="GG95" s="180" t="n">
        <v>12.18277586606</v>
      </c>
      <c r="GH95" s="180" t="n">
        <v>12.25251155408</v>
      </c>
      <c r="GI95" s="180" t="n">
        <v>12.3222472421</v>
      </c>
      <c r="GJ95" s="180" t="n">
        <v>12.39198293012</v>
      </c>
      <c r="GK95" s="180" t="n">
        <v>12.46171861814</v>
      </c>
      <c r="GL95" s="180" t="n">
        <v>12.53145430616</v>
      </c>
      <c r="GM95" s="180" t="n">
        <v>12.60118999418</v>
      </c>
      <c r="GN95" s="180" t="n">
        <v>12.6709256822</v>
      </c>
      <c r="GO95" s="180" t="n">
        <v>12.74066137022</v>
      </c>
      <c r="GP95" s="180" t="n">
        <v>12.81039705824</v>
      </c>
      <c r="GQ95" s="180" t="n">
        <v>12.88013274626</v>
      </c>
      <c r="GR95" s="180" t="n">
        <v>12.94986843428</v>
      </c>
      <c r="GS95" s="180" t="n">
        <v>13.0196041223</v>
      </c>
      <c r="GT95" s="180" t="n">
        <v>13.08933981032</v>
      </c>
      <c r="GU95" s="180" t="n">
        <v>13.15907549834</v>
      </c>
      <c r="GV95" s="180" t="n">
        <v>13.22881118636</v>
      </c>
      <c r="GW95" s="180" t="n">
        <v>13.29854687438</v>
      </c>
      <c r="GX95" s="180" t="n">
        <v>13.3682825624</v>
      </c>
      <c r="GY95" s="180" t="n">
        <v>13.43801825042</v>
      </c>
      <c r="GZ95" s="180" t="n">
        <v>13.50775393844</v>
      </c>
      <c r="HA95" s="180" t="n">
        <v>13.57748962646</v>
      </c>
      <c r="HB95" s="180" t="n">
        <v>13.64722531448</v>
      </c>
      <c r="HC95" s="180" t="n">
        <v>13.7169610025</v>
      </c>
      <c r="HD95" s="180" t="n">
        <v>13.78669669052</v>
      </c>
      <c r="HE95" s="180" t="n">
        <v>13.85643237854</v>
      </c>
      <c r="HF95" s="180" t="n">
        <v>13.92616806656</v>
      </c>
      <c r="HG95" s="180" t="n">
        <v>13.99590375458</v>
      </c>
      <c r="HH95" s="180" t="n">
        <v>14.0656394426</v>
      </c>
      <c r="HI95" s="180" t="n">
        <v>14.13537513062</v>
      </c>
      <c r="HJ95" s="180" t="n">
        <v>14.20511081864</v>
      </c>
      <c r="HK95" s="180" t="n">
        <v>14.27484650666</v>
      </c>
      <c r="HL95" s="180" t="n">
        <v>14.34458219468</v>
      </c>
      <c r="HM95" s="180" t="n">
        <v>14.4143178827</v>
      </c>
      <c r="HN95" s="180" t="n">
        <v>14.48405357072</v>
      </c>
      <c r="HO95" s="180" t="n">
        <v>14.55378925874</v>
      </c>
      <c r="HP95" s="180" t="n">
        <v>14.62352494676</v>
      </c>
      <c r="HQ95" s="180" t="n">
        <v>14.69326063478</v>
      </c>
      <c r="HR95" s="180" t="n">
        <v>14.7629963228</v>
      </c>
      <c r="HS95" s="180" t="n">
        <v>14.83273201082</v>
      </c>
      <c r="HT95" s="180" t="n">
        <v>14.90246769884</v>
      </c>
      <c r="HU95" s="180" t="n">
        <v>14.97220338686</v>
      </c>
      <c r="HV95" s="180" t="n">
        <v>15.04193907488</v>
      </c>
      <c r="HW95" s="180" t="n">
        <v>15.1116747629</v>
      </c>
      <c r="HX95" s="180" t="n">
        <v>15.18141045092</v>
      </c>
      <c r="HY95" s="180" t="n">
        <v>15.25114613894</v>
      </c>
      <c r="HZ95" s="180" t="n">
        <v>15.32088182696</v>
      </c>
      <c r="IA95" s="180" t="n">
        <v>15.39061751498</v>
      </c>
      <c r="IB95" s="180" t="n">
        <v>15.460353203</v>
      </c>
      <c r="IC95" s="180" t="n">
        <v>15.53008889102</v>
      </c>
      <c r="ID95" s="180" t="n">
        <v>15.59982457904</v>
      </c>
      <c r="IE95" s="180" t="n">
        <v>15.66956026706</v>
      </c>
      <c r="IF95" s="180" t="n">
        <v>15.73929595508</v>
      </c>
      <c r="IG95" s="180" t="n">
        <v>15.8090316431</v>
      </c>
      <c r="IH95" s="180" t="n">
        <v>15.87876733112</v>
      </c>
      <c r="II95" s="180" t="n">
        <v>15.94850301914</v>
      </c>
      <c r="IJ95" s="180" t="n">
        <v>16.01823870716</v>
      </c>
      <c r="IK95" s="180" t="n">
        <v>16.08797439518</v>
      </c>
      <c r="IL95" s="180" t="n">
        <v>16.1577100832</v>
      </c>
      <c r="IM95" s="180" t="n">
        <v>16.22744577122</v>
      </c>
      <c r="IN95" s="180" t="n">
        <v>16.29718145924</v>
      </c>
      <c r="IO95" s="180" t="n">
        <v>16.36691714726</v>
      </c>
      <c r="IP95" s="180" t="n">
        <v>16.43665283528</v>
      </c>
      <c r="IQ95" s="180" t="n">
        <v>16.5063885233</v>
      </c>
      <c r="IR95" s="180" t="n">
        <v>16.57612421132</v>
      </c>
      <c r="IS95" s="180" t="n">
        <v>16.64585989934</v>
      </c>
      <c r="IT95" s="180" t="n">
        <v>16.71559558736</v>
      </c>
      <c r="IU95" s="180" t="n">
        <v>16.78533127538</v>
      </c>
      <c r="IV95" s="180" t="n">
        <v>16.8550669634</v>
      </c>
    </row>
    <row r="96" customFormat="false" ht="12.75" hidden="false" customHeight="false" outlineLevel="0" collapsed="false">
      <c r="A96" s="189" t="n">
        <v>39600</v>
      </c>
      <c r="B96" s="185" t="n">
        <v>-2.021005929375</v>
      </c>
      <c r="C96" s="185" t="n">
        <v>-1.9907047400625</v>
      </c>
      <c r="D96" s="185" t="n">
        <v>-1.96040355075</v>
      </c>
      <c r="E96" s="185" t="n">
        <v>-1.9301023614375</v>
      </c>
      <c r="F96" s="185" t="n">
        <v>-1.899801172125</v>
      </c>
      <c r="G96" s="185" t="n">
        <v>-1.8694999828125</v>
      </c>
      <c r="H96" s="185" t="n">
        <v>-1.8391987935</v>
      </c>
      <c r="I96" s="185" t="n">
        <v>-1.8088976041875</v>
      </c>
      <c r="J96" s="185" t="n">
        <v>-1.778596414875</v>
      </c>
      <c r="K96" s="185" t="n">
        <v>-1.7482952255625</v>
      </c>
      <c r="L96" s="185" t="n">
        <v>-1.71799403625</v>
      </c>
      <c r="M96" s="185" t="n">
        <v>-1.6876928469375</v>
      </c>
      <c r="N96" s="185" t="n">
        <v>-1.657391657625</v>
      </c>
      <c r="O96" s="185" t="n">
        <v>-1.6270904683125</v>
      </c>
      <c r="P96" s="185" t="n">
        <v>-1.596789279</v>
      </c>
      <c r="Q96" s="185" t="n">
        <v>-1.5664880896875</v>
      </c>
      <c r="R96" s="185" t="n">
        <v>-1.536186900375</v>
      </c>
      <c r="S96" s="185" t="n">
        <v>-1.5058857110625</v>
      </c>
      <c r="T96" s="185" t="n">
        <v>-1.47558452175</v>
      </c>
      <c r="U96" s="185" t="n">
        <v>-1.4452833324375</v>
      </c>
      <c r="V96" s="186" t="n">
        <v>-1.414982143125</v>
      </c>
      <c r="W96" s="185" t="n">
        <v>-1.3846809538125</v>
      </c>
      <c r="X96" s="186" t="n">
        <v>-1.3543797645</v>
      </c>
      <c r="Y96" s="185" t="n">
        <v>-1.3240785751875</v>
      </c>
      <c r="Z96" s="186" t="n">
        <v>-1.293777385875</v>
      </c>
      <c r="AA96" s="185" t="n">
        <v>-1.2634761965625</v>
      </c>
      <c r="AB96" s="187" t="n">
        <v>-1.23317500725</v>
      </c>
      <c r="AC96" s="185" t="n">
        <v>-1.2028738179375</v>
      </c>
      <c r="AD96" s="187" t="n">
        <v>-1.172572628625</v>
      </c>
      <c r="AE96" s="185" t="n">
        <v>-1.1422714393125</v>
      </c>
      <c r="AF96" s="185" t="n">
        <v>-1.11197025</v>
      </c>
      <c r="AG96" s="190" t="n">
        <v>-1.083235125</v>
      </c>
      <c r="AH96" s="190" t="n">
        <v>-1.0545</v>
      </c>
      <c r="AI96" s="190" t="n">
        <v>-1.02725</v>
      </c>
      <c r="AJ96" s="190" t="n">
        <v>-1</v>
      </c>
      <c r="AK96" s="190" t="n">
        <v>-0.8</v>
      </c>
      <c r="AL96" s="190" t="n">
        <v>-0.6</v>
      </c>
      <c r="AM96" s="190" t="n">
        <v>-0.4</v>
      </c>
      <c r="AN96" s="190" t="n">
        <v>-0.2</v>
      </c>
      <c r="AO96" s="190" t="n">
        <v>0</v>
      </c>
      <c r="AP96" s="190" t="n">
        <v>0.2</v>
      </c>
      <c r="AQ96" s="190" t="n">
        <v>0.4</v>
      </c>
      <c r="AR96" s="190" t="n">
        <v>0.6</v>
      </c>
      <c r="AS96" s="190" t="n">
        <v>0.8</v>
      </c>
      <c r="AT96" s="190" t="n">
        <v>1</v>
      </c>
      <c r="AU96" s="190" t="n">
        <v>1.2</v>
      </c>
      <c r="AV96" s="190" t="n">
        <v>1.4</v>
      </c>
      <c r="AW96" s="190" t="n">
        <v>1.58</v>
      </c>
      <c r="AX96" s="190" t="n">
        <v>1.76</v>
      </c>
      <c r="AY96" s="190" t="n">
        <v>1.922</v>
      </c>
      <c r="AZ96" s="190" t="n">
        <v>2.084</v>
      </c>
      <c r="BA96" s="190" t="n">
        <v>2.2298</v>
      </c>
      <c r="BB96" s="190" t="n">
        <v>2.3756</v>
      </c>
      <c r="BC96" s="190" t="n">
        <v>2.50682</v>
      </c>
      <c r="BD96" s="190" t="n">
        <v>2.63804</v>
      </c>
      <c r="BE96" s="190" t="n">
        <v>2.756138</v>
      </c>
      <c r="BF96" s="190" t="n">
        <v>2.874236</v>
      </c>
      <c r="BG96" s="190" t="n">
        <v>2.9805242</v>
      </c>
      <c r="BH96" s="190" t="n">
        <v>3.0868124</v>
      </c>
      <c r="BI96" s="190" t="n">
        <v>3.18247178</v>
      </c>
      <c r="BJ96" s="190" t="n">
        <v>3.27813116</v>
      </c>
      <c r="BK96" s="190" t="n">
        <v>3.364224602</v>
      </c>
      <c r="BL96" s="190" t="n">
        <v>3.450318044</v>
      </c>
      <c r="BM96" s="190" t="n">
        <v>3.5278021418</v>
      </c>
      <c r="BN96" s="190" t="n">
        <v>3.6052862396</v>
      </c>
      <c r="BO96" s="190" t="n">
        <v>3.67502192762</v>
      </c>
      <c r="BP96" s="190" t="n">
        <v>3.74475761564</v>
      </c>
      <c r="BQ96" s="190" t="n">
        <v>3.81449330366</v>
      </c>
      <c r="BR96" s="190" t="n">
        <v>3.88422899168</v>
      </c>
      <c r="BS96" s="190" t="n">
        <v>3.9539646797</v>
      </c>
      <c r="BT96" s="190" t="n">
        <v>4.02370036772</v>
      </c>
      <c r="BU96" s="190" t="n">
        <v>4.09343605574</v>
      </c>
      <c r="BV96" s="190" t="n">
        <v>4.16317174376</v>
      </c>
      <c r="BW96" s="190" t="n">
        <v>4.23290743178</v>
      </c>
      <c r="BX96" s="190" t="n">
        <v>4.3026431198</v>
      </c>
      <c r="BY96" s="190" t="n">
        <v>4.37237880782</v>
      </c>
      <c r="BZ96" s="190" t="n">
        <v>4.44211449584</v>
      </c>
      <c r="CA96" s="190" t="n">
        <v>4.51185018386</v>
      </c>
      <c r="CB96" s="190" t="n">
        <v>4.58158587188</v>
      </c>
      <c r="CC96" s="190" t="n">
        <v>4.6513215599</v>
      </c>
      <c r="CD96" s="190" t="n">
        <v>4.72105724792</v>
      </c>
      <c r="CE96" s="190" t="n">
        <v>4.79079293594</v>
      </c>
      <c r="CF96" s="190" t="n">
        <v>4.86052862396</v>
      </c>
      <c r="CG96" s="190" t="n">
        <v>4.93026431198</v>
      </c>
      <c r="CH96" s="190" t="n">
        <v>5</v>
      </c>
      <c r="CI96" s="190" t="n">
        <v>5.06973568801999</v>
      </c>
      <c r="CJ96" s="190" t="n">
        <v>5.13947137603999</v>
      </c>
      <c r="CK96" s="190" t="n">
        <v>5.20920706405999</v>
      </c>
      <c r="CL96" s="190" t="n">
        <v>5.27894275207999</v>
      </c>
      <c r="CM96" s="190" t="n">
        <v>5.34867844009999</v>
      </c>
      <c r="CN96" s="190" t="n">
        <v>5.41841412811999</v>
      </c>
      <c r="CO96" s="190" t="n">
        <v>5.48814981613999</v>
      </c>
      <c r="CP96" s="190" t="n">
        <v>5.55788550415999</v>
      </c>
      <c r="CQ96" s="190" t="n">
        <v>5.62762119217999</v>
      </c>
      <c r="CR96" s="190" t="n">
        <v>5.69735688019999</v>
      </c>
      <c r="CS96" s="190" t="n">
        <v>5.76709256821999</v>
      </c>
      <c r="CT96" s="190" t="n">
        <v>5.83682825623999</v>
      </c>
      <c r="CU96" s="190" t="n">
        <v>5.90656394425999</v>
      </c>
      <c r="CV96" s="190" t="n">
        <v>5.97629963227999</v>
      </c>
      <c r="CW96" s="190" t="n">
        <v>6.04603532029999</v>
      </c>
      <c r="CX96" s="190" t="n">
        <v>6.11577100831999</v>
      </c>
      <c r="CY96" s="190" t="n">
        <v>6.18550669633999</v>
      </c>
      <c r="CZ96" s="190" t="n">
        <v>6.25524238435999</v>
      </c>
      <c r="DA96" s="190" t="n">
        <v>6.32497807237999</v>
      </c>
      <c r="DB96" s="190" t="n">
        <v>6.39471376039999</v>
      </c>
      <c r="DC96" s="190" t="n">
        <v>6.46444944841999</v>
      </c>
      <c r="DD96" s="190" t="n">
        <v>6.53418513643999</v>
      </c>
      <c r="DE96" s="190" t="n">
        <v>6.60392082445999</v>
      </c>
      <c r="DF96" s="190" t="n">
        <v>6.67365651247999</v>
      </c>
      <c r="DG96" s="190" t="n">
        <v>6.74339220049999</v>
      </c>
      <c r="DH96" s="190" t="n">
        <v>6.81312788851999</v>
      </c>
      <c r="DI96" s="190" t="n">
        <v>6.88286357653999</v>
      </c>
      <c r="DJ96" s="190" t="n">
        <v>6.95259926455999</v>
      </c>
      <c r="DK96" s="190" t="n">
        <v>7.02233495257999</v>
      </c>
      <c r="DL96" s="190" t="n">
        <v>7.09207064059999</v>
      </c>
      <c r="DM96" s="190" t="n">
        <v>7.16180632861999</v>
      </c>
      <c r="DN96" s="190" t="n">
        <v>7.23154201663999</v>
      </c>
      <c r="DO96" s="190" t="n">
        <v>7.30127770465999</v>
      </c>
      <c r="DP96" s="190" t="n">
        <v>7.37101339267999</v>
      </c>
      <c r="DQ96" s="190" t="n">
        <v>7.44074908069999</v>
      </c>
      <c r="DR96" s="190" t="n">
        <v>7.51048476871999</v>
      </c>
      <c r="DS96" s="190" t="n">
        <v>7.58022045673999</v>
      </c>
      <c r="DT96" s="190" t="n">
        <v>7.64995614475999</v>
      </c>
      <c r="DU96" s="190" t="n">
        <v>7.71969183277999</v>
      </c>
      <c r="DV96" s="190" t="n">
        <v>7.78942752079998</v>
      </c>
      <c r="DW96" s="190" t="n">
        <v>7.85916320881998</v>
      </c>
      <c r="DX96" s="190" t="n">
        <v>7.92889889683998</v>
      </c>
      <c r="DY96" s="190" t="n">
        <v>7.99863458485998</v>
      </c>
      <c r="DZ96" s="190" t="n">
        <v>8.06837027287998</v>
      </c>
      <c r="EA96" s="190" t="n">
        <v>8.13810596089998</v>
      </c>
      <c r="EB96" s="190" t="n">
        <v>8.20784164891998</v>
      </c>
      <c r="EC96" s="190" t="n">
        <v>8.27757733693998</v>
      </c>
      <c r="ED96" s="190" t="n">
        <v>8.34731302495998</v>
      </c>
      <c r="EE96" s="190" t="n">
        <v>8.41704871297998</v>
      </c>
      <c r="EF96" s="190" t="n">
        <v>8.48678440099998</v>
      </c>
      <c r="EG96" s="190" t="n">
        <v>8.55652008901998</v>
      </c>
      <c r="EH96" s="190" t="n">
        <v>8.62625577703998</v>
      </c>
      <c r="EI96" s="190" t="n">
        <v>8.69599146505998</v>
      </c>
      <c r="EJ96" s="190" t="n">
        <v>8.76572715307998</v>
      </c>
      <c r="EK96" s="190" t="n">
        <v>8.83546284109998</v>
      </c>
      <c r="EL96" s="180" t="n">
        <v>8.90519852911998</v>
      </c>
      <c r="EM96" s="180" t="n">
        <v>8.97493421713998</v>
      </c>
      <c r="EN96" s="180" t="n">
        <v>9.04466990515998</v>
      </c>
      <c r="EO96" s="180" t="n">
        <v>9.11440559317998</v>
      </c>
      <c r="EP96" s="180" t="n">
        <v>9.18414128119998</v>
      </c>
      <c r="EQ96" s="180" t="n">
        <v>9.25387696921998</v>
      </c>
      <c r="ER96" s="180" t="n">
        <v>9.32361265723998</v>
      </c>
      <c r="ES96" s="180" t="n">
        <v>9.39334834525998</v>
      </c>
      <c r="ET96" s="180" t="n">
        <v>9.46308403327998</v>
      </c>
      <c r="EU96" s="180" t="n">
        <v>9.53281972129998</v>
      </c>
      <c r="EV96" s="180" t="n">
        <v>9.60255540931998</v>
      </c>
      <c r="EW96" s="180" t="n">
        <v>9.67229109733998</v>
      </c>
      <c r="EX96" s="180" t="n">
        <v>9.74202678535998</v>
      </c>
      <c r="EY96" s="180" t="n">
        <v>9.81176247337998</v>
      </c>
      <c r="EZ96" s="180" t="n">
        <v>9.88149816139998</v>
      </c>
      <c r="FA96" s="180" t="n">
        <v>9.95123384941998</v>
      </c>
      <c r="FB96" s="180" t="n">
        <v>10.02096953744</v>
      </c>
      <c r="FC96" s="180" t="n">
        <v>10.09070522546</v>
      </c>
      <c r="FD96" s="180" t="n">
        <v>10.16044091348</v>
      </c>
      <c r="FE96" s="180" t="n">
        <v>10.2301766015</v>
      </c>
      <c r="FF96" s="180" t="n">
        <v>10.29991228952</v>
      </c>
      <c r="FG96" s="180" t="n">
        <v>10.36964797754</v>
      </c>
      <c r="FH96" s="180" t="n">
        <v>10.43938366556</v>
      </c>
      <c r="FI96" s="180" t="n">
        <v>10.50911935358</v>
      </c>
      <c r="FJ96" s="180" t="n">
        <v>10.5788550416</v>
      </c>
      <c r="FK96" s="180" t="n">
        <v>10.64859072962</v>
      </c>
      <c r="FL96" s="180" t="n">
        <v>10.71832641764</v>
      </c>
      <c r="FM96" s="180" t="n">
        <v>10.78806210566</v>
      </c>
      <c r="FN96" s="180" t="n">
        <v>10.85779779368</v>
      </c>
      <c r="FO96" s="180" t="n">
        <v>10.9275334817</v>
      </c>
      <c r="FP96" s="180" t="n">
        <v>10.99726916972</v>
      </c>
      <c r="FQ96" s="180" t="n">
        <v>11.06700485774</v>
      </c>
      <c r="FR96" s="180" t="n">
        <v>11.13674054576</v>
      </c>
      <c r="FS96" s="180" t="n">
        <v>11.20647623378</v>
      </c>
      <c r="FT96" s="180" t="n">
        <v>11.2762119218</v>
      </c>
      <c r="FU96" s="180" t="n">
        <v>11.34594760982</v>
      </c>
      <c r="FV96" s="180" t="n">
        <v>11.41568329784</v>
      </c>
      <c r="FW96" s="180" t="n">
        <v>11.48541898586</v>
      </c>
      <c r="FX96" s="180" t="n">
        <v>11.55515467388</v>
      </c>
      <c r="FY96" s="180" t="n">
        <v>11.6248903619</v>
      </c>
      <c r="FZ96" s="180" t="n">
        <v>11.69462604992</v>
      </c>
      <c r="GA96" s="180" t="n">
        <v>11.76436173794</v>
      </c>
      <c r="GB96" s="180" t="n">
        <v>11.83409742596</v>
      </c>
      <c r="GC96" s="180" t="n">
        <v>11.90383311398</v>
      </c>
      <c r="GD96" s="180" t="n">
        <v>11.973568802</v>
      </c>
      <c r="GE96" s="180" t="n">
        <v>12.04330449002</v>
      </c>
      <c r="GF96" s="180" t="n">
        <v>12.11304017804</v>
      </c>
      <c r="GG96" s="180" t="n">
        <v>12.18277586606</v>
      </c>
      <c r="GH96" s="180" t="n">
        <v>12.25251155408</v>
      </c>
      <c r="GI96" s="180" t="n">
        <v>12.3222472421</v>
      </c>
      <c r="GJ96" s="180" t="n">
        <v>12.39198293012</v>
      </c>
      <c r="GK96" s="180" t="n">
        <v>12.46171861814</v>
      </c>
      <c r="GL96" s="180" t="n">
        <v>12.53145430616</v>
      </c>
      <c r="GM96" s="180" t="n">
        <v>12.60118999418</v>
      </c>
      <c r="GN96" s="180" t="n">
        <v>12.6709256822</v>
      </c>
      <c r="GO96" s="180" t="n">
        <v>12.74066137022</v>
      </c>
      <c r="GP96" s="180" t="n">
        <v>12.81039705824</v>
      </c>
      <c r="GQ96" s="180" t="n">
        <v>12.88013274626</v>
      </c>
      <c r="GR96" s="180" t="n">
        <v>12.94986843428</v>
      </c>
      <c r="GS96" s="180" t="n">
        <v>13.0196041223</v>
      </c>
      <c r="GT96" s="180" t="n">
        <v>13.08933981032</v>
      </c>
      <c r="GU96" s="180" t="n">
        <v>13.15907549834</v>
      </c>
      <c r="GV96" s="180" t="n">
        <v>13.22881118636</v>
      </c>
      <c r="GW96" s="180" t="n">
        <v>13.29854687438</v>
      </c>
      <c r="GX96" s="180" t="n">
        <v>13.3682825624</v>
      </c>
      <c r="GY96" s="180" t="n">
        <v>13.43801825042</v>
      </c>
      <c r="GZ96" s="180" t="n">
        <v>13.50775393844</v>
      </c>
      <c r="HA96" s="180" t="n">
        <v>13.57748962646</v>
      </c>
      <c r="HB96" s="180" t="n">
        <v>13.64722531448</v>
      </c>
      <c r="HC96" s="180" t="n">
        <v>13.7169610025</v>
      </c>
      <c r="HD96" s="180" t="n">
        <v>13.78669669052</v>
      </c>
      <c r="HE96" s="180" t="n">
        <v>13.85643237854</v>
      </c>
      <c r="HF96" s="180" t="n">
        <v>13.92616806656</v>
      </c>
      <c r="HG96" s="180" t="n">
        <v>13.99590375458</v>
      </c>
      <c r="HH96" s="180" t="n">
        <v>14.0656394426</v>
      </c>
      <c r="HI96" s="180" t="n">
        <v>14.13537513062</v>
      </c>
      <c r="HJ96" s="180" t="n">
        <v>14.20511081864</v>
      </c>
      <c r="HK96" s="180" t="n">
        <v>14.27484650666</v>
      </c>
      <c r="HL96" s="180" t="n">
        <v>14.34458219468</v>
      </c>
      <c r="HM96" s="180" t="n">
        <v>14.4143178827</v>
      </c>
      <c r="HN96" s="180" t="n">
        <v>14.48405357072</v>
      </c>
      <c r="HO96" s="180" t="n">
        <v>14.55378925874</v>
      </c>
      <c r="HP96" s="180" t="n">
        <v>14.62352494676</v>
      </c>
      <c r="HQ96" s="180" t="n">
        <v>14.69326063478</v>
      </c>
      <c r="HR96" s="180" t="n">
        <v>14.7629963228</v>
      </c>
      <c r="HS96" s="180" t="n">
        <v>14.83273201082</v>
      </c>
      <c r="HT96" s="180" t="n">
        <v>14.90246769884</v>
      </c>
      <c r="HU96" s="180" t="n">
        <v>14.97220338686</v>
      </c>
      <c r="HV96" s="180" t="n">
        <v>15.04193907488</v>
      </c>
      <c r="HW96" s="180" t="n">
        <v>15.1116747629</v>
      </c>
      <c r="HX96" s="180" t="n">
        <v>15.18141045092</v>
      </c>
      <c r="HY96" s="180" t="n">
        <v>15.25114613894</v>
      </c>
      <c r="HZ96" s="180" t="n">
        <v>15.32088182696</v>
      </c>
      <c r="IA96" s="180" t="n">
        <v>15.39061751498</v>
      </c>
      <c r="IB96" s="180" t="n">
        <v>15.460353203</v>
      </c>
      <c r="IC96" s="180" t="n">
        <v>15.53008889102</v>
      </c>
      <c r="ID96" s="180" t="n">
        <v>15.59982457904</v>
      </c>
      <c r="IE96" s="180" t="n">
        <v>15.66956026706</v>
      </c>
      <c r="IF96" s="180" t="n">
        <v>15.73929595508</v>
      </c>
      <c r="IG96" s="180" t="n">
        <v>15.8090316431</v>
      </c>
      <c r="IH96" s="180" t="n">
        <v>15.87876733112</v>
      </c>
      <c r="II96" s="180" t="n">
        <v>15.94850301914</v>
      </c>
      <c r="IJ96" s="180" t="n">
        <v>16.01823870716</v>
      </c>
      <c r="IK96" s="180" t="n">
        <v>16.08797439518</v>
      </c>
      <c r="IL96" s="180" t="n">
        <v>16.1577100832</v>
      </c>
      <c r="IM96" s="180" t="n">
        <v>16.22744577122</v>
      </c>
      <c r="IN96" s="180" t="n">
        <v>16.29718145924</v>
      </c>
      <c r="IO96" s="180" t="n">
        <v>16.36691714726</v>
      </c>
      <c r="IP96" s="180" t="n">
        <v>16.43665283528</v>
      </c>
      <c r="IQ96" s="180" t="n">
        <v>16.5063885233</v>
      </c>
      <c r="IR96" s="180" t="n">
        <v>16.57612421132</v>
      </c>
      <c r="IS96" s="180" t="n">
        <v>16.64585989934</v>
      </c>
      <c r="IT96" s="180" t="n">
        <v>16.71559558736</v>
      </c>
      <c r="IU96" s="180" t="n">
        <v>16.78533127538</v>
      </c>
      <c r="IV96" s="180" t="n">
        <v>16.8550669634</v>
      </c>
    </row>
    <row r="97" customFormat="false" ht="12.75" hidden="false" customHeight="false" outlineLevel="0" collapsed="false">
      <c r="A97" s="189" t="n">
        <v>39630</v>
      </c>
      <c r="B97" s="185" t="n">
        <v>-2.021005929375</v>
      </c>
      <c r="C97" s="185" t="n">
        <v>-1.9907047400625</v>
      </c>
      <c r="D97" s="185" t="n">
        <v>-1.96040355075</v>
      </c>
      <c r="E97" s="185" t="n">
        <v>-1.9301023614375</v>
      </c>
      <c r="F97" s="185" t="n">
        <v>-1.899801172125</v>
      </c>
      <c r="G97" s="185" t="n">
        <v>-1.8694999828125</v>
      </c>
      <c r="H97" s="185" t="n">
        <v>-1.8391987935</v>
      </c>
      <c r="I97" s="185" t="n">
        <v>-1.8088976041875</v>
      </c>
      <c r="J97" s="185" t="n">
        <v>-1.778596414875</v>
      </c>
      <c r="K97" s="185" t="n">
        <v>-1.7482952255625</v>
      </c>
      <c r="L97" s="185" t="n">
        <v>-1.71799403625</v>
      </c>
      <c r="M97" s="185" t="n">
        <v>-1.6876928469375</v>
      </c>
      <c r="N97" s="185" t="n">
        <v>-1.657391657625</v>
      </c>
      <c r="O97" s="185" t="n">
        <v>-1.6270904683125</v>
      </c>
      <c r="P97" s="185" t="n">
        <v>-1.596789279</v>
      </c>
      <c r="Q97" s="185" t="n">
        <v>-1.5664880896875</v>
      </c>
      <c r="R97" s="185" t="n">
        <v>-1.536186900375</v>
      </c>
      <c r="S97" s="185" t="n">
        <v>-1.5058857110625</v>
      </c>
      <c r="T97" s="185" t="n">
        <v>-1.47558452175</v>
      </c>
      <c r="U97" s="185" t="n">
        <v>-1.4452833324375</v>
      </c>
      <c r="V97" s="186" t="n">
        <v>-1.414982143125</v>
      </c>
      <c r="W97" s="185" t="n">
        <v>-1.3846809538125</v>
      </c>
      <c r="X97" s="186" t="n">
        <v>-1.3543797645</v>
      </c>
      <c r="Y97" s="185" t="n">
        <v>-1.3240785751875</v>
      </c>
      <c r="Z97" s="186" t="n">
        <v>-1.293777385875</v>
      </c>
      <c r="AA97" s="185" t="n">
        <v>-1.2634761965625</v>
      </c>
      <c r="AB97" s="187" t="n">
        <v>-1.23317500725</v>
      </c>
      <c r="AC97" s="185" t="n">
        <v>-1.2028738179375</v>
      </c>
      <c r="AD97" s="187" t="n">
        <v>-1.172572628625</v>
      </c>
      <c r="AE97" s="185" t="n">
        <v>-1.1422714393125</v>
      </c>
      <c r="AF97" s="185" t="n">
        <v>-1.11197025</v>
      </c>
      <c r="AG97" s="190" t="n">
        <v>-1.083235125</v>
      </c>
      <c r="AH97" s="190" t="n">
        <v>-1.0545</v>
      </c>
      <c r="AI97" s="190" t="n">
        <v>-1.02725</v>
      </c>
      <c r="AJ97" s="190" t="n">
        <v>-1</v>
      </c>
      <c r="AK97" s="190" t="n">
        <v>-0.8</v>
      </c>
      <c r="AL97" s="190" t="n">
        <v>-0.6</v>
      </c>
      <c r="AM97" s="190" t="n">
        <v>-0.4</v>
      </c>
      <c r="AN97" s="190" t="n">
        <v>-0.2</v>
      </c>
      <c r="AO97" s="190" t="n">
        <v>0</v>
      </c>
      <c r="AP97" s="190" t="n">
        <v>0.2</v>
      </c>
      <c r="AQ97" s="190" t="n">
        <v>0.4</v>
      </c>
      <c r="AR97" s="190" t="n">
        <v>0.6</v>
      </c>
      <c r="AS97" s="190" t="n">
        <v>0.8</v>
      </c>
      <c r="AT97" s="190" t="n">
        <v>1</v>
      </c>
      <c r="AU97" s="190" t="n">
        <v>1.2</v>
      </c>
      <c r="AV97" s="190" t="n">
        <v>1.4</v>
      </c>
      <c r="AW97" s="190" t="n">
        <v>1.58</v>
      </c>
      <c r="AX97" s="190" t="n">
        <v>1.76</v>
      </c>
      <c r="AY97" s="190" t="n">
        <v>1.922</v>
      </c>
      <c r="AZ97" s="190" t="n">
        <v>2.084</v>
      </c>
      <c r="BA97" s="190" t="n">
        <v>2.2298</v>
      </c>
      <c r="BB97" s="190" t="n">
        <v>2.3756</v>
      </c>
      <c r="BC97" s="190" t="n">
        <v>2.50682</v>
      </c>
      <c r="BD97" s="190" t="n">
        <v>2.63804</v>
      </c>
      <c r="BE97" s="190" t="n">
        <v>2.756138</v>
      </c>
      <c r="BF97" s="190" t="n">
        <v>2.874236</v>
      </c>
      <c r="BG97" s="190" t="n">
        <v>2.9805242</v>
      </c>
      <c r="BH97" s="190" t="n">
        <v>3.0868124</v>
      </c>
      <c r="BI97" s="190" t="n">
        <v>3.18247178</v>
      </c>
      <c r="BJ97" s="190" t="n">
        <v>3.27813116</v>
      </c>
      <c r="BK97" s="190" t="n">
        <v>3.364224602</v>
      </c>
      <c r="BL97" s="190" t="n">
        <v>3.450318044</v>
      </c>
      <c r="BM97" s="190" t="n">
        <v>3.5278021418</v>
      </c>
      <c r="BN97" s="190" t="n">
        <v>3.6052862396</v>
      </c>
      <c r="BO97" s="190" t="n">
        <v>3.67502192762</v>
      </c>
      <c r="BP97" s="190" t="n">
        <v>3.74475761564</v>
      </c>
      <c r="BQ97" s="190" t="n">
        <v>3.81449330366</v>
      </c>
      <c r="BR97" s="190" t="n">
        <v>3.88422899168</v>
      </c>
      <c r="BS97" s="190" t="n">
        <v>3.9539646797</v>
      </c>
      <c r="BT97" s="190" t="n">
        <v>4.02370036772</v>
      </c>
      <c r="BU97" s="190" t="n">
        <v>4.09343605574</v>
      </c>
      <c r="BV97" s="190" t="n">
        <v>4.16317174376</v>
      </c>
      <c r="BW97" s="190" t="n">
        <v>4.23290743178</v>
      </c>
      <c r="BX97" s="190" t="n">
        <v>4.3026431198</v>
      </c>
      <c r="BY97" s="190" t="n">
        <v>4.37237880782</v>
      </c>
      <c r="BZ97" s="190" t="n">
        <v>4.44211449584</v>
      </c>
      <c r="CA97" s="190" t="n">
        <v>4.51185018386</v>
      </c>
      <c r="CB97" s="190" t="n">
        <v>4.58158587188</v>
      </c>
      <c r="CC97" s="190" t="n">
        <v>4.6513215599</v>
      </c>
      <c r="CD97" s="190" t="n">
        <v>4.72105724792</v>
      </c>
      <c r="CE97" s="190" t="n">
        <v>4.79079293594</v>
      </c>
      <c r="CF97" s="190" t="n">
        <v>4.86052862396</v>
      </c>
      <c r="CG97" s="190" t="n">
        <v>4.93026431198</v>
      </c>
      <c r="CH97" s="190" t="n">
        <v>5</v>
      </c>
      <c r="CI97" s="190" t="n">
        <v>5.06973568801999</v>
      </c>
      <c r="CJ97" s="190" t="n">
        <v>5.13947137603999</v>
      </c>
      <c r="CK97" s="190" t="n">
        <v>5.20920706405999</v>
      </c>
      <c r="CL97" s="190" t="n">
        <v>5.27894275207999</v>
      </c>
      <c r="CM97" s="190" t="n">
        <v>5.34867844009999</v>
      </c>
      <c r="CN97" s="190" t="n">
        <v>5.41841412811999</v>
      </c>
      <c r="CO97" s="190" t="n">
        <v>5.48814981613999</v>
      </c>
      <c r="CP97" s="190" t="n">
        <v>5.55788550415999</v>
      </c>
      <c r="CQ97" s="190" t="n">
        <v>5.62762119217999</v>
      </c>
      <c r="CR97" s="190" t="n">
        <v>5.69735688019999</v>
      </c>
      <c r="CS97" s="190" t="n">
        <v>5.76709256821999</v>
      </c>
      <c r="CT97" s="190" t="n">
        <v>5.83682825623999</v>
      </c>
      <c r="CU97" s="190" t="n">
        <v>5.90656394425999</v>
      </c>
      <c r="CV97" s="190" t="n">
        <v>5.97629963227999</v>
      </c>
      <c r="CW97" s="190" t="n">
        <v>6.04603532029999</v>
      </c>
      <c r="CX97" s="190" t="n">
        <v>6.11577100831999</v>
      </c>
      <c r="CY97" s="190" t="n">
        <v>6.18550669633999</v>
      </c>
      <c r="CZ97" s="190" t="n">
        <v>6.25524238435999</v>
      </c>
      <c r="DA97" s="190" t="n">
        <v>6.32497807237999</v>
      </c>
      <c r="DB97" s="190" t="n">
        <v>6.39471376039999</v>
      </c>
      <c r="DC97" s="190" t="n">
        <v>6.46444944841999</v>
      </c>
      <c r="DD97" s="190" t="n">
        <v>6.53418513643999</v>
      </c>
      <c r="DE97" s="190" t="n">
        <v>6.60392082445999</v>
      </c>
      <c r="DF97" s="190" t="n">
        <v>6.67365651247999</v>
      </c>
      <c r="DG97" s="190" t="n">
        <v>6.74339220049999</v>
      </c>
      <c r="DH97" s="190" t="n">
        <v>6.81312788851999</v>
      </c>
      <c r="DI97" s="190" t="n">
        <v>6.88286357653999</v>
      </c>
      <c r="DJ97" s="190" t="n">
        <v>6.95259926455999</v>
      </c>
      <c r="DK97" s="190" t="n">
        <v>7.02233495257999</v>
      </c>
      <c r="DL97" s="190" t="n">
        <v>7.09207064059999</v>
      </c>
      <c r="DM97" s="190" t="n">
        <v>7.16180632861999</v>
      </c>
      <c r="DN97" s="190" t="n">
        <v>7.23154201663999</v>
      </c>
      <c r="DO97" s="190" t="n">
        <v>7.30127770465999</v>
      </c>
      <c r="DP97" s="190" t="n">
        <v>7.37101339267999</v>
      </c>
      <c r="DQ97" s="190" t="n">
        <v>7.44074908069999</v>
      </c>
      <c r="DR97" s="190" t="n">
        <v>7.51048476871999</v>
      </c>
      <c r="DS97" s="190" t="n">
        <v>7.58022045673999</v>
      </c>
      <c r="DT97" s="190" t="n">
        <v>7.64995614475999</v>
      </c>
      <c r="DU97" s="190" t="n">
        <v>7.71969183277999</v>
      </c>
      <c r="DV97" s="190" t="n">
        <v>7.78942752079998</v>
      </c>
      <c r="DW97" s="190" t="n">
        <v>7.85916320881998</v>
      </c>
      <c r="DX97" s="190" t="n">
        <v>7.92889889683998</v>
      </c>
      <c r="DY97" s="190" t="n">
        <v>7.99863458485998</v>
      </c>
      <c r="DZ97" s="190" t="n">
        <v>8.06837027287998</v>
      </c>
      <c r="EA97" s="190" t="n">
        <v>8.13810596089998</v>
      </c>
      <c r="EB97" s="190" t="n">
        <v>8.20784164891998</v>
      </c>
      <c r="EC97" s="190" t="n">
        <v>8.27757733693998</v>
      </c>
      <c r="ED97" s="190" t="n">
        <v>8.34731302495998</v>
      </c>
      <c r="EE97" s="190" t="n">
        <v>8.41704871297998</v>
      </c>
      <c r="EF97" s="190" t="n">
        <v>8.48678440099998</v>
      </c>
      <c r="EG97" s="190" t="n">
        <v>8.55652008901998</v>
      </c>
      <c r="EH97" s="190" t="n">
        <v>8.62625577703998</v>
      </c>
      <c r="EI97" s="190" t="n">
        <v>8.69599146505998</v>
      </c>
      <c r="EJ97" s="190" t="n">
        <v>8.76572715307998</v>
      </c>
      <c r="EK97" s="190" t="n">
        <v>8.83546284109998</v>
      </c>
      <c r="EL97" s="180" t="n">
        <v>8.90519852911998</v>
      </c>
      <c r="EM97" s="180" t="n">
        <v>8.97493421713998</v>
      </c>
      <c r="EN97" s="180" t="n">
        <v>9.04466990515998</v>
      </c>
      <c r="EO97" s="180" t="n">
        <v>9.11440559317998</v>
      </c>
      <c r="EP97" s="180" t="n">
        <v>9.18414128119998</v>
      </c>
      <c r="EQ97" s="180" t="n">
        <v>9.25387696921998</v>
      </c>
      <c r="ER97" s="180" t="n">
        <v>9.32361265723998</v>
      </c>
      <c r="ES97" s="180" t="n">
        <v>9.39334834525998</v>
      </c>
      <c r="ET97" s="180" t="n">
        <v>9.46308403327998</v>
      </c>
      <c r="EU97" s="180" t="n">
        <v>9.53281972129998</v>
      </c>
      <c r="EV97" s="180" t="n">
        <v>9.60255540931998</v>
      </c>
      <c r="EW97" s="180" t="n">
        <v>9.67229109733998</v>
      </c>
      <c r="EX97" s="180" t="n">
        <v>9.74202678535998</v>
      </c>
      <c r="EY97" s="180" t="n">
        <v>9.81176247337998</v>
      </c>
      <c r="EZ97" s="180" t="n">
        <v>9.88149816139998</v>
      </c>
      <c r="FA97" s="180" t="n">
        <v>9.95123384941998</v>
      </c>
      <c r="FB97" s="180" t="n">
        <v>10.02096953744</v>
      </c>
      <c r="FC97" s="180" t="n">
        <v>10.09070522546</v>
      </c>
      <c r="FD97" s="180" t="n">
        <v>10.16044091348</v>
      </c>
      <c r="FE97" s="180" t="n">
        <v>10.2301766015</v>
      </c>
      <c r="FF97" s="180" t="n">
        <v>10.29991228952</v>
      </c>
      <c r="FG97" s="180" t="n">
        <v>10.36964797754</v>
      </c>
      <c r="FH97" s="180" t="n">
        <v>10.43938366556</v>
      </c>
      <c r="FI97" s="180" t="n">
        <v>10.50911935358</v>
      </c>
      <c r="FJ97" s="180" t="n">
        <v>10.5788550416</v>
      </c>
      <c r="FK97" s="180" t="n">
        <v>10.64859072962</v>
      </c>
      <c r="FL97" s="180" t="n">
        <v>10.71832641764</v>
      </c>
      <c r="FM97" s="180" t="n">
        <v>10.78806210566</v>
      </c>
      <c r="FN97" s="180" t="n">
        <v>10.85779779368</v>
      </c>
      <c r="FO97" s="180" t="n">
        <v>10.9275334817</v>
      </c>
      <c r="FP97" s="180" t="n">
        <v>10.99726916972</v>
      </c>
      <c r="FQ97" s="180" t="n">
        <v>11.06700485774</v>
      </c>
      <c r="FR97" s="180" t="n">
        <v>11.13674054576</v>
      </c>
      <c r="FS97" s="180" t="n">
        <v>11.20647623378</v>
      </c>
      <c r="FT97" s="180" t="n">
        <v>11.2762119218</v>
      </c>
      <c r="FU97" s="180" t="n">
        <v>11.34594760982</v>
      </c>
      <c r="FV97" s="180" t="n">
        <v>11.41568329784</v>
      </c>
      <c r="FW97" s="180" t="n">
        <v>11.48541898586</v>
      </c>
      <c r="FX97" s="180" t="n">
        <v>11.55515467388</v>
      </c>
      <c r="FY97" s="180" t="n">
        <v>11.6248903619</v>
      </c>
      <c r="FZ97" s="180" t="n">
        <v>11.69462604992</v>
      </c>
      <c r="GA97" s="180" t="n">
        <v>11.76436173794</v>
      </c>
      <c r="GB97" s="180" t="n">
        <v>11.83409742596</v>
      </c>
      <c r="GC97" s="180" t="n">
        <v>11.90383311398</v>
      </c>
      <c r="GD97" s="180" t="n">
        <v>11.973568802</v>
      </c>
      <c r="GE97" s="180" t="n">
        <v>12.04330449002</v>
      </c>
      <c r="GF97" s="180" t="n">
        <v>12.11304017804</v>
      </c>
      <c r="GG97" s="180" t="n">
        <v>12.18277586606</v>
      </c>
      <c r="GH97" s="180" t="n">
        <v>12.25251155408</v>
      </c>
      <c r="GI97" s="180" t="n">
        <v>12.3222472421</v>
      </c>
      <c r="GJ97" s="180" t="n">
        <v>12.39198293012</v>
      </c>
      <c r="GK97" s="180" t="n">
        <v>12.46171861814</v>
      </c>
      <c r="GL97" s="180" t="n">
        <v>12.53145430616</v>
      </c>
      <c r="GM97" s="180" t="n">
        <v>12.60118999418</v>
      </c>
      <c r="GN97" s="180" t="n">
        <v>12.6709256822</v>
      </c>
      <c r="GO97" s="180" t="n">
        <v>12.74066137022</v>
      </c>
      <c r="GP97" s="180" t="n">
        <v>12.81039705824</v>
      </c>
      <c r="GQ97" s="180" t="n">
        <v>12.88013274626</v>
      </c>
      <c r="GR97" s="180" t="n">
        <v>12.94986843428</v>
      </c>
      <c r="GS97" s="180" t="n">
        <v>13.0196041223</v>
      </c>
      <c r="GT97" s="180" t="n">
        <v>13.08933981032</v>
      </c>
      <c r="GU97" s="180" t="n">
        <v>13.15907549834</v>
      </c>
      <c r="GV97" s="180" t="n">
        <v>13.22881118636</v>
      </c>
      <c r="GW97" s="180" t="n">
        <v>13.29854687438</v>
      </c>
      <c r="GX97" s="180" t="n">
        <v>13.3682825624</v>
      </c>
      <c r="GY97" s="180" t="n">
        <v>13.43801825042</v>
      </c>
      <c r="GZ97" s="180" t="n">
        <v>13.50775393844</v>
      </c>
      <c r="HA97" s="180" t="n">
        <v>13.57748962646</v>
      </c>
      <c r="HB97" s="180" t="n">
        <v>13.64722531448</v>
      </c>
      <c r="HC97" s="180" t="n">
        <v>13.7169610025</v>
      </c>
      <c r="HD97" s="180" t="n">
        <v>13.78669669052</v>
      </c>
      <c r="HE97" s="180" t="n">
        <v>13.85643237854</v>
      </c>
      <c r="HF97" s="180" t="n">
        <v>13.92616806656</v>
      </c>
      <c r="HG97" s="180" t="n">
        <v>13.99590375458</v>
      </c>
      <c r="HH97" s="180" t="n">
        <v>14.0656394426</v>
      </c>
      <c r="HI97" s="180" t="n">
        <v>14.13537513062</v>
      </c>
      <c r="HJ97" s="180" t="n">
        <v>14.20511081864</v>
      </c>
      <c r="HK97" s="180" t="n">
        <v>14.27484650666</v>
      </c>
      <c r="HL97" s="180" t="n">
        <v>14.34458219468</v>
      </c>
      <c r="HM97" s="180" t="n">
        <v>14.4143178827</v>
      </c>
      <c r="HN97" s="180" t="n">
        <v>14.48405357072</v>
      </c>
      <c r="HO97" s="180" t="n">
        <v>14.55378925874</v>
      </c>
      <c r="HP97" s="180" t="n">
        <v>14.62352494676</v>
      </c>
      <c r="HQ97" s="180" t="n">
        <v>14.69326063478</v>
      </c>
      <c r="HR97" s="180" t="n">
        <v>14.7629963228</v>
      </c>
      <c r="HS97" s="180" t="n">
        <v>14.83273201082</v>
      </c>
      <c r="HT97" s="180" t="n">
        <v>14.90246769884</v>
      </c>
      <c r="HU97" s="180" t="n">
        <v>14.97220338686</v>
      </c>
      <c r="HV97" s="180" t="n">
        <v>15.04193907488</v>
      </c>
      <c r="HW97" s="180" t="n">
        <v>15.1116747629</v>
      </c>
      <c r="HX97" s="180" t="n">
        <v>15.18141045092</v>
      </c>
      <c r="HY97" s="180" t="n">
        <v>15.25114613894</v>
      </c>
      <c r="HZ97" s="180" t="n">
        <v>15.32088182696</v>
      </c>
      <c r="IA97" s="180" t="n">
        <v>15.39061751498</v>
      </c>
      <c r="IB97" s="180" t="n">
        <v>15.460353203</v>
      </c>
      <c r="IC97" s="180" t="n">
        <v>15.53008889102</v>
      </c>
      <c r="ID97" s="180" t="n">
        <v>15.59982457904</v>
      </c>
      <c r="IE97" s="180" t="n">
        <v>15.66956026706</v>
      </c>
      <c r="IF97" s="180" t="n">
        <v>15.73929595508</v>
      </c>
      <c r="IG97" s="180" t="n">
        <v>15.8090316431</v>
      </c>
      <c r="IH97" s="180" t="n">
        <v>15.87876733112</v>
      </c>
      <c r="II97" s="180" t="n">
        <v>15.94850301914</v>
      </c>
      <c r="IJ97" s="180" t="n">
        <v>16.01823870716</v>
      </c>
      <c r="IK97" s="180" t="n">
        <v>16.08797439518</v>
      </c>
      <c r="IL97" s="180" t="n">
        <v>16.1577100832</v>
      </c>
      <c r="IM97" s="180" t="n">
        <v>16.22744577122</v>
      </c>
      <c r="IN97" s="180" t="n">
        <v>16.29718145924</v>
      </c>
      <c r="IO97" s="180" t="n">
        <v>16.36691714726</v>
      </c>
      <c r="IP97" s="180" t="n">
        <v>16.43665283528</v>
      </c>
      <c r="IQ97" s="180" t="n">
        <v>16.5063885233</v>
      </c>
      <c r="IR97" s="180" t="n">
        <v>16.57612421132</v>
      </c>
      <c r="IS97" s="180" t="n">
        <v>16.64585989934</v>
      </c>
      <c r="IT97" s="180" t="n">
        <v>16.71559558736</v>
      </c>
      <c r="IU97" s="180" t="n">
        <v>16.78533127538</v>
      </c>
      <c r="IV97" s="180" t="n">
        <v>16.8550669634</v>
      </c>
    </row>
    <row r="98" customFormat="false" ht="12.75" hidden="false" customHeight="false" outlineLevel="0" collapsed="false">
      <c r="A98" s="189" t="n">
        <v>39661</v>
      </c>
      <c r="B98" s="185" t="n">
        <v>-2.021005929375</v>
      </c>
      <c r="C98" s="185" t="n">
        <v>-1.9907047400625</v>
      </c>
      <c r="D98" s="185" t="n">
        <v>-1.96040355075</v>
      </c>
      <c r="E98" s="185" t="n">
        <v>-1.9301023614375</v>
      </c>
      <c r="F98" s="185" t="n">
        <v>-1.899801172125</v>
      </c>
      <c r="G98" s="185" t="n">
        <v>-1.8694999828125</v>
      </c>
      <c r="H98" s="185" t="n">
        <v>-1.8391987935</v>
      </c>
      <c r="I98" s="185" t="n">
        <v>-1.8088976041875</v>
      </c>
      <c r="J98" s="185" t="n">
        <v>-1.778596414875</v>
      </c>
      <c r="K98" s="185" t="n">
        <v>-1.7482952255625</v>
      </c>
      <c r="L98" s="185" t="n">
        <v>-1.71799403625</v>
      </c>
      <c r="M98" s="185" t="n">
        <v>-1.6876928469375</v>
      </c>
      <c r="N98" s="185" t="n">
        <v>-1.657391657625</v>
      </c>
      <c r="O98" s="185" t="n">
        <v>-1.6270904683125</v>
      </c>
      <c r="P98" s="185" t="n">
        <v>-1.596789279</v>
      </c>
      <c r="Q98" s="185" t="n">
        <v>-1.5664880896875</v>
      </c>
      <c r="R98" s="185" t="n">
        <v>-1.536186900375</v>
      </c>
      <c r="S98" s="185" t="n">
        <v>-1.5058857110625</v>
      </c>
      <c r="T98" s="185" t="n">
        <v>-1.47558452175</v>
      </c>
      <c r="U98" s="185" t="n">
        <v>-1.4452833324375</v>
      </c>
      <c r="V98" s="186" t="n">
        <v>-1.414982143125</v>
      </c>
      <c r="W98" s="185" t="n">
        <v>-1.3846809538125</v>
      </c>
      <c r="X98" s="186" t="n">
        <v>-1.3543797645</v>
      </c>
      <c r="Y98" s="185" t="n">
        <v>-1.3240785751875</v>
      </c>
      <c r="Z98" s="186" t="n">
        <v>-1.293777385875</v>
      </c>
      <c r="AA98" s="185" t="n">
        <v>-1.2634761965625</v>
      </c>
      <c r="AB98" s="187" t="n">
        <v>-1.23317500725</v>
      </c>
      <c r="AC98" s="185" t="n">
        <v>-1.2028738179375</v>
      </c>
      <c r="AD98" s="187" t="n">
        <v>-1.172572628625</v>
      </c>
      <c r="AE98" s="185" t="n">
        <v>-1.1422714393125</v>
      </c>
      <c r="AF98" s="185" t="n">
        <v>-1.11197025</v>
      </c>
      <c r="AG98" s="190" t="n">
        <v>-1.083235125</v>
      </c>
      <c r="AH98" s="190" t="n">
        <v>-1.0545</v>
      </c>
      <c r="AI98" s="190" t="n">
        <v>-1.02725</v>
      </c>
      <c r="AJ98" s="190" t="n">
        <v>-1</v>
      </c>
      <c r="AK98" s="190" t="n">
        <v>-0.8</v>
      </c>
      <c r="AL98" s="190" t="n">
        <v>-0.6</v>
      </c>
      <c r="AM98" s="190" t="n">
        <v>-0.4</v>
      </c>
      <c r="AN98" s="190" t="n">
        <v>-0.2</v>
      </c>
      <c r="AO98" s="190" t="n">
        <v>0</v>
      </c>
      <c r="AP98" s="190" t="n">
        <v>0.2</v>
      </c>
      <c r="AQ98" s="190" t="n">
        <v>0.4</v>
      </c>
      <c r="AR98" s="190" t="n">
        <v>0.6</v>
      </c>
      <c r="AS98" s="190" t="n">
        <v>0.8</v>
      </c>
      <c r="AT98" s="190" t="n">
        <v>1</v>
      </c>
      <c r="AU98" s="190" t="n">
        <v>1.2</v>
      </c>
      <c r="AV98" s="190" t="n">
        <v>1.4</v>
      </c>
      <c r="AW98" s="190" t="n">
        <v>1.58</v>
      </c>
      <c r="AX98" s="190" t="n">
        <v>1.76</v>
      </c>
      <c r="AY98" s="190" t="n">
        <v>1.922</v>
      </c>
      <c r="AZ98" s="190" t="n">
        <v>2.084</v>
      </c>
      <c r="BA98" s="190" t="n">
        <v>2.2298</v>
      </c>
      <c r="BB98" s="190" t="n">
        <v>2.3756</v>
      </c>
      <c r="BC98" s="190" t="n">
        <v>2.50682</v>
      </c>
      <c r="BD98" s="190" t="n">
        <v>2.63804</v>
      </c>
      <c r="BE98" s="190" t="n">
        <v>2.756138</v>
      </c>
      <c r="BF98" s="190" t="n">
        <v>2.874236</v>
      </c>
      <c r="BG98" s="190" t="n">
        <v>2.9805242</v>
      </c>
      <c r="BH98" s="190" t="n">
        <v>3.0868124</v>
      </c>
      <c r="BI98" s="190" t="n">
        <v>3.18247178</v>
      </c>
      <c r="BJ98" s="190" t="n">
        <v>3.27813116</v>
      </c>
      <c r="BK98" s="190" t="n">
        <v>3.364224602</v>
      </c>
      <c r="BL98" s="190" t="n">
        <v>3.450318044</v>
      </c>
      <c r="BM98" s="190" t="n">
        <v>3.5278021418</v>
      </c>
      <c r="BN98" s="190" t="n">
        <v>3.6052862396</v>
      </c>
      <c r="BO98" s="190" t="n">
        <v>3.67502192762</v>
      </c>
      <c r="BP98" s="190" t="n">
        <v>3.74475761564</v>
      </c>
      <c r="BQ98" s="190" t="n">
        <v>3.81449330366</v>
      </c>
      <c r="BR98" s="190" t="n">
        <v>3.88422899168</v>
      </c>
      <c r="BS98" s="190" t="n">
        <v>3.9539646797</v>
      </c>
      <c r="BT98" s="190" t="n">
        <v>4.02370036772</v>
      </c>
      <c r="BU98" s="190" t="n">
        <v>4.09343605574</v>
      </c>
      <c r="BV98" s="190" t="n">
        <v>4.16317174376</v>
      </c>
      <c r="BW98" s="190" t="n">
        <v>4.23290743178</v>
      </c>
      <c r="BX98" s="190" t="n">
        <v>4.3026431198</v>
      </c>
      <c r="BY98" s="190" t="n">
        <v>4.37237880782</v>
      </c>
      <c r="BZ98" s="190" t="n">
        <v>4.44211449584</v>
      </c>
      <c r="CA98" s="190" t="n">
        <v>4.51185018386</v>
      </c>
      <c r="CB98" s="190" t="n">
        <v>4.58158587188</v>
      </c>
      <c r="CC98" s="190" t="n">
        <v>4.6513215599</v>
      </c>
      <c r="CD98" s="190" t="n">
        <v>4.72105724792</v>
      </c>
      <c r="CE98" s="190" t="n">
        <v>4.79079293594</v>
      </c>
      <c r="CF98" s="190" t="n">
        <v>4.86052862396</v>
      </c>
      <c r="CG98" s="190" t="n">
        <v>4.93026431198</v>
      </c>
      <c r="CH98" s="190" t="n">
        <v>5</v>
      </c>
      <c r="CI98" s="190" t="n">
        <v>5.06973568801999</v>
      </c>
      <c r="CJ98" s="190" t="n">
        <v>5.13947137603999</v>
      </c>
      <c r="CK98" s="190" t="n">
        <v>5.20920706405999</v>
      </c>
      <c r="CL98" s="190" t="n">
        <v>5.27894275207999</v>
      </c>
      <c r="CM98" s="190" t="n">
        <v>5.34867844009999</v>
      </c>
      <c r="CN98" s="190" t="n">
        <v>5.41841412811999</v>
      </c>
      <c r="CO98" s="190" t="n">
        <v>5.48814981613999</v>
      </c>
      <c r="CP98" s="190" t="n">
        <v>5.55788550415999</v>
      </c>
      <c r="CQ98" s="190" t="n">
        <v>5.62762119217999</v>
      </c>
      <c r="CR98" s="190" t="n">
        <v>5.69735688019999</v>
      </c>
      <c r="CS98" s="190" t="n">
        <v>5.76709256821999</v>
      </c>
      <c r="CT98" s="190" t="n">
        <v>5.83682825623999</v>
      </c>
      <c r="CU98" s="190" t="n">
        <v>5.90656394425999</v>
      </c>
      <c r="CV98" s="190" t="n">
        <v>5.97629963227999</v>
      </c>
      <c r="CW98" s="190" t="n">
        <v>6.04603532029999</v>
      </c>
      <c r="CX98" s="190" t="n">
        <v>6.11577100831999</v>
      </c>
      <c r="CY98" s="190" t="n">
        <v>6.18550669633999</v>
      </c>
      <c r="CZ98" s="190" t="n">
        <v>6.25524238435999</v>
      </c>
      <c r="DA98" s="190" t="n">
        <v>6.32497807237999</v>
      </c>
      <c r="DB98" s="190" t="n">
        <v>6.39471376039999</v>
      </c>
      <c r="DC98" s="190" t="n">
        <v>6.46444944841999</v>
      </c>
      <c r="DD98" s="190" t="n">
        <v>6.53418513643999</v>
      </c>
      <c r="DE98" s="190" t="n">
        <v>6.60392082445999</v>
      </c>
      <c r="DF98" s="190" t="n">
        <v>6.67365651247999</v>
      </c>
      <c r="DG98" s="190" t="n">
        <v>6.74339220049999</v>
      </c>
      <c r="DH98" s="190" t="n">
        <v>6.81312788851999</v>
      </c>
      <c r="DI98" s="190" t="n">
        <v>6.88286357653999</v>
      </c>
      <c r="DJ98" s="190" t="n">
        <v>6.95259926455999</v>
      </c>
      <c r="DK98" s="190" t="n">
        <v>7.02233495257999</v>
      </c>
      <c r="DL98" s="190" t="n">
        <v>7.09207064059999</v>
      </c>
      <c r="DM98" s="190" t="n">
        <v>7.16180632861999</v>
      </c>
      <c r="DN98" s="190" t="n">
        <v>7.23154201663999</v>
      </c>
      <c r="DO98" s="190" t="n">
        <v>7.30127770465999</v>
      </c>
      <c r="DP98" s="190" t="n">
        <v>7.37101339267999</v>
      </c>
      <c r="DQ98" s="190" t="n">
        <v>7.44074908069999</v>
      </c>
      <c r="DR98" s="190" t="n">
        <v>7.51048476871999</v>
      </c>
      <c r="DS98" s="190" t="n">
        <v>7.58022045673999</v>
      </c>
      <c r="DT98" s="190" t="n">
        <v>7.64995614475999</v>
      </c>
      <c r="DU98" s="190" t="n">
        <v>7.71969183277999</v>
      </c>
      <c r="DV98" s="190" t="n">
        <v>7.78942752079998</v>
      </c>
      <c r="DW98" s="190" t="n">
        <v>7.85916320881998</v>
      </c>
      <c r="DX98" s="190" t="n">
        <v>7.92889889683998</v>
      </c>
      <c r="DY98" s="190" t="n">
        <v>7.99863458485998</v>
      </c>
      <c r="DZ98" s="190" t="n">
        <v>8.06837027287998</v>
      </c>
      <c r="EA98" s="190" t="n">
        <v>8.13810596089998</v>
      </c>
      <c r="EB98" s="190" t="n">
        <v>8.20784164891998</v>
      </c>
      <c r="EC98" s="190" t="n">
        <v>8.27757733693998</v>
      </c>
      <c r="ED98" s="190" t="n">
        <v>8.34731302495998</v>
      </c>
      <c r="EE98" s="190" t="n">
        <v>8.41704871297998</v>
      </c>
      <c r="EF98" s="190" t="n">
        <v>8.48678440099998</v>
      </c>
      <c r="EG98" s="190" t="n">
        <v>8.55652008901998</v>
      </c>
      <c r="EH98" s="190" t="n">
        <v>8.62625577703998</v>
      </c>
      <c r="EI98" s="190" t="n">
        <v>8.69599146505998</v>
      </c>
      <c r="EJ98" s="190" t="n">
        <v>8.76572715307998</v>
      </c>
      <c r="EK98" s="190" t="n">
        <v>8.83546284109998</v>
      </c>
      <c r="EL98" s="180" t="n">
        <v>8.90519852911998</v>
      </c>
      <c r="EM98" s="180" t="n">
        <v>8.97493421713998</v>
      </c>
      <c r="EN98" s="180" t="n">
        <v>9.04466990515998</v>
      </c>
      <c r="EO98" s="180" t="n">
        <v>9.11440559317998</v>
      </c>
      <c r="EP98" s="180" t="n">
        <v>9.18414128119998</v>
      </c>
      <c r="EQ98" s="180" t="n">
        <v>9.25387696921998</v>
      </c>
      <c r="ER98" s="180" t="n">
        <v>9.32361265723998</v>
      </c>
      <c r="ES98" s="180" t="n">
        <v>9.39334834525998</v>
      </c>
      <c r="ET98" s="180" t="n">
        <v>9.46308403327998</v>
      </c>
      <c r="EU98" s="180" t="n">
        <v>9.53281972129998</v>
      </c>
      <c r="EV98" s="180" t="n">
        <v>9.60255540931998</v>
      </c>
      <c r="EW98" s="180" t="n">
        <v>9.67229109733998</v>
      </c>
      <c r="EX98" s="180" t="n">
        <v>9.74202678535998</v>
      </c>
      <c r="EY98" s="180" t="n">
        <v>9.81176247337998</v>
      </c>
      <c r="EZ98" s="180" t="n">
        <v>9.88149816139998</v>
      </c>
      <c r="FA98" s="180" t="n">
        <v>9.95123384941998</v>
      </c>
      <c r="FB98" s="180" t="n">
        <v>10.02096953744</v>
      </c>
      <c r="FC98" s="180" t="n">
        <v>10.09070522546</v>
      </c>
      <c r="FD98" s="180" t="n">
        <v>10.16044091348</v>
      </c>
      <c r="FE98" s="180" t="n">
        <v>10.2301766015</v>
      </c>
      <c r="FF98" s="180" t="n">
        <v>10.29991228952</v>
      </c>
      <c r="FG98" s="180" t="n">
        <v>10.36964797754</v>
      </c>
      <c r="FH98" s="180" t="n">
        <v>10.43938366556</v>
      </c>
      <c r="FI98" s="180" t="n">
        <v>10.50911935358</v>
      </c>
      <c r="FJ98" s="180" t="n">
        <v>10.5788550416</v>
      </c>
      <c r="FK98" s="180" t="n">
        <v>10.64859072962</v>
      </c>
      <c r="FL98" s="180" t="n">
        <v>10.71832641764</v>
      </c>
      <c r="FM98" s="180" t="n">
        <v>10.78806210566</v>
      </c>
      <c r="FN98" s="180" t="n">
        <v>10.85779779368</v>
      </c>
      <c r="FO98" s="180" t="n">
        <v>10.9275334817</v>
      </c>
      <c r="FP98" s="180" t="n">
        <v>10.99726916972</v>
      </c>
      <c r="FQ98" s="180" t="n">
        <v>11.06700485774</v>
      </c>
      <c r="FR98" s="180" t="n">
        <v>11.13674054576</v>
      </c>
      <c r="FS98" s="180" t="n">
        <v>11.20647623378</v>
      </c>
      <c r="FT98" s="180" t="n">
        <v>11.2762119218</v>
      </c>
      <c r="FU98" s="180" t="n">
        <v>11.34594760982</v>
      </c>
      <c r="FV98" s="180" t="n">
        <v>11.41568329784</v>
      </c>
      <c r="FW98" s="180" t="n">
        <v>11.48541898586</v>
      </c>
      <c r="FX98" s="180" t="n">
        <v>11.55515467388</v>
      </c>
      <c r="FY98" s="180" t="n">
        <v>11.6248903619</v>
      </c>
      <c r="FZ98" s="180" t="n">
        <v>11.69462604992</v>
      </c>
      <c r="GA98" s="180" t="n">
        <v>11.76436173794</v>
      </c>
      <c r="GB98" s="180" t="n">
        <v>11.83409742596</v>
      </c>
      <c r="GC98" s="180" t="n">
        <v>11.90383311398</v>
      </c>
      <c r="GD98" s="180" t="n">
        <v>11.973568802</v>
      </c>
      <c r="GE98" s="180" t="n">
        <v>12.04330449002</v>
      </c>
      <c r="GF98" s="180" t="n">
        <v>12.11304017804</v>
      </c>
      <c r="GG98" s="180" t="n">
        <v>12.18277586606</v>
      </c>
      <c r="GH98" s="180" t="n">
        <v>12.25251155408</v>
      </c>
      <c r="GI98" s="180" t="n">
        <v>12.3222472421</v>
      </c>
      <c r="GJ98" s="180" t="n">
        <v>12.39198293012</v>
      </c>
      <c r="GK98" s="180" t="n">
        <v>12.46171861814</v>
      </c>
      <c r="GL98" s="180" t="n">
        <v>12.53145430616</v>
      </c>
      <c r="GM98" s="180" t="n">
        <v>12.60118999418</v>
      </c>
      <c r="GN98" s="180" t="n">
        <v>12.6709256822</v>
      </c>
      <c r="GO98" s="180" t="n">
        <v>12.74066137022</v>
      </c>
      <c r="GP98" s="180" t="n">
        <v>12.81039705824</v>
      </c>
      <c r="GQ98" s="180" t="n">
        <v>12.88013274626</v>
      </c>
      <c r="GR98" s="180" t="n">
        <v>12.94986843428</v>
      </c>
      <c r="GS98" s="180" t="n">
        <v>13.0196041223</v>
      </c>
      <c r="GT98" s="180" t="n">
        <v>13.08933981032</v>
      </c>
      <c r="GU98" s="180" t="n">
        <v>13.15907549834</v>
      </c>
      <c r="GV98" s="180" t="n">
        <v>13.22881118636</v>
      </c>
      <c r="GW98" s="180" t="n">
        <v>13.29854687438</v>
      </c>
      <c r="GX98" s="180" t="n">
        <v>13.3682825624</v>
      </c>
      <c r="GY98" s="180" t="n">
        <v>13.43801825042</v>
      </c>
      <c r="GZ98" s="180" t="n">
        <v>13.50775393844</v>
      </c>
      <c r="HA98" s="180" t="n">
        <v>13.57748962646</v>
      </c>
      <c r="HB98" s="180" t="n">
        <v>13.64722531448</v>
      </c>
      <c r="HC98" s="180" t="n">
        <v>13.7169610025</v>
      </c>
      <c r="HD98" s="180" t="n">
        <v>13.78669669052</v>
      </c>
      <c r="HE98" s="180" t="n">
        <v>13.85643237854</v>
      </c>
      <c r="HF98" s="180" t="n">
        <v>13.92616806656</v>
      </c>
      <c r="HG98" s="180" t="n">
        <v>13.99590375458</v>
      </c>
      <c r="HH98" s="180" t="n">
        <v>14.0656394426</v>
      </c>
      <c r="HI98" s="180" t="n">
        <v>14.13537513062</v>
      </c>
      <c r="HJ98" s="180" t="n">
        <v>14.20511081864</v>
      </c>
      <c r="HK98" s="180" t="n">
        <v>14.27484650666</v>
      </c>
      <c r="HL98" s="180" t="n">
        <v>14.34458219468</v>
      </c>
      <c r="HM98" s="180" t="n">
        <v>14.4143178827</v>
      </c>
      <c r="HN98" s="180" t="n">
        <v>14.48405357072</v>
      </c>
      <c r="HO98" s="180" t="n">
        <v>14.55378925874</v>
      </c>
      <c r="HP98" s="180" t="n">
        <v>14.62352494676</v>
      </c>
      <c r="HQ98" s="180" t="n">
        <v>14.69326063478</v>
      </c>
      <c r="HR98" s="180" t="n">
        <v>14.7629963228</v>
      </c>
      <c r="HS98" s="180" t="n">
        <v>14.83273201082</v>
      </c>
      <c r="HT98" s="180" t="n">
        <v>14.90246769884</v>
      </c>
      <c r="HU98" s="180" t="n">
        <v>14.97220338686</v>
      </c>
      <c r="HV98" s="180" t="n">
        <v>15.04193907488</v>
      </c>
      <c r="HW98" s="180" t="n">
        <v>15.1116747629</v>
      </c>
      <c r="HX98" s="180" t="n">
        <v>15.18141045092</v>
      </c>
      <c r="HY98" s="180" t="n">
        <v>15.25114613894</v>
      </c>
      <c r="HZ98" s="180" t="n">
        <v>15.32088182696</v>
      </c>
      <c r="IA98" s="180" t="n">
        <v>15.39061751498</v>
      </c>
      <c r="IB98" s="180" t="n">
        <v>15.460353203</v>
      </c>
      <c r="IC98" s="180" t="n">
        <v>15.53008889102</v>
      </c>
      <c r="ID98" s="180" t="n">
        <v>15.59982457904</v>
      </c>
      <c r="IE98" s="180" t="n">
        <v>15.66956026706</v>
      </c>
      <c r="IF98" s="180" t="n">
        <v>15.73929595508</v>
      </c>
      <c r="IG98" s="180" t="n">
        <v>15.8090316431</v>
      </c>
      <c r="IH98" s="180" t="n">
        <v>15.87876733112</v>
      </c>
      <c r="II98" s="180" t="n">
        <v>15.94850301914</v>
      </c>
      <c r="IJ98" s="180" t="n">
        <v>16.01823870716</v>
      </c>
      <c r="IK98" s="180" t="n">
        <v>16.08797439518</v>
      </c>
      <c r="IL98" s="180" t="n">
        <v>16.1577100832</v>
      </c>
      <c r="IM98" s="180" t="n">
        <v>16.22744577122</v>
      </c>
      <c r="IN98" s="180" t="n">
        <v>16.29718145924</v>
      </c>
      <c r="IO98" s="180" t="n">
        <v>16.36691714726</v>
      </c>
      <c r="IP98" s="180" t="n">
        <v>16.43665283528</v>
      </c>
      <c r="IQ98" s="180" t="n">
        <v>16.5063885233</v>
      </c>
      <c r="IR98" s="180" t="n">
        <v>16.57612421132</v>
      </c>
      <c r="IS98" s="180" t="n">
        <v>16.64585989934</v>
      </c>
      <c r="IT98" s="180" t="n">
        <v>16.71559558736</v>
      </c>
      <c r="IU98" s="180" t="n">
        <v>16.78533127538</v>
      </c>
      <c r="IV98" s="180" t="n">
        <v>16.8550669634</v>
      </c>
    </row>
    <row r="99" customFormat="false" ht="12.75" hidden="false" customHeight="false" outlineLevel="0" collapsed="false">
      <c r="A99" s="189" t="n">
        <v>39692</v>
      </c>
      <c r="B99" s="185" t="n">
        <v>-2.021005929375</v>
      </c>
      <c r="C99" s="185" t="n">
        <v>-1.9907047400625</v>
      </c>
      <c r="D99" s="185" t="n">
        <v>-1.96040355075</v>
      </c>
      <c r="E99" s="185" t="n">
        <v>-1.9301023614375</v>
      </c>
      <c r="F99" s="185" t="n">
        <v>-1.899801172125</v>
      </c>
      <c r="G99" s="185" t="n">
        <v>-1.8694999828125</v>
      </c>
      <c r="H99" s="185" t="n">
        <v>-1.8391987935</v>
      </c>
      <c r="I99" s="185" t="n">
        <v>-1.8088976041875</v>
      </c>
      <c r="J99" s="185" t="n">
        <v>-1.778596414875</v>
      </c>
      <c r="K99" s="185" t="n">
        <v>-1.7482952255625</v>
      </c>
      <c r="L99" s="185" t="n">
        <v>-1.71799403625</v>
      </c>
      <c r="M99" s="185" t="n">
        <v>-1.6876928469375</v>
      </c>
      <c r="N99" s="185" t="n">
        <v>-1.657391657625</v>
      </c>
      <c r="O99" s="185" t="n">
        <v>-1.6270904683125</v>
      </c>
      <c r="P99" s="185" t="n">
        <v>-1.596789279</v>
      </c>
      <c r="Q99" s="185" t="n">
        <v>-1.5664880896875</v>
      </c>
      <c r="R99" s="185" t="n">
        <v>-1.536186900375</v>
      </c>
      <c r="S99" s="185" t="n">
        <v>-1.5058857110625</v>
      </c>
      <c r="T99" s="185" t="n">
        <v>-1.47558452175</v>
      </c>
      <c r="U99" s="185" t="n">
        <v>-1.4452833324375</v>
      </c>
      <c r="V99" s="186" t="n">
        <v>-1.414982143125</v>
      </c>
      <c r="W99" s="185" t="n">
        <v>-1.3846809538125</v>
      </c>
      <c r="X99" s="186" t="n">
        <v>-1.3543797645</v>
      </c>
      <c r="Y99" s="185" t="n">
        <v>-1.3240785751875</v>
      </c>
      <c r="Z99" s="186" t="n">
        <v>-1.293777385875</v>
      </c>
      <c r="AA99" s="185" t="n">
        <v>-1.2634761965625</v>
      </c>
      <c r="AB99" s="187" t="n">
        <v>-1.23317500725</v>
      </c>
      <c r="AC99" s="185" t="n">
        <v>-1.2028738179375</v>
      </c>
      <c r="AD99" s="187" t="n">
        <v>-1.172572628625</v>
      </c>
      <c r="AE99" s="185" t="n">
        <v>-1.1422714393125</v>
      </c>
      <c r="AF99" s="185" t="n">
        <v>-1.11197025</v>
      </c>
      <c r="AG99" s="190" t="n">
        <v>-1.083235125</v>
      </c>
      <c r="AH99" s="190" t="n">
        <v>-1.0545</v>
      </c>
      <c r="AI99" s="190" t="n">
        <v>-1.02725</v>
      </c>
      <c r="AJ99" s="190" t="n">
        <v>-1</v>
      </c>
      <c r="AK99" s="190" t="n">
        <v>-0.8</v>
      </c>
      <c r="AL99" s="190" t="n">
        <v>-0.6</v>
      </c>
      <c r="AM99" s="190" t="n">
        <v>-0.4</v>
      </c>
      <c r="AN99" s="190" t="n">
        <v>-0.2</v>
      </c>
      <c r="AO99" s="190" t="n">
        <v>0</v>
      </c>
      <c r="AP99" s="190" t="n">
        <v>0.2</v>
      </c>
      <c r="AQ99" s="190" t="n">
        <v>0.4</v>
      </c>
      <c r="AR99" s="190" t="n">
        <v>0.6</v>
      </c>
      <c r="AS99" s="190" t="n">
        <v>0.8</v>
      </c>
      <c r="AT99" s="190" t="n">
        <v>1</v>
      </c>
      <c r="AU99" s="190" t="n">
        <v>1.2</v>
      </c>
      <c r="AV99" s="190" t="n">
        <v>1.4</v>
      </c>
      <c r="AW99" s="190" t="n">
        <v>1.58</v>
      </c>
      <c r="AX99" s="190" t="n">
        <v>1.76</v>
      </c>
      <c r="AY99" s="190" t="n">
        <v>1.922</v>
      </c>
      <c r="AZ99" s="190" t="n">
        <v>2.084</v>
      </c>
      <c r="BA99" s="190" t="n">
        <v>2.2298</v>
      </c>
      <c r="BB99" s="190" t="n">
        <v>2.3756</v>
      </c>
      <c r="BC99" s="190" t="n">
        <v>2.50682</v>
      </c>
      <c r="BD99" s="190" t="n">
        <v>2.63804</v>
      </c>
      <c r="BE99" s="190" t="n">
        <v>2.756138</v>
      </c>
      <c r="BF99" s="190" t="n">
        <v>2.874236</v>
      </c>
      <c r="BG99" s="190" t="n">
        <v>2.9805242</v>
      </c>
      <c r="BH99" s="190" t="n">
        <v>3.0868124</v>
      </c>
      <c r="BI99" s="190" t="n">
        <v>3.18247178</v>
      </c>
      <c r="BJ99" s="190" t="n">
        <v>3.27813116</v>
      </c>
      <c r="BK99" s="190" t="n">
        <v>3.364224602</v>
      </c>
      <c r="BL99" s="190" t="n">
        <v>3.450318044</v>
      </c>
      <c r="BM99" s="190" t="n">
        <v>3.5278021418</v>
      </c>
      <c r="BN99" s="190" t="n">
        <v>3.6052862396</v>
      </c>
      <c r="BO99" s="190" t="n">
        <v>3.67502192762</v>
      </c>
      <c r="BP99" s="190" t="n">
        <v>3.74475761564</v>
      </c>
      <c r="BQ99" s="190" t="n">
        <v>3.81449330366</v>
      </c>
      <c r="BR99" s="190" t="n">
        <v>3.88422899168</v>
      </c>
      <c r="BS99" s="190" t="n">
        <v>3.9539646797</v>
      </c>
      <c r="BT99" s="190" t="n">
        <v>4.02370036772</v>
      </c>
      <c r="BU99" s="190" t="n">
        <v>4.09343605574</v>
      </c>
      <c r="BV99" s="190" t="n">
        <v>4.16317174376</v>
      </c>
      <c r="BW99" s="190" t="n">
        <v>4.23290743178</v>
      </c>
      <c r="BX99" s="190" t="n">
        <v>4.3026431198</v>
      </c>
      <c r="BY99" s="190" t="n">
        <v>4.37237880782</v>
      </c>
      <c r="BZ99" s="190" t="n">
        <v>4.44211449584</v>
      </c>
      <c r="CA99" s="190" t="n">
        <v>4.51185018386</v>
      </c>
      <c r="CB99" s="190" t="n">
        <v>4.58158587188</v>
      </c>
      <c r="CC99" s="190" t="n">
        <v>4.6513215599</v>
      </c>
      <c r="CD99" s="190" t="n">
        <v>4.72105724792</v>
      </c>
      <c r="CE99" s="190" t="n">
        <v>4.79079293594</v>
      </c>
      <c r="CF99" s="190" t="n">
        <v>4.86052862396</v>
      </c>
      <c r="CG99" s="190" t="n">
        <v>4.93026431198</v>
      </c>
      <c r="CH99" s="190" t="n">
        <v>5</v>
      </c>
      <c r="CI99" s="190" t="n">
        <v>5.06973568801999</v>
      </c>
      <c r="CJ99" s="190" t="n">
        <v>5.13947137603999</v>
      </c>
      <c r="CK99" s="190" t="n">
        <v>5.20920706405999</v>
      </c>
      <c r="CL99" s="190" t="n">
        <v>5.27894275207999</v>
      </c>
      <c r="CM99" s="190" t="n">
        <v>5.34867844009999</v>
      </c>
      <c r="CN99" s="190" t="n">
        <v>5.41841412811999</v>
      </c>
      <c r="CO99" s="190" t="n">
        <v>5.48814981613999</v>
      </c>
      <c r="CP99" s="190" t="n">
        <v>5.55788550415999</v>
      </c>
      <c r="CQ99" s="190" t="n">
        <v>5.62762119217999</v>
      </c>
      <c r="CR99" s="190" t="n">
        <v>5.69735688019999</v>
      </c>
      <c r="CS99" s="190" t="n">
        <v>5.76709256821999</v>
      </c>
      <c r="CT99" s="190" t="n">
        <v>5.83682825623999</v>
      </c>
      <c r="CU99" s="190" t="n">
        <v>5.90656394425999</v>
      </c>
      <c r="CV99" s="190" t="n">
        <v>5.97629963227999</v>
      </c>
      <c r="CW99" s="190" t="n">
        <v>6.04603532029999</v>
      </c>
      <c r="CX99" s="190" t="n">
        <v>6.11577100831999</v>
      </c>
      <c r="CY99" s="190" t="n">
        <v>6.18550669633999</v>
      </c>
      <c r="CZ99" s="190" t="n">
        <v>6.25524238435999</v>
      </c>
      <c r="DA99" s="190" t="n">
        <v>6.32497807237999</v>
      </c>
      <c r="DB99" s="190" t="n">
        <v>6.39471376039999</v>
      </c>
      <c r="DC99" s="190" t="n">
        <v>6.46444944841999</v>
      </c>
      <c r="DD99" s="190" t="n">
        <v>6.53418513643999</v>
      </c>
      <c r="DE99" s="190" t="n">
        <v>6.60392082445999</v>
      </c>
      <c r="DF99" s="190" t="n">
        <v>6.67365651247999</v>
      </c>
      <c r="DG99" s="190" t="n">
        <v>6.74339220049999</v>
      </c>
      <c r="DH99" s="190" t="n">
        <v>6.81312788851999</v>
      </c>
      <c r="DI99" s="190" t="n">
        <v>6.88286357653999</v>
      </c>
      <c r="DJ99" s="190" t="n">
        <v>6.95259926455999</v>
      </c>
      <c r="DK99" s="190" t="n">
        <v>7.02233495257999</v>
      </c>
      <c r="DL99" s="190" t="n">
        <v>7.09207064059999</v>
      </c>
      <c r="DM99" s="190" t="n">
        <v>7.16180632861999</v>
      </c>
      <c r="DN99" s="190" t="n">
        <v>7.23154201663999</v>
      </c>
      <c r="DO99" s="190" t="n">
        <v>7.30127770465999</v>
      </c>
      <c r="DP99" s="190" t="n">
        <v>7.37101339267999</v>
      </c>
      <c r="DQ99" s="190" t="n">
        <v>7.44074908069999</v>
      </c>
      <c r="DR99" s="190" t="n">
        <v>7.51048476871999</v>
      </c>
      <c r="DS99" s="190" t="n">
        <v>7.58022045673999</v>
      </c>
      <c r="DT99" s="190" t="n">
        <v>7.64995614475999</v>
      </c>
      <c r="DU99" s="190" t="n">
        <v>7.71969183277999</v>
      </c>
      <c r="DV99" s="190" t="n">
        <v>7.78942752079998</v>
      </c>
      <c r="DW99" s="190" t="n">
        <v>7.85916320881998</v>
      </c>
      <c r="DX99" s="190" t="n">
        <v>7.92889889683998</v>
      </c>
      <c r="DY99" s="190" t="n">
        <v>7.99863458485998</v>
      </c>
      <c r="DZ99" s="190" t="n">
        <v>8.06837027287998</v>
      </c>
      <c r="EA99" s="190" t="n">
        <v>8.13810596089998</v>
      </c>
      <c r="EB99" s="190" t="n">
        <v>8.20784164891998</v>
      </c>
      <c r="EC99" s="190" t="n">
        <v>8.27757733693998</v>
      </c>
      <c r="ED99" s="190" t="n">
        <v>8.34731302495998</v>
      </c>
      <c r="EE99" s="190" t="n">
        <v>8.41704871297998</v>
      </c>
      <c r="EF99" s="190" t="n">
        <v>8.48678440099998</v>
      </c>
      <c r="EG99" s="190" t="n">
        <v>8.55652008901998</v>
      </c>
      <c r="EH99" s="190" t="n">
        <v>8.62625577703998</v>
      </c>
      <c r="EI99" s="190" t="n">
        <v>8.69599146505998</v>
      </c>
      <c r="EJ99" s="190" t="n">
        <v>8.76572715307998</v>
      </c>
      <c r="EK99" s="190" t="n">
        <v>8.83546284109998</v>
      </c>
      <c r="EL99" s="180" t="n">
        <v>8.90519852911998</v>
      </c>
      <c r="EM99" s="180" t="n">
        <v>8.97493421713998</v>
      </c>
      <c r="EN99" s="180" t="n">
        <v>9.04466990515998</v>
      </c>
      <c r="EO99" s="180" t="n">
        <v>9.11440559317998</v>
      </c>
      <c r="EP99" s="180" t="n">
        <v>9.18414128119998</v>
      </c>
      <c r="EQ99" s="180" t="n">
        <v>9.25387696921998</v>
      </c>
      <c r="ER99" s="180" t="n">
        <v>9.32361265723998</v>
      </c>
      <c r="ES99" s="180" t="n">
        <v>9.39334834525998</v>
      </c>
      <c r="ET99" s="180" t="n">
        <v>9.46308403327998</v>
      </c>
      <c r="EU99" s="180" t="n">
        <v>9.53281972129998</v>
      </c>
      <c r="EV99" s="180" t="n">
        <v>9.60255540931998</v>
      </c>
      <c r="EW99" s="180" t="n">
        <v>9.67229109733998</v>
      </c>
      <c r="EX99" s="180" t="n">
        <v>9.74202678535998</v>
      </c>
      <c r="EY99" s="180" t="n">
        <v>9.81176247337998</v>
      </c>
      <c r="EZ99" s="180" t="n">
        <v>9.88149816139998</v>
      </c>
      <c r="FA99" s="180" t="n">
        <v>9.95123384941998</v>
      </c>
      <c r="FB99" s="180" t="n">
        <v>10.02096953744</v>
      </c>
      <c r="FC99" s="180" t="n">
        <v>10.09070522546</v>
      </c>
      <c r="FD99" s="180" t="n">
        <v>10.16044091348</v>
      </c>
      <c r="FE99" s="180" t="n">
        <v>10.2301766015</v>
      </c>
      <c r="FF99" s="180" t="n">
        <v>10.29991228952</v>
      </c>
      <c r="FG99" s="180" t="n">
        <v>10.36964797754</v>
      </c>
      <c r="FH99" s="180" t="n">
        <v>10.43938366556</v>
      </c>
      <c r="FI99" s="180" t="n">
        <v>10.50911935358</v>
      </c>
      <c r="FJ99" s="180" t="n">
        <v>10.5788550416</v>
      </c>
      <c r="FK99" s="180" t="n">
        <v>10.64859072962</v>
      </c>
      <c r="FL99" s="180" t="n">
        <v>10.71832641764</v>
      </c>
      <c r="FM99" s="180" t="n">
        <v>10.78806210566</v>
      </c>
      <c r="FN99" s="180" t="n">
        <v>10.85779779368</v>
      </c>
      <c r="FO99" s="180" t="n">
        <v>10.9275334817</v>
      </c>
      <c r="FP99" s="180" t="n">
        <v>10.99726916972</v>
      </c>
      <c r="FQ99" s="180" t="n">
        <v>11.06700485774</v>
      </c>
      <c r="FR99" s="180" t="n">
        <v>11.13674054576</v>
      </c>
      <c r="FS99" s="180" t="n">
        <v>11.20647623378</v>
      </c>
      <c r="FT99" s="180" t="n">
        <v>11.2762119218</v>
      </c>
      <c r="FU99" s="180" t="n">
        <v>11.34594760982</v>
      </c>
      <c r="FV99" s="180" t="n">
        <v>11.41568329784</v>
      </c>
      <c r="FW99" s="180" t="n">
        <v>11.48541898586</v>
      </c>
      <c r="FX99" s="180" t="n">
        <v>11.55515467388</v>
      </c>
      <c r="FY99" s="180" t="n">
        <v>11.6248903619</v>
      </c>
      <c r="FZ99" s="180" t="n">
        <v>11.69462604992</v>
      </c>
      <c r="GA99" s="180" t="n">
        <v>11.76436173794</v>
      </c>
      <c r="GB99" s="180" t="n">
        <v>11.83409742596</v>
      </c>
      <c r="GC99" s="180" t="n">
        <v>11.90383311398</v>
      </c>
      <c r="GD99" s="180" t="n">
        <v>11.973568802</v>
      </c>
      <c r="GE99" s="180" t="n">
        <v>12.04330449002</v>
      </c>
      <c r="GF99" s="180" t="n">
        <v>12.11304017804</v>
      </c>
      <c r="GG99" s="180" t="n">
        <v>12.18277586606</v>
      </c>
      <c r="GH99" s="180" t="n">
        <v>12.25251155408</v>
      </c>
      <c r="GI99" s="180" t="n">
        <v>12.3222472421</v>
      </c>
      <c r="GJ99" s="180" t="n">
        <v>12.39198293012</v>
      </c>
      <c r="GK99" s="180" t="n">
        <v>12.46171861814</v>
      </c>
      <c r="GL99" s="180" t="n">
        <v>12.53145430616</v>
      </c>
      <c r="GM99" s="180" t="n">
        <v>12.60118999418</v>
      </c>
      <c r="GN99" s="180" t="n">
        <v>12.6709256822</v>
      </c>
      <c r="GO99" s="180" t="n">
        <v>12.74066137022</v>
      </c>
      <c r="GP99" s="180" t="n">
        <v>12.81039705824</v>
      </c>
      <c r="GQ99" s="180" t="n">
        <v>12.88013274626</v>
      </c>
      <c r="GR99" s="180" t="n">
        <v>12.94986843428</v>
      </c>
      <c r="GS99" s="180" t="n">
        <v>13.0196041223</v>
      </c>
      <c r="GT99" s="180" t="n">
        <v>13.08933981032</v>
      </c>
      <c r="GU99" s="180" t="n">
        <v>13.15907549834</v>
      </c>
      <c r="GV99" s="180" t="n">
        <v>13.22881118636</v>
      </c>
      <c r="GW99" s="180" t="n">
        <v>13.29854687438</v>
      </c>
      <c r="GX99" s="180" t="n">
        <v>13.3682825624</v>
      </c>
      <c r="GY99" s="180" t="n">
        <v>13.43801825042</v>
      </c>
      <c r="GZ99" s="180" t="n">
        <v>13.50775393844</v>
      </c>
      <c r="HA99" s="180" t="n">
        <v>13.57748962646</v>
      </c>
      <c r="HB99" s="180" t="n">
        <v>13.64722531448</v>
      </c>
      <c r="HC99" s="180" t="n">
        <v>13.7169610025</v>
      </c>
      <c r="HD99" s="180" t="n">
        <v>13.78669669052</v>
      </c>
      <c r="HE99" s="180" t="n">
        <v>13.85643237854</v>
      </c>
      <c r="HF99" s="180" t="n">
        <v>13.92616806656</v>
      </c>
      <c r="HG99" s="180" t="n">
        <v>13.99590375458</v>
      </c>
      <c r="HH99" s="180" t="n">
        <v>14.0656394426</v>
      </c>
      <c r="HI99" s="180" t="n">
        <v>14.13537513062</v>
      </c>
      <c r="HJ99" s="180" t="n">
        <v>14.20511081864</v>
      </c>
      <c r="HK99" s="180" t="n">
        <v>14.27484650666</v>
      </c>
      <c r="HL99" s="180" t="n">
        <v>14.34458219468</v>
      </c>
      <c r="HM99" s="180" t="n">
        <v>14.4143178827</v>
      </c>
      <c r="HN99" s="180" t="n">
        <v>14.48405357072</v>
      </c>
      <c r="HO99" s="180" t="n">
        <v>14.55378925874</v>
      </c>
      <c r="HP99" s="180" t="n">
        <v>14.62352494676</v>
      </c>
      <c r="HQ99" s="180" t="n">
        <v>14.69326063478</v>
      </c>
      <c r="HR99" s="180" t="n">
        <v>14.7629963228</v>
      </c>
      <c r="HS99" s="180" t="n">
        <v>14.83273201082</v>
      </c>
      <c r="HT99" s="180" t="n">
        <v>14.90246769884</v>
      </c>
      <c r="HU99" s="180" t="n">
        <v>14.97220338686</v>
      </c>
      <c r="HV99" s="180" t="n">
        <v>15.04193907488</v>
      </c>
      <c r="HW99" s="180" t="n">
        <v>15.1116747629</v>
      </c>
      <c r="HX99" s="180" t="n">
        <v>15.18141045092</v>
      </c>
      <c r="HY99" s="180" t="n">
        <v>15.25114613894</v>
      </c>
      <c r="HZ99" s="180" t="n">
        <v>15.32088182696</v>
      </c>
      <c r="IA99" s="180" t="n">
        <v>15.39061751498</v>
      </c>
      <c r="IB99" s="180" t="n">
        <v>15.460353203</v>
      </c>
      <c r="IC99" s="180" t="n">
        <v>15.53008889102</v>
      </c>
      <c r="ID99" s="180" t="n">
        <v>15.59982457904</v>
      </c>
      <c r="IE99" s="180" t="n">
        <v>15.66956026706</v>
      </c>
      <c r="IF99" s="180" t="n">
        <v>15.73929595508</v>
      </c>
      <c r="IG99" s="180" t="n">
        <v>15.8090316431</v>
      </c>
      <c r="IH99" s="180" t="n">
        <v>15.87876733112</v>
      </c>
      <c r="II99" s="180" t="n">
        <v>15.94850301914</v>
      </c>
      <c r="IJ99" s="180" t="n">
        <v>16.01823870716</v>
      </c>
      <c r="IK99" s="180" t="n">
        <v>16.08797439518</v>
      </c>
      <c r="IL99" s="180" t="n">
        <v>16.1577100832</v>
      </c>
      <c r="IM99" s="180" t="n">
        <v>16.22744577122</v>
      </c>
      <c r="IN99" s="180" t="n">
        <v>16.29718145924</v>
      </c>
      <c r="IO99" s="180" t="n">
        <v>16.36691714726</v>
      </c>
      <c r="IP99" s="180" t="n">
        <v>16.43665283528</v>
      </c>
      <c r="IQ99" s="180" t="n">
        <v>16.5063885233</v>
      </c>
      <c r="IR99" s="180" t="n">
        <v>16.57612421132</v>
      </c>
      <c r="IS99" s="180" t="n">
        <v>16.64585989934</v>
      </c>
      <c r="IT99" s="180" t="n">
        <v>16.71559558736</v>
      </c>
      <c r="IU99" s="180" t="n">
        <v>16.78533127538</v>
      </c>
      <c r="IV99" s="180" t="n">
        <v>16.8550669634</v>
      </c>
    </row>
    <row r="100" customFormat="false" ht="12.75" hidden="false" customHeight="false" outlineLevel="0" collapsed="false">
      <c r="A100" s="189" t="n">
        <v>39722</v>
      </c>
      <c r="B100" s="185" t="n">
        <v>-2.021005929375</v>
      </c>
      <c r="C100" s="185" t="n">
        <v>-1.9907047400625</v>
      </c>
      <c r="D100" s="185" t="n">
        <v>-1.96040355075</v>
      </c>
      <c r="E100" s="185" t="n">
        <v>-1.9301023614375</v>
      </c>
      <c r="F100" s="185" t="n">
        <v>-1.899801172125</v>
      </c>
      <c r="G100" s="185" t="n">
        <v>-1.8694999828125</v>
      </c>
      <c r="H100" s="185" t="n">
        <v>-1.8391987935</v>
      </c>
      <c r="I100" s="185" t="n">
        <v>-1.8088976041875</v>
      </c>
      <c r="J100" s="185" t="n">
        <v>-1.778596414875</v>
      </c>
      <c r="K100" s="185" t="n">
        <v>-1.7482952255625</v>
      </c>
      <c r="L100" s="185" t="n">
        <v>-1.71799403625</v>
      </c>
      <c r="M100" s="185" t="n">
        <v>-1.6876928469375</v>
      </c>
      <c r="N100" s="185" t="n">
        <v>-1.657391657625</v>
      </c>
      <c r="O100" s="185" t="n">
        <v>-1.6270904683125</v>
      </c>
      <c r="P100" s="185" t="n">
        <v>-1.596789279</v>
      </c>
      <c r="Q100" s="185" t="n">
        <v>-1.5664880896875</v>
      </c>
      <c r="R100" s="185" t="n">
        <v>-1.536186900375</v>
      </c>
      <c r="S100" s="185" t="n">
        <v>-1.5058857110625</v>
      </c>
      <c r="T100" s="185" t="n">
        <v>-1.47558452175</v>
      </c>
      <c r="U100" s="185" t="n">
        <v>-1.4452833324375</v>
      </c>
      <c r="V100" s="186" t="n">
        <v>-1.414982143125</v>
      </c>
      <c r="W100" s="185" t="n">
        <v>-1.3846809538125</v>
      </c>
      <c r="X100" s="186" t="n">
        <v>-1.3543797645</v>
      </c>
      <c r="Y100" s="185" t="n">
        <v>-1.3240785751875</v>
      </c>
      <c r="Z100" s="186" t="n">
        <v>-1.293777385875</v>
      </c>
      <c r="AA100" s="185" t="n">
        <v>-1.2634761965625</v>
      </c>
      <c r="AB100" s="187" t="n">
        <v>-1.23317500725</v>
      </c>
      <c r="AC100" s="185" t="n">
        <v>-1.2028738179375</v>
      </c>
      <c r="AD100" s="187" t="n">
        <v>-1.172572628625</v>
      </c>
      <c r="AE100" s="185" t="n">
        <v>-1.1422714393125</v>
      </c>
      <c r="AF100" s="185" t="n">
        <v>-1.11197025</v>
      </c>
      <c r="AG100" s="190" t="n">
        <v>-1.083235125</v>
      </c>
      <c r="AH100" s="190" t="n">
        <v>-1.0545</v>
      </c>
      <c r="AI100" s="190" t="n">
        <v>-1.02725</v>
      </c>
      <c r="AJ100" s="190" t="n">
        <v>-1</v>
      </c>
      <c r="AK100" s="190" t="n">
        <v>-0.8</v>
      </c>
      <c r="AL100" s="190" t="n">
        <v>-0.6</v>
      </c>
      <c r="AM100" s="190" t="n">
        <v>-0.4</v>
      </c>
      <c r="AN100" s="190" t="n">
        <v>-0.2</v>
      </c>
      <c r="AO100" s="190" t="n">
        <v>0</v>
      </c>
      <c r="AP100" s="190" t="n">
        <v>0.2</v>
      </c>
      <c r="AQ100" s="190" t="n">
        <v>0.4</v>
      </c>
      <c r="AR100" s="190" t="n">
        <v>0.6</v>
      </c>
      <c r="AS100" s="190" t="n">
        <v>0.8</v>
      </c>
      <c r="AT100" s="190" t="n">
        <v>1</v>
      </c>
      <c r="AU100" s="190" t="n">
        <v>1.2</v>
      </c>
      <c r="AV100" s="190" t="n">
        <v>1.4</v>
      </c>
      <c r="AW100" s="190" t="n">
        <v>1.58</v>
      </c>
      <c r="AX100" s="190" t="n">
        <v>1.76</v>
      </c>
      <c r="AY100" s="190" t="n">
        <v>1.922</v>
      </c>
      <c r="AZ100" s="190" t="n">
        <v>2.084</v>
      </c>
      <c r="BA100" s="190" t="n">
        <v>2.2298</v>
      </c>
      <c r="BB100" s="190" t="n">
        <v>2.3756</v>
      </c>
      <c r="BC100" s="190" t="n">
        <v>2.50682</v>
      </c>
      <c r="BD100" s="190" t="n">
        <v>2.63804</v>
      </c>
      <c r="BE100" s="190" t="n">
        <v>2.756138</v>
      </c>
      <c r="BF100" s="190" t="n">
        <v>2.874236</v>
      </c>
      <c r="BG100" s="190" t="n">
        <v>2.9805242</v>
      </c>
      <c r="BH100" s="190" t="n">
        <v>3.0868124</v>
      </c>
      <c r="BI100" s="190" t="n">
        <v>3.18247178</v>
      </c>
      <c r="BJ100" s="190" t="n">
        <v>3.27813116</v>
      </c>
      <c r="BK100" s="190" t="n">
        <v>3.364224602</v>
      </c>
      <c r="BL100" s="190" t="n">
        <v>3.450318044</v>
      </c>
      <c r="BM100" s="190" t="n">
        <v>3.5278021418</v>
      </c>
      <c r="BN100" s="190" t="n">
        <v>3.6052862396</v>
      </c>
      <c r="BO100" s="190" t="n">
        <v>3.67502192762</v>
      </c>
      <c r="BP100" s="190" t="n">
        <v>3.74475761564</v>
      </c>
      <c r="BQ100" s="190" t="n">
        <v>3.81449330366</v>
      </c>
      <c r="BR100" s="190" t="n">
        <v>3.88422899168</v>
      </c>
      <c r="BS100" s="190" t="n">
        <v>3.9539646797</v>
      </c>
      <c r="BT100" s="190" t="n">
        <v>4.02370036772</v>
      </c>
      <c r="BU100" s="190" t="n">
        <v>4.09343605574</v>
      </c>
      <c r="BV100" s="190" t="n">
        <v>4.16317174376</v>
      </c>
      <c r="BW100" s="190" t="n">
        <v>4.23290743178</v>
      </c>
      <c r="BX100" s="190" t="n">
        <v>4.3026431198</v>
      </c>
      <c r="BY100" s="190" t="n">
        <v>4.37237880782</v>
      </c>
      <c r="BZ100" s="190" t="n">
        <v>4.44211449584</v>
      </c>
      <c r="CA100" s="190" t="n">
        <v>4.51185018386</v>
      </c>
      <c r="CB100" s="190" t="n">
        <v>4.58158587188</v>
      </c>
      <c r="CC100" s="190" t="n">
        <v>4.6513215599</v>
      </c>
      <c r="CD100" s="190" t="n">
        <v>4.72105724792</v>
      </c>
      <c r="CE100" s="190" t="n">
        <v>4.79079293594</v>
      </c>
      <c r="CF100" s="190" t="n">
        <v>4.86052862396</v>
      </c>
      <c r="CG100" s="190" t="n">
        <v>4.93026431198</v>
      </c>
      <c r="CH100" s="190" t="n">
        <v>5</v>
      </c>
      <c r="CI100" s="190" t="n">
        <v>5.06973568801999</v>
      </c>
      <c r="CJ100" s="190" t="n">
        <v>5.13947137603999</v>
      </c>
      <c r="CK100" s="190" t="n">
        <v>5.20920706405999</v>
      </c>
      <c r="CL100" s="190" t="n">
        <v>5.27894275207999</v>
      </c>
      <c r="CM100" s="190" t="n">
        <v>5.34867844009999</v>
      </c>
      <c r="CN100" s="190" t="n">
        <v>5.41841412811999</v>
      </c>
      <c r="CO100" s="190" t="n">
        <v>5.48814981613999</v>
      </c>
      <c r="CP100" s="190" t="n">
        <v>5.55788550415999</v>
      </c>
      <c r="CQ100" s="190" t="n">
        <v>5.62762119217999</v>
      </c>
      <c r="CR100" s="190" t="n">
        <v>5.69735688019999</v>
      </c>
      <c r="CS100" s="190" t="n">
        <v>5.76709256821999</v>
      </c>
      <c r="CT100" s="190" t="n">
        <v>5.83682825623999</v>
      </c>
      <c r="CU100" s="190" t="n">
        <v>5.90656394425999</v>
      </c>
      <c r="CV100" s="190" t="n">
        <v>5.97629963227999</v>
      </c>
      <c r="CW100" s="190" t="n">
        <v>6.04603532029999</v>
      </c>
      <c r="CX100" s="190" t="n">
        <v>6.11577100831999</v>
      </c>
      <c r="CY100" s="190" t="n">
        <v>6.18550669633999</v>
      </c>
      <c r="CZ100" s="190" t="n">
        <v>6.25524238435999</v>
      </c>
      <c r="DA100" s="190" t="n">
        <v>6.32497807237999</v>
      </c>
      <c r="DB100" s="190" t="n">
        <v>6.39471376039999</v>
      </c>
      <c r="DC100" s="190" t="n">
        <v>6.46444944841999</v>
      </c>
      <c r="DD100" s="190" t="n">
        <v>6.53418513643999</v>
      </c>
      <c r="DE100" s="190" t="n">
        <v>6.60392082445999</v>
      </c>
      <c r="DF100" s="190" t="n">
        <v>6.67365651247999</v>
      </c>
      <c r="DG100" s="190" t="n">
        <v>6.74339220049999</v>
      </c>
      <c r="DH100" s="190" t="n">
        <v>6.81312788851999</v>
      </c>
      <c r="DI100" s="190" t="n">
        <v>6.88286357653999</v>
      </c>
      <c r="DJ100" s="190" t="n">
        <v>6.95259926455999</v>
      </c>
      <c r="DK100" s="190" t="n">
        <v>7.02233495257999</v>
      </c>
      <c r="DL100" s="190" t="n">
        <v>7.09207064059999</v>
      </c>
      <c r="DM100" s="190" t="n">
        <v>7.16180632861999</v>
      </c>
      <c r="DN100" s="190" t="n">
        <v>7.23154201663999</v>
      </c>
      <c r="DO100" s="190" t="n">
        <v>7.30127770465999</v>
      </c>
      <c r="DP100" s="190" t="n">
        <v>7.37101339267999</v>
      </c>
      <c r="DQ100" s="190" t="n">
        <v>7.44074908069999</v>
      </c>
      <c r="DR100" s="190" t="n">
        <v>7.51048476871999</v>
      </c>
      <c r="DS100" s="190" t="n">
        <v>7.58022045673999</v>
      </c>
      <c r="DT100" s="190" t="n">
        <v>7.64995614475999</v>
      </c>
      <c r="DU100" s="190" t="n">
        <v>7.71969183277999</v>
      </c>
      <c r="DV100" s="190" t="n">
        <v>7.78942752079998</v>
      </c>
      <c r="DW100" s="190" t="n">
        <v>7.85916320881998</v>
      </c>
      <c r="DX100" s="190" t="n">
        <v>7.92889889683998</v>
      </c>
      <c r="DY100" s="190" t="n">
        <v>7.99863458485998</v>
      </c>
      <c r="DZ100" s="190" t="n">
        <v>8.06837027287998</v>
      </c>
      <c r="EA100" s="190" t="n">
        <v>8.13810596089998</v>
      </c>
      <c r="EB100" s="190" t="n">
        <v>8.20784164891998</v>
      </c>
      <c r="EC100" s="190" t="n">
        <v>8.27757733693998</v>
      </c>
      <c r="ED100" s="190" t="n">
        <v>8.34731302495998</v>
      </c>
      <c r="EE100" s="190" t="n">
        <v>8.41704871297998</v>
      </c>
      <c r="EF100" s="190" t="n">
        <v>8.48678440099998</v>
      </c>
      <c r="EG100" s="190" t="n">
        <v>8.55652008901998</v>
      </c>
      <c r="EH100" s="190" t="n">
        <v>8.62625577703998</v>
      </c>
      <c r="EI100" s="190" t="n">
        <v>8.69599146505998</v>
      </c>
      <c r="EJ100" s="190" t="n">
        <v>8.76572715307998</v>
      </c>
      <c r="EK100" s="190" t="n">
        <v>8.83546284109998</v>
      </c>
      <c r="EL100" s="180" t="n">
        <v>8.90519852911998</v>
      </c>
      <c r="EM100" s="180" t="n">
        <v>8.97493421713998</v>
      </c>
      <c r="EN100" s="180" t="n">
        <v>9.04466990515998</v>
      </c>
      <c r="EO100" s="180" t="n">
        <v>9.11440559317998</v>
      </c>
      <c r="EP100" s="180" t="n">
        <v>9.18414128119998</v>
      </c>
      <c r="EQ100" s="180" t="n">
        <v>9.25387696921998</v>
      </c>
      <c r="ER100" s="180" t="n">
        <v>9.32361265723998</v>
      </c>
      <c r="ES100" s="180" t="n">
        <v>9.39334834525998</v>
      </c>
      <c r="ET100" s="180" t="n">
        <v>9.46308403327998</v>
      </c>
      <c r="EU100" s="180" t="n">
        <v>9.53281972129998</v>
      </c>
      <c r="EV100" s="180" t="n">
        <v>9.60255540931998</v>
      </c>
      <c r="EW100" s="180" t="n">
        <v>9.67229109733998</v>
      </c>
      <c r="EX100" s="180" t="n">
        <v>9.74202678535998</v>
      </c>
      <c r="EY100" s="180" t="n">
        <v>9.81176247337998</v>
      </c>
      <c r="EZ100" s="180" t="n">
        <v>9.88149816139998</v>
      </c>
      <c r="FA100" s="180" t="n">
        <v>9.95123384941998</v>
      </c>
      <c r="FB100" s="180" t="n">
        <v>10.02096953744</v>
      </c>
      <c r="FC100" s="180" t="n">
        <v>10.09070522546</v>
      </c>
      <c r="FD100" s="180" t="n">
        <v>10.16044091348</v>
      </c>
      <c r="FE100" s="180" t="n">
        <v>10.2301766015</v>
      </c>
      <c r="FF100" s="180" t="n">
        <v>10.29991228952</v>
      </c>
      <c r="FG100" s="180" t="n">
        <v>10.36964797754</v>
      </c>
      <c r="FH100" s="180" t="n">
        <v>10.43938366556</v>
      </c>
      <c r="FI100" s="180" t="n">
        <v>10.50911935358</v>
      </c>
      <c r="FJ100" s="180" t="n">
        <v>10.5788550416</v>
      </c>
      <c r="FK100" s="180" t="n">
        <v>10.64859072962</v>
      </c>
      <c r="FL100" s="180" t="n">
        <v>10.71832641764</v>
      </c>
      <c r="FM100" s="180" t="n">
        <v>10.78806210566</v>
      </c>
      <c r="FN100" s="180" t="n">
        <v>10.85779779368</v>
      </c>
      <c r="FO100" s="180" t="n">
        <v>10.9275334817</v>
      </c>
      <c r="FP100" s="180" t="n">
        <v>10.99726916972</v>
      </c>
      <c r="FQ100" s="180" t="n">
        <v>11.06700485774</v>
      </c>
      <c r="FR100" s="180" t="n">
        <v>11.13674054576</v>
      </c>
      <c r="FS100" s="180" t="n">
        <v>11.20647623378</v>
      </c>
      <c r="FT100" s="180" t="n">
        <v>11.2762119218</v>
      </c>
      <c r="FU100" s="180" t="n">
        <v>11.34594760982</v>
      </c>
      <c r="FV100" s="180" t="n">
        <v>11.41568329784</v>
      </c>
      <c r="FW100" s="180" t="n">
        <v>11.48541898586</v>
      </c>
      <c r="FX100" s="180" t="n">
        <v>11.55515467388</v>
      </c>
      <c r="FY100" s="180" t="n">
        <v>11.6248903619</v>
      </c>
      <c r="FZ100" s="180" t="n">
        <v>11.69462604992</v>
      </c>
      <c r="GA100" s="180" t="n">
        <v>11.76436173794</v>
      </c>
      <c r="GB100" s="180" t="n">
        <v>11.83409742596</v>
      </c>
      <c r="GC100" s="180" t="n">
        <v>11.90383311398</v>
      </c>
      <c r="GD100" s="180" t="n">
        <v>11.973568802</v>
      </c>
      <c r="GE100" s="180" t="n">
        <v>12.04330449002</v>
      </c>
      <c r="GF100" s="180" t="n">
        <v>12.11304017804</v>
      </c>
      <c r="GG100" s="180" t="n">
        <v>12.18277586606</v>
      </c>
      <c r="GH100" s="180" t="n">
        <v>12.25251155408</v>
      </c>
      <c r="GI100" s="180" t="n">
        <v>12.3222472421</v>
      </c>
      <c r="GJ100" s="180" t="n">
        <v>12.39198293012</v>
      </c>
      <c r="GK100" s="180" t="n">
        <v>12.46171861814</v>
      </c>
      <c r="GL100" s="180" t="n">
        <v>12.53145430616</v>
      </c>
      <c r="GM100" s="180" t="n">
        <v>12.60118999418</v>
      </c>
      <c r="GN100" s="180" t="n">
        <v>12.6709256822</v>
      </c>
      <c r="GO100" s="180" t="n">
        <v>12.74066137022</v>
      </c>
      <c r="GP100" s="180" t="n">
        <v>12.81039705824</v>
      </c>
      <c r="GQ100" s="180" t="n">
        <v>12.88013274626</v>
      </c>
      <c r="GR100" s="180" t="n">
        <v>12.94986843428</v>
      </c>
      <c r="GS100" s="180" t="n">
        <v>13.0196041223</v>
      </c>
      <c r="GT100" s="180" t="n">
        <v>13.08933981032</v>
      </c>
      <c r="GU100" s="180" t="n">
        <v>13.15907549834</v>
      </c>
      <c r="GV100" s="180" t="n">
        <v>13.22881118636</v>
      </c>
      <c r="GW100" s="180" t="n">
        <v>13.29854687438</v>
      </c>
      <c r="GX100" s="180" t="n">
        <v>13.3682825624</v>
      </c>
      <c r="GY100" s="180" t="n">
        <v>13.43801825042</v>
      </c>
      <c r="GZ100" s="180" t="n">
        <v>13.50775393844</v>
      </c>
      <c r="HA100" s="180" t="n">
        <v>13.57748962646</v>
      </c>
      <c r="HB100" s="180" t="n">
        <v>13.64722531448</v>
      </c>
      <c r="HC100" s="180" t="n">
        <v>13.7169610025</v>
      </c>
      <c r="HD100" s="180" t="n">
        <v>13.78669669052</v>
      </c>
      <c r="HE100" s="180" t="n">
        <v>13.85643237854</v>
      </c>
      <c r="HF100" s="180" t="n">
        <v>13.92616806656</v>
      </c>
      <c r="HG100" s="180" t="n">
        <v>13.99590375458</v>
      </c>
      <c r="HH100" s="180" t="n">
        <v>14.0656394426</v>
      </c>
      <c r="HI100" s="180" t="n">
        <v>14.13537513062</v>
      </c>
      <c r="HJ100" s="180" t="n">
        <v>14.20511081864</v>
      </c>
      <c r="HK100" s="180" t="n">
        <v>14.27484650666</v>
      </c>
      <c r="HL100" s="180" t="n">
        <v>14.34458219468</v>
      </c>
      <c r="HM100" s="180" t="n">
        <v>14.4143178827</v>
      </c>
      <c r="HN100" s="180" t="n">
        <v>14.48405357072</v>
      </c>
      <c r="HO100" s="180" t="n">
        <v>14.55378925874</v>
      </c>
      <c r="HP100" s="180" t="n">
        <v>14.62352494676</v>
      </c>
      <c r="HQ100" s="180" t="n">
        <v>14.69326063478</v>
      </c>
      <c r="HR100" s="180" t="n">
        <v>14.7629963228</v>
      </c>
      <c r="HS100" s="180" t="n">
        <v>14.83273201082</v>
      </c>
      <c r="HT100" s="180" t="n">
        <v>14.90246769884</v>
      </c>
      <c r="HU100" s="180" t="n">
        <v>14.97220338686</v>
      </c>
      <c r="HV100" s="180" t="n">
        <v>15.04193907488</v>
      </c>
      <c r="HW100" s="180" t="n">
        <v>15.1116747629</v>
      </c>
      <c r="HX100" s="180" t="n">
        <v>15.18141045092</v>
      </c>
      <c r="HY100" s="180" t="n">
        <v>15.25114613894</v>
      </c>
      <c r="HZ100" s="180" t="n">
        <v>15.32088182696</v>
      </c>
      <c r="IA100" s="180" t="n">
        <v>15.39061751498</v>
      </c>
      <c r="IB100" s="180" t="n">
        <v>15.460353203</v>
      </c>
      <c r="IC100" s="180" t="n">
        <v>15.53008889102</v>
      </c>
      <c r="ID100" s="180" t="n">
        <v>15.59982457904</v>
      </c>
      <c r="IE100" s="180" t="n">
        <v>15.66956026706</v>
      </c>
      <c r="IF100" s="180" t="n">
        <v>15.73929595508</v>
      </c>
      <c r="IG100" s="180" t="n">
        <v>15.8090316431</v>
      </c>
      <c r="IH100" s="180" t="n">
        <v>15.87876733112</v>
      </c>
      <c r="II100" s="180" t="n">
        <v>15.94850301914</v>
      </c>
      <c r="IJ100" s="180" t="n">
        <v>16.01823870716</v>
      </c>
      <c r="IK100" s="180" t="n">
        <v>16.08797439518</v>
      </c>
      <c r="IL100" s="180" t="n">
        <v>16.1577100832</v>
      </c>
      <c r="IM100" s="180" t="n">
        <v>16.22744577122</v>
      </c>
      <c r="IN100" s="180" t="n">
        <v>16.29718145924</v>
      </c>
      <c r="IO100" s="180" t="n">
        <v>16.36691714726</v>
      </c>
      <c r="IP100" s="180" t="n">
        <v>16.43665283528</v>
      </c>
      <c r="IQ100" s="180" t="n">
        <v>16.5063885233</v>
      </c>
      <c r="IR100" s="180" t="n">
        <v>16.57612421132</v>
      </c>
      <c r="IS100" s="180" t="n">
        <v>16.64585989934</v>
      </c>
      <c r="IT100" s="180" t="n">
        <v>16.71559558736</v>
      </c>
      <c r="IU100" s="180" t="n">
        <v>16.78533127538</v>
      </c>
      <c r="IV100" s="180" t="n">
        <v>16.8550669634</v>
      </c>
    </row>
    <row r="101" customFormat="false" ht="12.75" hidden="false" customHeight="false" outlineLevel="0" collapsed="false">
      <c r="A101" s="189" t="n">
        <v>39753</v>
      </c>
      <c r="B101" s="185" t="n">
        <v>-2.021005929375</v>
      </c>
      <c r="C101" s="185" t="n">
        <v>-1.9907047400625</v>
      </c>
      <c r="D101" s="185" t="n">
        <v>-1.96040355075</v>
      </c>
      <c r="E101" s="185" t="n">
        <v>-1.9301023614375</v>
      </c>
      <c r="F101" s="185" t="n">
        <v>-1.899801172125</v>
      </c>
      <c r="G101" s="185" t="n">
        <v>-1.8694999828125</v>
      </c>
      <c r="H101" s="185" t="n">
        <v>-1.8391987935</v>
      </c>
      <c r="I101" s="185" t="n">
        <v>-1.8088976041875</v>
      </c>
      <c r="J101" s="185" t="n">
        <v>-1.778596414875</v>
      </c>
      <c r="K101" s="185" t="n">
        <v>-1.7482952255625</v>
      </c>
      <c r="L101" s="185" t="n">
        <v>-1.71799403625</v>
      </c>
      <c r="M101" s="185" t="n">
        <v>-1.6876928469375</v>
      </c>
      <c r="N101" s="185" t="n">
        <v>-1.657391657625</v>
      </c>
      <c r="O101" s="185" t="n">
        <v>-1.6270904683125</v>
      </c>
      <c r="P101" s="185" t="n">
        <v>-1.596789279</v>
      </c>
      <c r="Q101" s="185" t="n">
        <v>-1.5664880896875</v>
      </c>
      <c r="R101" s="185" t="n">
        <v>-1.536186900375</v>
      </c>
      <c r="S101" s="185" t="n">
        <v>-1.5058857110625</v>
      </c>
      <c r="T101" s="185" t="n">
        <v>-1.47558452175</v>
      </c>
      <c r="U101" s="185" t="n">
        <v>-1.4452833324375</v>
      </c>
      <c r="V101" s="186" t="n">
        <v>-1.414982143125</v>
      </c>
      <c r="W101" s="185" t="n">
        <v>-1.3846809538125</v>
      </c>
      <c r="X101" s="186" t="n">
        <v>-1.3543797645</v>
      </c>
      <c r="Y101" s="185" t="n">
        <v>-1.3240785751875</v>
      </c>
      <c r="Z101" s="186" t="n">
        <v>-1.293777385875</v>
      </c>
      <c r="AA101" s="185" t="n">
        <v>-1.2634761965625</v>
      </c>
      <c r="AB101" s="187" t="n">
        <v>-1.23317500725</v>
      </c>
      <c r="AC101" s="185" t="n">
        <v>-1.2028738179375</v>
      </c>
      <c r="AD101" s="187" t="n">
        <v>-1.172572628625</v>
      </c>
      <c r="AE101" s="185" t="n">
        <v>-1.1422714393125</v>
      </c>
      <c r="AF101" s="185" t="n">
        <v>-1.11197025</v>
      </c>
      <c r="AG101" s="190" t="n">
        <v>-1.083235125</v>
      </c>
      <c r="AH101" s="190" t="n">
        <v>-1.0545</v>
      </c>
      <c r="AI101" s="190" t="n">
        <v>-1.02725</v>
      </c>
      <c r="AJ101" s="190" t="n">
        <v>-1</v>
      </c>
      <c r="AK101" s="190" t="n">
        <v>-0.8</v>
      </c>
      <c r="AL101" s="190" t="n">
        <v>-0.6</v>
      </c>
      <c r="AM101" s="190" t="n">
        <v>-0.4</v>
      </c>
      <c r="AN101" s="190" t="n">
        <v>-0.2</v>
      </c>
      <c r="AO101" s="190" t="n">
        <v>0</v>
      </c>
      <c r="AP101" s="190" t="n">
        <v>0.2</v>
      </c>
      <c r="AQ101" s="190" t="n">
        <v>0.4</v>
      </c>
      <c r="AR101" s="190" t="n">
        <v>0.6</v>
      </c>
      <c r="AS101" s="190" t="n">
        <v>0.8</v>
      </c>
      <c r="AT101" s="190" t="n">
        <v>1</v>
      </c>
      <c r="AU101" s="190" t="n">
        <v>1.2</v>
      </c>
      <c r="AV101" s="190" t="n">
        <v>1.4</v>
      </c>
      <c r="AW101" s="190" t="n">
        <v>1.58</v>
      </c>
      <c r="AX101" s="190" t="n">
        <v>1.76</v>
      </c>
      <c r="AY101" s="190" t="n">
        <v>1.922</v>
      </c>
      <c r="AZ101" s="190" t="n">
        <v>2.084</v>
      </c>
      <c r="BA101" s="190" t="n">
        <v>2.2298</v>
      </c>
      <c r="BB101" s="190" t="n">
        <v>2.3756</v>
      </c>
      <c r="BC101" s="190" t="n">
        <v>2.50682</v>
      </c>
      <c r="BD101" s="190" t="n">
        <v>2.63804</v>
      </c>
      <c r="BE101" s="190" t="n">
        <v>2.756138</v>
      </c>
      <c r="BF101" s="190" t="n">
        <v>2.874236</v>
      </c>
      <c r="BG101" s="190" t="n">
        <v>2.9805242</v>
      </c>
      <c r="BH101" s="190" t="n">
        <v>3.0868124</v>
      </c>
      <c r="BI101" s="190" t="n">
        <v>3.18247178</v>
      </c>
      <c r="BJ101" s="190" t="n">
        <v>3.27813116</v>
      </c>
      <c r="BK101" s="190" t="n">
        <v>3.364224602</v>
      </c>
      <c r="BL101" s="190" t="n">
        <v>3.450318044</v>
      </c>
      <c r="BM101" s="190" t="n">
        <v>3.5278021418</v>
      </c>
      <c r="BN101" s="190" t="n">
        <v>3.6052862396</v>
      </c>
      <c r="BO101" s="190" t="n">
        <v>3.67502192762</v>
      </c>
      <c r="BP101" s="190" t="n">
        <v>3.74475761564</v>
      </c>
      <c r="BQ101" s="190" t="n">
        <v>3.81449330366</v>
      </c>
      <c r="BR101" s="190" t="n">
        <v>3.88422899168</v>
      </c>
      <c r="BS101" s="190" t="n">
        <v>3.9539646797</v>
      </c>
      <c r="BT101" s="190" t="n">
        <v>4.02370036772</v>
      </c>
      <c r="BU101" s="190" t="n">
        <v>4.09343605574</v>
      </c>
      <c r="BV101" s="190" t="n">
        <v>4.16317174376</v>
      </c>
      <c r="BW101" s="190" t="n">
        <v>4.23290743178</v>
      </c>
      <c r="BX101" s="190" t="n">
        <v>4.3026431198</v>
      </c>
      <c r="BY101" s="190" t="n">
        <v>4.37237880782</v>
      </c>
      <c r="BZ101" s="190" t="n">
        <v>4.44211449584</v>
      </c>
      <c r="CA101" s="190" t="n">
        <v>4.51185018386</v>
      </c>
      <c r="CB101" s="190" t="n">
        <v>4.58158587188</v>
      </c>
      <c r="CC101" s="190" t="n">
        <v>4.6513215599</v>
      </c>
      <c r="CD101" s="190" t="n">
        <v>4.72105724792</v>
      </c>
      <c r="CE101" s="190" t="n">
        <v>4.79079293594</v>
      </c>
      <c r="CF101" s="190" t="n">
        <v>4.86052862396</v>
      </c>
      <c r="CG101" s="190" t="n">
        <v>4.93026431198</v>
      </c>
      <c r="CH101" s="190" t="n">
        <v>5</v>
      </c>
      <c r="CI101" s="190" t="n">
        <v>5.06973568801999</v>
      </c>
      <c r="CJ101" s="190" t="n">
        <v>5.13947137603999</v>
      </c>
      <c r="CK101" s="190" t="n">
        <v>5.20920706405999</v>
      </c>
      <c r="CL101" s="190" t="n">
        <v>5.27894275207999</v>
      </c>
      <c r="CM101" s="190" t="n">
        <v>5.34867844009999</v>
      </c>
      <c r="CN101" s="190" t="n">
        <v>5.41841412811999</v>
      </c>
      <c r="CO101" s="190" t="n">
        <v>5.48814981613999</v>
      </c>
      <c r="CP101" s="190" t="n">
        <v>5.55788550415999</v>
      </c>
      <c r="CQ101" s="190" t="n">
        <v>5.62762119217999</v>
      </c>
      <c r="CR101" s="190" t="n">
        <v>5.69735688019999</v>
      </c>
      <c r="CS101" s="190" t="n">
        <v>5.76709256821999</v>
      </c>
      <c r="CT101" s="190" t="n">
        <v>5.83682825623999</v>
      </c>
      <c r="CU101" s="190" t="n">
        <v>5.90656394425999</v>
      </c>
      <c r="CV101" s="190" t="n">
        <v>5.97629963227999</v>
      </c>
      <c r="CW101" s="190" t="n">
        <v>6.04603532029999</v>
      </c>
      <c r="CX101" s="190" t="n">
        <v>6.11577100831999</v>
      </c>
      <c r="CY101" s="190" t="n">
        <v>6.18550669633999</v>
      </c>
      <c r="CZ101" s="190" t="n">
        <v>6.25524238435999</v>
      </c>
      <c r="DA101" s="190" t="n">
        <v>6.32497807237999</v>
      </c>
      <c r="DB101" s="190" t="n">
        <v>6.39471376039999</v>
      </c>
      <c r="DC101" s="190" t="n">
        <v>6.46444944841999</v>
      </c>
      <c r="DD101" s="190" t="n">
        <v>6.53418513643999</v>
      </c>
      <c r="DE101" s="190" t="n">
        <v>6.60392082445999</v>
      </c>
      <c r="DF101" s="190" t="n">
        <v>6.67365651247999</v>
      </c>
      <c r="DG101" s="190" t="n">
        <v>6.74339220049999</v>
      </c>
      <c r="DH101" s="190" t="n">
        <v>6.81312788851999</v>
      </c>
      <c r="DI101" s="190" t="n">
        <v>6.88286357653999</v>
      </c>
      <c r="DJ101" s="190" t="n">
        <v>6.95259926455999</v>
      </c>
      <c r="DK101" s="190" t="n">
        <v>7.02233495257999</v>
      </c>
      <c r="DL101" s="190" t="n">
        <v>7.09207064059999</v>
      </c>
      <c r="DM101" s="190" t="n">
        <v>7.16180632861999</v>
      </c>
      <c r="DN101" s="190" t="n">
        <v>7.23154201663999</v>
      </c>
      <c r="DO101" s="190" t="n">
        <v>7.30127770465999</v>
      </c>
      <c r="DP101" s="190" t="n">
        <v>7.37101339267999</v>
      </c>
      <c r="DQ101" s="190" t="n">
        <v>7.44074908069999</v>
      </c>
      <c r="DR101" s="190" t="n">
        <v>7.51048476871999</v>
      </c>
      <c r="DS101" s="190" t="n">
        <v>7.58022045673999</v>
      </c>
      <c r="DT101" s="190" t="n">
        <v>7.64995614475999</v>
      </c>
      <c r="DU101" s="190" t="n">
        <v>7.71969183277999</v>
      </c>
      <c r="DV101" s="190" t="n">
        <v>7.78942752079998</v>
      </c>
      <c r="DW101" s="190" t="n">
        <v>7.85916320881998</v>
      </c>
      <c r="DX101" s="190" t="n">
        <v>7.92889889683998</v>
      </c>
      <c r="DY101" s="190" t="n">
        <v>7.99863458485998</v>
      </c>
      <c r="DZ101" s="190" t="n">
        <v>8.06837027287998</v>
      </c>
      <c r="EA101" s="190" t="n">
        <v>8.13810596089998</v>
      </c>
      <c r="EB101" s="190" t="n">
        <v>8.20784164891998</v>
      </c>
      <c r="EC101" s="190" t="n">
        <v>8.27757733693998</v>
      </c>
      <c r="ED101" s="190" t="n">
        <v>8.34731302495998</v>
      </c>
      <c r="EE101" s="190" t="n">
        <v>8.41704871297998</v>
      </c>
      <c r="EF101" s="190" t="n">
        <v>8.48678440099998</v>
      </c>
      <c r="EG101" s="190" t="n">
        <v>8.55652008901998</v>
      </c>
      <c r="EH101" s="190" t="n">
        <v>8.62625577703998</v>
      </c>
      <c r="EI101" s="190" t="n">
        <v>8.69599146505998</v>
      </c>
      <c r="EJ101" s="190" t="n">
        <v>8.76572715307998</v>
      </c>
      <c r="EK101" s="190" t="n">
        <v>8.83546284109998</v>
      </c>
      <c r="EL101" s="180" t="n">
        <v>8.90519852911998</v>
      </c>
      <c r="EM101" s="180" t="n">
        <v>8.97493421713998</v>
      </c>
      <c r="EN101" s="180" t="n">
        <v>9.04466990515998</v>
      </c>
      <c r="EO101" s="180" t="n">
        <v>9.11440559317998</v>
      </c>
      <c r="EP101" s="180" t="n">
        <v>9.18414128119998</v>
      </c>
      <c r="EQ101" s="180" t="n">
        <v>9.25387696921998</v>
      </c>
      <c r="ER101" s="180" t="n">
        <v>9.32361265723998</v>
      </c>
      <c r="ES101" s="180" t="n">
        <v>9.39334834525998</v>
      </c>
      <c r="ET101" s="180" t="n">
        <v>9.46308403327998</v>
      </c>
      <c r="EU101" s="180" t="n">
        <v>9.53281972129998</v>
      </c>
      <c r="EV101" s="180" t="n">
        <v>9.60255540931998</v>
      </c>
      <c r="EW101" s="180" t="n">
        <v>9.67229109733998</v>
      </c>
      <c r="EX101" s="180" t="n">
        <v>9.74202678535998</v>
      </c>
      <c r="EY101" s="180" t="n">
        <v>9.81176247337998</v>
      </c>
      <c r="EZ101" s="180" t="n">
        <v>9.88149816139998</v>
      </c>
      <c r="FA101" s="180" t="n">
        <v>9.95123384941998</v>
      </c>
      <c r="FB101" s="180" t="n">
        <v>10.02096953744</v>
      </c>
      <c r="FC101" s="180" t="n">
        <v>10.09070522546</v>
      </c>
      <c r="FD101" s="180" t="n">
        <v>10.16044091348</v>
      </c>
      <c r="FE101" s="180" t="n">
        <v>10.2301766015</v>
      </c>
      <c r="FF101" s="180" t="n">
        <v>10.29991228952</v>
      </c>
      <c r="FG101" s="180" t="n">
        <v>10.36964797754</v>
      </c>
      <c r="FH101" s="180" t="n">
        <v>10.43938366556</v>
      </c>
      <c r="FI101" s="180" t="n">
        <v>10.50911935358</v>
      </c>
      <c r="FJ101" s="180" t="n">
        <v>10.5788550416</v>
      </c>
      <c r="FK101" s="180" t="n">
        <v>10.64859072962</v>
      </c>
      <c r="FL101" s="180" t="n">
        <v>10.71832641764</v>
      </c>
      <c r="FM101" s="180" t="n">
        <v>10.78806210566</v>
      </c>
      <c r="FN101" s="180" t="n">
        <v>10.85779779368</v>
      </c>
      <c r="FO101" s="180" t="n">
        <v>10.9275334817</v>
      </c>
      <c r="FP101" s="180" t="n">
        <v>10.99726916972</v>
      </c>
      <c r="FQ101" s="180" t="n">
        <v>11.06700485774</v>
      </c>
      <c r="FR101" s="180" t="n">
        <v>11.13674054576</v>
      </c>
      <c r="FS101" s="180" t="n">
        <v>11.20647623378</v>
      </c>
      <c r="FT101" s="180" t="n">
        <v>11.2762119218</v>
      </c>
      <c r="FU101" s="180" t="n">
        <v>11.34594760982</v>
      </c>
      <c r="FV101" s="180" t="n">
        <v>11.41568329784</v>
      </c>
      <c r="FW101" s="180" t="n">
        <v>11.48541898586</v>
      </c>
      <c r="FX101" s="180" t="n">
        <v>11.55515467388</v>
      </c>
      <c r="FY101" s="180" t="n">
        <v>11.6248903619</v>
      </c>
      <c r="FZ101" s="180" t="n">
        <v>11.69462604992</v>
      </c>
      <c r="GA101" s="180" t="n">
        <v>11.76436173794</v>
      </c>
      <c r="GB101" s="180" t="n">
        <v>11.83409742596</v>
      </c>
      <c r="GC101" s="180" t="n">
        <v>11.90383311398</v>
      </c>
      <c r="GD101" s="180" t="n">
        <v>11.973568802</v>
      </c>
      <c r="GE101" s="180" t="n">
        <v>12.04330449002</v>
      </c>
      <c r="GF101" s="180" t="n">
        <v>12.11304017804</v>
      </c>
      <c r="GG101" s="180" t="n">
        <v>12.18277586606</v>
      </c>
      <c r="GH101" s="180" t="n">
        <v>12.25251155408</v>
      </c>
      <c r="GI101" s="180" t="n">
        <v>12.3222472421</v>
      </c>
      <c r="GJ101" s="180" t="n">
        <v>12.39198293012</v>
      </c>
      <c r="GK101" s="180" t="n">
        <v>12.46171861814</v>
      </c>
      <c r="GL101" s="180" t="n">
        <v>12.53145430616</v>
      </c>
      <c r="GM101" s="180" t="n">
        <v>12.60118999418</v>
      </c>
      <c r="GN101" s="180" t="n">
        <v>12.6709256822</v>
      </c>
      <c r="GO101" s="180" t="n">
        <v>12.74066137022</v>
      </c>
      <c r="GP101" s="180" t="n">
        <v>12.81039705824</v>
      </c>
      <c r="GQ101" s="180" t="n">
        <v>12.88013274626</v>
      </c>
      <c r="GR101" s="180" t="n">
        <v>12.94986843428</v>
      </c>
      <c r="GS101" s="180" t="n">
        <v>13.0196041223</v>
      </c>
      <c r="GT101" s="180" t="n">
        <v>13.08933981032</v>
      </c>
      <c r="GU101" s="180" t="n">
        <v>13.15907549834</v>
      </c>
      <c r="GV101" s="180" t="n">
        <v>13.22881118636</v>
      </c>
      <c r="GW101" s="180" t="n">
        <v>13.29854687438</v>
      </c>
      <c r="GX101" s="180" t="n">
        <v>13.3682825624</v>
      </c>
      <c r="GY101" s="180" t="n">
        <v>13.43801825042</v>
      </c>
      <c r="GZ101" s="180" t="n">
        <v>13.50775393844</v>
      </c>
      <c r="HA101" s="180" t="n">
        <v>13.57748962646</v>
      </c>
      <c r="HB101" s="180" t="n">
        <v>13.64722531448</v>
      </c>
      <c r="HC101" s="180" t="n">
        <v>13.7169610025</v>
      </c>
      <c r="HD101" s="180" t="n">
        <v>13.78669669052</v>
      </c>
      <c r="HE101" s="180" t="n">
        <v>13.85643237854</v>
      </c>
      <c r="HF101" s="180" t="n">
        <v>13.92616806656</v>
      </c>
      <c r="HG101" s="180" t="n">
        <v>13.99590375458</v>
      </c>
      <c r="HH101" s="180" t="n">
        <v>14.0656394426</v>
      </c>
      <c r="HI101" s="180" t="n">
        <v>14.13537513062</v>
      </c>
      <c r="HJ101" s="180" t="n">
        <v>14.20511081864</v>
      </c>
      <c r="HK101" s="180" t="n">
        <v>14.27484650666</v>
      </c>
      <c r="HL101" s="180" t="n">
        <v>14.34458219468</v>
      </c>
      <c r="HM101" s="180" t="n">
        <v>14.4143178827</v>
      </c>
      <c r="HN101" s="180" t="n">
        <v>14.48405357072</v>
      </c>
      <c r="HO101" s="180" t="n">
        <v>14.55378925874</v>
      </c>
      <c r="HP101" s="180" t="n">
        <v>14.62352494676</v>
      </c>
      <c r="HQ101" s="180" t="n">
        <v>14.69326063478</v>
      </c>
      <c r="HR101" s="180" t="n">
        <v>14.7629963228</v>
      </c>
      <c r="HS101" s="180" t="n">
        <v>14.83273201082</v>
      </c>
      <c r="HT101" s="180" t="n">
        <v>14.90246769884</v>
      </c>
      <c r="HU101" s="180" t="n">
        <v>14.97220338686</v>
      </c>
      <c r="HV101" s="180" t="n">
        <v>15.04193907488</v>
      </c>
      <c r="HW101" s="180" t="n">
        <v>15.1116747629</v>
      </c>
      <c r="HX101" s="180" t="n">
        <v>15.18141045092</v>
      </c>
      <c r="HY101" s="180" t="n">
        <v>15.25114613894</v>
      </c>
      <c r="HZ101" s="180" t="n">
        <v>15.32088182696</v>
      </c>
      <c r="IA101" s="180" t="n">
        <v>15.39061751498</v>
      </c>
      <c r="IB101" s="180" t="n">
        <v>15.460353203</v>
      </c>
      <c r="IC101" s="180" t="n">
        <v>15.53008889102</v>
      </c>
      <c r="ID101" s="180" t="n">
        <v>15.59982457904</v>
      </c>
      <c r="IE101" s="180" t="n">
        <v>15.66956026706</v>
      </c>
      <c r="IF101" s="180" t="n">
        <v>15.73929595508</v>
      </c>
      <c r="IG101" s="180" t="n">
        <v>15.8090316431</v>
      </c>
      <c r="IH101" s="180" t="n">
        <v>15.87876733112</v>
      </c>
      <c r="II101" s="180" t="n">
        <v>15.94850301914</v>
      </c>
      <c r="IJ101" s="180" t="n">
        <v>16.01823870716</v>
      </c>
      <c r="IK101" s="180" t="n">
        <v>16.08797439518</v>
      </c>
      <c r="IL101" s="180" t="n">
        <v>16.1577100832</v>
      </c>
      <c r="IM101" s="180" t="n">
        <v>16.22744577122</v>
      </c>
      <c r="IN101" s="180" t="n">
        <v>16.29718145924</v>
      </c>
      <c r="IO101" s="180" t="n">
        <v>16.36691714726</v>
      </c>
      <c r="IP101" s="180" t="n">
        <v>16.43665283528</v>
      </c>
      <c r="IQ101" s="180" t="n">
        <v>16.5063885233</v>
      </c>
      <c r="IR101" s="180" t="n">
        <v>16.57612421132</v>
      </c>
      <c r="IS101" s="180" t="n">
        <v>16.64585989934</v>
      </c>
      <c r="IT101" s="180" t="n">
        <v>16.71559558736</v>
      </c>
      <c r="IU101" s="180" t="n">
        <v>16.78533127538</v>
      </c>
      <c r="IV101" s="180" t="n">
        <v>16.8550669634</v>
      </c>
    </row>
    <row r="102" customFormat="false" ht="12.75" hidden="false" customHeight="false" outlineLevel="0" collapsed="false">
      <c r="A102" s="189" t="n">
        <v>39783</v>
      </c>
      <c r="B102" s="185" t="n">
        <v>-2.021005929375</v>
      </c>
      <c r="C102" s="185" t="n">
        <v>-1.9907047400625</v>
      </c>
      <c r="D102" s="185" t="n">
        <v>-1.96040355075</v>
      </c>
      <c r="E102" s="185" t="n">
        <v>-1.9301023614375</v>
      </c>
      <c r="F102" s="185" t="n">
        <v>-1.899801172125</v>
      </c>
      <c r="G102" s="185" t="n">
        <v>-1.8694999828125</v>
      </c>
      <c r="H102" s="185" t="n">
        <v>-1.8391987935</v>
      </c>
      <c r="I102" s="185" t="n">
        <v>-1.8088976041875</v>
      </c>
      <c r="J102" s="185" t="n">
        <v>-1.778596414875</v>
      </c>
      <c r="K102" s="185" t="n">
        <v>-1.7482952255625</v>
      </c>
      <c r="L102" s="185" t="n">
        <v>-1.71799403625</v>
      </c>
      <c r="M102" s="185" t="n">
        <v>-1.6876928469375</v>
      </c>
      <c r="N102" s="185" t="n">
        <v>-1.657391657625</v>
      </c>
      <c r="O102" s="185" t="n">
        <v>-1.6270904683125</v>
      </c>
      <c r="P102" s="185" t="n">
        <v>-1.596789279</v>
      </c>
      <c r="Q102" s="185" t="n">
        <v>-1.5664880896875</v>
      </c>
      <c r="R102" s="185" t="n">
        <v>-1.536186900375</v>
      </c>
      <c r="S102" s="185" t="n">
        <v>-1.5058857110625</v>
      </c>
      <c r="T102" s="185" t="n">
        <v>-1.47558452175</v>
      </c>
      <c r="U102" s="185" t="n">
        <v>-1.4452833324375</v>
      </c>
      <c r="V102" s="186" t="n">
        <v>-1.414982143125</v>
      </c>
      <c r="W102" s="185" t="n">
        <v>-1.3846809538125</v>
      </c>
      <c r="X102" s="186" t="n">
        <v>-1.3543797645</v>
      </c>
      <c r="Y102" s="185" t="n">
        <v>-1.3240785751875</v>
      </c>
      <c r="Z102" s="186" t="n">
        <v>-1.293777385875</v>
      </c>
      <c r="AA102" s="185" t="n">
        <v>-1.2634761965625</v>
      </c>
      <c r="AB102" s="187" t="n">
        <v>-1.23317500725</v>
      </c>
      <c r="AC102" s="185" t="n">
        <v>-1.2028738179375</v>
      </c>
      <c r="AD102" s="187" t="n">
        <v>-1.172572628625</v>
      </c>
      <c r="AE102" s="185" t="n">
        <v>-1.1422714393125</v>
      </c>
      <c r="AF102" s="185" t="n">
        <v>-1.11197025</v>
      </c>
      <c r="AG102" s="190" t="n">
        <v>-1.083235125</v>
      </c>
      <c r="AH102" s="190" t="n">
        <v>-1.0545</v>
      </c>
      <c r="AI102" s="190" t="n">
        <v>-1.02725</v>
      </c>
      <c r="AJ102" s="190" t="n">
        <v>-1</v>
      </c>
      <c r="AK102" s="190" t="n">
        <v>-0.8</v>
      </c>
      <c r="AL102" s="190" t="n">
        <v>-0.6</v>
      </c>
      <c r="AM102" s="190" t="n">
        <v>-0.4</v>
      </c>
      <c r="AN102" s="190" t="n">
        <v>-0.2</v>
      </c>
      <c r="AO102" s="190" t="n">
        <v>0</v>
      </c>
      <c r="AP102" s="190" t="n">
        <v>0.2</v>
      </c>
      <c r="AQ102" s="190" t="n">
        <v>0.4</v>
      </c>
      <c r="AR102" s="190" t="n">
        <v>0.6</v>
      </c>
      <c r="AS102" s="190" t="n">
        <v>0.8</v>
      </c>
      <c r="AT102" s="190" t="n">
        <v>1</v>
      </c>
      <c r="AU102" s="190" t="n">
        <v>1.2</v>
      </c>
      <c r="AV102" s="190" t="n">
        <v>1.4</v>
      </c>
      <c r="AW102" s="190" t="n">
        <v>1.58</v>
      </c>
      <c r="AX102" s="190" t="n">
        <v>1.76</v>
      </c>
      <c r="AY102" s="190" t="n">
        <v>1.922</v>
      </c>
      <c r="AZ102" s="190" t="n">
        <v>2.084</v>
      </c>
      <c r="BA102" s="190" t="n">
        <v>2.2298</v>
      </c>
      <c r="BB102" s="190" t="n">
        <v>2.3756</v>
      </c>
      <c r="BC102" s="190" t="n">
        <v>2.50682</v>
      </c>
      <c r="BD102" s="190" t="n">
        <v>2.63804</v>
      </c>
      <c r="BE102" s="190" t="n">
        <v>2.756138</v>
      </c>
      <c r="BF102" s="190" t="n">
        <v>2.874236</v>
      </c>
      <c r="BG102" s="190" t="n">
        <v>2.9805242</v>
      </c>
      <c r="BH102" s="190" t="n">
        <v>3.0868124</v>
      </c>
      <c r="BI102" s="190" t="n">
        <v>3.18247178</v>
      </c>
      <c r="BJ102" s="190" t="n">
        <v>3.27813116</v>
      </c>
      <c r="BK102" s="190" t="n">
        <v>3.364224602</v>
      </c>
      <c r="BL102" s="190" t="n">
        <v>3.450318044</v>
      </c>
      <c r="BM102" s="190" t="n">
        <v>3.5278021418</v>
      </c>
      <c r="BN102" s="190" t="n">
        <v>3.6052862396</v>
      </c>
      <c r="BO102" s="190" t="n">
        <v>3.67502192762</v>
      </c>
      <c r="BP102" s="190" t="n">
        <v>3.74475761564</v>
      </c>
      <c r="BQ102" s="190" t="n">
        <v>3.81449330366</v>
      </c>
      <c r="BR102" s="190" t="n">
        <v>3.88422899168</v>
      </c>
      <c r="BS102" s="190" t="n">
        <v>3.9539646797</v>
      </c>
      <c r="BT102" s="190" t="n">
        <v>4.02370036772</v>
      </c>
      <c r="BU102" s="190" t="n">
        <v>4.09343605574</v>
      </c>
      <c r="BV102" s="190" t="n">
        <v>4.16317174376</v>
      </c>
      <c r="BW102" s="190" t="n">
        <v>4.23290743178</v>
      </c>
      <c r="BX102" s="190" t="n">
        <v>4.3026431198</v>
      </c>
      <c r="BY102" s="190" t="n">
        <v>4.37237880782</v>
      </c>
      <c r="BZ102" s="190" t="n">
        <v>4.44211449584</v>
      </c>
      <c r="CA102" s="190" t="n">
        <v>4.51185018386</v>
      </c>
      <c r="CB102" s="190" t="n">
        <v>4.58158587188</v>
      </c>
      <c r="CC102" s="190" t="n">
        <v>4.6513215599</v>
      </c>
      <c r="CD102" s="190" t="n">
        <v>4.72105724792</v>
      </c>
      <c r="CE102" s="190" t="n">
        <v>4.79079293594</v>
      </c>
      <c r="CF102" s="190" t="n">
        <v>4.86052862396</v>
      </c>
      <c r="CG102" s="190" t="n">
        <v>4.93026431198</v>
      </c>
      <c r="CH102" s="190" t="n">
        <v>5</v>
      </c>
      <c r="CI102" s="190" t="n">
        <v>5.06973568801999</v>
      </c>
      <c r="CJ102" s="190" t="n">
        <v>5.13947137603999</v>
      </c>
      <c r="CK102" s="190" t="n">
        <v>5.20920706405999</v>
      </c>
      <c r="CL102" s="190" t="n">
        <v>5.27894275207999</v>
      </c>
      <c r="CM102" s="190" t="n">
        <v>5.34867844009999</v>
      </c>
      <c r="CN102" s="190" t="n">
        <v>5.41841412811999</v>
      </c>
      <c r="CO102" s="190" t="n">
        <v>5.48814981613999</v>
      </c>
      <c r="CP102" s="190" t="n">
        <v>5.55788550415999</v>
      </c>
      <c r="CQ102" s="190" t="n">
        <v>5.62762119217999</v>
      </c>
      <c r="CR102" s="190" t="n">
        <v>5.69735688019999</v>
      </c>
      <c r="CS102" s="190" t="n">
        <v>5.76709256821999</v>
      </c>
      <c r="CT102" s="190" t="n">
        <v>5.83682825623999</v>
      </c>
      <c r="CU102" s="190" t="n">
        <v>5.90656394425999</v>
      </c>
      <c r="CV102" s="190" t="n">
        <v>5.97629963227999</v>
      </c>
      <c r="CW102" s="190" t="n">
        <v>6.04603532029999</v>
      </c>
      <c r="CX102" s="190" t="n">
        <v>6.11577100831999</v>
      </c>
      <c r="CY102" s="190" t="n">
        <v>6.18550669633999</v>
      </c>
      <c r="CZ102" s="190" t="n">
        <v>6.25524238435999</v>
      </c>
      <c r="DA102" s="190" t="n">
        <v>6.32497807237999</v>
      </c>
      <c r="DB102" s="190" t="n">
        <v>6.39471376039999</v>
      </c>
      <c r="DC102" s="190" t="n">
        <v>6.46444944841999</v>
      </c>
      <c r="DD102" s="190" t="n">
        <v>6.53418513643999</v>
      </c>
      <c r="DE102" s="190" t="n">
        <v>6.60392082445999</v>
      </c>
      <c r="DF102" s="190" t="n">
        <v>6.67365651247999</v>
      </c>
      <c r="DG102" s="190" t="n">
        <v>6.74339220049999</v>
      </c>
      <c r="DH102" s="190" t="n">
        <v>6.81312788851999</v>
      </c>
      <c r="DI102" s="190" t="n">
        <v>6.88286357653999</v>
      </c>
      <c r="DJ102" s="190" t="n">
        <v>6.95259926455999</v>
      </c>
      <c r="DK102" s="190" t="n">
        <v>7.02233495257999</v>
      </c>
      <c r="DL102" s="190" t="n">
        <v>7.09207064059999</v>
      </c>
      <c r="DM102" s="190" t="n">
        <v>7.16180632861999</v>
      </c>
      <c r="DN102" s="190" t="n">
        <v>7.23154201663999</v>
      </c>
      <c r="DO102" s="190" t="n">
        <v>7.30127770465999</v>
      </c>
      <c r="DP102" s="190" t="n">
        <v>7.37101339267999</v>
      </c>
      <c r="DQ102" s="190" t="n">
        <v>7.44074908069999</v>
      </c>
      <c r="DR102" s="190" t="n">
        <v>7.51048476871999</v>
      </c>
      <c r="DS102" s="190" t="n">
        <v>7.58022045673999</v>
      </c>
      <c r="DT102" s="190" t="n">
        <v>7.64995614475999</v>
      </c>
      <c r="DU102" s="190" t="n">
        <v>7.71969183277999</v>
      </c>
      <c r="DV102" s="190" t="n">
        <v>7.78942752079998</v>
      </c>
      <c r="DW102" s="190" t="n">
        <v>7.85916320881998</v>
      </c>
      <c r="DX102" s="190" t="n">
        <v>7.92889889683998</v>
      </c>
      <c r="DY102" s="190" t="n">
        <v>7.99863458485998</v>
      </c>
      <c r="DZ102" s="190" t="n">
        <v>8.06837027287998</v>
      </c>
      <c r="EA102" s="190" t="n">
        <v>8.13810596089998</v>
      </c>
      <c r="EB102" s="190" t="n">
        <v>8.20784164891998</v>
      </c>
      <c r="EC102" s="190" t="n">
        <v>8.27757733693998</v>
      </c>
      <c r="ED102" s="190" t="n">
        <v>8.34731302495998</v>
      </c>
      <c r="EE102" s="190" t="n">
        <v>8.41704871297998</v>
      </c>
      <c r="EF102" s="190" t="n">
        <v>8.48678440099998</v>
      </c>
      <c r="EG102" s="190" t="n">
        <v>8.55652008901998</v>
      </c>
      <c r="EH102" s="190" t="n">
        <v>8.62625577703998</v>
      </c>
      <c r="EI102" s="190" t="n">
        <v>8.69599146505998</v>
      </c>
      <c r="EJ102" s="190" t="n">
        <v>8.76572715307998</v>
      </c>
      <c r="EK102" s="190" t="n">
        <v>8.83546284109998</v>
      </c>
      <c r="EL102" s="180" t="n">
        <v>8.90519852911998</v>
      </c>
      <c r="EM102" s="180" t="n">
        <v>8.97493421713998</v>
      </c>
      <c r="EN102" s="180" t="n">
        <v>9.04466990515998</v>
      </c>
      <c r="EO102" s="180" t="n">
        <v>9.11440559317998</v>
      </c>
      <c r="EP102" s="180" t="n">
        <v>9.18414128119998</v>
      </c>
      <c r="EQ102" s="180" t="n">
        <v>9.25387696921998</v>
      </c>
      <c r="ER102" s="180" t="n">
        <v>9.32361265723998</v>
      </c>
      <c r="ES102" s="180" t="n">
        <v>9.39334834525998</v>
      </c>
      <c r="ET102" s="180" t="n">
        <v>9.46308403327998</v>
      </c>
      <c r="EU102" s="180" t="n">
        <v>9.53281972129998</v>
      </c>
      <c r="EV102" s="180" t="n">
        <v>9.60255540931998</v>
      </c>
      <c r="EW102" s="180" t="n">
        <v>9.67229109733998</v>
      </c>
      <c r="EX102" s="180" t="n">
        <v>9.74202678535998</v>
      </c>
      <c r="EY102" s="180" t="n">
        <v>9.81176247337998</v>
      </c>
      <c r="EZ102" s="180" t="n">
        <v>9.88149816139998</v>
      </c>
      <c r="FA102" s="180" t="n">
        <v>9.95123384941998</v>
      </c>
      <c r="FB102" s="180" t="n">
        <v>10.02096953744</v>
      </c>
      <c r="FC102" s="180" t="n">
        <v>10.09070522546</v>
      </c>
      <c r="FD102" s="180" t="n">
        <v>10.16044091348</v>
      </c>
      <c r="FE102" s="180" t="n">
        <v>10.2301766015</v>
      </c>
      <c r="FF102" s="180" t="n">
        <v>10.29991228952</v>
      </c>
      <c r="FG102" s="180" t="n">
        <v>10.36964797754</v>
      </c>
      <c r="FH102" s="180" t="n">
        <v>10.43938366556</v>
      </c>
      <c r="FI102" s="180" t="n">
        <v>10.50911935358</v>
      </c>
      <c r="FJ102" s="180" t="n">
        <v>10.5788550416</v>
      </c>
      <c r="FK102" s="180" t="n">
        <v>10.64859072962</v>
      </c>
      <c r="FL102" s="180" t="n">
        <v>10.71832641764</v>
      </c>
      <c r="FM102" s="180" t="n">
        <v>10.78806210566</v>
      </c>
      <c r="FN102" s="180" t="n">
        <v>10.85779779368</v>
      </c>
      <c r="FO102" s="180" t="n">
        <v>10.9275334817</v>
      </c>
      <c r="FP102" s="180" t="n">
        <v>10.99726916972</v>
      </c>
      <c r="FQ102" s="180" t="n">
        <v>11.06700485774</v>
      </c>
      <c r="FR102" s="180" t="n">
        <v>11.13674054576</v>
      </c>
      <c r="FS102" s="180" t="n">
        <v>11.20647623378</v>
      </c>
      <c r="FT102" s="180" t="n">
        <v>11.2762119218</v>
      </c>
      <c r="FU102" s="180" t="n">
        <v>11.34594760982</v>
      </c>
      <c r="FV102" s="180" t="n">
        <v>11.41568329784</v>
      </c>
      <c r="FW102" s="180" t="n">
        <v>11.48541898586</v>
      </c>
      <c r="FX102" s="180" t="n">
        <v>11.55515467388</v>
      </c>
      <c r="FY102" s="180" t="n">
        <v>11.6248903619</v>
      </c>
      <c r="FZ102" s="180" t="n">
        <v>11.69462604992</v>
      </c>
      <c r="GA102" s="180" t="n">
        <v>11.76436173794</v>
      </c>
      <c r="GB102" s="180" t="n">
        <v>11.83409742596</v>
      </c>
      <c r="GC102" s="180" t="n">
        <v>11.90383311398</v>
      </c>
      <c r="GD102" s="180" t="n">
        <v>11.973568802</v>
      </c>
      <c r="GE102" s="180" t="n">
        <v>12.04330449002</v>
      </c>
      <c r="GF102" s="180" t="n">
        <v>12.11304017804</v>
      </c>
      <c r="GG102" s="180" t="n">
        <v>12.18277586606</v>
      </c>
      <c r="GH102" s="180" t="n">
        <v>12.25251155408</v>
      </c>
      <c r="GI102" s="180" t="n">
        <v>12.3222472421</v>
      </c>
      <c r="GJ102" s="180" t="n">
        <v>12.39198293012</v>
      </c>
      <c r="GK102" s="180" t="n">
        <v>12.46171861814</v>
      </c>
      <c r="GL102" s="180" t="n">
        <v>12.53145430616</v>
      </c>
      <c r="GM102" s="180" t="n">
        <v>12.60118999418</v>
      </c>
      <c r="GN102" s="180" t="n">
        <v>12.6709256822</v>
      </c>
      <c r="GO102" s="180" t="n">
        <v>12.74066137022</v>
      </c>
      <c r="GP102" s="180" t="n">
        <v>12.81039705824</v>
      </c>
      <c r="GQ102" s="180" t="n">
        <v>12.88013274626</v>
      </c>
      <c r="GR102" s="180" t="n">
        <v>12.94986843428</v>
      </c>
      <c r="GS102" s="180" t="n">
        <v>13.0196041223</v>
      </c>
      <c r="GT102" s="180" t="n">
        <v>13.08933981032</v>
      </c>
      <c r="GU102" s="180" t="n">
        <v>13.15907549834</v>
      </c>
      <c r="GV102" s="180" t="n">
        <v>13.22881118636</v>
      </c>
      <c r="GW102" s="180" t="n">
        <v>13.29854687438</v>
      </c>
      <c r="GX102" s="180" t="n">
        <v>13.3682825624</v>
      </c>
      <c r="GY102" s="180" t="n">
        <v>13.43801825042</v>
      </c>
      <c r="GZ102" s="180" t="n">
        <v>13.50775393844</v>
      </c>
      <c r="HA102" s="180" t="n">
        <v>13.57748962646</v>
      </c>
      <c r="HB102" s="180" t="n">
        <v>13.64722531448</v>
      </c>
      <c r="HC102" s="180" t="n">
        <v>13.7169610025</v>
      </c>
      <c r="HD102" s="180" t="n">
        <v>13.78669669052</v>
      </c>
      <c r="HE102" s="180" t="n">
        <v>13.85643237854</v>
      </c>
      <c r="HF102" s="180" t="n">
        <v>13.92616806656</v>
      </c>
      <c r="HG102" s="180" t="n">
        <v>13.99590375458</v>
      </c>
      <c r="HH102" s="180" t="n">
        <v>14.0656394426</v>
      </c>
      <c r="HI102" s="180" t="n">
        <v>14.13537513062</v>
      </c>
      <c r="HJ102" s="180" t="n">
        <v>14.20511081864</v>
      </c>
      <c r="HK102" s="180" t="n">
        <v>14.27484650666</v>
      </c>
      <c r="HL102" s="180" t="n">
        <v>14.34458219468</v>
      </c>
      <c r="HM102" s="180" t="n">
        <v>14.4143178827</v>
      </c>
      <c r="HN102" s="180" t="n">
        <v>14.48405357072</v>
      </c>
      <c r="HO102" s="180" t="n">
        <v>14.55378925874</v>
      </c>
      <c r="HP102" s="180" t="n">
        <v>14.62352494676</v>
      </c>
      <c r="HQ102" s="180" t="n">
        <v>14.69326063478</v>
      </c>
      <c r="HR102" s="180" t="n">
        <v>14.7629963228</v>
      </c>
      <c r="HS102" s="180" t="n">
        <v>14.83273201082</v>
      </c>
      <c r="HT102" s="180" t="n">
        <v>14.90246769884</v>
      </c>
      <c r="HU102" s="180" t="n">
        <v>14.97220338686</v>
      </c>
      <c r="HV102" s="180" t="n">
        <v>15.04193907488</v>
      </c>
      <c r="HW102" s="180" t="n">
        <v>15.1116747629</v>
      </c>
      <c r="HX102" s="180" t="n">
        <v>15.18141045092</v>
      </c>
      <c r="HY102" s="180" t="n">
        <v>15.25114613894</v>
      </c>
      <c r="HZ102" s="180" t="n">
        <v>15.32088182696</v>
      </c>
      <c r="IA102" s="180" t="n">
        <v>15.39061751498</v>
      </c>
      <c r="IB102" s="180" t="n">
        <v>15.460353203</v>
      </c>
      <c r="IC102" s="180" t="n">
        <v>15.53008889102</v>
      </c>
      <c r="ID102" s="180" t="n">
        <v>15.59982457904</v>
      </c>
      <c r="IE102" s="180" t="n">
        <v>15.66956026706</v>
      </c>
      <c r="IF102" s="180" t="n">
        <v>15.73929595508</v>
      </c>
      <c r="IG102" s="180" t="n">
        <v>15.8090316431</v>
      </c>
      <c r="IH102" s="180" t="n">
        <v>15.87876733112</v>
      </c>
      <c r="II102" s="180" t="n">
        <v>15.94850301914</v>
      </c>
      <c r="IJ102" s="180" t="n">
        <v>16.01823870716</v>
      </c>
      <c r="IK102" s="180" t="n">
        <v>16.08797439518</v>
      </c>
      <c r="IL102" s="180" t="n">
        <v>16.1577100832</v>
      </c>
      <c r="IM102" s="180" t="n">
        <v>16.22744577122</v>
      </c>
      <c r="IN102" s="180" t="n">
        <v>16.29718145924</v>
      </c>
      <c r="IO102" s="180" t="n">
        <v>16.36691714726</v>
      </c>
      <c r="IP102" s="180" t="n">
        <v>16.43665283528</v>
      </c>
      <c r="IQ102" s="180" t="n">
        <v>16.5063885233</v>
      </c>
      <c r="IR102" s="180" t="n">
        <v>16.57612421132</v>
      </c>
      <c r="IS102" s="180" t="n">
        <v>16.64585989934</v>
      </c>
      <c r="IT102" s="180" t="n">
        <v>16.71559558736</v>
      </c>
      <c r="IU102" s="180" t="n">
        <v>16.78533127538</v>
      </c>
      <c r="IV102" s="180" t="n">
        <v>16.8550669634</v>
      </c>
    </row>
    <row r="103" customFormat="false" ht="12.75" hidden="false" customHeight="false" outlineLevel="0" collapsed="false">
      <c r="A103" s="189" t="n">
        <v>39814</v>
      </c>
      <c r="B103" s="185" t="n">
        <v>-2.021005929375</v>
      </c>
      <c r="C103" s="185" t="n">
        <v>-1.9907047400625</v>
      </c>
      <c r="D103" s="185" t="n">
        <v>-1.96040355075</v>
      </c>
      <c r="E103" s="185" t="n">
        <v>-1.9301023614375</v>
      </c>
      <c r="F103" s="185" t="n">
        <v>-1.899801172125</v>
      </c>
      <c r="G103" s="185" t="n">
        <v>-1.8694999828125</v>
      </c>
      <c r="H103" s="185" t="n">
        <v>-1.8391987935</v>
      </c>
      <c r="I103" s="185" t="n">
        <v>-1.8088976041875</v>
      </c>
      <c r="J103" s="185" t="n">
        <v>-1.778596414875</v>
      </c>
      <c r="K103" s="185" t="n">
        <v>-1.7482952255625</v>
      </c>
      <c r="L103" s="185" t="n">
        <v>-1.71799403625</v>
      </c>
      <c r="M103" s="185" t="n">
        <v>-1.6876928469375</v>
      </c>
      <c r="N103" s="185" t="n">
        <v>-1.657391657625</v>
      </c>
      <c r="O103" s="185" t="n">
        <v>-1.6270904683125</v>
      </c>
      <c r="P103" s="185" t="n">
        <v>-1.596789279</v>
      </c>
      <c r="Q103" s="185" t="n">
        <v>-1.5664880896875</v>
      </c>
      <c r="R103" s="185" t="n">
        <v>-1.536186900375</v>
      </c>
      <c r="S103" s="185" t="n">
        <v>-1.5058857110625</v>
      </c>
      <c r="T103" s="185" t="n">
        <v>-1.47558452175</v>
      </c>
      <c r="U103" s="185" t="n">
        <v>-1.4452833324375</v>
      </c>
      <c r="V103" s="186" t="n">
        <v>-1.414982143125</v>
      </c>
      <c r="W103" s="185" t="n">
        <v>-1.3846809538125</v>
      </c>
      <c r="X103" s="186" t="n">
        <v>-1.3543797645</v>
      </c>
      <c r="Y103" s="185" t="n">
        <v>-1.3240785751875</v>
      </c>
      <c r="Z103" s="186" t="n">
        <v>-1.293777385875</v>
      </c>
      <c r="AA103" s="185" t="n">
        <v>-1.2634761965625</v>
      </c>
      <c r="AB103" s="187" t="n">
        <v>-1.23317500725</v>
      </c>
      <c r="AC103" s="185" t="n">
        <v>-1.2028738179375</v>
      </c>
      <c r="AD103" s="187" t="n">
        <v>-1.172572628625</v>
      </c>
      <c r="AE103" s="185" t="n">
        <v>-1.1422714393125</v>
      </c>
      <c r="AF103" s="185" t="n">
        <v>-1.11197025</v>
      </c>
      <c r="AG103" s="190" t="n">
        <v>-1.083235125</v>
      </c>
      <c r="AH103" s="190" t="n">
        <v>-1.0545</v>
      </c>
      <c r="AI103" s="190" t="n">
        <v>-1.02725</v>
      </c>
      <c r="AJ103" s="190" t="n">
        <v>-1</v>
      </c>
      <c r="AK103" s="190" t="n">
        <v>-0.8</v>
      </c>
      <c r="AL103" s="190" t="n">
        <v>-0.6</v>
      </c>
      <c r="AM103" s="190" t="n">
        <v>-0.4</v>
      </c>
      <c r="AN103" s="190" t="n">
        <v>-0.2</v>
      </c>
      <c r="AO103" s="190" t="n">
        <v>0</v>
      </c>
      <c r="AP103" s="190" t="n">
        <v>0.2</v>
      </c>
      <c r="AQ103" s="190" t="n">
        <v>0.4</v>
      </c>
      <c r="AR103" s="190" t="n">
        <v>0.6</v>
      </c>
      <c r="AS103" s="190" t="n">
        <v>0.8</v>
      </c>
      <c r="AT103" s="190" t="n">
        <v>1</v>
      </c>
      <c r="AU103" s="190" t="n">
        <v>1.2</v>
      </c>
      <c r="AV103" s="190" t="n">
        <v>1.4</v>
      </c>
      <c r="AW103" s="190" t="n">
        <v>1.58</v>
      </c>
      <c r="AX103" s="190" t="n">
        <v>1.76</v>
      </c>
      <c r="AY103" s="190" t="n">
        <v>1.922</v>
      </c>
      <c r="AZ103" s="190" t="n">
        <v>2.084</v>
      </c>
      <c r="BA103" s="190" t="n">
        <v>2.2298</v>
      </c>
      <c r="BB103" s="190" t="n">
        <v>2.3756</v>
      </c>
      <c r="BC103" s="190" t="n">
        <v>2.50682</v>
      </c>
      <c r="BD103" s="190" t="n">
        <v>2.63804</v>
      </c>
      <c r="BE103" s="190" t="n">
        <v>2.756138</v>
      </c>
      <c r="BF103" s="190" t="n">
        <v>2.874236</v>
      </c>
      <c r="BG103" s="190" t="n">
        <v>2.9805242</v>
      </c>
      <c r="BH103" s="190" t="n">
        <v>3.0868124</v>
      </c>
      <c r="BI103" s="190" t="n">
        <v>3.18247178</v>
      </c>
      <c r="BJ103" s="190" t="n">
        <v>3.27813116</v>
      </c>
      <c r="BK103" s="190" t="n">
        <v>3.364224602</v>
      </c>
      <c r="BL103" s="190" t="n">
        <v>3.450318044</v>
      </c>
      <c r="BM103" s="190" t="n">
        <v>3.5278021418</v>
      </c>
      <c r="BN103" s="190" t="n">
        <v>3.6052862396</v>
      </c>
      <c r="BO103" s="190" t="n">
        <v>3.67502192762</v>
      </c>
      <c r="BP103" s="190" t="n">
        <v>3.74475761564</v>
      </c>
      <c r="BQ103" s="190" t="n">
        <v>3.81449330366</v>
      </c>
      <c r="BR103" s="190" t="n">
        <v>3.88422899168</v>
      </c>
      <c r="BS103" s="190" t="n">
        <v>3.9539646797</v>
      </c>
      <c r="BT103" s="190" t="n">
        <v>4.02370036772</v>
      </c>
      <c r="BU103" s="190" t="n">
        <v>4.09343605574</v>
      </c>
      <c r="BV103" s="190" t="n">
        <v>4.16317174376</v>
      </c>
      <c r="BW103" s="190" t="n">
        <v>4.23290743178</v>
      </c>
      <c r="BX103" s="190" t="n">
        <v>4.3026431198</v>
      </c>
      <c r="BY103" s="190" t="n">
        <v>4.37237880782</v>
      </c>
      <c r="BZ103" s="190" t="n">
        <v>4.44211449584</v>
      </c>
      <c r="CA103" s="190" t="n">
        <v>4.51185018386</v>
      </c>
      <c r="CB103" s="190" t="n">
        <v>4.58158587188</v>
      </c>
      <c r="CC103" s="190" t="n">
        <v>4.6513215599</v>
      </c>
      <c r="CD103" s="190" t="n">
        <v>4.72105724792</v>
      </c>
      <c r="CE103" s="190" t="n">
        <v>4.79079293594</v>
      </c>
      <c r="CF103" s="190" t="n">
        <v>4.86052862396</v>
      </c>
      <c r="CG103" s="190" t="n">
        <v>4.93026431198</v>
      </c>
      <c r="CH103" s="190" t="n">
        <v>5</v>
      </c>
      <c r="CI103" s="190" t="n">
        <v>5.06973568801999</v>
      </c>
      <c r="CJ103" s="190" t="n">
        <v>5.13947137603999</v>
      </c>
      <c r="CK103" s="190" t="n">
        <v>5.20920706405999</v>
      </c>
      <c r="CL103" s="190" t="n">
        <v>5.27894275207999</v>
      </c>
      <c r="CM103" s="190" t="n">
        <v>5.34867844009999</v>
      </c>
      <c r="CN103" s="190" t="n">
        <v>5.41841412811999</v>
      </c>
      <c r="CO103" s="190" t="n">
        <v>5.48814981613999</v>
      </c>
      <c r="CP103" s="190" t="n">
        <v>5.55788550415999</v>
      </c>
      <c r="CQ103" s="190" t="n">
        <v>5.62762119217999</v>
      </c>
      <c r="CR103" s="190" t="n">
        <v>5.69735688019999</v>
      </c>
      <c r="CS103" s="190" t="n">
        <v>5.76709256821999</v>
      </c>
      <c r="CT103" s="190" t="n">
        <v>5.83682825623999</v>
      </c>
      <c r="CU103" s="190" t="n">
        <v>5.90656394425999</v>
      </c>
      <c r="CV103" s="190" t="n">
        <v>5.97629963227999</v>
      </c>
      <c r="CW103" s="190" t="n">
        <v>6.04603532029999</v>
      </c>
      <c r="CX103" s="190" t="n">
        <v>6.11577100831999</v>
      </c>
      <c r="CY103" s="190" t="n">
        <v>6.18550669633999</v>
      </c>
      <c r="CZ103" s="190" t="n">
        <v>6.25524238435999</v>
      </c>
      <c r="DA103" s="190" t="n">
        <v>6.32497807237999</v>
      </c>
      <c r="DB103" s="190" t="n">
        <v>6.39471376039999</v>
      </c>
      <c r="DC103" s="190" t="n">
        <v>6.46444944841999</v>
      </c>
      <c r="DD103" s="190" t="n">
        <v>6.53418513643999</v>
      </c>
      <c r="DE103" s="190" t="n">
        <v>6.60392082445999</v>
      </c>
      <c r="DF103" s="190" t="n">
        <v>6.67365651247999</v>
      </c>
      <c r="DG103" s="190" t="n">
        <v>6.74339220049999</v>
      </c>
      <c r="DH103" s="190" t="n">
        <v>6.81312788851999</v>
      </c>
      <c r="DI103" s="190" t="n">
        <v>6.88286357653999</v>
      </c>
      <c r="DJ103" s="190" t="n">
        <v>6.95259926455999</v>
      </c>
      <c r="DK103" s="190" t="n">
        <v>7.02233495257999</v>
      </c>
      <c r="DL103" s="190" t="n">
        <v>7.09207064059999</v>
      </c>
      <c r="DM103" s="190" t="n">
        <v>7.16180632861999</v>
      </c>
      <c r="DN103" s="190" t="n">
        <v>7.23154201663999</v>
      </c>
      <c r="DO103" s="190" t="n">
        <v>7.30127770465999</v>
      </c>
      <c r="DP103" s="190" t="n">
        <v>7.37101339267999</v>
      </c>
      <c r="DQ103" s="190" t="n">
        <v>7.44074908069999</v>
      </c>
      <c r="DR103" s="190" t="n">
        <v>7.51048476871999</v>
      </c>
      <c r="DS103" s="190" t="n">
        <v>7.58022045673999</v>
      </c>
      <c r="DT103" s="190" t="n">
        <v>7.64995614475999</v>
      </c>
      <c r="DU103" s="190" t="n">
        <v>7.71969183277999</v>
      </c>
      <c r="DV103" s="190" t="n">
        <v>7.78942752079998</v>
      </c>
      <c r="DW103" s="190" t="n">
        <v>7.85916320881998</v>
      </c>
      <c r="DX103" s="190" t="n">
        <v>7.92889889683998</v>
      </c>
      <c r="DY103" s="190" t="n">
        <v>7.99863458485998</v>
      </c>
      <c r="DZ103" s="190" t="n">
        <v>8.06837027287998</v>
      </c>
      <c r="EA103" s="190" t="n">
        <v>8.13810596089998</v>
      </c>
      <c r="EB103" s="190" t="n">
        <v>8.20784164891998</v>
      </c>
      <c r="EC103" s="190" t="n">
        <v>8.27757733693998</v>
      </c>
      <c r="ED103" s="190" t="n">
        <v>8.34731302495998</v>
      </c>
      <c r="EE103" s="190" t="n">
        <v>8.41704871297998</v>
      </c>
      <c r="EF103" s="190" t="n">
        <v>8.48678440099998</v>
      </c>
      <c r="EG103" s="190" t="n">
        <v>8.55652008901998</v>
      </c>
      <c r="EH103" s="190" t="n">
        <v>8.62625577703998</v>
      </c>
      <c r="EI103" s="190" t="n">
        <v>8.69599146505998</v>
      </c>
      <c r="EJ103" s="190" t="n">
        <v>8.76572715307998</v>
      </c>
      <c r="EK103" s="190" t="n">
        <v>8.83546284109998</v>
      </c>
      <c r="EL103" s="180" t="n">
        <v>8.90519852911998</v>
      </c>
      <c r="EM103" s="180" t="n">
        <v>8.97493421713998</v>
      </c>
      <c r="EN103" s="180" t="n">
        <v>9.04466990515998</v>
      </c>
      <c r="EO103" s="180" t="n">
        <v>9.11440559317998</v>
      </c>
      <c r="EP103" s="180" t="n">
        <v>9.18414128119998</v>
      </c>
      <c r="EQ103" s="180" t="n">
        <v>9.25387696921998</v>
      </c>
      <c r="ER103" s="180" t="n">
        <v>9.32361265723998</v>
      </c>
      <c r="ES103" s="180" t="n">
        <v>9.39334834525998</v>
      </c>
      <c r="ET103" s="180" t="n">
        <v>9.46308403327998</v>
      </c>
      <c r="EU103" s="180" t="n">
        <v>9.53281972129998</v>
      </c>
      <c r="EV103" s="180" t="n">
        <v>9.60255540931998</v>
      </c>
      <c r="EW103" s="180" t="n">
        <v>9.67229109733998</v>
      </c>
      <c r="EX103" s="180" t="n">
        <v>9.74202678535998</v>
      </c>
      <c r="EY103" s="180" t="n">
        <v>9.81176247337998</v>
      </c>
      <c r="EZ103" s="180" t="n">
        <v>9.88149816139998</v>
      </c>
      <c r="FA103" s="180" t="n">
        <v>9.95123384941998</v>
      </c>
      <c r="FB103" s="180" t="n">
        <v>10.02096953744</v>
      </c>
      <c r="FC103" s="180" t="n">
        <v>10.09070522546</v>
      </c>
      <c r="FD103" s="180" t="n">
        <v>10.16044091348</v>
      </c>
      <c r="FE103" s="180" t="n">
        <v>10.2301766015</v>
      </c>
      <c r="FF103" s="180" t="n">
        <v>10.29991228952</v>
      </c>
      <c r="FG103" s="180" t="n">
        <v>10.36964797754</v>
      </c>
      <c r="FH103" s="180" t="n">
        <v>10.43938366556</v>
      </c>
      <c r="FI103" s="180" t="n">
        <v>10.50911935358</v>
      </c>
      <c r="FJ103" s="180" t="n">
        <v>10.5788550416</v>
      </c>
      <c r="FK103" s="180" t="n">
        <v>10.64859072962</v>
      </c>
      <c r="FL103" s="180" t="n">
        <v>10.71832641764</v>
      </c>
      <c r="FM103" s="180" t="n">
        <v>10.78806210566</v>
      </c>
      <c r="FN103" s="180" t="n">
        <v>10.85779779368</v>
      </c>
      <c r="FO103" s="180" t="n">
        <v>10.9275334817</v>
      </c>
      <c r="FP103" s="180" t="n">
        <v>10.99726916972</v>
      </c>
      <c r="FQ103" s="180" t="n">
        <v>11.06700485774</v>
      </c>
      <c r="FR103" s="180" t="n">
        <v>11.13674054576</v>
      </c>
      <c r="FS103" s="180" t="n">
        <v>11.20647623378</v>
      </c>
      <c r="FT103" s="180" t="n">
        <v>11.2762119218</v>
      </c>
      <c r="FU103" s="180" t="n">
        <v>11.34594760982</v>
      </c>
      <c r="FV103" s="180" t="n">
        <v>11.41568329784</v>
      </c>
      <c r="FW103" s="180" t="n">
        <v>11.48541898586</v>
      </c>
      <c r="FX103" s="180" t="n">
        <v>11.55515467388</v>
      </c>
      <c r="FY103" s="180" t="n">
        <v>11.6248903619</v>
      </c>
      <c r="FZ103" s="180" t="n">
        <v>11.69462604992</v>
      </c>
      <c r="GA103" s="180" t="n">
        <v>11.76436173794</v>
      </c>
      <c r="GB103" s="180" t="n">
        <v>11.83409742596</v>
      </c>
      <c r="GC103" s="180" t="n">
        <v>11.90383311398</v>
      </c>
      <c r="GD103" s="180" t="n">
        <v>11.973568802</v>
      </c>
      <c r="GE103" s="180" t="n">
        <v>12.04330449002</v>
      </c>
      <c r="GF103" s="180" t="n">
        <v>12.11304017804</v>
      </c>
      <c r="GG103" s="180" t="n">
        <v>12.18277586606</v>
      </c>
      <c r="GH103" s="180" t="n">
        <v>12.25251155408</v>
      </c>
      <c r="GI103" s="180" t="n">
        <v>12.3222472421</v>
      </c>
      <c r="GJ103" s="180" t="n">
        <v>12.39198293012</v>
      </c>
      <c r="GK103" s="180" t="n">
        <v>12.46171861814</v>
      </c>
      <c r="GL103" s="180" t="n">
        <v>12.53145430616</v>
      </c>
      <c r="GM103" s="180" t="n">
        <v>12.60118999418</v>
      </c>
      <c r="GN103" s="180" t="n">
        <v>12.6709256822</v>
      </c>
      <c r="GO103" s="180" t="n">
        <v>12.74066137022</v>
      </c>
      <c r="GP103" s="180" t="n">
        <v>12.81039705824</v>
      </c>
      <c r="GQ103" s="180" t="n">
        <v>12.88013274626</v>
      </c>
      <c r="GR103" s="180" t="n">
        <v>12.94986843428</v>
      </c>
      <c r="GS103" s="180" t="n">
        <v>13.0196041223</v>
      </c>
      <c r="GT103" s="180" t="n">
        <v>13.08933981032</v>
      </c>
      <c r="GU103" s="180" t="n">
        <v>13.15907549834</v>
      </c>
      <c r="GV103" s="180" t="n">
        <v>13.22881118636</v>
      </c>
      <c r="GW103" s="180" t="n">
        <v>13.29854687438</v>
      </c>
      <c r="GX103" s="180" t="n">
        <v>13.3682825624</v>
      </c>
      <c r="GY103" s="180" t="n">
        <v>13.43801825042</v>
      </c>
      <c r="GZ103" s="180" t="n">
        <v>13.50775393844</v>
      </c>
      <c r="HA103" s="180" t="n">
        <v>13.57748962646</v>
      </c>
      <c r="HB103" s="180" t="n">
        <v>13.64722531448</v>
      </c>
      <c r="HC103" s="180" t="n">
        <v>13.7169610025</v>
      </c>
      <c r="HD103" s="180" t="n">
        <v>13.78669669052</v>
      </c>
      <c r="HE103" s="180" t="n">
        <v>13.85643237854</v>
      </c>
      <c r="HF103" s="180" t="n">
        <v>13.92616806656</v>
      </c>
      <c r="HG103" s="180" t="n">
        <v>13.99590375458</v>
      </c>
      <c r="HH103" s="180" t="n">
        <v>14.0656394426</v>
      </c>
      <c r="HI103" s="180" t="n">
        <v>14.13537513062</v>
      </c>
      <c r="HJ103" s="180" t="n">
        <v>14.20511081864</v>
      </c>
      <c r="HK103" s="180" t="n">
        <v>14.27484650666</v>
      </c>
      <c r="HL103" s="180" t="n">
        <v>14.34458219468</v>
      </c>
      <c r="HM103" s="180" t="n">
        <v>14.4143178827</v>
      </c>
      <c r="HN103" s="180" t="n">
        <v>14.48405357072</v>
      </c>
      <c r="HO103" s="180" t="n">
        <v>14.55378925874</v>
      </c>
      <c r="HP103" s="180" t="n">
        <v>14.62352494676</v>
      </c>
      <c r="HQ103" s="180" t="n">
        <v>14.69326063478</v>
      </c>
      <c r="HR103" s="180" t="n">
        <v>14.7629963228</v>
      </c>
      <c r="HS103" s="180" t="n">
        <v>14.83273201082</v>
      </c>
      <c r="HT103" s="180" t="n">
        <v>14.90246769884</v>
      </c>
      <c r="HU103" s="180" t="n">
        <v>14.97220338686</v>
      </c>
      <c r="HV103" s="180" t="n">
        <v>15.04193907488</v>
      </c>
      <c r="HW103" s="180" t="n">
        <v>15.1116747629</v>
      </c>
      <c r="HX103" s="180" t="n">
        <v>15.18141045092</v>
      </c>
      <c r="HY103" s="180" t="n">
        <v>15.25114613894</v>
      </c>
      <c r="HZ103" s="180" t="n">
        <v>15.32088182696</v>
      </c>
      <c r="IA103" s="180" t="n">
        <v>15.39061751498</v>
      </c>
      <c r="IB103" s="180" t="n">
        <v>15.460353203</v>
      </c>
      <c r="IC103" s="180" t="n">
        <v>15.53008889102</v>
      </c>
      <c r="ID103" s="180" t="n">
        <v>15.59982457904</v>
      </c>
      <c r="IE103" s="180" t="n">
        <v>15.66956026706</v>
      </c>
      <c r="IF103" s="180" t="n">
        <v>15.73929595508</v>
      </c>
      <c r="IG103" s="180" t="n">
        <v>15.8090316431</v>
      </c>
      <c r="IH103" s="180" t="n">
        <v>15.87876733112</v>
      </c>
      <c r="II103" s="180" t="n">
        <v>15.94850301914</v>
      </c>
      <c r="IJ103" s="180" t="n">
        <v>16.01823870716</v>
      </c>
      <c r="IK103" s="180" t="n">
        <v>16.08797439518</v>
      </c>
      <c r="IL103" s="180" t="n">
        <v>16.1577100832</v>
      </c>
      <c r="IM103" s="180" t="n">
        <v>16.22744577122</v>
      </c>
      <c r="IN103" s="180" t="n">
        <v>16.29718145924</v>
      </c>
      <c r="IO103" s="180" t="n">
        <v>16.36691714726</v>
      </c>
      <c r="IP103" s="180" t="n">
        <v>16.43665283528</v>
      </c>
      <c r="IQ103" s="180" t="n">
        <v>16.5063885233</v>
      </c>
      <c r="IR103" s="180" t="n">
        <v>16.57612421132</v>
      </c>
      <c r="IS103" s="180" t="n">
        <v>16.64585989934</v>
      </c>
      <c r="IT103" s="180" t="n">
        <v>16.71559558736</v>
      </c>
      <c r="IU103" s="180" t="n">
        <v>16.78533127538</v>
      </c>
      <c r="IV103" s="180" t="n">
        <v>16.8550669634</v>
      </c>
    </row>
    <row r="104" customFormat="false" ht="12.75" hidden="false" customHeight="false" outlineLevel="0" collapsed="false">
      <c r="A104" s="189" t="n">
        <v>39845</v>
      </c>
      <c r="B104" s="185" t="n">
        <v>-2.021005929375</v>
      </c>
      <c r="C104" s="185" t="n">
        <v>-1.9907047400625</v>
      </c>
      <c r="D104" s="185" t="n">
        <v>-1.96040355075</v>
      </c>
      <c r="E104" s="185" t="n">
        <v>-1.9301023614375</v>
      </c>
      <c r="F104" s="185" t="n">
        <v>-1.899801172125</v>
      </c>
      <c r="G104" s="185" t="n">
        <v>-1.8694999828125</v>
      </c>
      <c r="H104" s="185" t="n">
        <v>-1.8391987935</v>
      </c>
      <c r="I104" s="185" t="n">
        <v>-1.8088976041875</v>
      </c>
      <c r="J104" s="185" t="n">
        <v>-1.778596414875</v>
      </c>
      <c r="K104" s="185" t="n">
        <v>-1.7482952255625</v>
      </c>
      <c r="L104" s="185" t="n">
        <v>-1.71799403625</v>
      </c>
      <c r="M104" s="185" t="n">
        <v>-1.6876928469375</v>
      </c>
      <c r="N104" s="185" t="n">
        <v>-1.657391657625</v>
      </c>
      <c r="O104" s="185" t="n">
        <v>-1.6270904683125</v>
      </c>
      <c r="P104" s="185" t="n">
        <v>-1.596789279</v>
      </c>
      <c r="Q104" s="185" t="n">
        <v>-1.5664880896875</v>
      </c>
      <c r="R104" s="185" t="n">
        <v>-1.536186900375</v>
      </c>
      <c r="S104" s="185" t="n">
        <v>-1.5058857110625</v>
      </c>
      <c r="T104" s="185" t="n">
        <v>-1.47558452175</v>
      </c>
      <c r="U104" s="185" t="n">
        <v>-1.4452833324375</v>
      </c>
      <c r="V104" s="186" t="n">
        <v>-1.414982143125</v>
      </c>
      <c r="W104" s="185" t="n">
        <v>-1.3846809538125</v>
      </c>
      <c r="X104" s="186" t="n">
        <v>-1.3543797645</v>
      </c>
      <c r="Y104" s="185" t="n">
        <v>-1.3240785751875</v>
      </c>
      <c r="Z104" s="186" t="n">
        <v>-1.293777385875</v>
      </c>
      <c r="AA104" s="185" t="n">
        <v>-1.2634761965625</v>
      </c>
      <c r="AB104" s="187" t="n">
        <v>-1.23317500725</v>
      </c>
      <c r="AC104" s="185" t="n">
        <v>-1.2028738179375</v>
      </c>
      <c r="AD104" s="187" t="n">
        <v>-1.172572628625</v>
      </c>
      <c r="AE104" s="185" t="n">
        <v>-1.1422714393125</v>
      </c>
      <c r="AF104" s="185" t="n">
        <v>-1.11197025</v>
      </c>
      <c r="AG104" s="190" t="n">
        <v>-1.083235125</v>
      </c>
      <c r="AH104" s="190" t="n">
        <v>-1.0545</v>
      </c>
      <c r="AI104" s="190" t="n">
        <v>-1.02725</v>
      </c>
      <c r="AJ104" s="190" t="n">
        <v>-1</v>
      </c>
      <c r="AK104" s="190" t="n">
        <v>-0.8</v>
      </c>
      <c r="AL104" s="190" t="n">
        <v>-0.6</v>
      </c>
      <c r="AM104" s="190" t="n">
        <v>-0.4</v>
      </c>
      <c r="AN104" s="190" t="n">
        <v>-0.2</v>
      </c>
      <c r="AO104" s="190" t="n">
        <v>0</v>
      </c>
      <c r="AP104" s="190" t="n">
        <v>0.2</v>
      </c>
      <c r="AQ104" s="190" t="n">
        <v>0.4</v>
      </c>
      <c r="AR104" s="190" t="n">
        <v>0.6</v>
      </c>
      <c r="AS104" s="190" t="n">
        <v>0.8</v>
      </c>
      <c r="AT104" s="190" t="n">
        <v>1</v>
      </c>
      <c r="AU104" s="190" t="n">
        <v>1.2</v>
      </c>
      <c r="AV104" s="190" t="n">
        <v>1.4</v>
      </c>
      <c r="AW104" s="190" t="n">
        <v>1.58</v>
      </c>
      <c r="AX104" s="190" t="n">
        <v>1.76</v>
      </c>
      <c r="AY104" s="190" t="n">
        <v>1.922</v>
      </c>
      <c r="AZ104" s="190" t="n">
        <v>2.084</v>
      </c>
      <c r="BA104" s="190" t="n">
        <v>2.2298</v>
      </c>
      <c r="BB104" s="190" t="n">
        <v>2.3756</v>
      </c>
      <c r="BC104" s="190" t="n">
        <v>2.50682</v>
      </c>
      <c r="BD104" s="190" t="n">
        <v>2.63804</v>
      </c>
      <c r="BE104" s="190" t="n">
        <v>2.756138</v>
      </c>
      <c r="BF104" s="190" t="n">
        <v>2.874236</v>
      </c>
      <c r="BG104" s="190" t="n">
        <v>2.9805242</v>
      </c>
      <c r="BH104" s="190" t="n">
        <v>3.0868124</v>
      </c>
      <c r="BI104" s="190" t="n">
        <v>3.18247178</v>
      </c>
      <c r="BJ104" s="190" t="n">
        <v>3.27813116</v>
      </c>
      <c r="BK104" s="190" t="n">
        <v>3.364224602</v>
      </c>
      <c r="BL104" s="190" t="n">
        <v>3.450318044</v>
      </c>
      <c r="BM104" s="190" t="n">
        <v>3.5278021418</v>
      </c>
      <c r="BN104" s="190" t="n">
        <v>3.6052862396</v>
      </c>
      <c r="BO104" s="190" t="n">
        <v>3.67502192762</v>
      </c>
      <c r="BP104" s="190" t="n">
        <v>3.74475761564</v>
      </c>
      <c r="BQ104" s="190" t="n">
        <v>3.81449330366</v>
      </c>
      <c r="BR104" s="190" t="n">
        <v>3.88422899168</v>
      </c>
      <c r="BS104" s="190" t="n">
        <v>3.9539646797</v>
      </c>
      <c r="BT104" s="190" t="n">
        <v>4.02370036772</v>
      </c>
      <c r="BU104" s="190" t="n">
        <v>4.09343605574</v>
      </c>
      <c r="BV104" s="190" t="n">
        <v>4.16317174376</v>
      </c>
      <c r="BW104" s="190" t="n">
        <v>4.23290743178</v>
      </c>
      <c r="BX104" s="190" t="n">
        <v>4.3026431198</v>
      </c>
      <c r="BY104" s="190" t="n">
        <v>4.37237880782</v>
      </c>
      <c r="BZ104" s="190" t="n">
        <v>4.44211449584</v>
      </c>
      <c r="CA104" s="190" t="n">
        <v>4.51185018386</v>
      </c>
      <c r="CB104" s="190" t="n">
        <v>4.58158587188</v>
      </c>
      <c r="CC104" s="190" t="n">
        <v>4.6513215599</v>
      </c>
      <c r="CD104" s="190" t="n">
        <v>4.72105724792</v>
      </c>
      <c r="CE104" s="190" t="n">
        <v>4.79079293594</v>
      </c>
      <c r="CF104" s="190" t="n">
        <v>4.86052862396</v>
      </c>
      <c r="CG104" s="190" t="n">
        <v>4.93026431198</v>
      </c>
      <c r="CH104" s="190" t="n">
        <v>5</v>
      </c>
      <c r="CI104" s="190" t="n">
        <v>5.06973568801999</v>
      </c>
      <c r="CJ104" s="190" t="n">
        <v>5.13947137603999</v>
      </c>
      <c r="CK104" s="190" t="n">
        <v>5.20920706405999</v>
      </c>
      <c r="CL104" s="190" t="n">
        <v>5.27894275207999</v>
      </c>
      <c r="CM104" s="190" t="n">
        <v>5.34867844009999</v>
      </c>
      <c r="CN104" s="190" t="n">
        <v>5.41841412811999</v>
      </c>
      <c r="CO104" s="190" t="n">
        <v>5.48814981613999</v>
      </c>
      <c r="CP104" s="190" t="n">
        <v>5.55788550415999</v>
      </c>
      <c r="CQ104" s="190" t="n">
        <v>5.62762119217999</v>
      </c>
      <c r="CR104" s="190" t="n">
        <v>5.69735688019999</v>
      </c>
      <c r="CS104" s="190" t="n">
        <v>5.76709256821999</v>
      </c>
      <c r="CT104" s="190" t="n">
        <v>5.83682825623999</v>
      </c>
      <c r="CU104" s="190" t="n">
        <v>5.90656394425999</v>
      </c>
      <c r="CV104" s="190" t="n">
        <v>5.97629963227999</v>
      </c>
      <c r="CW104" s="190" t="n">
        <v>6.04603532029999</v>
      </c>
      <c r="CX104" s="190" t="n">
        <v>6.11577100831999</v>
      </c>
      <c r="CY104" s="190" t="n">
        <v>6.18550669633999</v>
      </c>
      <c r="CZ104" s="190" t="n">
        <v>6.25524238435999</v>
      </c>
      <c r="DA104" s="190" t="n">
        <v>6.32497807237999</v>
      </c>
      <c r="DB104" s="190" t="n">
        <v>6.39471376039999</v>
      </c>
      <c r="DC104" s="190" t="n">
        <v>6.46444944841999</v>
      </c>
      <c r="DD104" s="190" t="n">
        <v>6.53418513643999</v>
      </c>
      <c r="DE104" s="190" t="n">
        <v>6.60392082445999</v>
      </c>
      <c r="DF104" s="190" t="n">
        <v>6.67365651247999</v>
      </c>
      <c r="DG104" s="190" t="n">
        <v>6.74339220049999</v>
      </c>
      <c r="DH104" s="190" t="n">
        <v>6.81312788851999</v>
      </c>
      <c r="DI104" s="190" t="n">
        <v>6.88286357653999</v>
      </c>
      <c r="DJ104" s="190" t="n">
        <v>6.95259926455999</v>
      </c>
      <c r="DK104" s="190" t="n">
        <v>7.02233495257999</v>
      </c>
      <c r="DL104" s="190" t="n">
        <v>7.09207064059999</v>
      </c>
      <c r="DM104" s="190" t="n">
        <v>7.16180632861999</v>
      </c>
      <c r="DN104" s="190" t="n">
        <v>7.23154201663999</v>
      </c>
      <c r="DO104" s="190" t="n">
        <v>7.30127770465999</v>
      </c>
      <c r="DP104" s="190" t="n">
        <v>7.37101339267999</v>
      </c>
      <c r="DQ104" s="190" t="n">
        <v>7.44074908069999</v>
      </c>
      <c r="DR104" s="190" t="n">
        <v>7.51048476871999</v>
      </c>
      <c r="DS104" s="190" t="n">
        <v>7.58022045673999</v>
      </c>
      <c r="DT104" s="190" t="n">
        <v>7.64995614475999</v>
      </c>
      <c r="DU104" s="190" t="n">
        <v>7.71969183277999</v>
      </c>
      <c r="DV104" s="190" t="n">
        <v>7.78942752079998</v>
      </c>
      <c r="DW104" s="190" t="n">
        <v>7.85916320881998</v>
      </c>
      <c r="DX104" s="190" t="n">
        <v>7.92889889683998</v>
      </c>
      <c r="DY104" s="190" t="n">
        <v>7.99863458485998</v>
      </c>
      <c r="DZ104" s="190" t="n">
        <v>8.06837027287998</v>
      </c>
      <c r="EA104" s="190" t="n">
        <v>8.13810596089998</v>
      </c>
      <c r="EB104" s="190" t="n">
        <v>8.20784164891998</v>
      </c>
      <c r="EC104" s="190" t="n">
        <v>8.27757733693998</v>
      </c>
      <c r="ED104" s="190" t="n">
        <v>8.34731302495998</v>
      </c>
      <c r="EE104" s="190" t="n">
        <v>8.41704871297998</v>
      </c>
      <c r="EF104" s="190" t="n">
        <v>8.48678440099998</v>
      </c>
      <c r="EG104" s="190" t="n">
        <v>8.55652008901998</v>
      </c>
      <c r="EH104" s="190" t="n">
        <v>8.62625577703998</v>
      </c>
      <c r="EI104" s="190" t="n">
        <v>8.69599146505998</v>
      </c>
      <c r="EJ104" s="190" t="n">
        <v>8.76572715307998</v>
      </c>
      <c r="EK104" s="190" t="n">
        <v>8.83546284109998</v>
      </c>
      <c r="EL104" s="180" t="n">
        <v>8.90519852911998</v>
      </c>
      <c r="EM104" s="180" t="n">
        <v>8.97493421713998</v>
      </c>
      <c r="EN104" s="180" t="n">
        <v>9.04466990515998</v>
      </c>
      <c r="EO104" s="180" t="n">
        <v>9.11440559317998</v>
      </c>
      <c r="EP104" s="180" t="n">
        <v>9.18414128119998</v>
      </c>
      <c r="EQ104" s="180" t="n">
        <v>9.25387696921998</v>
      </c>
      <c r="ER104" s="180" t="n">
        <v>9.32361265723998</v>
      </c>
      <c r="ES104" s="180" t="n">
        <v>9.39334834525998</v>
      </c>
      <c r="ET104" s="180" t="n">
        <v>9.46308403327998</v>
      </c>
      <c r="EU104" s="180" t="n">
        <v>9.53281972129998</v>
      </c>
      <c r="EV104" s="180" t="n">
        <v>9.60255540931998</v>
      </c>
      <c r="EW104" s="180" t="n">
        <v>9.67229109733998</v>
      </c>
      <c r="EX104" s="180" t="n">
        <v>9.74202678535998</v>
      </c>
      <c r="EY104" s="180" t="n">
        <v>9.81176247337998</v>
      </c>
      <c r="EZ104" s="180" t="n">
        <v>9.88149816139998</v>
      </c>
      <c r="FA104" s="180" t="n">
        <v>9.95123384941998</v>
      </c>
      <c r="FB104" s="180" t="n">
        <v>10.02096953744</v>
      </c>
      <c r="FC104" s="180" t="n">
        <v>10.09070522546</v>
      </c>
      <c r="FD104" s="180" t="n">
        <v>10.16044091348</v>
      </c>
      <c r="FE104" s="180" t="n">
        <v>10.2301766015</v>
      </c>
      <c r="FF104" s="180" t="n">
        <v>10.29991228952</v>
      </c>
      <c r="FG104" s="180" t="n">
        <v>10.36964797754</v>
      </c>
      <c r="FH104" s="180" t="n">
        <v>10.43938366556</v>
      </c>
      <c r="FI104" s="180" t="n">
        <v>10.50911935358</v>
      </c>
      <c r="FJ104" s="180" t="n">
        <v>10.5788550416</v>
      </c>
      <c r="FK104" s="180" t="n">
        <v>10.64859072962</v>
      </c>
      <c r="FL104" s="180" t="n">
        <v>10.71832641764</v>
      </c>
      <c r="FM104" s="180" t="n">
        <v>10.78806210566</v>
      </c>
      <c r="FN104" s="180" t="n">
        <v>10.85779779368</v>
      </c>
      <c r="FO104" s="180" t="n">
        <v>10.9275334817</v>
      </c>
      <c r="FP104" s="180" t="n">
        <v>10.99726916972</v>
      </c>
      <c r="FQ104" s="180" t="n">
        <v>11.06700485774</v>
      </c>
      <c r="FR104" s="180" t="n">
        <v>11.13674054576</v>
      </c>
      <c r="FS104" s="180" t="n">
        <v>11.20647623378</v>
      </c>
      <c r="FT104" s="180" t="n">
        <v>11.2762119218</v>
      </c>
      <c r="FU104" s="180" t="n">
        <v>11.34594760982</v>
      </c>
      <c r="FV104" s="180" t="n">
        <v>11.41568329784</v>
      </c>
      <c r="FW104" s="180" t="n">
        <v>11.48541898586</v>
      </c>
      <c r="FX104" s="180" t="n">
        <v>11.55515467388</v>
      </c>
      <c r="FY104" s="180" t="n">
        <v>11.6248903619</v>
      </c>
      <c r="FZ104" s="180" t="n">
        <v>11.69462604992</v>
      </c>
      <c r="GA104" s="180" t="n">
        <v>11.76436173794</v>
      </c>
      <c r="GB104" s="180" t="n">
        <v>11.83409742596</v>
      </c>
      <c r="GC104" s="180" t="n">
        <v>11.90383311398</v>
      </c>
      <c r="GD104" s="180" t="n">
        <v>11.973568802</v>
      </c>
      <c r="GE104" s="180" t="n">
        <v>12.04330449002</v>
      </c>
      <c r="GF104" s="180" t="n">
        <v>12.11304017804</v>
      </c>
      <c r="GG104" s="180" t="n">
        <v>12.18277586606</v>
      </c>
      <c r="GH104" s="180" t="n">
        <v>12.25251155408</v>
      </c>
      <c r="GI104" s="180" t="n">
        <v>12.3222472421</v>
      </c>
      <c r="GJ104" s="180" t="n">
        <v>12.39198293012</v>
      </c>
      <c r="GK104" s="180" t="n">
        <v>12.46171861814</v>
      </c>
      <c r="GL104" s="180" t="n">
        <v>12.53145430616</v>
      </c>
      <c r="GM104" s="180" t="n">
        <v>12.60118999418</v>
      </c>
      <c r="GN104" s="180" t="n">
        <v>12.6709256822</v>
      </c>
      <c r="GO104" s="180" t="n">
        <v>12.74066137022</v>
      </c>
      <c r="GP104" s="180" t="n">
        <v>12.81039705824</v>
      </c>
      <c r="GQ104" s="180" t="n">
        <v>12.88013274626</v>
      </c>
      <c r="GR104" s="180" t="n">
        <v>12.94986843428</v>
      </c>
      <c r="GS104" s="180" t="n">
        <v>13.0196041223</v>
      </c>
      <c r="GT104" s="180" t="n">
        <v>13.08933981032</v>
      </c>
      <c r="GU104" s="180" t="n">
        <v>13.15907549834</v>
      </c>
      <c r="GV104" s="180" t="n">
        <v>13.22881118636</v>
      </c>
      <c r="GW104" s="180" t="n">
        <v>13.29854687438</v>
      </c>
      <c r="GX104" s="180" t="n">
        <v>13.3682825624</v>
      </c>
      <c r="GY104" s="180" t="n">
        <v>13.43801825042</v>
      </c>
      <c r="GZ104" s="180" t="n">
        <v>13.50775393844</v>
      </c>
      <c r="HA104" s="180" t="n">
        <v>13.57748962646</v>
      </c>
      <c r="HB104" s="180" t="n">
        <v>13.64722531448</v>
      </c>
      <c r="HC104" s="180" t="n">
        <v>13.7169610025</v>
      </c>
      <c r="HD104" s="180" t="n">
        <v>13.78669669052</v>
      </c>
      <c r="HE104" s="180" t="n">
        <v>13.85643237854</v>
      </c>
      <c r="HF104" s="180" t="n">
        <v>13.92616806656</v>
      </c>
      <c r="HG104" s="180" t="n">
        <v>13.99590375458</v>
      </c>
      <c r="HH104" s="180" t="n">
        <v>14.0656394426</v>
      </c>
      <c r="HI104" s="180" t="n">
        <v>14.13537513062</v>
      </c>
      <c r="HJ104" s="180" t="n">
        <v>14.20511081864</v>
      </c>
      <c r="HK104" s="180" t="n">
        <v>14.27484650666</v>
      </c>
      <c r="HL104" s="180" t="n">
        <v>14.34458219468</v>
      </c>
      <c r="HM104" s="180" t="n">
        <v>14.4143178827</v>
      </c>
      <c r="HN104" s="180" t="n">
        <v>14.48405357072</v>
      </c>
      <c r="HO104" s="180" t="n">
        <v>14.55378925874</v>
      </c>
      <c r="HP104" s="180" t="n">
        <v>14.62352494676</v>
      </c>
      <c r="HQ104" s="180" t="n">
        <v>14.69326063478</v>
      </c>
      <c r="HR104" s="180" t="n">
        <v>14.7629963228</v>
      </c>
      <c r="HS104" s="180" t="n">
        <v>14.83273201082</v>
      </c>
      <c r="HT104" s="180" t="n">
        <v>14.90246769884</v>
      </c>
      <c r="HU104" s="180" t="n">
        <v>14.97220338686</v>
      </c>
      <c r="HV104" s="180" t="n">
        <v>15.04193907488</v>
      </c>
      <c r="HW104" s="180" t="n">
        <v>15.1116747629</v>
      </c>
      <c r="HX104" s="180" t="n">
        <v>15.18141045092</v>
      </c>
      <c r="HY104" s="180" t="n">
        <v>15.25114613894</v>
      </c>
      <c r="HZ104" s="180" t="n">
        <v>15.32088182696</v>
      </c>
      <c r="IA104" s="180" t="n">
        <v>15.39061751498</v>
      </c>
      <c r="IB104" s="180" t="n">
        <v>15.460353203</v>
      </c>
      <c r="IC104" s="180" t="n">
        <v>15.53008889102</v>
      </c>
      <c r="ID104" s="180" t="n">
        <v>15.59982457904</v>
      </c>
      <c r="IE104" s="180" t="n">
        <v>15.66956026706</v>
      </c>
      <c r="IF104" s="180" t="n">
        <v>15.73929595508</v>
      </c>
      <c r="IG104" s="180" t="n">
        <v>15.8090316431</v>
      </c>
      <c r="IH104" s="180" t="n">
        <v>15.87876733112</v>
      </c>
      <c r="II104" s="180" t="n">
        <v>15.94850301914</v>
      </c>
      <c r="IJ104" s="180" t="n">
        <v>16.01823870716</v>
      </c>
      <c r="IK104" s="180" t="n">
        <v>16.08797439518</v>
      </c>
      <c r="IL104" s="180" t="n">
        <v>16.1577100832</v>
      </c>
      <c r="IM104" s="180" t="n">
        <v>16.22744577122</v>
      </c>
      <c r="IN104" s="180" t="n">
        <v>16.29718145924</v>
      </c>
      <c r="IO104" s="180" t="n">
        <v>16.36691714726</v>
      </c>
      <c r="IP104" s="180" t="n">
        <v>16.43665283528</v>
      </c>
      <c r="IQ104" s="180" t="n">
        <v>16.5063885233</v>
      </c>
      <c r="IR104" s="180" t="n">
        <v>16.57612421132</v>
      </c>
      <c r="IS104" s="180" t="n">
        <v>16.64585989934</v>
      </c>
      <c r="IT104" s="180" t="n">
        <v>16.71559558736</v>
      </c>
      <c r="IU104" s="180" t="n">
        <v>16.78533127538</v>
      </c>
      <c r="IV104" s="180" t="n">
        <v>16.8550669634</v>
      </c>
    </row>
    <row r="105" customFormat="false" ht="12.75" hidden="false" customHeight="false" outlineLevel="0" collapsed="false">
      <c r="A105" s="189" t="n">
        <v>39873</v>
      </c>
      <c r="B105" s="185" t="n">
        <v>-2.021005929375</v>
      </c>
      <c r="C105" s="185" t="n">
        <v>-1.9907047400625</v>
      </c>
      <c r="D105" s="185" t="n">
        <v>-1.96040355075</v>
      </c>
      <c r="E105" s="185" t="n">
        <v>-1.9301023614375</v>
      </c>
      <c r="F105" s="185" t="n">
        <v>-1.899801172125</v>
      </c>
      <c r="G105" s="185" t="n">
        <v>-1.8694999828125</v>
      </c>
      <c r="H105" s="185" t="n">
        <v>-1.8391987935</v>
      </c>
      <c r="I105" s="185" t="n">
        <v>-1.8088976041875</v>
      </c>
      <c r="J105" s="185" t="n">
        <v>-1.778596414875</v>
      </c>
      <c r="K105" s="185" t="n">
        <v>-1.7482952255625</v>
      </c>
      <c r="L105" s="185" t="n">
        <v>-1.71799403625</v>
      </c>
      <c r="M105" s="185" t="n">
        <v>-1.6876928469375</v>
      </c>
      <c r="N105" s="185" t="n">
        <v>-1.657391657625</v>
      </c>
      <c r="O105" s="185" t="n">
        <v>-1.6270904683125</v>
      </c>
      <c r="P105" s="185" t="n">
        <v>-1.596789279</v>
      </c>
      <c r="Q105" s="185" t="n">
        <v>-1.5664880896875</v>
      </c>
      <c r="R105" s="185" t="n">
        <v>-1.536186900375</v>
      </c>
      <c r="S105" s="185" t="n">
        <v>-1.5058857110625</v>
      </c>
      <c r="T105" s="185" t="n">
        <v>-1.47558452175</v>
      </c>
      <c r="U105" s="185" t="n">
        <v>-1.4452833324375</v>
      </c>
      <c r="V105" s="186" t="n">
        <v>-1.414982143125</v>
      </c>
      <c r="W105" s="185" t="n">
        <v>-1.3846809538125</v>
      </c>
      <c r="X105" s="186" t="n">
        <v>-1.3543797645</v>
      </c>
      <c r="Y105" s="185" t="n">
        <v>-1.3240785751875</v>
      </c>
      <c r="Z105" s="186" t="n">
        <v>-1.293777385875</v>
      </c>
      <c r="AA105" s="185" t="n">
        <v>-1.2634761965625</v>
      </c>
      <c r="AB105" s="187" t="n">
        <v>-1.23317500725</v>
      </c>
      <c r="AC105" s="185" t="n">
        <v>-1.2028738179375</v>
      </c>
      <c r="AD105" s="187" t="n">
        <v>-1.172572628625</v>
      </c>
      <c r="AE105" s="185" t="n">
        <v>-1.1422714393125</v>
      </c>
      <c r="AF105" s="185" t="n">
        <v>-1.11197025</v>
      </c>
      <c r="AG105" s="190" t="n">
        <v>-1.083235125</v>
      </c>
      <c r="AH105" s="190" t="n">
        <v>-1.0545</v>
      </c>
      <c r="AI105" s="190" t="n">
        <v>-1.02725</v>
      </c>
      <c r="AJ105" s="190" t="n">
        <v>-1</v>
      </c>
      <c r="AK105" s="190" t="n">
        <v>-0.8</v>
      </c>
      <c r="AL105" s="190" t="n">
        <v>-0.6</v>
      </c>
      <c r="AM105" s="190" t="n">
        <v>-0.4</v>
      </c>
      <c r="AN105" s="190" t="n">
        <v>-0.2</v>
      </c>
      <c r="AO105" s="190" t="n">
        <v>0</v>
      </c>
      <c r="AP105" s="190" t="n">
        <v>0.2</v>
      </c>
      <c r="AQ105" s="190" t="n">
        <v>0.4</v>
      </c>
      <c r="AR105" s="190" t="n">
        <v>0.6</v>
      </c>
      <c r="AS105" s="190" t="n">
        <v>0.8</v>
      </c>
      <c r="AT105" s="190" t="n">
        <v>1</v>
      </c>
      <c r="AU105" s="190" t="n">
        <v>1.2</v>
      </c>
      <c r="AV105" s="190" t="n">
        <v>1.4</v>
      </c>
      <c r="AW105" s="190" t="n">
        <v>1.58</v>
      </c>
      <c r="AX105" s="190" t="n">
        <v>1.76</v>
      </c>
      <c r="AY105" s="190" t="n">
        <v>1.922</v>
      </c>
      <c r="AZ105" s="190" t="n">
        <v>2.084</v>
      </c>
      <c r="BA105" s="190" t="n">
        <v>2.2298</v>
      </c>
      <c r="BB105" s="190" t="n">
        <v>2.3756</v>
      </c>
      <c r="BC105" s="190" t="n">
        <v>2.50682</v>
      </c>
      <c r="BD105" s="190" t="n">
        <v>2.63804</v>
      </c>
      <c r="BE105" s="190" t="n">
        <v>2.756138</v>
      </c>
      <c r="BF105" s="190" t="n">
        <v>2.874236</v>
      </c>
      <c r="BG105" s="190" t="n">
        <v>2.9805242</v>
      </c>
      <c r="BH105" s="190" t="n">
        <v>3.0868124</v>
      </c>
      <c r="BI105" s="190" t="n">
        <v>3.18247178</v>
      </c>
      <c r="BJ105" s="190" t="n">
        <v>3.27813116</v>
      </c>
      <c r="BK105" s="190" t="n">
        <v>3.364224602</v>
      </c>
      <c r="BL105" s="190" t="n">
        <v>3.450318044</v>
      </c>
      <c r="BM105" s="190" t="n">
        <v>3.5278021418</v>
      </c>
      <c r="BN105" s="190" t="n">
        <v>3.6052862396</v>
      </c>
      <c r="BO105" s="190" t="n">
        <v>3.67502192762</v>
      </c>
      <c r="BP105" s="190" t="n">
        <v>3.74475761564</v>
      </c>
      <c r="BQ105" s="190" t="n">
        <v>3.81449330366</v>
      </c>
      <c r="BR105" s="190" t="n">
        <v>3.88422899168</v>
      </c>
      <c r="BS105" s="190" t="n">
        <v>3.9539646797</v>
      </c>
      <c r="BT105" s="190" t="n">
        <v>4.02370036772</v>
      </c>
      <c r="BU105" s="190" t="n">
        <v>4.09343605574</v>
      </c>
      <c r="BV105" s="190" t="n">
        <v>4.16317174376</v>
      </c>
      <c r="BW105" s="190" t="n">
        <v>4.23290743178</v>
      </c>
      <c r="BX105" s="190" t="n">
        <v>4.3026431198</v>
      </c>
      <c r="BY105" s="190" t="n">
        <v>4.37237880782</v>
      </c>
      <c r="BZ105" s="190" t="n">
        <v>4.44211449584</v>
      </c>
      <c r="CA105" s="190" t="n">
        <v>4.51185018386</v>
      </c>
      <c r="CB105" s="190" t="n">
        <v>4.58158587188</v>
      </c>
      <c r="CC105" s="190" t="n">
        <v>4.6513215599</v>
      </c>
      <c r="CD105" s="190" t="n">
        <v>4.72105724792</v>
      </c>
      <c r="CE105" s="190" t="n">
        <v>4.79079293594</v>
      </c>
      <c r="CF105" s="190" t="n">
        <v>4.86052862396</v>
      </c>
      <c r="CG105" s="190" t="n">
        <v>4.93026431198</v>
      </c>
      <c r="CH105" s="190" t="n">
        <v>5</v>
      </c>
      <c r="CI105" s="190" t="n">
        <v>5.06973568801999</v>
      </c>
      <c r="CJ105" s="190" t="n">
        <v>5.13947137603999</v>
      </c>
      <c r="CK105" s="190" t="n">
        <v>5.20920706405999</v>
      </c>
      <c r="CL105" s="190" t="n">
        <v>5.27894275207999</v>
      </c>
      <c r="CM105" s="190" t="n">
        <v>5.34867844009999</v>
      </c>
      <c r="CN105" s="190" t="n">
        <v>5.41841412811999</v>
      </c>
      <c r="CO105" s="190" t="n">
        <v>5.48814981613999</v>
      </c>
      <c r="CP105" s="190" t="n">
        <v>5.55788550415999</v>
      </c>
      <c r="CQ105" s="190" t="n">
        <v>5.62762119217999</v>
      </c>
      <c r="CR105" s="190" t="n">
        <v>5.69735688019999</v>
      </c>
      <c r="CS105" s="190" t="n">
        <v>5.76709256821999</v>
      </c>
      <c r="CT105" s="190" t="n">
        <v>5.83682825623999</v>
      </c>
      <c r="CU105" s="190" t="n">
        <v>5.90656394425999</v>
      </c>
      <c r="CV105" s="190" t="n">
        <v>5.97629963227999</v>
      </c>
      <c r="CW105" s="190" t="n">
        <v>6.04603532029999</v>
      </c>
      <c r="CX105" s="190" t="n">
        <v>6.11577100831999</v>
      </c>
      <c r="CY105" s="190" t="n">
        <v>6.18550669633999</v>
      </c>
      <c r="CZ105" s="190" t="n">
        <v>6.25524238435999</v>
      </c>
      <c r="DA105" s="190" t="n">
        <v>6.32497807237999</v>
      </c>
      <c r="DB105" s="190" t="n">
        <v>6.39471376039999</v>
      </c>
      <c r="DC105" s="190" t="n">
        <v>6.46444944841999</v>
      </c>
      <c r="DD105" s="190" t="n">
        <v>6.53418513643999</v>
      </c>
      <c r="DE105" s="190" t="n">
        <v>6.60392082445999</v>
      </c>
      <c r="DF105" s="190" t="n">
        <v>6.67365651247999</v>
      </c>
      <c r="DG105" s="190" t="n">
        <v>6.74339220049999</v>
      </c>
      <c r="DH105" s="190" t="n">
        <v>6.81312788851999</v>
      </c>
      <c r="DI105" s="190" t="n">
        <v>6.88286357653999</v>
      </c>
      <c r="DJ105" s="190" t="n">
        <v>6.95259926455999</v>
      </c>
      <c r="DK105" s="190" t="n">
        <v>7.02233495257999</v>
      </c>
      <c r="DL105" s="190" t="n">
        <v>7.09207064059999</v>
      </c>
      <c r="DM105" s="190" t="n">
        <v>7.16180632861999</v>
      </c>
      <c r="DN105" s="190" t="n">
        <v>7.23154201663999</v>
      </c>
      <c r="DO105" s="190" t="n">
        <v>7.30127770465999</v>
      </c>
      <c r="DP105" s="190" t="n">
        <v>7.37101339267999</v>
      </c>
      <c r="DQ105" s="190" t="n">
        <v>7.44074908069999</v>
      </c>
      <c r="DR105" s="190" t="n">
        <v>7.51048476871999</v>
      </c>
      <c r="DS105" s="190" t="n">
        <v>7.58022045673999</v>
      </c>
      <c r="DT105" s="190" t="n">
        <v>7.64995614475999</v>
      </c>
      <c r="DU105" s="190" t="n">
        <v>7.71969183277999</v>
      </c>
      <c r="DV105" s="190" t="n">
        <v>7.78942752079998</v>
      </c>
      <c r="DW105" s="190" t="n">
        <v>7.85916320881998</v>
      </c>
      <c r="DX105" s="190" t="n">
        <v>7.92889889683998</v>
      </c>
      <c r="DY105" s="190" t="n">
        <v>7.99863458485998</v>
      </c>
      <c r="DZ105" s="190" t="n">
        <v>8.06837027287998</v>
      </c>
      <c r="EA105" s="190" t="n">
        <v>8.13810596089998</v>
      </c>
      <c r="EB105" s="190" t="n">
        <v>8.20784164891998</v>
      </c>
      <c r="EC105" s="190" t="n">
        <v>8.27757733693998</v>
      </c>
      <c r="ED105" s="190" t="n">
        <v>8.34731302495998</v>
      </c>
      <c r="EE105" s="190" t="n">
        <v>8.41704871297998</v>
      </c>
      <c r="EF105" s="190" t="n">
        <v>8.48678440099998</v>
      </c>
      <c r="EG105" s="190" t="n">
        <v>8.55652008901998</v>
      </c>
      <c r="EH105" s="190" t="n">
        <v>8.62625577703998</v>
      </c>
      <c r="EI105" s="190" t="n">
        <v>8.69599146505998</v>
      </c>
      <c r="EJ105" s="190" t="n">
        <v>8.76572715307998</v>
      </c>
      <c r="EK105" s="190" t="n">
        <v>8.83546284109998</v>
      </c>
      <c r="EL105" s="180" t="n">
        <v>8.90519852911998</v>
      </c>
      <c r="EM105" s="180" t="n">
        <v>8.97493421713998</v>
      </c>
      <c r="EN105" s="180" t="n">
        <v>9.04466990515998</v>
      </c>
      <c r="EO105" s="180" t="n">
        <v>9.11440559317998</v>
      </c>
      <c r="EP105" s="180" t="n">
        <v>9.18414128119998</v>
      </c>
      <c r="EQ105" s="180" t="n">
        <v>9.25387696921998</v>
      </c>
      <c r="ER105" s="180" t="n">
        <v>9.32361265723998</v>
      </c>
      <c r="ES105" s="180" t="n">
        <v>9.39334834525998</v>
      </c>
      <c r="ET105" s="180" t="n">
        <v>9.46308403327998</v>
      </c>
      <c r="EU105" s="180" t="n">
        <v>9.53281972129998</v>
      </c>
      <c r="EV105" s="180" t="n">
        <v>9.60255540931998</v>
      </c>
      <c r="EW105" s="180" t="n">
        <v>9.67229109733998</v>
      </c>
      <c r="EX105" s="180" t="n">
        <v>9.74202678535998</v>
      </c>
      <c r="EY105" s="180" t="n">
        <v>9.81176247337998</v>
      </c>
      <c r="EZ105" s="180" t="n">
        <v>9.88149816139998</v>
      </c>
      <c r="FA105" s="180" t="n">
        <v>9.95123384941998</v>
      </c>
      <c r="FB105" s="180" t="n">
        <v>10.02096953744</v>
      </c>
      <c r="FC105" s="180" t="n">
        <v>10.09070522546</v>
      </c>
      <c r="FD105" s="180" t="n">
        <v>10.16044091348</v>
      </c>
      <c r="FE105" s="180" t="n">
        <v>10.2301766015</v>
      </c>
      <c r="FF105" s="180" t="n">
        <v>10.29991228952</v>
      </c>
      <c r="FG105" s="180" t="n">
        <v>10.36964797754</v>
      </c>
      <c r="FH105" s="180" t="n">
        <v>10.43938366556</v>
      </c>
      <c r="FI105" s="180" t="n">
        <v>10.50911935358</v>
      </c>
      <c r="FJ105" s="180" t="n">
        <v>10.5788550416</v>
      </c>
      <c r="FK105" s="180" t="n">
        <v>10.64859072962</v>
      </c>
      <c r="FL105" s="180" t="n">
        <v>10.71832641764</v>
      </c>
      <c r="FM105" s="180" t="n">
        <v>10.78806210566</v>
      </c>
      <c r="FN105" s="180" t="n">
        <v>10.85779779368</v>
      </c>
      <c r="FO105" s="180" t="n">
        <v>10.9275334817</v>
      </c>
      <c r="FP105" s="180" t="n">
        <v>10.99726916972</v>
      </c>
      <c r="FQ105" s="180" t="n">
        <v>11.06700485774</v>
      </c>
      <c r="FR105" s="180" t="n">
        <v>11.13674054576</v>
      </c>
      <c r="FS105" s="180" t="n">
        <v>11.20647623378</v>
      </c>
      <c r="FT105" s="180" t="n">
        <v>11.2762119218</v>
      </c>
      <c r="FU105" s="180" t="n">
        <v>11.34594760982</v>
      </c>
      <c r="FV105" s="180" t="n">
        <v>11.41568329784</v>
      </c>
      <c r="FW105" s="180" t="n">
        <v>11.48541898586</v>
      </c>
      <c r="FX105" s="180" t="n">
        <v>11.55515467388</v>
      </c>
      <c r="FY105" s="180" t="n">
        <v>11.6248903619</v>
      </c>
      <c r="FZ105" s="180" t="n">
        <v>11.69462604992</v>
      </c>
      <c r="GA105" s="180" t="n">
        <v>11.76436173794</v>
      </c>
      <c r="GB105" s="180" t="n">
        <v>11.83409742596</v>
      </c>
      <c r="GC105" s="180" t="n">
        <v>11.90383311398</v>
      </c>
      <c r="GD105" s="180" t="n">
        <v>11.973568802</v>
      </c>
      <c r="GE105" s="180" t="n">
        <v>12.04330449002</v>
      </c>
      <c r="GF105" s="180" t="n">
        <v>12.11304017804</v>
      </c>
      <c r="GG105" s="180" t="n">
        <v>12.18277586606</v>
      </c>
      <c r="GH105" s="180" t="n">
        <v>12.25251155408</v>
      </c>
      <c r="GI105" s="180" t="n">
        <v>12.3222472421</v>
      </c>
      <c r="GJ105" s="180" t="n">
        <v>12.39198293012</v>
      </c>
      <c r="GK105" s="180" t="n">
        <v>12.46171861814</v>
      </c>
      <c r="GL105" s="180" t="n">
        <v>12.53145430616</v>
      </c>
      <c r="GM105" s="180" t="n">
        <v>12.60118999418</v>
      </c>
      <c r="GN105" s="180" t="n">
        <v>12.6709256822</v>
      </c>
      <c r="GO105" s="180" t="n">
        <v>12.74066137022</v>
      </c>
      <c r="GP105" s="180" t="n">
        <v>12.81039705824</v>
      </c>
      <c r="GQ105" s="180" t="n">
        <v>12.88013274626</v>
      </c>
      <c r="GR105" s="180" t="n">
        <v>12.94986843428</v>
      </c>
      <c r="GS105" s="180" t="n">
        <v>13.0196041223</v>
      </c>
      <c r="GT105" s="180" t="n">
        <v>13.08933981032</v>
      </c>
      <c r="GU105" s="180" t="n">
        <v>13.15907549834</v>
      </c>
      <c r="GV105" s="180" t="n">
        <v>13.22881118636</v>
      </c>
      <c r="GW105" s="180" t="n">
        <v>13.29854687438</v>
      </c>
      <c r="GX105" s="180" t="n">
        <v>13.3682825624</v>
      </c>
      <c r="GY105" s="180" t="n">
        <v>13.43801825042</v>
      </c>
      <c r="GZ105" s="180" t="n">
        <v>13.50775393844</v>
      </c>
      <c r="HA105" s="180" t="n">
        <v>13.57748962646</v>
      </c>
      <c r="HB105" s="180" t="n">
        <v>13.64722531448</v>
      </c>
      <c r="HC105" s="180" t="n">
        <v>13.7169610025</v>
      </c>
      <c r="HD105" s="180" t="n">
        <v>13.78669669052</v>
      </c>
      <c r="HE105" s="180" t="n">
        <v>13.85643237854</v>
      </c>
      <c r="HF105" s="180" t="n">
        <v>13.92616806656</v>
      </c>
      <c r="HG105" s="180" t="n">
        <v>13.99590375458</v>
      </c>
      <c r="HH105" s="180" t="n">
        <v>14.0656394426</v>
      </c>
      <c r="HI105" s="180" t="n">
        <v>14.13537513062</v>
      </c>
      <c r="HJ105" s="180" t="n">
        <v>14.20511081864</v>
      </c>
      <c r="HK105" s="180" t="n">
        <v>14.27484650666</v>
      </c>
      <c r="HL105" s="180" t="n">
        <v>14.34458219468</v>
      </c>
      <c r="HM105" s="180" t="n">
        <v>14.4143178827</v>
      </c>
      <c r="HN105" s="180" t="n">
        <v>14.48405357072</v>
      </c>
      <c r="HO105" s="180" t="n">
        <v>14.55378925874</v>
      </c>
      <c r="HP105" s="180" t="n">
        <v>14.62352494676</v>
      </c>
      <c r="HQ105" s="180" t="n">
        <v>14.69326063478</v>
      </c>
      <c r="HR105" s="180" t="n">
        <v>14.7629963228</v>
      </c>
      <c r="HS105" s="180" t="n">
        <v>14.83273201082</v>
      </c>
      <c r="HT105" s="180" t="n">
        <v>14.90246769884</v>
      </c>
      <c r="HU105" s="180" t="n">
        <v>14.97220338686</v>
      </c>
      <c r="HV105" s="180" t="n">
        <v>15.04193907488</v>
      </c>
      <c r="HW105" s="180" t="n">
        <v>15.1116747629</v>
      </c>
      <c r="HX105" s="180" t="n">
        <v>15.18141045092</v>
      </c>
      <c r="HY105" s="180" t="n">
        <v>15.25114613894</v>
      </c>
      <c r="HZ105" s="180" t="n">
        <v>15.32088182696</v>
      </c>
      <c r="IA105" s="180" t="n">
        <v>15.39061751498</v>
      </c>
      <c r="IB105" s="180" t="n">
        <v>15.460353203</v>
      </c>
      <c r="IC105" s="180" t="n">
        <v>15.53008889102</v>
      </c>
      <c r="ID105" s="180" t="n">
        <v>15.59982457904</v>
      </c>
      <c r="IE105" s="180" t="n">
        <v>15.66956026706</v>
      </c>
      <c r="IF105" s="180" t="n">
        <v>15.73929595508</v>
      </c>
      <c r="IG105" s="180" t="n">
        <v>15.8090316431</v>
      </c>
      <c r="IH105" s="180" t="n">
        <v>15.87876733112</v>
      </c>
      <c r="II105" s="180" t="n">
        <v>15.94850301914</v>
      </c>
      <c r="IJ105" s="180" t="n">
        <v>16.01823870716</v>
      </c>
      <c r="IK105" s="180" t="n">
        <v>16.08797439518</v>
      </c>
      <c r="IL105" s="180" t="n">
        <v>16.1577100832</v>
      </c>
      <c r="IM105" s="180" t="n">
        <v>16.22744577122</v>
      </c>
      <c r="IN105" s="180" t="n">
        <v>16.29718145924</v>
      </c>
      <c r="IO105" s="180" t="n">
        <v>16.36691714726</v>
      </c>
      <c r="IP105" s="180" t="n">
        <v>16.43665283528</v>
      </c>
      <c r="IQ105" s="180" t="n">
        <v>16.5063885233</v>
      </c>
      <c r="IR105" s="180" t="n">
        <v>16.57612421132</v>
      </c>
      <c r="IS105" s="180" t="n">
        <v>16.64585989934</v>
      </c>
      <c r="IT105" s="180" t="n">
        <v>16.71559558736</v>
      </c>
      <c r="IU105" s="180" t="n">
        <v>16.78533127538</v>
      </c>
      <c r="IV105" s="180" t="n">
        <v>16.8550669634</v>
      </c>
    </row>
    <row r="106" customFormat="false" ht="12.75" hidden="false" customHeight="false" outlineLevel="0" collapsed="false">
      <c r="A106" s="189" t="n">
        <v>39904</v>
      </c>
      <c r="B106" s="185" t="n">
        <v>-2.021005929375</v>
      </c>
      <c r="C106" s="185" t="n">
        <v>-1.9907047400625</v>
      </c>
      <c r="D106" s="185" t="n">
        <v>-1.96040355075</v>
      </c>
      <c r="E106" s="185" t="n">
        <v>-1.9301023614375</v>
      </c>
      <c r="F106" s="185" t="n">
        <v>-1.899801172125</v>
      </c>
      <c r="G106" s="185" t="n">
        <v>-1.8694999828125</v>
      </c>
      <c r="H106" s="185" t="n">
        <v>-1.8391987935</v>
      </c>
      <c r="I106" s="185" t="n">
        <v>-1.8088976041875</v>
      </c>
      <c r="J106" s="185" t="n">
        <v>-1.778596414875</v>
      </c>
      <c r="K106" s="185" t="n">
        <v>-1.7482952255625</v>
      </c>
      <c r="L106" s="185" t="n">
        <v>-1.71799403625</v>
      </c>
      <c r="M106" s="185" t="n">
        <v>-1.6876928469375</v>
      </c>
      <c r="N106" s="185" t="n">
        <v>-1.657391657625</v>
      </c>
      <c r="O106" s="185" t="n">
        <v>-1.6270904683125</v>
      </c>
      <c r="P106" s="185" t="n">
        <v>-1.596789279</v>
      </c>
      <c r="Q106" s="185" t="n">
        <v>-1.5664880896875</v>
      </c>
      <c r="R106" s="185" t="n">
        <v>-1.536186900375</v>
      </c>
      <c r="S106" s="185" t="n">
        <v>-1.5058857110625</v>
      </c>
      <c r="T106" s="185" t="n">
        <v>-1.47558452175</v>
      </c>
      <c r="U106" s="185" t="n">
        <v>-1.4452833324375</v>
      </c>
      <c r="V106" s="186" t="n">
        <v>-1.414982143125</v>
      </c>
      <c r="W106" s="185" t="n">
        <v>-1.3846809538125</v>
      </c>
      <c r="X106" s="186" t="n">
        <v>-1.3543797645</v>
      </c>
      <c r="Y106" s="185" t="n">
        <v>-1.3240785751875</v>
      </c>
      <c r="Z106" s="186" t="n">
        <v>-1.293777385875</v>
      </c>
      <c r="AA106" s="185" t="n">
        <v>-1.2634761965625</v>
      </c>
      <c r="AB106" s="187" t="n">
        <v>-1.23317500725</v>
      </c>
      <c r="AC106" s="185" t="n">
        <v>-1.2028738179375</v>
      </c>
      <c r="AD106" s="187" t="n">
        <v>-1.172572628625</v>
      </c>
      <c r="AE106" s="185" t="n">
        <v>-1.1422714393125</v>
      </c>
      <c r="AF106" s="185" t="n">
        <v>-1.11197025</v>
      </c>
      <c r="AG106" s="190" t="n">
        <v>-1.083235125</v>
      </c>
      <c r="AH106" s="190" t="n">
        <v>-1.0545</v>
      </c>
      <c r="AI106" s="190" t="n">
        <v>-1.02725</v>
      </c>
      <c r="AJ106" s="190" t="n">
        <v>-1</v>
      </c>
      <c r="AK106" s="190" t="n">
        <v>-0.8</v>
      </c>
      <c r="AL106" s="190" t="n">
        <v>-0.6</v>
      </c>
      <c r="AM106" s="190" t="n">
        <v>-0.4</v>
      </c>
      <c r="AN106" s="190" t="n">
        <v>-0.2</v>
      </c>
      <c r="AO106" s="190" t="n">
        <v>0</v>
      </c>
      <c r="AP106" s="190" t="n">
        <v>0.2</v>
      </c>
      <c r="AQ106" s="190" t="n">
        <v>0.4</v>
      </c>
      <c r="AR106" s="190" t="n">
        <v>0.6</v>
      </c>
      <c r="AS106" s="190" t="n">
        <v>0.8</v>
      </c>
      <c r="AT106" s="190" t="n">
        <v>1</v>
      </c>
      <c r="AU106" s="190" t="n">
        <v>1.2</v>
      </c>
      <c r="AV106" s="190" t="n">
        <v>1.4</v>
      </c>
      <c r="AW106" s="190" t="n">
        <v>1.58</v>
      </c>
      <c r="AX106" s="190" t="n">
        <v>1.76</v>
      </c>
      <c r="AY106" s="190" t="n">
        <v>1.922</v>
      </c>
      <c r="AZ106" s="190" t="n">
        <v>2.084</v>
      </c>
      <c r="BA106" s="190" t="n">
        <v>2.2298</v>
      </c>
      <c r="BB106" s="190" t="n">
        <v>2.3756</v>
      </c>
      <c r="BC106" s="190" t="n">
        <v>2.50682</v>
      </c>
      <c r="BD106" s="190" t="n">
        <v>2.63804</v>
      </c>
      <c r="BE106" s="190" t="n">
        <v>2.756138</v>
      </c>
      <c r="BF106" s="190" t="n">
        <v>2.874236</v>
      </c>
      <c r="BG106" s="190" t="n">
        <v>2.9805242</v>
      </c>
      <c r="BH106" s="190" t="n">
        <v>3.0868124</v>
      </c>
      <c r="BI106" s="190" t="n">
        <v>3.18247178</v>
      </c>
      <c r="BJ106" s="190" t="n">
        <v>3.27813116</v>
      </c>
      <c r="BK106" s="190" t="n">
        <v>3.364224602</v>
      </c>
      <c r="BL106" s="190" t="n">
        <v>3.450318044</v>
      </c>
      <c r="BM106" s="190" t="n">
        <v>3.5278021418</v>
      </c>
      <c r="BN106" s="190" t="n">
        <v>3.6052862396</v>
      </c>
      <c r="BO106" s="190" t="n">
        <v>3.67502192762</v>
      </c>
      <c r="BP106" s="190" t="n">
        <v>3.74475761564</v>
      </c>
      <c r="BQ106" s="190" t="n">
        <v>3.81449330366</v>
      </c>
      <c r="BR106" s="190" t="n">
        <v>3.88422899168</v>
      </c>
      <c r="BS106" s="190" t="n">
        <v>3.9539646797</v>
      </c>
      <c r="BT106" s="190" t="n">
        <v>4.02370036772</v>
      </c>
      <c r="BU106" s="190" t="n">
        <v>4.09343605574</v>
      </c>
      <c r="BV106" s="190" t="n">
        <v>4.16317174376</v>
      </c>
      <c r="BW106" s="190" t="n">
        <v>4.23290743178</v>
      </c>
      <c r="BX106" s="190" t="n">
        <v>4.3026431198</v>
      </c>
      <c r="BY106" s="190" t="n">
        <v>4.37237880782</v>
      </c>
      <c r="BZ106" s="190" t="n">
        <v>4.44211449584</v>
      </c>
      <c r="CA106" s="190" t="n">
        <v>4.51185018386</v>
      </c>
      <c r="CB106" s="190" t="n">
        <v>4.58158587188</v>
      </c>
      <c r="CC106" s="190" t="n">
        <v>4.6513215599</v>
      </c>
      <c r="CD106" s="190" t="n">
        <v>4.72105724792</v>
      </c>
      <c r="CE106" s="190" t="n">
        <v>4.79079293594</v>
      </c>
      <c r="CF106" s="190" t="n">
        <v>4.86052862396</v>
      </c>
      <c r="CG106" s="190" t="n">
        <v>4.93026431198</v>
      </c>
      <c r="CH106" s="190" t="n">
        <v>5</v>
      </c>
      <c r="CI106" s="190" t="n">
        <v>5.06973568801999</v>
      </c>
      <c r="CJ106" s="190" t="n">
        <v>5.13947137603999</v>
      </c>
      <c r="CK106" s="190" t="n">
        <v>5.20920706405999</v>
      </c>
      <c r="CL106" s="190" t="n">
        <v>5.27894275207999</v>
      </c>
      <c r="CM106" s="190" t="n">
        <v>5.34867844009999</v>
      </c>
      <c r="CN106" s="190" t="n">
        <v>5.41841412811999</v>
      </c>
      <c r="CO106" s="190" t="n">
        <v>5.48814981613999</v>
      </c>
      <c r="CP106" s="190" t="n">
        <v>5.55788550415999</v>
      </c>
      <c r="CQ106" s="190" t="n">
        <v>5.62762119217999</v>
      </c>
      <c r="CR106" s="190" t="n">
        <v>5.69735688019999</v>
      </c>
      <c r="CS106" s="190" t="n">
        <v>5.76709256821999</v>
      </c>
      <c r="CT106" s="190" t="n">
        <v>5.83682825623999</v>
      </c>
      <c r="CU106" s="190" t="n">
        <v>5.90656394425999</v>
      </c>
      <c r="CV106" s="190" t="n">
        <v>5.97629963227999</v>
      </c>
      <c r="CW106" s="190" t="n">
        <v>6.04603532029999</v>
      </c>
      <c r="CX106" s="190" t="n">
        <v>6.11577100831999</v>
      </c>
      <c r="CY106" s="190" t="n">
        <v>6.18550669633999</v>
      </c>
      <c r="CZ106" s="190" t="n">
        <v>6.25524238435999</v>
      </c>
      <c r="DA106" s="190" t="n">
        <v>6.32497807237999</v>
      </c>
      <c r="DB106" s="190" t="n">
        <v>6.39471376039999</v>
      </c>
      <c r="DC106" s="190" t="n">
        <v>6.46444944841999</v>
      </c>
      <c r="DD106" s="190" t="n">
        <v>6.53418513643999</v>
      </c>
      <c r="DE106" s="190" t="n">
        <v>6.60392082445999</v>
      </c>
      <c r="DF106" s="190" t="n">
        <v>6.67365651247999</v>
      </c>
      <c r="DG106" s="190" t="n">
        <v>6.74339220049999</v>
      </c>
      <c r="DH106" s="190" t="n">
        <v>6.81312788851999</v>
      </c>
      <c r="DI106" s="190" t="n">
        <v>6.88286357653999</v>
      </c>
      <c r="DJ106" s="190" t="n">
        <v>6.95259926455999</v>
      </c>
      <c r="DK106" s="190" t="n">
        <v>7.02233495257999</v>
      </c>
      <c r="DL106" s="190" t="n">
        <v>7.09207064059999</v>
      </c>
      <c r="DM106" s="190" t="n">
        <v>7.16180632861999</v>
      </c>
      <c r="DN106" s="190" t="n">
        <v>7.23154201663999</v>
      </c>
      <c r="DO106" s="190" t="n">
        <v>7.30127770465999</v>
      </c>
      <c r="DP106" s="190" t="n">
        <v>7.37101339267999</v>
      </c>
      <c r="DQ106" s="190" t="n">
        <v>7.44074908069999</v>
      </c>
      <c r="DR106" s="190" t="n">
        <v>7.51048476871999</v>
      </c>
      <c r="DS106" s="190" t="n">
        <v>7.58022045673999</v>
      </c>
      <c r="DT106" s="190" t="n">
        <v>7.64995614475999</v>
      </c>
      <c r="DU106" s="190" t="n">
        <v>7.71969183277999</v>
      </c>
      <c r="DV106" s="190" t="n">
        <v>7.78942752079998</v>
      </c>
      <c r="DW106" s="190" t="n">
        <v>7.85916320881998</v>
      </c>
      <c r="DX106" s="190" t="n">
        <v>7.92889889683998</v>
      </c>
      <c r="DY106" s="190" t="n">
        <v>7.99863458485998</v>
      </c>
      <c r="DZ106" s="190" t="n">
        <v>8.06837027287998</v>
      </c>
      <c r="EA106" s="190" t="n">
        <v>8.13810596089998</v>
      </c>
      <c r="EB106" s="190" t="n">
        <v>8.20784164891998</v>
      </c>
      <c r="EC106" s="190" t="n">
        <v>8.27757733693998</v>
      </c>
      <c r="ED106" s="190" t="n">
        <v>8.34731302495998</v>
      </c>
      <c r="EE106" s="190" t="n">
        <v>8.41704871297998</v>
      </c>
      <c r="EF106" s="190" t="n">
        <v>8.48678440099998</v>
      </c>
      <c r="EG106" s="190" t="n">
        <v>8.55652008901998</v>
      </c>
      <c r="EH106" s="190" t="n">
        <v>8.62625577703998</v>
      </c>
      <c r="EI106" s="190" t="n">
        <v>8.69599146505998</v>
      </c>
      <c r="EJ106" s="190" t="n">
        <v>8.76572715307998</v>
      </c>
      <c r="EK106" s="190" t="n">
        <v>8.83546284109998</v>
      </c>
      <c r="EL106" s="180" t="n">
        <v>8.90519852911998</v>
      </c>
      <c r="EM106" s="180" t="n">
        <v>8.97493421713998</v>
      </c>
      <c r="EN106" s="180" t="n">
        <v>9.04466990515998</v>
      </c>
      <c r="EO106" s="180" t="n">
        <v>9.11440559317998</v>
      </c>
      <c r="EP106" s="180" t="n">
        <v>9.18414128119998</v>
      </c>
      <c r="EQ106" s="180" t="n">
        <v>9.25387696921998</v>
      </c>
      <c r="ER106" s="180" t="n">
        <v>9.32361265723998</v>
      </c>
      <c r="ES106" s="180" t="n">
        <v>9.39334834525998</v>
      </c>
      <c r="ET106" s="180" t="n">
        <v>9.46308403327998</v>
      </c>
      <c r="EU106" s="180" t="n">
        <v>9.53281972129998</v>
      </c>
      <c r="EV106" s="180" t="n">
        <v>9.60255540931998</v>
      </c>
      <c r="EW106" s="180" t="n">
        <v>9.67229109733998</v>
      </c>
      <c r="EX106" s="180" t="n">
        <v>9.74202678535998</v>
      </c>
      <c r="EY106" s="180" t="n">
        <v>9.81176247337998</v>
      </c>
      <c r="EZ106" s="180" t="n">
        <v>9.88149816139998</v>
      </c>
      <c r="FA106" s="180" t="n">
        <v>9.95123384941998</v>
      </c>
      <c r="FB106" s="180" t="n">
        <v>10.02096953744</v>
      </c>
      <c r="FC106" s="180" t="n">
        <v>10.09070522546</v>
      </c>
      <c r="FD106" s="180" t="n">
        <v>10.16044091348</v>
      </c>
      <c r="FE106" s="180" t="n">
        <v>10.2301766015</v>
      </c>
      <c r="FF106" s="180" t="n">
        <v>10.29991228952</v>
      </c>
      <c r="FG106" s="180" t="n">
        <v>10.36964797754</v>
      </c>
      <c r="FH106" s="180" t="n">
        <v>10.43938366556</v>
      </c>
      <c r="FI106" s="180" t="n">
        <v>10.50911935358</v>
      </c>
      <c r="FJ106" s="180" t="n">
        <v>10.5788550416</v>
      </c>
      <c r="FK106" s="180" t="n">
        <v>10.64859072962</v>
      </c>
      <c r="FL106" s="180" t="n">
        <v>10.71832641764</v>
      </c>
      <c r="FM106" s="180" t="n">
        <v>10.78806210566</v>
      </c>
      <c r="FN106" s="180" t="n">
        <v>10.85779779368</v>
      </c>
      <c r="FO106" s="180" t="n">
        <v>10.9275334817</v>
      </c>
      <c r="FP106" s="180" t="n">
        <v>10.99726916972</v>
      </c>
      <c r="FQ106" s="180" t="n">
        <v>11.06700485774</v>
      </c>
      <c r="FR106" s="180" t="n">
        <v>11.13674054576</v>
      </c>
      <c r="FS106" s="180" t="n">
        <v>11.20647623378</v>
      </c>
      <c r="FT106" s="180" t="n">
        <v>11.2762119218</v>
      </c>
      <c r="FU106" s="180" t="n">
        <v>11.34594760982</v>
      </c>
      <c r="FV106" s="180" t="n">
        <v>11.41568329784</v>
      </c>
      <c r="FW106" s="180" t="n">
        <v>11.48541898586</v>
      </c>
      <c r="FX106" s="180" t="n">
        <v>11.55515467388</v>
      </c>
      <c r="FY106" s="180" t="n">
        <v>11.6248903619</v>
      </c>
      <c r="FZ106" s="180" t="n">
        <v>11.69462604992</v>
      </c>
      <c r="GA106" s="180" t="n">
        <v>11.76436173794</v>
      </c>
      <c r="GB106" s="180" t="n">
        <v>11.83409742596</v>
      </c>
      <c r="GC106" s="180" t="n">
        <v>11.90383311398</v>
      </c>
      <c r="GD106" s="180" t="n">
        <v>11.973568802</v>
      </c>
      <c r="GE106" s="180" t="n">
        <v>12.04330449002</v>
      </c>
      <c r="GF106" s="180" t="n">
        <v>12.11304017804</v>
      </c>
      <c r="GG106" s="180" t="n">
        <v>12.18277586606</v>
      </c>
      <c r="GH106" s="180" t="n">
        <v>12.25251155408</v>
      </c>
      <c r="GI106" s="180" t="n">
        <v>12.3222472421</v>
      </c>
      <c r="GJ106" s="180" t="n">
        <v>12.39198293012</v>
      </c>
      <c r="GK106" s="180" t="n">
        <v>12.46171861814</v>
      </c>
      <c r="GL106" s="180" t="n">
        <v>12.53145430616</v>
      </c>
      <c r="GM106" s="180" t="n">
        <v>12.60118999418</v>
      </c>
      <c r="GN106" s="180" t="n">
        <v>12.6709256822</v>
      </c>
      <c r="GO106" s="180" t="n">
        <v>12.74066137022</v>
      </c>
      <c r="GP106" s="180" t="n">
        <v>12.81039705824</v>
      </c>
      <c r="GQ106" s="180" t="n">
        <v>12.88013274626</v>
      </c>
      <c r="GR106" s="180" t="n">
        <v>12.94986843428</v>
      </c>
      <c r="GS106" s="180" t="n">
        <v>13.0196041223</v>
      </c>
      <c r="GT106" s="180" t="n">
        <v>13.08933981032</v>
      </c>
      <c r="GU106" s="180" t="n">
        <v>13.15907549834</v>
      </c>
      <c r="GV106" s="180" t="n">
        <v>13.22881118636</v>
      </c>
      <c r="GW106" s="180" t="n">
        <v>13.29854687438</v>
      </c>
      <c r="GX106" s="180" t="n">
        <v>13.3682825624</v>
      </c>
      <c r="GY106" s="180" t="n">
        <v>13.43801825042</v>
      </c>
      <c r="GZ106" s="180" t="n">
        <v>13.50775393844</v>
      </c>
      <c r="HA106" s="180" t="n">
        <v>13.57748962646</v>
      </c>
      <c r="HB106" s="180" t="n">
        <v>13.64722531448</v>
      </c>
      <c r="HC106" s="180" t="n">
        <v>13.7169610025</v>
      </c>
      <c r="HD106" s="180" t="n">
        <v>13.78669669052</v>
      </c>
      <c r="HE106" s="180" t="n">
        <v>13.85643237854</v>
      </c>
      <c r="HF106" s="180" t="n">
        <v>13.92616806656</v>
      </c>
      <c r="HG106" s="180" t="n">
        <v>13.99590375458</v>
      </c>
      <c r="HH106" s="180" t="n">
        <v>14.0656394426</v>
      </c>
      <c r="HI106" s="180" t="n">
        <v>14.13537513062</v>
      </c>
      <c r="HJ106" s="180" t="n">
        <v>14.20511081864</v>
      </c>
      <c r="HK106" s="180" t="n">
        <v>14.27484650666</v>
      </c>
      <c r="HL106" s="180" t="n">
        <v>14.34458219468</v>
      </c>
      <c r="HM106" s="180" t="n">
        <v>14.4143178827</v>
      </c>
      <c r="HN106" s="180" t="n">
        <v>14.48405357072</v>
      </c>
      <c r="HO106" s="180" t="n">
        <v>14.55378925874</v>
      </c>
      <c r="HP106" s="180" t="n">
        <v>14.62352494676</v>
      </c>
      <c r="HQ106" s="180" t="n">
        <v>14.69326063478</v>
      </c>
      <c r="HR106" s="180" t="n">
        <v>14.7629963228</v>
      </c>
      <c r="HS106" s="180" t="n">
        <v>14.83273201082</v>
      </c>
      <c r="HT106" s="180" t="n">
        <v>14.90246769884</v>
      </c>
      <c r="HU106" s="180" t="n">
        <v>14.97220338686</v>
      </c>
      <c r="HV106" s="180" t="n">
        <v>15.04193907488</v>
      </c>
      <c r="HW106" s="180" t="n">
        <v>15.1116747629</v>
      </c>
      <c r="HX106" s="180" t="n">
        <v>15.18141045092</v>
      </c>
      <c r="HY106" s="180" t="n">
        <v>15.25114613894</v>
      </c>
      <c r="HZ106" s="180" t="n">
        <v>15.32088182696</v>
      </c>
      <c r="IA106" s="180" t="n">
        <v>15.39061751498</v>
      </c>
      <c r="IB106" s="180" t="n">
        <v>15.460353203</v>
      </c>
      <c r="IC106" s="180" t="n">
        <v>15.53008889102</v>
      </c>
      <c r="ID106" s="180" t="n">
        <v>15.59982457904</v>
      </c>
      <c r="IE106" s="180" t="n">
        <v>15.66956026706</v>
      </c>
      <c r="IF106" s="180" t="n">
        <v>15.73929595508</v>
      </c>
      <c r="IG106" s="180" t="n">
        <v>15.8090316431</v>
      </c>
      <c r="IH106" s="180" t="n">
        <v>15.87876733112</v>
      </c>
      <c r="II106" s="180" t="n">
        <v>15.94850301914</v>
      </c>
      <c r="IJ106" s="180" t="n">
        <v>16.01823870716</v>
      </c>
      <c r="IK106" s="180" t="n">
        <v>16.08797439518</v>
      </c>
      <c r="IL106" s="180" t="n">
        <v>16.1577100832</v>
      </c>
      <c r="IM106" s="180" t="n">
        <v>16.22744577122</v>
      </c>
      <c r="IN106" s="180" t="n">
        <v>16.29718145924</v>
      </c>
      <c r="IO106" s="180" t="n">
        <v>16.36691714726</v>
      </c>
      <c r="IP106" s="180" t="n">
        <v>16.43665283528</v>
      </c>
      <c r="IQ106" s="180" t="n">
        <v>16.5063885233</v>
      </c>
      <c r="IR106" s="180" t="n">
        <v>16.57612421132</v>
      </c>
      <c r="IS106" s="180" t="n">
        <v>16.64585989934</v>
      </c>
      <c r="IT106" s="180" t="n">
        <v>16.71559558736</v>
      </c>
      <c r="IU106" s="180" t="n">
        <v>16.78533127538</v>
      </c>
      <c r="IV106" s="180" t="n">
        <v>16.8550669634</v>
      </c>
    </row>
    <row r="107" customFormat="false" ht="12.75" hidden="false" customHeight="false" outlineLevel="0" collapsed="false">
      <c r="A107" s="189" t="n">
        <v>39934</v>
      </c>
      <c r="B107" s="185" t="n">
        <v>-2.021005929375</v>
      </c>
      <c r="C107" s="185" t="n">
        <v>-1.9907047400625</v>
      </c>
      <c r="D107" s="185" t="n">
        <v>-1.96040355075</v>
      </c>
      <c r="E107" s="185" t="n">
        <v>-1.9301023614375</v>
      </c>
      <c r="F107" s="185" t="n">
        <v>-1.899801172125</v>
      </c>
      <c r="G107" s="185" t="n">
        <v>-1.8694999828125</v>
      </c>
      <c r="H107" s="185" t="n">
        <v>-1.8391987935</v>
      </c>
      <c r="I107" s="185" t="n">
        <v>-1.8088976041875</v>
      </c>
      <c r="J107" s="185" t="n">
        <v>-1.778596414875</v>
      </c>
      <c r="K107" s="185" t="n">
        <v>-1.7482952255625</v>
      </c>
      <c r="L107" s="185" t="n">
        <v>-1.71799403625</v>
      </c>
      <c r="M107" s="185" t="n">
        <v>-1.6876928469375</v>
      </c>
      <c r="N107" s="185" t="n">
        <v>-1.657391657625</v>
      </c>
      <c r="O107" s="185" t="n">
        <v>-1.6270904683125</v>
      </c>
      <c r="P107" s="185" t="n">
        <v>-1.596789279</v>
      </c>
      <c r="Q107" s="185" t="n">
        <v>-1.5664880896875</v>
      </c>
      <c r="R107" s="185" t="n">
        <v>-1.536186900375</v>
      </c>
      <c r="S107" s="185" t="n">
        <v>-1.5058857110625</v>
      </c>
      <c r="T107" s="185" t="n">
        <v>-1.47558452175</v>
      </c>
      <c r="U107" s="185" t="n">
        <v>-1.4452833324375</v>
      </c>
      <c r="V107" s="186" t="n">
        <v>-1.414982143125</v>
      </c>
      <c r="W107" s="185" t="n">
        <v>-1.3846809538125</v>
      </c>
      <c r="X107" s="186" t="n">
        <v>-1.3543797645</v>
      </c>
      <c r="Y107" s="185" t="n">
        <v>-1.3240785751875</v>
      </c>
      <c r="Z107" s="186" t="n">
        <v>-1.293777385875</v>
      </c>
      <c r="AA107" s="185" t="n">
        <v>-1.2634761965625</v>
      </c>
      <c r="AB107" s="187" t="n">
        <v>-1.23317500725</v>
      </c>
      <c r="AC107" s="185" t="n">
        <v>-1.2028738179375</v>
      </c>
      <c r="AD107" s="187" t="n">
        <v>-1.172572628625</v>
      </c>
      <c r="AE107" s="185" t="n">
        <v>-1.1422714393125</v>
      </c>
      <c r="AF107" s="185" t="n">
        <v>-1.11197025</v>
      </c>
      <c r="AG107" s="190" t="n">
        <v>-1.083235125</v>
      </c>
      <c r="AH107" s="190" t="n">
        <v>-1.0545</v>
      </c>
      <c r="AI107" s="190" t="n">
        <v>-1.02725</v>
      </c>
      <c r="AJ107" s="190" t="n">
        <v>-1</v>
      </c>
      <c r="AK107" s="190" t="n">
        <v>-0.8</v>
      </c>
      <c r="AL107" s="190" t="n">
        <v>-0.6</v>
      </c>
      <c r="AM107" s="190" t="n">
        <v>-0.4</v>
      </c>
      <c r="AN107" s="190" t="n">
        <v>-0.2</v>
      </c>
      <c r="AO107" s="190" t="n">
        <v>0</v>
      </c>
      <c r="AP107" s="190" t="n">
        <v>0.2</v>
      </c>
      <c r="AQ107" s="190" t="n">
        <v>0.4</v>
      </c>
      <c r="AR107" s="190" t="n">
        <v>0.6</v>
      </c>
      <c r="AS107" s="190" t="n">
        <v>0.8</v>
      </c>
      <c r="AT107" s="190" t="n">
        <v>1</v>
      </c>
      <c r="AU107" s="190" t="n">
        <v>1.2</v>
      </c>
      <c r="AV107" s="190" t="n">
        <v>1.4</v>
      </c>
      <c r="AW107" s="190" t="n">
        <v>1.58</v>
      </c>
      <c r="AX107" s="190" t="n">
        <v>1.76</v>
      </c>
      <c r="AY107" s="190" t="n">
        <v>1.922</v>
      </c>
      <c r="AZ107" s="190" t="n">
        <v>2.084</v>
      </c>
      <c r="BA107" s="190" t="n">
        <v>2.2298</v>
      </c>
      <c r="BB107" s="190" t="n">
        <v>2.3756</v>
      </c>
      <c r="BC107" s="190" t="n">
        <v>2.50682</v>
      </c>
      <c r="BD107" s="190" t="n">
        <v>2.63804</v>
      </c>
      <c r="BE107" s="190" t="n">
        <v>2.756138</v>
      </c>
      <c r="BF107" s="190" t="n">
        <v>2.874236</v>
      </c>
      <c r="BG107" s="190" t="n">
        <v>2.9805242</v>
      </c>
      <c r="BH107" s="190" t="n">
        <v>3.0868124</v>
      </c>
      <c r="BI107" s="190" t="n">
        <v>3.18247178</v>
      </c>
      <c r="BJ107" s="190" t="n">
        <v>3.27813116</v>
      </c>
      <c r="BK107" s="190" t="n">
        <v>3.364224602</v>
      </c>
      <c r="BL107" s="190" t="n">
        <v>3.450318044</v>
      </c>
      <c r="BM107" s="190" t="n">
        <v>3.5278021418</v>
      </c>
      <c r="BN107" s="190" t="n">
        <v>3.6052862396</v>
      </c>
      <c r="BO107" s="190" t="n">
        <v>3.67502192762</v>
      </c>
      <c r="BP107" s="190" t="n">
        <v>3.74475761564</v>
      </c>
      <c r="BQ107" s="190" t="n">
        <v>3.81449330366</v>
      </c>
      <c r="BR107" s="190" t="n">
        <v>3.88422899168</v>
      </c>
      <c r="BS107" s="190" t="n">
        <v>3.9539646797</v>
      </c>
      <c r="BT107" s="190" t="n">
        <v>4.02370036772</v>
      </c>
      <c r="BU107" s="190" t="n">
        <v>4.09343605574</v>
      </c>
      <c r="BV107" s="190" t="n">
        <v>4.16317174376</v>
      </c>
      <c r="BW107" s="190" t="n">
        <v>4.23290743178</v>
      </c>
      <c r="BX107" s="190" t="n">
        <v>4.3026431198</v>
      </c>
      <c r="BY107" s="190" t="n">
        <v>4.37237880782</v>
      </c>
      <c r="BZ107" s="190" t="n">
        <v>4.44211449584</v>
      </c>
      <c r="CA107" s="190" t="n">
        <v>4.51185018386</v>
      </c>
      <c r="CB107" s="190" t="n">
        <v>4.58158587188</v>
      </c>
      <c r="CC107" s="190" t="n">
        <v>4.6513215599</v>
      </c>
      <c r="CD107" s="190" t="n">
        <v>4.72105724792</v>
      </c>
      <c r="CE107" s="190" t="n">
        <v>4.79079293594</v>
      </c>
      <c r="CF107" s="190" t="n">
        <v>4.86052862396</v>
      </c>
      <c r="CG107" s="190" t="n">
        <v>4.93026431198</v>
      </c>
      <c r="CH107" s="190" t="n">
        <v>5</v>
      </c>
      <c r="CI107" s="190" t="n">
        <v>5.06973568801999</v>
      </c>
      <c r="CJ107" s="190" t="n">
        <v>5.13947137603999</v>
      </c>
      <c r="CK107" s="190" t="n">
        <v>5.20920706405999</v>
      </c>
      <c r="CL107" s="190" t="n">
        <v>5.27894275207999</v>
      </c>
      <c r="CM107" s="190" t="n">
        <v>5.34867844009999</v>
      </c>
      <c r="CN107" s="190" t="n">
        <v>5.41841412811999</v>
      </c>
      <c r="CO107" s="190" t="n">
        <v>5.48814981613999</v>
      </c>
      <c r="CP107" s="190" t="n">
        <v>5.55788550415999</v>
      </c>
      <c r="CQ107" s="190" t="n">
        <v>5.62762119217999</v>
      </c>
      <c r="CR107" s="190" t="n">
        <v>5.69735688019999</v>
      </c>
      <c r="CS107" s="190" t="n">
        <v>5.76709256821999</v>
      </c>
      <c r="CT107" s="190" t="n">
        <v>5.83682825623999</v>
      </c>
      <c r="CU107" s="190" t="n">
        <v>5.90656394425999</v>
      </c>
      <c r="CV107" s="190" t="n">
        <v>5.97629963227999</v>
      </c>
      <c r="CW107" s="190" t="n">
        <v>6.04603532029999</v>
      </c>
      <c r="CX107" s="190" t="n">
        <v>6.11577100831999</v>
      </c>
      <c r="CY107" s="190" t="n">
        <v>6.18550669633999</v>
      </c>
      <c r="CZ107" s="190" t="n">
        <v>6.25524238435999</v>
      </c>
      <c r="DA107" s="190" t="n">
        <v>6.32497807237999</v>
      </c>
      <c r="DB107" s="190" t="n">
        <v>6.39471376039999</v>
      </c>
      <c r="DC107" s="190" t="n">
        <v>6.46444944841999</v>
      </c>
      <c r="DD107" s="190" t="n">
        <v>6.53418513643999</v>
      </c>
      <c r="DE107" s="190" t="n">
        <v>6.60392082445999</v>
      </c>
      <c r="DF107" s="190" t="n">
        <v>6.67365651247999</v>
      </c>
      <c r="DG107" s="190" t="n">
        <v>6.74339220049999</v>
      </c>
      <c r="DH107" s="190" t="n">
        <v>6.81312788851999</v>
      </c>
      <c r="DI107" s="190" t="n">
        <v>6.88286357653999</v>
      </c>
      <c r="DJ107" s="190" t="n">
        <v>6.95259926455999</v>
      </c>
      <c r="DK107" s="190" t="n">
        <v>7.02233495257999</v>
      </c>
      <c r="DL107" s="190" t="n">
        <v>7.09207064059999</v>
      </c>
      <c r="DM107" s="190" t="n">
        <v>7.16180632861999</v>
      </c>
      <c r="DN107" s="190" t="n">
        <v>7.23154201663999</v>
      </c>
      <c r="DO107" s="190" t="n">
        <v>7.30127770465999</v>
      </c>
      <c r="DP107" s="190" t="n">
        <v>7.37101339267999</v>
      </c>
      <c r="DQ107" s="190" t="n">
        <v>7.44074908069999</v>
      </c>
      <c r="DR107" s="190" t="n">
        <v>7.51048476871999</v>
      </c>
      <c r="DS107" s="190" t="n">
        <v>7.58022045673999</v>
      </c>
      <c r="DT107" s="190" t="n">
        <v>7.64995614475999</v>
      </c>
      <c r="DU107" s="190" t="n">
        <v>7.71969183277999</v>
      </c>
      <c r="DV107" s="190" t="n">
        <v>7.78942752079998</v>
      </c>
      <c r="DW107" s="190" t="n">
        <v>7.85916320881998</v>
      </c>
      <c r="DX107" s="190" t="n">
        <v>7.92889889683998</v>
      </c>
      <c r="DY107" s="190" t="n">
        <v>7.99863458485998</v>
      </c>
      <c r="DZ107" s="190" t="n">
        <v>8.06837027287998</v>
      </c>
      <c r="EA107" s="190" t="n">
        <v>8.13810596089998</v>
      </c>
      <c r="EB107" s="190" t="n">
        <v>8.20784164891998</v>
      </c>
      <c r="EC107" s="190" t="n">
        <v>8.27757733693998</v>
      </c>
      <c r="ED107" s="190" t="n">
        <v>8.34731302495998</v>
      </c>
      <c r="EE107" s="190" t="n">
        <v>8.41704871297998</v>
      </c>
      <c r="EF107" s="190" t="n">
        <v>8.48678440099998</v>
      </c>
      <c r="EG107" s="190" t="n">
        <v>8.55652008901998</v>
      </c>
      <c r="EH107" s="190" t="n">
        <v>8.62625577703998</v>
      </c>
      <c r="EI107" s="190" t="n">
        <v>8.69599146505998</v>
      </c>
      <c r="EJ107" s="190" t="n">
        <v>8.76572715307998</v>
      </c>
      <c r="EK107" s="190" t="n">
        <v>8.83546284109998</v>
      </c>
      <c r="EL107" s="180" t="n">
        <v>8.90519852911998</v>
      </c>
      <c r="EM107" s="180" t="n">
        <v>8.97493421713998</v>
      </c>
      <c r="EN107" s="180" t="n">
        <v>9.04466990515998</v>
      </c>
      <c r="EO107" s="180" t="n">
        <v>9.11440559317998</v>
      </c>
      <c r="EP107" s="180" t="n">
        <v>9.18414128119998</v>
      </c>
      <c r="EQ107" s="180" t="n">
        <v>9.25387696921998</v>
      </c>
      <c r="ER107" s="180" t="n">
        <v>9.32361265723998</v>
      </c>
      <c r="ES107" s="180" t="n">
        <v>9.39334834525998</v>
      </c>
      <c r="ET107" s="180" t="n">
        <v>9.46308403327998</v>
      </c>
      <c r="EU107" s="180" t="n">
        <v>9.53281972129998</v>
      </c>
      <c r="EV107" s="180" t="n">
        <v>9.60255540931998</v>
      </c>
      <c r="EW107" s="180" t="n">
        <v>9.67229109733998</v>
      </c>
      <c r="EX107" s="180" t="n">
        <v>9.74202678535998</v>
      </c>
      <c r="EY107" s="180" t="n">
        <v>9.81176247337998</v>
      </c>
      <c r="EZ107" s="180" t="n">
        <v>9.88149816139998</v>
      </c>
      <c r="FA107" s="180" t="n">
        <v>9.95123384941998</v>
      </c>
      <c r="FB107" s="180" t="n">
        <v>10.02096953744</v>
      </c>
      <c r="FC107" s="180" t="n">
        <v>10.09070522546</v>
      </c>
      <c r="FD107" s="180" t="n">
        <v>10.16044091348</v>
      </c>
      <c r="FE107" s="180" t="n">
        <v>10.2301766015</v>
      </c>
      <c r="FF107" s="180" t="n">
        <v>10.29991228952</v>
      </c>
      <c r="FG107" s="180" t="n">
        <v>10.36964797754</v>
      </c>
      <c r="FH107" s="180" t="n">
        <v>10.43938366556</v>
      </c>
      <c r="FI107" s="180" t="n">
        <v>10.50911935358</v>
      </c>
      <c r="FJ107" s="180" t="n">
        <v>10.5788550416</v>
      </c>
      <c r="FK107" s="180" t="n">
        <v>10.64859072962</v>
      </c>
      <c r="FL107" s="180" t="n">
        <v>10.71832641764</v>
      </c>
      <c r="FM107" s="180" t="n">
        <v>10.78806210566</v>
      </c>
      <c r="FN107" s="180" t="n">
        <v>10.85779779368</v>
      </c>
      <c r="FO107" s="180" t="n">
        <v>10.9275334817</v>
      </c>
      <c r="FP107" s="180" t="n">
        <v>10.99726916972</v>
      </c>
      <c r="FQ107" s="180" t="n">
        <v>11.06700485774</v>
      </c>
      <c r="FR107" s="180" t="n">
        <v>11.13674054576</v>
      </c>
      <c r="FS107" s="180" t="n">
        <v>11.20647623378</v>
      </c>
      <c r="FT107" s="180" t="n">
        <v>11.2762119218</v>
      </c>
      <c r="FU107" s="180" t="n">
        <v>11.34594760982</v>
      </c>
      <c r="FV107" s="180" t="n">
        <v>11.41568329784</v>
      </c>
      <c r="FW107" s="180" t="n">
        <v>11.48541898586</v>
      </c>
      <c r="FX107" s="180" t="n">
        <v>11.55515467388</v>
      </c>
      <c r="FY107" s="180" t="n">
        <v>11.6248903619</v>
      </c>
      <c r="FZ107" s="180" t="n">
        <v>11.69462604992</v>
      </c>
      <c r="GA107" s="180" t="n">
        <v>11.76436173794</v>
      </c>
      <c r="GB107" s="180" t="n">
        <v>11.83409742596</v>
      </c>
      <c r="GC107" s="180" t="n">
        <v>11.90383311398</v>
      </c>
      <c r="GD107" s="180" t="n">
        <v>11.973568802</v>
      </c>
      <c r="GE107" s="180" t="n">
        <v>12.04330449002</v>
      </c>
      <c r="GF107" s="180" t="n">
        <v>12.11304017804</v>
      </c>
      <c r="GG107" s="180" t="n">
        <v>12.18277586606</v>
      </c>
      <c r="GH107" s="180" t="n">
        <v>12.25251155408</v>
      </c>
      <c r="GI107" s="180" t="n">
        <v>12.3222472421</v>
      </c>
      <c r="GJ107" s="180" t="n">
        <v>12.39198293012</v>
      </c>
      <c r="GK107" s="180" t="n">
        <v>12.46171861814</v>
      </c>
      <c r="GL107" s="180" t="n">
        <v>12.53145430616</v>
      </c>
      <c r="GM107" s="180" t="n">
        <v>12.60118999418</v>
      </c>
      <c r="GN107" s="180" t="n">
        <v>12.6709256822</v>
      </c>
      <c r="GO107" s="180" t="n">
        <v>12.74066137022</v>
      </c>
      <c r="GP107" s="180" t="n">
        <v>12.81039705824</v>
      </c>
      <c r="GQ107" s="180" t="n">
        <v>12.88013274626</v>
      </c>
      <c r="GR107" s="180" t="n">
        <v>12.94986843428</v>
      </c>
      <c r="GS107" s="180" t="n">
        <v>13.0196041223</v>
      </c>
      <c r="GT107" s="180" t="n">
        <v>13.08933981032</v>
      </c>
      <c r="GU107" s="180" t="n">
        <v>13.15907549834</v>
      </c>
      <c r="GV107" s="180" t="n">
        <v>13.22881118636</v>
      </c>
      <c r="GW107" s="180" t="n">
        <v>13.29854687438</v>
      </c>
      <c r="GX107" s="180" t="n">
        <v>13.3682825624</v>
      </c>
      <c r="GY107" s="180" t="n">
        <v>13.43801825042</v>
      </c>
      <c r="GZ107" s="180" t="n">
        <v>13.50775393844</v>
      </c>
      <c r="HA107" s="180" t="n">
        <v>13.57748962646</v>
      </c>
      <c r="HB107" s="180" t="n">
        <v>13.64722531448</v>
      </c>
      <c r="HC107" s="180" t="n">
        <v>13.7169610025</v>
      </c>
      <c r="HD107" s="180" t="n">
        <v>13.78669669052</v>
      </c>
      <c r="HE107" s="180" t="n">
        <v>13.85643237854</v>
      </c>
      <c r="HF107" s="180" t="n">
        <v>13.92616806656</v>
      </c>
      <c r="HG107" s="180" t="n">
        <v>13.99590375458</v>
      </c>
      <c r="HH107" s="180" t="n">
        <v>14.0656394426</v>
      </c>
      <c r="HI107" s="180" t="n">
        <v>14.13537513062</v>
      </c>
      <c r="HJ107" s="180" t="n">
        <v>14.20511081864</v>
      </c>
      <c r="HK107" s="180" t="n">
        <v>14.27484650666</v>
      </c>
      <c r="HL107" s="180" t="n">
        <v>14.34458219468</v>
      </c>
      <c r="HM107" s="180" t="n">
        <v>14.4143178827</v>
      </c>
      <c r="HN107" s="180" t="n">
        <v>14.48405357072</v>
      </c>
      <c r="HO107" s="180" t="n">
        <v>14.55378925874</v>
      </c>
      <c r="HP107" s="180" t="n">
        <v>14.62352494676</v>
      </c>
      <c r="HQ107" s="180" t="n">
        <v>14.69326063478</v>
      </c>
      <c r="HR107" s="180" t="n">
        <v>14.7629963228</v>
      </c>
      <c r="HS107" s="180" t="n">
        <v>14.83273201082</v>
      </c>
      <c r="HT107" s="180" t="n">
        <v>14.90246769884</v>
      </c>
      <c r="HU107" s="180" t="n">
        <v>14.97220338686</v>
      </c>
      <c r="HV107" s="180" t="n">
        <v>15.04193907488</v>
      </c>
      <c r="HW107" s="180" t="n">
        <v>15.1116747629</v>
      </c>
      <c r="HX107" s="180" t="n">
        <v>15.18141045092</v>
      </c>
      <c r="HY107" s="180" t="n">
        <v>15.25114613894</v>
      </c>
      <c r="HZ107" s="180" t="n">
        <v>15.32088182696</v>
      </c>
      <c r="IA107" s="180" t="n">
        <v>15.39061751498</v>
      </c>
      <c r="IB107" s="180" t="n">
        <v>15.460353203</v>
      </c>
      <c r="IC107" s="180" t="n">
        <v>15.53008889102</v>
      </c>
      <c r="ID107" s="180" t="n">
        <v>15.59982457904</v>
      </c>
      <c r="IE107" s="180" t="n">
        <v>15.66956026706</v>
      </c>
      <c r="IF107" s="180" t="n">
        <v>15.73929595508</v>
      </c>
      <c r="IG107" s="180" t="n">
        <v>15.8090316431</v>
      </c>
      <c r="IH107" s="180" t="n">
        <v>15.87876733112</v>
      </c>
      <c r="II107" s="180" t="n">
        <v>15.94850301914</v>
      </c>
      <c r="IJ107" s="180" t="n">
        <v>16.01823870716</v>
      </c>
      <c r="IK107" s="180" t="n">
        <v>16.08797439518</v>
      </c>
      <c r="IL107" s="180" t="n">
        <v>16.1577100832</v>
      </c>
      <c r="IM107" s="180" t="n">
        <v>16.22744577122</v>
      </c>
      <c r="IN107" s="180" t="n">
        <v>16.29718145924</v>
      </c>
      <c r="IO107" s="180" t="n">
        <v>16.36691714726</v>
      </c>
      <c r="IP107" s="180" t="n">
        <v>16.43665283528</v>
      </c>
      <c r="IQ107" s="180" t="n">
        <v>16.5063885233</v>
      </c>
      <c r="IR107" s="180" t="n">
        <v>16.57612421132</v>
      </c>
      <c r="IS107" s="180" t="n">
        <v>16.64585989934</v>
      </c>
      <c r="IT107" s="180" t="n">
        <v>16.71559558736</v>
      </c>
      <c r="IU107" s="180" t="n">
        <v>16.78533127538</v>
      </c>
      <c r="IV107" s="180" t="n">
        <v>16.8550669634</v>
      </c>
    </row>
    <row r="108" customFormat="false" ht="12.75" hidden="false" customHeight="false" outlineLevel="0" collapsed="false">
      <c r="A108" s="189" t="n">
        <v>39965</v>
      </c>
      <c r="B108" s="185" t="n">
        <v>-2.021005929375</v>
      </c>
      <c r="C108" s="185" t="n">
        <v>-1.9907047400625</v>
      </c>
      <c r="D108" s="185" t="n">
        <v>-1.96040355075</v>
      </c>
      <c r="E108" s="185" t="n">
        <v>-1.9301023614375</v>
      </c>
      <c r="F108" s="185" t="n">
        <v>-1.899801172125</v>
      </c>
      <c r="G108" s="185" t="n">
        <v>-1.8694999828125</v>
      </c>
      <c r="H108" s="185" t="n">
        <v>-1.8391987935</v>
      </c>
      <c r="I108" s="185" t="n">
        <v>-1.8088976041875</v>
      </c>
      <c r="J108" s="185" t="n">
        <v>-1.778596414875</v>
      </c>
      <c r="K108" s="185" t="n">
        <v>-1.7482952255625</v>
      </c>
      <c r="L108" s="185" t="n">
        <v>-1.71799403625</v>
      </c>
      <c r="M108" s="185" t="n">
        <v>-1.6876928469375</v>
      </c>
      <c r="N108" s="185" t="n">
        <v>-1.657391657625</v>
      </c>
      <c r="O108" s="185" t="n">
        <v>-1.6270904683125</v>
      </c>
      <c r="P108" s="185" t="n">
        <v>-1.596789279</v>
      </c>
      <c r="Q108" s="185" t="n">
        <v>-1.5664880896875</v>
      </c>
      <c r="R108" s="185" t="n">
        <v>-1.536186900375</v>
      </c>
      <c r="S108" s="185" t="n">
        <v>-1.5058857110625</v>
      </c>
      <c r="T108" s="185" t="n">
        <v>-1.47558452175</v>
      </c>
      <c r="U108" s="185" t="n">
        <v>-1.4452833324375</v>
      </c>
      <c r="V108" s="186" t="n">
        <v>-1.414982143125</v>
      </c>
      <c r="W108" s="185" t="n">
        <v>-1.3846809538125</v>
      </c>
      <c r="X108" s="186" t="n">
        <v>-1.3543797645</v>
      </c>
      <c r="Y108" s="185" t="n">
        <v>-1.3240785751875</v>
      </c>
      <c r="Z108" s="186" t="n">
        <v>-1.293777385875</v>
      </c>
      <c r="AA108" s="185" t="n">
        <v>-1.2634761965625</v>
      </c>
      <c r="AB108" s="187" t="n">
        <v>-1.23317500725</v>
      </c>
      <c r="AC108" s="185" t="n">
        <v>-1.2028738179375</v>
      </c>
      <c r="AD108" s="187" t="n">
        <v>-1.172572628625</v>
      </c>
      <c r="AE108" s="185" t="n">
        <v>-1.1422714393125</v>
      </c>
      <c r="AF108" s="185" t="n">
        <v>-1.11197025</v>
      </c>
      <c r="AG108" s="190" t="n">
        <v>-1.083235125</v>
      </c>
      <c r="AH108" s="190" t="n">
        <v>-1.0545</v>
      </c>
      <c r="AI108" s="190" t="n">
        <v>-1.02725</v>
      </c>
      <c r="AJ108" s="190" t="n">
        <v>-1</v>
      </c>
      <c r="AK108" s="190" t="n">
        <v>-0.8</v>
      </c>
      <c r="AL108" s="190" t="n">
        <v>-0.6</v>
      </c>
      <c r="AM108" s="190" t="n">
        <v>-0.4</v>
      </c>
      <c r="AN108" s="190" t="n">
        <v>-0.2</v>
      </c>
      <c r="AO108" s="190" t="n">
        <v>0</v>
      </c>
      <c r="AP108" s="190" t="n">
        <v>0.2</v>
      </c>
      <c r="AQ108" s="190" t="n">
        <v>0.4</v>
      </c>
      <c r="AR108" s="190" t="n">
        <v>0.6</v>
      </c>
      <c r="AS108" s="190" t="n">
        <v>0.8</v>
      </c>
      <c r="AT108" s="190" t="n">
        <v>1</v>
      </c>
      <c r="AU108" s="190" t="n">
        <v>1.2</v>
      </c>
      <c r="AV108" s="190" t="n">
        <v>1.4</v>
      </c>
      <c r="AW108" s="190" t="n">
        <v>1.58</v>
      </c>
      <c r="AX108" s="190" t="n">
        <v>1.76</v>
      </c>
      <c r="AY108" s="190" t="n">
        <v>1.922</v>
      </c>
      <c r="AZ108" s="190" t="n">
        <v>2.084</v>
      </c>
      <c r="BA108" s="190" t="n">
        <v>2.2298</v>
      </c>
      <c r="BB108" s="190" t="n">
        <v>2.3756</v>
      </c>
      <c r="BC108" s="190" t="n">
        <v>2.50682</v>
      </c>
      <c r="BD108" s="190" t="n">
        <v>2.63804</v>
      </c>
      <c r="BE108" s="190" t="n">
        <v>2.756138</v>
      </c>
      <c r="BF108" s="190" t="n">
        <v>2.874236</v>
      </c>
      <c r="BG108" s="190" t="n">
        <v>2.9805242</v>
      </c>
      <c r="BH108" s="190" t="n">
        <v>3.0868124</v>
      </c>
      <c r="BI108" s="190" t="n">
        <v>3.18247178</v>
      </c>
      <c r="BJ108" s="190" t="n">
        <v>3.27813116</v>
      </c>
      <c r="BK108" s="190" t="n">
        <v>3.364224602</v>
      </c>
      <c r="BL108" s="190" t="n">
        <v>3.450318044</v>
      </c>
      <c r="BM108" s="190" t="n">
        <v>3.5278021418</v>
      </c>
      <c r="BN108" s="190" t="n">
        <v>3.6052862396</v>
      </c>
      <c r="BO108" s="190" t="n">
        <v>3.67502192762</v>
      </c>
      <c r="BP108" s="190" t="n">
        <v>3.74475761564</v>
      </c>
      <c r="BQ108" s="190" t="n">
        <v>3.81449330366</v>
      </c>
      <c r="BR108" s="190" t="n">
        <v>3.88422899168</v>
      </c>
      <c r="BS108" s="190" t="n">
        <v>3.9539646797</v>
      </c>
      <c r="BT108" s="190" t="n">
        <v>4.02370036772</v>
      </c>
      <c r="BU108" s="190" t="n">
        <v>4.09343605574</v>
      </c>
      <c r="BV108" s="190" t="n">
        <v>4.16317174376</v>
      </c>
      <c r="BW108" s="190" t="n">
        <v>4.23290743178</v>
      </c>
      <c r="BX108" s="190" t="n">
        <v>4.3026431198</v>
      </c>
      <c r="BY108" s="190" t="n">
        <v>4.37237880782</v>
      </c>
      <c r="BZ108" s="190" t="n">
        <v>4.44211449584</v>
      </c>
      <c r="CA108" s="190" t="n">
        <v>4.51185018386</v>
      </c>
      <c r="CB108" s="190" t="n">
        <v>4.58158587188</v>
      </c>
      <c r="CC108" s="190" t="n">
        <v>4.6513215599</v>
      </c>
      <c r="CD108" s="190" t="n">
        <v>4.72105724792</v>
      </c>
      <c r="CE108" s="190" t="n">
        <v>4.79079293594</v>
      </c>
      <c r="CF108" s="190" t="n">
        <v>4.86052862396</v>
      </c>
      <c r="CG108" s="190" t="n">
        <v>4.93026431198</v>
      </c>
      <c r="CH108" s="190" t="n">
        <v>5</v>
      </c>
      <c r="CI108" s="190" t="n">
        <v>5.06973568801999</v>
      </c>
      <c r="CJ108" s="190" t="n">
        <v>5.13947137603999</v>
      </c>
      <c r="CK108" s="190" t="n">
        <v>5.20920706405999</v>
      </c>
      <c r="CL108" s="190" t="n">
        <v>5.27894275207999</v>
      </c>
      <c r="CM108" s="190" t="n">
        <v>5.34867844009999</v>
      </c>
      <c r="CN108" s="190" t="n">
        <v>5.41841412811999</v>
      </c>
      <c r="CO108" s="190" t="n">
        <v>5.48814981613999</v>
      </c>
      <c r="CP108" s="190" t="n">
        <v>5.55788550415999</v>
      </c>
      <c r="CQ108" s="190" t="n">
        <v>5.62762119217999</v>
      </c>
      <c r="CR108" s="190" t="n">
        <v>5.69735688019999</v>
      </c>
      <c r="CS108" s="190" t="n">
        <v>5.76709256821999</v>
      </c>
      <c r="CT108" s="190" t="n">
        <v>5.83682825623999</v>
      </c>
      <c r="CU108" s="190" t="n">
        <v>5.90656394425999</v>
      </c>
      <c r="CV108" s="190" t="n">
        <v>5.97629963227999</v>
      </c>
      <c r="CW108" s="190" t="n">
        <v>6.04603532029999</v>
      </c>
      <c r="CX108" s="190" t="n">
        <v>6.11577100831999</v>
      </c>
      <c r="CY108" s="190" t="n">
        <v>6.18550669633999</v>
      </c>
      <c r="CZ108" s="190" t="n">
        <v>6.25524238435999</v>
      </c>
      <c r="DA108" s="190" t="n">
        <v>6.32497807237999</v>
      </c>
      <c r="DB108" s="190" t="n">
        <v>6.39471376039999</v>
      </c>
      <c r="DC108" s="190" t="n">
        <v>6.46444944841999</v>
      </c>
      <c r="DD108" s="190" t="n">
        <v>6.53418513643999</v>
      </c>
      <c r="DE108" s="190" t="n">
        <v>6.60392082445999</v>
      </c>
      <c r="DF108" s="190" t="n">
        <v>6.67365651247999</v>
      </c>
      <c r="DG108" s="190" t="n">
        <v>6.74339220049999</v>
      </c>
      <c r="DH108" s="190" t="n">
        <v>6.81312788851999</v>
      </c>
      <c r="DI108" s="190" t="n">
        <v>6.88286357653999</v>
      </c>
      <c r="DJ108" s="190" t="n">
        <v>6.95259926455999</v>
      </c>
      <c r="DK108" s="190" t="n">
        <v>7.02233495257999</v>
      </c>
      <c r="DL108" s="190" t="n">
        <v>7.09207064059999</v>
      </c>
      <c r="DM108" s="190" t="n">
        <v>7.16180632861999</v>
      </c>
      <c r="DN108" s="190" t="n">
        <v>7.23154201663999</v>
      </c>
      <c r="DO108" s="190" t="n">
        <v>7.30127770465999</v>
      </c>
      <c r="DP108" s="190" t="n">
        <v>7.37101339267999</v>
      </c>
      <c r="DQ108" s="190" t="n">
        <v>7.44074908069999</v>
      </c>
      <c r="DR108" s="190" t="n">
        <v>7.51048476871999</v>
      </c>
      <c r="DS108" s="190" t="n">
        <v>7.58022045673999</v>
      </c>
      <c r="DT108" s="190" t="n">
        <v>7.64995614475999</v>
      </c>
      <c r="DU108" s="190" t="n">
        <v>7.71969183277999</v>
      </c>
      <c r="DV108" s="190" t="n">
        <v>7.78942752079998</v>
      </c>
      <c r="DW108" s="190" t="n">
        <v>7.85916320881998</v>
      </c>
      <c r="DX108" s="190" t="n">
        <v>7.92889889683998</v>
      </c>
      <c r="DY108" s="190" t="n">
        <v>7.99863458485998</v>
      </c>
      <c r="DZ108" s="190" t="n">
        <v>8.06837027287998</v>
      </c>
      <c r="EA108" s="190" t="n">
        <v>8.13810596089998</v>
      </c>
      <c r="EB108" s="190" t="n">
        <v>8.20784164891998</v>
      </c>
      <c r="EC108" s="190" t="n">
        <v>8.27757733693998</v>
      </c>
      <c r="ED108" s="190" t="n">
        <v>8.34731302495998</v>
      </c>
      <c r="EE108" s="190" t="n">
        <v>8.41704871297998</v>
      </c>
      <c r="EF108" s="190" t="n">
        <v>8.48678440099998</v>
      </c>
      <c r="EG108" s="190" t="n">
        <v>8.55652008901998</v>
      </c>
      <c r="EH108" s="190" t="n">
        <v>8.62625577703998</v>
      </c>
      <c r="EI108" s="190" t="n">
        <v>8.69599146505998</v>
      </c>
      <c r="EJ108" s="190" t="n">
        <v>8.76572715307998</v>
      </c>
      <c r="EK108" s="190" t="n">
        <v>8.83546284109998</v>
      </c>
      <c r="EL108" s="180" t="n">
        <v>8.90519852911998</v>
      </c>
      <c r="EM108" s="180" t="n">
        <v>8.97493421713998</v>
      </c>
      <c r="EN108" s="180" t="n">
        <v>9.04466990515998</v>
      </c>
      <c r="EO108" s="180" t="n">
        <v>9.11440559317998</v>
      </c>
      <c r="EP108" s="180" t="n">
        <v>9.18414128119998</v>
      </c>
      <c r="EQ108" s="180" t="n">
        <v>9.25387696921998</v>
      </c>
      <c r="ER108" s="180" t="n">
        <v>9.32361265723998</v>
      </c>
      <c r="ES108" s="180" t="n">
        <v>9.39334834525998</v>
      </c>
      <c r="ET108" s="180" t="n">
        <v>9.46308403327998</v>
      </c>
      <c r="EU108" s="180" t="n">
        <v>9.53281972129998</v>
      </c>
      <c r="EV108" s="180" t="n">
        <v>9.60255540931998</v>
      </c>
      <c r="EW108" s="180" t="n">
        <v>9.67229109733998</v>
      </c>
      <c r="EX108" s="180" t="n">
        <v>9.74202678535998</v>
      </c>
      <c r="EY108" s="180" t="n">
        <v>9.81176247337998</v>
      </c>
      <c r="EZ108" s="180" t="n">
        <v>9.88149816139998</v>
      </c>
      <c r="FA108" s="180" t="n">
        <v>9.95123384941998</v>
      </c>
      <c r="FB108" s="180" t="n">
        <v>10.02096953744</v>
      </c>
      <c r="FC108" s="180" t="n">
        <v>10.09070522546</v>
      </c>
      <c r="FD108" s="180" t="n">
        <v>10.16044091348</v>
      </c>
      <c r="FE108" s="180" t="n">
        <v>10.2301766015</v>
      </c>
      <c r="FF108" s="180" t="n">
        <v>10.29991228952</v>
      </c>
      <c r="FG108" s="180" t="n">
        <v>10.36964797754</v>
      </c>
      <c r="FH108" s="180" t="n">
        <v>10.43938366556</v>
      </c>
      <c r="FI108" s="180" t="n">
        <v>10.50911935358</v>
      </c>
      <c r="FJ108" s="180" t="n">
        <v>10.5788550416</v>
      </c>
      <c r="FK108" s="180" t="n">
        <v>10.64859072962</v>
      </c>
      <c r="FL108" s="180" t="n">
        <v>10.71832641764</v>
      </c>
      <c r="FM108" s="180" t="n">
        <v>10.78806210566</v>
      </c>
      <c r="FN108" s="180" t="n">
        <v>10.85779779368</v>
      </c>
      <c r="FO108" s="180" t="n">
        <v>10.9275334817</v>
      </c>
      <c r="FP108" s="180" t="n">
        <v>10.99726916972</v>
      </c>
      <c r="FQ108" s="180" t="n">
        <v>11.06700485774</v>
      </c>
      <c r="FR108" s="180" t="n">
        <v>11.13674054576</v>
      </c>
      <c r="FS108" s="180" t="n">
        <v>11.20647623378</v>
      </c>
      <c r="FT108" s="180" t="n">
        <v>11.2762119218</v>
      </c>
      <c r="FU108" s="180" t="n">
        <v>11.34594760982</v>
      </c>
      <c r="FV108" s="180" t="n">
        <v>11.41568329784</v>
      </c>
      <c r="FW108" s="180" t="n">
        <v>11.48541898586</v>
      </c>
      <c r="FX108" s="180" t="n">
        <v>11.55515467388</v>
      </c>
      <c r="FY108" s="180" t="n">
        <v>11.6248903619</v>
      </c>
      <c r="FZ108" s="180" t="n">
        <v>11.69462604992</v>
      </c>
      <c r="GA108" s="180" t="n">
        <v>11.76436173794</v>
      </c>
      <c r="GB108" s="180" t="n">
        <v>11.83409742596</v>
      </c>
      <c r="GC108" s="180" t="n">
        <v>11.90383311398</v>
      </c>
      <c r="GD108" s="180" t="n">
        <v>11.973568802</v>
      </c>
      <c r="GE108" s="180" t="n">
        <v>12.04330449002</v>
      </c>
      <c r="GF108" s="180" t="n">
        <v>12.11304017804</v>
      </c>
      <c r="GG108" s="180" t="n">
        <v>12.18277586606</v>
      </c>
      <c r="GH108" s="180" t="n">
        <v>12.25251155408</v>
      </c>
      <c r="GI108" s="180" t="n">
        <v>12.3222472421</v>
      </c>
      <c r="GJ108" s="180" t="n">
        <v>12.39198293012</v>
      </c>
      <c r="GK108" s="180" t="n">
        <v>12.46171861814</v>
      </c>
      <c r="GL108" s="180" t="n">
        <v>12.53145430616</v>
      </c>
      <c r="GM108" s="180" t="n">
        <v>12.60118999418</v>
      </c>
      <c r="GN108" s="180" t="n">
        <v>12.6709256822</v>
      </c>
      <c r="GO108" s="180" t="n">
        <v>12.74066137022</v>
      </c>
      <c r="GP108" s="180" t="n">
        <v>12.81039705824</v>
      </c>
      <c r="GQ108" s="180" t="n">
        <v>12.88013274626</v>
      </c>
      <c r="GR108" s="180" t="n">
        <v>12.94986843428</v>
      </c>
      <c r="GS108" s="180" t="n">
        <v>13.0196041223</v>
      </c>
      <c r="GT108" s="180" t="n">
        <v>13.08933981032</v>
      </c>
      <c r="GU108" s="180" t="n">
        <v>13.15907549834</v>
      </c>
      <c r="GV108" s="180" t="n">
        <v>13.22881118636</v>
      </c>
      <c r="GW108" s="180" t="n">
        <v>13.29854687438</v>
      </c>
      <c r="GX108" s="180" t="n">
        <v>13.3682825624</v>
      </c>
      <c r="GY108" s="180" t="n">
        <v>13.43801825042</v>
      </c>
      <c r="GZ108" s="180" t="n">
        <v>13.50775393844</v>
      </c>
      <c r="HA108" s="180" t="n">
        <v>13.57748962646</v>
      </c>
      <c r="HB108" s="180" t="n">
        <v>13.64722531448</v>
      </c>
      <c r="HC108" s="180" t="n">
        <v>13.7169610025</v>
      </c>
      <c r="HD108" s="180" t="n">
        <v>13.78669669052</v>
      </c>
      <c r="HE108" s="180" t="n">
        <v>13.85643237854</v>
      </c>
      <c r="HF108" s="180" t="n">
        <v>13.92616806656</v>
      </c>
      <c r="HG108" s="180" t="n">
        <v>13.99590375458</v>
      </c>
      <c r="HH108" s="180" t="n">
        <v>14.0656394426</v>
      </c>
      <c r="HI108" s="180" t="n">
        <v>14.13537513062</v>
      </c>
      <c r="HJ108" s="180" t="n">
        <v>14.20511081864</v>
      </c>
      <c r="HK108" s="180" t="n">
        <v>14.27484650666</v>
      </c>
      <c r="HL108" s="180" t="n">
        <v>14.34458219468</v>
      </c>
      <c r="HM108" s="180" t="n">
        <v>14.4143178827</v>
      </c>
      <c r="HN108" s="180" t="n">
        <v>14.48405357072</v>
      </c>
      <c r="HO108" s="180" t="n">
        <v>14.55378925874</v>
      </c>
      <c r="HP108" s="180" t="n">
        <v>14.62352494676</v>
      </c>
      <c r="HQ108" s="180" t="n">
        <v>14.69326063478</v>
      </c>
      <c r="HR108" s="180" t="n">
        <v>14.7629963228</v>
      </c>
      <c r="HS108" s="180" t="n">
        <v>14.83273201082</v>
      </c>
      <c r="HT108" s="180" t="n">
        <v>14.90246769884</v>
      </c>
      <c r="HU108" s="180" t="n">
        <v>14.97220338686</v>
      </c>
      <c r="HV108" s="180" t="n">
        <v>15.04193907488</v>
      </c>
      <c r="HW108" s="180" t="n">
        <v>15.1116747629</v>
      </c>
      <c r="HX108" s="180" t="n">
        <v>15.18141045092</v>
      </c>
      <c r="HY108" s="180" t="n">
        <v>15.25114613894</v>
      </c>
      <c r="HZ108" s="180" t="n">
        <v>15.32088182696</v>
      </c>
      <c r="IA108" s="180" t="n">
        <v>15.39061751498</v>
      </c>
      <c r="IB108" s="180" t="n">
        <v>15.460353203</v>
      </c>
      <c r="IC108" s="180" t="n">
        <v>15.53008889102</v>
      </c>
      <c r="ID108" s="180" t="n">
        <v>15.59982457904</v>
      </c>
      <c r="IE108" s="180" t="n">
        <v>15.66956026706</v>
      </c>
      <c r="IF108" s="180" t="n">
        <v>15.73929595508</v>
      </c>
      <c r="IG108" s="180" t="n">
        <v>15.8090316431</v>
      </c>
      <c r="IH108" s="180" t="n">
        <v>15.87876733112</v>
      </c>
      <c r="II108" s="180" t="n">
        <v>15.94850301914</v>
      </c>
      <c r="IJ108" s="180" t="n">
        <v>16.01823870716</v>
      </c>
      <c r="IK108" s="180" t="n">
        <v>16.08797439518</v>
      </c>
      <c r="IL108" s="180" t="n">
        <v>16.1577100832</v>
      </c>
      <c r="IM108" s="180" t="n">
        <v>16.22744577122</v>
      </c>
      <c r="IN108" s="180" t="n">
        <v>16.29718145924</v>
      </c>
      <c r="IO108" s="180" t="n">
        <v>16.36691714726</v>
      </c>
      <c r="IP108" s="180" t="n">
        <v>16.43665283528</v>
      </c>
      <c r="IQ108" s="180" t="n">
        <v>16.5063885233</v>
      </c>
      <c r="IR108" s="180" t="n">
        <v>16.57612421132</v>
      </c>
      <c r="IS108" s="180" t="n">
        <v>16.64585989934</v>
      </c>
      <c r="IT108" s="180" t="n">
        <v>16.71559558736</v>
      </c>
      <c r="IU108" s="180" t="n">
        <v>16.78533127538</v>
      </c>
      <c r="IV108" s="180" t="n">
        <v>16.8550669634</v>
      </c>
    </row>
    <row r="109" customFormat="false" ht="12.75" hidden="false" customHeight="false" outlineLevel="0" collapsed="false">
      <c r="A109" s="189" t="n">
        <v>39995</v>
      </c>
      <c r="B109" s="185" t="n">
        <v>-2.021005929375</v>
      </c>
      <c r="C109" s="185" t="n">
        <v>-1.9907047400625</v>
      </c>
      <c r="D109" s="185" t="n">
        <v>-1.96040355075</v>
      </c>
      <c r="E109" s="185" t="n">
        <v>-1.9301023614375</v>
      </c>
      <c r="F109" s="185" t="n">
        <v>-1.899801172125</v>
      </c>
      <c r="G109" s="185" t="n">
        <v>-1.8694999828125</v>
      </c>
      <c r="H109" s="185" t="n">
        <v>-1.8391987935</v>
      </c>
      <c r="I109" s="185" t="n">
        <v>-1.8088976041875</v>
      </c>
      <c r="J109" s="185" t="n">
        <v>-1.778596414875</v>
      </c>
      <c r="K109" s="185" t="n">
        <v>-1.7482952255625</v>
      </c>
      <c r="L109" s="185" t="n">
        <v>-1.71799403625</v>
      </c>
      <c r="M109" s="185" t="n">
        <v>-1.6876928469375</v>
      </c>
      <c r="N109" s="185" t="n">
        <v>-1.657391657625</v>
      </c>
      <c r="O109" s="185" t="n">
        <v>-1.6270904683125</v>
      </c>
      <c r="P109" s="185" t="n">
        <v>-1.596789279</v>
      </c>
      <c r="Q109" s="185" t="n">
        <v>-1.5664880896875</v>
      </c>
      <c r="R109" s="185" t="n">
        <v>-1.536186900375</v>
      </c>
      <c r="S109" s="185" t="n">
        <v>-1.5058857110625</v>
      </c>
      <c r="T109" s="185" t="n">
        <v>-1.47558452175</v>
      </c>
      <c r="U109" s="185" t="n">
        <v>-1.4452833324375</v>
      </c>
      <c r="V109" s="186" t="n">
        <v>-1.414982143125</v>
      </c>
      <c r="W109" s="185" t="n">
        <v>-1.3846809538125</v>
      </c>
      <c r="X109" s="186" t="n">
        <v>-1.3543797645</v>
      </c>
      <c r="Y109" s="185" t="n">
        <v>-1.3240785751875</v>
      </c>
      <c r="Z109" s="186" t="n">
        <v>-1.293777385875</v>
      </c>
      <c r="AA109" s="185" t="n">
        <v>-1.2634761965625</v>
      </c>
      <c r="AB109" s="187" t="n">
        <v>-1.23317500725</v>
      </c>
      <c r="AC109" s="185" t="n">
        <v>-1.2028738179375</v>
      </c>
      <c r="AD109" s="187" t="n">
        <v>-1.172572628625</v>
      </c>
      <c r="AE109" s="185" t="n">
        <v>-1.1422714393125</v>
      </c>
      <c r="AF109" s="185" t="n">
        <v>-1.11197025</v>
      </c>
      <c r="AG109" s="190" t="n">
        <v>-1.083235125</v>
      </c>
      <c r="AH109" s="190" t="n">
        <v>-1.0545</v>
      </c>
      <c r="AI109" s="190" t="n">
        <v>-1.02725</v>
      </c>
      <c r="AJ109" s="190" t="n">
        <v>-1</v>
      </c>
      <c r="AK109" s="190" t="n">
        <v>-0.8</v>
      </c>
      <c r="AL109" s="190" t="n">
        <v>-0.6</v>
      </c>
      <c r="AM109" s="190" t="n">
        <v>-0.4</v>
      </c>
      <c r="AN109" s="190" t="n">
        <v>-0.2</v>
      </c>
      <c r="AO109" s="190" t="n">
        <v>0</v>
      </c>
      <c r="AP109" s="190" t="n">
        <v>0.2</v>
      </c>
      <c r="AQ109" s="190" t="n">
        <v>0.4</v>
      </c>
      <c r="AR109" s="190" t="n">
        <v>0.6</v>
      </c>
      <c r="AS109" s="190" t="n">
        <v>0.8</v>
      </c>
      <c r="AT109" s="190" t="n">
        <v>1</v>
      </c>
      <c r="AU109" s="190" t="n">
        <v>1.2</v>
      </c>
      <c r="AV109" s="190" t="n">
        <v>1.4</v>
      </c>
      <c r="AW109" s="190" t="n">
        <v>1.58</v>
      </c>
      <c r="AX109" s="190" t="n">
        <v>1.76</v>
      </c>
      <c r="AY109" s="190" t="n">
        <v>1.922</v>
      </c>
      <c r="AZ109" s="190" t="n">
        <v>2.084</v>
      </c>
      <c r="BA109" s="190" t="n">
        <v>2.2298</v>
      </c>
      <c r="BB109" s="190" t="n">
        <v>2.3756</v>
      </c>
      <c r="BC109" s="190" t="n">
        <v>2.50682</v>
      </c>
      <c r="BD109" s="190" t="n">
        <v>2.63804</v>
      </c>
      <c r="BE109" s="190" t="n">
        <v>2.756138</v>
      </c>
      <c r="BF109" s="190" t="n">
        <v>2.874236</v>
      </c>
      <c r="BG109" s="190" t="n">
        <v>2.9805242</v>
      </c>
      <c r="BH109" s="190" t="n">
        <v>3.0868124</v>
      </c>
      <c r="BI109" s="190" t="n">
        <v>3.18247178</v>
      </c>
      <c r="BJ109" s="190" t="n">
        <v>3.27813116</v>
      </c>
      <c r="BK109" s="190" t="n">
        <v>3.364224602</v>
      </c>
      <c r="BL109" s="190" t="n">
        <v>3.450318044</v>
      </c>
      <c r="BM109" s="190" t="n">
        <v>3.5278021418</v>
      </c>
      <c r="BN109" s="190" t="n">
        <v>3.6052862396</v>
      </c>
      <c r="BO109" s="190" t="n">
        <v>3.67502192762</v>
      </c>
      <c r="BP109" s="190" t="n">
        <v>3.74475761564</v>
      </c>
      <c r="BQ109" s="190" t="n">
        <v>3.81449330366</v>
      </c>
      <c r="BR109" s="190" t="n">
        <v>3.88422899168</v>
      </c>
      <c r="BS109" s="190" t="n">
        <v>3.9539646797</v>
      </c>
      <c r="BT109" s="190" t="n">
        <v>4.02370036772</v>
      </c>
      <c r="BU109" s="190" t="n">
        <v>4.09343605574</v>
      </c>
      <c r="BV109" s="190" t="n">
        <v>4.16317174376</v>
      </c>
      <c r="BW109" s="190" t="n">
        <v>4.23290743178</v>
      </c>
      <c r="BX109" s="190" t="n">
        <v>4.3026431198</v>
      </c>
      <c r="BY109" s="190" t="n">
        <v>4.37237880782</v>
      </c>
      <c r="BZ109" s="190" t="n">
        <v>4.44211449584</v>
      </c>
      <c r="CA109" s="190" t="n">
        <v>4.51185018386</v>
      </c>
      <c r="CB109" s="190" t="n">
        <v>4.58158587188</v>
      </c>
      <c r="CC109" s="190" t="n">
        <v>4.6513215599</v>
      </c>
      <c r="CD109" s="190" t="n">
        <v>4.72105724792</v>
      </c>
      <c r="CE109" s="190" t="n">
        <v>4.79079293594</v>
      </c>
      <c r="CF109" s="190" t="n">
        <v>4.86052862396</v>
      </c>
      <c r="CG109" s="190" t="n">
        <v>4.93026431198</v>
      </c>
      <c r="CH109" s="190" t="n">
        <v>5</v>
      </c>
      <c r="CI109" s="190" t="n">
        <v>5.06973568801999</v>
      </c>
      <c r="CJ109" s="190" t="n">
        <v>5.13947137603999</v>
      </c>
      <c r="CK109" s="190" t="n">
        <v>5.20920706405999</v>
      </c>
      <c r="CL109" s="190" t="n">
        <v>5.27894275207999</v>
      </c>
      <c r="CM109" s="190" t="n">
        <v>5.34867844009999</v>
      </c>
      <c r="CN109" s="190" t="n">
        <v>5.41841412811999</v>
      </c>
      <c r="CO109" s="190" t="n">
        <v>5.48814981613999</v>
      </c>
      <c r="CP109" s="190" t="n">
        <v>5.55788550415999</v>
      </c>
      <c r="CQ109" s="190" t="n">
        <v>5.62762119217999</v>
      </c>
      <c r="CR109" s="190" t="n">
        <v>5.69735688019999</v>
      </c>
      <c r="CS109" s="190" t="n">
        <v>5.76709256821999</v>
      </c>
      <c r="CT109" s="190" t="n">
        <v>5.83682825623999</v>
      </c>
      <c r="CU109" s="190" t="n">
        <v>5.90656394425999</v>
      </c>
      <c r="CV109" s="190" t="n">
        <v>5.97629963227999</v>
      </c>
      <c r="CW109" s="190" t="n">
        <v>6.04603532029999</v>
      </c>
      <c r="CX109" s="190" t="n">
        <v>6.11577100831999</v>
      </c>
      <c r="CY109" s="190" t="n">
        <v>6.18550669633999</v>
      </c>
      <c r="CZ109" s="190" t="n">
        <v>6.25524238435999</v>
      </c>
      <c r="DA109" s="190" t="n">
        <v>6.32497807237999</v>
      </c>
      <c r="DB109" s="190" t="n">
        <v>6.39471376039999</v>
      </c>
      <c r="DC109" s="190" t="n">
        <v>6.46444944841999</v>
      </c>
      <c r="DD109" s="190" t="n">
        <v>6.53418513643999</v>
      </c>
      <c r="DE109" s="190" t="n">
        <v>6.60392082445999</v>
      </c>
      <c r="DF109" s="190" t="n">
        <v>6.67365651247999</v>
      </c>
      <c r="DG109" s="190" t="n">
        <v>6.74339220049999</v>
      </c>
      <c r="DH109" s="190" t="n">
        <v>6.81312788851999</v>
      </c>
      <c r="DI109" s="190" t="n">
        <v>6.88286357653999</v>
      </c>
      <c r="DJ109" s="190" t="n">
        <v>6.95259926455999</v>
      </c>
      <c r="DK109" s="190" t="n">
        <v>7.02233495257999</v>
      </c>
      <c r="DL109" s="190" t="n">
        <v>7.09207064059999</v>
      </c>
      <c r="DM109" s="190" t="n">
        <v>7.16180632861999</v>
      </c>
      <c r="DN109" s="190" t="n">
        <v>7.23154201663999</v>
      </c>
      <c r="DO109" s="190" t="n">
        <v>7.30127770465999</v>
      </c>
      <c r="DP109" s="190" t="n">
        <v>7.37101339267999</v>
      </c>
      <c r="DQ109" s="190" t="n">
        <v>7.44074908069999</v>
      </c>
      <c r="DR109" s="190" t="n">
        <v>7.51048476871999</v>
      </c>
      <c r="DS109" s="190" t="n">
        <v>7.58022045673999</v>
      </c>
      <c r="DT109" s="190" t="n">
        <v>7.64995614475999</v>
      </c>
      <c r="DU109" s="190" t="n">
        <v>7.71969183277999</v>
      </c>
      <c r="DV109" s="190" t="n">
        <v>7.78942752079998</v>
      </c>
      <c r="DW109" s="190" t="n">
        <v>7.85916320881998</v>
      </c>
      <c r="DX109" s="190" t="n">
        <v>7.92889889683998</v>
      </c>
      <c r="DY109" s="190" t="n">
        <v>7.99863458485998</v>
      </c>
      <c r="DZ109" s="190" t="n">
        <v>8.06837027287998</v>
      </c>
      <c r="EA109" s="190" t="n">
        <v>8.13810596089998</v>
      </c>
      <c r="EB109" s="190" t="n">
        <v>8.20784164891998</v>
      </c>
      <c r="EC109" s="190" t="n">
        <v>8.27757733693998</v>
      </c>
      <c r="ED109" s="190" t="n">
        <v>8.34731302495998</v>
      </c>
      <c r="EE109" s="190" t="n">
        <v>8.41704871297998</v>
      </c>
      <c r="EF109" s="190" t="n">
        <v>8.48678440099998</v>
      </c>
      <c r="EG109" s="190" t="n">
        <v>8.55652008901998</v>
      </c>
      <c r="EH109" s="190" t="n">
        <v>8.62625577703998</v>
      </c>
      <c r="EI109" s="190" t="n">
        <v>8.69599146505998</v>
      </c>
      <c r="EJ109" s="190" t="n">
        <v>8.76572715307998</v>
      </c>
      <c r="EK109" s="190" t="n">
        <v>8.83546284109998</v>
      </c>
      <c r="EL109" s="180" t="n">
        <v>8.90519852911998</v>
      </c>
      <c r="EM109" s="180" t="n">
        <v>8.97493421713998</v>
      </c>
      <c r="EN109" s="180" t="n">
        <v>9.04466990515998</v>
      </c>
      <c r="EO109" s="180" t="n">
        <v>9.11440559317998</v>
      </c>
      <c r="EP109" s="180" t="n">
        <v>9.18414128119998</v>
      </c>
      <c r="EQ109" s="180" t="n">
        <v>9.25387696921998</v>
      </c>
      <c r="ER109" s="180" t="n">
        <v>9.32361265723998</v>
      </c>
      <c r="ES109" s="180" t="n">
        <v>9.39334834525998</v>
      </c>
      <c r="ET109" s="180" t="n">
        <v>9.46308403327998</v>
      </c>
      <c r="EU109" s="180" t="n">
        <v>9.53281972129998</v>
      </c>
      <c r="EV109" s="180" t="n">
        <v>9.60255540931998</v>
      </c>
      <c r="EW109" s="180" t="n">
        <v>9.67229109733998</v>
      </c>
      <c r="EX109" s="180" t="n">
        <v>9.74202678535998</v>
      </c>
      <c r="EY109" s="180" t="n">
        <v>9.81176247337998</v>
      </c>
      <c r="EZ109" s="180" t="n">
        <v>9.88149816139998</v>
      </c>
      <c r="FA109" s="180" t="n">
        <v>9.95123384941998</v>
      </c>
      <c r="FB109" s="180" t="n">
        <v>10.02096953744</v>
      </c>
      <c r="FC109" s="180" t="n">
        <v>10.09070522546</v>
      </c>
      <c r="FD109" s="180" t="n">
        <v>10.16044091348</v>
      </c>
      <c r="FE109" s="180" t="n">
        <v>10.2301766015</v>
      </c>
      <c r="FF109" s="180" t="n">
        <v>10.29991228952</v>
      </c>
      <c r="FG109" s="180" t="n">
        <v>10.36964797754</v>
      </c>
      <c r="FH109" s="180" t="n">
        <v>10.43938366556</v>
      </c>
      <c r="FI109" s="180" t="n">
        <v>10.50911935358</v>
      </c>
      <c r="FJ109" s="180" t="n">
        <v>10.5788550416</v>
      </c>
      <c r="FK109" s="180" t="n">
        <v>10.64859072962</v>
      </c>
      <c r="FL109" s="180" t="n">
        <v>10.71832641764</v>
      </c>
      <c r="FM109" s="180" t="n">
        <v>10.78806210566</v>
      </c>
      <c r="FN109" s="180" t="n">
        <v>10.85779779368</v>
      </c>
      <c r="FO109" s="180" t="n">
        <v>10.9275334817</v>
      </c>
      <c r="FP109" s="180" t="n">
        <v>10.99726916972</v>
      </c>
      <c r="FQ109" s="180" t="n">
        <v>11.06700485774</v>
      </c>
      <c r="FR109" s="180" t="n">
        <v>11.13674054576</v>
      </c>
      <c r="FS109" s="180" t="n">
        <v>11.20647623378</v>
      </c>
      <c r="FT109" s="180" t="n">
        <v>11.2762119218</v>
      </c>
      <c r="FU109" s="180" t="n">
        <v>11.34594760982</v>
      </c>
      <c r="FV109" s="180" t="n">
        <v>11.41568329784</v>
      </c>
      <c r="FW109" s="180" t="n">
        <v>11.48541898586</v>
      </c>
      <c r="FX109" s="180" t="n">
        <v>11.55515467388</v>
      </c>
      <c r="FY109" s="180" t="n">
        <v>11.6248903619</v>
      </c>
      <c r="FZ109" s="180" t="n">
        <v>11.69462604992</v>
      </c>
      <c r="GA109" s="180" t="n">
        <v>11.76436173794</v>
      </c>
      <c r="GB109" s="180" t="n">
        <v>11.83409742596</v>
      </c>
      <c r="GC109" s="180" t="n">
        <v>11.90383311398</v>
      </c>
      <c r="GD109" s="180" t="n">
        <v>11.973568802</v>
      </c>
      <c r="GE109" s="180" t="n">
        <v>12.04330449002</v>
      </c>
      <c r="GF109" s="180" t="n">
        <v>12.11304017804</v>
      </c>
      <c r="GG109" s="180" t="n">
        <v>12.18277586606</v>
      </c>
      <c r="GH109" s="180" t="n">
        <v>12.25251155408</v>
      </c>
      <c r="GI109" s="180" t="n">
        <v>12.3222472421</v>
      </c>
      <c r="GJ109" s="180" t="n">
        <v>12.39198293012</v>
      </c>
      <c r="GK109" s="180" t="n">
        <v>12.46171861814</v>
      </c>
      <c r="GL109" s="180" t="n">
        <v>12.53145430616</v>
      </c>
      <c r="GM109" s="180" t="n">
        <v>12.60118999418</v>
      </c>
      <c r="GN109" s="180" t="n">
        <v>12.6709256822</v>
      </c>
      <c r="GO109" s="180" t="n">
        <v>12.74066137022</v>
      </c>
      <c r="GP109" s="180" t="n">
        <v>12.81039705824</v>
      </c>
      <c r="GQ109" s="180" t="n">
        <v>12.88013274626</v>
      </c>
      <c r="GR109" s="180" t="n">
        <v>12.94986843428</v>
      </c>
      <c r="GS109" s="180" t="n">
        <v>13.0196041223</v>
      </c>
      <c r="GT109" s="180" t="n">
        <v>13.08933981032</v>
      </c>
      <c r="GU109" s="180" t="n">
        <v>13.15907549834</v>
      </c>
      <c r="GV109" s="180" t="n">
        <v>13.22881118636</v>
      </c>
      <c r="GW109" s="180" t="n">
        <v>13.29854687438</v>
      </c>
      <c r="GX109" s="180" t="n">
        <v>13.3682825624</v>
      </c>
      <c r="GY109" s="180" t="n">
        <v>13.43801825042</v>
      </c>
      <c r="GZ109" s="180" t="n">
        <v>13.50775393844</v>
      </c>
      <c r="HA109" s="180" t="n">
        <v>13.57748962646</v>
      </c>
      <c r="HB109" s="180" t="n">
        <v>13.64722531448</v>
      </c>
      <c r="HC109" s="180" t="n">
        <v>13.7169610025</v>
      </c>
      <c r="HD109" s="180" t="n">
        <v>13.78669669052</v>
      </c>
      <c r="HE109" s="180" t="n">
        <v>13.85643237854</v>
      </c>
      <c r="HF109" s="180" t="n">
        <v>13.92616806656</v>
      </c>
      <c r="HG109" s="180" t="n">
        <v>13.99590375458</v>
      </c>
      <c r="HH109" s="180" t="n">
        <v>14.0656394426</v>
      </c>
      <c r="HI109" s="180" t="n">
        <v>14.13537513062</v>
      </c>
      <c r="HJ109" s="180" t="n">
        <v>14.20511081864</v>
      </c>
      <c r="HK109" s="180" t="n">
        <v>14.27484650666</v>
      </c>
      <c r="HL109" s="180" t="n">
        <v>14.34458219468</v>
      </c>
      <c r="HM109" s="180" t="n">
        <v>14.4143178827</v>
      </c>
      <c r="HN109" s="180" t="n">
        <v>14.48405357072</v>
      </c>
      <c r="HO109" s="180" t="n">
        <v>14.55378925874</v>
      </c>
      <c r="HP109" s="180" t="n">
        <v>14.62352494676</v>
      </c>
      <c r="HQ109" s="180" t="n">
        <v>14.69326063478</v>
      </c>
      <c r="HR109" s="180" t="n">
        <v>14.7629963228</v>
      </c>
      <c r="HS109" s="180" t="n">
        <v>14.83273201082</v>
      </c>
      <c r="HT109" s="180" t="n">
        <v>14.90246769884</v>
      </c>
      <c r="HU109" s="180" t="n">
        <v>14.97220338686</v>
      </c>
      <c r="HV109" s="180" t="n">
        <v>15.04193907488</v>
      </c>
      <c r="HW109" s="180" t="n">
        <v>15.1116747629</v>
      </c>
      <c r="HX109" s="180" t="n">
        <v>15.18141045092</v>
      </c>
      <c r="HY109" s="180" t="n">
        <v>15.25114613894</v>
      </c>
      <c r="HZ109" s="180" t="n">
        <v>15.32088182696</v>
      </c>
      <c r="IA109" s="180" t="n">
        <v>15.39061751498</v>
      </c>
      <c r="IB109" s="180" t="n">
        <v>15.460353203</v>
      </c>
      <c r="IC109" s="180" t="n">
        <v>15.53008889102</v>
      </c>
      <c r="ID109" s="180" t="n">
        <v>15.59982457904</v>
      </c>
      <c r="IE109" s="180" t="n">
        <v>15.66956026706</v>
      </c>
      <c r="IF109" s="180" t="n">
        <v>15.73929595508</v>
      </c>
      <c r="IG109" s="180" t="n">
        <v>15.8090316431</v>
      </c>
      <c r="IH109" s="180" t="n">
        <v>15.87876733112</v>
      </c>
      <c r="II109" s="180" t="n">
        <v>15.94850301914</v>
      </c>
      <c r="IJ109" s="180" t="n">
        <v>16.01823870716</v>
      </c>
      <c r="IK109" s="180" t="n">
        <v>16.08797439518</v>
      </c>
      <c r="IL109" s="180" t="n">
        <v>16.1577100832</v>
      </c>
      <c r="IM109" s="180" t="n">
        <v>16.22744577122</v>
      </c>
      <c r="IN109" s="180" t="n">
        <v>16.29718145924</v>
      </c>
      <c r="IO109" s="180" t="n">
        <v>16.36691714726</v>
      </c>
      <c r="IP109" s="180" t="n">
        <v>16.43665283528</v>
      </c>
      <c r="IQ109" s="180" t="n">
        <v>16.5063885233</v>
      </c>
      <c r="IR109" s="180" t="n">
        <v>16.57612421132</v>
      </c>
      <c r="IS109" s="180" t="n">
        <v>16.64585989934</v>
      </c>
      <c r="IT109" s="180" t="n">
        <v>16.71559558736</v>
      </c>
      <c r="IU109" s="180" t="n">
        <v>16.78533127538</v>
      </c>
      <c r="IV109" s="180" t="n">
        <v>16.8550669634</v>
      </c>
    </row>
    <row r="110" customFormat="false" ht="12.75" hidden="false" customHeight="false" outlineLevel="0" collapsed="false">
      <c r="A110" s="189" t="n">
        <v>40026</v>
      </c>
      <c r="B110" s="185" t="n">
        <v>-2.021005929375</v>
      </c>
      <c r="C110" s="185" t="n">
        <v>-1.9907047400625</v>
      </c>
      <c r="D110" s="185" t="n">
        <v>-1.96040355075</v>
      </c>
      <c r="E110" s="185" t="n">
        <v>-1.9301023614375</v>
      </c>
      <c r="F110" s="185" t="n">
        <v>-1.899801172125</v>
      </c>
      <c r="G110" s="185" t="n">
        <v>-1.8694999828125</v>
      </c>
      <c r="H110" s="185" t="n">
        <v>-1.8391987935</v>
      </c>
      <c r="I110" s="185" t="n">
        <v>-1.8088976041875</v>
      </c>
      <c r="J110" s="185" t="n">
        <v>-1.778596414875</v>
      </c>
      <c r="K110" s="185" t="n">
        <v>-1.7482952255625</v>
      </c>
      <c r="L110" s="185" t="n">
        <v>-1.71799403625</v>
      </c>
      <c r="M110" s="185" t="n">
        <v>-1.6876928469375</v>
      </c>
      <c r="N110" s="185" t="n">
        <v>-1.657391657625</v>
      </c>
      <c r="O110" s="185" t="n">
        <v>-1.6270904683125</v>
      </c>
      <c r="P110" s="185" t="n">
        <v>-1.596789279</v>
      </c>
      <c r="Q110" s="185" t="n">
        <v>-1.5664880896875</v>
      </c>
      <c r="R110" s="185" t="n">
        <v>-1.536186900375</v>
      </c>
      <c r="S110" s="185" t="n">
        <v>-1.5058857110625</v>
      </c>
      <c r="T110" s="185" t="n">
        <v>-1.47558452175</v>
      </c>
      <c r="U110" s="185" t="n">
        <v>-1.4452833324375</v>
      </c>
      <c r="V110" s="186" t="n">
        <v>-1.414982143125</v>
      </c>
      <c r="W110" s="185" t="n">
        <v>-1.3846809538125</v>
      </c>
      <c r="X110" s="186" t="n">
        <v>-1.3543797645</v>
      </c>
      <c r="Y110" s="185" t="n">
        <v>-1.3240785751875</v>
      </c>
      <c r="Z110" s="186" t="n">
        <v>-1.293777385875</v>
      </c>
      <c r="AA110" s="185" t="n">
        <v>-1.2634761965625</v>
      </c>
      <c r="AB110" s="187" t="n">
        <v>-1.23317500725</v>
      </c>
      <c r="AC110" s="185" t="n">
        <v>-1.2028738179375</v>
      </c>
      <c r="AD110" s="187" t="n">
        <v>-1.172572628625</v>
      </c>
      <c r="AE110" s="185" t="n">
        <v>-1.1422714393125</v>
      </c>
      <c r="AF110" s="185" t="n">
        <v>-1.11197025</v>
      </c>
      <c r="AG110" s="190" t="n">
        <v>-1.083235125</v>
      </c>
      <c r="AH110" s="190" t="n">
        <v>-1.0545</v>
      </c>
      <c r="AI110" s="190" t="n">
        <v>-1.02725</v>
      </c>
      <c r="AJ110" s="190" t="n">
        <v>-1</v>
      </c>
      <c r="AK110" s="190" t="n">
        <v>-0.8</v>
      </c>
      <c r="AL110" s="190" t="n">
        <v>-0.6</v>
      </c>
      <c r="AM110" s="190" t="n">
        <v>-0.4</v>
      </c>
      <c r="AN110" s="190" t="n">
        <v>-0.2</v>
      </c>
      <c r="AO110" s="190" t="n">
        <v>0</v>
      </c>
      <c r="AP110" s="190" t="n">
        <v>0.2</v>
      </c>
      <c r="AQ110" s="190" t="n">
        <v>0.4</v>
      </c>
      <c r="AR110" s="190" t="n">
        <v>0.6</v>
      </c>
      <c r="AS110" s="190" t="n">
        <v>0.8</v>
      </c>
      <c r="AT110" s="190" t="n">
        <v>1</v>
      </c>
      <c r="AU110" s="190" t="n">
        <v>1.2</v>
      </c>
      <c r="AV110" s="190" t="n">
        <v>1.4</v>
      </c>
      <c r="AW110" s="190" t="n">
        <v>1.58</v>
      </c>
      <c r="AX110" s="190" t="n">
        <v>1.76</v>
      </c>
      <c r="AY110" s="190" t="n">
        <v>1.922</v>
      </c>
      <c r="AZ110" s="190" t="n">
        <v>2.084</v>
      </c>
      <c r="BA110" s="190" t="n">
        <v>2.2298</v>
      </c>
      <c r="BB110" s="190" t="n">
        <v>2.3756</v>
      </c>
      <c r="BC110" s="190" t="n">
        <v>2.50682</v>
      </c>
      <c r="BD110" s="190" t="n">
        <v>2.63804</v>
      </c>
      <c r="BE110" s="190" t="n">
        <v>2.756138</v>
      </c>
      <c r="BF110" s="190" t="n">
        <v>2.874236</v>
      </c>
      <c r="BG110" s="190" t="n">
        <v>2.9805242</v>
      </c>
      <c r="BH110" s="190" t="n">
        <v>3.0868124</v>
      </c>
      <c r="BI110" s="190" t="n">
        <v>3.18247178</v>
      </c>
      <c r="BJ110" s="190" t="n">
        <v>3.27813116</v>
      </c>
      <c r="BK110" s="190" t="n">
        <v>3.364224602</v>
      </c>
      <c r="BL110" s="190" t="n">
        <v>3.450318044</v>
      </c>
      <c r="BM110" s="190" t="n">
        <v>3.5278021418</v>
      </c>
      <c r="BN110" s="190" t="n">
        <v>3.6052862396</v>
      </c>
      <c r="BO110" s="190" t="n">
        <v>3.67502192762</v>
      </c>
      <c r="BP110" s="190" t="n">
        <v>3.74475761564</v>
      </c>
      <c r="BQ110" s="190" t="n">
        <v>3.81449330366</v>
      </c>
      <c r="BR110" s="190" t="n">
        <v>3.88422899168</v>
      </c>
      <c r="BS110" s="190" t="n">
        <v>3.9539646797</v>
      </c>
      <c r="BT110" s="190" t="n">
        <v>4.02370036772</v>
      </c>
      <c r="BU110" s="190" t="n">
        <v>4.09343605574</v>
      </c>
      <c r="BV110" s="190" t="n">
        <v>4.16317174376</v>
      </c>
      <c r="BW110" s="190" t="n">
        <v>4.23290743178</v>
      </c>
      <c r="BX110" s="190" t="n">
        <v>4.3026431198</v>
      </c>
      <c r="BY110" s="190" t="n">
        <v>4.37237880782</v>
      </c>
      <c r="BZ110" s="190" t="n">
        <v>4.44211449584</v>
      </c>
      <c r="CA110" s="190" t="n">
        <v>4.51185018386</v>
      </c>
      <c r="CB110" s="190" t="n">
        <v>4.58158587188</v>
      </c>
      <c r="CC110" s="190" t="n">
        <v>4.6513215599</v>
      </c>
      <c r="CD110" s="190" t="n">
        <v>4.72105724792</v>
      </c>
      <c r="CE110" s="190" t="n">
        <v>4.79079293594</v>
      </c>
      <c r="CF110" s="190" t="n">
        <v>4.86052862396</v>
      </c>
      <c r="CG110" s="190" t="n">
        <v>4.93026431198</v>
      </c>
      <c r="CH110" s="190" t="n">
        <v>5</v>
      </c>
      <c r="CI110" s="190" t="n">
        <v>5.06973568801999</v>
      </c>
      <c r="CJ110" s="190" t="n">
        <v>5.13947137603999</v>
      </c>
      <c r="CK110" s="190" t="n">
        <v>5.20920706405999</v>
      </c>
      <c r="CL110" s="190" t="n">
        <v>5.27894275207999</v>
      </c>
      <c r="CM110" s="190" t="n">
        <v>5.34867844009999</v>
      </c>
      <c r="CN110" s="190" t="n">
        <v>5.41841412811999</v>
      </c>
      <c r="CO110" s="190" t="n">
        <v>5.48814981613999</v>
      </c>
      <c r="CP110" s="190" t="n">
        <v>5.55788550415999</v>
      </c>
      <c r="CQ110" s="190" t="n">
        <v>5.62762119217999</v>
      </c>
      <c r="CR110" s="190" t="n">
        <v>5.69735688019999</v>
      </c>
      <c r="CS110" s="190" t="n">
        <v>5.76709256821999</v>
      </c>
      <c r="CT110" s="190" t="n">
        <v>5.83682825623999</v>
      </c>
      <c r="CU110" s="190" t="n">
        <v>5.90656394425999</v>
      </c>
      <c r="CV110" s="190" t="n">
        <v>5.97629963227999</v>
      </c>
      <c r="CW110" s="190" t="n">
        <v>6.04603532029999</v>
      </c>
      <c r="CX110" s="190" t="n">
        <v>6.11577100831999</v>
      </c>
      <c r="CY110" s="190" t="n">
        <v>6.18550669633999</v>
      </c>
      <c r="CZ110" s="190" t="n">
        <v>6.25524238435999</v>
      </c>
      <c r="DA110" s="190" t="n">
        <v>6.32497807237999</v>
      </c>
      <c r="DB110" s="190" t="n">
        <v>6.39471376039999</v>
      </c>
      <c r="DC110" s="190" t="n">
        <v>6.46444944841999</v>
      </c>
      <c r="DD110" s="190" t="n">
        <v>6.53418513643999</v>
      </c>
      <c r="DE110" s="190" t="n">
        <v>6.60392082445999</v>
      </c>
      <c r="DF110" s="190" t="n">
        <v>6.67365651247999</v>
      </c>
      <c r="DG110" s="190" t="n">
        <v>6.74339220049999</v>
      </c>
      <c r="DH110" s="190" t="n">
        <v>6.81312788851999</v>
      </c>
      <c r="DI110" s="190" t="n">
        <v>6.88286357653999</v>
      </c>
      <c r="DJ110" s="190" t="n">
        <v>6.95259926455999</v>
      </c>
      <c r="DK110" s="190" t="n">
        <v>7.02233495257999</v>
      </c>
      <c r="DL110" s="190" t="n">
        <v>7.09207064059999</v>
      </c>
      <c r="DM110" s="190" t="n">
        <v>7.16180632861999</v>
      </c>
      <c r="DN110" s="190" t="n">
        <v>7.23154201663999</v>
      </c>
      <c r="DO110" s="190" t="n">
        <v>7.30127770465999</v>
      </c>
      <c r="DP110" s="190" t="n">
        <v>7.37101339267999</v>
      </c>
      <c r="DQ110" s="190" t="n">
        <v>7.44074908069999</v>
      </c>
      <c r="DR110" s="190" t="n">
        <v>7.51048476871999</v>
      </c>
      <c r="DS110" s="190" t="n">
        <v>7.58022045673999</v>
      </c>
      <c r="DT110" s="190" t="n">
        <v>7.64995614475999</v>
      </c>
      <c r="DU110" s="190" t="n">
        <v>7.71969183277999</v>
      </c>
      <c r="DV110" s="190" t="n">
        <v>7.78942752079998</v>
      </c>
      <c r="DW110" s="190" t="n">
        <v>7.85916320881998</v>
      </c>
      <c r="DX110" s="190" t="n">
        <v>7.92889889683998</v>
      </c>
      <c r="DY110" s="190" t="n">
        <v>7.99863458485998</v>
      </c>
      <c r="DZ110" s="190" t="n">
        <v>8.06837027287998</v>
      </c>
      <c r="EA110" s="190" t="n">
        <v>8.13810596089998</v>
      </c>
      <c r="EB110" s="190" t="n">
        <v>8.20784164891998</v>
      </c>
      <c r="EC110" s="190" t="n">
        <v>8.27757733693998</v>
      </c>
      <c r="ED110" s="190" t="n">
        <v>8.34731302495998</v>
      </c>
      <c r="EE110" s="190" t="n">
        <v>8.41704871297998</v>
      </c>
      <c r="EF110" s="190" t="n">
        <v>8.48678440099998</v>
      </c>
      <c r="EG110" s="190" t="n">
        <v>8.55652008901998</v>
      </c>
      <c r="EH110" s="190" t="n">
        <v>8.62625577703998</v>
      </c>
      <c r="EI110" s="190" t="n">
        <v>8.69599146505998</v>
      </c>
      <c r="EJ110" s="190" t="n">
        <v>8.76572715307998</v>
      </c>
      <c r="EK110" s="190" t="n">
        <v>8.83546284109998</v>
      </c>
      <c r="EL110" s="180" t="n">
        <v>8.90519852911998</v>
      </c>
      <c r="EM110" s="180" t="n">
        <v>8.97493421713998</v>
      </c>
      <c r="EN110" s="180" t="n">
        <v>9.04466990515998</v>
      </c>
      <c r="EO110" s="180" t="n">
        <v>9.11440559317998</v>
      </c>
      <c r="EP110" s="180" t="n">
        <v>9.18414128119998</v>
      </c>
      <c r="EQ110" s="180" t="n">
        <v>9.25387696921998</v>
      </c>
      <c r="ER110" s="180" t="n">
        <v>9.32361265723998</v>
      </c>
      <c r="ES110" s="180" t="n">
        <v>9.39334834525998</v>
      </c>
      <c r="ET110" s="180" t="n">
        <v>9.46308403327998</v>
      </c>
      <c r="EU110" s="180" t="n">
        <v>9.53281972129998</v>
      </c>
      <c r="EV110" s="180" t="n">
        <v>9.60255540931998</v>
      </c>
      <c r="EW110" s="180" t="n">
        <v>9.67229109733998</v>
      </c>
      <c r="EX110" s="180" t="n">
        <v>9.74202678535998</v>
      </c>
      <c r="EY110" s="180" t="n">
        <v>9.81176247337998</v>
      </c>
      <c r="EZ110" s="180" t="n">
        <v>9.88149816139998</v>
      </c>
      <c r="FA110" s="180" t="n">
        <v>9.95123384941998</v>
      </c>
      <c r="FB110" s="180" t="n">
        <v>10.02096953744</v>
      </c>
      <c r="FC110" s="180" t="n">
        <v>10.09070522546</v>
      </c>
      <c r="FD110" s="180" t="n">
        <v>10.16044091348</v>
      </c>
      <c r="FE110" s="180" t="n">
        <v>10.2301766015</v>
      </c>
      <c r="FF110" s="180" t="n">
        <v>10.29991228952</v>
      </c>
      <c r="FG110" s="180" t="n">
        <v>10.36964797754</v>
      </c>
      <c r="FH110" s="180" t="n">
        <v>10.43938366556</v>
      </c>
      <c r="FI110" s="180" t="n">
        <v>10.50911935358</v>
      </c>
      <c r="FJ110" s="180" t="n">
        <v>10.5788550416</v>
      </c>
      <c r="FK110" s="180" t="n">
        <v>10.64859072962</v>
      </c>
      <c r="FL110" s="180" t="n">
        <v>10.71832641764</v>
      </c>
      <c r="FM110" s="180" t="n">
        <v>10.78806210566</v>
      </c>
      <c r="FN110" s="180" t="n">
        <v>10.85779779368</v>
      </c>
      <c r="FO110" s="180" t="n">
        <v>10.9275334817</v>
      </c>
      <c r="FP110" s="180" t="n">
        <v>10.99726916972</v>
      </c>
      <c r="FQ110" s="180" t="n">
        <v>11.06700485774</v>
      </c>
      <c r="FR110" s="180" t="n">
        <v>11.13674054576</v>
      </c>
      <c r="FS110" s="180" t="n">
        <v>11.20647623378</v>
      </c>
      <c r="FT110" s="180" t="n">
        <v>11.2762119218</v>
      </c>
      <c r="FU110" s="180" t="n">
        <v>11.34594760982</v>
      </c>
      <c r="FV110" s="180" t="n">
        <v>11.41568329784</v>
      </c>
      <c r="FW110" s="180" t="n">
        <v>11.48541898586</v>
      </c>
      <c r="FX110" s="180" t="n">
        <v>11.55515467388</v>
      </c>
      <c r="FY110" s="180" t="n">
        <v>11.6248903619</v>
      </c>
      <c r="FZ110" s="180" t="n">
        <v>11.69462604992</v>
      </c>
      <c r="GA110" s="180" t="n">
        <v>11.76436173794</v>
      </c>
      <c r="GB110" s="180" t="n">
        <v>11.83409742596</v>
      </c>
      <c r="GC110" s="180" t="n">
        <v>11.90383311398</v>
      </c>
      <c r="GD110" s="180" t="n">
        <v>11.973568802</v>
      </c>
      <c r="GE110" s="180" t="n">
        <v>12.04330449002</v>
      </c>
      <c r="GF110" s="180" t="n">
        <v>12.11304017804</v>
      </c>
      <c r="GG110" s="180" t="n">
        <v>12.18277586606</v>
      </c>
      <c r="GH110" s="180" t="n">
        <v>12.25251155408</v>
      </c>
      <c r="GI110" s="180" t="n">
        <v>12.3222472421</v>
      </c>
      <c r="GJ110" s="180" t="n">
        <v>12.39198293012</v>
      </c>
      <c r="GK110" s="180" t="n">
        <v>12.46171861814</v>
      </c>
      <c r="GL110" s="180" t="n">
        <v>12.53145430616</v>
      </c>
      <c r="GM110" s="180" t="n">
        <v>12.60118999418</v>
      </c>
      <c r="GN110" s="180" t="n">
        <v>12.6709256822</v>
      </c>
      <c r="GO110" s="180" t="n">
        <v>12.74066137022</v>
      </c>
      <c r="GP110" s="180" t="n">
        <v>12.81039705824</v>
      </c>
      <c r="GQ110" s="180" t="n">
        <v>12.88013274626</v>
      </c>
      <c r="GR110" s="180" t="n">
        <v>12.94986843428</v>
      </c>
      <c r="GS110" s="180" t="n">
        <v>13.0196041223</v>
      </c>
      <c r="GT110" s="180" t="n">
        <v>13.08933981032</v>
      </c>
      <c r="GU110" s="180" t="n">
        <v>13.15907549834</v>
      </c>
      <c r="GV110" s="180" t="n">
        <v>13.22881118636</v>
      </c>
      <c r="GW110" s="180" t="n">
        <v>13.29854687438</v>
      </c>
      <c r="GX110" s="180" t="n">
        <v>13.3682825624</v>
      </c>
      <c r="GY110" s="180" t="n">
        <v>13.43801825042</v>
      </c>
      <c r="GZ110" s="180" t="n">
        <v>13.50775393844</v>
      </c>
      <c r="HA110" s="180" t="n">
        <v>13.57748962646</v>
      </c>
      <c r="HB110" s="180" t="n">
        <v>13.64722531448</v>
      </c>
      <c r="HC110" s="180" t="n">
        <v>13.7169610025</v>
      </c>
      <c r="HD110" s="180" t="n">
        <v>13.78669669052</v>
      </c>
      <c r="HE110" s="180" t="n">
        <v>13.85643237854</v>
      </c>
      <c r="HF110" s="180" t="n">
        <v>13.92616806656</v>
      </c>
      <c r="HG110" s="180" t="n">
        <v>13.99590375458</v>
      </c>
      <c r="HH110" s="180" t="n">
        <v>14.0656394426</v>
      </c>
      <c r="HI110" s="180" t="n">
        <v>14.13537513062</v>
      </c>
      <c r="HJ110" s="180" t="n">
        <v>14.20511081864</v>
      </c>
      <c r="HK110" s="180" t="n">
        <v>14.27484650666</v>
      </c>
      <c r="HL110" s="180" t="n">
        <v>14.34458219468</v>
      </c>
      <c r="HM110" s="180" t="n">
        <v>14.4143178827</v>
      </c>
      <c r="HN110" s="180" t="n">
        <v>14.48405357072</v>
      </c>
      <c r="HO110" s="180" t="n">
        <v>14.55378925874</v>
      </c>
      <c r="HP110" s="180" t="n">
        <v>14.62352494676</v>
      </c>
      <c r="HQ110" s="180" t="n">
        <v>14.69326063478</v>
      </c>
      <c r="HR110" s="180" t="n">
        <v>14.7629963228</v>
      </c>
      <c r="HS110" s="180" t="n">
        <v>14.83273201082</v>
      </c>
      <c r="HT110" s="180" t="n">
        <v>14.90246769884</v>
      </c>
      <c r="HU110" s="180" t="n">
        <v>14.97220338686</v>
      </c>
      <c r="HV110" s="180" t="n">
        <v>15.04193907488</v>
      </c>
      <c r="HW110" s="180" t="n">
        <v>15.1116747629</v>
      </c>
      <c r="HX110" s="180" t="n">
        <v>15.18141045092</v>
      </c>
      <c r="HY110" s="180" t="n">
        <v>15.25114613894</v>
      </c>
      <c r="HZ110" s="180" t="n">
        <v>15.32088182696</v>
      </c>
      <c r="IA110" s="180" t="n">
        <v>15.39061751498</v>
      </c>
      <c r="IB110" s="180" t="n">
        <v>15.460353203</v>
      </c>
      <c r="IC110" s="180" t="n">
        <v>15.53008889102</v>
      </c>
      <c r="ID110" s="180" t="n">
        <v>15.59982457904</v>
      </c>
      <c r="IE110" s="180" t="n">
        <v>15.66956026706</v>
      </c>
      <c r="IF110" s="180" t="n">
        <v>15.73929595508</v>
      </c>
      <c r="IG110" s="180" t="n">
        <v>15.8090316431</v>
      </c>
      <c r="IH110" s="180" t="n">
        <v>15.87876733112</v>
      </c>
      <c r="II110" s="180" t="n">
        <v>15.94850301914</v>
      </c>
      <c r="IJ110" s="180" t="n">
        <v>16.01823870716</v>
      </c>
      <c r="IK110" s="180" t="n">
        <v>16.08797439518</v>
      </c>
      <c r="IL110" s="180" t="n">
        <v>16.1577100832</v>
      </c>
      <c r="IM110" s="180" t="n">
        <v>16.22744577122</v>
      </c>
      <c r="IN110" s="180" t="n">
        <v>16.29718145924</v>
      </c>
      <c r="IO110" s="180" t="n">
        <v>16.36691714726</v>
      </c>
      <c r="IP110" s="180" t="n">
        <v>16.43665283528</v>
      </c>
      <c r="IQ110" s="180" t="n">
        <v>16.5063885233</v>
      </c>
      <c r="IR110" s="180" t="n">
        <v>16.57612421132</v>
      </c>
      <c r="IS110" s="180" t="n">
        <v>16.64585989934</v>
      </c>
      <c r="IT110" s="180" t="n">
        <v>16.71559558736</v>
      </c>
      <c r="IU110" s="180" t="n">
        <v>16.78533127538</v>
      </c>
      <c r="IV110" s="180" t="n">
        <v>16.8550669634</v>
      </c>
    </row>
    <row r="111" customFormat="false" ht="12.75" hidden="false" customHeight="false" outlineLevel="0" collapsed="false">
      <c r="A111" s="189" t="n">
        <v>40057</v>
      </c>
      <c r="B111" s="185" t="n">
        <v>-2.021005929375</v>
      </c>
      <c r="C111" s="185" t="n">
        <v>-1.9907047400625</v>
      </c>
      <c r="D111" s="185" t="n">
        <v>-1.96040355075</v>
      </c>
      <c r="E111" s="185" t="n">
        <v>-1.9301023614375</v>
      </c>
      <c r="F111" s="185" t="n">
        <v>-1.899801172125</v>
      </c>
      <c r="G111" s="185" t="n">
        <v>-1.8694999828125</v>
      </c>
      <c r="H111" s="185" t="n">
        <v>-1.8391987935</v>
      </c>
      <c r="I111" s="185" t="n">
        <v>-1.8088976041875</v>
      </c>
      <c r="J111" s="185" t="n">
        <v>-1.778596414875</v>
      </c>
      <c r="K111" s="185" t="n">
        <v>-1.7482952255625</v>
      </c>
      <c r="L111" s="185" t="n">
        <v>-1.71799403625</v>
      </c>
      <c r="M111" s="185" t="n">
        <v>-1.6876928469375</v>
      </c>
      <c r="N111" s="185" t="n">
        <v>-1.657391657625</v>
      </c>
      <c r="O111" s="185" t="n">
        <v>-1.6270904683125</v>
      </c>
      <c r="P111" s="185" t="n">
        <v>-1.596789279</v>
      </c>
      <c r="Q111" s="185" t="n">
        <v>-1.5664880896875</v>
      </c>
      <c r="R111" s="185" t="n">
        <v>-1.536186900375</v>
      </c>
      <c r="S111" s="185" t="n">
        <v>-1.5058857110625</v>
      </c>
      <c r="T111" s="185" t="n">
        <v>-1.47558452175</v>
      </c>
      <c r="U111" s="185" t="n">
        <v>-1.4452833324375</v>
      </c>
      <c r="V111" s="186" t="n">
        <v>-1.414982143125</v>
      </c>
      <c r="W111" s="185" t="n">
        <v>-1.3846809538125</v>
      </c>
      <c r="X111" s="186" t="n">
        <v>-1.3543797645</v>
      </c>
      <c r="Y111" s="185" t="n">
        <v>-1.3240785751875</v>
      </c>
      <c r="Z111" s="186" t="n">
        <v>-1.293777385875</v>
      </c>
      <c r="AA111" s="185" t="n">
        <v>-1.2634761965625</v>
      </c>
      <c r="AB111" s="187" t="n">
        <v>-1.23317500725</v>
      </c>
      <c r="AC111" s="185" t="n">
        <v>-1.2028738179375</v>
      </c>
      <c r="AD111" s="187" t="n">
        <v>-1.172572628625</v>
      </c>
      <c r="AE111" s="185" t="n">
        <v>-1.1422714393125</v>
      </c>
      <c r="AF111" s="185" t="n">
        <v>-1.11197025</v>
      </c>
      <c r="AG111" s="190" t="n">
        <v>-1.083235125</v>
      </c>
      <c r="AH111" s="190" t="n">
        <v>-1.0545</v>
      </c>
      <c r="AI111" s="190" t="n">
        <v>-1.02725</v>
      </c>
      <c r="AJ111" s="190" t="n">
        <v>-1</v>
      </c>
      <c r="AK111" s="190" t="n">
        <v>-0.8</v>
      </c>
      <c r="AL111" s="190" t="n">
        <v>-0.6</v>
      </c>
      <c r="AM111" s="190" t="n">
        <v>-0.4</v>
      </c>
      <c r="AN111" s="190" t="n">
        <v>-0.2</v>
      </c>
      <c r="AO111" s="190" t="n">
        <v>0</v>
      </c>
      <c r="AP111" s="190" t="n">
        <v>0.2</v>
      </c>
      <c r="AQ111" s="190" t="n">
        <v>0.4</v>
      </c>
      <c r="AR111" s="190" t="n">
        <v>0.6</v>
      </c>
      <c r="AS111" s="190" t="n">
        <v>0.8</v>
      </c>
      <c r="AT111" s="190" t="n">
        <v>1</v>
      </c>
      <c r="AU111" s="190" t="n">
        <v>1.2</v>
      </c>
      <c r="AV111" s="190" t="n">
        <v>1.4</v>
      </c>
      <c r="AW111" s="190" t="n">
        <v>1.58</v>
      </c>
      <c r="AX111" s="190" t="n">
        <v>1.76</v>
      </c>
      <c r="AY111" s="190" t="n">
        <v>1.922</v>
      </c>
      <c r="AZ111" s="190" t="n">
        <v>2.084</v>
      </c>
      <c r="BA111" s="190" t="n">
        <v>2.2298</v>
      </c>
      <c r="BB111" s="190" t="n">
        <v>2.3756</v>
      </c>
      <c r="BC111" s="190" t="n">
        <v>2.50682</v>
      </c>
      <c r="BD111" s="190" t="n">
        <v>2.63804</v>
      </c>
      <c r="BE111" s="190" t="n">
        <v>2.756138</v>
      </c>
      <c r="BF111" s="190" t="n">
        <v>2.874236</v>
      </c>
      <c r="BG111" s="190" t="n">
        <v>2.9805242</v>
      </c>
      <c r="BH111" s="190" t="n">
        <v>3.0868124</v>
      </c>
      <c r="BI111" s="190" t="n">
        <v>3.18247178</v>
      </c>
      <c r="BJ111" s="190" t="n">
        <v>3.27813116</v>
      </c>
      <c r="BK111" s="190" t="n">
        <v>3.364224602</v>
      </c>
      <c r="BL111" s="190" t="n">
        <v>3.450318044</v>
      </c>
      <c r="BM111" s="190" t="n">
        <v>3.5278021418</v>
      </c>
      <c r="BN111" s="190" t="n">
        <v>3.6052862396</v>
      </c>
      <c r="BO111" s="190" t="n">
        <v>3.67502192762</v>
      </c>
      <c r="BP111" s="190" t="n">
        <v>3.74475761564</v>
      </c>
      <c r="BQ111" s="190" t="n">
        <v>3.81449330366</v>
      </c>
      <c r="BR111" s="190" t="n">
        <v>3.88422899168</v>
      </c>
      <c r="BS111" s="190" t="n">
        <v>3.9539646797</v>
      </c>
      <c r="BT111" s="190" t="n">
        <v>4.02370036772</v>
      </c>
      <c r="BU111" s="190" t="n">
        <v>4.09343605574</v>
      </c>
      <c r="BV111" s="190" t="n">
        <v>4.16317174376</v>
      </c>
      <c r="BW111" s="190" t="n">
        <v>4.23290743178</v>
      </c>
      <c r="BX111" s="190" t="n">
        <v>4.3026431198</v>
      </c>
      <c r="BY111" s="190" t="n">
        <v>4.37237880782</v>
      </c>
      <c r="BZ111" s="190" t="n">
        <v>4.44211449584</v>
      </c>
      <c r="CA111" s="190" t="n">
        <v>4.51185018386</v>
      </c>
      <c r="CB111" s="190" t="n">
        <v>4.58158587188</v>
      </c>
      <c r="CC111" s="190" t="n">
        <v>4.6513215599</v>
      </c>
      <c r="CD111" s="190" t="n">
        <v>4.72105724792</v>
      </c>
      <c r="CE111" s="190" t="n">
        <v>4.79079293594</v>
      </c>
      <c r="CF111" s="190" t="n">
        <v>4.86052862396</v>
      </c>
      <c r="CG111" s="190" t="n">
        <v>4.93026431198</v>
      </c>
      <c r="CH111" s="190" t="n">
        <v>5</v>
      </c>
      <c r="CI111" s="190" t="n">
        <v>5.06973568801999</v>
      </c>
      <c r="CJ111" s="190" t="n">
        <v>5.13947137603999</v>
      </c>
      <c r="CK111" s="190" t="n">
        <v>5.20920706405999</v>
      </c>
      <c r="CL111" s="190" t="n">
        <v>5.27894275207999</v>
      </c>
      <c r="CM111" s="190" t="n">
        <v>5.34867844009999</v>
      </c>
      <c r="CN111" s="190" t="n">
        <v>5.41841412811999</v>
      </c>
      <c r="CO111" s="190" t="n">
        <v>5.48814981613999</v>
      </c>
      <c r="CP111" s="190" t="n">
        <v>5.55788550415999</v>
      </c>
      <c r="CQ111" s="190" t="n">
        <v>5.62762119217999</v>
      </c>
      <c r="CR111" s="190" t="n">
        <v>5.69735688019999</v>
      </c>
      <c r="CS111" s="190" t="n">
        <v>5.76709256821999</v>
      </c>
      <c r="CT111" s="190" t="n">
        <v>5.83682825623999</v>
      </c>
      <c r="CU111" s="190" t="n">
        <v>5.90656394425999</v>
      </c>
      <c r="CV111" s="190" t="n">
        <v>5.97629963227999</v>
      </c>
      <c r="CW111" s="190" t="n">
        <v>6.04603532029999</v>
      </c>
      <c r="CX111" s="190" t="n">
        <v>6.11577100831999</v>
      </c>
      <c r="CY111" s="190" t="n">
        <v>6.18550669633999</v>
      </c>
      <c r="CZ111" s="190" t="n">
        <v>6.25524238435999</v>
      </c>
      <c r="DA111" s="190" t="n">
        <v>6.32497807237999</v>
      </c>
      <c r="DB111" s="190" t="n">
        <v>6.39471376039999</v>
      </c>
      <c r="DC111" s="190" t="n">
        <v>6.46444944841999</v>
      </c>
      <c r="DD111" s="190" t="n">
        <v>6.53418513643999</v>
      </c>
      <c r="DE111" s="190" t="n">
        <v>6.60392082445999</v>
      </c>
      <c r="DF111" s="190" t="n">
        <v>6.67365651247999</v>
      </c>
      <c r="DG111" s="190" t="n">
        <v>6.74339220049999</v>
      </c>
      <c r="DH111" s="190" t="n">
        <v>6.81312788851999</v>
      </c>
      <c r="DI111" s="190" t="n">
        <v>6.88286357653999</v>
      </c>
      <c r="DJ111" s="190" t="n">
        <v>6.95259926455999</v>
      </c>
      <c r="DK111" s="190" t="n">
        <v>7.02233495257999</v>
      </c>
      <c r="DL111" s="190" t="n">
        <v>7.09207064059999</v>
      </c>
      <c r="DM111" s="190" t="n">
        <v>7.16180632861999</v>
      </c>
      <c r="DN111" s="190" t="n">
        <v>7.23154201663999</v>
      </c>
      <c r="DO111" s="190" t="n">
        <v>7.30127770465999</v>
      </c>
      <c r="DP111" s="190" t="n">
        <v>7.37101339267999</v>
      </c>
      <c r="DQ111" s="190" t="n">
        <v>7.44074908069999</v>
      </c>
      <c r="DR111" s="190" t="n">
        <v>7.51048476871999</v>
      </c>
      <c r="DS111" s="190" t="n">
        <v>7.58022045673999</v>
      </c>
      <c r="DT111" s="190" t="n">
        <v>7.64995614475999</v>
      </c>
      <c r="DU111" s="190" t="n">
        <v>7.71969183277999</v>
      </c>
      <c r="DV111" s="190" t="n">
        <v>7.78942752079998</v>
      </c>
      <c r="DW111" s="190" t="n">
        <v>7.85916320881998</v>
      </c>
      <c r="DX111" s="190" t="n">
        <v>7.92889889683998</v>
      </c>
      <c r="DY111" s="190" t="n">
        <v>7.99863458485998</v>
      </c>
      <c r="DZ111" s="190" t="n">
        <v>8.06837027287998</v>
      </c>
      <c r="EA111" s="190" t="n">
        <v>8.13810596089998</v>
      </c>
      <c r="EB111" s="190" t="n">
        <v>8.20784164891998</v>
      </c>
      <c r="EC111" s="190" t="n">
        <v>8.27757733693998</v>
      </c>
      <c r="ED111" s="190" t="n">
        <v>8.34731302495998</v>
      </c>
      <c r="EE111" s="190" t="n">
        <v>8.41704871297998</v>
      </c>
      <c r="EF111" s="190" t="n">
        <v>8.48678440099998</v>
      </c>
      <c r="EG111" s="190" t="n">
        <v>8.55652008901998</v>
      </c>
      <c r="EH111" s="190" t="n">
        <v>8.62625577703998</v>
      </c>
      <c r="EI111" s="190" t="n">
        <v>8.69599146505998</v>
      </c>
      <c r="EJ111" s="190" t="n">
        <v>8.76572715307998</v>
      </c>
      <c r="EK111" s="190" t="n">
        <v>8.83546284109998</v>
      </c>
      <c r="EL111" s="180" t="n">
        <v>8.90519852911998</v>
      </c>
      <c r="EM111" s="180" t="n">
        <v>8.97493421713998</v>
      </c>
      <c r="EN111" s="180" t="n">
        <v>9.04466990515998</v>
      </c>
      <c r="EO111" s="180" t="n">
        <v>9.11440559317998</v>
      </c>
      <c r="EP111" s="180" t="n">
        <v>9.18414128119998</v>
      </c>
      <c r="EQ111" s="180" t="n">
        <v>9.25387696921998</v>
      </c>
      <c r="ER111" s="180" t="n">
        <v>9.32361265723998</v>
      </c>
      <c r="ES111" s="180" t="n">
        <v>9.39334834525998</v>
      </c>
      <c r="ET111" s="180" t="n">
        <v>9.46308403327998</v>
      </c>
      <c r="EU111" s="180" t="n">
        <v>9.53281972129998</v>
      </c>
      <c r="EV111" s="180" t="n">
        <v>9.60255540931998</v>
      </c>
      <c r="EW111" s="180" t="n">
        <v>9.67229109733998</v>
      </c>
      <c r="EX111" s="180" t="n">
        <v>9.74202678535998</v>
      </c>
      <c r="EY111" s="180" t="n">
        <v>9.81176247337998</v>
      </c>
      <c r="EZ111" s="180" t="n">
        <v>9.88149816139998</v>
      </c>
      <c r="FA111" s="180" t="n">
        <v>9.95123384941998</v>
      </c>
      <c r="FB111" s="180" t="n">
        <v>10.02096953744</v>
      </c>
      <c r="FC111" s="180" t="n">
        <v>10.09070522546</v>
      </c>
      <c r="FD111" s="180" t="n">
        <v>10.16044091348</v>
      </c>
      <c r="FE111" s="180" t="n">
        <v>10.2301766015</v>
      </c>
      <c r="FF111" s="180" t="n">
        <v>10.29991228952</v>
      </c>
      <c r="FG111" s="180" t="n">
        <v>10.36964797754</v>
      </c>
      <c r="FH111" s="180" t="n">
        <v>10.43938366556</v>
      </c>
      <c r="FI111" s="180" t="n">
        <v>10.50911935358</v>
      </c>
      <c r="FJ111" s="180" t="n">
        <v>10.5788550416</v>
      </c>
      <c r="FK111" s="180" t="n">
        <v>10.64859072962</v>
      </c>
      <c r="FL111" s="180" t="n">
        <v>10.71832641764</v>
      </c>
      <c r="FM111" s="180" t="n">
        <v>10.78806210566</v>
      </c>
      <c r="FN111" s="180" t="n">
        <v>10.85779779368</v>
      </c>
      <c r="FO111" s="180" t="n">
        <v>10.9275334817</v>
      </c>
      <c r="FP111" s="180" t="n">
        <v>10.99726916972</v>
      </c>
      <c r="FQ111" s="180" t="n">
        <v>11.06700485774</v>
      </c>
      <c r="FR111" s="180" t="n">
        <v>11.13674054576</v>
      </c>
      <c r="FS111" s="180" t="n">
        <v>11.20647623378</v>
      </c>
      <c r="FT111" s="180" t="n">
        <v>11.2762119218</v>
      </c>
      <c r="FU111" s="180" t="n">
        <v>11.34594760982</v>
      </c>
      <c r="FV111" s="180" t="n">
        <v>11.41568329784</v>
      </c>
      <c r="FW111" s="180" t="n">
        <v>11.48541898586</v>
      </c>
      <c r="FX111" s="180" t="n">
        <v>11.55515467388</v>
      </c>
      <c r="FY111" s="180" t="n">
        <v>11.6248903619</v>
      </c>
      <c r="FZ111" s="180" t="n">
        <v>11.69462604992</v>
      </c>
      <c r="GA111" s="180" t="n">
        <v>11.76436173794</v>
      </c>
      <c r="GB111" s="180" t="n">
        <v>11.83409742596</v>
      </c>
      <c r="GC111" s="180" t="n">
        <v>11.90383311398</v>
      </c>
      <c r="GD111" s="180" t="n">
        <v>11.973568802</v>
      </c>
      <c r="GE111" s="180" t="n">
        <v>12.04330449002</v>
      </c>
      <c r="GF111" s="180" t="n">
        <v>12.11304017804</v>
      </c>
      <c r="GG111" s="180" t="n">
        <v>12.18277586606</v>
      </c>
      <c r="GH111" s="180" t="n">
        <v>12.25251155408</v>
      </c>
      <c r="GI111" s="180" t="n">
        <v>12.3222472421</v>
      </c>
      <c r="GJ111" s="180" t="n">
        <v>12.39198293012</v>
      </c>
      <c r="GK111" s="180" t="n">
        <v>12.46171861814</v>
      </c>
      <c r="GL111" s="180" t="n">
        <v>12.53145430616</v>
      </c>
      <c r="GM111" s="180" t="n">
        <v>12.60118999418</v>
      </c>
      <c r="GN111" s="180" t="n">
        <v>12.6709256822</v>
      </c>
      <c r="GO111" s="180" t="n">
        <v>12.74066137022</v>
      </c>
      <c r="GP111" s="180" t="n">
        <v>12.81039705824</v>
      </c>
      <c r="GQ111" s="180" t="n">
        <v>12.88013274626</v>
      </c>
      <c r="GR111" s="180" t="n">
        <v>12.94986843428</v>
      </c>
      <c r="GS111" s="180" t="n">
        <v>13.0196041223</v>
      </c>
      <c r="GT111" s="180" t="n">
        <v>13.08933981032</v>
      </c>
      <c r="GU111" s="180" t="n">
        <v>13.15907549834</v>
      </c>
      <c r="GV111" s="180" t="n">
        <v>13.22881118636</v>
      </c>
      <c r="GW111" s="180" t="n">
        <v>13.29854687438</v>
      </c>
      <c r="GX111" s="180" t="n">
        <v>13.3682825624</v>
      </c>
      <c r="GY111" s="180" t="n">
        <v>13.43801825042</v>
      </c>
      <c r="GZ111" s="180" t="n">
        <v>13.50775393844</v>
      </c>
      <c r="HA111" s="180" t="n">
        <v>13.57748962646</v>
      </c>
      <c r="HB111" s="180" t="n">
        <v>13.64722531448</v>
      </c>
      <c r="HC111" s="180" t="n">
        <v>13.7169610025</v>
      </c>
      <c r="HD111" s="180" t="n">
        <v>13.78669669052</v>
      </c>
      <c r="HE111" s="180" t="n">
        <v>13.85643237854</v>
      </c>
      <c r="HF111" s="180" t="n">
        <v>13.92616806656</v>
      </c>
      <c r="HG111" s="180" t="n">
        <v>13.99590375458</v>
      </c>
      <c r="HH111" s="180" t="n">
        <v>14.0656394426</v>
      </c>
      <c r="HI111" s="180" t="n">
        <v>14.13537513062</v>
      </c>
      <c r="HJ111" s="180" t="n">
        <v>14.20511081864</v>
      </c>
      <c r="HK111" s="180" t="n">
        <v>14.27484650666</v>
      </c>
      <c r="HL111" s="180" t="n">
        <v>14.34458219468</v>
      </c>
      <c r="HM111" s="180" t="n">
        <v>14.4143178827</v>
      </c>
      <c r="HN111" s="180" t="n">
        <v>14.48405357072</v>
      </c>
      <c r="HO111" s="180" t="n">
        <v>14.55378925874</v>
      </c>
      <c r="HP111" s="180" t="n">
        <v>14.62352494676</v>
      </c>
      <c r="HQ111" s="180" t="n">
        <v>14.69326063478</v>
      </c>
      <c r="HR111" s="180" t="n">
        <v>14.7629963228</v>
      </c>
      <c r="HS111" s="180" t="n">
        <v>14.83273201082</v>
      </c>
      <c r="HT111" s="180" t="n">
        <v>14.90246769884</v>
      </c>
      <c r="HU111" s="180" t="n">
        <v>14.97220338686</v>
      </c>
      <c r="HV111" s="180" t="n">
        <v>15.04193907488</v>
      </c>
      <c r="HW111" s="180" t="n">
        <v>15.1116747629</v>
      </c>
      <c r="HX111" s="180" t="n">
        <v>15.18141045092</v>
      </c>
      <c r="HY111" s="180" t="n">
        <v>15.25114613894</v>
      </c>
      <c r="HZ111" s="180" t="n">
        <v>15.32088182696</v>
      </c>
      <c r="IA111" s="180" t="n">
        <v>15.39061751498</v>
      </c>
      <c r="IB111" s="180" t="n">
        <v>15.460353203</v>
      </c>
      <c r="IC111" s="180" t="n">
        <v>15.53008889102</v>
      </c>
      <c r="ID111" s="180" t="n">
        <v>15.59982457904</v>
      </c>
      <c r="IE111" s="180" t="n">
        <v>15.66956026706</v>
      </c>
      <c r="IF111" s="180" t="n">
        <v>15.73929595508</v>
      </c>
      <c r="IG111" s="180" t="n">
        <v>15.8090316431</v>
      </c>
      <c r="IH111" s="180" t="n">
        <v>15.87876733112</v>
      </c>
      <c r="II111" s="180" t="n">
        <v>15.94850301914</v>
      </c>
      <c r="IJ111" s="180" t="n">
        <v>16.01823870716</v>
      </c>
      <c r="IK111" s="180" t="n">
        <v>16.08797439518</v>
      </c>
      <c r="IL111" s="180" t="n">
        <v>16.1577100832</v>
      </c>
      <c r="IM111" s="180" t="n">
        <v>16.22744577122</v>
      </c>
      <c r="IN111" s="180" t="n">
        <v>16.29718145924</v>
      </c>
      <c r="IO111" s="180" t="n">
        <v>16.36691714726</v>
      </c>
      <c r="IP111" s="180" t="n">
        <v>16.43665283528</v>
      </c>
      <c r="IQ111" s="180" t="n">
        <v>16.5063885233</v>
      </c>
      <c r="IR111" s="180" t="n">
        <v>16.57612421132</v>
      </c>
      <c r="IS111" s="180" t="n">
        <v>16.64585989934</v>
      </c>
      <c r="IT111" s="180" t="n">
        <v>16.71559558736</v>
      </c>
      <c r="IU111" s="180" t="n">
        <v>16.78533127538</v>
      </c>
      <c r="IV111" s="180" t="n">
        <v>16.8550669634</v>
      </c>
    </row>
    <row r="112" customFormat="false" ht="12.75" hidden="false" customHeight="false" outlineLevel="0" collapsed="false">
      <c r="A112" s="189" t="n">
        <v>40087</v>
      </c>
      <c r="B112" s="185" t="n">
        <v>-2.021005929375</v>
      </c>
      <c r="C112" s="185" t="n">
        <v>-1.9907047400625</v>
      </c>
      <c r="D112" s="185" t="n">
        <v>-1.96040355075</v>
      </c>
      <c r="E112" s="185" t="n">
        <v>-1.9301023614375</v>
      </c>
      <c r="F112" s="185" t="n">
        <v>-1.899801172125</v>
      </c>
      <c r="G112" s="185" t="n">
        <v>-1.8694999828125</v>
      </c>
      <c r="H112" s="185" t="n">
        <v>-1.8391987935</v>
      </c>
      <c r="I112" s="185" t="n">
        <v>-1.8088976041875</v>
      </c>
      <c r="J112" s="185" t="n">
        <v>-1.778596414875</v>
      </c>
      <c r="K112" s="185" t="n">
        <v>-1.7482952255625</v>
      </c>
      <c r="L112" s="185" t="n">
        <v>-1.71799403625</v>
      </c>
      <c r="M112" s="185" t="n">
        <v>-1.6876928469375</v>
      </c>
      <c r="N112" s="185" t="n">
        <v>-1.657391657625</v>
      </c>
      <c r="O112" s="185" t="n">
        <v>-1.6270904683125</v>
      </c>
      <c r="P112" s="185" t="n">
        <v>-1.596789279</v>
      </c>
      <c r="Q112" s="185" t="n">
        <v>-1.5664880896875</v>
      </c>
      <c r="R112" s="185" t="n">
        <v>-1.536186900375</v>
      </c>
      <c r="S112" s="185" t="n">
        <v>-1.5058857110625</v>
      </c>
      <c r="T112" s="185" t="n">
        <v>-1.47558452175</v>
      </c>
      <c r="U112" s="185" t="n">
        <v>-1.4452833324375</v>
      </c>
      <c r="V112" s="186" t="n">
        <v>-1.414982143125</v>
      </c>
      <c r="W112" s="185" t="n">
        <v>-1.3846809538125</v>
      </c>
      <c r="X112" s="186" t="n">
        <v>-1.3543797645</v>
      </c>
      <c r="Y112" s="185" t="n">
        <v>-1.3240785751875</v>
      </c>
      <c r="Z112" s="186" t="n">
        <v>-1.293777385875</v>
      </c>
      <c r="AA112" s="185" t="n">
        <v>-1.2634761965625</v>
      </c>
      <c r="AB112" s="187" t="n">
        <v>-1.23317500725</v>
      </c>
      <c r="AC112" s="185" t="n">
        <v>-1.2028738179375</v>
      </c>
      <c r="AD112" s="187" t="n">
        <v>-1.172572628625</v>
      </c>
      <c r="AE112" s="185" t="n">
        <v>-1.1422714393125</v>
      </c>
      <c r="AF112" s="185" t="n">
        <v>-1.11197025</v>
      </c>
      <c r="AG112" s="190" t="n">
        <v>-1.083235125</v>
      </c>
      <c r="AH112" s="190" t="n">
        <v>-1.0545</v>
      </c>
      <c r="AI112" s="190" t="n">
        <v>-1.02725</v>
      </c>
      <c r="AJ112" s="190" t="n">
        <v>-1</v>
      </c>
      <c r="AK112" s="190" t="n">
        <v>-0.8</v>
      </c>
      <c r="AL112" s="190" t="n">
        <v>-0.6</v>
      </c>
      <c r="AM112" s="190" t="n">
        <v>-0.4</v>
      </c>
      <c r="AN112" s="190" t="n">
        <v>-0.2</v>
      </c>
      <c r="AO112" s="190" t="n">
        <v>0</v>
      </c>
      <c r="AP112" s="190" t="n">
        <v>0.2</v>
      </c>
      <c r="AQ112" s="190" t="n">
        <v>0.4</v>
      </c>
      <c r="AR112" s="190" t="n">
        <v>0.6</v>
      </c>
      <c r="AS112" s="190" t="n">
        <v>0.8</v>
      </c>
      <c r="AT112" s="190" t="n">
        <v>1</v>
      </c>
      <c r="AU112" s="190" t="n">
        <v>1.2</v>
      </c>
      <c r="AV112" s="190" t="n">
        <v>1.4</v>
      </c>
      <c r="AW112" s="190" t="n">
        <v>1.58</v>
      </c>
      <c r="AX112" s="190" t="n">
        <v>1.76</v>
      </c>
      <c r="AY112" s="190" t="n">
        <v>1.922</v>
      </c>
      <c r="AZ112" s="190" t="n">
        <v>2.084</v>
      </c>
      <c r="BA112" s="190" t="n">
        <v>2.2298</v>
      </c>
      <c r="BB112" s="190" t="n">
        <v>2.3756</v>
      </c>
      <c r="BC112" s="190" t="n">
        <v>2.50682</v>
      </c>
      <c r="BD112" s="190" t="n">
        <v>2.63804</v>
      </c>
      <c r="BE112" s="190" t="n">
        <v>2.756138</v>
      </c>
      <c r="BF112" s="190" t="n">
        <v>2.874236</v>
      </c>
      <c r="BG112" s="190" t="n">
        <v>2.9805242</v>
      </c>
      <c r="BH112" s="190" t="n">
        <v>3.0868124</v>
      </c>
      <c r="BI112" s="190" t="n">
        <v>3.18247178</v>
      </c>
      <c r="BJ112" s="190" t="n">
        <v>3.27813116</v>
      </c>
      <c r="BK112" s="190" t="n">
        <v>3.364224602</v>
      </c>
      <c r="BL112" s="190" t="n">
        <v>3.450318044</v>
      </c>
      <c r="BM112" s="190" t="n">
        <v>3.5278021418</v>
      </c>
      <c r="BN112" s="190" t="n">
        <v>3.6052862396</v>
      </c>
      <c r="BO112" s="190" t="n">
        <v>3.67502192762</v>
      </c>
      <c r="BP112" s="190" t="n">
        <v>3.74475761564</v>
      </c>
      <c r="BQ112" s="190" t="n">
        <v>3.81449330366</v>
      </c>
      <c r="BR112" s="190" t="n">
        <v>3.88422899168</v>
      </c>
      <c r="BS112" s="190" t="n">
        <v>3.9539646797</v>
      </c>
      <c r="BT112" s="190" t="n">
        <v>4.02370036772</v>
      </c>
      <c r="BU112" s="190" t="n">
        <v>4.09343605574</v>
      </c>
      <c r="BV112" s="190" t="n">
        <v>4.16317174376</v>
      </c>
      <c r="BW112" s="190" t="n">
        <v>4.23290743178</v>
      </c>
      <c r="BX112" s="190" t="n">
        <v>4.3026431198</v>
      </c>
      <c r="BY112" s="190" t="n">
        <v>4.37237880782</v>
      </c>
      <c r="BZ112" s="190" t="n">
        <v>4.44211449584</v>
      </c>
      <c r="CA112" s="190" t="n">
        <v>4.51185018386</v>
      </c>
      <c r="CB112" s="190" t="n">
        <v>4.58158587188</v>
      </c>
      <c r="CC112" s="190" t="n">
        <v>4.6513215599</v>
      </c>
      <c r="CD112" s="190" t="n">
        <v>4.72105724792</v>
      </c>
      <c r="CE112" s="190" t="n">
        <v>4.79079293594</v>
      </c>
      <c r="CF112" s="190" t="n">
        <v>4.86052862396</v>
      </c>
      <c r="CG112" s="190" t="n">
        <v>4.93026431198</v>
      </c>
      <c r="CH112" s="190" t="n">
        <v>5</v>
      </c>
      <c r="CI112" s="190" t="n">
        <v>5.06973568801999</v>
      </c>
      <c r="CJ112" s="190" t="n">
        <v>5.13947137603999</v>
      </c>
      <c r="CK112" s="190" t="n">
        <v>5.20920706405999</v>
      </c>
      <c r="CL112" s="190" t="n">
        <v>5.27894275207999</v>
      </c>
      <c r="CM112" s="190" t="n">
        <v>5.34867844009999</v>
      </c>
      <c r="CN112" s="190" t="n">
        <v>5.41841412811999</v>
      </c>
      <c r="CO112" s="190" t="n">
        <v>5.48814981613999</v>
      </c>
      <c r="CP112" s="190" t="n">
        <v>5.55788550415999</v>
      </c>
      <c r="CQ112" s="190" t="n">
        <v>5.62762119217999</v>
      </c>
      <c r="CR112" s="190" t="n">
        <v>5.69735688019999</v>
      </c>
      <c r="CS112" s="190" t="n">
        <v>5.76709256821999</v>
      </c>
      <c r="CT112" s="190" t="n">
        <v>5.83682825623999</v>
      </c>
      <c r="CU112" s="190" t="n">
        <v>5.90656394425999</v>
      </c>
      <c r="CV112" s="190" t="n">
        <v>5.97629963227999</v>
      </c>
      <c r="CW112" s="190" t="n">
        <v>6.04603532029999</v>
      </c>
      <c r="CX112" s="190" t="n">
        <v>6.11577100831999</v>
      </c>
      <c r="CY112" s="190" t="n">
        <v>6.18550669633999</v>
      </c>
      <c r="CZ112" s="190" t="n">
        <v>6.25524238435999</v>
      </c>
      <c r="DA112" s="190" t="n">
        <v>6.32497807237999</v>
      </c>
      <c r="DB112" s="190" t="n">
        <v>6.39471376039999</v>
      </c>
      <c r="DC112" s="190" t="n">
        <v>6.46444944841999</v>
      </c>
      <c r="DD112" s="190" t="n">
        <v>6.53418513643999</v>
      </c>
      <c r="DE112" s="190" t="n">
        <v>6.60392082445999</v>
      </c>
      <c r="DF112" s="190" t="n">
        <v>6.67365651247999</v>
      </c>
      <c r="DG112" s="190" t="n">
        <v>6.74339220049999</v>
      </c>
      <c r="DH112" s="190" t="n">
        <v>6.81312788851999</v>
      </c>
      <c r="DI112" s="190" t="n">
        <v>6.88286357653999</v>
      </c>
      <c r="DJ112" s="190" t="n">
        <v>6.95259926455999</v>
      </c>
      <c r="DK112" s="190" t="n">
        <v>7.02233495257999</v>
      </c>
      <c r="DL112" s="190" t="n">
        <v>7.09207064059999</v>
      </c>
      <c r="DM112" s="190" t="n">
        <v>7.16180632861999</v>
      </c>
      <c r="DN112" s="190" t="n">
        <v>7.23154201663999</v>
      </c>
      <c r="DO112" s="190" t="n">
        <v>7.30127770465999</v>
      </c>
      <c r="DP112" s="190" t="n">
        <v>7.37101339267999</v>
      </c>
      <c r="DQ112" s="190" t="n">
        <v>7.44074908069999</v>
      </c>
      <c r="DR112" s="190" t="n">
        <v>7.51048476871999</v>
      </c>
      <c r="DS112" s="190" t="n">
        <v>7.58022045673999</v>
      </c>
      <c r="DT112" s="190" t="n">
        <v>7.64995614475999</v>
      </c>
      <c r="DU112" s="190" t="n">
        <v>7.71969183277999</v>
      </c>
      <c r="DV112" s="190" t="n">
        <v>7.78942752079998</v>
      </c>
      <c r="DW112" s="190" t="n">
        <v>7.85916320881998</v>
      </c>
      <c r="DX112" s="190" t="n">
        <v>7.92889889683998</v>
      </c>
      <c r="DY112" s="190" t="n">
        <v>7.99863458485998</v>
      </c>
      <c r="DZ112" s="190" t="n">
        <v>8.06837027287998</v>
      </c>
      <c r="EA112" s="190" t="n">
        <v>8.13810596089998</v>
      </c>
      <c r="EB112" s="190" t="n">
        <v>8.20784164891998</v>
      </c>
      <c r="EC112" s="190" t="n">
        <v>8.27757733693998</v>
      </c>
      <c r="ED112" s="190" t="n">
        <v>8.34731302495998</v>
      </c>
      <c r="EE112" s="190" t="n">
        <v>8.41704871297998</v>
      </c>
      <c r="EF112" s="190" t="n">
        <v>8.48678440099998</v>
      </c>
      <c r="EG112" s="190" t="n">
        <v>8.55652008901998</v>
      </c>
      <c r="EH112" s="190" t="n">
        <v>8.62625577703998</v>
      </c>
      <c r="EI112" s="190" t="n">
        <v>8.69599146505998</v>
      </c>
      <c r="EJ112" s="190" t="n">
        <v>8.76572715307998</v>
      </c>
      <c r="EK112" s="190" t="n">
        <v>8.83546284109998</v>
      </c>
      <c r="EL112" s="180" t="n">
        <v>8.90519852911998</v>
      </c>
      <c r="EM112" s="180" t="n">
        <v>8.97493421713998</v>
      </c>
      <c r="EN112" s="180" t="n">
        <v>9.04466990515998</v>
      </c>
      <c r="EO112" s="180" t="n">
        <v>9.11440559317998</v>
      </c>
      <c r="EP112" s="180" t="n">
        <v>9.18414128119998</v>
      </c>
      <c r="EQ112" s="180" t="n">
        <v>9.25387696921998</v>
      </c>
      <c r="ER112" s="180" t="n">
        <v>9.32361265723998</v>
      </c>
      <c r="ES112" s="180" t="n">
        <v>9.39334834525998</v>
      </c>
      <c r="ET112" s="180" t="n">
        <v>9.46308403327998</v>
      </c>
      <c r="EU112" s="180" t="n">
        <v>9.53281972129998</v>
      </c>
      <c r="EV112" s="180" t="n">
        <v>9.60255540931998</v>
      </c>
      <c r="EW112" s="180" t="n">
        <v>9.67229109733998</v>
      </c>
      <c r="EX112" s="180" t="n">
        <v>9.74202678535998</v>
      </c>
      <c r="EY112" s="180" t="n">
        <v>9.81176247337998</v>
      </c>
      <c r="EZ112" s="180" t="n">
        <v>9.88149816139998</v>
      </c>
      <c r="FA112" s="180" t="n">
        <v>9.95123384941998</v>
      </c>
      <c r="FB112" s="180" t="n">
        <v>10.02096953744</v>
      </c>
      <c r="FC112" s="180" t="n">
        <v>10.09070522546</v>
      </c>
      <c r="FD112" s="180" t="n">
        <v>10.16044091348</v>
      </c>
      <c r="FE112" s="180" t="n">
        <v>10.2301766015</v>
      </c>
      <c r="FF112" s="180" t="n">
        <v>10.29991228952</v>
      </c>
      <c r="FG112" s="180" t="n">
        <v>10.36964797754</v>
      </c>
      <c r="FH112" s="180" t="n">
        <v>10.43938366556</v>
      </c>
      <c r="FI112" s="180" t="n">
        <v>10.50911935358</v>
      </c>
      <c r="FJ112" s="180" t="n">
        <v>10.5788550416</v>
      </c>
      <c r="FK112" s="180" t="n">
        <v>10.64859072962</v>
      </c>
      <c r="FL112" s="180" t="n">
        <v>10.71832641764</v>
      </c>
      <c r="FM112" s="180" t="n">
        <v>10.78806210566</v>
      </c>
      <c r="FN112" s="180" t="n">
        <v>10.85779779368</v>
      </c>
      <c r="FO112" s="180" t="n">
        <v>10.9275334817</v>
      </c>
      <c r="FP112" s="180" t="n">
        <v>10.99726916972</v>
      </c>
      <c r="FQ112" s="180" t="n">
        <v>11.06700485774</v>
      </c>
      <c r="FR112" s="180" t="n">
        <v>11.13674054576</v>
      </c>
      <c r="FS112" s="180" t="n">
        <v>11.20647623378</v>
      </c>
      <c r="FT112" s="180" t="n">
        <v>11.2762119218</v>
      </c>
      <c r="FU112" s="180" t="n">
        <v>11.34594760982</v>
      </c>
      <c r="FV112" s="180" t="n">
        <v>11.41568329784</v>
      </c>
      <c r="FW112" s="180" t="n">
        <v>11.48541898586</v>
      </c>
      <c r="FX112" s="180" t="n">
        <v>11.55515467388</v>
      </c>
      <c r="FY112" s="180" t="n">
        <v>11.6248903619</v>
      </c>
      <c r="FZ112" s="180" t="n">
        <v>11.69462604992</v>
      </c>
      <c r="GA112" s="180" t="n">
        <v>11.76436173794</v>
      </c>
      <c r="GB112" s="180" t="n">
        <v>11.83409742596</v>
      </c>
      <c r="GC112" s="180" t="n">
        <v>11.90383311398</v>
      </c>
      <c r="GD112" s="180" t="n">
        <v>11.973568802</v>
      </c>
      <c r="GE112" s="180" t="n">
        <v>12.04330449002</v>
      </c>
      <c r="GF112" s="180" t="n">
        <v>12.11304017804</v>
      </c>
      <c r="GG112" s="180" t="n">
        <v>12.18277586606</v>
      </c>
      <c r="GH112" s="180" t="n">
        <v>12.25251155408</v>
      </c>
      <c r="GI112" s="180" t="n">
        <v>12.3222472421</v>
      </c>
      <c r="GJ112" s="180" t="n">
        <v>12.39198293012</v>
      </c>
      <c r="GK112" s="180" t="n">
        <v>12.46171861814</v>
      </c>
      <c r="GL112" s="180" t="n">
        <v>12.53145430616</v>
      </c>
      <c r="GM112" s="180" t="n">
        <v>12.60118999418</v>
      </c>
      <c r="GN112" s="180" t="n">
        <v>12.6709256822</v>
      </c>
      <c r="GO112" s="180" t="n">
        <v>12.74066137022</v>
      </c>
      <c r="GP112" s="180" t="n">
        <v>12.81039705824</v>
      </c>
      <c r="GQ112" s="180" t="n">
        <v>12.88013274626</v>
      </c>
      <c r="GR112" s="180" t="n">
        <v>12.94986843428</v>
      </c>
      <c r="GS112" s="180" t="n">
        <v>13.0196041223</v>
      </c>
      <c r="GT112" s="180" t="n">
        <v>13.08933981032</v>
      </c>
      <c r="GU112" s="180" t="n">
        <v>13.15907549834</v>
      </c>
      <c r="GV112" s="180" t="n">
        <v>13.22881118636</v>
      </c>
      <c r="GW112" s="180" t="n">
        <v>13.29854687438</v>
      </c>
      <c r="GX112" s="180" t="n">
        <v>13.3682825624</v>
      </c>
      <c r="GY112" s="180" t="n">
        <v>13.43801825042</v>
      </c>
      <c r="GZ112" s="180" t="n">
        <v>13.50775393844</v>
      </c>
      <c r="HA112" s="180" t="n">
        <v>13.57748962646</v>
      </c>
      <c r="HB112" s="180" t="n">
        <v>13.64722531448</v>
      </c>
      <c r="HC112" s="180" t="n">
        <v>13.7169610025</v>
      </c>
      <c r="HD112" s="180" t="n">
        <v>13.78669669052</v>
      </c>
      <c r="HE112" s="180" t="n">
        <v>13.85643237854</v>
      </c>
      <c r="HF112" s="180" t="n">
        <v>13.92616806656</v>
      </c>
      <c r="HG112" s="180" t="n">
        <v>13.99590375458</v>
      </c>
      <c r="HH112" s="180" t="n">
        <v>14.0656394426</v>
      </c>
      <c r="HI112" s="180" t="n">
        <v>14.13537513062</v>
      </c>
      <c r="HJ112" s="180" t="n">
        <v>14.20511081864</v>
      </c>
      <c r="HK112" s="180" t="n">
        <v>14.27484650666</v>
      </c>
      <c r="HL112" s="180" t="n">
        <v>14.34458219468</v>
      </c>
      <c r="HM112" s="180" t="n">
        <v>14.4143178827</v>
      </c>
      <c r="HN112" s="180" t="n">
        <v>14.48405357072</v>
      </c>
      <c r="HO112" s="180" t="n">
        <v>14.55378925874</v>
      </c>
      <c r="HP112" s="180" t="n">
        <v>14.62352494676</v>
      </c>
      <c r="HQ112" s="180" t="n">
        <v>14.69326063478</v>
      </c>
      <c r="HR112" s="180" t="n">
        <v>14.7629963228</v>
      </c>
      <c r="HS112" s="180" t="n">
        <v>14.83273201082</v>
      </c>
      <c r="HT112" s="180" t="n">
        <v>14.90246769884</v>
      </c>
      <c r="HU112" s="180" t="n">
        <v>14.97220338686</v>
      </c>
      <c r="HV112" s="180" t="n">
        <v>15.04193907488</v>
      </c>
      <c r="HW112" s="180" t="n">
        <v>15.1116747629</v>
      </c>
      <c r="HX112" s="180" t="n">
        <v>15.18141045092</v>
      </c>
      <c r="HY112" s="180" t="n">
        <v>15.25114613894</v>
      </c>
      <c r="HZ112" s="180" t="n">
        <v>15.32088182696</v>
      </c>
      <c r="IA112" s="180" t="n">
        <v>15.39061751498</v>
      </c>
      <c r="IB112" s="180" t="n">
        <v>15.460353203</v>
      </c>
      <c r="IC112" s="180" t="n">
        <v>15.53008889102</v>
      </c>
      <c r="ID112" s="180" t="n">
        <v>15.59982457904</v>
      </c>
      <c r="IE112" s="180" t="n">
        <v>15.66956026706</v>
      </c>
      <c r="IF112" s="180" t="n">
        <v>15.73929595508</v>
      </c>
      <c r="IG112" s="180" t="n">
        <v>15.8090316431</v>
      </c>
      <c r="IH112" s="180" t="n">
        <v>15.87876733112</v>
      </c>
      <c r="II112" s="180" t="n">
        <v>15.94850301914</v>
      </c>
      <c r="IJ112" s="180" t="n">
        <v>16.01823870716</v>
      </c>
      <c r="IK112" s="180" t="n">
        <v>16.08797439518</v>
      </c>
      <c r="IL112" s="180" t="n">
        <v>16.1577100832</v>
      </c>
      <c r="IM112" s="180" t="n">
        <v>16.22744577122</v>
      </c>
      <c r="IN112" s="180" t="n">
        <v>16.29718145924</v>
      </c>
      <c r="IO112" s="180" t="n">
        <v>16.36691714726</v>
      </c>
      <c r="IP112" s="180" t="n">
        <v>16.43665283528</v>
      </c>
      <c r="IQ112" s="180" t="n">
        <v>16.5063885233</v>
      </c>
      <c r="IR112" s="180" t="n">
        <v>16.57612421132</v>
      </c>
      <c r="IS112" s="180" t="n">
        <v>16.64585989934</v>
      </c>
      <c r="IT112" s="180" t="n">
        <v>16.71559558736</v>
      </c>
      <c r="IU112" s="180" t="n">
        <v>16.78533127538</v>
      </c>
      <c r="IV112" s="180" t="n">
        <v>16.8550669634</v>
      </c>
    </row>
    <row r="113" customFormat="false" ht="12.75" hidden="false" customHeight="false" outlineLevel="0" collapsed="false">
      <c r="A113" s="189" t="n">
        <v>40118</v>
      </c>
      <c r="B113" s="185" t="n">
        <v>-2.021005929375</v>
      </c>
      <c r="C113" s="185" t="n">
        <v>-1.9907047400625</v>
      </c>
      <c r="D113" s="185" t="n">
        <v>-1.96040355075</v>
      </c>
      <c r="E113" s="185" t="n">
        <v>-1.9301023614375</v>
      </c>
      <c r="F113" s="185" t="n">
        <v>-1.899801172125</v>
      </c>
      <c r="G113" s="185" t="n">
        <v>-1.8694999828125</v>
      </c>
      <c r="H113" s="185" t="n">
        <v>-1.8391987935</v>
      </c>
      <c r="I113" s="185" t="n">
        <v>-1.8088976041875</v>
      </c>
      <c r="J113" s="185" t="n">
        <v>-1.778596414875</v>
      </c>
      <c r="K113" s="185" t="n">
        <v>-1.7482952255625</v>
      </c>
      <c r="L113" s="185" t="n">
        <v>-1.71799403625</v>
      </c>
      <c r="M113" s="185" t="n">
        <v>-1.6876928469375</v>
      </c>
      <c r="N113" s="185" t="n">
        <v>-1.657391657625</v>
      </c>
      <c r="O113" s="185" t="n">
        <v>-1.6270904683125</v>
      </c>
      <c r="P113" s="185" t="n">
        <v>-1.596789279</v>
      </c>
      <c r="Q113" s="185" t="n">
        <v>-1.5664880896875</v>
      </c>
      <c r="R113" s="185" t="n">
        <v>-1.536186900375</v>
      </c>
      <c r="S113" s="185" t="n">
        <v>-1.5058857110625</v>
      </c>
      <c r="T113" s="185" t="n">
        <v>-1.47558452175</v>
      </c>
      <c r="U113" s="185" t="n">
        <v>-1.4452833324375</v>
      </c>
      <c r="V113" s="186" t="n">
        <v>-1.414982143125</v>
      </c>
      <c r="W113" s="185" t="n">
        <v>-1.3846809538125</v>
      </c>
      <c r="X113" s="186" t="n">
        <v>-1.3543797645</v>
      </c>
      <c r="Y113" s="185" t="n">
        <v>-1.3240785751875</v>
      </c>
      <c r="Z113" s="186" t="n">
        <v>-1.293777385875</v>
      </c>
      <c r="AA113" s="185" t="n">
        <v>-1.2634761965625</v>
      </c>
      <c r="AB113" s="187" t="n">
        <v>-1.23317500725</v>
      </c>
      <c r="AC113" s="185" t="n">
        <v>-1.2028738179375</v>
      </c>
      <c r="AD113" s="187" t="n">
        <v>-1.172572628625</v>
      </c>
      <c r="AE113" s="185" t="n">
        <v>-1.1422714393125</v>
      </c>
      <c r="AF113" s="185" t="n">
        <v>-1.11197025</v>
      </c>
      <c r="AG113" s="190" t="n">
        <v>-1.083235125</v>
      </c>
      <c r="AH113" s="190" t="n">
        <v>-1.0545</v>
      </c>
      <c r="AI113" s="190" t="n">
        <v>-1.02725</v>
      </c>
      <c r="AJ113" s="190" t="n">
        <v>-1</v>
      </c>
      <c r="AK113" s="190" t="n">
        <v>-0.8</v>
      </c>
      <c r="AL113" s="190" t="n">
        <v>-0.6</v>
      </c>
      <c r="AM113" s="190" t="n">
        <v>-0.4</v>
      </c>
      <c r="AN113" s="190" t="n">
        <v>-0.2</v>
      </c>
      <c r="AO113" s="190" t="n">
        <v>0</v>
      </c>
      <c r="AP113" s="190" t="n">
        <v>0.2</v>
      </c>
      <c r="AQ113" s="190" t="n">
        <v>0.4</v>
      </c>
      <c r="AR113" s="190" t="n">
        <v>0.6</v>
      </c>
      <c r="AS113" s="190" t="n">
        <v>0.8</v>
      </c>
      <c r="AT113" s="190" t="n">
        <v>1</v>
      </c>
      <c r="AU113" s="190" t="n">
        <v>1.2</v>
      </c>
      <c r="AV113" s="190" t="n">
        <v>1.4</v>
      </c>
      <c r="AW113" s="190" t="n">
        <v>1.58</v>
      </c>
      <c r="AX113" s="190" t="n">
        <v>1.76</v>
      </c>
      <c r="AY113" s="190" t="n">
        <v>1.922</v>
      </c>
      <c r="AZ113" s="190" t="n">
        <v>2.084</v>
      </c>
      <c r="BA113" s="190" t="n">
        <v>2.2298</v>
      </c>
      <c r="BB113" s="190" t="n">
        <v>2.3756</v>
      </c>
      <c r="BC113" s="190" t="n">
        <v>2.50682</v>
      </c>
      <c r="BD113" s="190" t="n">
        <v>2.63804</v>
      </c>
      <c r="BE113" s="190" t="n">
        <v>2.756138</v>
      </c>
      <c r="BF113" s="190" t="n">
        <v>2.874236</v>
      </c>
      <c r="BG113" s="190" t="n">
        <v>2.9805242</v>
      </c>
      <c r="BH113" s="190" t="n">
        <v>3.0868124</v>
      </c>
      <c r="BI113" s="190" t="n">
        <v>3.18247178</v>
      </c>
      <c r="BJ113" s="190" t="n">
        <v>3.27813116</v>
      </c>
      <c r="BK113" s="190" t="n">
        <v>3.364224602</v>
      </c>
      <c r="BL113" s="190" t="n">
        <v>3.450318044</v>
      </c>
      <c r="BM113" s="190" t="n">
        <v>3.5278021418</v>
      </c>
      <c r="BN113" s="190" t="n">
        <v>3.6052862396</v>
      </c>
      <c r="BO113" s="190" t="n">
        <v>3.67502192762</v>
      </c>
      <c r="BP113" s="190" t="n">
        <v>3.74475761564</v>
      </c>
      <c r="BQ113" s="190" t="n">
        <v>3.81449330366</v>
      </c>
      <c r="BR113" s="190" t="n">
        <v>3.88422899168</v>
      </c>
      <c r="BS113" s="190" t="n">
        <v>3.9539646797</v>
      </c>
      <c r="BT113" s="190" t="n">
        <v>4.02370036772</v>
      </c>
      <c r="BU113" s="190" t="n">
        <v>4.09343605574</v>
      </c>
      <c r="BV113" s="190" t="n">
        <v>4.16317174376</v>
      </c>
      <c r="BW113" s="190" t="n">
        <v>4.23290743178</v>
      </c>
      <c r="BX113" s="190" t="n">
        <v>4.3026431198</v>
      </c>
      <c r="BY113" s="190" t="n">
        <v>4.37237880782</v>
      </c>
      <c r="BZ113" s="190" t="n">
        <v>4.44211449584</v>
      </c>
      <c r="CA113" s="190" t="n">
        <v>4.51185018386</v>
      </c>
      <c r="CB113" s="190" t="n">
        <v>4.58158587188</v>
      </c>
      <c r="CC113" s="190" t="n">
        <v>4.6513215599</v>
      </c>
      <c r="CD113" s="190" t="n">
        <v>4.72105724792</v>
      </c>
      <c r="CE113" s="190" t="n">
        <v>4.79079293594</v>
      </c>
      <c r="CF113" s="190" t="n">
        <v>4.86052862396</v>
      </c>
      <c r="CG113" s="190" t="n">
        <v>4.93026431198</v>
      </c>
      <c r="CH113" s="190" t="n">
        <v>5</v>
      </c>
      <c r="CI113" s="190" t="n">
        <v>5.06973568801999</v>
      </c>
      <c r="CJ113" s="190" t="n">
        <v>5.13947137603999</v>
      </c>
      <c r="CK113" s="190" t="n">
        <v>5.20920706405999</v>
      </c>
      <c r="CL113" s="190" t="n">
        <v>5.27894275207999</v>
      </c>
      <c r="CM113" s="190" t="n">
        <v>5.34867844009999</v>
      </c>
      <c r="CN113" s="190" t="n">
        <v>5.41841412811999</v>
      </c>
      <c r="CO113" s="190" t="n">
        <v>5.48814981613999</v>
      </c>
      <c r="CP113" s="190" t="n">
        <v>5.55788550415999</v>
      </c>
      <c r="CQ113" s="190" t="n">
        <v>5.62762119217999</v>
      </c>
      <c r="CR113" s="190" t="n">
        <v>5.69735688019999</v>
      </c>
      <c r="CS113" s="190" t="n">
        <v>5.76709256821999</v>
      </c>
      <c r="CT113" s="190" t="n">
        <v>5.83682825623999</v>
      </c>
      <c r="CU113" s="190" t="n">
        <v>5.90656394425999</v>
      </c>
      <c r="CV113" s="190" t="n">
        <v>5.97629963227999</v>
      </c>
      <c r="CW113" s="190" t="n">
        <v>6.04603532029999</v>
      </c>
      <c r="CX113" s="190" t="n">
        <v>6.11577100831999</v>
      </c>
      <c r="CY113" s="190" t="n">
        <v>6.18550669633999</v>
      </c>
      <c r="CZ113" s="190" t="n">
        <v>6.25524238435999</v>
      </c>
      <c r="DA113" s="190" t="n">
        <v>6.32497807237999</v>
      </c>
      <c r="DB113" s="190" t="n">
        <v>6.39471376039999</v>
      </c>
      <c r="DC113" s="190" t="n">
        <v>6.46444944841999</v>
      </c>
      <c r="DD113" s="190" t="n">
        <v>6.53418513643999</v>
      </c>
      <c r="DE113" s="190" t="n">
        <v>6.60392082445999</v>
      </c>
      <c r="DF113" s="190" t="n">
        <v>6.67365651247999</v>
      </c>
      <c r="DG113" s="190" t="n">
        <v>6.74339220049999</v>
      </c>
      <c r="DH113" s="190" t="n">
        <v>6.81312788851999</v>
      </c>
      <c r="DI113" s="190" t="n">
        <v>6.88286357653999</v>
      </c>
      <c r="DJ113" s="190" t="n">
        <v>6.95259926455999</v>
      </c>
      <c r="DK113" s="190" t="n">
        <v>7.02233495257999</v>
      </c>
      <c r="DL113" s="190" t="n">
        <v>7.09207064059999</v>
      </c>
      <c r="DM113" s="190" t="n">
        <v>7.16180632861999</v>
      </c>
      <c r="DN113" s="190" t="n">
        <v>7.23154201663999</v>
      </c>
      <c r="DO113" s="190" t="n">
        <v>7.30127770465999</v>
      </c>
      <c r="DP113" s="190" t="n">
        <v>7.37101339267999</v>
      </c>
      <c r="DQ113" s="190" t="n">
        <v>7.44074908069999</v>
      </c>
      <c r="DR113" s="190" t="n">
        <v>7.51048476871999</v>
      </c>
      <c r="DS113" s="190" t="n">
        <v>7.58022045673999</v>
      </c>
      <c r="DT113" s="190" t="n">
        <v>7.64995614475999</v>
      </c>
      <c r="DU113" s="190" t="n">
        <v>7.71969183277999</v>
      </c>
      <c r="DV113" s="190" t="n">
        <v>7.78942752079998</v>
      </c>
      <c r="DW113" s="190" t="n">
        <v>7.85916320881998</v>
      </c>
      <c r="DX113" s="190" t="n">
        <v>7.92889889683998</v>
      </c>
      <c r="DY113" s="190" t="n">
        <v>7.99863458485998</v>
      </c>
      <c r="DZ113" s="190" t="n">
        <v>8.06837027287998</v>
      </c>
      <c r="EA113" s="190" t="n">
        <v>8.13810596089998</v>
      </c>
      <c r="EB113" s="190" t="n">
        <v>8.20784164891998</v>
      </c>
      <c r="EC113" s="190" t="n">
        <v>8.27757733693998</v>
      </c>
      <c r="ED113" s="190" t="n">
        <v>8.34731302495998</v>
      </c>
      <c r="EE113" s="190" t="n">
        <v>8.41704871297998</v>
      </c>
      <c r="EF113" s="190" t="n">
        <v>8.48678440099998</v>
      </c>
      <c r="EG113" s="190" t="n">
        <v>8.55652008901998</v>
      </c>
      <c r="EH113" s="190" t="n">
        <v>8.62625577703998</v>
      </c>
      <c r="EI113" s="190" t="n">
        <v>8.69599146505998</v>
      </c>
      <c r="EJ113" s="190" t="n">
        <v>8.76572715307998</v>
      </c>
      <c r="EK113" s="190" t="n">
        <v>8.83546284109998</v>
      </c>
      <c r="EL113" s="180" t="n">
        <v>8.90519852911998</v>
      </c>
      <c r="EM113" s="180" t="n">
        <v>8.97493421713998</v>
      </c>
      <c r="EN113" s="180" t="n">
        <v>9.04466990515998</v>
      </c>
      <c r="EO113" s="180" t="n">
        <v>9.11440559317998</v>
      </c>
      <c r="EP113" s="180" t="n">
        <v>9.18414128119998</v>
      </c>
      <c r="EQ113" s="180" t="n">
        <v>9.25387696921998</v>
      </c>
      <c r="ER113" s="180" t="n">
        <v>9.32361265723998</v>
      </c>
      <c r="ES113" s="180" t="n">
        <v>9.39334834525998</v>
      </c>
      <c r="ET113" s="180" t="n">
        <v>9.46308403327998</v>
      </c>
      <c r="EU113" s="180" t="n">
        <v>9.53281972129998</v>
      </c>
      <c r="EV113" s="180" t="n">
        <v>9.60255540931998</v>
      </c>
      <c r="EW113" s="180" t="n">
        <v>9.67229109733998</v>
      </c>
      <c r="EX113" s="180" t="n">
        <v>9.74202678535998</v>
      </c>
      <c r="EY113" s="180" t="n">
        <v>9.81176247337998</v>
      </c>
      <c r="EZ113" s="180" t="n">
        <v>9.88149816139998</v>
      </c>
      <c r="FA113" s="180" t="n">
        <v>9.95123384941998</v>
      </c>
      <c r="FB113" s="180" t="n">
        <v>10.02096953744</v>
      </c>
      <c r="FC113" s="180" t="n">
        <v>10.09070522546</v>
      </c>
      <c r="FD113" s="180" t="n">
        <v>10.16044091348</v>
      </c>
      <c r="FE113" s="180" t="n">
        <v>10.2301766015</v>
      </c>
      <c r="FF113" s="180" t="n">
        <v>10.29991228952</v>
      </c>
      <c r="FG113" s="180" t="n">
        <v>10.36964797754</v>
      </c>
      <c r="FH113" s="180" t="n">
        <v>10.43938366556</v>
      </c>
      <c r="FI113" s="180" t="n">
        <v>10.50911935358</v>
      </c>
      <c r="FJ113" s="180" t="n">
        <v>10.5788550416</v>
      </c>
      <c r="FK113" s="180" t="n">
        <v>10.64859072962</v>
      </c>
      <c r="FL113" s="180" t="n">
        <v>10.71832641764</v>
      </c>
      <c r="FM113" s="180" t="n">
        <v>10.78806210566</v>
      </c>
      <c r="FN113" s="180" t="n">
        <v>10.85779779368</v>
      </c>
      <c r="FO113" s="180" t="n">
        <v>10.9275334817</v>
      </c>
      <c r="FP113" s="180" t="n">
        <v>10.99726916972</v>
      </c>
      <c r="FQ113" s="180" t="n">
        <v>11.06700485774</v>
      </c>
      <c r="FR113" s="180" t="n">
        <v>11.13674054576</v>
      </c>
      <c r="FS113" s="180" t="n">
        <v>11.20647623378</v>
      </c>
      <c r="FT113" s="180" t="n">
        <v>11.2762119218</v>
      </c>
      <c r="FU113" s="180" t="n">
        <v>11.34594760982</v>
      </c>
      <c r="FV113" s="180" t="n">
        <v>11.41568329784</v>
      </c>
      <c r="FW113" s="180" t="n">
        <v>11.48541898586</v>
      </c>
      <c r="FX113" s="180" t="n">
        <v>11.55515467388</v>
      </c>
      <c r="FY113" s="180" t="n">
        <v>11.6248903619</v>
      </c>
      <c r="FZ113" s="180" t="n">
        <v>11.69462604992</v>
      </c>
      <c r="GA113" s="180" t="n">
        <v>11.76436173794</v>
      </c>
      <c r="GB113" s="180" t="n">
        <v>11.83409742596</v>
      </c>
      <c r="GC113" s="180" t="n">
        <v>11.90383311398</v>
      </c>
      <c r="GD113" s="180" t="n">
        <v>11.973568802</v>
      </c>
      <c r="GE113" s="180" t="n">
        <v>12.04330449002</v>
      </c>
      <c r="GF113" s="180" t="n">
        <v>12.11304017804</v>
      </c>
      <c r="GG113" s="180" t="n">
        <v>12.18277586606</v>
      </c>
      <c r="GH113" s="180" t="n">
        <v>12.25251155408</v>
      </c>
      <c r="GI113" s="180" t="n">
        <v>12.3222472421</v>
      </c>
      <c r="GJ113" s="180" t="n">
        <v>12.39198293012</v>
      </c>
      <c r="GK113" s="180" t="n">
        <v>12.46171861814</v>
      </c>
      <c r="GL113" s="180" t="n">
        <v>12.53145430616</v>
      </c>
      <c r="GM113" s="180" t="n">
        <v>12.60118999418</v>
      </c>
      <c r="GN113" s="180" t="n">
        <v>12.6709256822</v>
      </c>
      <c r="GO113" s="180" t="n">
        <v>12.74066137022</v>
      </c>
      <c r="GP113" s="180" t="n">
        <v>12.81039705824</v>
      </c>
      <c r="GQ113" s="180" t="n">
        <v>12.88013274626</v>
      </c>
      <c r="GR113" s="180" t="n">
        <v>12.94986843428</v>
      </c>
      <c r="GS113" s="180" t="n">
        <v>13.0196041223</v>
      </c>
      <c r="GT113" s="180" t="n">
        <v>13.08933981032</v>
      </c>
      <c r="GU113" s="180" t="n">
        <v>13.15907549834</v>
      </c>
      <c r="GV113" s="180" t="n">
        <v>13.22881118636</v>
      </c>
      <c r="GW113" s="180" t="n">
        <v>13.29854687438</v>
      </c>
      <c r="GX113" s="180" t="n">
        <v>13.3682825624</v>
      </c>
      <c r="GY113" s="180" t="n">
        <v>13.43801825042</v>
      </c>
      <c r="GZ113" s="180" t="n">
        <v>13.50775393844</v>
      </c>
      <c r="HA113" s="180" t="n">
        <v>13.57748962646</v>
      </c>
      <c r="HB113" s="180" t="n">
        <v>13.64722531448</v>
      </c>
      <c r="HC113" s="180" t="n">
        <v>13.7169610025</v>
      </c>
      <c r="HD113" s="180" t="n">
        <v>13.78669669052</v>
      </c>
      <c r="HE113" s="180" t="n">
        <v>13.85643237854</v>
      </c>
      <c r="HF113" s="180" t="n">
        <v>13.92616806656</v>
      </c>
      <c r="HG113" s="180" t="n">
        <v>13.99590375458</v>
      </c>
      <c r="HH113" s="180" t="n">
        <v>14.0656394426</v>
      </c>
      <c r="HI113" s="180" t="n">
        <v>14.13537513062</v>
      </c>
      <c r="HJ113" s="180" t="n">
        <v>14.20511081864</v>
      </c>
      <c r="HK113" s="180" t="n">
        <v>14.27484650666</v>
      </c>
      <c r="HL113" s="180" t="n">
        <v>14.34458219468</v>
      </c>
      <c r="HM113" s="180" t="n">
        <v>14.4143178827</v>
      </c>
      <c r="HN113" s="180" t="n">
        <v>14.48405357072</v>
      </c>
      <c r="HO113" s="180" t="n">
        <v>14.55378925874</v>
      </c>
      <c r="HP113" s="180" t="n">
        <v>14.62352494676</v>
      </c>
      <c r="HQ113" s="180" t="n">
        <v>14.69326063478</v>
      </c>
      <c r="HR113" s="180" t="n">
        <v>14.7629963228</v>
      </c>
      <c r="HS113" s="180" t="n">
        <v>14.83273201082</v>
      </c>
      <c r="HT113" s="180" t="n">
        <v>14.90246769884</v>
      </c>
      <c r="HU113" s="180" t="n">
        <v>14.97220338686</v>
      </c>
      <c r="HV113" s="180" t="n">
        <v>15.04193907488</v>
      </c>
      <c r="HW113" s="180" t="n">
        <v>15.1116747629</v>
      </c>
      <c r="HX113" s="180" t="n">
        <v>15.18141045092</v>
      </c>
      <c r="HY113" s="180" t="n">
        <v>15.25114613894</v>
      </c>
      <c r="HZ113" s="180" t="n">
        <v>15.32088182696</v>
      </c>
      <c r="IA113" s="180" t="n">
        <v>15.39061751498</v>
      </c>
      <c r="IB113" s="180" t="n">
        <v>15.460353203</v>
      </c>
      <c r="IC113" s="180" t="n">
        <v>15.53008889102</v>
      </c>
      <c r="ID113" s="180" t="n">
        <v>15.59982457904</v>
      </c>
      <c r="IE113" s="180" t="n">
        <v>15.66956026706</v>
      </c>
      <c r="IF113" s="180" t="n">
        <v>15.73929595508</v>
      </c>
      <c r="IG113" s="180" t="n">
        <v>15.8090316431</v>
      </c>
      <c r="IH113" s="180" t="n">
        <v>15.87876733112</v>
      </c>
      <c r="II113" s="180" t="n">
        <v>15.94850301914</v>
      </c>
      <c r="IJ113" s="180" t="n">
        <v>16.01823870716</v>
      </c>
      <c r="IK113" s="180" t="n">
        <v>16.08797439518</v>
      </c>
      <c r="IL113" s="180" t="n">
        <v>16.1577100832</v>
      </c>
      <c r="IM113" s="180" t="n">
        <v>16.22744577122</v>
      </c>
      <c r="IN113" s="180" t="n">
        <v>16.29718145924</v>
      </c>
      <c r="IO113" s="180" t="n">
        <v>16.36691714726</v>
      </c>
      <c r="IP113" s="180" t="n">
        <v>16.43665283528</v>
      </c>
      <c r="IQ113" s="180" t="n">
        <v>16.5063885233</v>
      </c>
      <c r="IR113" s="180" t="n">
        <v>16.57612421132</v>
      </c>
      <c r="IS113" s="180" t="n">
        <v>16.64585989934</v>
      </c>
      <c r="IT113" s="180" t="n">
        <v>16.71559558736</v>
      </c>
      <c r="IU113" s="180" t="n">
        <v>16.78533127538</v>
      </c>
      <c r="IV113" s="180" t="n">
        <v>16.8550669634</v>
      </c>
    </row>
    <row r="114" customFormat="false" ht="12.75" hidden="false" customHeight="false" outlineLevel="0" collapsed="false">
      <c r="A114" s="189" t="n">
        <v>40148</v>
      </c>
      <c r="B114" s="185" t="n">
        <v>-2.021005929375</v>
      </c>
      <c r="C114" s="185" t="n">
        <v>-1.9907047400625</v>
      </c>
      <c r="D114" s="185" t="n">
        <v>-1.96040355075</v>
      </c>
      <c r="E114" s="185" t="n">
        <v>-1.9301023614375</v>
      </c>
      <c r="F114" s="185" t="n">
        <v>-1.899801172125</v>
      </c>
      <c r="G114" s="185" t="n">
        <v>-1.8694999828125</v>
      </c>
      <c r="H114" s="185" t="n">
        <v>-1.8391987935</v>
      </c>
      <c r="I114" s="185" t="n">
        <v>-1.8088976041875</v>
      </c>
      <c r="J114" s="185" t="n">
        <v>-1.778596414875</v>
      </c>
      <c r="K114" s="185" t="n">
        <v>-1.7482952255625</v>
      </c>
      <c r="L114" s="185" t="n">
        <v>-1.71799403625</v>
      </c>
      <c r="M114" s="185" t="n">
        <v>-1.6876928469375</v>
      </c>
      <c r="N114" s="185" t="n">
        <v>-1.657391657625</v>
      </c>
      <c r="O114" s="185" t="n">
        <v>-1.6270904683125</v>
      </c>
      <c r="P114" s="185" t="n">
        <v>-1.596789279</v>
      </c>
      <c r="Q114" s="185" t="n">
        <v>-1.5664880896875</v>
      </c>
      <c r="R114" s="185" t="n">
        <v>-1.536186900375</v>
      </c>
      <c r="S114" s="185" t="n">
        <v>-1.5058857110625</v>
      </c>
      <c r="T114" s="185" t="n">
        <v>-1.47558452175</v>
      </c>
      <c r="U114" s="185" t="n">
        <v>-1.4452833324375</v>
      </c>
      <c r="V114" s="186" t="n">
        <v>-1.414982143125</v>
      </c>
      <c r="W114" s="185" t="n">
        <v>-1.3846809538125</v>
      </c>
      <c r="X114" s="186" t="n">
        <v>-1.3543797645</v>
      </c>
      <c r="Y114" s="185" t="n">
        <v>-1.3240785751875</v>
      </c>
      <c r="Z114" s="186" t="n">
        <v>-1.293777385875</v>
      </c>
      <c r="AA114" s="185" t="n">
        <v>-1.2634761965625</v>
      </c>
      <c r="AB114" s="187" t="n">
        <v>-1.23317500725</v>
      </c>
      <c r="AC114" s="185" t="n">
        <v>-1.2028738179375</v>
      </c>
      <c r="AD114" s="187" t="n">
        <v>-1.172572628625</v>
      </c>
      <c r="AE114" s="185" t="n">
        <v>-1.1422714393125</v>
      </c>
      <c r="AF114" s="185" t="n">
        <v>-1.11197025</v>
      </c>
      <c r="AG114" s="190" t="n">
        <v>-1.083235125</v>
      </c>
      <c r="AH114" s="190" t="n">
        <v>-1.0545</v>
      </c>
      <c r="AI114" s="190" t="n">
        <v>-1.02725</v>
      </c>
      <c r="AJ114" s="190" t="n">
        <v>-1</v>
      </c>
      <c r="AK114" s="190" t="n">
        <v>-0.8</v>
      </c>
      <c r="AL114" s="190" t="n">
        <v>-0.6</v>
      </c>
      <c r="AM114" s="190" t="n">
        <v>-0.4</v>
      </c>
      <c r="AN114" s="190" t="n">
        <v>-0.2</v>
      </c>
      <c r="AO114" s="190" t="n">
        <v>0</v>
      </c>
      <c r="AP114" s="190" t="n">
        <v>0.2</v>
      </c>
      <c r="AQ114" s="190" t="n">
        <v>0.4</v>
      </c>
      <c r="AR114" s="190" t="n">
        <v>0.6</v>
      </c>
      <c r="AS114" s="190" t="n">
        <v>0.8</v>
      </c>
      <c r="AT114" s="190" t="n">
        <v>1</v>
      </c>
      <c r="AU114" s="190" t="n">
        <v>1.2</v>
      </c>
      <c r="AV114" s="190" t="n">
        <v>1.4</v>
      </c>
      <c r="AW114" s="190" t="n">
        <v>1.58</v>
      </c>
      <c r="AX114" s="190" t="n">
        <v>1.76</v>
      </c>
      <c r="AY114" s="190" t="n">
        <v>1.922</v>
      </c>
      <c r="AZ114" s="190" t="n">
        <v>2.084</v>
      </c>
      <c r="BA114" s="190" t="n">
        <v>2.2298</v>
      </c>
      <c r="BB114" s="190" t="n">
        <v>2.3756</v>
      </c>
      <c r="BC114" s="190" t="n">
        <v>2.50682</v>
      </c>
      <c r="BD114" s="190" t="n">
        <v>2.63804</v>
      </c>
      <c r="BE114" s="190" t="n">
        <v>2.756138</v>
      </c>
      <c r="BF114" s="190" t="n">
        <v>2.874236</v>
      </c>
      <c r="BG114" s="190" t="n">
        <v>2.9805242</v>
      </c>
      <c r="BH114" s="190" t="n">
        <v>3.0868124</v>
      </c>
      <c r="BI114" s="190" t="n">
        <v>3.18247178</v>
      </c>
      <c r="BJ114" s="190" t="n">
        <v>3.27813116</v>
      </c>
      <c r="BK114" s="190" t="n">
        <v>3.364224602</v>
      </c>
      <c r="BL114" s="190" t="n">
        <v>3.450318044</v>
      </c>
      <c r="BM114" s="190" t="n">
        <v>3.5278021418</v>
      </c>
      <c r="BN114" s="190" t="n">
        <v>3.6052862396</v>
      </c>
      <c r="BO114" s="190" t="n">
        <v>3.67502192762</v>
      </c>
      <c r="BP114" s="190" t="n">
        <v>3.74475761564</v>
      </c>
      <c r="BQ114" s="190" t="n">
        <v>3.81449330366</v>
      </c>
      <c r="BR114" s="190" t="n">
        <v>3.88422899168</v>
      </c>
      <c r="BS114" s="190" t="n">
        <v>3.9539646797</v>
      </c>
      <c r="BT114" s="190" t="n">
        <v>4.02370036772</v>
      </c>
      <c r="BU114" s="190" t="n">
        <v>4.09343605574</v>
      </c>
      <c r="BV114" s="190" t="n">
        <v>4.16317174376</v>
      </c>
      <c r="BW114" s="190" t="n">
        <v>4.23290743178</v>
      </c>
      <c r="BX114" s="190" t="n">
        <v>4.3026431198</v>
      </c>
      <c r="BY114" s="190" t="n">
        <v>4.37237880782</v>
      </c>
      <c r="BZ114" s="190" t="n">
        <v>4.44211449584</v>
      </c>
      <c r="CA114" s="190" t="n">
        <v>4.51185018386</v>
      </c>
      <c r="CB114" s="190" t="n">
        <v>4.58158587188</v>
      </c>
      <c r="CC114" s="190" t="n">
        <v>4.6513215599</v>
      </c>
      <c r="CD114" s="190" t="n">
        <v>4.72105724792</v>
      </c>
      <c r="CE114" s="190" t="n">
        <v>4.79079293594</v>
      </c>
      <c r="CF114" s="190" t="n">
        <v>4.86052862396</v>
      </c>
      <c r="CG114" s="190" t="n">
        <v>4.93026431198</v>
      </c>
      <c r="CH114" s="190" t="n">
        <v>5</v>
      </c>
      <c r="CI114" s="190" t="n">
        <v>5.06973568801999</v>
      </c>
      <c r="CJ114" s="190" t="n">
        <v>5.13947137603999</v>
      </c>
      <c r="CK114" s="190" t="n">
        <v>5.20920706405999</v>
      </c>
      <c r="CL114" s="190" t="n">
        <v>5.27894275207999</v>
      </c>
      <c r="CM114" s="190" t="n">
        <v>5.34867844009999</v>
      </c>
      <c r="CN114" s="190" t="n">
        <v>5.41841412811999</v>
      </c>
      <c r="CO114" s="190" t="n">
        <v>5.48814981613999</v>
      </c>
      <c r="CP114" s="190" t="n">
        <v>5.55788550415999</v>
      </c>
      <c r="CQ114" s="190" t="n">
        <v>5.62762119217999</v>
      </c>
      <c r="CR114" s="190" t="n">
        <v>5.69735688019999</v>
      </c>
      <c r="CS114" s="190" t="n">
        <v>5.76709256821999</v>
      </c>
      <c r="CT114" s="190" t="n">
        <v>5.83682825623999</v>
      </c>
      <c r="CU114" s="190" t="n">
        <v>5.90656394425999</v>
      </c>
      <c r="CV114" s="190" t="n">
        <v>5.97629963227999</v>
      </c>
      <c r="CW114" s="190" t="n">
        <v>6.04603532029999</v>
      </c>
      <c r="CX114" s="190" t="n">
        <v>6.11577100831999</v>
      </c>
      <c r="CY114" s="190" t="n">
        <v>6.18550669633999</v>
      </c>
      <c r="CZ114" s="190" t="n">
        <v>6.25524238435999</v>
      </c>
      <c r="DA114" s="190" t="n">
        <v>6.32497807237999</v>
      </c>
      <c r="DB114" s="190" t="n">
        <v>6.39471376039999</v>
      </c>
      <c r="DC114" s="190" t="n">
        <v>6.46444944841999</v>
      </c>
      <c r="DD114" s="190" t="n">
        <v>6.53418513643999</v>
      </c>
      <c r="DE114" s="190" t="n">
        <v>6.60392082445999</v>
      </c>
      <c r="DF114" s="190" t="n">
        <v>6.67365651247999</v>
      </c>
      <c r="DG114" s="190" t="n">
        <v>6.74339220049999</v>
      </c>
      <c r="DH114" s="190" t="n">
        <v>6.81312788851999</v>
      </c>
      <c r="DI114" s="190" t="n">
        <v>6.88286357653999</v>
      </c>
      <c r="DJ114" s="190" t="n">
        <v>6.95259926455999</v>
      </c>
      <c r="DK114" s="190" t="n">
        <v>7.02233495257999</v>
      </c>
      <c r="DL114" s="190" t="n">
        <v>7.09207064059999</v>
      </c>
      <c r="DM114" s="190" t="n">
        <v>7.16180632861999</v>
      </c>
      <c r="DN114" s="190" t="n">
        <v>7.23154201663999</v>
      </c>
      <c r="DO114" s="190" t="n">
        <v>7.30127770465999</v>
      </c>
      <c r="DP114" s="190" t="n">
        <v>7.37101339267999</v>
      </c>
      <c r="DQ114" s="190" t="n">
        <v>7.44074908069999</v>
      </c>
      <c r="DR114" s="190" t="n">
        <v>7.51048476871999</v>
      </c>
      <c r="DS114" s="190" t="n">
        <v>7.58022045673999</v>
      </c>
      <c r="DT114" s="190" t="n">
        <v>7.64995614475999</v>
      </c>
      <c r="DU114" s="190" t="n">
        <v>7.71969183277999</v>
      </c>
      <c r="DV114" s="190" t="n">
        <v>7.78942752079998</v>
      </c>
      <c r="DW114" s="190" t="n">
        <v>7.85916320881998</v>
      </c>
      <c r="DX114" s="190" t="n">
        <v>7.92889889683998</v>
      </c>
      <c r="DY114" s="190" t="n">
        <v>7.99863458485998</v>
      </c>
      <c r="DZ114" s="190" t="n">
        <v>8.06837027287998</v>
      </c>
      <c r="EA114" s="190" t="n">
        <v>8.13810596089998</v>
      </c>
      <c r="EB114" s="190" t="n">
        <v>8.20784164891998</v>
      </c>
      <c r="EC114" s="190" t="n">
        <v>8.27757733693998</v>
      </c>
      <c r="ED114" s="190" t="n">
        <v>8.34731302495998</v>
      </c>
      <c r="EE114" s="190" t="n">
        <v>8.41704871297998</v>
      </c>
      <c r="EF114" s="190" t="n">
        <v>8.48678440099998</v>
      </c>
      <c r="EG114" s="190" t="n">
        <v>8.55652008901998</v>
      </c>
      <c r="EH114" s="190" t="n">
        <v>8.62625577703998</v>
      </c>
      <c r="EI114" s="190" t="n">
        <v>8.69599146505998</v>
      </c>
      <c r="EJ114" s="190" t="n">
        <v>8.76572715307998</v>
      </c>
      <c r="EK114" s="190" t="n">
        <v>8.83546284109998</v>
      </c>
      <c r="EL114" s="180" t="n">
        <v>8.90519852911998</v>
      </c>
      <c r="EM114" s="180" t="n">
        <v>8.97493421713998</v>
      </c>
      <c r="EN114" s="180" t="n">
        <v>9.04466990515998</v>
      </c>
      <c r="EO114" s="180" t="n">
        <v>9.11440559317998</v>
      </c>
      <c r="EP114" s="180" t="n">
        <v>9.18414128119998</v>
      </c>
      <c r="EQ114" s="180" t="n">
        <v>9.25387696921998</v>
      </c>
      <c r="ER114" s="180" t="n">
        <v>9.32361265723998</v>
      </c>
      <c r="ES114" s="180" t="n">
        <v>9.39334834525998</v>
      </c>
      <c r="ET114" s="180" t="n">
        <v>9.46308403327998</v>
      </c>
      <c r="EU114" s="180" t="n">
        <v>9.53281972129998</v>
      </c>
      <c r="EV114" s="180" t="n">
        <v>9.60255540931998</v>
      </c>
      <c r="EW114" s="180" t="n">
        <v>9.67229109733998</v>
      </c>
      <c r="EX114" s="180" t="n">
        <v>9.74202678535998</v>
      </c>
      <c r="EY114" s="180" t="n">
        <v>9.81176247337998</v>
      </c>
      <c r="EZ114" s="180" t="n">
        <v>9.88149816139998</v>
      </c>
      <c r="FA114" s="180" t="n">
        <v>9.95123384941998</v>
      </c>
      <c r="FB114" s="180" t="n">
        <v>10.02096953744</v>
      </c>
      <c r="FC114" s="180" t="n">
        <v>10.09070522546</v>
      </c>
      <c r="FD114" s="180" t="n">
        <v>10.16044091348</v>
      </c>
      <c r="FE114" s="180" t="n">
        <v>10.2301766015</v>
      </c>
      <c r="FF114" s="180" t="n">
        <v>10.29991228952</v>
      </c>
      <c r="FG114" s="180" t="n">
        <v>10.36964797754</v>
      </c>
      <c r="FH114" s="180" t="n">
        <v>10.43938366556</v>
      </c>
      <c r="FI114" s="180" t="n">
        <v>10.50911935358</v>
      </c>
      <c r="FJ114" s="180" t="n">
        <v>10.5788550416</v>
      </c>
      <c r="FK114" s="180" t="n">
        <v>10.64859072962</v>
      </c>
      <c r="FL114" s="180" t="n">
        <v>10.71832641764</v>
      </c>
      <c r="FM114" s="180" t="n">
        <v>10.78806210566</v>
      </c>
      <c r="FN114" s="180" t="n">
        <v>10.85779779368</v>
      </c>
      <c r="FO114" s="180" t="n">
        <v>10.9275334817</v>
      </c>
      <c r="FP114" s="180" t="n">
        <v>10.99726916972</v>
      </c>
      <c r="FQ114" s="180" t="n">
        <v>11.06700485774</v>
      </c>
      <c r="FR114" s="180" t="n">
        <v>11.13674054576</v>
      </c>
      <c r="FS114" s="180" t="n">
        <v>11.20647623378</v>
      </c>
      <c r="FT114" s="180" t="n">
        <v>11.2762119218</v>
      </c>
      <c r="FU114" s="180" t="n">
        <v>11.34594760982</v>
      </c>
      <c r="FV114" s="180" t="n">
        <v>11.41568329784</v>
      </c>
      <c r="FW114" s="180" t="n">
        <v>11.48541898586</v>
      </c>
      <c r="FX114" s="180" t="n">
        <v>11.55515467388</v>
      </c>
      <c r="FY114" s="180" t="n">
        <v>11.6248903619</v>
      </c>
      <c r="FZ114" s="180" t="n">
        <v>11.69462604992</v>
      </c>
      <c r="GA114" s="180" t="n">
        <v>11.76436173794</v>
      </c>
      <c r="GB114" s="180" t="n">
        <v>11.83409742596</v>
      </c>
      <c r="GC114" s="180" t="n">
        <v>11.90383311398</v>
      </c>
      <c r="GD114" s="180" t="n">
        <v>11.973568802</v>
      </c>
      <c r="GE114" s="180" t="n">
        <v>12.04330449002</v>
      </c>
      <c r="GF114" s="180" t="n">
        <v>12.11304017804</v>
      </c>
      <c r="GG114" s="180" t="n">
        <v>12.18277586606</v>
      </c>
      <c r="GH114" s="180" t="n">
        <v>12.25251155408</v>
      </c>
      <c r="GI114" s="180" t="n">
        <v>12.3222472421</v>
      </c>
      <c r="GJ114" s="180" t="n">
        <v>12.39198293012</v>
      </c>
      <c r="GK114" s="180" t="n">
        <v>12.46171861814</v>
      </c>
      <c r="GL114" s="180" t="n">
        <v>12.53145430616</v>
      </c>
      <c r="GM114" s="180" t="n">
        <v>12.60118999418</v>
      </c>
      <c r="GN114" s="180" t="n">
        <v>12.6709256822</v>
      </c>
      <c r="GO114" s="180" t="n">
        <v>12.74066137022</v>
      </c>
      <c r="GP114" s="180" t="n">
        <v>12.81039705824</v>
      </c>
      <c r="GQ114" s="180" t="n">
        <v>12.88013274626</v>
      </c>
      <c r="GR114" s="180" t="n">
        <v>12.94986843428</v>
      </c>
      <c r="GS114" s="180" t="n">
        <v>13.0196041223</v>
      </c>
      <c r="GT114" s="180" t="n">
        <v>13.08933981032</v>
      </c>
      <c r="GU114" s="180" t="n">
        <v>13.15907549834</v>
      </c>
      <c r="GV114" s="180" t="n">
        <v>13.22881118636</v>
      </c>
      <c r="GW114" s="180" t="n">
        <v>13.29854687438</v>
      </c>
      <c r="GX114" s="180" t="n">
        <v>13.3682825624</v>
      </c>
      <c r="GY114" s="180" t="n">
        <v>13.43801825042</v>
      </c>
      <c r="GZ114" s="180" t="n">
        <v>13.50775393844</v>
      </c>
      <c r="HA114" s="180" t="n">
        <v>13.57748962646</v>
      </c>
      <c r="HB114" s="180" t="n">
        <v>13.64722531448</v>
      </c>
      <c r="HC114" s="180" t="n">
        <v>13.7169610025</v>
      </c>
      <c r="HD114" s="180" t="n">
        <v>13.78669669052</v>
      </c>
      <c r="HE114" s="180" t="n">
        <v>13.85643237854</v>
      </c>
      <c r="HF114" s="180" t="n">
        <v>13.92616806656</v>
      </c>
      <c r="HG114" s="180" t="n">
        <v>13.99590375458</v>
      </c>
      <c r="HH114" s="180" t="n">
        <v>14.0656394426</v>
      </c>
      <c r="HI114" s="180" t="n">
        <v>14.13537513062</v>
      </c>
      <c r="HJ114" s="180" t="n">
        <v>14.20511081864</v>
      </c>
      <c r="HK114" s="180" t="n">
        <v>14.27484650666</v>
      </c>
      <c r="HL114" s="180" t="n">
        <v>14.34458219468</v>
      </c>
      <c r="HM114" s="180" t="n">
        <v>14.4143178827</v>
      </c>
      <c r="HN114" s="180" t="n">
        <v>14.48405357072</v>
      </c>
      <c r="HO114" s="180" t="n">
        <v>14.55378925874</v>
      </c>
      <c r="HP114" s="180" t="n">
        <v>14.62352494676</v>
      </c>
      <c r="HQ114" s="180" t="n">
        <v>14.69326063478</v>
      </c>
      <c r="HR114" s="180" t="n">
        <v>14.7629963228</v>
      </c>
      <c r="HS114" s="180" t="n">
        <v>14.83273201082</v>
      </c>
      <c r="HT114" s="180" t="n">
        <v>14.90246769884</v>
      </c>
      <c r="HU114" s="180" t="n">
        <v>14.97220338686</v>
      </c>
      <c r="HV114" s="180" t="n">
        <v>15.04193907488</v>
      </c>
      <c r="HW114" s="180" t="n">
        <v>15.1116747629</v>
      </c>
      <c r="HX114" s="180" t="n">
        <v>15.18141045092</v>
      </c>
      <c r="HY114" s="180" t="n">
        <v>15.25114613894</v>
      </c>
      <c r="HZ114" s="180" t="n">
        <v>15.32088182696</v>
      </c>
      <c r="IA114" s="180" t="n">
        <v>15.39061751498</v>
      </c>
      <c r="IB114" s="180" t="n">
        <v>15.460353203</v>
      </c>
      <c r="IC114" s="180" t="n">
        <v>15.53008889102</v>
      </c>
      <c r="ID114" s="180" t="n">
        <v>15.59982457904</v>
      </c>
      <c r="IE114" s="180" t="n">
        <v>15.66956026706</v>
      </c>
      <c r="IF114" s="180" t="n">
        <v>15.73929595508</v>
      </c>
      <c r="IG114" s="180" t="n">
        <v>15.8090316431</v>
      </c>
      <c r="IH114" s="180" t="n">
        <v>15.87876733112</v>
      </c>
      <c r="II114" s="180" t="n">
        <v>15.94850301914</v>
      </c>
      <c r="IJ114" s="180" t="n">
        <v>16.01823870716</v>
      </c>
      <c r="IK114" s="180" t="n">
        <v>16.08797439518</v>
      </c>
      <c r="IL114" s="180" t="n">
        <v>16.1577100832</v>
      </c>
      <c r="IM114" s="180" t="n">
        <v>16.22744577122</v>
      </c>
      <c r="IN114" s="180" t="n">
        <v>16.29718145924</v>
      </c>
      <c r="IO114" s="180" t="n">
        <v>16.36691714726</v>
      </c>
      <c r="IP114" s="180" t="n">
        <v>16.43665283528</v>
      </c>
      <c r="IQ114" s="180" t="n">
        <v>16.5063885233</v>
      </c>
      <c r="IR114" s="180" t="n">
        <v>16.57612421132</v>
      </c>
      <c r="IS114" s="180" t="n">
        <v>16.64585989934</v>
      </c>
      <c r="IT114" s="180" t="n">
        <v>16.71559558736</v>
      </c>
      <c r="IU114" s="180" t="n">
        <v>16.78533127538</v>
      </c>
      <c r="IV114" s="180" t="n">
        <v>16.8550669634</v>
      </c>
    </row>
    <row r="115" customFormat="false" ht="12.75" hidden="false" customHeight="false" outlineLevel="0" collapsed="false">
      <c r="A115" s="189" t="n">
        <v>40179</v>
      </c>
      <c r="B115" s="185" t="n">
        <v>-2.021005929375</v>
      </c>
      <c r="C115" s="185" t="n">
        <v>-1.9907047400625</v>
      </c>
      <c r="D115" s="185" t="n">
        <v>-1.96040355075</v>
      </c>
      <c r="E115" s="185" t="n">
        <v>-1.9301023614375</v>
      </c>
      <c r="F115" s="185" t="n">
        <v>-1.899801172125</v>
      </c>
      <c r="G115" s="185" t="n">
        <v>-1.8694999828125</v>
      </c>
      <c r="H115" s="185" t="n">
        <v>-1.8391987935</v>
      </c>
      <c r="I115" s="185" t="n">
        <v>-1.8088976041875</v>
      </c>
      <c r="J115" s="185" t="n">
        <v>-1.778596414875</v>
      </c>
      <c r="K115" s="185" t="n">
        <v>-1.7482952255625</v>
      </c>
      <c r="L115" s="185" t="n">
        <v>-1.71799403625</v>
      </c>
      <c r="M115" s="185" t="n">
        <v>-1.6876928469375</v>
      </c>
      <c r="N115" s="185" t="n">
        <v>-1.657391657625</v>
      </c>
      <c r="O115" s="185" t="n">
        <v>-1.6270904683125</v>
      </c>
      <c r="P115" s="185" t="n">
        <v>-1.596789279</v>
      </c>
      <c r="Q115" s="185" t="n">
        <v>-1.5664880896875</v>
      </c>
      <c r="R115" s="185" t="n">
        <v>-1.536186900375</v>
      </c>
      <c r="S115" s="185" t="n">
        <v>-1.5058857110625</v>
      </c>
      <c r="T115" s="185" t="n">
        <v>-1.47558452175</v>
      </c>
      <c r="U115" s="185" t="n">
        <v>-1.4452833324375</v>
      </c>
      <c r="V115" s="186" t="n">
        <v>-1.414982143125</v>
      </c>
      <c r="W115" s="185" t="n">
        <v>-1.3846809538125</v>
      </c>
      <c r="X115" s="186" t="n">
        <v>-1.3543797645</v>
      </c>
      <c r="Y115" s="185" t="n">
        <v>-1.3240785751875</v>
      </c>
      <c r="Z115" s="186" t="n">
        <v>-1.293777385875</v>
      </c>
      <c r="AA115" s="185" t="n">
        <v>-1.2634761965625</v>
      </c>
      <c r="AB115" s="187" t="n">
        <v>-1.23317500725</v>
      </c>
      <c r="AC115" s="185" t="n">
        <v>-1.2028738179375</v>
      </c>
      <c r="AD115" s="187" t="n">
        <v>-1.172572628625</v>
      </c>
      <c r="AE115" s="185" t="n">
        <v>-1.1422714393125</v>
      </c>
      <c r="AF115" s="185" t="n">
        <v>-1.11197025</v>
      </c>
      <c r="AG115" s="190" t="n">
        <v>-1.083235125</v>
      </c>
      <c r="AH115" s="190" t="n">
        <v>-1.0545</v>
      </c>
      <c r="AI115" s="190" t="n">
        <v>-1.02725</v>
      </c>
      <c r="AJ115" s="190" t="n">
        <v>-1</v>
      </c>
      <c r="AK115" s="190" t="n">
        <v>-0.8</v>
      </c>
      <c r="AL115" s="190" t="n">
        <v>-0.6</v>
      </c>
      <c r="AM115" s="190" t="n">
        <v>-0.4</v>
      </c>
      <c r="AN115" s="190" t="n">
        <v>-0.2</v>
      </c>
      <c r="AO115" s="190" t="n">
        <v>0</v>
      </c>
      <c r="AP115" s="190" t="n">
        <v>0.2</v>
      </c>
      <c r="AQ115" s="190" t="n">
        <v>0.4</v>
      </c>
      <c r="AR115" s="190" t="n">
        <v>0.6</v>
      </c>
      <c r="AS115" s="190" t="n">
        <v>0.8</v>
      </c>
      <c r="AT115" s="190" t="n">
        <v>1</v>
      </c>
      <c r="AU115" s="190" t="n">
        <v>1.2</v>
      </c>
      <c r="AV115" s="190" t="n">
        <v>1.4</v>
      </c>
      <c r="AW115" s="190" t="n">
        <v>1.58</v>
      </c>
      <c r="AX115" s="190" t="n">
        <v>1.76</v>
      </c>
      <c r="AY115" s="190" t="n">
        <v>1.922</v>
      </c>
      <c r="AZ115" s="190" t="n">
        <v>2.084</v>
      </c>
      <c r="BA115" s="190" t="n">
        <v>2.2298</v>
      </c>
      <c r="BB115" s="190" t="n">
        <v>2.3756</v>
      </c>
      <c r="BC115" s="190" t="n">
        <v>2.50682</v>
      </c>
      <c r="BD115" s="190" t="n">
        <v>2.63804</v>
      </c>
      <c r="BE115" s="190" t="n">
        <v>2.756138</v>
      </c>
      <c r="BF115" s="190" t="n">
        <v>2.874236</v>
      </c>
      <c r="BG115" s="190" t="n">
        <v>2.9805242</v>
      </c>
      <c r="BH115" s="190" t="n">
        <v>3.0868124</v>
      </c>
      <c r="BI115" s="190" t="n">
        <v>3.18247178</v>
      </c>
      <c r="BJ115" s="190" t="n">
        <v>3.27813116</v>
      </c>
      <c r="BK115" s="190" t="n">
        <v>3.364224602</v>
      </c>
      <c r="BL115" s="190" t="n">
        <v>3.450318044</v>
      </c>
      <c r="BM115" s="190" t="n">
        <v>3.5278021418</v>
      </c>
      <c r="BN115" s="190" t="n">
        <v>3.6052862396</v>
      </c>
      <c r="BO115" s="190" t="n">
        <v>3.67502192762</v>
      </c>
      <c r="BP115" s="190" t="n">
        <v>3.74475761564</v>
      </c>
      <c r="BQ115" s="190" t="n">
        <v>3.81449330366</v>
      </c>
      <c r="BR115" s="190" t="n">
        <v>3.88422899168</v>
      </c>
      <c r="BS115" s="190" t="n">
        <v>3.9539646797</v>
      </c>
      <c r="BT115" s="190" t="n">
        <v>4.02370036772</v>
      </c>
      <c r="BU115" s="190" t="n">
        <v>4.09343605574</v>
      </c>
      <c r="BV115" s="190" t="n">
        <v>4.16317174376</v>
      </c>
      <c r="BW115" s="190" t="n">
        <v>4.23290743178</v>
      </c>
      <c r="BX115" s="190" t="n">
        <v>4.3026431198</v>
      </c>
      <c r="BY115" s="190" t="n">
        <v>4.37237880782</v>
      </c>
      <c r="BZ115" s="190" t="n">
        <v>4.44211449584</v>
      </c>
      <c r="CA115" s="190" t="n">
        <v>4.51185018386</v>
      </c>
      <c r="CB115" s="190" t="n">
        <v>4.58158587188</v>
      </c>
      <c r="CC115" s="190" t="n">
        <v>4.6513215599</v>
      </c>
      <c r="CD115" s="190" t="n">
        <v>4.72105724792</v>
      </c>
      <c r="CE115" s="190" t="n">
        <v>4.79079293594</v>
      </c>
      <c r="CF115" s="190" t="n">
        <v>4.86052862396</v>
      </c>
      <c r="CG115" s="190" t="n">
        <v>4.93026431198</v>
      </c>
      <c r="CH115" s="190" t="n">
        <v>5</v>
      </c>
      <c r="CI115" s="190" t="n">
        <v>5.06973568801999</v>
      </c>
      <c r="CJ115" s="190" t="n">
        <v>5.13947137603999</v>
      </c>
      <c r="CK115" s="190" t="n">
        <v>5.20920706405999</v>
      </c>
      <c r="CL115" s="190" t="n">
        <v>5.27894275207999</v>
      </c>
      <c r="CM115" s="190" t="n">
        <v>5.34867844009999</v>
      </c>
      <c r="CN115" s="190" t="n">
        <v>5.41841412811999</v>
      </c>
      <c r="CO115" s="190" t="n">
        <v>5.48814981613999</v>
      </c>
      <c r="CP115" s="190" t="n">
        <v>5.55788550415999</v>
      </c>
      <c r="CQ115" s="190" t="n">
        <v>5.62762119217999</v>
      </c>
      <c r="CR115" s="190" t="n">
        <v>5.69735688019999</v>
      </c>
      <c r="CS115" s="190" t="n">
        <v>5.76709256821999</v>
      </c>
      <c r="CT115" s="190" t="n">
        <v>5.83682825623999</v>
      </c>
      <c r="CU115" s="190" t="n">
        <v>5.90656394425999</v>
      </c>
      <c r="CV115" s="190" t="n">
        <v>5.97629963227999</v>
      </c>
      <c r="CW115" s="190" t="n">
        <v>6.04603532029999</v>
      </c>
      <c r="CX115" s="190" t="n">
        <v>6.11577100831999</v>
      </c>
      <c r="CY115" s="190" t="n">
        <v>6.18550669633999</v>
      </c>
      <c r="CZ115" s="190" t="n">
        <v>6.25524238435999</v>
      </c>
      <c r="DA115" s="190" t="n">
        <v>6.32497807237999</v>
      </c>
      <c r="DB115" s="190" t="n">
        <v>6.39471376039999</v>
      </c>
      <c r="DC115" s="190" t="n">
        <v>6.46444944841999</v>
      </c>
      <c r="DD115" s="190" t="n">
        <v>6.53418513643999</v>
      </c>
      <c r="DE115" s="190" t="n">
        <v>6.60392082445999</v>
      </c>
      <c r="DF115" s="190" t="n">
        <v>6.67365651247999</v>
      </c>
      <c r="DG115" s="190" t="n">
        <v>6.74339220049999</v>
      </c>
      <c r="DH115" s="190" t="n">
        <v>6.81312788851999</v>
      </c>
      <c r="DI115" s="190" t="n">
        <v>6.88286357653999</v>
      </c>
      <c r="DJ115" s="190" t="n">
        <v>6.95259926455999</v>
      </c>
      <c r="DK115" s="190" t="n">
        <v>7.02233495257999</v>
      </c>
      <c r="DL115" s="190" t="n">
        <v>7.09207064059999</v>
      </c>
      <c r="DM115" s="190" t="n">
        <v>7.16180632861999</v>
      </c>
      <c r="DN115" s="190" t="n">
        <v>7.23154201663999</v>
      </c>
      <c r="DO115" s="190" t="n">
        <v>7.30127770465999</v>
      </c>
      <c r="DP115" s="190" t="n">
        <v>7.37101339267999</v>
      </c>
      <c r="DQ115" s="190" t="n">
        <v>7.44074908069999</v>
      </c>
      <c r="DR115" s="190" t="n">
        <v>7.51048476871999</v>
      </c>
      <c r="DS115" s="190" t="n">
        <v>7.58022045673999</v>
      </c>
      <c r="DT115" s="190" t="n">
        <v>7.64995614475999</v>
      </c>
      <c r="DU115" s="190" t="n">
        <v>7.71969183277999</v>
      </c>
      <c r="DV115" s="190" t="n">
        <v>7.78942752079998</v>
      </c>
      <c r="DW115" s="190" t="n">
        <v>7.85916320881998</v>
      </c>
      <c r="DX115" s="190" t="n">
        <v>7.92889889683998</v>
      </c>
      <c r="DY115" s="190" t="n">
        <v>7.99863458485998</v>
      </c>
      <c r="DZ115" s="190" t="n">
        <v>8.06837027287998</v>
      </c>
      <c r="EA115" s="190" t="n">
        <v>8.13810596089998</v>
      </c>
      <c r="EB115" s="190" t="n">
        <v>8.20784164891998</v>
      </c>
      <c r="EC115" s="190" t="n">
        <v>8.27757733693998</v>
      </c>
      <c r="ED115" s="190" t="n">
        <v>8.34731302495998</v>
      </c>
      <c r="EE115" s="190" t="n">
        <v>8.41704871297998</v>
      </c>
      <c r="EF115" s="190" t="n">
        <v>8.48678440099998</v>
      </c>
      <c r="EG115" s="190" t="n">
        <v>8.55652008901998</v>
      </c>
      <c r="EH115" s="190" t="n">
        <v>8.62625577703998</v>
      </c>
      <c r="EI115" s="190" t="n">
        <v>8.69599146505998</v>
      </c>
      <c r="EJ115" s="190" t="n">
        <v>8.76572715307998</v>
      </c>
      <c r="EK115" s="190" t="n">
        <v>8.83546284109998</v>
      </c>
      <c r="EL115" s="180" t="n">
        <v>8.90519852911998</v>
      </c>
      <c r="EM115" s="180" t="n">
        <v>8.97493421713998</v>
      </c>
      <c r="EN115" s="180" t="n">
        <v>9.04466990515998</v>
      </c>
      <c r="EO115" s="180" t="n">
        <v>9.11440559317998</v>
      </c>
      <c r="EP115" s="180" t="n">
        <v>9.18414128119998</v>
      </c>
      <c r="EQ115" s="180" t="n">
        <v>9.25387696921998</v>
      </c>
      <c r="ER115" s="180" t="n">
        <v>9.32361265723998</v>
      </c>
      <c r="ES115" s="180" t="n">
        <v>9.39334834525998</v>
      </c>
      <c r="ET115" s="180" t="n">
        <v>9.46308403327998</v>
      </c>
      <c r="EU115" s="180" t="n">
        <v>9.53281972129998</v>
      </c>
      <c r="EV115" s="180" t="n">
        <v>9.60255540931998</v>
      </c>
      <c r="EW115" s="180" t="n">
        <v>9.67229109733998</v>
      </c>
      <c r="EX115" s="180" t="n">
        <v>9.74202678535998</v>
      </c>
      <c r="EY115" s="180" t="n">
        <v>9.81176247337998</v>
      </c>
      <c r="EZ115" s="180" t="n">
        <v>9.88149816139998</v>
      </c>
      <c r="FA115" s="180" t="n">
        <v>9.95123384941998</v>
      </c>
      <c r="FB115" s="180" t="n">
        <v>10.02096953744</v>
      </c>
      <c r="FC115" s="180" t="n">
        <v>10.09070522546</v>
      </c>
      <c r="FD115" s="180" t="n">
        <v>10.16044091348</v>
      </c>
      <c r="FE115" s="180" t="n">
        <v>10.2301766015</v>
      </c>
      <c r="FF115" s="180" t="n">
        <v>10.29991228952</v>
      </c>
      <c r="FG115" s="180" t="n">
        <v>10.36964797754</v>
      </c>
      <c r="FH115" s="180" t="n">
        <v>10.43938366556</v>
      </c>
      <c r="FI115" s="180" t="n">
        <v>10.50911935358</v>
      </c>
      <c r="FJ115" s="180" t="n">
        <v>10.5788550416</v>
      </c>
      <c r="FK115" s="180" t="n">
        <v>10.64859072962</v>
      </c>
      <c r="FL115" s="180" t="n">
        <v>10.71832641764</v>
      </c>
      <c r="FM115" s="180" t="n">
        <v>10.78806210566</v>
      </c>
      <c r="FN115" s="180" t="n">
        <v>10.85779779368</v>
      </c>
      <c r="FO115" s="180" t="n">
        <v>10.9275334817</v>
      </c>
      <c r="FP115" s="180" t="n">
        <v>10.99726916972</v>
      </c>
      <c r="FQ115" s="180" t="n">
        <v>11.06700485774</v>
      </c>
      <c r="FR115" s="180" t="n">
        <v>11.13674054576</v>
      </c>
      <c r="FS115" s="180" t="n">
        <v>11.20647623378</v>
      </c>
      <c r="FT115" s="180" t="n">
        <v>11.2762119218</v>
      </c>
      <c r="FU115" s="180" t="n">
        <v>11.34594760982</v>
      </c>
      <c r="FV115" s="180" t="n">
        <v>11.41568329784</v>
      </c>
      <c r="FW115" s="180" t="n">
        <v>11.48541898586</v>
      </c>
      <c r="FX115" s="180" t="n">
        <v>11.55515467388</v>
      </c>
      <c r="FY115" s="180" t="n">
        <v>11.6248903619</v>
      </c>
      <c r="FZ115" s="180" t="n">
        <v>11.69462604992</v>
      </c>
      <c r="GA115" s="180" t="n">
        <v>11.76436173794</v>
      </c>
      <c r="GB115" s="180" t="n">
        <v>11.83409742596</v>
      </c>
      <c r="GC115" s="180" t="n">
        <v>11.90383311398</v>
      </c>
      <c r="GD115" s="180" t="n">
        <v>11.973568802</v>
      </c>
      <c r="GE115" s="180" t="n">
        <v>12.04330449002</v>
      </c>
      <c r="GF115" s="180" t="n">
        <v>12.11304017804</v>
      </c>
      <c r="GG115" s="180" t="n">
        <v>12.18277586606</v>
      </c>
      <c r="GH115" s="180" t="n">
        <v>12.25251155408</v>
      </c>
      <c r="GI115" s="180" t="n">
        <v>12.3222472421</v>
      </c>
      <c r="GJ115" s="180" t="n">
        <v>12.39198293012</v>
      </c>
      <c r="GK115" s="180" t="n">
        <v>12.46171861814</v>
      </c>
      <c r="GL115" s="180" t="n">
        <v>12.53145430616</v>
      </c>
      <c r="GM115" s="180" t="n">
        <v>12.60118999418</v>
      </c>
      <c r="GN115" s="180" t="n">
        <v>12.6709256822</v>
      </c>
      <c r="GO115" s="180" t="n">
        <v>12.74066137022</v>
      </c>
      <c r="GP115" s="180" t="n">
        <v>12.81039705824</v>
      </c>
      <c r="GQ115" s="180" t="n">
        <v>12.88013274626</v>
      </c>
      <c r="GR115" s="180" t="n">
        <v>12.94986843428</v>
      </c>
      <c r="GS115" s="180" t="n">
        <v>13.0196041223</v>
      </c>
      <c r="GT115" s="180" t="n">
        <v>13.08933981032</v>
      </c>
      <c r="GU115" s="180" t="n">
        <v>13.15907549834</v>
      </c>
      <c r="GV115" s="180" t="n">
        <v>13.22881118636</v>
      </c>
      <c r="GW115" s="180" t="n">
        <v>13.29854687438</v>
      </c>
      <c r="GX115" s="180" t="n">
        <v>13.3682825624</v>
      </c>
      <c r="GY115" s="180" t="n">
        <v>13.43801825042</v>
      </c>
      <c r="GZ115" s="180" t="n">
        <v>13.50775393844</v>
      </c>
      <c r="HA115" s="180" t="n">
        <v>13.57748962646</v>
      </c>
      <c r="HB115" s="180" t="n">
        <v>13.64722531448</v>
      </c>
      <c r="HC115" s="180" t="n">
        <v>13.7169610025</v>
      </c>
      <c r="HD115" s="180" t="n">
        <v>13.78669669052</v>
      </c>
      <c r="HE115" s="180" t="n">
        <v>13.85643237854</v>
      </c>
      <c r="HF115" s="180" t="n">
        <v>13.92616806656</v>
      </c>
      <c r="HG115" s="180" t="n">
        <v>13.99590375458</v>
      </c>
      <c r="HH115" s="180" t="n">
        <v>14.0656394426</v>
      </c>
      <c r="HI115" s="180" t="n">
        <v>14.13537513062</v>
      </c>
      <c r="HJ115" s="180" t="n">
        <v>14.20511081864</v>
      </c>
      <c r="HK115" s="180" t="n">
        <v>14.27484650666</v>
      </c>
      <c r="HL115" s="180" t="n">
        <v>14.34458219468</v>
      </c>
      <c r="HM115" s="180" t="n">
        <v>14.4143178827</v>
      </c>
      <c r="HN115" s="180" t="n">
        <v>14.48405357072</v>
      </c>
      <c r="HO115" s="180" t="n">
        <v>14.55378925874</v>
      </c>
      <c r="HP115" s="180" t="n">
        <v>14.62352494676</v>
      </c>
      <c r="HQ115" s="180" t="n">
        <v>14.69326063478</v>
      </c>
      <c r="HR115" s="180" t="n">
        <v>14.7629963228</v>
      </c>
      <c r="HS115" s="180" t="n">
        <v>14.83273201082</v>
      </c>
      <c r="HT115" s="180" t="n">
        <v>14.90246769884</v>
      </c>
      <c r="HU115" s="180" t="n">
        <v>14.97220338686</v>
      </c>
      <c r="HV115" s="180" t="n">
        <v>15.04193907488</v>
      </c>
      <c r="HW115" s="180" t="n">
        <v>15.1116747629</v>
      </c>
      <c r="HX115" s="180" t="n">
        <v>15.18141045092</v>
      </c>
      <c r="HY115" s="180" t="n">
        <v>15.25114613894</v>
      </c>
      <c r="HZ115" s="180" t="n">
        <v>15.32088182696</v>
      </c>
      <c r="IA115" s="180" t="n">
        <v>15.39061751498</v>
      </c>
      <c r="IB115" s="180" t="n">
        <v>15.460353203</v>
      </c>
      <c r="IC115" s="180" t="n">
        <v>15.53008889102</v>
      </c>
      <c r="ID115" s="180" t="n">
        <v>15.59982457904</v>
      </c>
      <c r="IE115" s="180" t="n">
        <v>15.66956026706</v>
      </c>
      <c r="IF115" s="180" t="n">
        <v>15.73929595508</v>
      </c>
      <c r="IG115" s="180" t="n">
        <v>15.8090316431</v>
      </c>
      <c r="IH115" s="180" t="n">
        <v>15.87876733112</v>
      </c>
      <c r="II115" s="180" t="n">
        <v>15.94850301914</v>
      </c>
      <c r="IJ115" s="180" t="n">
        <v>16.01823870716</v>
      </c>
      <c r="IK115" s="180" t="n">
        <v>16.08797439518</v>
      </c>
      <c r="IL115" s="180" t="n">
        <v>16.1577100832</v>
      </c>
      <c r="IM115" s="180" t="n">
        <v>16.22744577122</v>
      </c>
      <c r="IN115" s="180" t="n">
        <v>16.29718145924</v>
      </c>
      <c r="IO115" s="180" t="n">
        <v>16.36691714726</v>
      </c>
      <c r="IP115" s="180" t="n">
        <v>16.43665283528</v>
      </c>
      <c r="IQ115" s="180" t="n">
        <v>16.5063885233</v>
      </c>
      <c r="IR115" s="180" t="n">
        <v>16.57612421132</v>
      </c>
      <c r="IS115" s="180" t="n">
        <v>16.64585989934</v>
      </c>
      <c r="IT115" s="180" t="n">
        <v>16.71559558736</v>
      </c>
      <c r="IU115" s="180" t="n">
        <v>16.78533127538</v>
      </c>
      <c r="IV115" s="180" t="n">
        <v>16.8550669634</v>
      </c>
    </row>
    <row r="116" customFormat="false" ht="12.75" hidden="false" customHeight="false" outlineLevel="0" collapsed="false">
      <c r="A116" s="189" t="n">
        <v>40210</v>
      </c>
      <c r="B116" s="185" t="n">
        <v>-2.021005929375</v>
      </c>
      <c r="C116" s="185" t="n">
        <v>-1.9907047400625</v>
      </c>
      <c r="D116" s="185" t="n">
        <v>-1.96040355075</v>
      </c>
      <c r="E116" s="185" t="n">
        <v>-1.9301023614375</v>
      </c>
      <c r="F116" s="185" t="n">
        <v>-1.899801172125</v>
      </c>
      <c r="G116" s="185" t="n">
        <v>-1.8694999828125</v>
      </c>
      <c r="H116" s="185" t="n">
        <v>-1.8391987935</v>
      </c>
      <c r="I116" s="185" t="n">
        <v>-1.8088976041875</v>
      </c>
      <c r="J116" s="185" t="n">
        <v>-1.778596414875</v>
      </c>
      <c r="K116" s="185" t="n">
        <v>-1.7482952255625</v>
      </c>
      <c r="L116" s="185" t="n">
        <v>-1.71799403625</v>
      </c>
      <c r="M116" s="185" t="n">
        <v>-1.6876928469375</v>
      </c>
      <c r="N116" s="185" t="n">
        <v>-1.657391657625</v>
      </c>
      <c r="O116" s="185" t="n">
        <v>-1.6270904683125</v>
      </c>
      <c r="P116" s="185" t="n">
        <v>-1.596789279</v>
      </c>
      <c r="Q116" s="185" t="n">
        <v>-1.5664880896875</v>
      </c>
      <c r="R116" s="185" t="n">
        <v>-1.536186900375</v>
      </c>
      <c r="S116" s="185" t="n">
        <v>-1.5058857110625</v>
      </c>
      <c r="T116" s="185" t="n">
        <v>-1.47558452175</v>
      </c>
      <c r="U116" s="185" t="n">
        <v>-1.4452833324375</v>
      </c>
      <c r="V116" s="186" t="n">
        <v>-1.414982143125</v>
      </c>
      <c r="W116" s="185" t="n">
        <v>-1.3846809538125</v>
      </c>
      <c r="X116" s="186" t="n">
        <v>-1.3543797645</v>
      </c>
      <c r="Y116" s="185" t="n">
        <v>-1.3240785751875</v>
      </c>
      <c r="Z116" s="186" t="n">
        <v>-1.293777385875</v>
      </c>
      <c r="AA116" s="185" t="n">
        <v>-1.2634761965625</v>
      </c>
      <c r="AB116" s="187" t="n">
        <v>-1.23317500725</v>
      </c>
      <c r="AC116" s="185" t="n">
        <v>-1.2028738179375</v>
      </c>
      <c r="AD116" s="187" t="n">
        <v>-1.172572628625</v>
      </c>
      <c r="AE116" s="185" t="n">
        <v>-1.1422714393125</v>
      </c>
      <c r="AF116" s="185" t="n">
        <v>-1.11197025</v>
      </c>
      <c r="AG116" s="190" t="n">
        <v>-1.083235125</v>
      </c>
      <c r="AH116" s="190" t="n">
        <v>-1.0545</v>
      </c>
      <c r="AI116" s="190" t="n">
        <v>-1.02725</v>
      </c>
      <c r="AJ116" s="190" t="n">
        <v>-1</v>
      </c>
      <c r="AK116" s="190" t="n">
        <v>-0.8</v>
      </c>
      <c r="AL116" s="190" t="n">
        <v>-0.6</v>
      </c>
      <c r="AM116" s="190" t="n">
        <v>-0.4</v>
      </c>
      <c r="AN116" s="190" t="n">
        <v>-0.2</v>
      </c>
      <c r="AO116" s="190" t="n">
        <v>0</v>
      </c>
      <c r="AP116" s="190" t="n">
        <v>0.2</v>
      </c>
      <c r="AQ116" s="190" t="n">
        <v>0.4</v>
      </c>
      <c r="AR116" s="190" t="n">
        <v>0.6</v>
      </c>
      <c r="AS116" s="190" t="n">
        <v>0.8</v>
      </c>
      <c r="AT116" s="190" t="n">
        <v>1</v>
      </c>
      <c r="AU116" s="190" t="n">
        <v>1.2</v>
      </c>
      <c r="AV116" s="190" t="n">
        <v>1.4</v>
      </c>
      <c r="AW116" s="190" t="n">
        <v>1.58</v>
      </c>
      <c r="AX116" s="190" t="n">
        <v>1.76</v>
      </c>
      <c r="AY116" s="190" t="n">
        <v>1.922</v>
      </c>
      <c r="AZ116" s="190" t="n">
        <v>2.084</v>
      </c>
      <c r="BA116" s="190" t="n">
        <v>2.2298</v>
      </c>
      <c r="BB116" s="190" t="n">
        <v>2.3756</v>
      </c>
      <c r="BC116" s="190" t="n">
        <v>2.50682</v>
      </c>
      <c r="BD116" s="190" t="n">
        <v>2.63804</v>
      </c>
      <c r="BE116" s="190" t="n">
        <v>2.756138</v>
      </c>
      <c r="BF116" s="190" t="n">
        <v>2.874236</v>
      </c>
      <c r="BG116" s="190" t="n">
        <v>2.9805242</v>
      </c>
      <c r="BH116" s="190" t="n">
        <v>3.0868124</v>
      </c>
      <c r="BI116" s="190" t="n">
        <v>3.18247178</v>
      </c>
      <c r="BJ116" s="190" t="n">
        <v>3.27813116</v>
      </c>
      <c r="BK116" s="190" t="n">
        <v>3.364224602</v>
      </c>
      <c r="BL116" s="190" t="n">
        <v>3.450318044</v>
      </c>
      <c r="BM116" s="190" t="n">
        <v>3.5278021418</v>
      </c>
      <c r="BN116" s="190" t="n">
        <v>3.6052862396</v>
      </c>
      <c r="BO116" s="190" t="n">
        <v>3.67502192762</v>
      </c>
      <c r="BP116" s="190" t="n">
        <v>3.74475761564</v>
      </c>
      <c r="BQ116" s="190" t="n">
        <v>3.81449330366</v>
      </c>
      <c r="BR116" s="190" t="n">
        <v>3.88422899168</v>
      </c>
      <c r="BS116" s="190" t="n">
        <v>3.9539646797</v>
      </c>
      <c r="BT116" s="190" t="n">
        <v>4.02370036772</v>
      </c>
      <c r="BU116" s="190" t="n">
        <v>4.09343605574</v>
      </c>
      <c r="BV116" s="190" t="n">
        <v>4.16317174376</v>
      </c>
      <c r="BW116" s="190" t="n">
        <v>4.23290743178</v>
      </c>
      <c r="BX116" s="190" t="n">
        <v>4.3026431198</v>
      </c>
      <c r="BY116" s="190" t="n">
        <v>4.37237880782</v>
      </c>
      <c r="BZ116" s="190" t="n">
        <v>4.44211449584</v>
      </c>
      <c r="CA116" s="190" t="n">
        <v>4.51185018386</v>
      </c>
      <c r="CB116" s="190" t="n">
        <v>4.58158587188</v>
      </c>
      <c r="CC116" s="190" t="n">
        <v>4.6513215599</v>
      </c>
      <c r="CD116" s="190" t="n">
        <v>4.72105724792</v>
      </c>
      <c r="CE116" s="190" t="n">
        <v>4.79079293594</v>
      </c>
      <c r="CF116" s="190" t="n">
        <v>4.86052862396</v>
      </c>
      <c r="CG116" s="190" t="n">
        <v>4.93026431198</v>
      </c>
      <c r="CH116" s="190" t="n">
        <v>5</v>
      </c>
      <c r="CI116" s="190" t="n">
        <v>5.06973568801999</v>
      </c>
      <c r="CJ116" s="190" t="n">
        <v>5.13947137603999</v>
      </c>
      <c r="CK116" s="190" t="n">
        <v>5.20920706405999</v>
      </c>
      <c r="CL116" s="190" t="n">
        <v>5.27894275207999</v>
      </c>
      <c r="CM116" s="190" t="n">
        <v>5.34867844009999</v>
      </c>
      <c r="CN116" s="190" t="n">
        <v>5.41841412811999</v>
      </c>
      <c r="CO116" s="190" t="n">
        <v>5.48814981613999</v>
      </c>
      <c r="CP116" s="190" t="n">
        <v>5.55788550415999</v>
      </c>
      <c r="CQ116" s="190" t="n">
        <v>5.62762119217999</v>
      </c>
      <c r="CR116" s="190" t="n">
        <v>5.69735688019999</v>
      </c>
      <c r="CS116" s="190" t="n">
        <v>5.76709256821999</v>
      </c>
      <c r="CT116" s="190" t="n">
        <v>5.83682825623999</v>
      </c>
      <c r="CU116" s="190" t="n">
        <v>5.90656394425999</v>
      </c>
      <c r="CV116" s="190" t="n">
        <v>5.97629963227999</v>
      </c>
      <c r="CW116" s="190" t="n">
        <v>6.04603532029999</v>
      </c>
      <c r="CX116" s="190" t="n">
        <v>6.11577100831999</v>
      </c>
      <c r="CY116" s="190" t="n">
        <v>6.18550669633999</v>
      </c>
      <c r="CZ116" s="190" t="n">
        <v>6.25524238435999</v>
      </c>
      <c r="DA116" s="190" t="n">
        <v>6.32497807237999</v>
      </c>
      <c r="DB116" s="190" t="n">
        <v>6.39471376039999</v>
      </c>
      <c r="DC116" s="190" t="n">
        <v>6.46444944841999</v>
      </c>
      <c r="DD116" s="190" t="n">
        <v>6.53418513643999</v>
      </c>
      <c r="DE116" s="190" t="n">
        <v>6.60392082445999</v>
      </c>
      <c r="DF116" s="190" t="n">
        <v>6.67365651247999</v>
      </c>
      <c r="DG116" s="190" t="n">
        <v>6.74339220049999</v>
      </c>
      <c r="DH116" s="190" t="n">
        <v>6.81312788851999</v>
      </c>
      <c r="DI116" s="190" t="n">
        <v>6.88286357653999</v>
      </c>
      <c r="DJ116" s="190" t="n">
        <v>6.95259926455999</v>
      </c>
      <c r="DK116" s="190" t="n">
        <v>7.02233495257999</v>
      </c>
      <c r="DL116" s="190" t="n">
        <v>7.09207064059999</v>
      </c>
      <c r="DM116" s="190" t="n">
        <v>7.16180632861999</v>
      </c>
      <c r="DN116" s="190" t="n">
        <v>7.23154201663999</v>
      </c>
      <c r="DO116" s="190" t="n">
        <v>7.30127770465999</v>
      </c>
      <c r="DP116" s="190" t="n">
        <v>7.37101339267999</v>
      </c>
      <c r="DQ116" s="190" t="n">
        <v>7.44074908069999</v>
      </c>
      <c r="DR116" s="190" t="n">
        <v>7.51048476871999</v>
      </c>
      <c r="DS116" s="190" t="n">
        <v>7.58022045673999</v>
      </c>
      <c r="DT116" s="190" t="n">
        <v>7.64995614475999</v>
      </c>
      <c r="DU116" s="190" t="n">
        <v>7.71969183277999</v>
      </c>
      <c r="DV116" s="190" t="n">
        <v>7.78942752079998</v>
      </c>
      <c r="DW116" s="190" t="n">
        <v>7.85916320881998</v>
      </c>
      <c r="DX116" s="190" t="n">
        <v>7.92889889683998</v>
      </c>
      <c r="DY116" s="190" t="n">
        <v>7.99863458485998</v>
      </c>
      <c r="DZ116" s="190" t="n">
        <v>8.06837027287998</v>
      </c>
      <c r="EA116" s="190" t="n">
        <v>8.13810596089998</v>
      </c>
      <c r="EB116" s="190" t="n">
        <v>8.20784164891998</v>
      </c>
      <c r="EC116" s="190" t="n">
        <v>8.27757733693998</v>
      </c>
      <c r="ED116" s="190" t="n">
        <v>8.34731302495998</v>
      </c>
      <c r="EE116" s="190" t="n">
        <v>8.41704871297998</v>
      </c>
      <c r="EF116" s="190" t="n">
        <v>8.48678440099998</v>
      </c>
      <c r="EG116" s="190" t="n">
        <v>8.55652008901998</v>
      </c>
      <c r="EH116" s="190" t="n">
        <v>8.62625577703998</v>
      </c>
      <c r="EI116" s="190" t="n">
        <v>8.69599146505998</v>
      </c>
      <c r="EJ116" s="190" t="n">
        <v>8.76572715307998</v>
      </c>
      <c r="EK116" s="190" t="n">
        <v>8.83546284109998</v>
      </c>
      <c r="EL116" s="180" t="n">
        <v>8.90519852911998</v>
      </c>
      <c r="EM116" s="180" t="n">
        <v>8.97493421713998</v>
      </c>
      <c r="EN116" s="180" t="n">
        <v>9.04466990515998</v>
      </c>
      <c r="EO116" s="180" t="n">
        <v>9.11440559317998</v>
      </c>
      <c r="EP116" s="180" t="n">
        <v>9.18414128119998</v>
      </c>
      <c r="EQ116" s="180" t="n">
        <v>9.25387696921998</v>
      </c>
      <c r="ER116" s="180" t="n">
        <v>9.32361265723998</v>
      </c>
      <c r="ES116" s="180" t="n">
        <v>9.39334834525998</v>
      </c>
      <c r="ET116" s="180" t="n">
        <v>9.46308403327998</v>
      </c>
      <c r="EU116" s="180" t="n">
        <v>9.53281972129998</v>
      </c>
      <c r="EV116" s="180" t="n">
        <v>9.60255540931998</v>
      </c>
      <c r="EW116" s="180" t="n">
        <v>9.67229109733998</v>
      </c>
      <c r="EX116" s="180" t="n">
        <v>9.74202678535998</v>
      </c>
      <c r="EY116" s="180" t="n">
        <v>9.81176247337998</v>
      </c>
      <c r="EZ116" s="180" t="n">
        <v>9.88149816139998</v>
      </c>
      <c r="FA116" s="180" t="n">
        <v>9.95123384941998</v>
      </c>
      <c r="FB116" s="180" t="n">
        <v>10.02096953744</v>
      </c>
      <c r="FC116" s="180" t="n">
        <v>10.09070522546</v>
      </c>
      <c r="FD116" s="180" t="n">
        <v>10.16044091348</v>
      </c>
      <c r="FE116" s="180" t="n">
        <v>10.2301766015</v>
      </c>
      <c r="FF116" s="180" t="n">
        <v>10.29991228952</v>
      </c>
      <c r="FG116" s="180" t="n">
        <v>10.36964797754</v>
      </c>
      <c r="FH116" s="180" t="n">
        <v>10.43938366556</v>
      </c>
      <c r="FI116" s="180" t="n">
        <v>10.50911935358</v>
      </c>
      <c r="FJ116" s="180" t="n">
        <v>10.5788550416</v>
      </c>
      <c r="FK116" s="180" t="n">
        <v>10.64859072962</v>
      </c>
      <c r="FL116" s="180" t="n">
        <v>10.71832641764</v>
      </c>
      <c r="FM116" s="180" t="n">
        <v>10.78806210566</v>
      </c>
      <c r="FN116" s="180" t="n">
        <v>10.85779779368</v>
      </c>
      <c r="FO116" s="180" t="n">
        <v>10.9275334817</v>
      </c>
      <c r="FP116" s="180" t="n">
        <v>10.99726916972</v>
      </c>
      <c r="FQ116" s="180" t="n">
        <v>11.06700485774</v>
      </c>
      <c r="FR116" s="180" t="n">
        <v>11.13674054576</v>
      </c>
      <c r="FS116" s="180" t="n">
        <v>11.20647623378</v>
      </c>
      <c r="FT116" s="180" t="n">
        <v>11.2762119218</v>
      </c>
      <c r="FU116" s="180" t="n">
        <v>11.34594760982</v>
      </c>
      <c r="FV116" s="180" t="n">
        <v>11.41568329784</v>
      </c>
      <c r="FW116" s="180" t="n">
        <v>11.48541898586</v>
      </c>
      <c r="FX116" s="180" t="n">
        <v>11.55515467388</v>
      </c>
      <c r="FY116" s="180" t="n">
        <v>11.6248903619</v>
      </c>
      <c r="FZ116" s="180" t="n">
        <v>11.69462604992</v>
      </c>
      <c r="GA116" s="180" t="n">
        <v>11.76436173794</v>
      </c>
      <c r="GB116" s="180" t="n">
        <v>11.83409742596</v>
      </c>
      <c r="GC116" s="180" t="n">
        <v>11.90383311398</v>
      </c>
      <c r="GD116" s="180" t="n">
        <v>11.973568802</v>
      </c>
      <c r="GE116" s="180" t="n">
        <v>12.04330449002</v>
      </c>
      <c r="GF116" s="180" t="n">
        <v>12.11304017804</v>
      </c>
      <c r="GG116" s="180" t="n">
        <v>12.18277586606</v>
      </c>
      <c r="GH116" s="180" t="n">
        <v>12.25251155408</v>
      </c>
      <c r="GI116" s="180" t="n">
        <v>12.3222472421</v>
      </c>
      <c r="GJ116" s="180" t="n">
        <v>12.39198293012</v>
      </c>
      <c r="GK116" s="180" t="n">
        <v>12.46171861814</v>
      </c>
      <c r="GL116" s="180" t="n">
        <v>12.53145430616</v>
      </c>
      <c r="GM116" s="180" t="n">
        <v>12.60118999418</v>
      </c>
      <c r="GN116" s="180" t="n">
        <v>12.6709256822</v>
      </c>
      <c r="GO116" s="180" t="n">
        <v>12.74066137022</v>
      </c>
      <c r="GP116" s="180" t="n">
        <v>12.81039705824</v>
      </c>
      <c r="GQ116" s="180" t="n">
        <v>12.88013274626</v>
      </c>
      <c r="GR116" s="180" t="n">
        <v>12.94986843428</v>
      </c>
      <c r="GS116" s="180" t="n">
        <v>13.0196041223</v>
      </c>
      <c r="GT116" s="180" t="n">
        <v>13.08933981032</v>
      </c>
      <c r="GU116" s="180" t="n">
        <v>13.15907549834</v>
      </c>
      <c r="GV116" s="180" t="n">
        <v>13.22881118636</v>
      </c>
      <c r="GW116" s="180" t="n">
        <v>13.29854687438</v>
      </c>
      <c r="GX116" s="180" t="n">
        <v>13.3682825624</v>
      </c>
      <c r="GY116" s="180" t="n">
        <v>13.43801825042</v>
      </c>
      <c r="GZ116" s="180" t="n">
        <v>13.50775393844</v>
      </c>
      <c r="HA116" s="180" t="n">
        <v>13.57748962646</v>
      </c>
      <c r="HB116" s="180" t="n">
        <v>13.64722531448</v>
      </c>
      <c r="HC116" s="180" t="n">
        <v>13.7169610025</v>
      </c>
      <c r="HD116" s="180" t="n">
        <v>13.78669669052</v>
      </c>
      <c r="HE116" s="180" t="n">
        <v>13.85643237854</v>
      </c>
      <c r="HF116" s="180" t="n">
        <v>13.92616806656</v>
      </c>
      <c r="HG116" s="180" t="n">
        <v>13.99590375458</v>
      </c>
      <c r="HH116" s="180" t="n">
        <v>14.0656394426</v>
      </c>
      <c r="HI116" s="180" t="n">
        <v>14.13537513062</v>
      </c>
      <c r="HJ116" s="180" t="n">
        <v>14.20511081864</v>
      </c>
      <c r="HK116" s="180" t="n">
        <v>14.27484650666</v>
      </c>
      <c r="HL116" s="180" t="n">
        <v>14.34458219468</v>
      </c>
      <c r="HM116" s="180" t="n">
        <v>14.4143178827</v>
      </c>
      <c r="HN116" s="180" t="n">
        <v>14.48405357072</v>
      </c>
      <c r="HO116" s="180" t="n">
        <v>14.55378925874</v>
      </c>
      <c r="HP116" s="180" t="n">
        <v>14.62352494676</v>
      </c>
      <c r="HQ116" s="180" t="n">
        <v>14.69326063478</v>
      </c>
      <c r="HR116" s="180" t="n">
        <v>14.7629963228</v>
      </c>
      <c r="HS116" s="180" t="n">
        <v>14.83273201082</v>
      </c>
      <c r="HT116" s="180" t="n">
        <v>14.90246769884</v>
      </c>
      <c r="HU116" s="180" t="n">
        <v>14.97220338686</v>
      </c>
      <c r="HV116" s="180" t="n">
        <v>15.04193907488</v>
      </c>
      <c r="HW116" s="180" t="n">
        <v>15.1116747629</v>
      </c>
      <c r="HX116" s="180" t="n">
        <v>15.18141045092</v>
      </c>
      <c r="HY116" s="180" t="n">
        <v>15.25114613894</v>
      </c>
      <c r="HZ116" s="180" t="n">
        <v>15.32088182696</v>
      </c>
      <c r="IA116" s="180" t="n">
        <v>15.39061751498</v>
      </c>
      <c r="IB116" s="180" t="n">
        <v>15.460353203</v>
      </c>
      <c r="IC116" s="180" t="n">
        <v>15.53008889102</v>
      </c>
      <c r="ID116" s="180" t="n">
        <v>15.59982457904</v>
      </c>
      <c r="IE116" s="180" t="n">
        <v>15.66956026706</v>
      </c>
      <c r="IF116" s="180" t="n">
        <v>15.73929595508</v>
      </c>
      <c r="IG116" s="180" t="n">
        <v>15.8090316431</v>
      </c>
      <c r="IH116" s="180" t="n">
        <v>15.87876733112</v>
      </c>
      <c r="II116" s="180" t="n">
        <v>15.94850301914</v>
      </c>
      <c r="IJ116" s="180" t="n">
        <v>16.01823870716</v>
      </c>
      <c r="IK116" s="180" t="n">
        <v>16.08797439518</v>
      </c>
      <c r="IL116" s="180" t="n">
        <v>16.1577100832</v>
      </c>
      <c r="IM116" s="180" t="n">
        <v>16.22744577122</v>
      </c>
      <c r="IN116" s="180" t="n">
        <v>16.29718145924</v>
      </c>
      <c r="IO116" s="180" t="n">
        <v>16.36691714726</v>
      </c>
      <c r="IP116" s="180" t="n">
        <v>16.43665283528</v>
      </c>
      <c r="IQ116" s="180" t="n">
        <v>16.5063885233</v>
      </c>
      <c r="IR116" s="180" t="n">
        <v>16.57612421132</v>
      </c>
      <c r="IS116" s="180" t="n">
        <v>16.64585989934</v>
      </c>
      <c r="IT116" s="180" t="n">
        <v>16.71559558736</v>
      </c>
      <c r="IU116" s="180" t="n">
        <v>16.78533127538</v>
      </c>
      <c r="IV116" s="180" t="n">
        <v>16.8550669634</v>
      </c>
    </row>
    <row r="117" customFormat="false" ht="12.75" hidden="false" customHeight="false" outlineLevel="0" collapsed="false">
      <c r="A117" s="189" t="n">
        <v>40238</v>
      </c>
      <c r="B117" s="185" t="n">
        <v>-2.021005929375</v>
      </c>
      <c r="C117" s="185" t="n">
        <v>-1.9907047400625</v>
      </c>
      <c r="D117" s="185" t="n">
        <v>-1.96040355075</v>
      </c>
      <c r="E117" s="185" t="n">
        <v>-1.9301023614375</v>
      </c>
      <c r="F117" s="185" t="n">
        <v>-1.899801172125</v>
      </c>
      <c r="G117" s="185" t="n">
        <v>-1.8694999828125</v>
      </c>
      <c r="H117" s="185" t="n">
        <v>-1.8391987935</v>
      </c>
      <c r="I117" s="185" t="n">
        <v>-1.8088976041875</v>
      </c>
      <c r="J117" s="185" t="n">
        <v>-1.778596414875</v>
      </c>
      <c r="K117" s="185" t="n">
        <v>-1.7482952255625</v>
      </c>
      <c r="L117" s="185" t="n">
        <v>-1.71799403625</v>
      </c>
      <c r="M117" s="185" t="n">
        <v>-1.6876928469375</v>
      </c>
      <c r="N117" s="185" t="n">
        <v>-1.657391657625</v>
      </c>
      <c r="O117" s="185" t="n">
        <v>-1.6270904683125</v>
      </c>
      <c r="P117" s="185" t="n">
        <v>-1.596789279</v>
      </c>
      <c r="Q117" s="185" t="n">
        <v>-1.5664880896875</v>
      </c>
      <c r="R117" s="185" t="n">
        <v>-1.536186900375</v>
      </c>
      <c r="S117" s="185" t="n">
        <v>-1.5058857110625</v>
      </c>
      <c r="T117" s="185" t="n">
        <v>-1.47558452175</v>
      </c>
      <c r="U117" s="185" t="n">
        <v>-1.4452833324375</v>
      </c>
      <c r="V117" s="186" t="n">
        <v>-1.414982143125</v>
      </c>
      <c r="W117" s="185" t="n">
        <v>-1.3846809538125</v>
      </c>
      <c r="X117" s="186" t="n">
        <v>-1.3543797645</v>
      </c>
      <c r="Y117" s="185" t="n">
        <v>-1.3240785751875</v>
      </c>
      <c r="Z117" s="186" t="n">
        <v>-1.293777385875</v>
      </c>
      <c r="AA117" s="185" t="n">
        <v>-1.2634761965625</v>
      </c>
      <c r="AB117" s="187" t="n">
        <v>-1.23317500725</v>
      </c>
      <c r="AC117" s="185" t="n">
        <v>-1.2028738179375</v>
      </c>
      <c r="AD117" s="187" t="n">
        <v>-1.172572628625</v>
      </c>
      <c r="AE117" s="185" t="n">
        <v>-1.1422714393125</v>
      </c>
      <c r="AF117" s="185" t="n">
        <v>-1.11197025</v>
      </c>
      <c r="AG117" s="190" t="n">
        <v>-1.083235125</v>
      </c>
      <c r="AH117" s="190" t="n">
        <v>-1.0545</v>
      </c>
      <c r="AI117" s="190" t="n">
        <v>-1.02725</v>
      </c>
      <c r="AJ117" s="190" t="n">
        <v>-1</v>
      </c>
      <c r="AK117" s="190" t="n">
        <v>-0.8</v>
      </c>
      <c r="AL117" s="190" t="n">
        <v>-0.6</v>
      </c>
      <c r="AM117" s="190" t="n">
        <v>-0.4</v>
      </c>
      <c r="AN117" s="190" t="n">
        <v>-0.2</v>
      </c>
      <c r="AO117" s="190" t="n">
        <v>0</v>
      </c>
      <c r="AP117" s="190" t="n">
        <v>0.2</v>
      </c>
      <c r="AQ117" s="190" t="n">
        <v>0.4</v>
      </c>
      <c r="AR117" s="190" t="n">
        <v>0.6</v>
      </c>
      <c r="AS117" s="190" t="n">
        <v>0.8</v>
      </c>
      <c r="AT117" s="190" t="n">
        <v>1</v>
      </c>
      <c r="AU117" s="190" t="n">
        <v>1.2</v>
      </c>
      <c r="AV117" s="190" t="n">
        <v>1.4</v>
      </c>
      <c r="AW117" s="190" t="n">
        <v>1.58</v>
      </c>
      <c r="AX117" s="190" t="n">
        <v>1.76</v>
      </c>
      <c r="AY117" s="190" t="n">
        <v>1.922</v>
      </c>
      <c r="AZ117" s="190" t="n">
        <v>2.084</v>
      </c>
      <c r="BA117" s="190" t="n">
        <v>2.2298</v>
      </c>
      <c r="BB117" s="190" t="n">
        <v>2.3756</v>
      </c>
      <c r="BC117" s="190" t="n">
        <v>2.50682</v>
      </c>
      <c r="BD117" s="190" t="n">
        <v>2.63804</v>
      </c>
      <c r="BE117" s="190" t="n">
        <v>2.756138</v>
      </c>
      <c r="BF117" s="190" t="n">
        <v>2.874236</v>
      </c>
      <c r="BG117" s="190" t="n">
        <v>2.9805242</v>
      </c>
      <c r="BH117" s="190" t="n">
        <v>3.0868124</v>
      </c>
      <c r="BI117" s="190" t="n">
        <v>3.18247178</v>
      </c>
      <c r="BJ117" s="190" t="n">
        <v>3.27813116</v>
      </c>
      <c r="BK117" s="190" t="n">
        <v>3.364224602</v>
      </c>
      <c r="BL117" s="190" t="n">
        <v>3.450318044</v>
      </c>
      <c r="BM117" s="190" t="n">
        <v>3.5278021418</v>
      </c>
      <c r="BN117" s="190" t="n">
        <v>3.6052862396</v>
      </c>
      <c r="BO117" s="190" t="n">
        <v>3.67502192762</v>
      </c>
      <c r="BP117" s="190" t="n">
        <v>3.74475761564</v>
      </c>
      <c r="BQ117" s="190" t="n">
        <v>3.81449330366</v>
      </c>
      <c r="BR117" s="190" t="n">
        <v>3.88422899168</v>
      </c>
      <c r="BS117" s="190" t="n">
        <v>3.9539646797</v>
      </c>
      <c r="BT117" s="190" t="n">
        <v>4.02370036772</v>
      </c>
      <c r="BU117" s="190" t="n">
        <v>4.09343605574</v>
      </c>
      <c r="BV117" s="190" t="n">
        <v>4.16317174376</v>
      </c>
      <c r="BW117" s="190" t="n">
        <v>4.23290743178</v>
      </c>
      <c r="BX117" s="190" t="n">
        <v>4.3026431198</v>
      </c>
      <c r="BY117" s="190" t="n">
        <v>4.37237880782</v>
      </c>
      <c r="BZ117" s="190" t="n">
        <v>4.44211449584</v>
      </c>
      <c r="CA117" s="190" t="n">
        <v>4.51185018386</v>
      </c>
      <c r="CB117" s="190" t="n">
        <v>4.58158587188</v>
      </c>
      <c r="CC117" s="190" t="n">
        <v>4.6513215599</v>
      </c>
      <c r="CD117" s="190" t="n">
        <v>4.72105724792</v>
      </c>
      <c r="CE117" s="190" t="n">
        <v>4.79079293594</v>
      </c>
      <c r="CF117" s="190" t="n">
        <v>4.86052862396</v>
      </c>
      <c r="CG117" s="190" t="n">
        <v>4.93026431198</v>
      </c>
      <c r="CH117" s="190" t="n">
        <v>5</v>
      </c>
      <c r="CI117" s="190" t="n">
        <v>5.06973568801999</v>
      </c>
      <c r="CJ117" s="190" t="n">
        <v>5.13947137603999</v>
      </c>
      <c r="CK117" s="190" t="n">
        <v>5.20920706405999</v>
      </c>
      <c r="CL117" s="190" t="n">
        <v>5.27894275207999</v>
      </c>
      <c r="CM117" s="190" t="n">
        <v>5.34867844009999</v>
      </c>
      <c r="CN117" s="190" t="n">
        <v>5.41841412811999</v>
      </c>
      <c r="CO117" s="190" t="n">
        <v>5.48814981613999</v>
      </c>
      <c r="CP117" s="190" t="n">
        <v>5.55788550415999</v>
      </c>
      <c r="CQ117" s="190" t="n">
        <v>5.62762119217999</v>
      </c>
      <c r="CR117" s="190" t="n">
        <v>5.69735688019999</v>
      </c>
      <c r="CS117" s="190" t="n">
        <v>5.76709256821999</v>
      </c>
      <c r="CT117" s="190" t="n">
        <v>5.83682825623999</v>
      </c>
      <c r="CU117" s="190" t="n">
        <v>5.90656394425999</v>
      </c>
      <c r="CV117" s="190" t="n">
        <v>5.97629963227999</v>
      </c>
      <c r="CW117" s="190" t="n">
        <v>6.04603532029999</v>
      </c>
      <c r="CX117" s="190" t="n">
        <v>6.11577100831999</v>
      </c>
      <c r="CY117" s="190" t="n">
        <v>6.18550669633999</v>
      </c>
      <c r="CZ117" s="190" t="n">
        <v>6.25524238435999</v>
      </c>
      <c r="DA117" s="190" t="n">
        <v>6.32497807237999</v>
      </c>
      <c r="DB117" s="190" t="n">
        <v>6.39471376039999</v>
      </c>
      <c r="DC117" s="190" t="n">
        <v>6.46444944841999</v>
      </c>
      <c r="DD117" s="190" t="n">
        <v>6.53418513643999</v>
      </c>
      <c r="DE117" s="190" t="n">
        <v>6.60392082445999</v>
      </c>
      <c r="DF117" s="190" t="n">
        <v>6.67365651247999</v>
      </c>
      <c r="DG117" s="190" t="n">
        <v>6.74339220049999</v>
      </c>
      <c r="DH117" s="190" t="n">
        <v>6.81312788851999</v>
      </c>
      <c r="DI117" s="190" t="n">
        <v>6.88286357653999</v>
      </c>
      <c r="DJ117" s="190" t="n">
        <v>6.95259926455999</v>
      </c>
      <c r="DK117" s="190" t="n">
        <v>7.02233495257999</v>
      </c>
      <c r="DL117" s="190" t="n">
        <v>7.09207064059999</v>
      </c>
      <c r="DM117" s="190" t="n">
        <v>7.16180632861999</v>
      </c>
      <c r="DN117" s="190" t="n">
        <v>7.23154201663999</v>
      </c>
      <c r="DO117" s="190" t="n">
        <v>7.30127770465999</v>
      </c>
      <c r="DP117" s="190" t="n">
        <v>7.37101339267999</v>
      </c>
      <c r="DQ117" s="190" t="n">
        <v>7.44074908069999</v>
      </c>
      <c r="DR117" s="190" t="n">
        <v>7.51048476871999</v>
      </c>
      <c r="DS117" s="190" t="n">
        <v>7.58022045673999</v>
      </c>
      <c r="DT117" s="190" t="n">
        <v>7.64995614475999</v>
      </c>
      <c r="DU117" s="190" t="n">
        <v>7.71969183277999</v>
      </c>
      <c r="DV117" s="190" t="n">
        <v>7.78942752079998</v>
      </c>
      <c r="DW117" s="190" t="n">
        <v>7.85916320881998</v>
      </c>
      <c r="DX117" s="190" t="n">
        <v>7.92889889683998</v>
      </c>
      <c r="DY117" s="190" t="n">
        <v>7.99863458485998</v>
      </c>
      <c r="DZ117" s="190" t="n">
        <v>8.06837027287998</v>
      </c>
      <c r="EA117" s="190" t="n">
        <v>8.13810596089998</v>
      </c>
      <c r="EB117" s="190" t="n">
        <v>8.20784164891998</v>
      </c>
      <c r="EC117" s="190" t="n">
        <v>8.27757733693998</v>
      </c>
      <c r="ED117" s="190" t="n">
        <v>8.34731302495998</v>
      </c>
      <c r="EE117" s="190" t="n">
        <v>8.41704871297998</v>
      </c>
      <c r="EF117" s="190" t="n">
        <v>8.48678440099998</v>
      </c>
      <c r="EG117" s="190" t="n">
        <v>8.55652008901998</v>
      </c>
      <c r="EH117" s="190" t="n">
        <v>8.62625577703998</v>
      </c>
      <c r="EI117" s="190" t="n">
        <v>8.69599146505998</v>
      </c>
      <c r="EJ117" s="190" t="n">
        <v>8.76572715307998</v>
      </c>
      <c r="EK117" s="190" t="n">
        <v>8.83546284109998</v>
      </c>
      <c r="EL117" s="180" t="n">
        <v>8.90519852911998</v>
      </c>
      <c r="EM117" s="180" t="n">
        <v>8.97493421713998</v>
      </c>
      <c r="EN117" s="180" t="n">
        <v>9.04466990515998</v>
      </c>
      <c r="EO117" s="180" t="n">
        <v>9.11440559317998</v>
      </c>
      <c r="EP117" s="180" t="n">
        <v>9.18414128119998</v>
      </c>
      <c r="EQ117" s="180" t="n">
        <v>9.25387696921998</v>
      </c>
      <c r="ER117" s="180" t="n">
        <v>9.32361265723998</v>
      </c>
      <c r="ES117" s="180" t="n">
        <v>9.39334834525998</v>
      </c>
      <c r="ET117" s="180" t="n">
        <v>9.46308403327998</v>
      </c>
      <c r="EU117" s="180" t="n">
        <v>9.53281972129998</v>
      </c>
      <c r="EV117" s="180" t="n">
        <v>9.60255540931998</v>
      </c>
      <c r="EW117" s="180" t="n">
        <v>9.67229109733998</v>
      </c>
      <c r="EX117" s="180" t="n">
        <v>9.74202678535998</v>
      </c>
      <c r="EY117" s="180" t="n">
        <v>9.81176247337998</v>
      </c>
      <c r="EZ117" s="180" t="n">
        <v>9.88149816139998</v>
      </c>
      <c r="FA117" s="180" t="n">
        <v>9.95123384941998</v>
      </c>
      <c r="FB117" s="180" t="n">
        <v>10.02096953744</v>
      </c>
      <c r="FC117" s="180" t="n">
        <v>10.09070522546</v>
      </c>
      <c r="FD117" s="180" t="n">
        <v>10.16044091348</v>
      </c>
      <c r="FE117" s="180" t="n">
        <v>10.2301766015</v>
      </c>
      <c r="FF117" s="180" t="n">
        <v>10.29991228952</v>
      </c>
      <c r="FG117" s="180" t="n">
        <v>10.36964797754</v>
      </c>
      <c r="FH117" s="180" t="n">
        <v>10.43938366556</v>
      </c>
      <c r="FI117" s="180" t="n">
        <v>10.50911935358</v>
      </c>
      <c r="FJ117" s="180" t="n">
        <v>10.5788550416</v>
      </c>
      <c r="FK117" s="180" t="n">
        <v>10.64859072962</v>
      </c>
      <c r="FL117" s="180" t="n">
        <v>10.71832641764</v>
      </c>
      <c r="FM117" s="180" t="n">
        <v>10.78806210566</v>
      </c>
      <c r="FN117" s="180" t="n">
        <v>10.85779779368</v>
      </c>
      <c r="FO117" s="180" t="n">
        <v>10.9275334817</v>
      </c>
      <c r="FP117" s="180" t="n">
        <v>10.99726916972</v>
      </c>
      <c r="FQ117" s="180" t="n">
        <v>11.06700485774</v>
      </c>
      <c r="FR117" s="180" t="n">
        <v>11.13674054576</v>
      </c>
      <c r="FS117" s="180" t="n">
        <v>11.20647623378</v>
      </c>
      <c r="FT117" s="180" t="n">
        <v>11.2762119218</v>
      </c>
      <c r="FU117" s="180" t="n">
        <v>11.34594760982</v>
      </c>
      <c r="FV117" s="180" t="n">
        <v>11.41568329784</v>
      </c>
      <c r="FW117" s="180" t="n">
        <v>11.48541898586</v>
      </c>
      <c r="FX117" s="180" t="n">
        <v>11.55515467388</v>
      </c>
      <c r="FY117" s="180" t="n">
        <v>11.6248903619</v>
      </c>
      <c r="FZ117" s="180" t="n">
        <v>11.69462604992</v>
      </c>
      <c r="GA117" s="180" t="n">
        <v>11.76436173794</v>
      </c>
      <c r="GB117" s="180" t="n">
        <v>11.83409742596</v>
      </c>
      <c r="GC117" s="180" t="n">
        <v>11.90383311398</v>
      </c>
      <c r="GD117" s="180" t="n">
        <v>11.973568802</v>
      </c>
      <c r="GE117" s="180" t="n">
        <v>12.04330449002</v>
      </c>
      <c r="GF117" s="180" t="n">
        <v>12.11304017804</v>
      </c>
      <c r="GG117" s="180" t="n">
        <v>12.18277586606</v>
      </c>
      <c r="GH117" s="180" t="n">
        <v>12.25251155408</v>
      </c>
      <c r="GI117" s="180" t="n">
        <v>12.3222472421</v>
      </c>
      <c r="GJ117" s="180" t="n">
        <v>12.39198293012</v>
      </c>
      <c r="GK117" s="180" t="n">
        <v>12.46171861814</v>
      </c>
      <c r="GL117" s="180" t="n">
        <v>12.53145430616</v>
      </c>
      <c r="GM117" s="180" t="n">
        <v>12.60118999418</v>
      </c>
      <c r="GN117" s="180" t="n">
        <v>12.6709256822</v>
      </c>
      <c r="GO117" s="180" t="n">
        <v>12.74066137022</v>
      </c>
      <c r="GP117" s="180" t="n">
        <v>12.81039705824</v>
      </c>
      <c r="GQ117" s="180" t="n">
        <v>12.88013274626</v>
      </c>
      <c r="GR117" s="180" t="n">
        <v>12.94986843428</v>
      </c>
      <c r="GS117" s="180" t="n">
        <v>13.0196041223</v>
      </c>
      <c r="GT117" s="180" t="n">
        <v>13.08933981032</v>
      </c>
      <c r="GU117" s="180" t="n">
        <v>13.15907549834</v>
      </c>
      <c r="GV117" s="180" t="n">
        <v>13.22881118636</v>
      </c>
      <c r="GW117" s="180" t="n">
        <v>13.29854687438</v>
      </c>
      <c r="GX117" s="180" t="n">
        <v>13.3682825624</v>
      </c>
      <c r="GY117" s="180" t="n">
        <v>13.43801825042</v>
      </c>
      <c r="GZ117" s="180" t="n">
        <v>13.50775393844</v>
      </c>
      <c r="HA117" s="180" t="n">
        <v>13.57748962646</v>
      </c>
      <c r="HB117" s="180" t="n">
        <v>13.64722531448</v>
      </c>
      <c r="HC117" s="180" t="n">
        <v>13.7169610025</v>
      </c>
      <c r="HD117" s="180" t="n">
        <v>13.78669669052</v>
      </c>
      <c r="HE117" s="180" t="n">
        <v>13.85643237854</v>
      </c>
      <c r="HF117" s="180" t="n">
        <v>13.92616806656</v>
      </c>
      <c r="HG117" s="180" t="n">
        <v>13.99590375458</v>
      </c>
      <c r="HH117" s="180" t="n">
        <v>14.0656394426</v>
      </c>
      <c r="HI117" s="180" t="n">
        <v>14.13537513062</v>
      </c>
      <c r="HJ117" s="180" t="n">
        <v>14.20511081864</v>
      </c>
      <c r="HK117" s="180" t="n">
        <v>14.27484650666</v>
      </c>
      <c r="HL117" s="180" t="n">
        <v>14.34458219468</v>
      </c>
      <c r="HM117" s="180" t="n">
        <v>14.4143178827</v>
      </c>
      <c r="HN117" s="180" t="n">
        <v>14.48405357072</v>
      </c>
      <c r="HO117" s="180" t="n">
        <v>14.55378925874</v>
      </c>
      <c r="HP117" s="180" t="n">
        <v>14.62352494676</v>
      </c>
      <c r="HQ117" s="180" t="n">
        <v>14.69326063478</v>
      </c>
      <c r="HR117" s="180" t="n">
        <v>14.7629963228</v>
      </c>
      <c r="HS117" s="180" t="n">
        <v>14.83273201082</v>
      </c>
      <c r="HT117" s="180" t="n">
        <v>14.90246769884</v>
      </c>
      <c r="HU117" s="180" t="n">
        <v>14.97220338686</v>
      </c>
      <c r="HV117" s="180" t="n">
        <v>15.04193907488</v>
      </c>
      <c r="HW117" s="180" t="n">
        <v>15.1116747629</v>
      </c>
      <c r="HX117" s="180" t="n">
        <v>15.18141045092</v>
      </c>
      <c r="HY117" s="180" t="n">
        <v>15.25114613894</v>
      </c>
      <c r="HZ117" s="180" t="n">
        <v>15.32088182696</v>
      </c>
      <c r="IA117" s="180" t="n">
        <v>15.39061751498</v>
      </c>
      <c r="IB117" s="180" t="n">
        <v>15.460353203</v>
      </c>
      <c r="IC117" s="180" t="n">
        <v>15.53008889102</v>
      </c>
      <c r="ID117" s="180" t="n">
        <v>15.59982457904</v>
      </c>
      <c r="IE117" s="180" t="n">
        <v>15.66956026706</v>
      </c>
      <c r="IF117" s="180" t="n">
        <v>15.73929595508</v>
      </c>
      <c r="IG117" s="180" t="n">
        <v>15.8090316431</v>
      </c>
      <c r="IH117" s="180" t="n">
        <v>15.87876733112</v>
      </c>
      <c r="II117" s="180" t="n">
        <v>15.94850301914</v>
      </c>
      <c r="IJ117" s="180" t="n">
        <v>16.01823870716</v>
      </c>
      <c r="IK117" s="180" t="n">
        <v>16.08797439518</v>
      </c>
      <c r="IL117" s="180" t="n">
        <v>16.1577100832</v>
      </c>
      <c r="IM117" s="180" t="n">
        <v>16.22744577122</v>
      </c>
      <c r="IN117" s="180" t="n">
        <v>16.29718145924</v>
      </c>
      <c r="IO117" s="180" t="n">
        <v>16.36691714726</v>
      </c>
      <c r="IP117" s="180" t="n">
        <v>16.43665283528</v>
      </c>
      <c r="IQ117" s="180" t="n">
        <v>16.5063885233</v>
      </c>
      <c r="IR117" s="180" t="n">
        <v>16.57612421132</v>
      </c>
      <c r="IS117" s="180" t="n">
        <v>16.64585989934</v>
      </c>
      <c r="IT117" s="180" t="n">
        <v>16.71559558736</v>
      </c>
      <c r="IU117" s="180" t="n">
        <v>16.78533127538</v>
      </c>
      <c r="IV117" s="180" t="n">
        <v>16.8550669634</v>
      </c>
    </row>
    <row r="118" customFormat="false" ht="12.75" hidden="false" customHeight="false" outlineLevel="0" collapsed="false">
      <c r="A118" s="189" t="n">
        <v>40269</v>
      </c>
      <c r="B118" s="185" t="n">
        <v>-2.021005929375</v>
      </c>
      <c r="C118" s="185" t="n">
        <v>-1.9907047400625</v>
      </c>
      <c r="D118" s="185" t="n">
        <v>-1.96040355075</v>
      </c>
      <c r="E118" s="185" t="n">
        <v>-1.9301023614375</v>
      </c>
      <c r="F118" s="185" t="n">
        <v>-1.899801172125</v>
      </c>
      <c r="G118" s="185" t="n">
        <v>-1.8694999828125</v>
      </c>
      <c r="H118" s="185" t="n">
        <v>-1.8391987935</v>
      </c>
      <c r="I118" s="185" t="n">
        <v>-1.8088976041875</v>
      </c>
      <c r="J118" s="185" t="n">
        <v>-1.778596414875</v>
      </c>
      <c r="K118" s="185" t="n">
        <v>-1.7482952255625</v>
      </c>
      <c r="L118" s="185" t="n">
        <v>-1.71799403625</v>
      </c>
      <c r="M118" s="185" t="n">
        <v>-1.6876928469375</v>
      </c>
      <c r="N118" s="185" t="n">
        <v>-1.657391657625</v>
      </c>
      <c r="O118" s="185" t="n">
        <v>-1.6270904683125</v>
      </c>
      <c r="P118" s="185" t="n">
        <v>-1.596789279</v>
      </c>
      <c r="Q118" s="185" t="n">
        <v>-1.5664880896875</v>
      </c>
      <c r="R118" s="185" t="n">
        <v>-1.536186900375</v>
      </c>
      <c r="S118" s="185" t="n">
        <v>-1.5058857110625</v>
      </c>
      <c r="T118" s="185" t="n">
        <v>-1.47558452175</v>
      </c>
      <c r="U118" s="185" t="n">
        <v>-1.4452833324375</v>
      </c>
      <c r="V118" s="186" t="n">
        <v>-1.414982143125</v>
      </c>
      <c r="W118" s="185" t="n">
        <v>-1.3846809538125</v>
      </c>
      <c r="X118" s="186" t="n">
        <v>-1.3543797645</v>
      </c>
      <c r="Y118" s="185" t="n">
        <v>-1.3240785751875</v>
      </c>
      <c r="Z118" s="186" t="n">
        <v>-1.293777385875</v>
      </c>
      <c r="AA118" s="185" t="n">
        <v>-1.2634761965625</v>
      </c>
      <c r="AB118" s="187" t="n">
        <v>-1.23317500725</v>
      </c>
      <c r="AC118" s="185" t="n">
        <v>-1.2028738179375</v>
      </c>
      <c r="AD118" s="187" t="n">
        <v>-1.172572628625</v>
      </c>
      <c r="AE118" s="185" t="n">
        <v>-1.1422714393125</v>
      </c>
      <c r="AF118" s="185" t="n">
        <v>-1.11197025</v>
      </c>
      <c r="AG118" s="190" t="n">
        <v>-1.083235125</v>
      </c>
      <c r="AH118" s="190" t="n">
        <v>-1.0545</v>
      </c>
      <c r="AI118" s="190" t="n">
        <v>-1.02725</v>
      </c>
      <c r="AJ118" s="190" t="n">
        <v>-1</v>
      </c>
      <c r="AK118" s="190" t="n">
        <v>-0.8</v>
      </c>
      <c r="AL118" s="190" t="n">
        <v>-0.6</v>
      </c>
      <c r="AM118" s="190" t="n">
        <v>-0.4</v>
      </c>
      <c r="AN118" s="190" t="n">
        <v>-0.2</v>
      </c>
      <c r="AO118" s="190" t="n">
        <v>0</v>
      </c>
      <c r="AP118" s="190" t="n">
        <v>0.2</v>
      </c>
      <c r="AQ118" s="190" t="n">
        <v>0.4</v>
      </c>
      <c r="AR118" s="190" t="n">
        <v>0.6</v>
      </c>
      <c r="AS118" s="190" t="n">
        <v>0.8</v>
      </c>
      <c r="AT118" s="190" t="n">
        <v>1</v>
      </c>
      <c r="AU118" s="190" t="n">
        <v>1.2</v>
      </c>
      <c r="AV118" s="190" t="n">
        <v>1.4</v>
      </c>
      <c r="AW118" s="190" t="n">
        <v>1.58</v>
      </c>
      <c r="AX118" s="190" t="n">
        <v>1.76</v>
      </c>
      <c r="AY118" s="190" t="n">
        <v>1.922</v>
      </c>
      <c r="AZ118" s="190" t="n">
        <v>2.084</v>
      </c>
      <c r="BA118" s="190" t="n">
        <v>2.2298</v>
      </c>
      <c r="BB118" s="190" t="n">
        <v>2.3756</v>
      </c>
      <c r="BC118" s="190" t="n">
        <v>2.50682</v>
      </c>
      <c r="BD118" s="190" t="n">
        <v>2.63804</v>
      </c>
      <c r="BE118" s="190" t="n">
        <v>2.756138</v>
      </c>
      <c r="BF118" s="190" t="n">
        <v>2.874236</v>
      </c>
      <c r="BG118" s="190" t="n">
        <v>2.9805242</v>
      </c>
      <c r="BH118" s="190" t="n">
        <v>3.0868124</v>
      </c>
      <c r="BI118" s="190" t="n">
        <v>3.18247178</v>
      </c>
      <c r="BJ118" s="190" t="n">
        <v>3.27813116</v>
      </c>
      <c r="BK118" s="190" t="n">
        <v>3.364224602</v>
      </c>
      <c r="BL118" s="190" t="n">
        <v>3.450318044</v>
      </c>
      <c r="BM118" s="190" t="n">
        <v>3.5278021418</v>
      </c>
      <c r="BN118" s="190" t="n">
        <v>3.6052862396</v>
      </c>
      <c r="BO118" s="190" t="n">
        <v>3.67502192762</v>
      </c>
      <c r="BP118" s="190" t="n">
        <v>3.74475761564</v>
      </c>
      <c r="BQ118" s="190" t="n">
        <v>3.81449330366</v>
      </c>
      <c r="BR118" s="190" t="n">
        <v>3.88422899168</v>
      </c>
      <c r="BS118" s="190" t="n">
        <v>3.9539646797</v>
      </c>
      <c r="BT118" s="190" t="n">
        <v>4.02370036772</v>
      </c>
      <c r="BU118" s="190" t="n">
        <v>4.09343605574</v>
      </c>
      <c r="BV118" s="190" t="n">
        <v>4.16317174376</v>
      </c>
      <c r="BW118" s="190" t="n">
        <v>4.23290743178</v>
      </c>
      <c r="BX118" s="190" t="n">
        <v>4.3026431198</v>
      </c>
      <c r="BY118" s="190" t="n">
        <v>4.37237880782</v>
      </c>
      <c r="BZ118" s="190" t="n">
        <v>4.44211449584</v>
      </c>
      <c r="CA118" s="190" t="n">
        <v>4.51185018386</v>
      </c>
      <c r="CB118" s="190" t="n">
        <v>4.58158587188</v>
      </c>
      <c r="CC118" s="190" t="n">
        <v>4.6513215599</v>
      </c>
      <c r="CD118" s="190" t="n">
        <v>4.72105724792</v>
      </c>
      <c r="CE118" s="190" t="n">
        <v>4.79079293594</v>
      </c>
      <c r="CF118" s="190" t="n">
        <v>4.86052862396</v>
      </c>
      <c r="CG118" s="190" t="n">
        <v>4.93026431198</v>
      </c>
      <c r="CH118" s="190" t="n">
        <v>5</v>
      </c>
      <c r="CI118" s="190" t="n">
        <v>5.06973568801999</v>
      </c>
      <c r="CJ118" s="190" t="n">
        <v>5.13947137603999</v>
      </c>
      <c r="CK118" s="190" t="n">
        <v>5.20920706405999</v>
      </c>
      <c r="CL118" s="190" t="n">
        <v>5.27894275207999</v>
      </c>
      <c r="CM118" s="190" t="n">
        <v>5.34867844009999</v>
      </c>
      <c r="CN118" s="190" t="n">
        <v>5.41841412811999</v>
      </c>
      <c r="CO118" s="190" t="n">
        <v>5.48814981613999</v>
      </c>
      <c r="CP118" s="190" t="n">
        <v>5.55788550415999</v>
      </c>
      <c r="CQ118" s="190" t="n">
        <v>5.62762119217999</v>
      </c>
      <c r="CR118" s="190" t="n">
        <v>5.69735688019999</v>
      </c>
      <c r="CS118" s="190" t="n">
        <v>5.76709256821999</v>
      </c>
      <c r="CT118" s="190" t="n">
        <v>5.83682825623999</v>
      </c>
      <c r="CU118" s="190" t="n">
        <v>5.90656394425999</v>
      </c>
      <c r="CV118" s="190" t="n">
        <v>5.97629963227999</v>
      </c>
      <c r="CW118" s="190" t="n">
        <v>6.04603532029999</v>
      </c>
      <c r="CX118" s="190" t="n">
        <v>6.11577100831999</v>
      </c>
      <c r="CY118" s="190" t="n">
        <v>6.18550669633999</v>
      </c>
      <c r="CZ118" s="190" t="n">
        <v>6.25524238435999</v>
      </c>
      <c r="DA118" s="190" t="n">
        <v>6.32497807237999</v>
      </c>
      <c r="DB118" s="190" t="n">
        <v>6.39471376039999</v>
      </c>
      <c r="DC118" s="190" t="n">
        <v>6.46444944841999</v>
      </c>
      <c r="DD118" s="190" t="n">
        <v>6.53418513643999</v>
      </c>
      <c r="DE118" s="190" t="n">
        <v>6.60392082445999</v>
      </c>
      <c r="DF118" s="190" t="n">
        <v>6.67365651247999</v>
      </c>
      <c r="DG118" s="190" t="n">
        <v>6.74339220049999</v>
      </c>
      <c r="DH118" s="190" t="n">
        <v>6.81312788851999</v>
      </c>
      <c r="DI118" s="190" t="n">
        <v>6.88286357653999</v>
      </c>
      <c r="DJ118" s="190" t="n">
        <v>6.95259926455999</v>
      </c>
      <c r="DK118" s="190" t="n">
        <v>7.02233495257999</v>
      </c>
      <c r="DL118" s="190" t="n">
        <v>7.09207064059999</v>
      </c>
      <c r="DM118" s="190" t="n">
        <v>7.16180632861999</v>
      </c>
      <c r="DN118" s="190" t="n">
        <v>7.23154201663999</v>
      </c>
      <c r="DO118" s="190" t="n">
        <v>7.30127770465999</v>
      </c>
      <c r="DP118" s="190" t="n">
        <v>7.37101339267999</v>
      </c>
      <c r="DQ118" s="190" t="n">
        <v>7.44074908069999</v>
      </c>
      <c r="DR118" s="190" t="n">
        <v>7.51048476871999</v>
      </c>
      <c r="DS118" s="190" t="n">
        <v>7.58022045673999</v>
      </c>
      <c r="DT118" s="190" t="n">
        <v>7.64995614475999</v>
      </c>
      <c r="DU118" s="190" t="n">
        <v>7.71969183277999</v>
      </c>
      <c r="DV118" s="190" t="n">
        <v>7.78942752079998</v>
      </c>
      <c r="DW118" s="190" t="n">
        <v>7.85916320881998</v>
      </c>
      <c r="DX118" s="190" t="n">
        <v>7.92889889683998</v>
      </c>
      <c r="DY118" s="190" t="n">
        <v>7.99863458485998</v>
      </c>
      <c r="DZ118" s="190" t="n">
        <v>8.06837027287998</v>
      </c>
      <c r="EA118" s="190" t="n">
        <v>8.13810596089998</v>
      </c>
      <c r="EB118" s="190" t="n">
        <v>8.20784164891998</v>
      </c>
      <c r="EC118" s="190" t="n">
        <v>8.27757733693998</v>
      </c>
      <c r="ED118" s="190" t="n">
        <v>8.34731302495998</v>
      </c>
      <c r="EE118" s="190" t="n">
        <v>8.41704871297998</v>
      </c>
      <c r="EF118" s="190" t="n">
        <v>8.48678440099998</v>
      </c>
      <c r="EG118" s="190" t="n">
        <v>8.55652008901998</v>
      </c>
      <c r="EH118" s="190" t="n">
        <v>8.62625577703998</v>
      </c>
      <c r="EI118" s="190" t="n">
        <v>8.69599146505998</v>
      </c>
      <c r="EJ118" s="190" t="n">
        <v>8.76572715307998</v>
      </c>
      <c r="EK118" s="190" t="n">
        <v>8.83546284109998</v>
      </c>
      <c r="EL118" s="180" t="n">
        <v>8.90519852911998</v>
      </c>
      <c r="EM118" s="180" t="n">
        <v>8.97493421713998</v>
      </c>
      <c r="EN118" s="180" t="n">
        <v>9.04466990515998</v>
      </c>
      <c r="EO118" s="180" t="n">
        <v>9.11440559317998</v>
      </c>
      <c r="EP118" s="180" t="n">
        <v>9.18414128119998</v>
      </c>
      <c r="EQ118" s="180" t="n">
        <v>9.25387696921998</v>
      </c>
      <c r="ER118" s="180" t="n">
        <v>9.32361265723998</v>
      </c>
      <c r="ES118" s="180" t="n">
        <v>9.39334834525998</v>
      </c>
      <c r="ET118" s="180" t="n">
        <v>9.46308403327998</v>
      </c>
      <c r="EU118" s="180" t="n">
        <v>9.53281972129998</v>
      </c>
      <c r="EV118" s="180" t="n">
        <v>9.60255540931998</v>
      </c>
      <c r="EW118" s="180" t="n">
        <v>9.67229109733998</v>
      </c>
      <c r="EX118" s="180" t="n">
        <v>9.74202678535998</v>
      </c>
      <c r="EY118" s="180" t="n">
        <v>9.81176247337998</v>
      </c>
      <c r="EZ118" s="180" t="n">
        <v>9.88149816139998</v>
      </c>
      <c r="FA118" s="180" t="n">
        <v>9.95123384941998</v>
      </c>
      <c r="FB118" s="180" t="n">
        <v>10.02096953744</v>
      </c>
      <c r="FC118" s="180" t="n">
        <v>10.09070522546</v>
      </c>
      <c r="FD118" s="180" t="n">
        <v>10.16044091348</v>
      </c>
      <c r="FE118" s="180" t="n">
        <v>10.2301766015</v>
      </c>
      <c r="FF118" s="180" t="n">
        <v>10.29991228952</v>
      </c>
      <c r="FG118" s="180" t="n">
        <v>10.36964797754</v>
      </c>
      <c r="FH118" s="180" t="n">
        <v>10.43938366556</v>
      </c>
      <c r="FI118" s="180" t="n">
        <v>10.50911935358</v>
      </c>
      <c r="FJ118" s="180" t="n">
        <v>10.5788550416</v>
      </c>
      <c r="FK118" s="180" t="n">
        <v>10.64859072962</v>
      </c>
      <c r="FL118" s="180" t="n">
        <v>10.71832641764</v>
      </c>
      <c r="FM118" s="180" t="n">
        <v>10.78806210566</v>
      </c>
      <c r="FN118" s="180" t="n">
        <v>10.85779779368</v>
      </c>
      <c r="FO118" s="180" t="n">
        <v>10.9275334817</v>
      </c>
      <c r="FP118" s="180" t="n">
        <v>10.99726916972</v>
      </c>
      <c r="FQ118" s="180" t="n">
        <v>11.06700485774</v>
      </c>
      <c r="FR118" s="180" t="n">
        <v>11.13674054576</v>
      </c>
      <c r="FS118" s="180" t="n">
        <v>11.20647623378</v>
      </c>
      <c r="FT118" s="180" t="n">
        <v>11.2762119218</v>
      </c>
      <c r="FU118" s="180" t="n">
        <v>11.34594760982</v>
      </c>
      <c r="FV118" s="180" t="n">
        <v>11.41568329784</v>
      </c>
      <c r="FW118" s="180" t="n">
        <v>11.48541898586</v>
      </c>
      <c r="FX118" s="180" t="n">
        <v>11.55515467388</v>
      </c>
      <c r="FY118" s="180" t="n">
        <v>11.6248903619</v>
      </c>
      <c r="FZ118" s="180" t="n">
        <v>11.69462604992</v>
      </c>
      <c r="GA118" s="180" t="n">
        <v>11.76436173794</v>
      </c>
      <c r="GB118" s="180" t="n">
        <v>11.83409742596</v>
      </c>
      <c r="GC118" s="180" t="n">
        <v>11.90383311398</v>
      </c>
      <c r="GD118" s="180" t="n">
        <v>11.973568802</v>
      </c>
      <c r="GE118" s="180" t="n">
        <v>12.04330449002</v>
      </c>
      <c r="GF118" s="180" t="n">
        <v>12.11304017804</v>
      </c>
      <c r="GG118" s="180" t="n">
        <v>12.18277586606</v>
      </c>
      <c r="GH118" s="180" t="n">
        <v>12.25251155408</v>
      </c>
      <c r="GI118" s="180" t="n">
        <v>12.3222472421</v>
      </c>
      <c r="GJ118" s="180" t="n">
        <v>12.39198293012</v>
      </c>
      <c r="GK118" s="180" t="n">
        <v>12.46171861814</v>
      </c>
      <c r="GL118" s="180" t="n">
        <v>12.53145430616</v>
      </c>
      <c r="GM118" s="180" t="n">
        <v>12.60118999418</v>
      </c>
      <c r="GN118" s="180" t="n">
        <v>12.6709256822</v>
      </c>
      <c r="GO118" s="180" t="n">
        <v>12.74066137022</v>
      </c>
      <c r="GP118" s="180" t="n">
        <v>12.81039705824</v>
      </c>
      <c r="GQ118" s="180" t="n">
        <v>12.88013274626</v>
      </c>
      <c r="GR118" s="180" t="n">
        <v>12.94986843428</v>
      </c>
      <c r="GS118" s="180" t="n">
        <v>13.0196041223</v>
      </c>
      <c r="GT118" s="180" t="n">
        <v>13.08933981032</v>
      </c>
      <c r="GU118" s="180" t="n">
        <v>13.15907549834</v>
      </c>
      <c r="GV118" s="180" t="n">
        <v>13.22881118636</v>
      </c>
      <c r="GW118" s="180" t="n">
        <v>13.29854687438</v>
      </c>
      <c r="GX118" s="180" t="n">
        <v>13.3682825624</v>
      </c>
      <c r="GY118" s="180" t="n">
        <v>13.43801825042</v>
      </c>
      <c r="GZ118" s="180" t="n">
        <v>13.50775393844</v>
      </c>
      <c r="HA118" s="180" t="n">
        <v>13.57748962646</v>
      </c>
      <c r="HB118" s="180" t="n">
        <v>13.64722531448</v>
      </c>
      <c r="HC118" s="180" t="n">
        <v>13.7169610025</v>
      </c>
      <c r="HD118" s="180" t="n">
        <v>13.78669669052</v>
      </c>
      <c r="HE118" s="180" t="n">
        <v>13.85643237854</v>
      </c>
      <c r="HF118" s="180" t="n">
        <v>13.92616806656</v>
      </c>
      <c r="HG118" s="180" t="n">
        <v>13.99590375458</v>
      </c>
      <c r="HH118" s="180" t="n">
        <v>14.0656394426</v>
      </c>
      <c r="HI118" s="180" t="n">
        <v>14.13537513062</v>
      </c>
      <c r="HJ118" s="180" t="n">
        <v>14.20511081864</v>
      </c>
      <c r="HK118" s="180" t="n">
        <v>14.27484650666</v>
      </c>
      <c r="HL118" s="180" t="n">
        <v>14.34458219468</v>
      </c>
      <c r="HM118" s="180" t="n">
        <v>14.4143178827</v>
      </c>
      <c r="HN118" s="180" t="n">
        <v>14.48405357072</v>
      </c>
      <c r="HO118" s="180" t="n">
        <v>14.55378925874</v>
      </c>
      <c r="HP118" s="180" t="n">
        <v>14.62352494676</v>
      </c>
      <c r="HQ118" s="180" t="n">
        <v>14.69326063478</v>
      </c>
      <c r="HR118" s="180" t="n">
        <v>14.7629963228</v>
      </c>
      <c r="HS118" s="180" t="n">
        <v>14.83273201082</v>
      </c>
      <c r="HT118" s="180" t="n">
        <v>14.90246769884</v>
      </c>
      <c r="HU118" s="180" t="n">
        <v>14.97220338686</v>
      </c>
      <c r="HV118" s="180" t="n">
        <v>15.04193907488</v>
      </c>
      <c r="HW118" s="180" t="n">
        <v>15.1116747629</v>
      </c>
      <c r="HX118" s="180" t="n">
        <v>15.18141045092</v>
      </c>
      <c r="HY118" s="180" t="n">
        <v>15.25114613894</v>
      </c>
      <c r="HZ118" s="180" t="n">
        <v>15.32088182696</v>
      </c>
      <c r="IA118" s="180" t="n">
        <v>15.39061751498</v>
      </c>
      <c r="IB118" s="180" t="n">
        <v>15.460353203</v>
      </c>
      <c r="IC118" s="180" t="n">
        <v>15.53008889102</v>
      </c>
      <c r="ID118" s="180" t="n">
        <v>15.59982457904</v>
      </c>
      <c r="IE118" s="180" t="n">
        <v>15.66956026706</v>
      </c>
      <c r="IF118" s="180" t="n">
        <v>15.73929595508</v>
      </c>
      <c r="IG118" s="180" t="n">
        <v>15.8090316431</v>
      </c>
      <c r="IH118" s="180" t="n">
        <v>15.87876733112</v>
      </c>
      <c r="II118" s="180" t="n">
        <v>15.94850301914</v>
      </c>
      <c r="IJ118" s="180" t="n">
        <v>16.01823870716</v>
      </c>
      <c r="IK118" s="180" t="n">
        <v>16.08797439518</v>
      </c>
      <c r="IL118" s="180" t="n">
        <v>16.1577100832</v>
      </c>
      <c r="IM118" s="180" t="n">
        <v>16.22744577122</v>
      </c>
      <c r="IN118" s="180" t="n">
        <v>16.29718145924</v>
      </c>
      <c r="IO118" s="180" t="n">
        <v>16.36691714726</v>
      </c>
      <c r="IP118" s="180" t="n">
        <v>16.43665283528</v>
      </c>
      <c r="IQ118" s="180" t="n">
        <v>16.5063885233</v>
      </c>
      <c r="IR118" s="180" t="n">
        <v>16.57612421132</v>
      </c>
      <c r="IS118" s="180" t="n">
        <v>16.64585989934</v>
      </c>
      <c r="IT118" s="180" t="n">
        <v>16.71559558736</v>
      </c>
      <c r="IU118" s="180" t="n">
        <v>16.78533127538</v>
      </c>
      <c r="IV118" s="180" t="n">
        <v>16.8550669634</v>
      </c>
    </row>
    <row r="119" customFormat="false" ht="12.75" hidden="false" customHeight="false" outlineLevel="0" collapsed="false">
      <c r="A119" s="189" t="n">
        <v>40299</v>
      </c>
      <c r="B119" s="185" t="n">
        <v>-2.021005929375</v>
      </c>
      <c r="C119" s="185" t="n">
        <v>-1.9907047400625</v>
      </c>
      <c r="D119" s="185" t="n">
        <v>-1.96040355075</v>
      </c>
      <c r="E119" s="185" t="n">
        <v>-1.9301023614375</v>
      </c>
      <c r="F119" s="185" t="n">
        <v>-1.899801172125</v>
      </c>
      <c r="G119" s="185" t="n">
        <v>-1.8694999828125</v>
      </c>
      <c r="H119" s="185" t="n">
        <v>-1.8391987935</v>
      </c>
      <c r="I119" s="185" t="n">
        <v>-1.8088976041875</v>
      </c>
      <c r="J119" s="185" t="n">
        <v>-1.778596414875</v>
      </c>
      <c r="K119" s="185" t="n">
        <v>-1.7482952255625</v>
      </c>
      <c r="L119" s="185" t="n">
        <v>-1.71799403625</v>
      </c>
      <c r="M119" s="185" t="n">
        <v>-1.6876928469375</v>
      </c>
      <c r="N119" s="185" t="n">
        <v>-1.657391657625</v>
      </c>
      <c r="O119" s="185" t="n">
        <v>-1.6270904683125</v>
      </c>
      <c r="P119" s="185" t="n">
        <v>-1.596789279</v>
      </c>
      <c r="Q119" s="185" t="n">
        <v>-1.5664880896875</v>
      </c>
      <c r="R119" s="185" t="n">
        <v>-1.536186900375</v>
      </c>
      <c r="S119" s="185" t="n">
        <v>-1.5058857110625</v>
      </c>
      <c r="T119" s="185" t="n">
        <v>-1.47558452175</v>
      </c>
      <c r="U119" s="185" t="n">
        <v>-1.4452833324375</v>
      </c>
      <c r="V119" s="186" t="n">
        <v>-1.414982143125</v>
      </c>
      <c r="W119" s="185" t="n">
        <v>-1.3846809538125</v>
      </c>
      <c r="X119" s="186" t="n">
        <v>-1.3543797645</v>
      </c>
      <c r="Y119" s="185" t="n">
        <v>-1.3240785751875</v>
      </c>
      <c r="Z119" s="186" t="n">
        <v>-1.293777385875</v>
      </c>
      <c r="AA119" s="185" t="n">
        <v>-1.2634761965625</v>
      </c>
      <c r="AB119" s="187" t="n">
        <v>-1.23317500725</v>
      </c>
      <c r="AC119" s="185" t="n">
        <v>-1.2028738179375</v>
      </c>
      <c r="AD119" s="187" t="n">
        <v>-1.172572628625</v>
      </c>
      <c r="AE119" s="185" t="n">
        <v>-1.1422714393125</v>
      </c>
      <c r="AF119" s="185" t="n">
        <v>-1.11197025</v>
      </c>
      <c r="AG119" s="190" t="n">
        <v>-1.083235125</v>
      </c>
      <c r="AH119" s="190" t="n">
        <v>-1.0545</v>
      </c>
      <c r="AI119" s="190" t="n">
        <v>-1.02725</v>
      </c>
      <c r="AJ119" s="190" t="n">
        <v>-1</v>
      </c>
      <c r="AK119" s="190" t="n">
        <v>-0.8</v>
      </c>
      <c r="AL119" s="190" t="n">
        <v>-0.6</v>
      </c>
      <c r="AM119" s="190" t="n">
        <v>-0.4</v>
      </c>
      <c r="AN119" s="190" t="n">
        <v>-0.2</v>
      </c>
      <c r="AO119" s="190" t="n">
        <v>0</v>
      </c>
      <c r="AP119" s="190" t="n">
        <v>0.2</v>
      </c>
      <c r="AQ119" s="190" t="n">
        <v>0.4</v>
      </c>
      <c r="AR119" s="190" t="n">
        <v>0.6</v>
      </c>
      <c r="AS119" s="190" t="n">
        <v>0.8</v>
      </c>
      <c r="AT119" s="190" t="n">
        <v>1</v>
      </c>
      <c r="AU119" s="190" t="n">
        <v>1.2</v>
      </c>
      <c r="AV119" s="190" t="n">
        <v>1.4</v>
      </c>
      <c r="AW119" s="190" t="n">
        <v>1.58</v>
      </c>
      <c r="AX119" s="190" t="n">
        <v>1.76</v>
      </c>
      <c r="AY119" s="190" t="n">
        <v>1.922</v>
      </c>
      <c r="AZ119" s="190" t="n">
        <v>2.084</v>
      </c>
      <c r="BA119" s="190" t="n">
        <v>2.2298</v>
      </c>
      <c r="BB119" s="190" t="n">
        <v>2.3756</v>
      </c>
      <c r="BC119" s="190" t="n">
        <v>2.50682</v>
      </c>
      <c r="BD119" s="190" t="n">
        <v>2.63804</v>
      </c>
      <c r="BE119" s="190" t="n">
        <v>2.756138</v>
      </c>
      <c r="BF119" s="190" t="n">
        <v>2.874236</v>
      </c>
      <c r="BG119" s="190" t="n">
        <v>2.9805242</v>
      </c>
      <c r="BH119" s="190" t="n">
        <v>3.0868124</v>
      </c>
      <c r="BI119" s="190" t="n">
        <v>3.18247178</v>
      </c>
      <c r="BJ119" s="190" t="n">
        <v>3.27813116</v>
      </c>
      <c r="BK119" s="190" t="n">
        <v>3.364224602</v>
      </c>
      <c r="BL119" s="190" t="n">
        <v>3.450318044</v>
      </c>
      <c r="BM119" s="190" t="n">
        <v>3.5278021418</v>
      </c>
      <c r="BN119" s="190" t="n">
        <v>3.6052862396</v>
      </c>
      <c r="BO119" s="190" t="n">
        <v>3.67502192762</v>
      </c>
      <c r="BP119" s="190" t="n">
        <v>3.74475761564</v>
      </c>
      <c r="BQ119" s="190" t="n">
        <v>3.81449330366</v>
      </c>
      <c r="BR119" s="190" t="n">
        <v>3.88422899168</v>
      </c>
      <c r="BS119" s="190" t="n">
        <v>3.9539646797</v>
      </c>
      <c r="BT119" s="190" t="n">
        <v>4.02370036772</v>
      </c>
      <c r="BU119" s="190" t="n">
        <v>4.09343605574</v>
      </c>
      <c r="BV119" s="190" t="n">
        <v>4.16317174376</v>
      </c>
      <c r="BW119" s="190" t="n">
        <v>4.23290743178</v>
      </c>
      <c r="BX119" s="190" t="n">
        <v>4.3026431198</v>
      </c>
      <c r="BY119" s="190" t="n">
        <v>4.37237880782</v>
      </c>
      <c r="BZ119" s="190" t="n">
        <v>4.44211449584</v>
      </c>
      <c r="CA119" s="190" t="n">
        <v>4.51185018386</v>
      </c>
      <c r="CB119" s="190" t="n">
        <v>4.58158587188</v>
      </c>
      <c r="CC119" s="190" t="n">
        <v>4.6513215599</v>
      </c>
      <c r="CD119" s="190" t="n">
        <v>4.72105724792</v>
      </c>
      <c r="CE119" s="190" t="n">
        <v>4.79079293594</v>
      </c>
      <c r="CF119" s="190" t="n">
        <v>4.86052862396</v>
      </c>
      <c r="CG119" s="190" t="n">
        <v>4.93026431198</v>
      </c>
      <c r="CH119" s="190" t="n">
        <v>5</v>
      </c>
      <c r="CI119" s="190" t="n">
        <v>5.06973568801999</v>
      </c>
      <c r="CJ119" s="190" t="n">
        <v>5.13947137603999</v>
      </c>
      <c r="CK119" s="190" t="n">
        <v>5.20920706405999</v>
      </c>
      <c r="CL119" s="190" t="n">
        <v>5.27894275207999</v>
      </c>
      <c r="CM119" s="190" t="n">
        <v>5.34867844009999</v>
      </c>
      <c r="CN119" s="190" t="n">
        <v>5.41841412811999</v>
      </c>
      <c r="CO119" s="190" t="n">
        <v>5.48814981613999</v>
      </c>
      <c r="CP119" s="190" t="n">
        <v>5.55788550415999</v>
      </c>
      <c r="CQ119" s="190" t="n">
        <v>5.62762119217999</v>
      </c>
      <c r="CR119" s="190" t="n">
        <v>5.69735688019999</v>
      </c>
      <c r="CS119" s="190" t="n">
        <v>5.76709256821999</v>
      </c>
      <c r="CT119" s="190" t="n">
        <v>5.83682825623999</v>
      </c>
      <c r="CU119" s="190" t="n">
        <v>5.90656394425999</v>
      </c>
      <c r="CV119" s="190" t="n">
        <v>5.97629963227999</v>
      </c>
      <c r="CW119" s="190" t="n">
        <v>6.04603532029999</v>
      </c>
      <c r="CX119" s="190" t="n">
        <v>6.11577100831999</v>
      </c>
      <c r="CY119" s="190" t="n">
        <v>6.18550669633999</v>
      </c>
      <c r="CZ119" s="190" t="n">
        <v>6.25524238435999</v>
      </c>
      <c r="DA119" s="190" t="n">
        <v>6.32497807237999</v>
      </c>
      <c r="DB119" s="190" t="n">
        <v>6.39471376039999</v>
      </c>
      <c r="DC119" s="190" t="n">
        <v>6.46444944841999</v>
      </c>
      <c r="DD119" s="190" t="n">
        <v>6.53418513643999</v>
      </c>
      <c r="DE119" s="190" t="n">
        <v>6.60392082445999</v>
      </c>
      <c r="DF119" s="190" t="n">
        <v>6.67365651247999</v>
      </c>
      <c r="DG119" s="190" t="n">
        <v>6.74339220049999</v>
      </c>
      <c r="DH119" s="190" t="n">
        <v>6.81312788851999</v>
      </c>
      <c r="DI119" s="190" t="n">
        <v>6.88286357653999</v>
      </c>
      <c r="DJ119" s="190" t="n">
        <v>6.95259926455999</v>
      </c>
      <c r="DK119" s="190" t="n">
        <v>7.02233495257999</v>
      </c>
      <c r="DL119" s="190" t="n">
        <v>7.09207064059999</v>
      </c>
      <c r="DM119" s="190" t="n">
        <v>7.16180632861999</v>
      </c>
      <c r="DN119" s="190" t="n">
        <v>7.23154201663999</v>
      </c>
      <c r="DO119" s="190" t="n">
        <v>7.30127770465999</v>
      </c>
      <c r="DP119" s="190" t="n">
        <v>7.37101339267999</v>
      </c>
      <c r="DQ119" s="190" t="n">
        <v>7.44074908069999</v>
      </c>
      <c r="DR119" s="190" t="n">
        <v>7.51048476871999</v>
      </c>
      <c r="DS119" s="190" t="n">
        <v>7.58022045673999</v>
      </c>
      <c r="DT119" s="190" t="n">
        <v>7.64995614475999</v>
      </c>
      <c r="DU119" s="190" t="n">
        <v>7.71969183277999</v>
      </c>
      <c r="DV119" s="190" t="n">
        <v>7.78942752079998</v>
      </c>
      <c r="DW119" s="190" t="n">
        <v>7.85916320881998</v>
      </c>
      <c r="DX119" s="190" t="n">
        <v>7.92889889683998</v>
      </c>
      <c r="DY119" s="190" t="n">
        <v>7.99863458485998</v>
      </c>
      <c r="DZ119" s="190" t="n">
        <v>8.06837027287998</v>
      </c>
      <c r="EA119" s="190" t="n">
        <v>8.13810596089998</v>
      </c>
      <c r="EB119" s="190" t="n">
        <v>8.20784164891998</v>
      </c>
      <c r="EC119" s="190" t="n">
        <v>8.27757733693998</v>
      </c>
      <c r="ED119" s="190" t="n">
        <v>8.34731302495998</v>
      </c>
      <c r="EE119" s="190" t="n">
        <v>8.41704871297998</v>
      </c>
      <c r="EF119" s="190" t="n">
        <v>8.48678440099998</v>
      </c>
      <c r="EG119" s="190" t="n">
        <v>8.55652008901998</v>
      </c>
      <c r="EH119" s="190" t="n">
        <v>8.62625577703998</v>
      </c>
      <c r="EI119" s="190" t="n">
        <v>8.69599146505998</v>
      </c>
      <c r="EJ119" s="190" t="n">
        <v>8.76572715307998</v>
      </c>
      <c r="EK119" s="190" t="n">
        <v>8.83546284109998</v>
      </c>
      <c r="EL119" s="180" t="n">
        <v>8.90519852911998</v>
      </c>
      <c r="EM119" s="180" t="n">
        <v>8.97493421713998</v>
      </c>
      <c r="EN119" s="180" t="n">
        <v>9.04466990515998</v>
      </c>
      <c r="EO119" s="180" t="n">
        <v>9.11440559317998</v>
      </c>
      <c r="EP119" s="180" t="n">
        <v>9.18414128119998</v>
      </c>
      <c r="EQ119" s="180" t="n">
        <v>9.25387696921998</v>
      </c>
      <c r="ER119" s="180" t="n">
        <v>9.32361265723998</v>
      </c>
      <c r="ES119" s="180" t="n">
        <v>9.39334834525998</v>
      </c>
      <c r="ET119" s="180" t="n">
        <v>9.46308403327998</v>
      </c>
      <c r="EU119" s="180" t="n">
        <v>9.53281972129998</v>
      </c>
      <c r="EV119" s="180" t="n">
        <v>9.60255540931998</v>
      </c>
      <c r="EW119" s="180" t="n">
        <v>9.67229109733998</v>
      </c>
      <c r="EX119" s="180" t="n">
        <v>9.74202678535998</v>
      </c>
      <c r="EY119" s="180" t="n">
        <v>9.81176247337998</v>
      </c>
      <c r="EZ119" s="180" t="n">
        <v>9.88149816139998</v>
      </c>
      <c r="FA119" s="180" t="n">
        <v>9.95123384941998</v>
      </c>
      <c r="FB119" s="180" t="n">
        <v>10.02096953744</v>
      </c>
      <c r="FC119" s="180" t="n">
        <v>10.09070522546</v>
      </c>
      <c r="FD119" s="180" t="n">
        <v>10.16044091348</v>
      </c>
      <c r="FE119" s="180" t="n">
        <v>10.2301766015</v>
      </c>
      <c r="FF119" s="180" t="n">
        <v>10.29991228952</v>
      </c>
      <c r="FG119" s="180" t="n">
        <v>10.36964797754</v>
      </c>
      <c r="FH119" s="180" t="n">
        <v>10.43938366556</v>
      </c>
      <c r="FI119" s="180" t="n">
        <v>10.50911935358</v>
      </c>
      <c r="FJ119" s="180" t="n">
        <v>10.5788550416</v>
      </c>
      <c r="FK119" s="180" t="n">
        <v>10.64859072962</v>
      </c>
      <c r="FL119" s="180" t="n">
        <v>10.71832641764</v>
      </c>
      <c r="FM119" s="180" t="n">
        <v>10.78806210566</v>
      </c>
      <c r="FN119" s="180" t="n">
        <v>10.85779779368</v>
      </c>
      <c r="FO119" s="180" t="n">
        <v>10.9275334817</v>
      </c>
      <c r="FP119" s="180" t="n">
        <v>10.99726916972</v>
      </c>
      <c r="FQ119" s="180" t="n">
        <v>11.06700485774</v>
      </c>
      <c r="FR119" s="180" t="n">
        <v>11.13674054576</v>
      </c>
      <c r="FS119" s="180" t="n">
        <v>11.20647623378</v>
      </c>
      <c r="FT119" s="180" t="n">
        <v>11.2762119218</v>
      </c>
      <c r="FU119" s="180" t="n">
        <v>11.34594760982</v>
      </c>
      <c r="FV119" s="180" t="n">
        <v>11.41568329784</v>
      </c>
      <c r="FW119" s="180" t="n">
        <v>11.48541898586</v>
      </c>
      <c r="FX119" s="180" t="n">
        <v>11.55515467388</v>
      </c>
      <c r="FY119" s="180" t="n">
        <v>11.6248903619</v>
      </c>
      <c r="FZ119" s="180" t="n">
        <v>11.69462604992</v>
      </c>
      <c r="GA119" s="180" t="n">
        <v>11.76436173794</v>
      </c>
      <c r="GB119" s="180" t="n">
        <v>11.83409742596</v>
      </c>
      <c r="GC119" s="180" t="n">
        <v>11.90383311398</v>
      </c>
      <c r="GD119" s="180" t="n">
        <v>11.973568802</v>
      </c>
      <c r="GE119" s="180" t="n">
        <v>12.04330449002</v>
      </c>
      <c r="GF119" s="180" t="n">
        <v>12.11304017804</v>
      </c>
      <c r="GG119" s="180" t="n">
        <v>12.18277586606</v>
      </c>
      <c r="GH119" s="180" t="n">
        <v>12.25251155408</v>
      </c>
      <c r="GI119" s="180" t="n">
        <v>12.3222472421</v>
      </c>
      <c r="GJ119" s="180" t="n">
        <v>12.39198293012</v>
      </c>
      <c r="GK119" s="180" t="n">
        <v>12.46171861814</v>
      </c>
      <c r="GL119" s="180" t="n">
        <v>12.53145430616</v>
      </c>
      <c r="GM119" s="180" t="n">
        <v>12.60118999418</v>
      </c>
      <c r="GN119" s="180" t="n">
        <v>12.6709256822</v>
      </c>
      <c r="GO119" s="180" t="n">
        <v>12.74066137022</v>
      </c>
      <c r="GP119" s="180" t="n">
        <v>12.81039705824</v>
      </c>
      <c r="GQ119" s="180" t="n">
        <v>12.88013274626</v>
      </c>
      <c r="GR119" s="180" t="n">
        <v>12.94986843428</v>
      </c>
      <c r="GS119" s="180" t="n">
        <v>13.0196041223</v>
      </c>
      <c r="GT119" s="180" t="n">
        <v>13.08933981032</v>
      </c>
      <c r="GU119" s="180" t="n">
        <v>13.15907549834</v>
      </c>
      <c r="GV119" s="180" t="n">
        <v>13.22881118636</v>
      </c>
      <c r="GW119" s="180" t="n">
        <v>13.29854687438</v>
      </c>
      <c r="GX119" s="180" t="n">
        <v>13.3682825624</v>
      </c>
      <c r="GY119" s="180" t="n">
        <v>13.43801825042</v>
      </c>
      <c r="GZ119" s="180" t="n">
        <v>13.50775393844</v>
      </c>
      <c r="HA119" s="180" t="n">
        <v>13.57748962646</v>
      </c>
      <c r="HB119" s="180" t="n">
        <v>13.64722531448</v>
      </c>
      <c r="HC119" s="180" t="n">
        <v>13.7169610025</v>
      </c>
      <c r="HD119" s="180" t="n">
        <v>13.78669669052</v>
      </c>
      <c r="HE119" s="180" t="n">
        <v>13.85643237854</v>
      </c>
      <c r="HF119" s="180" t="n">
        <v>13.92616806656</v>
      </c>
      <c r="HG119" s="180" t="n">
        <v>13.99590375458</v>
      </c>
      <c r="HH119" s="180" t="n">
        <v>14.0656394426</v>
      </c>
      <c r="HI119" s="180" t="n">
        <v>14.13537513062</v>
      </c>
      <c r="HJ119" s="180" t="n">
        <v>14.20511081864</v>
      </c>
      <c r="HK119" s="180" t="n">
        <v>14.27484650666</v>
      </c>
      <c r="HL119" s="180" t="n">
        <v>14.34458219468</v>
      </c>
      <c r="HM119" s="180" t="n">
        <v>14.4143178827</v>
      </c>
      <c r="HN119" s="180" t="n">
        <v>14.48405357072</v>
      </c>
      <c r="HO119" s="180" t="n">
        <v>14.55378925874</v>
      </c>
      <c r="HP119" s="180" t="n">
        <v>14.62352494676</v>
      </c>
      <c r="HQ119" s="180" t="n">
        <v>14.69326063478</v>
      </c>
      <c r="HR119" s="180" t="n">
        <v>14.7629963228</v>
      </c>
      <c r="HS119" s="180" t="n">
        <v>14.83273201082</v>
      </c>
      <c r="HT119" s="180" t="n">
        <v>14.90246769884</v>
      </c>
      <c r="HU119" s="180" t="n">
        <v>14.97220338686</v>
      </c>
      <c r="HV119" s="180" t="n">
        <v>15.04193907488</v>
      </c>
      <c r="HW119" s="180" t="n">
        <v>15.1116747629</v>
      </c>
      <c r="HX119" s="180" t="n">
        <v>15.18141045092</v>
      </c>
      <c r="HY119" s="180" t="n">
        <v>15.25114613894</v>
      </c>
      <c r="HZ119" s="180" t="n">
        <v>15.32088182696</v>
      </c>
      <c r="IA119" s="180" t="n">
        <v>15.39061751498</v>
      </c>
      <c r="IB119" s="180" t="n">
        <v>15.460353203</v>
      </c>
      <c r="IC119" s="180" t="n">
        <v>15.53008889102</v>
      </c>
      <c r="ID119" s="180" t="n">
        <v>15.59982457904</v>
      </c>
      <c r="IE119" s="180" t="n">
        <v>15.66956026706</v>
      </c>
      <c r="IF119" s="180" t="n">
        <v>15.73929595508</v>
      </c>
      <c r="IG119" s="180" t="n">
        <v>15.8090316431</v>
      </c>
      <c r="IH119" s="180" t="n">
        <v>15.87876733112</v>
      </c>
      <c r="II119" s="180" t="n">
        <v>15.94850301914</v>
      </c>
      <c r="IJ119" s="180" t="n">
        <v>16.01823870716</v>
      </c>
      <c r="IK119" s="180" t="n">
        <v>16.08797439518</v>
      </c>
      <c r="IL119" s="180" t="n">
        <v>16.1577100832</v>
      </c>
      <c r="IM119" s="180" t="n">
        <v>16.22744577122</v>
      </c>
      <c r="IN119" s="180" t="n">
        <v>16.29718145924</v>
      </c>
      <c r="IO119" s="180" t="n">
        <v>16.36691714726</v>
      </c>
      <c r="IP119" s="180" t="n">
        <v>16.43665283528</v>
      </c>
      <c r="IQ119" s="180" t="n">
        <v>16.5063885233</v>
      </c>
      <c r="IR119" s="180" t="n">
        <v>16.57612421132</v>
      </c>
      <c r="IS119" s="180" t="n">
        <v>16.64585989934</v>
      </c>
      <c r="IT119" s="180" t="n">
        <v>16.71559558736</v>
      </c>
      <c r="IU119" s="180" t="n">
        <v>16.78533127538</v>
      </c>
      <c r="IV119" s="180" t="n">
        <v>16.8550669634</v>
      </c>
    </row>
    <row r="120" customFormat="false" ht="12.75" hidden="false" customHeight="false" outlineLevel="0" collapsed="false">
      <c r="A120" s="189" t="n">
        <v>40330</v>
      </c>
      <c r="B120" s="185" t="n">
        <v>-2.021005929375</v>
      </c>
      <c r="C120" s="185" t="n">
        <v>-1.9907047400625</v>
      </c>
      <c r="D120" s="185" t="n">
        <v>-1.96040355075</v>
      </c>
      <c r="E120" s="185" t="n">
        <v>-1.9301023614375</v>
      </c>
      <c r="F120" s="185" t="n">
        <v>-1.899801172125</v>
      </c>
      <c r="G120" s="185" t="n">
        <v>-1.8694999828125</v>
      </c>
      <c r="H120" s="185" t="n">
        <v>-1.8391987935</v>
      </c>
      <c r="I120" s="185" t="n">
        <v>-1.8088976041875</v>
      </c>
      <c r="J120" s="185" t="n">
        <v>-1.778596414875</v>
      </c>
      <c r="K120" s="185" t="n">
        <v>-1.7482952255625</v>
      </c>
      <c r="L120" s="185" t="n">
        <v>-1.71799403625</v>
      </c>
      <c r="M120" s="185" t="n">
        <v>-1.6876928469375</v>
      </c>
      <c r="N120" s="185" t="n">
        <v>-1.657391657625</v>
      </c>
      <c r="O120" s="185" t="n">
        <v>-1.6270904683125</v>
      </c>
      <c r="P120" s="185" t="n">
        <v>-1.596789279</v>
      </c>
      <c r="Q120" s="185" t="n">
        <v>-1.5664880896875</v>
      </c>
      <c r="R120" s="185" t="n">
        <v>-1.536186900375</v>
      </c>
      <c r="S120" s="185" t="n">
        <v>-1.5058857110625</v>
      </c>
      <c r="T120" s="185" t="n">
        <v>-1.47558452175</v>
      </c>
      <c r="U120" s="185" t="n">
        <v>-1.4452833324375</v>
      </c>
      <c r="V120" s="186" t="n">
        <v>-1.414982143125</v>
      </c>
      <c r="W120" s="185" t="n">
        <v>-1.3846809538125</v>
      </c>
      <c r="X120" s="186" t="n">
        <v>-1.3543797645</v>
      </c>
      <c r="Y120" s="185" t="n">
        <v>-1.3240785751875</v>
      </c>
      <c r="Z120" s="186" t="n">
        <v>-1.293777385875</v>
      </c>
      <c r="AA120" s="185" t="n">
        <v>-1.2634761965625</v>
      </c>
      <c r="AB120" s="187" t="n">
        <v>-1.23317500725</v>
      </c>
      <c r="AC120" s="185" t="n">
        <v>-1.2028738179375</v>
      </c>
      <c r="AD120" s="187" t="n">
        <v>-1.172572628625</v>
      </c>
      <c r="AE120" s="185" t="n">
        <v>-1.1422714393125</v>
      </c>
      <c r="AF120" s="185" t="n">
        <v>-1.11197025</v>
      </c>
      <c r="AG120" s="190" t="n">
        <v>-1.083235125</v>
      </c>
      <c r="AH120" s="190" t="n">
        <v>-1.0545</v>
      </c>
      <c r="AI120" s="190" t="n">
        <v>-1.02725</v>
      </c>
      <c r="AJ120" s="190" t="n">
        <v>-1</v>
      </c>
      <c r="AK120" s="190" t="n">
        <v>-0.8</v>
      </c>
      <c r="AL120" s="190" t="n">
        <v>-0.6</v>
      </c>
      <c r="AM120" s="190" t="n">
        <v>-0.4</v>
      </c>
      <c r="AN120" s="190" t="n">
        <v>-0.2</v>
      </c>
      <c r="AO120" s="190" t="n">
        <v>0</v>
      </c>
      <c r="AP120" s="190" t="n">
        <v>0.2</v>
      </c>
      <c r="AQ120" s="190" t="n">
        <v>0.4</v>
      </c>
      <c r="AR120" s="190" t="n">
        <v>0.6</v>
      </c>
      <c r="AS120" s="190" t="n">
        <v>0.8</v>
      </c>
      <c r="AT120" s="190" t="n">
        <v>1</v>
      </c>
      <c r="AU120" s="190" t="n">
        <v>1.2</v>
      </c>
      <c r="AV120" s="190" t="n">
        <v>1.4</v>
      </c>
      <c r="AW120" s="190" t="n">
        <v>1.58</v>
      </c>
      <c r="AX120" s="190" t="n">
        <v>1.76</v>
      </c>
      <c r="AY120" s="190" t="n">
        <v>1.922</v>
      </c>
      <c r="AZ120" s="190" t="n">
        <v>2.084</v>
      </c>
      <c r="BA120" s="190" t="n">
        <v>2.2298</v>
      </c>
      <c r="BB120" s="190" t="n">
        <v>2.3756</v>
      </c>
      <c r="BC120" s="190" t="n">
        <v>2.50682</v>
      </c>
      <c r="BD120" s="190" t="n">
        <v>2.63804</v>
      </c>
      <c r="BE120" s="190" t="n">
        <v>2.756138</v>
      </c>
      <c r="BF120" s="190" t="n">
        <v>2.874236</v>
      </c>
      <c r="BG120" s="190" t="n">
        <v>2.9805242</v>
      </c>
      <c r="BH120" s="190" t="n">
        <v>3.0868124</v>
      </c>
      <c r="BI120" s="190" t="n">
        <v>3.18247178</v>
      </c>
      <c r="BJ120" s="190" t="n">
        <v>3.27813116</v>
      </c>
      <c r="BK120" s="190" t="n">
        <v>3.364224602</v>
      </c>
      <c r="BL120" s="190" t="n">
        <v>3.450318044</v>
      </c>
      <c r="BM120" s="190" t="n">
        <v>3.5278021418</v>
      </c>
      <c r="BN120" s="190" t="n">
        <v>3.6052862396</v>
      </c>
      <c r="BO120" s="190" t="n">
        <v>3.67502192762</v>
      </c>
      <c r="BP120" s="190" t="n">
        <v>3.74475761564</v>
      </c>
      <c r="BQ120" s="190" t="n">
        <v>3.81449330366</v>
      </c>
      <c r="BR120" s="190" t="n">
        <v>3.88422899168</v>
      </c>
      <c r="BS120" s="190" t="n">
        <v>3.9539646797</v>
      </c>
      <c r="BT120" s="190" t="n">
        <v>4.02370036772</v>
      </c>
      <c r="BU120" s="190" t="n">
        <v>4.09343605574</v>
      </c>
      <c r="BV120" s="190" t="n">
        <v>4.16317174376</v>
      </c>
      <c r="BW120" s="190" t="n">
        <v>4.23290743178</v>
      </c>
      <c r="BX120" s="190" t="n">
        <v>4.3026431198</v>
      </c>
      <c r="BY120" s="190" t="n">
        <v>4.37237880782</v>
      </c>
      <c r="BZ120" s="190" t="n">
        <v>4.44211449584</v>
      </c>
      <c r="CA120" s="190" t="n">
        <v>4.51185018386</v>
      </c>
      <c r="CB120" s="190" t="n">
        <v>4.58158587188</v>
      </c>
      <c r="CC120" s="190" t="n">
        <v>4.6513215599</v>
      </c>
      <c r="CD120" s="190" t="n">
        <v>4.72105724792</v>
      </c>
      <c r="CE120" s="190" t="n">
        <v>4.79079293594</v>
      </c>
      <c r="CF120" s="190" t="n">
        <v>4.86052862396</v>
      </c>
      <c r="CG120" s="190" t="n">
        <v>4.93026431198</v>
      </c>
      <c r="CH120" s="190" t="n">
        <v>5</v>
      </c>
      <c r="CI120" s="190" t="n">
        <v>5.06973568801999</v>
      </c>
      <c r="CJ120" s="190" t="n">
        <v>5.13947137603999</v>
      </c>
      <c r="CK120" s="190" t="n">
        <v>5.20920706405999</v>
      </c>
      <c r="CL120" s="190" t="n">
        <v>5.27894275207999</v>
      </c>
      <c r="CM120" s="190" t="n">
        <v>5.34867844009999</v>
      </c>
      <c r="CN120" s="190" t="n">
        <v>5.41841412811999</v>
      </c>
      <c r="CO120" s="190" t="n">
        <v>5.48814981613999</v>
      </c>
      <c r="CP120" s="190" t="n">
        <v>5.55788550415999</v>
      </c>
      <c r="CQ120" s="190" t="n">
        <v>5.62762119217999</v>
      </c>
      <c r="CR120" s="190" t="n">
        <v>5.69735688019999</v>
      </c>
      <c r="CS120" s="190" t="n">
        <v>5.76709256821999</v>
      </c>
      <c r="CT120" s="190" t="n">
        <v>5.83682825623999</v>
      </c>
      <c r="CU120" s="190" t="n">
        <v>5.90656394425999</v>
      </c>
      <c r="CV120" s="190" t="n">
        <v>5.97629963227999</v>
      </c>
      <c r="CW120" s="190" t="n">
        <v>6.04603532029999</v>
      </c>
      <c r="CX120" s="190" t="n">
        <v>6.11577100831999</v>
      </c>
      <c r="CY120" s="190" t="n">
        <v>6.18550669633999</v>
      </c>
      <c r="CZ120" s="190" t="n">
        <v>6.25524238435999</v>
      </c>
      <c r="DA120" s="190" t="n">
        <v>6.32497807237999</v>
      </c>
      <c r="DB120" s="190" t="n">
        <v>6.39471376039999</v>
      </c>
      <c r="DC120" s="190" t="n">
        <v>6.46444944841999</v>
      </c>
      <c r="DD120" s="190" t="n">
        <v>6.53418513643999</v>
      </c>
      <c r="DE120" s="190" t="n">
        <v>6.60392082445999</v>
      </c>
      <c r="DF120" s="190" t="n">
        <v>6.67365651247999</v>
      </c>
      <c r="DG120" s="190" t="n">
        <v>6.74339220049999</v>
      </c>
      <c r="DH120" s="190" t="n">
        <v>6.81312788851999</v>
      </c>
      <c r="DI120" s="190" t="n">
        <v>6.88286357653999</v>
      </c>
      <c r="DJ120" s="190" t="n">
        <v>6.95259926455999</v>
      </c>
      <c r="DK120" s="190" t="n">
        <v>7.02233495257999</v>
      </c>
      <c r="DL120" s="190" t="n">
        <v>7.09207064059999</v>
      </c>
      <c r="DM120" s="190" t="n">
        <v>7.16180632861999</v>
      </c>
      <c r="DN120" s="190" t="n">
        <v>7.23154201663999</v>
      </c>
      <c r="DO120" s="190" t="n">
        <v>7.30127770465999</v>
      </c>
      <c r="DP120" s="190" t="n">
        <v>7.37101339267999</v>
      </c>
      <c r="DQ120" s="190" t="n">
        <v>7.44074908069999</v>
      </c>
      <c r="DR120" s="190" t="n">
        <v>7.51048476871999</v>
      </c>
      <c r="DS120" s="190" t="n">
        <v>7.58022045673999</v>
      </c>
      <c r="DT120" s="190" t="n">
        <v>7.64995614475999</v>
      </c>
      <c r="DU120" s="190" t="n">
        <v>7.71969183277999</v>
      </c>
      <c r="DV120" s="190" t="n">
        <v>7.78942752079998</v>
      </c>
      <c r="DW120" s="190" t="n">
        <v>7.85916320881998</v>
      </c>
      <c r="DX120" s="190" t="n">
        <v>7.92889889683998</v>
      </c>
      <c r="DY120" s="190" t="n">
        <v>7.99863458485998</v>
      </c>
      <c r="DZ120" s="190" t="n">
        <v>8.06837027287998</v>
      </c>
      <c r="EA120" s="190" t="n">
        <v>8.13810596089998</v>
      </c>
      <c r="EB120" s="190" t="n">
        <v>8.20784164891998</v>
      </c>
      <c r="EC120" s="190" t="n">
        <v>8.27757733693998</v>
      </c>
      <c r="ED120" s="190" t="n">
        <v>8.34731302495998</v>
      </c>
      <c r="EE120" s="190" t="n">
        <v>8.41704871297998</v>
      </c>
      <c r="EF120" s="190" t="n">
        <v>8.48678440099998</v>
      </c>
      <c r="EG120" s="190" t="n">
        <v>8.55652008901998</v>
      </c>
      <c r="EH120" s="190" t="n">
        <v>8.62625577703998</v>
      </c>
      <c r="EI120" s="190" t="n">
        <v>8.69599146505998</v>
      </c>
      <c r="EJ120" s="190" t="n">
        <v>8.76572715307998</v>
      </c>
      <c r="EK120" s="190" t="n">
        <v>8.83546284109998</v>
      </c>
      <c r="EL120" s="180" t="n">
        <v>8.90519852911998</v>
      </c>
      <c r="EM120" s="180" t="n">
        <v>8.97493421713998</v>
      </c>
      <c r="EN120" s="180" t="n">
        <v>9.04466990515998</v>
      </c>
      <c r="EO120" s="180" t="n">
        <v>9.11440559317998</v>
      </c>
      <c r="EP120" s="180" t="n">
        <v>9.18414128119998</v>
      </c>
      <c r="EQ120" s="180" t="n">
        <v>9.25387696921998</v>
      </c>
      <c r="ER120" s="180" t="n">
        <v>9.32361265723998</v>
      </c>
      <c r="ES120" s="180" t="n">
        <v>9.39334834525998</v>
      </c>
      <c r="ET120" s="180" t="n">
        <v>9.46308403327998</v>
      </c>
      <c r="EU120" s="180" t="n">
        <v>9.53281972129998</v>
      </c>
      <c r="EV120" s="180" t="n">
        <v>9.60255540931998</v>
      </c>
      <c r="EW120" s="180" t="n">
        <v>9.67229109733998</v>
      </c>
      <c r="EX120" s="180" t="n">
        <v>9.74202678535998</v>
      </c>
      <c r="EY120" s="180" t="n">
        <v>9.81176247337998</v>
      </c>
      <c r="EZ120" s="180" t="n">
        <v>9.88149816139998</v>
      </c>
      <c r="FA120" s="180" t="n">
        <v>9.95123384941998</v>
      </c>
      <c r="FB120" s="180" t="n">
        <v>10.02096953744</v>
      </c>
      <c r="FC120" s="180" t="n">
        <v>10.09070522546</v>
      </c>
      <c r="FD120" s="180" t="n">
        <v>10.16044091348</v>
      </c>
      <c r="FE120" s="180" t="n">
        <v>10.2301766015</v>
      </c>
      <c r="FF120" s="180" t="n">
        <v>10.29991228952</v>
      </c>
      <c r="FG120" s="180" t="n">
        <v>10.36964797754</v>
      </c>
      <c r="FH120" s="180" t="n">
        <v>10.43938366556</v>
      </c>
      <c r="FI120" s="180" t="n">
        <v>10.50911935358</v>
      </c>
      <c r="FJ120" s="180" t="n">
        <v>10.5788550416</v>
      </c>
      <c r="FK120" s="180" t="n">
        <v>10.64859072962</v>
      </c>
      <c r="FL120" s="180" t="n">
        <v>10.71832641764</v>
      </c>
      <c r="FM120" s="180" t="n">
        <v>10.78806210566</v>
      </c>
      <c r="FN120" s="180" t="n">
        <v>10.85779779368</v>
      </c>
      <c r="FO120" s="180" t="n">
        <v>10.9275334817</v>
      </c>
      <c r="FP120" s="180" t="n">
        <v>10.99726916972</v>
      </c>
      <c r="FQ120" s="180" t="n">
        <v>11.06700485774</v>
      </c>
      <c r="FR120" s="180" t="n">
        <v>11.13674054576</v>
      </c>
      <c r="FS120" s="180" t="n">
        <v>11.20647623378</v>
      </c>
      <c r="FT120" s="180" t="n">
        <v>11.2762119218</v>
      </c>
      <c r="FU120" s="180" t="n">
        <v>11.34594760982</v>
      </c>
      <c r="FV120" s="180" t="n">
        <v>11.41568329784</v>
      </c>
      <c r="FW120" s="180" t="n">
        <v>11.48541898586</v>
      </c>
      <c r="FX120" s="180" t="n">
        <v>11.55515467388</v>
      </c>
      <c r="FY120" s="180" t="n">
        <v>11.6248903619</v>
      </c>
      <c r="FZ120" s="180" t="n">
        <v>11.69462604992</v>
      </c>
      <c r="GA120" s="180" t="n">
        <v>11.76436173794</v>
      </c>
      <c r="GB120" s="180" t="n">
        <v>11.83409742596</v>
      </c>
      <c r="GC120" s="180" t="n">
        <v>11.90383311398</v>
      </c>
      <c r="GD120" s="180" t="n">
        <v>11.973568802</v>
      </c>
      <c r="GE120" s="180" t="n">
        <v>12.04330449002</v>
      </c>
      <c r="GF120" s="180" t="n">
        <v>12.11304017804</v>
      </c>
      <c r="GG120" s="180" t="n">
        <v>12.18277586606</v>
      </c>
      <c r="GH120" s="180" t="n">
        <v>12.25251155408</v>
      </c>
      <c r="GI120" s="180" t="n">
        <v>12.3222472421</v>
      </c>
      <c r="GJ120" s="180" t="n">
        <v>12.39198293012</v>
      </c>
      <c r="GK120" s="180" t="n">
        <v>12.46171861814</v>
      </c>
      <c r="GL120" s="180" t="n">
        <v>12.53145430616</v>
      </c>
      <c r="GM120" s="180" t="n">
        <v>12.60118999418</v>
      </c>
      <c r="GN120" s="180" t="n">
        <v>12.6709256822</v>
      </c>
      <c r="GO120" s="180" t="n">
        <v>12.74066137022</v>
      </c>
      <c r="GP120" s="180" t="n">
        <v>12.81039705824</v>
      </c>
      <c r="GQ120" s="180" t="n">
        <v>12.88013274626</v>
      </c>
      <c r="GR120" s="180" t="n">
        <v>12.94986843428</v>
      </c>
      <c r="GS120" s="180" t="n">
        <v>13.0196041223</v>
      </c>
      <c r="GT120" s="180" t="n">
        <v>13.08933981032</v>
      </c>
      <c r="GU120" s="180" t="n">
        <v>13.15907549834</v>
      </c>
      <c r="GV120" s="180" t="n">
        <v>13.22881118636</v>
      </c>
      <c r="GW120" s="180" t="n">
        <v>13.29854687438</v>
      </c>
      <c r="GX120" s="180" t="n">
        <v>13.3682825624</v>
      </c>
      <c r="GY120" s="180" t="n">
        <v>13.43801825042</v>
      </c>
      <c r="GZ120" s="180" t="n">
        <v>13.50775393844</v>
      </c>
      <c r="HA120" s="180" t="n">
        <v>13.57748962646</v>
      </c>
      <c r="HB120" s="180" t="n">
        <v>13.64722531448</v>
      </c>
      <c r="HC120" s="180" t="n">
        <v>13.7169610025</v>
      </c>
      <c r="HD120" s="180" t="n">
        <v>13.78669669052</v>
      </c>
      <c r="HE120" s="180" t="n">
        <v>13.85643237854</v>
      </c>
      <c r="HF120" s="180" t="n">
        <v>13.92616806656</v>
      </c>
      <c r="HG120" s="180" t="n">
        <v>13.99590375458</v>
      </c>
      <c r="HH120" s="180" t="n">
        <v>14.0656394426</v>
      </c>
      <c r="HI120" s="180" t="n">
        <v>14.13537513062</v>
      </c>
      <c r="HJ120" s="180" t="n">
        <v>14.20511081864</v>
      </c>
      <c r="HK120" s="180" t="n">
        <v>14.27484650666</v>
      </c>
      <c r="HL120" s="180" t="n">
        <v>14.34458219468</v>
      </c>
      <c r="HM120" s="180" t="n">
        <v>14.4143178827</v>
      </c>
      <c r="HN120" s="180" t="n">
        <v>14.48405357072</v>
      </c>
      <c r="HO120" s="180" t="n">
        <v>14.55378925874</v>
      </c>
      <c r="HP120" s="180" t="n">
        <v>14.62352494676</v>
      </c>
      <c r="HQ120" s="180" t="n">
        <v>14.69326063478</v>
      </c>
      <c r="HR120" s="180" t="n">
        <v>14.7629963228</v>
      </c>
      <c r="HS120" s="180" t="n">
        <v>14.83273201082</v>
      </c>
      <c r="HT120" s="180" t="n">
        <v>14.90246769884</v>
      </c>
      <c r="HU120" s="180" t="n">
        <v>14.97220338686</v>
      </c>
      <c r="HV120" s="180" t="n">
        <v>15.04193907488</v>
      </c>
      <c r="HW120" s="180" t="n">
        <v>15.1116747629</v>
      </c>
      <c r="HX120" s="180" t="n">
        <v>15.18141045092</v>
      </c>
      <c r="HY120" s="180" t="n">
        <v>15.25114613894</v>
      </c>
      <c r="HZ120" s="180" t="n">
        <v>15.32088182696</v>
      </c>
      <c r="IA120" s="180" t="n">
        <v>15.39061751498</v>
      </c>
      <c r="IB120" s="180" t="n">
        <v>15.460353203</v>
      </c>
      <c r="IC120" s="180" t="n">
        <v>15.53008889102</v>
      </c>
      <c r="ID120" s="180" t="n">
        <v>15.59982457904</v>
      </c>
      <c r="IE120" s="180" t="n">
        <v>15.66956026706</v>
      </c>
      <c r="IF120" s="180" t="n">
        <v>15.73929595508</v>
      </c>
      <c r="IG120" s="180" t="n">
        <v>15.8090316431</v>
      </c>
      <c r="IH120" s="180" t="n">
        <v>15.87876733112</v>
      </c>
      <c r="II120" s="180" t="n">
        <v>15.94850301914</v>
      </c>
      <c r="IJ120" s="180" t="n">
        <v>16.01823870716</v>
      </c>
      <c r="IK120" s="180" t="n">
        <v>16.08797439518</v>
      </c>
      <c r="IL120" s="180" t="n">
        <v>16.1577100832</v>
      </c>
      <c r="IM120" s="180" t="n">
        <v>16.22744577122</v>
      </c>
      <c r="IN120" s="180" t="n">
        <v>16.29718145924</v>
      </c>
      <c r="IO120" s="180" t="n">
        <v>16.36691714726</v>
      </c>
      <c r="IP120" s="180" t="n">
        <v>16.43665283528</v>
      </c>
      <c r="IQ120" s="180" t="n">
        <v>16.5063885233</v>
      </c>
      <c r="IR120" s="180" t="n">
        <v>16.57612421132</v>
      </c>
      <c r="IS120" s="180" t="n">
        <v>16.64585989934</v>
      </c>
      <c r="IT120" s="180" t="n">
        <v>16.71559558736</v>
      </c>
      <c r="IU120" s="180" t="n">
        <v>16.78533127538</v>
      </c>
      <c r="IV120" s="180" t="n">
        <v>16.8550669634</v>
      </c>
    </row>
    <row r="121" customFormat="false" ht="12.75" hidden="false" customHeight="false" outlineLevel="0" collapsed="false">
      <c r="A121" s="189" t="n">
        <v>40360</v>
      </c>
      <c r="B121" s="185" t="n">
        <v>-2.021005929375</v>
      </c>
      <c r="C121" s="185" t="n">
        <v>-1.9907047400625</v>
      </c>
      <c r="D121" s="185" t="n">
        <v>-1.96040355075</v>
      </c>
      <c r="E121" s="185" t="n">
        <v>-1.9301023614375</v>
      </c>
      <c r="F121" s="185" t="n">
        <v>-1.899801172125</v>
      </c>
      <c r="G121" s="185" t="n">
        <v>-1.8694999828125</v>
      </c>
      <c r="H121" s="185" t="n">
        <v>-1.8391987935</v>
      </c>
      <c r="I121" s="185" t="n">
        <v>-1.8088976041875</v>
      </c>
      <c r="J121" s="185" t="n">
        <v>-1.778596414875</v>
      </c>
      <c r="K121" s="185" t="n">
        <v>-1.7482952255625</v>
      </c>
      <c r="L121" s="185" t="n">
        <v>-1.71799403625</v>
      </c>
      <c r="M121" s="185" t="n">
        <v>-1.6876928469375</v>
      </c>
      <c r="N121" s="185" t="n">
        <v>-1.657391657625</v>
      </c>
      <c r="O121" s="185" t="n">
        <v>-1.6270904683125</v>
      </c>
      <c r="P121" s="185" t="n">
        <v>-1.596789279</v>
      </c>
      <c r="Q121" s="185" t="n">
        <v>-1.5664880896875</v>
      </c>
      <c r="R121" s="185" t="n">
        <v>-1.536186900375</v>
      </c>
      <c r="S121" s="185" t="n">
        <v>-1.5058857110625</v>
      </c>
      <c r="T121" s="185" t="n">
        <v>-1.47558452175</v>
      </c>
      <c r="U121" s="185" t="n">
        <v>-1.4452833324375</v>
      </c>
      <c r="V121" s="186" t="n">
        <v>-1.414982143125</v>
      </c>
      <c r="W121" s="185" t="n">
        <v>-1.3846809538125</v>
      </c>
      <c r="X121" s="186" t="n">
        <v>-1.3543797645</v>
      </c>
      <c r="Y121" s="185" t="n">
        <v>-1.3240785751875</v>
      </c>
      <c r="Z121" s="186" t="n">
        <v>-1.293777385875</v>
      </c>
      <c r="AA121" s="185" t="n">
        <v>-1.2634761965625</v>
      </c>
      <c r="AB121" s="187" t="n">
        <v>-1.23317500725</v>
      </c>
      <c r="AC121" s="185" t="n">
        <v>-1.2028738179375</v>
      </c>
      <c r="AD121" s="187" t="n">
        <v>-1.172572628625</v>
      </c>
      <c r="AE121" s="185" t="n">
        <v>-1.1422714393125</v>
      </c>
      <c r="AF121" s="185" t="n">
        <v>-1.11197025</v>
      </c>
      <c r="AG121" s="190" t="n">
        <v>-1.083235125</v>
      </c>
      <c r="AH121" s="190" t="n">
        <v>-1.0545</v>
      </c>
      <c r="AI121" s="190" t="n">
        <v>-1.02725</v>
      </c>
      <c r="AJ121" s="190" t="n">
        <v>-1</v>
      </c>
      <c r="AK121" s="190" t="n">
        <v>-0.8</v>
      </c>
      <c r="AL121" s="190" t="n">
        <v>-0.6</v>
      </c>
      <c r="AM121" s="190" t="n">
        <v>-0.4</v>
      </c>
      <c r="AN121" s="190" t="n">
        <v>-0.2</v>
      </c>
      <c r="AO121" s="190" t="n">
        <v>0</v>
      </c>
      <c r="AP121" s="190" t="n">
        <v>0.2</v>
      </c>
      <c r="AQ121" s="190" t="n">
        <v>0.4</v>
      </c>
      <c r="AR121" s="190" t="n">
        <v>0.6</v>
      </c>
      <c r="AS121" s="190" t="n">
        <v>0.8</v>
      </c>
      <c r="AT121" s="190" t="n">
        <v>1</v>
      </c>
      <c r="AU121" s="190" t="n">
        <v>1.2</v>
      </c>
      <c r="AV121" s="190" t="n">
        <v>1.4</v>
      </c>
      <c r="AW121" s="190" t="n">
        <v>1.58</v>
      </c>
      <c r="AX121" s="190" t="n">
        <v>1.76</v>
      </c>
      <c r="AY121" s="190" t="n">
        <v>1.922</v>
      </c>
      <c r="AZ121" s="190" t="n">
        <v>2.084</v>
      </c>
      <c r="BA121" s="190" t="n">
        <v>2.2298</v>
      </c>
      <c r="BB121" s="190" t="n">
        <v>2.3756</v>
      </c>
      <c r="BC121" s="190" t="n">
        <v>2.50682</v>
      </c>
      <c r="BD121" s="190" t="n">
        <v>2.63804</v>
      </c>
      <c r="BE121" s="190" t="n">
        <v>2.756138</v>
      </c>
      <c r="BF121" s="190" t="n">
        <v>2.874236</v>
      </c>
      <c r="BG121" s="190" t="n">
        <v>2.9805242</v>
      </c>
      <c r="BH121" s="190" t="n">
        <v>3.0868124</v>
      </c>
      <c r="BI121" s="190" t="n">
        <v>3.18247178</v>
      </c>
      <c r="BJ121" s="190" t="n">
        <v>3.27813116</v>
      </c>
      <c r="BK121" s="190" t="n">
        <v>3.364224602</v>
      </c>
      <c r="BL121" s="190" t="n">
        <v>3.450318044</v>
      </c>
      <c r="BM121" s="190" t="n">
        <v>3.5278021418</v>
      </c>
      <c r="BN121" s="190" t="n">
        <v>3.6052862396</v>
      </c>
      <c r="BO121" s="190" t="n">
        <v>3.67502192762</v>
      </c>
      <c r="BP121" s="190" t="n">
        <v>3.74475761564</v>
      </c>
      <c r="BQ121" s="190" t="n">
        <v>3.81449330366</v>
      </c>
      <c r="BR121" s="190" t="n">
        <v>3.88422899168</v>
      </c>
      <c r="BS121" s="190" t="n">
        <v>3.9539646797</v>
      </c>
      <c r="BT121" s="190" t="n">
        <v>4.02370036772</v>
      </c>
      <c r="BU121" s="190" t="n">
        <v>4.09343605574</v>
      </c>
      <c r="BV121" s="190" t="n">
        <v>4.16317174376</v>
      </c>
      <c r="BW121" s="190" t="n">
        <v>4.23290743178</v>
      </c>
      <c r="BX121" s="190" t="n">
        <v>4.3026431198</v>
      </c>
      <c r="BY121" s="190" t="n">
        <v>4.37237880782</v>
      </c>
      <c r="BZ121" s="190" t="n">
        <v>4.44211449584</v>
      </c>
      <c r="CA121" s="190" t="n">
        <v>4.51185018386</v>
      </c>
      <c r="CB121" s="190" t="n">
        <v>4.58158587188</v>
      </c>
      <c r="CC121" s="190" t="n">
        <v>4.6513215599</v>
      </c>
      <c r="CD121" s="190" t="n">
        <v>4.72105724792</v>
      </c>
      <c r="CE121" s="190" t="n">
        <v>4.79079293594</v>
      </c>
      <c r="CF121" s="190" t="n">
        <v>4.86052862396</v>
      </c>
      <c r="CG121" s="190" t="n">
        <v>4.93026431198</v>
      </c>
      <c r="CH121" s="190" t="n">
        <v>5</v>
      </c>
      <c r="CI121" s="190" t="n">
        <v>5.06973568801999</v>
      </c>
      <c r="CJ121" s="190" t="n">
        <v>5.13947137603999</v>
      </c>
      <c r="CK121" s="190" t="n">
        <v>5.20920706405999</v>
      </c>
      <c r="CL121" s="190" t="n">
        <v>5.27894275207999</v>
      </c>
      <c r="CM121" s="190" t="n">
        <v>5.34867844009999</v>
      </c>
      <c r="CN121" s="190" t="n">
        <v>5.41841412811999</v>
      </c>
      <c r="CO121" s="190" t="n">
        <v>5.48814981613999</v>
      </c>
      <c r="CP121" s="190" t="n">
        <v>5.55788550415999</v>
      </c>
      <c r="CQ121" s="190" t="n">
        <v>5.62762119217999</v>
      </c>
      <c r="CR121" s="190" t="n">
        <v>5.69735688019999</v>
      </c>
      <c r="CS121" s="190" t="n">
        <v>5.76709256821999</v>
      </c>
      <c r="CT121" s="190" t="n">
        <v>5.83682825623999</v>
      </c>
      <c r="CU121" s="190" t="n">
        <v>5.90656394425999</v>
      </c>
      <c r="CV121" s="190" t="n">
        <v>5.97629963227999</v>
      </c>
      <c r="CW121" s="190" t="n">
        <v>6.04603532029999</v>
      </c>
      <c r="CX121" s="190" t="n">
        <v>6.11577100831999</v>
      </c>
      <c r="CY121" s="190" t="n">
        <v>6.18550669633999</v>
      </c>
      <c r="CZ121" s="190" t="n">
        <v>6.25524238435999</v>
      </c>
      <c r="DA121" s="190" t="n">
        <v>6.32497807237999</v>
      </c>
      <c r="DB121" s="190" t="n">
        <v>6.39471376039999</v>
      </c>
      <c r="DC121" s="190" t="n">
        <v>6.46444944841999</v>
      </c>
      <c r="DD121" s="190" t="n">
        <v>6.53418513643999</v>
      </c>
      <c r="DE121" s="190" t="n">
        <v>6.60392082445999</v>
      </c>
      <c r="DF121" s="190" t="n">
        <v>6.67365651247999</v>
      </c>
      <c r="DG121" s="190" t="n">
        <v>6.74339220049999</v>
      </c>
      <c r="DH121" s="190" t="n">
        <v>6.81312788851999</v>
      </c>
      <c r="DI121" s="190" t="n">
        <v>6.88286357653999</v>
      </c>
      <c r="DJ121" s="190" t="n">
        <v>6.95259926455999</v>
      </c>
      <c r="DK121" s="190" t="n">
        <v>7.02233495257999</v>
      </c>
      <c r="DL121" s="190" t="n">
        <v>7.09207064059999</v>
      </c>
      <c r="DM121" s="190" t="n">
        <v>7.16180632861999</v>
      </c>
      <c r="DN121" s="190" t="n">
        <v>7.23154201663999</v>
      </c>
      <c r="DO121" s="190" t="n">
        <v>7.30127770465999</v>
      </c>
      <c r="DP121" s="190" t="n">
        <v>7.37101339267999</v>
      </c>
      <c r="DQ121" s="190" t="n">
        <v>7.44074908069999</v>
      </c>
      <c r="DR121" s="190" t="n">
        <v>7.51048476871999</v>
      </c>
      <c r="DS121" s="190" t="n">
        <v>7.58022045673999</v>
      </c>
      <c r="DT121" s="190" t="n">
        <v>7.64995614475999</v>
      </c>
      <c r="DU121" s="190" t="n">
        <v>7.71969183277999</v>
      </c>
      <c r="DV121" s="190" t="n">
        <v>7.78942752079998</v>
      </c>
      <c r="DW121" s="190" t="n">
        <v>7.85916320881998</v>
      </c>
      <c r="DX121" s="190" t="n">
        <v>7.92889889683998</v>
      </c>
      <c r="DY121" s="190" t="n">
        <v>7.99863458485998</v>
      </c>
      <c r="DZ121" s="190" t="n">
        <v>8.06837027287998</v>
      </c>
      <c r="EA121" s="190" t="n">
        <v>8.13810596089998</v>
      </c>
      <c r="EB121" s="190" t="n">
        <v>8.20784164891998</v>
      </c>
      <c r="EC121" s="190" t="n">
        <v>8.27757733693998</v>
      </c>
      <c r="ED121" s="190" t="n">
        <v>8.34731302495998</v>
      </c>
      <c r="EE121" s="190" t="n">
        <v>8.41704871297998</v>
      </c>
      <c r="EF121" s="190" t="n">
        <v>8.48678440099998</v>
      </c>
      <c r="EG121" s="190" t="n">
        <v>8.55652008901998</v>
      </c>
      <c r="EH121" s="190" t="n">
        <v>8.62625577703998</v>
      </c>
      <c r="EI121" s="190" t="n">
        <v>8.69599146505998</v>
      </c>
      <c r="EJ121" s="190" t="n">
        <v>8.76572715307998</v>
      </c>
      <c r="EK121" s="190" t="n">
        <v>8.83546284109998</v>
      </c>
      <c r="EL121" s="180" t="n">
        <v>8.90519852911998</v>
      </c>
      <c r="EM121" s="180" t="n">
        <v>8.97493421713998</v>
      </c>
      <c r="EN121" s="180" t="n">
        <v>9.04466990515998</v>
      </c>
      <c r="EO121" s="180" t="n">
        <v>9.11440559317998</v>
      </c>
      <c r="EP121" s="180" t="n">
        <v>9.18414128119998</v>
      </c>
      <c r="EQ121" s="180" t="n">
        <v>9.25387696921998</v>
      </c>
      <c r="ER121" s="180" t="n">
        <v>9.32361265723998</v>
      </c>
      <c r="ES121" s="180" t="n">
        <v>9.39334834525998</v>
      </c>
      <c r="ET121" s="180" t="n">
        <v>9.46308403327998</v>
      </c>
      <c r="EU121" s="180" t="n">
        <v>9.53281972129998</v>
      </c>
      <c r="EV121" s="180" t="n">
        <v>9.60255540931998</v>
      </c>
      <c r="EW121" s="180" t="n">
        <v>9.67229109733998</v>
      </c>
      <c r="EX121" s="180" t="n">
        <v>9.74202678535998</v>
      </c>
      <c r="EY121" s="180" t="n">
        <v>9.81176247337998</v>
      </c>
      <c r="EZ121" s="180" t="n">
        <v>9.88149816139998</v>
      </c>
      <c r="FA121" s="180" t="n">
        <v>9.95123384941998</v>
      </c>
      <c r="FB121" s="180" t="n">
        <v>10.02096953744</v>
      </c>
      <c r="FC121" s="180" t="n">
        <v>10.09070522546</v>
      </c>
      <c r="FD121" s="180" t="n">
        <v>10.16044091348</v>
      </c>
      <c r="FE121" s="180" t="n">
        <v>10.2301766015</v>
      </c>
      <c r="FF121" s="180" t="n">
        <v>10.29991228952</v>
      </c>
      <c r="FG121" s="180" t="n">
        <v>10.36964797754</v>
      </c>
      <c r="FH121" s="180" t="n">
        <v>10.43938366556</v>
      </c>
      <c r="FI121" s="180" t="n">
        <v>10.50911935358</v>
      </c>
      <c r="FJ121" s="180" t="n">
        <v>10.5788550416</v>
      </c>
      <c r="FK121" s="180" t="n">
        <v>10.64859072962</v>
      </c>
      <c r="FL121" s="180" t="n">
        <v>10.71832641764</v>
      </c>
      <c r="FM121" s="180" t="n">
        <v>10.78806210566</v>
      </c>
      <c r="FN121" s="180" t="n">
        <v>10.85779779368</v>
      </c>
      <c r="FO121" s="180" t="n">
        <v>10.9275334817</v>
      </c>
      <c r="FP121" s="180" t="n">
        <v>10.99726916972</v>
      </c>
      <c r="FQ121" s="180" t="n">
        <v>11.06700485774</v>
      </c>
      <c r="FR121" s="180" t="n">
        <v>11.13674054576</v>
      </c>
      <c r="FS121" s="180" t="n">
        <v>11.20647623378</v>
      </c>
      <c r="FT121" s="180" t="n">
        <v>11.2762119218</v>
      </c>
      <c r="FU121" s="180" t="n">
        <v>11.34594760982</v>
      </c>
      <c r="FV121" s="180" t="n">
        <v>11.41568329784</v>
      </c>
      <c r="FW121" s="180" t="n">
        <v>11.48541898586</v>
      </c>
      <c r="FX121" s="180" t="n">
        <v>11.55515467388</v>
      </c>
      <c r="FY121" s="180" t="n">
        <v>11.6248903619</v>
      </c>
      <c r="FZ121" s="180" t="n">
        <v>11.69462604992</v>
      </c>
      <c r="GA121" s="180" t="n">
        <v>11.76436173794</v>
      </c>
      <c r="GB121" s="180" t="n">
        <v>11.83409742596</v>
      </c>
      <c r="GC121" s="180" t="n">
        <v>11.90383311398</v>
      </c>
      <c r="GD121" s="180" t="n">
        <v>11.973568802</v>
      </c>
      <c r="GE121" s="180" t="n">
        <v>12.04330449002</v>
      </c>
      <c r="GF121" s="180" t="n">
        <v>12.11304017804</v>
      </c>
      <c r="GG121" s="180" t="n">
        <v>12.18277586606</v>
      </c>
      <c r="GH121" s="180" t="n">
        <v>12.25251155408</v>
      </c>
      <c r="GI121" s="180" t="n">
        <v>12.3222472421</v>
      </c>
      <c r="GJ121" s="180" t="n">
        <v>12.39198293012</v>
      </c>
      <c r="GK121" s="180" t="n">
        <v>12.46171861814</v>
      </c>
      <c r="GL121" s="180" t="n">
        <v>12.53145430616</v>
      </c>
      <c r="GM121" s="180" t="n">
        <v>12.60118999418</v>
      </c>
      <c r="GN121" s="180" t="n">
        <v>12.6709256822</v>
      </c>
      <c r="GO121" s="180" t="n">
        <v>12.74066137022</v>
      </c>
      <c r="GP121" s="180" t="n">
        <v>12.81039705824</v>
      </c>
      <c r="GQ121" s="180" t="n">
        <v>12.88013274626</v>
      </c>
      <c r="GR121" s="180" t="n">
        <v>12.94986843428</v>
      </c>
      <c r="GS121" s="180" t="n">
        <v>13.0196041223</v>
      </c>
      <c r="GT121" s="180" t="n">
        <v>13.08933981032</v>
      </c>
      <c r="GU121" s="180" t="n">
        <v>13.15907549834</v>
      </c>
      <c r="GV121" s="180" t="n">
        <v>13.22881118636</v>
      </c>
      <c r="GW121" s="180" t="n">
        <v>13.29854687438</v>
      </c>
      <c r="GX121" s="180" t="n">
        <v>13.3682825624</v>
      </c>
      <c r="GY121" s="180" t="n">
        <v>13.43801825042</v>
      </c>
      <c r="GZ121" s="180" t="n">
        <v>13.50775393844</v>
      </c>
      <c r="HA121" s="180" t="n">
        <v>13.57748962646</v>
      </c>
      <c r="HB121" s="180" t="n">
        <v>13.64722531448</v>
      </c>
      <c r="HC121" s="180" t="n">
        <v>13.7169610025</v>
      </c>
      <c r="HD121" s="180" t="n">
        <v>13.78669669052</v>
      </c>
      <c r="HE121" s="180" t="n">
        <v>13.85643237854</v>
      </c>
      <c r="HF121" s="180" t="n">
        <v>13.92616806656</v>
      </c>
      <c r="HG121" s="180" t="n">
        <v>13.99590375458</v>
      </c>
      <c r="HH121" s="180" t="n">
        <v>14.0656394426</v>
      </c>
      <c r="HI121" s="180" t="n">
        <v>14.13537513062</v>
      </c>
      <c r="HJ121" s="180" t="n">
        <v>14.20511081864</v>
      </c>
      <c r="HK121" s="180" t="n">
        <v>14.27484650666</v>
      </c>
      <c r="HL121" s="180" t="n">
        <v>14.34458219468</v>
      </c>
      <c r="HM121" s="180" t="n">
        <v>14.4143178827</v>
      </c>
      <c r="HN121" s="180" t="n">
        <v>14.48405357072</v>
      </c>
      <c r="HO121" s="180" t="n">
        <v>14.55378925874</v>
      </c>
      <c r="HP121" s="180" t="n">
        <v>14.62352494676</v>
      </c>
      <c r="HQ121" s="180" t="n">
        <v>14.69326063478</v>
      </c>
      <c r="HR121" s="180" t="n">
        <v>14.7629963228</v>
      </c>
      <c r="HS121" s="180" t="n">
        <v>14.83273201082</v>
      </c>
      <c r="HT121" s="180" t="n">
        <v>14.90246769884</v>
      </c>
      <c r="HU121" s="180" t="n">
        <v>14.97220338686</v>
      </c>
      <c r="HV121" s="180" t="n">
        <v>15.04193907488</v>
      </c>
      <c r="HW121" s="180" t="n">
        <v>15.1116747629</v>
      </c>
      <c r="HX121" s="180" t="n">
        <v>15.18141045092</v>
      </c>
      <c r="HY121" s="180" t="n">
        <v>15.25114613894</v>
      </c>
      <c r="HZ121" s="180" t="n">
        <v>15.32088182696</v>
      </c>
      <c r="IA121" s="180" t="n">
        <v>15.39061751498</v>
      </c>
      <c r="IB121" s="180" t="n">
        <v>15.460353203</v>
      </c>
      <c r="IC121" s="180" t="n">
        <v>15.53008889102</v>
      </c>
      <c r="ID121" s="180" t="n">
        <v>15.59982457904</v>
      </c>
      <c r="IE121" s="180" t="n">
        <v>15.66956026706</v>
      </c>
      <c r="IF121" s="180" t="n">
        <v>15.73929595508</v>
      </c>
      <c r="IG121" s="180" t="n">
        <v>15.8090316431</v>
      </c>
      <c r="IH121" s="180" t="n">
        <v>15.87876733112</v>
      </c>
      <c r="II121" s="180" t="n">
        <v>15.94850301914</v>
      </c>
      <c r="IJ121" s="180" t="n">
        <v>16.01823870716</v>
      </c>
      <c r="IK121" s="180" t="n">
        <v>16.08797439518</v>
      </c>
      <c r="IL121" s="180" t="n">
        <v>16.1577100832</v>
      </c>
      <c r="IM121" s="180" t="n">
        <v>16.22744577122</v>
      </c>
      <c r="IN121" s="180" t="n">
        <v>16.29718145924</v>
      </c>
      <c r="IO121" s="180" t="n">
        <v>16.36691714726</v>
      </c>
      <c r="IP121" s="180" t="n">
        <v>16.43665283528</v>
      </c>
      <c r="IQ121" s="180" t="n">
        <v>16.5063885233</v>
      </c>
      <c r="IR121" s="180" t="n">
        <v>16.57612421132</v>
      </c>
      <c r="IS121" s="180" t="n">
        <v>16.64585989934</v>
      </c>
      <c r="IT121" s="180" t="n">
        <v>16.71559558736</v>
      </c>
      <c r="IU121" s="180" t="n">
        <v>16.78533127538</v>
      </c>
      <c r="IV121" s="180" t="n">
        <v>16.8550669634</v>
      </c>
    </row>
    <row r="122" customFormat="false" ht="12.75" hidden="false" customHeight="false" outlineLevel="0" collapsed="false">
      <c r="A122" s="189" t="n">
        <v>40391</v>
      </c>
      <c r="B122" s="185" t="n">
        <v>-2.021005929375</v>
      </c>
      <c r="C122" s="185" t="n">
        <v>-1.9907047400625</v>
      </c>
      <c r="D122" s="185" t="n">
        <v>-1.96040355075</v>
      </c>
      <c r="E122" s="185" t="n">
        <v>-1.9301023614375</v>
      </c>
      <c r="F122" s="185" t="n">
        <v>-1.899801172125</v>
      </c>
      <c r="G122" s="185" t="n">
        <v>-1.8694999828125</v>
      </c>
      <c r="H122" s="185" t="n">
        <v>-1.8391987935</v>
      </c>
      <c r="I122" s="185" t="n">
        <v>-1.8088976041875</v>
      </c>
      <c r="J122" s="185" t="n">
        <v>-1.778596414875</v>
      </c>
      <c r="K122" s="185" t="n">
        <v>-1.7482952255625</v>
      </c>
      <c r="L122" s="185" t="n">
        <v>-1.71799403625</v>
      </c>
      <c r="M122" s="185" t="n">
        <v>-1.6876928469375</v>
      </c>
      <c r="N122" s="185" t="n">
        <v>-1.657391657625</v>
      </c>
      <c r="O122" s="185" t="n">
        <v>-1.6270904683125</v>
      </c>
      <c r="P122" s="185" t="n">
        <v>-1.596789279</v>
      </c>
      <c r="Q122" s="185" t="n">
        <v>-1.5664880896875</v>
      </c>
      <c r="R122" s="185" t="n">
        <v>-1.536186900375</v>
      </c>
      <c r="S122" s="185" t="n">
        <v>-1.5058857110625</v>
      </c>
      <c r="T122" s="185" t="n">
        <v>-1.47558452175</v>
      </c>
      <c r="U122" s="185" t="n">
        <v>-1.4452833324375</v>
      </c>
      <c r="V122" s="186" t="n">
        <v>-1.414982143125</v>
      </c>
      <c r="W122" s="185" t="n">
        <v>-1.3846809538125</v>
      </c>
      <c r="X122" s="186" t="n">
        <v>-1.3543797645</v>
      </c>
      <c r="Y122" s="185" t="n">
        <v>-1.3240785751875</v>
      </c>
      <c r="Z122" s="186" t="n">
        <v>-1.293777385875</v>
      </c>
      <c r="AA122" s="185" t="n">
        <v>-1.2634761965625</v>
      </c>
      <c r="AB122" s="187" t="n">
        <v>-1.23317500725</v>
      </c>
      <c r="AC122" s="185" t="n">
        <v>-1.2028738179375</v>
      </c>
      <c r="AD122" s="187" t="n">
        <v>-1.172572628625</v>
      </c>
      <c r="AE122" s="185" t="n">
        <v>-1.1422714393125</v>
      </c>
      <c r="AF122" s="185" t="n">
        <v>-1.11197025</v>
      </c>
      <c r="AG122" s="190" t="n">
        <v>-1.083235125</v>
      </c>
      <c r="AH122" s="190" t="n">
        <v>-1.0545</v>
      </c>
      <c r="AI122" s="190" t="n">
        <v>-1.02725</v>
      </c>
      <c r="AJ122" s="190" t="n">
        <v>-1</v>
      </c>
      <c r="AK122" s="190" t="n">
        <v>-0.8</v>
      </c>
      <c r="AL122" s="190" t="n">
        <v>-0.6</v>
      </c>
      <c r="AM122" s="190" t="n">
        <v>-0.4</v>
      </c>
      <c r="AN122" s="190" t="n">
        <v>-0.2</v>
      </c>
      <c r="AO122" s="190" t="n">
        <v>0</v>
      </c>
      <c r="AP122" s="190" t="n">
        <v>0.2</v>
      </c>
      <c r="AQ122" s="190" t="n">
        <v>0.4</v>
      </c>
      <c r="AR122" s="190" t="n">
        <v>0.6</v>
      </c>
      <c r="AS122" s="190" t="n">
        <v>0.8</v>
      </c>
      <c r="AT122" s="190" t="n">
        <v>1</v>
      </c>
      <c r="AU122" s="190" t="n">
        <v>1.2</v>
      </c>
      <c r="AV122" s="190" t="n">
        <v>1.4</v>
      </c>
      <c r="AW122" s="190" t="n">
        <v>1.58</v>
      </c>
      <c r="AX122" s="190" t="n">
        <v>1.76</v>
      </c>
      <c r="AY122" s="190" t="n">
        <v>1.922</v>
      </c>
      <c r="AZ122" s="190" t="n">
        <v>2.084</v>
      </c>
      <c r="BA122" s="190" t="n">
        <v>2.2298</v>
      </c>
      <c r="BB122" s="190" t="n">
        <v>2.3756</v>
      </c>
      <c r="BC122" s="190" t="n">
        <v>2.50682</v>
      </c>
      <c r="BD122" s="190" t="n">
        <v>2.63804</v>
      </c>
      <c r="BE122" s="190" t="n">
        <v>2.756138</v>
      </c>
      <c r="BF122" s="190" t="n">
        <v>2.874236</v>
      </c>
      <c r="BG122" s="190" t="n">
        <v>2.9805242</v>
      </c>
      <c r="BH122" s="190" t="n">
        <v>3.0868124</v>
      </c>
      <c r="BI122" s="190" t="n">
        <v>3.18247178</v>
      </c>
      <c r="BJ122" s="190" t="n">
        <v>3.27813116</v>
      </c>
      <c r="BK122" s="190" t="n">
        <v>3.364224602</v>
      </c>
      <c r="BL122" s="190" t="n">
        <v>3.450318044</v>
      </c>
      <c r="BM122" s="190" t="n">
        <v>3.5278021418</v>
      </c>
      <c r="BN122" s="190" t="n">
        <v>3.6052862396</v>
      </c>
      <c r="BO122" s="190" t="n">
        <v>3.67502192762</v>
      </c>
      <c r="BP122" s="190" t="n">
        <v>3.74475761564</v>
      </c>
      <c r="BQ122" s="190" t="n">
        <v>3.81449330366</v>
      </c>
      <c r="BR122" s="190" t="n">
        <v>3.88422899168</v>
      </c>
      <c r="BS122" s="190" t="n">
        <v>3.9539646797</v>
      </c>
      <c r="BT122" s="190" t="n">
        <v>4.02370036772</v>
      </c>
      <c r="BU122" s="190" t="n">
        <v>4.09343605574</v>
      </c>
      <c r="BV122" s="190" t="n">
        <v>4.16317174376</v>
      </c>
      <c r="BW122" s="190" t="n">
        <v>4.23290743178</v>
      </c>
      <c r="BX122" s="190" t="n">
        <v>4.3026431198</v>
      </c>
      <c r="BY122" s="190" t="n">
        <v>4.37237880782</v>
      </c>
      <c r="BZ122" s="190" t="n">
        <v>4.44211449584</v>
      </c>
      <c r="CA122" s="190" t="n">
        <v>4.51185018386</v>
      </c>
      <c r="CB122" s="190" t="n">
        <v>4.58158587188</v>
      </c>
      <c r="CC122" s="190" t="n">
        <v>4.6513215599</v>
      </c>
      <c r="CD122" s="190" t="n">
        <v>4.72105724792</v>
      </c>
      <c r="CE122" s="190" t="n">
        <v>4.79079293594</v>
      </c>
      <c r="CF122" s="190" t="n">
        <v>4.86052862396</v>
      </c>
      <c r="CG122" s="190" t="n">
        <v>4.93026431198</v>
      </c>
      <c r="CH122" s="190" t="n">
        <v>5</v>
      </c>
      <c r="CI122" s="190" t="n">
        <v>5.06973568801999</v>
      </c>
      <c r="CJ122" s="190" t="n">
        <v>5.13947137603999</v>
      </c>
      <c r="CK122" s="190" t="n">
        <v>5.20920706405999</v>
      </c>
      <c r="CL122" s="190" t="n">
        <v>5.27894275207999</v>
      </c>
      <c r="CM122" s="190" t="n">
        <v>5.34867844009999</v>
      </c>
      <c r="CN122" s="190" t="n">
        <v>5.41841412811999</v>
      </c>
      <c r="CO122" s="190" t="n">
        <v>5.48814981613999</v>
      </c>
      <c r="CP122" s="190" t="n">
        <v>5.55788550415999</v>
      </c>
      <c r="CQ122" s="190" t="n">
        <v>5.62762119217999</v>
      </c>
      <c r="CR122" s="190" t="n">
        <v>5.69735688019999</v>
      </c>
      <c r="CS122" s="190" t="n">
        <v>5.76709256821999</v>
      </c>
      <c r="CT122" s="190" t="n">
        <v>5.83682825623999</v>
      </c>
      <c r="CU122" s="190" t="n">
        <v>5.90656394425999</v>
      </c>
      <c r="CV122" s="190" t="n">
        <v>5.97629963227999</v>
      </c>
      <c r="CW122" s="190" t="n">
        <v>6.04603532029999</v>
      </c>
      <c r="CX122" s="190" t="n">
        <v>6.11577100831999</v>
      </c>
      <c r="CY122" s="190" t="n">
        <v>6.18550669633999</v>
      </c>
      <c r="CZ122" s="190" t="n">
        <v>6.25524238435999</v>
      </c>
      <c r="DA122" s="190" t="n">
        <v>6.32497807237999</v>
      </c>
      <c r="DB122" s="190" t="n">
        <v>6.39471376039999</v>
      </c>
      <c r="DC122" s="190" t="n">
        <v>6.46444944841999</v>
      </c>
      <c r="DD122" s="190" t="n">
        <v>6.53418513643999</v>
      </c>
      <c r="DE122" s="190" t="n">
        <v>6.60392082445999</v>
      </c>
      <c r="DF122" s="190" t="n">
        <v>6.67365651247999</v>
      </c>
      <c r="DG122" s="190" t="n">
        <v>6.74339220049999</v>
      </c>
      <c r="DH122" s="190" t="n">
        <v>6.81312788851999</v>
      </c>
      <c r="DI122" s="190" t="n">
        <v>6.88286357653999</v>
      </c>
      <c r="DJ122" s="190" t="n">
        <v>6.95259926455999</v>
      </c>
      <c r="DK122" s="190" t="n">
        <v>7.02233495257999</v>
      </c>
      <c r="DL122" s="190" t="n">
        <v>7.09207064059999</v>
      </c>
      <c r="DM122" s="190" t="n">
        <v>7.16180632861999</v>
      </c>
      <c r="DN122" s="190" t="n">
        <v>7.23154201663999</v>
      </c>
      <c r="DO122" s="190" t="n">
        <v>7.30127770465999</v>
      </c>
      <c r="DP122" s="190" t="n">
        <v>7.37101339267999</v>
      </c>
      <c r="DQ122" s="190" t="n">
        <v>7.44074908069999</v>
      </c>
      <c r="DR122" s="190" t="n">
        <v>7.51048476871999</v>
      </c>
      <c r="DS122" s="190" t="n">
        <v>7.58022045673999</v>
      </c>
      <c r="DT122" s="190" t="n">
        <v>7.64995614475999</v>
      </c>
      <c r="DU122" s="190" t="n">
        <v>7.71969183277999</v>
      </c>
      <c r="DV122" s="190" t="n">
        <v>7.78942752079998</v>
      </c>
      <c r="DW122" s="190" t="n">
        <v>7.85916320881998</v>
      </c>
      <c r="DX122" s="190" t="n">
        <v>7.92889889683998</v>
      </c>
      <c r="DY122" s="190" t="n">
        <v>7.99863458485998</v>
      </c>
      <c r="DZ122" s="190" t="n">
        <v>8.06837027287998</v>
      </c>
      <c r="EA122" s="190" t="n">
        <v>8.13810596089998</v>
      </c>
      <c r="EB122" s="190" t="n">
        <v>8.20784164891998</v>
      </c>
      <c r="EC122" s="190" t="n">
        <v>8.27757733693998</v>
      </c>
      <c r="ED122" s="190" t="n">
        <v>8.34731302495998</v>
      </c>
      <c r="EE122" s="190" t="n">
        <v>8.41704871297998</v>
      </c>
      <c r="EF122" s="190" t="n">
        <v>8.48678440099998</v>
      </c>
      <c r="EG122" s="190" t="n">
        <v>8.55652008901998</v>
      </c>
      <c r="EH122" s="190" t="n">
        <v>8.62625577703998</v>
      </c>
      <c r="EI122" s="190" t="n">
        <v>8.69599146505998</v>
      </c>
      <c r="EJ122" s="190" t="n">
        <v>8.76572715307998</v>
      </c>
      <c r="EK122" s="190" t="n">
        <v>8.83546284109998</v>
      </c>
      <c r="EL122" s="180" t="n">
        <v>8.90519852911998</v>
      </c>
      <c r="EM122" s="180" t="n">
        <v>8.97493421713998</v>
      </c>
      <c r="EN122" s="180" t="n">
        <v>9.04466990515998</v>
      </c>
      <c r="EO122" s="180" t="n">
        <v>9.11440559317998</v>
      </c>
      <c r="EP122" s="180" t="n">
        <v>9.18414128119998</v>
      </c>
      <c r="EQ122" s="180" t="n">
        <v>9.25387696921998</v>
      </c>
      <c r="ER122" s="180" t="n">
        <v>9.32361265723998</v>
      </c>
      <c r="ES122" s="180" t="n">
        <v>9.39334834525998</v>
      </c>
      <c r="ET122" s="180" t="n">
        <v>9.46308403327998</v>
      </c>
      <c r="EU122" s="180" t="n">
        <v>9.53281972129998</v>
      </c>
      <c r="EV122" s="180" t="n">
        <v>9.60255540931998</v>
      </c>
      <c r="EW122" s="180" t="n">
        <v>9.67229109733998</v>
      </c>
      <c r="EX122" s="180" t="n">
        <v>9.74202678535998</v>
      </c>
      <c r="EY122" s="180" t="n">
        <v>9.81176247337998</v>
      </c>
      <c r="EZ122" s="180" t="n">
        <v>9.88149816139998</v>
      </c>
      <c r="FA122" s="180" t="n">
        <v>9.95123384941998</v>
      </c>
      <c r="FB122" s="180" t="n">
        <v>10.02096953744</v>
      </c>
      <c r="FC122" s="180" t="n">
        <v>10.09070522546</v>
      </c>
      <c r="FD122" s="180" t="n">
        <v>10.16044091348</v>
      </c>
      <c r="FE122" s="180" t="n">
        <v>10.2301766015</v>
      </c>
      <c r="FF122" s="180" t="n">
        <v>10.29991228952</v>
      </c>
      <c r="FG122" s="180" t="n">
        <v>10.36964797754</v>
      </c>
      <c r="FH122" s="180" t="n">
        <v>10.43938366556</v>
      </c>
      <c r="FI122" s="180" t="n">
        <v>10.50911935358</v>
      </c>
      <c r="FJ122" s="180" t="n">
        <v>10.5788550416</v>
      </c>
      <c r="FK122" s="180" t="n">
        <v>10.64859072962</v>
      </c>
      <c r="FL122" s="180" t="n">
        <v>10.71832641764</v>
      </c>
      <c r="FM122" s="180" t="n">
        <v>10.78806210566</v>
      </c>
      <c r="FN122" s="180" t="n">
        <v>10.85779779368</v>
      </c>
      <c r="FO122" s="180" t="n">
        <v>10.9275334817</v>
      </c>
      <c r="FP122" s="180" t="n">
        <v>10.99726916972</v>
      </c>
      <c r="FQ122" s="180" t="n">
        <v>11.06700485774</v>
      </c>
      <c r="FR122" s="180" t="n">
        <v>11.13674054576</v>
      </c>
      <c r="FS122" s="180" t="n">
        <v>11.20647623378</v>
      </c>
      <c r="FT122" s="180" t="n">
        <v>11.2762119218</v>
      </c>
      <c r="FU122" s="180" t="n">
        <v>11.34594760982</v>
      </c>
      <c r="FV122" s="180" t="n">
        <v>11.41568329784</v>
      </c>
      <c r="FW122" s="180" t="n">
        <v>11.48541898586</v>
      </c>
      <c r="FX122" s="180" t="n">
        <v>11.55515467388</v>
      </c>
      <c r="FY122" s="180" t="n">
        <v>11.6248903619</v>
      </c>
      <c r="FZ122" s="180" t="n">
        <v>11.69462604992</v>
      </c>
      <c r="GA122" s="180" t="n">
        <v>11.76436173794</v>
      </c>
      <c r="GB122" s="180" t="n">
        <v>11.83409742596</v>
      </c>
      <c r="GC122" s="180" t="n">
        <v>11.90383311398</v>
      </c>
      <c r="GD122" s="180" t="n">
        <v>11.973568802</v>
      </c>
      <c r="GE122" s="180" t="n">
        <v>12.04330449002</v>
      </c>
      <c r="GF122" s="180" t="n">
        <v>12.11304017804</v>
      </c>
      <c r="GG122" s="180" t="n">
        <v>12.18277586606</v>
      </c>
      <c r="GH122" s="180" t="n">
        <v>12.25251155408</v>
      </c>
      <c r="GI122" s="180" t="n">
        <v>12.3222472421</v>
      </c>
      <c r="GJ122" s="180" t="n">
        <v>12.39198293012</v>
      </c>
      <c r="GK122" s="180" t="n">
        <v>12.46171861814</v>
      </c>
      <c r="GL122" s="180" t="n">
        <v>12.53145430616</v>
      </c>
      <c r="GM122" s="180" t="n">
        <v>12.60118999418</v>
      </c>
      <c r="GN122" s="180" t="n">
        <v>12.6709256822</v>
      </c>
      <c r="GO122" s="180" t="n">
        <v>12.74066137022</v>
      </c>
      <c r="GP122" s="180" t="n">
        <v>12.81039705824</v>
      </c>
      <c r="GQ122" s="180" t="n">
        <v>12.88013274626</v>
      </c>
      <c r="GR122" s="180" t="n">
        <v>12.94986843428</v>
      </c>
      <c r="GS122" s="180" t="n">
        <v>13.0196041223</v>
      </c>
      <c r="GT122" s="180" t="n">
        <v>13.08933981032</v>
      </c>
      <c r="GU122" s="180" t="n">
        <v>13.15907549834</v>
      </c>
      <c r="GV122" s="180" t="n">
        <v>13.22881118636</v>
      </c>
      <c r="GW122" s="180" t="n">
        <v>13.29854687438</v>
      </c>
      <c r="GX122" s="180" t="n">
        <v>13.3682825624</v>
      </c>
      <c r="GY122" s="180" t="n">
        <v>13.43801825042</v>
      </c>
      <c r="GZ122" s="180" t="n">
        <v>13.50775393844</v>
      </c>
      <c r="HA122" s="180" t="n">
        <v>13.57748962646</v>
      </c>
      <c r="HB122" s="180" t="n">
        <v>13.64722531448</v>
      </c>
      <c r="HC122" s="180" t="n">
        <v>13.7169610025</v>
      </c>
      <c r="HD122" s="180" t="n">
        <v>13.78669669052</v>
      </c>
      <c r="HE122" s="180" t="n">
        <v>13.85643237854</v>
      </c>
      <c r="HF122" s="180" t="n">
        <v>13.92616806656</v>
      </c>
      <c r="HG122" s="180" t="n">
        <v>13.99590375458</v>
      </c>
      <c r="HH122" s="180" t="n">
        <v>14.0656394426</v>
      </c>
      <c r="HI122" s="180" t="n">
        <v>14.13537513062</v>
      </c>
      <c r="HJ122" s="180" t="n">
        <v>14.20511081864</v>
      </c>
      <c r="HK122" s="180" t="n">
        <v>14.27484650666</v>
      </c>
      <c r="HL122" s="180" t="n">
        <v>14.34458219468</v>
      </c>
      <c r="HM122" s="180" t="n">
        <v>14.4143178827</v>
      </c>
      <c r="HN122" s="180" t="n">
        <v>14.48405357072</v>
      </c>
      <c r="HO122" s="180" t="n">
        <v>14.55378925874</v>
      </c>
      <c r="HP122" s="180" t="n">
        <v>14.62352494676</v>
      </c>
      <c r="HQ122" s="180" t="n">
        <v>14.69326063478</v>
      </c>
      <c r="HR122" s="180" t="n">
        <v>14.7629963228</v>
      </c>
      <c r="HS122" s="180" t="n">
        <v>14.83273201082</v>
      </c>
      <c r="HT122" s="180" t="n">
        <v>14.90246769884</v>
      </c>
      <c r="HU122" s="180" t="n">
        <v>14.97220338686</v>
      </c>
      <c r="HV122" s="180" t="n">
        <v>15.04193907488</v>
      </c>
      <c r="HW122" s="180" t="n">
        <v>15.1116747629</v>
      </c>
      <c r="HX122" s="180" t="n">
        <v>15.18141045092</v>
      </c>
      <c r="HY122" s="180" t="n">
        <v>15.25114613894</v>
      </c>
      <c r="HZ122" s="180" t="n">
        <v>15.32088182696</v>
      </c>
      <c r="IA122" s="180" t="n">
        <v>15.39061751498</v>
      </c>
      <c r="IB122" s="180" t="n">
        <v>15.460353203</v>
      </c>
      <c r="IC122" s="180" t="n">
        <v>15.53008889102</v>
      </c>
      <c r="ID122" s="180" t="n">
        <v>15.59982457904</v>
      </c>
      <c r="IE122" s="180" t="n">
        <v>15.66956026706</v>
      </c>
      <c r="IF122" s="180" t="n">
        <v>15.73929595508</v>
      </c>
      <c r="IG122" s="180" t="n">
        <v>15.8090316431</v>
      </c>
      <c r="IH122" s="180" t="n">
        <v>15.87876733112</v>
      </c>
      <c r="II122" s="180" t="n">
        <v>15.94850301914</v>
      </c>
      <c r="IJ122" s="180" t="n">
        <v>16.01823870716</v>
      </c>
      <c r="IK122" s="180" t="n">
        <v>16.08797439518</v>
      </c>
      <c r="IL122" s="180" t="n">
        <v>16.1577100832</v>
      </c>
      <c r="IM122" s="180" t="n">
        <v>16.22744577122</v>
      </c>
      <c r="IN122" s="180" t="n">
        <v>16.29718145924</v>
      </c>
      <c r="IO122" s="180" t="n">
        <v>16.36691714726</v>
      </c>
      <c r="IP122" s="180" t="n">
        <v>16.43665283528</v>
      </c>
      <c r="IQ122" s="180" t="n">
        <v>16.5063885233</v>
      </c>
      <c r="IR122" s="180" t="n">
        <v>16.57612421132</v>
      </c>
      <c r="IS122" s="180" t="n">
        <v>16.64585989934</v>
      </c>
      <c r="IT122" s="180" t="n">
        <v>16.71559558736</v>
      </c>
      <c r="IU122" s="180" t="n">
        <v>16.78533127538</v>
      </c>
      <c r="IV122" s="180" t="n">
        <v>16.8550669634</v>
      </c>
    </row>
    <row r="123" customFormat="false" ht="12.75" hidden="false" customHeight="false" outlineLevel="0" collapsed="false">
      <c r="A123" s="189" t="n">
        <v>40422</v>
      </c>
      <c r="B123" s="185" t="n">
        <v>-2.021005929375</v>
      </c>
      <c r="C123" s="185" t="n">
        <v>-1.9907047400625</v>
      </c>
      <c r="D123" s="185" t="n">
        <v>-1.96040355075</v>
      </c>
      <c r="E123" s="185" t="n">
        <v>-1.9301023614375</v>
      </c>
      <c r="F123" s="185" t="n">
        <v>-1.899801172125</v>
      </c>
      <c r="G123" s="185" t="n">
        <v>-1.8694999828125</v>
      </c>
      <c r="H123" s="185" t="n">
        <v>-1.8391987935</v>
      </c>
      <c r="I123" s="185" t="n">
        <v>-1.8088976041875</v>
      </c>
      <c r="J123" s="185" t="n">
        <v>-1.778596414875</v>
      </c>
      <c r="K123" s="185" t="n">
        <v>-1.7482952255625</v>
      </c>
      <c r="L123" s="185" t="n">
        <v>-1.71799403625</v>
      </c>
      <c r="M123" s="185" t="n">
        <v>-1.6876928469375</v>
      </c>
      <c r="N123" s="185" t="n">
        <v>-1.657391657625</v>
      </c>
      <c r="O123" s="185" t="n">
        <v>-1.6270904683125</v>
      </c>
      <c r="P123" s="185" t="n">
        <v>-1.596789279</v>
      </c>
      <c r="Q123" s="185" t="n">
        <v>-1.5664880896875</v>
      </c>
      <c r="R123" s="185" t="n">
        <v>-1.536186900375</v>
      </c>
      <c r="S123" s="185" t="n">
        <v>-1.5058857110625</v>
      </c>
      <c r="T123" s="185" t="n">
        <v>-1.47558452175</v>
      </c>
      <c r="U123" s="185" t="n">
        <v>-1.4452833324375</v>
      </c>
      <c r="V123" s="186" t="n">
        <v>-1.414982143125</v>
      </c>
      <c r="W123" s="185" t="n">
        <v>-1.3846809538125</v>
      </c>
      <c r="X123" s="186" t="n">
        <v>-1.3543797645</v>
      </c>
      <c r="Y123" s="185" t="n">
        <v>-1.3240785751875</v>
      </c>
      <c r="Z123" s="186" t="n">
        <v>-1.293777385875</v>
      </c>
      <c r="AA123" s="185" t="n">
        <v>-1.2634761965625</v>
      </c>
      <c r="AB123" s="187" t="n">
        <v>-1.23317500725</v>
      </c>
      <c r="AC123" s="185" t="n">
        <v>-1.2028738179375</v>
      </c>
      <c r="AD123" s="187" t="n">
        <v>-1.172572628625</v>
      </c>
      <c r="AE123" s="185" t="n">
        <v>-1.1422714393125</v>
      </c>
      <c r="AF123" s="185" t="n">
        <v>-1.11197025</v>
      </c>
      <c r="AG123" s="190" t="n">
        <v>-1.083235125</v>
      </c>
      <c r="AH123" s="190" t="n">
        <v>-1.0545</v>
      </c>
      <c r="AI123" s="190" t="n">
        <v>-1.02725</v>
      </c>
      <c r="AJ123" s="190" t="n">
        <v>-1</v>
      </c>
      <c r="AK123" s="190" t="n">
        <v>-0.8</v>
      </c>
      <c r="AL123" s="190" t="n">
        <v>-0.6</v>
      </c>
      <c r="AM123" s="190" t="n">
        <v>-0.4</v>
      </c>
      <c r="AN123" s="190" t="n">
        <v>-0.2</v>
      </c>
      <c r="AO123" s="190" t="n">
        <v>0</v>
      </c>
      <c r="AP123" s="190" t="n">
        <v>0.2</v>
      </c>
      <c r="AQ123" s="190" t="n">
        <v>0.4</v>
      </c>
      <c r="AR123" s="190" t="n">
        <v>0.6</v>
      </c>
      <c r="AS123" s="190" t="n">
        <v>0.8</v>
      </c>
      <c r="AT123" s="190" t="n">
        <v>1</v>
      </c>
      <c r="AU123" s="190" t="n">
        <v>1.2</v>
      </c>
      <c r="AV123" s="190" t="n">
        <v>1.4</v>
      </c>
      <c r="AW123" s="190" t="n">
        <v>1.58</v>
      </c>
      <c r="AX123" s="190" t="n">
        <v>1.76</v>
      </c>
      <c r="AY123" s="190" t="n">
        <v>1.922</v>
      </c>
      <c r="AZ123" s="190" t="n">
        <v>2.084</v>
      </c>
      <c r="BA123" s="190" t="n">
        <v>2.2298</v>
      </c>
      <c r="BB123" s="190" t="n">
        <v>2.3756</v>
      </c>
      <c r="BC123" s="190" t="n">
        <v>2.50682</v>
      </c>
      <c r="BD123" s="190" t="n">
        <v>2.63804</v>
      </c>
      <c r="BE123" s="190" t="n">
        <v>2.756138</v>
      </c>
      <c r="BF123" s="190" t="n">
        <v>2.874236</v>
      </c>
      <c r="BG123" s="190" t="n">
        <v>2.9805242</v>
      </c>
      <c r="BH123" s="190" t="n">
        <v>3.0868124</v>
      </c>
      <c r="BI123" s="190" t="n">
        <v>3.18247178</v>
      </c>
      <c r="BJ123" s="190" t="n">
        <v>3.27813116</v>
      </c>
      <c r="BK123" s="190" t="n">
        <v>3.364224602</v>
      </c>
      <c r="BL123" s="190" t="n">
        <v>3.450318044</v>
      </c>
      <c r="BM123" s="190" t="n">
        <v>3.5278021418</v>
      </c>
      <c r="BN123" s="190" t="n">
        <v>3.6052862396</v>
      </c>
      <c r="BO123" s="190" t="n">
        <v>3.67502192762</v>
      </c>
      <c r="BP123" s="190" t="n">
        <v>3.74475761564</v>
      </c>
      <c r="BQ123" s="190" t="n">
        <v>3.81449330366</v>
      </c>
      <c r="BR123" s="190" t="n">
        <v>3.88422899168</v>
      </c>
      <c r="BS123" s="190" t="n">
        <v>3.9539646797</v>
      </c>
      <c r="BT123" s="190" t="n">
        <v>4.02370036772</v>
      </c>
      <c r="BU123" s="190" t="n">
        <v>4.09343605574</v>
      </c>
      <c r="BV123" s="190" t="n">
        <v>4.16317174376</v>
      </c>
      <c r="BW123" s="190" t="n">
        <v>4.23290743178</v>
      </c>
      <c r="BX123" s="190" t="n">
        <v>4.3026431198</v>
      </c>
      <c r="BY123" s="190" t="n">
        <v>4.37237880782</v>
      </c>
      <c r="BZ123" s="190" t="n">
        <v>4.44211449584</v>
      </c>
      <c r="CA123" s="190" t="n">
        <v>4.51185018386</v>
      </c>
      <c r="CB123" s="190" t="n">
        <v>4.58158587188</v>
      </c>
      <c r="CC123" s="190" t="n">
        <v>4.6513215599</v>
      </c>
      <c r="CD123" s="190" t="n">
        <v>4.72105724792</v>
      </c>
      <c r="CE123" s="190" t="n">
        <v>4.79079293594</v>
      </c>
      <c r="CF123" s="190" t="n">
        <v>4.86052862396</v>
      </c>
      <c r="CG123" s="190" t="n">
        <v>4.93026431198</v>
      </c>
      <c r="CH123" s="190" t="n">
        <v>5</v>
      </c>
      <c r="CI123" s="190" t="n">
        <v>5.06973568801999</v>
      </c>
      <c r="CJ123" s="190" t="n">
        <v>5.13947137603999</v>
      </c>
      <c r="CK123" s="190" t="n">
        <v>5.20920706405999</v>
      </c>
      <c r="CL123" s="190" t="n">
        <v>5.27894275207999</v>
      </c>
      <c r="CM123" s="190" t="n">
        <v>5.34867844009999</v>
      </c>
      <c r="CN123" s="190" t="n">
        <v>5.41841412811999</v>
      </c>
      <c r="CO123" s="190" t="n">
        <v>5.48814981613999</v>
      </c>
      <c r="CP123" s="190" t="n">
        <v>5.55788550415999</v>
      </c>
      <c r="CQ123" s="190" t="n">
        <v>5.62762119217999</v>
      </c>
      <c r="CR123" s="190" t="n">
        <v>5.69735688019999</v>
      </c>
      <c r="CS123" s="190" t="n">
        <v>5.76709256821999</v>
      </c>
      <c r="CT123" s="190" t="n">
        <v>5.83682825623999</v>
      </c>
      <c r="CU123" s="190" t="n">
        <v>5.90656394425999</v>
      </c>
      <c r="CV123" s="190" t="n">
        <v>5.97629963227999</v>
      </c>
      <c r="CW123" s="190" t="n">
        <v>6.04603532029999</v>
      </c>
      <c r="CX123" s="190" t="n">
        <v>6.11577100831999</v>
      </c>
      <c r="CY123" s="190" t="n">
        <v>6.18550669633999</v>
      </c>
      <c r="CZ123" s="190" t="n">
        <v>6.25524238435999</v>
      </c>
      <c r="DA123" s="190" t="n">
        <v>6.32497807237999</v>
      </c>
      <c r="DB123" s="190" t="n">
        <v>6.39471376039999</v>
      </c>
      <c r="DC123" s="190" t="n">
        <v>6.46444944841999</v>
      </c>
      <c r="DD123" s="190" t="n">
        <v>6.53418513643999</v>
      </c>
      <c r="DE123" s="190" t="n">
        <v>6.60392082445999</v>
      </c>
      <c r="DF123" s="190" t="n">
        <v>6.67365651247999</v>
      </c>
      <c r="DG123" s="190" t="n">
        <v>6.74339220049999</v>
      </c>
      <c r="DH123" s="190" t="n">
        <v>6.81312788851999</v>
      </c>
      <c r="DI123" s="190" t="n">
        <v>6.88286357653999</v>
      </c>
      <c r="DJ123" s="190" t="n">
        <v>6.95259926455999</v>
      </c>
      <c r="DK123" s="190" t="n">
        <v>7.02233495257999</v>
      </c>
      <c r="DL123" s="190" t="n">
        <v>7.09207064059999</v>
      </c>
      <c r="DM123" s="190" t="n">
        <v>7.16180632861999</v>
      </c>
      <c r="DN123" s="190" t="n">
        <v>7.23154201663999</v>
      </c>
      <c r="DO123" s="190" t="n">
        <v>7.30127770465999</v>
      </c>
      <c r="DP123" s="190" t="n">
        <v>7.37101339267999</v>
      </c>
      <c r="DQ123" s="190" t="n">
        <v>7.44074908069999</v>
      </c>
      <c r="DR123" s="190" t="n">
        <v>7.51048476871999</v>
      </c>
      <c r="DS123" s="190" t="n">
        <v>7.58022045673999</v>
      </c>
      <c r="DT123" s="190" t="n">
        <v>7.64995614475999</v>
      </c>
      <c r="DU123" s="190" t="n">
        <v>7.71969183277999</v>
      </c>
      <c r="DV123" s="190" t="n">
        <v>7.78942752079998</v>
      </c>
      <c r="DW123" s="190" t="n">
        <v>7.85916320881998</v>
      </c>
      <c r="DX123" s="190" t="n">
        <v>7.92889889683998</v>
      </c>
      <c r="DY123" s="190" t="n">
        <v>7.99863458485998</v>
      </c>
      <c r="DZ123" s="190" t="n">
        <v>8.06837027287998</v>
      </c>
      <c r="EA123" s="190" t="n">
        <v>8.13810596089998</v>
      </c>
      <c r="EB123" s="190" t="n">
        <v>8.20784164891998</v>
      </c>
      <c r="EC123" s="190" t="n">
        <v>8.27757733693998</v>
      </c>
      <c r="ED123" s="190" t="n">
        <v>8.34731302495998</v>
      </c>
      <c r="EE123" s="190" t="n">
        <v>8.41704871297998</v>
      </c>
      <c r="EF123" s="190" t="n">
        <v>8.48678440099998</v>
      </c>
      <c r="EG123" s="190" t="n">
        <v>8.55652008901998</v>
      </c>
      <c r="EH123" s="190" t="n">
        <v>8.62625577703998</v>
      </c>
      <c r="EI123" s="190" t="n">
        <v>8.69599146505998</v>
      </c>
      <c r="EJ123" s="190" t="n">
        <v>8.76572715307998</v>
      </c>
      <c r="EK123" s="190" t="n">
        <v>8.83546284109998</v>
      </c>
      <c r="EL123" s="180" t="n">
        <v>8.90519852911998</v>
      </c>
      <c r="EM123" s="180" t="n">
        <v>8.97493421713998</v>
      </c>
      <c r="EN123" s="180" t="n">
        <v>9.04466990515998</v>
      </c>
      <c r="EO123" s="180" t="n">
        <v>9.11440559317998</v>
      </c>
      <c r="EP123" s="180" t="n">
        <v>9.18414128119998</v>
      </c>
      <c r="EQ123" s="180" t="n">
        <v>9.25387696921998</v>
      </c>
      <c r="ER123" s="180" t="n">
        <v>9.32361265723998</v>
      </c>
      <c r="ES123" s="180" t="n">
        <v>9.39334834525998</v>
      </c>
      <c r="ET123" s="180" t="n">
        <v>9.46308403327998</v>
      </c>
      <c r="EU123" s="180" t="n">
        <v>9.53281972129998</v>
      </c>
      <c r="EV123" s="180" t="n">
        <v>9.60255540931998</v>
      </c>
      <c r="EW123" s="180" t="n">
        <v>9.67229109733998</v>
      </c>
      <c r="EX123" s="180" t="n">
        <v>9.74202678535998</v>
      </c>
      <c r="EY123" s="180" t="n">
        <v>9.81176247337998</v>
      </c>
      <c r="EZ123" s="180" t="n">
        <v>9.88149816139998</v>
      </c>
      <c r="FA123" s="180" t="n">
        <v>9.95123384941998</v>
      </c>
      <c r="FB123" s="180" t="n">
        <v>10.02096953744</v>
      </c>
      <c r="FC123" s="180" t="n">
        <v>10.09070522546</v>
      </c>
      <c r="FD123" s="180" t="n">
        <v>10.16044091348</v>
      </c>
      <c r="FE123" s="180" t="n">
        <v>10.2301766015</v>
      </c>
      <c r="FF123" s="180" t="n">
        <v>10.29991228952</v>
      </c>
      <c r="FG123" s="180" t="n">
        <v>10.36964797754</v>
      </c>
      <c r="FH123" s="180" t="n">
        <v>10.43938366556</v>
      </c>
      <c r="FI123" s="180" t="n">
        <v>10.50911935358</v>
      </c>
      <c r="FJ123" s="180" t="n">
        <v>10.5788550416</v>
      </c>
      <c r="FK123" s="180" t="n">
        <v>10.64859072962</v>
      </c>
      <c r="FL123" s="180" t="n">
        <v>10.71832641764</v>
      </c>
      <c r="FM123" s="180" t="n">
        <v>10.78806210566</v>
      </c>
      <c r="FN123" s="180" t="n">
        <v>10.85779779368</v>
      </c>
      <c r="FO123" s="180" t="n">
        <v>10.9275334817</v>
      </c>
      <c r="FP123" s="180" t="n">
        <v>10.99726916972</v>
      </c>
      <c r="FQ123" s="180" t="n">
        <v>11.06700485774</v>
      </c>
      <c r="FR123" s="180" t="n">
        <v>11.13674054576</v>
      </c>
      <c r="FS123" s="180" t="n">
        <v>11.20647623378</v>
      </c>
      <c r="FT123" s="180" t="n">
        <v>11.2762119218</v>
      </c>
      <c r="FU123" s="180" t="n">
        <v>11.34594760982</v>
      </c>
      <c r="FV123" s="180" t="n">
        <v>11.41568329784</v>
      </c>
      <c r="FW123" s="180" t="n">
        <v>11.48541898586</v>
      </c>
      <c r="FX123" s="180" t="n">
        <v>11.55515467388</v>
      </c>
      <c r="FY123" s="180" t="n">
        <v>11.6248903619</v>
      </c>
      <c r="FZ123" s="180" t="n">
        <v>11.69462604992</v>
      </c>
      <c r="GA123" s="180" t="n">
        <v>11.76436173794</v>
      </c>
      <c r="GB123" s="180" t="n">
        <v>11.83409742596</v>
      </c>
      <c r="GC123" s="180" t="n">
        <v>11.90383311398</v>
      </c>
      <c r="GD123" s="180" t="n">
        <v>11.973568802</v>
      </c>
      <c r="GE123" s="180" t="n">
        <v>12.04330449002</v>
      </c>
      <c r="GF123" s="180" t="n">
        <v>12.11304017804</v>
      </c>
      <c r="GG123" s="180" t="n">
        <v>12.18277586606</v>
      </c>
      <c r="GH123" s="180" t="n">
        <v>12.25251155408</v>
      </c>
      <c r="GI123" s="180" t="n">
        <v>12.3222472421</v>
      </c>
      <c r="GJ123" s="180" t="n">
        <v>12.39198293012</v>
      </c>
      <c r="GK123" s="180" t="n">
        <v>12.46171861814</v>
      </c>
      <c r="GL123" s="180" t="n">
        <v>12.53145430616</v>
      </c>
      <c r="GM123" s="180" t="n">
        <v>12.60118999418</v>
      </c>
      <c r="GN123" s="180" t="n">
        <v>12.6709256822</v>
      </c>
      <c r="GO123" s="180" t="n">
        <v>12.74066137022</v>
      </c>
      <c r="GP123" s="180" t="n">
        <v>12.81039705824</v>
      </c>
      <c r="GQ123" s="180" t="n">
        <v>12.88013274626</v>
      </c>
      <c r="GR123" s="180" t="n">
        <v>12.94986843428</v>
      </c>
      <c r="GS123" s="180" t="n">
        <v>13.0196041223</v>
      </c>
      <c r="GT123" s="180" t="n">
        <v>13.08933981032</v>
      </c>
      <c r="GU123" s="180" t="n">
        <v>13.15907549834</v>
      </c>
      <c r="GV123" s="180" t="n">
        <v>13.22881118636</v>
      </c>
      <c r="GW123" s="180" t="n">
        <v>13.29854687438</v>
      </c>
      <c r="GX123" s="180" t="n">
        <v>13.3682825624</v>
      </c>
      <c r="GY123" s="180" t="n">
        <v>13.43801825042</v>
      </c>
      <c r="GZ123" s="180" t="n">
        <v>13.50775393844</v>
      </c>
      <c r="HA123" s="180" t="n">
        <v>13.57748962646</v>
      </c>
      <c r="HB123" s="180" t="n">
        <v>13.64722531448</v>
      </c>
      <c r="HC123" s="180" t="n">
        <v>13.7169610025</v>
      </c>
      <c r="HD123" s="180" t="n">
        <v>13.78669669052</v>
      </c>
      <c r="HE123" s="180" t="n">
        <v>13.85643237854</v>
      </c>
      <c r="HF123" s="180" t="n">
        <v>13.92616806656</v>
      </c>
      <c r="HG123" s="180" t="n">
        <v>13.99590375458</v>
      </c>
      <c r="HH123" s="180" t="n">
        <v>14.0656394426</v>
      </c>
      <c r="HI123" s="180" t="n">
        <v>14.13537513062</v>
      </c>
      <c r="HJ123" s="180" t="n">
        <v>14.20511081864</v>
      </c>
      <c r="HK123" s="180" t="n">
        <v>14.27484650666</v>
      </c>
      <c r="HL123" s="180" t="n">
        <v>14.34458219468</v>
      </c>
      <c r="HM123" s="180" t="n">
        <v>14.4143178827</v>
      </c>
      <c r="HN123" s="180" t="n">
        <v>14.48405357072</v>
      </c>
      <c r="HO123" s="180" t="n">
        <v>14.55378925874</v>
      </c>
      <c r="HP123" s="180" t="n">
        <v>14.62352494676</v>
      </c>
      <c r="HQ123" s="180" t="n">
        <v>14.69326063478</v>
      </c>
      <c r="HR123" s="180" t="n">
        <v>14.7629963228</v>
      </c>
      <c r="HS123" s="180" t="n">
        <v>14.83273201082</v>
      </c>
      <c r="HT123" s="180" t="n">
        <v>14.90246769884</v>
      </c>
      <c r="HU123" s="180" t="n">
        <v>14.97220338686</v>
      </c>
      <c r="HV123" s="180" t="n">
        <v>15.04193907488</v>
      </c>
      <c r="HW123" s="180" t="n">
        <v>15.1116747629</v>
      </c>
      <c r="HX123" s="180" t="n">
        <v>15.18141045092</v>
      </c>
      <c r="HY123" s="180" t="n">
        <v>15.25114613894</v>
      </c>
      <c r="HZ123" s="180" t="n">
        <v>15.32088182696</v>
      </c>
      <c r="IA123" s="180" t="n">
        <v>15.39061751498</v>
      </c>
      <c r="IB123" s="180" t="n">
        <v>15.460353203</v>
      </c>
      <c r="IC123" s="180" t="n">
        <v>15.53008889102</v>
      </c>
      <c r="ID123" s="180" t="n">
        <v>15.59982457904</v>
      </c>
      <c r="IE123" s="180" t="n">
        <v>15.66956026706</v>
      </c>
      <c r="IF123" s="180" t="n">
        <v>15.73929595508</v>
      </c>
      <c r="IG123" s="180" t="n">
        <v>15.8090316431</v>
      </c>
      <c r="IH123" s="180" t="n">
        <v>15.87876733112</v>
      </c>
      <c r="II123" s="180" t="n">
        <v>15.94850301914</v>
      </c>
      <c r="IJ123" s="180" t="n">
        <v>16.01823870716</v>
      </c>
      <c r="IK123" s="180" t="n">
        <v>16.08797439518</v>
      </c>
      <c r="IL123" s="180" t="n">
        <v>16.1577100832</v>
      </c>
      <c r="IM123" s="180" t="n">
        <v>16.22744577122</v>
      </c>
      <c r="IN123" s="180" t="n">
        <v>16.29718145924</v>
      </c>
      <c r="IO123" s="180" t="n">
        <v>16.36691714726</v>
      </c>
      <c r="IP123" s="180" t="n">
        <v>16.43665283528</v>
      </c>
      <c r="IQ123" s="180" t="n">
        <v>16.5063885233</v>
      </c>
      <c r="IR123" s="180" t="n">
        <v>16.57612421132</v>
      </c>
      <c r="IS123" s="180" t="n">
        <v>16.64585989934</v>
      </c>
      <c r="IT123" s="180" t="n">
        <v>16.71559558736</v>
      </c>
      <c r="IU123" s="180" t="n">
        <v>16.78533127538</v>
      </c>
      <c r="IV123" s="180" t="n">
        <v>16.8550669634</v>
      </c>
    </row>
    <row r="124" customFormat="false" ht="12.75" hidden="false" customHeight="false" outlineLevel="0" collapsed="false">
      <c r="A124" s="189" t="n">
        <v>40452</v>
      </c>
      <c r="B124" s="185" t="n">
        <v>-2.021005929375</v>
      </c>
      <c r="C124" s="185" t="n">
        <v>-1.9907047400625</v>
      </c>
      <c r="D124" s="185" t="n">
        <v>-1.96040355075</v>
      </c>
      <c r="E124" s="185" t="n">
        <v>-1.9301023614375</v>
      </c>
      <c r="F124" s="185" t="n">
        <v>-1.899801172125</v>
      </c>
      <c r="G124" s="185" t="n">
        <v>-1.8694999828125</v>
      </c>
      <c r="H124" s="185" t="n">
        <v>-1.8391987935</v>
      </c>
      <c r="I124" s="185" t="n">
        <v>-1.8088976041875</v>
      </c>
      <c r="J124" s="185" t="n">
        <v>-1.778596414875</v>
      </c>
      <c r="K124" s="185" t="n">
        <v>-1.7482952255625</v>
      </c>
      <c r="L124" s="185" t="n">
        <v>-1.71799403625</v>
      </c>
      <c r="M124" s="185" t="n">
        <v>-1.6876928469375</v>
      </c>
      <c r="N124" s="185" t="n">
        <v>-1.657391657625</v>
      </c>
      <c r="O124" s="185" t="n">
        <v>-1.6270904683125</v>
      </c>
      <c r="P124" s="185" t="n">
        <v>-1.596789279</v>
      </c>
      <c r="Q124" s="185" t="n">
        <v>-1.5664880896875</v>
      </c>
      <c r="R124" s="185" t="n">
        <v>-1.536186900375</v>
      </c>
      <c r="S124" s="185" t="n">
        <v>-1.5058857110625</v>
      </c>
      <c r="T124" s="185" t="n">
        <v>-1.47558452175</v>
      </c>
      <c r="U124" s="185" t="n">
        <v>-1.4452833324375</v>
      </c>
      <c r="V124" s="186" t="n">
        <v>-1.414982143125</v>
      </c>
      <c r="W124" s="185" t="n">
        <v>-1.3846809538125</v>
      </c>
      <c r="X124" s="186" t="n">
        <v>-1.3543797645</v>
      </c>
      <c r="Y124" s="185" t="n">
        <v>-1.3240785751875</v>
      </c>
      <c r="Z124" s="186" t="n">
        <v>-1.293777385875</v>
      </c>
      <c r="AA124" s="185" t="n">
        <v>-1.2634761965625</v>
      </c>
      <c r="AB124" s="187" t="n">
        <v>-1.23317500725</v>
      </c>
      <c r="AC124" s="185" t="n">
        <v>-1.2028738179375</v>
      </c>
      <c r="AD124" s="187" t="n">
        <v>-1.172572628625</v>
      </c>
      <c r="AE124" s="185" t="n">
        <v>-1.1422714393125</v>
      </c>
      <c r="AF124" s="185" t="n">
        <v>-1.11197025</v>
      </c>
      <c r="AG124" s="190" t="n">
        <v>-1.083235125</v>
      </c>
      <c r="AH124" s="190" t="n">
        <v>-1.0545</v>
      </c>
      <c r="AI124" s="190" t="n">
        <v>-1.02725</v>
      </c>
      <c r="AJ124" s="190" t="n">
        <v>-1</v>
      </c>
      <c r="AK124" s="190" t="n">
        <v>-0.8</v>
      </c>
      <c r="AL124" s="190" t="n">
        <v>-0.6</v>
      </c>
      <c r="AM124" s="190" t="n">
        <v>-0.4</v>
      </c>
      <c r="AN124" s="190" t="n">
        <v>-0.2</v>
      </c>
      <c r="AO124" s="190" t="n">
        <v>0</v>
      </c>
      <c r="AP124" s="190" t="n">
        <v>0.2</v>
      </c>
      <c r="AQ124" s="190" t="n">
        <v>0.4</v>
      </c>
      <c r="AR124" s="190" t="n">
        <v>0.6</v>
      </c>
      <c r="AS124" s="190" t="n">
        <v>0.8</v>
      </c>
      <c r="AT124" s="190" t="n">
        <v>1</v>
      </c>
      <c r="AU124" s="190" t="n">
        <v>1.2</v>
      </c>
      <c r="AV124" s="190" t="n">
        <v>1.4</v>
      </c>
      <c r="AW124" s="190" t="n">
        <v>1.58</v>
      </c>
      <c r="AX124" s="190" t="n">
        <v>1.76</v>
      </c>
      <c r="AY124" s="190" t="n">
        <v>1.922</v>
      </c>
      <c r="AZ124" s="190" t="n">
        <v>2.084</v>
      </c>
      <c r="BA124" s="190" t="n">
        <v>2.2298</v>
      </c>
      <c r="BB124" s="190" t="n">
        <v>2.3756</v>
      </c>
      <c r="BC124" s="190" t="n">
        <v>2.50682</v>
      </c>
      <c r="BD124" s="190" t="n">
        <v>2.63804</v>
      </c>
      <c r="BE124" s="190" t="n">
        <v>2.756138</v>
      </c>
      <c r="BF124" s="190" t="n">
        <v>2.874236</v>
      </c>
      <c r="BG124" s="190" t="n">
        <v>2.9805242</v>
      </c>
      <c r="BH124" s="190" t="n">
        <v>3.0868124</v>
      </c>
      <c r="BI124" s="190" t="n">
        <v>3.18247178</v>
      </c>
      <c r="BJ124" s="190" t="n">
        <v>3.27813116</v>
      </c>
      <c r="BK124" s="190" t="n">
        <v>3.364224602</v>
      </c>
      <c r="BL124" s="190" t="n">
        <v>3.450318044</v>
      </c>
      <c r="BM124" s="190" t="n">
        <v>3.5278021418</v>
      </c>
      <c r="BN124" s="190" t="n">
        <v>3.6052862396</v>
      </c>
      <c r="BO124" s="190" t="n">
        <v>3.67502192762</v>
      </c>
      <c r="BP124" s="190" t="n">
        <v>3.74475761564</v>
      </c>
      <c r="BQ124" s="190" t="n">
        <v>3.81449330366</v>
      </c>
      <c r="BR124" s="190" t="n">
        <v>3.88422899168</v>
      </c>
      <c r="BS124" s="190" t="n">
        <v>3.9539646797</v>
      </c>
      <c r="BT124" s="190" t="n">
        <v>4.02370036772</v>
      </c>
      <c r="BU124" s="190" t="n">
        <v>4.09343605574</v>
      </c>
      <c r="BV124" s="190" t="n">
        <v>4.16317174376</v>
      </c>
      <c r="BW124" s="190" t="n">
        <v>4.23290743178</v>
      </c>
      <c r="BX124" s="190" t="n">
        <v>4.3026431198</v>
      </c>
      <c r="BY124" s="190" t="n">
        <v>4.37237880782</v>
      </c>
      <c r="BZ124" s="190" t="n">
        <v>4.44211449584</v>
      </c>
      <c r="CA124" s="190" t="n">
        <v>4.51185018386</v>
      </c>
      <c r="CB124" s="190" t="n">
        <v>4.58158587188</v>
      </c>
      <c r="CC124" s="190" t="n">
        <v>4.6513215599</v>
      </c>
      <c r="CD124" s="190" t="n">
        <v>4.72105724792</v>
      </c>
      <c r="CE124" s="190" t="n">
        <v>4.79079293594</v>
      </c>
      <c r="CF124" s="190" t="n">
        <v>4.86052862396</v>
      </c>
      <c r="CG124" s="190" t="n">
        <v>4.93026431198</v>
      </c>
      <c r="CH124" s="190" t="n">
        <v>5</v>
      </c>
      <c r="CI124" s="190" t="n">
        <v>5.06973568801999</v>
      </c>
      <c r="CJ124" s="190" t="n">
        <v>5.13947137603999</v>
      </c>
      <c r="CK124" s="190" t="n">
        <v>5.20920706405999</v>
      </c>
      <c r="CL124" s="190" t="n">
        <v>5.27894275207999</v>
      </c>
      <c r="CM124" s="190" t="n">
        <v>5.34867844009999</v>
      </c>
      <c r="CN124" s="190" t="n">
        <v>5.41841412811999</v>
      </c>
      <c r="CO124" s="190" t="n">
        <v>5.48814981613999</v>
      </c>
      <c r="CP124" s="190" t="n">
        <v>5.55788550415999</v>
      </c>
      <c r="CQ124" s="190" t="n">
        <v>5.62762119217999</v>
      </c>
      <c r="CR124" s="190" t="n">
        <v>5.69735688019999</v>
      </c>
      <c r="CS124" s="190" t="n">
        <v>5.76709256821999</v>
      </c>
      <c r="CT124" s="190" t="n">
        <v>5.83682825623999</v>
      </c>
      <c r="CU124" s="190" t="n">
        <v>5.90656394425999</v>
      </c>
      <c r="CV124" s="190" t="n">
        <v>5.97629963227999</v>
      </c>
      <c r="CW124" s="190" t="n">
        <v>6.04603532029999</v>
      </c>
      <c r="CX124" s="190" t="n">
        <v>6.11577100831999</v>
      </c>
      <c r="CY124" s="190" t="n">
        <v>6.18550669633999</v>
      </c>
      <c r="CZ124" s="190" t="n">
        <v>6.25524238435999</v>
      </c>
      <c r="DA124" s="190" t="n">
        <v>6.32497807237999</v>
      </c>
      <c r="DB124" s="190" t="n">
        <v>6.39471376039999</v>
      </c>
      <c r="DC124" s="190" t="n">
        <v>6.46444944841999</v>
      </c>
      <c r="DD124" s="190" t="n">
        <v>6.53418513643999</v>
      </c>
      <c r="DE124" s="190" t="n">
        <v>6.60392082445999</v>
      </c>
      <c r="DF124" s="190" t="n">
        <v>6.67365651247999</v>
      </c>
      <c r="DG124" s="190" t="n">
        <v>6.74339220049999</v>
      </c>
      <c r="DH124" s="190" t="n">
        <v>6.81312788851999</v>
      </c>
      <c r="DI124" s="190" t="n">
        <v>6.88286357653999</v>
      </c>
      <c r="DJ124" s="190" t="n">
        <v>6.95259926455999</v>
      </c>
      <c r="DK124" s="190" t="n">
        <v>7.02233495257999</v>
      </c>
      <c r="DL124" s="190" t="n">
        <v>7.09207064059999</v>
      </c>
      <c r="DM124" s="190" t="n">
        <v>7.16180632861999</v>
      </c>
      <c r="DN124" s="190" t="n">
        <v>7.23154201663999</v>
      </c>
      <c r="DO124" s="190" t="n">
        <v>7.30127770465999</v>
      </c>
      <c r="DP124" s="190" t="n">
        <v>7.37101339267999</v>
      </c>
      <c r="DQ124" s="190" t="n">
        <v>7.44074908069999</v>
      </c>
      <c r="DR124" s="190" t="n">
        <v>7.51048476871999</v>
      </c>
      <c r="DS124" s="190" t="n">
        <v>7.58022045673999</v>
      </c>
      <c r="DT124" s="190" t="n">
        <v>7.64995614475999</v>
      </c>
      <c r="DU124" s="190" t="n">
        <v>7.71969183277999</v>
      </c>
      <c r="DV124" s="190" t="n">
        <v>7.78942752079998</v>
      </c>
      <c r="DW124" s="190" t="n">
        <v>7.85916320881998</v>
      </c>
      <c r="DX124" s="190" t="n">
        <v>7.92889889683998</v>
      </c>
      <c r="DY124" s="190" t="n">
        <v>7.99863458485998</v>
      </c>
      <c r="DZ124" s="190" t="n">
        <v>8.06837027287998</v>
      </c>
      <c r="EA124" s="190" t="n">
        <v>8.13810596089998</v>
      </c>
      <c r="EB124" s="190" t="n">
        <v>8.20784164891998</v>
      </c>
      <c r="EC124" s="190" t="n">
        <v>8.27757733693998</v>
      </c>
      <c r="ED124" s="190" t="n">
        <v>8.34731302495998</v>
      </c>
      <c r="EE124" s="190" t="n">
        <v>8.41704871297998</v>
      </c>
      <c r="EF124" s="190" t="n">
        <v>8.48678440099998</v>
      </c>
      <c r="EG124" s="190" t="n">
        <v>8.55652008901998</v>
      </c>
      <c r="EH124" s="190" t="n">
        <v>8.62625577703998</v>
      </c>
      <c r="EI124" s="190" t="n">
        <v>8.69599146505998</v>
      </c>
      <c r="EJ124" s="190" t="n">
        <v>8.76572715307998</v>
      </c>
      <c r="EK124" s="190" t="n">
        <v>8.83546284109998</v>
      </c>
      <c r="EL124" s="180" t="n">
        <v>8.90519852911998</v>
      </c>
      <c r="EM124" s="180" t="n">
        <v>8.97493421713998</v>
      </c>
      <c r="EN124" s="180" t="n">
        <v>9.04466990515998</v>
      </c>
      <c r="EO124" s="180" t="n">
        <v>9.11440559317998</v>
      </c>
      <c r="EP124" s="180" t="n">
        <v>9.18414128119998</v>
      </c>
      <c r="EQ124" s="180" t="n">
        <v>9.25387696921998</v>
      </c>
      <c r="ER124" s="180" t="n">
        <v>9.32361265723998</v>
      </c>
      <c r="ES124" s="180" t="n">
        <v>9.39334834525998</v>
      </c>
      <c r="ET124" s="180" t="n">
        <v>9.46308403327998</v>
      </c>
      <c r="EU124" s="180" t="n">
        <v>9.53281972129998</v>
      </c>
      <c r="EV124" s="180" t="n">
        <v>9.60255540931998</v>
      </c>
      <c r="EW124" s="180" t="n">
        <v>9.67229109733998</v>
      </c>
      <c r="EX124" s="180" t="n">
        <v>9.74202678535998</v>
      </c>
      <c r="EY124" s="180" t="n">
        <v>9.81176247337998</v>
      </c>
      <c r="EZ124" s="180" t="n">
        <v>9.88149816139998</v>
      </c>
      <c r="FA124" s="180" t="n">
        <v>9.95123384941998</v>
      </c>
      <c r="FB124" s="180" t="n">
        <v>10.02096953744</v>
      </c>
      <c r="FC124" s="180" t="n">
        <v>10.09070522546</v>
      </c>
      <c r="FD124" s="180" t="n">
        <v>10.16044091348</v>
      </c>
      <c r="FE124" s="180" t="n">
        <v>10.2301766015</v>
      </c>
      <c r="FF124" s="180" t="n">
        <v>10.29991228952</v>
      </c>
      <c r="FG124" s="180" t="n">
        <v>10.36964797754</v>
      </c>
      <c r="FH124" s="180" t="n">
        <v>10.43938366556</v>
      </c>
      <c r="FI124" s="180" t="n">
        <v>10.50911935358</v>
      </c>
      <c r="FJ124" s="180" t="n">
        <v>10.5788550416</v>
      </c>
      <c r="FK124" s="180" t="n">
        <v>10.64859072962</v>
      </c>
      <c r="FL124" s="180" t="n">
        <v>10.71832641764</v>
      </c>
      <c r="FM124" s="180" t="n">
        <v>10.78806210566</v>
      </c>
      <c r="FN124" s="180" t="n">
        <v>10.85779779368</v>
      </c>
      <c r="FO124" s="180" t="n">
        <v>10.9275334817</v>
      </c>
      <c r="FP124" s="180" t="n">
        <v>10.99726916972</v>
      </c>
      <c r="FQ124" s="180" t="n">
        <v>11.06700485774</v>
      </c>
      <c r="FR124" s="180" t="n">
        <v>11.13674054576</v>
      </c>
      <c r="FS124" s="180" t="n">
        <v>11.20647623378</v>
      </c>
      <c r="FT124" s="180" t="n">
        <v>11.2762119218</v>
      </c>
      <c r="FU124" s="180" t="n">
        <v>11.34594760982</v>
      </c>
      <c r="FV124" s="180" t="n">
        <v>11.41568329784</v>
      </c>
      <c r="FW124" s="180" t="n">
        <v>11.48541898586</v>
      </c>
      <c r="FX124" s="180" t="n">
        <v>11.55515467388</v>
      </c>
      <c r="FY124" s="180" t="n">
        <v>11.6248903619</v>
      </c>
      <c r="FZ124" s="180" t="n">
        <v>11.69462604992</v>
      </c>
      <c r="GA124" s="180" t="n">
        <v>11.76436173794</v>
      </c>
      <c r="GB124" s="180" t="n">
        <v>11.83409742596</v>
      </c>
      <c r="GC124" s="180" t="n">
        <v>11.90383311398</v>
      </c>
      <c r="GD124" s="180" t="n">
        <v>11.973568802</v>
      </c>
      <c r="GE124" s="180" t="n">
        <v>12.04330449002</v>
      </c>
      <c r="GF124" s="180" t="n">
        <v>12.11304017804</v>
      </c>
      <c r="GG124" s="180" t="n">
        <v>12.18277586606</v>
      </c>
      <c r="GH124" s="180" t="n">
        <v>12.25251155408</v>
      </c>
      <c r="GI124" s="180" t="n">
        <v>12.3222472421</v>
      </c>
      <c r="GJ124" s="180" t="n">
        <v>12.39198293012</v>
      </c>
      <c r="GK124" s="180" t="n">
        <v>12.46171861814</v>
      </c>
      <c r="GL124" s="180" t="n">
        <v>12.53145430616</v>
      </c>
      <c r="GM124" s="180" t="n">
        <v>12.60118999418</v>
      </c>
      <c r="GN124" s="180" t="n">
        <v>12.6709256822</v>
      </c>
      <c r="GO124" s="180" t="n">
        <v>12.74066137022</v>
      </c>
      <c r="GP124" s="180" t="n">
        <v>12.81039705824</v>
      </c>
      <c r="GQ124" s="180" t="n">
        <v>12.88013274626</v>
      </c>
      <c r="GR124" s="180" t="n">
        <v>12.94986843428</v>
      </c>
      <c r="GS124" s="180" t="n">
        <v>13.0196041223</v>
      </c>
      <c r="GT124" s="180" t="n">
        <v>13.08933981032</v>
      </c>
      <c r="GU124" s="180" t="n">
        <v>13.15907549834</v>
      </c>
      <c r="GV124" s="180" t="n">
        <v>13.22881118636</v>
      </c>
      <c r="GW124" s="180" t="n">
        <v>13.29854687438</v>
      </c>
      <c r="GX124" s="180" t="n">
        <v>13.3682825624</v>
      </c>
      <c r="GY124" s="180" t="n">
        <v>13.43801825042</v>
      </c>
      <c r="GZ124" s="180" t="n">
        <v>13.50775393844</v>
      </c>
      <c r="HA124" s="180" t="n">
        <v>13.57748962646</v>
      </c>
      <c r="HB124" s="180" t="n">
        <v>13.64722531448</v>
      </c>
      <c r="HC124" s="180" t="n">
        <v>13.7169610025</v>
      </c>
      <c r="HD124" s="180" t="n">
        <v>13.78669669052</v>
      </c>
      <c r="HE124" s="180" t="n">
        <v>13.85643237854</v>
      </c>
      <c r="HF124" s="180" t="n">
        <v>13.92616806656</v>
      </c>
      <c r="HG124" s="180" t="n">
        <v>13.99590375458</v>
      </c>
      <c r="HH124" s="180" t="n">
        <v>14.0656394426</v>
      </c>
      <c r="HI124" s="180" t="n">
        <v>14.13537513062</v>
      </c>
      <c r="HJ124" s="180" t="n">
        <v>14.20511081864</v>
      </c>
      <c r="HK124" s="180" t="n">
        <v>14.27484650666</v>
      </c>
      <c r="HL124" s="180" t="n">
        <v>14.34458219468</v>
      </c>
      <c r="HM124" s="180" t="n">
        <v>14.4143178827</v>
      </c>
      <c r="HN124" s="180" t="n">
        <v>14.48405357072</v>
      </c>
      <c r="HO124" s="180" t="n">
        <v>14.55378925874</v>
      </c>
      <c r="HP124" s="180" t="n">
        <v>14.62352494676</v>
      </c>
      <c r="HQ124" s="180" t="n">
        <v>14.69326063478</v>
      </c>
      <c r="HR124" s="180" t="n">
        <v>14.7629963228</v>
      </c>
      <c r="HS124" s="180" t="n">
        <v>14.83273201082</v>
      </c>
      <c r="HT124" s="180" t="n">
        <v>14.90246769884</v>
      </c>
      <c r="HU124" s="180" t="n">
        <v>14.97220338686</v>
      </c>
      <c r="HV124" s="180" t="n">
        <v>15.04193907488</v>
      </c>
      <c r="HW124" s="180" t="n">
        <v>15.1116747629</v>
      </c>
      <c r="HX124" s="180" t="n">
        <v>15.18141045092</v>
      </c>
      <c r="HY124" s="180" t="n">
        <v>15.25114613894</v>
      </c>
      <c r="HZ124" s="180" t="n">
        <v>15.32088182696</v>
      </c>
      <c r="IA124" s="180" t="n">
        <v>15.39061751498</v>
      </c>
      <c r="IB124" s="180" t="n">
        <v>15.460353203</v>
      </c>
      <c r="IC124" s="180" t="n">
        <v>15.53008889102</v>
      </c>
      <c r="ID124" s="180" t="n">
        <v>15.59982457904</v>
      </c>
      <c r="IE124" s="180" t="n">
        <v>15.66956026706</v>
      </c>
      <c r="IF124" s="180" t="n">
        <v>15.73929595508</v>
      </c>
      <c r="IG124" s="180" t="n">
        <v>15.8090316431</v>
      </c>
      <c r="IH124" s="180" t="n">
        <v>15.87876733112</v>
      </c>
      <c r="II124" s="180" t="n">
        <v>15.94850301914</v>
      </c>
      <c r="IJ124" s="180" t="n">
        <v>16.01823870716</v>
      </c>
      <c r="IK124" s="180" t="n">
        <v>16.08797439518</v>
      </c>
      <c r="IL124" s="180" t="n">
        <v>16.1577100832</v>
      </c>
      <c r="IM124" s="180" t="n">
        <v>16.22744577122</v>
      </c>
      <c r="IN124" s="180" t="n">
        <v>16.29718145924</v>
      </c>
      <c r="IO124" s="180" t="n">
        <v>16.36691714726</v>
      </c>
      <c r="IP124" s="180" t="n">
        <v>16.43665283528</v>
      </c>
      <c r="IQ124" s="180" t="n">
        <v>16.5063885233</v>
      </c>
      <c r="IR124" s="180" t="n">
        <v>16.57612421132</v>
      </c>
      <c r="IS124" s="180" t="n">
        <v>16.64585989934</v>
      </c>
      <c r="IT124" s="180" t="n">
        <v>16.71559558736</v>
      </c>
      <c r="IU124" s="180" t="n">
        <v>16.78533127538</v>
      </c>
      <c r="IV124" s="180" t="n">
        <v>16.8550669634</v>
      </c>
    </row>
    <row r="125" customFormat="false" ht="12.75" hidden="false" customHeight="false" outlineLevel="0" collapsed="false">
      <c r="A125" s="189" t="n">
        <v>40483</v>
      </c>
      <c r="B125" s="185" t="n">
        <v>-2.021005929375</v>
      </c>
      <c r="C125" s="185" t="n">
        <v>-1.9907047400625</v>
      </c>
      <c r="D125" s="185" t="n">
        <v>-1.96040355075</v>
      </c>
      <c r="E125" s="185" t="n">
        <v>-1.9301023614375</v>
      </c>
      <c r="F125" s="185" t="n">
        <v>-1.899801172125</v>
      </c>
      <c r="G125" s="185" t="n">
        <v>-1.8694999828125</v>
      </c>
      <c r="H125" s="185" t="n">
        <v>-1.8391987935</v>
      </c>
      <c r="I125" s="185" t="n">
        <v>-1.8088976041875</v>
      </c>
      <c r="J125" s="185" t="n">
        <v>-1.778596414875</v>
      </c>
      <c r="K125" s="185" t="n">
        <v>-1.7482952255625</v>
      </c>
      <c r="L125" s="185" t="n">
        <v>-1.71799403625</v>
      </c>
      <c r="M125" s="185" t="n">
        <v>-1.6876928469375</v>
      </c>
      <c r="N125" s="185" t="n">
        <v>-1.657391657625</v>
      </c>
      <c r="O125" s="185" t="n">
        <v>-1.6270904683125</v>
      </c>
      <c r="P125" s="185" t="n">
        <v>-1.596789279</v>
      </c>
      <c r="Q125" s="185" t="n">
        <v>-1.5664880896875</v>
      </c>
      <c r="R125" s="185" t="n">
        <v>-1.536186900375</v>
      </c>
      <c r="S125" s="185" t="n">
        <v>-1.5058857110625</v>
      </c>
      <c r="T125" s="185" t="n">
        <v>-1.47558452175</v>
      </c>
      <c r="U125" s="185" t="n">
        <v>-1.4452833324375</v>
      </c>
      <c r="V125" s="186" t="n">
        <v>-1.414982143125</v>
      </c>
      <c r="W125" s="185" t="n">
        <v>-1.3846809538125</v>
      </c>
      <c r="X125" s="186" t="n">
        <v>-1.3543797645</v>
      </c>
      <c r="Y125" s="185" t="n">
        <v>-1.3240785751875</v>
      </c>
      <c r="Z125" s="186" t="n">
        <v>-1.293777385875</v>
      </c>
      <c r="AA125" s="185" t="n">
        <v>-1.2634761965625</v>
      </c>
      <c r="AB125" s="187" t="n">
        <v>-1.23317500725</v>
      </c>
      <c r="AC125" s="185" t="n">
        <v>-1.2028738179375</v>
      </c>
      <c r="AD125" s="187" t="n">
        <v>-1.172572628625</v>
      </c>
      <c r="AE125" s="185" t="n">
        <v>-1.1422714393125</v>
      </c>
      <c r="AF125" s="185" t="n">
        <v>-1.11197025</v>
      </c>
      <c r="AG125" s="190" t="n">
        <v>-1.083235125</v>
      </c>
      <c r="AH125" s="190" t="n">
        <v>-1.0545</v>
      </c>
      <c r="AI125" s="190" t="n">
        <v>-1.02725</v>
      </c>
      <c r="AJ125" s="190" t="n">
        <v>-1</v>
      </c>
      <c r="AK125" s="190" t="n">
        <v>-0.8</v>
      </c>
      <c r="AL125" s="190" t="n">
        <v>-0.6</v>
      </c>
      <c r="AM125" s="190" t="n">
        <v>-0.4</v>
      </c>
      <c r="AN125" s="190" t="n">
        <v>-0.2</v>
      </c>
      <c r="AO125" s="190" t="n">
        <v>0</v>
      </c>
      <c r="AP125" s="190" t="n">
        <v>0.2</v>
      </c>
      <c r="AQ125" s="190" t="n">
        <v>0.4</v>
      </c>
      <c r="AR125" s="190" t="n">
        <v>0.6</v>
      </c>
      <c r="AS125" s="190" t="n">
        <v>0.8</v>
      </c>
      <c r="AT125" s="190" t="n">
        <v>1</v>
      </c>
      <c r="AU125" s="190" t="n">
        <v>1.2</v>
      </c>
      <c r="AV125" s="190" t="n">
        <v>1.4</v>
      </c>
      <c r="AW125" s="190" t="n">
        <v>1.58</v>
      </c>
      <c r="AX125" s="190" t="n">
        <v>1.76</v>
      </c>
      <c r="AY125" s="190" t="n">
        <v>1.922</v>
      </c>
      <c r="AZ125" s="190" t="n">
        <v>2.084</v>
      </c>
      <c r="BA125" s="190" t="n">
        <v>2.2298</v>
      </c>
      <c r="BB125" s="190" t="n">
        <v>2.3756</v>
      </c>
      <c r="BC125" s="190" t="n">
        <v>2.50682</v>
      </c>
      <c r="BD125" s="190" t="n">
        <v>2.63804</v>
      </c>
      <c r="BE125" s="190" t="n">
        <v>2.756138</v>
      </c>
      <c r="BF125" s="190" t="n">
        <v>2.874236</v>
      </c>
      <c r="BG125" s="190" t="n">
        <v>2.9805242</v>
      </c>
      <c r="BH125" s="190" t="n">
        <v>3.0868124</v>
      </c>
      <c r="BI125" s="190" t="n">
        <v>3.18247178</v>
      </c>
      <c r="BJ125" s="190" t="n">
        <v>3.27813116</v>
      </c>
      <c r="BK125" s="190" t="n">
        <v>3.364224602</v>
      </c>
      <c r="BL125" s="190" t="n">
        <v>3.450318044</v>
      </c>
      <c r="BM125" s="190" t="n">
        <v>3.5278021418</v>
      </c>
      <c r="BN125" s="190" t="n">
        <v>3.6052862396</v>
      </c>
      <c r="BO125" s="190" t="n">
        <v>3.67502192762</v>
      </c>
      <c r="BP125" s="190" t="n">
        <v>3.74475761564</v>
      </c>
      <c r="BQ125" s="190" t="n">
        <v>3.81449330366</v>
      </c>
      <c r="BR125" s="190" t="n">
        <v>3.88422899168</v>
      </c>
      <c r="BS125" s="190" t="n">
        <v>3.9539646797</v>
      </c>
      <c r="BT125" s="190" t="n">
        <v>4.02370036772</v>
      </c>
      <c r="BU125" s="190" t="n">
        <v>4.09343605574</v>
      </c>
      <c r="BV125" s="190" t="n">
        <v>4.16317174376</v>
      </c>
      <c r="BW125" s="190" t="n">
        <v>4.23290743178</v>
      </c>
      <c r="BX125" s="190" t="n">
        <v>4.3026431198</v>
      </c>
      <c r="BY125" s="190" t="n">
        <v>4.37237880782</v>
      </c>
      <c r="BZ125" s="190" t="n">
        <v>4.44211449584</v>
      </c>
      <c r="CA125" s="190" t="n">
        <v>4.51185018386</v>
      </c>
      <c r="CB125" s="190" t="n">
        <v>4.58158587188</v>
      </c>
      <c r="CC125" s="190" t="n">
        <v>4.6513215599</v>
      </c>
      <c r="CD125" s="190" t="n">
        <v>4.72105724792</v>
      </c>
      <c r="CE125" s="190" t="n">
        <v>4.79079293594</v>
      </c>
      <c r="CF125" s="190" t="n">
        <v>4.86052862396</v>
      </c>
      <c r="CG125" s="190" t="n">
        <v>4.93026431198</v>
      </c>
      <c r="CH125" s="190" t="n">
        <v>5</v>
      </c>
      <c r="CI125" s="190" t="n">
        <v>5.06973568801999</v>
      </c>
      <c r="CJ125" s="190" t="n">
        <v>5.13947137603999</v>
      </c>
      <c r="CK125" s="190" t="n">
        <v>5.20920706405999</v>
      </c>
      <c r="CL125" s="190" t="n">
        <v>5.27894275207999</v>
      </c>
      <c r="CM125" s="190" t="n">
        <v>5.34867844009999</v>
      </c>
      <c r="CN125" s="190" t="n">
        <v>5.41841412811999</v>
      </c>
      <c r="CO125" s="190" t="n">
        <v>5.48814981613999</v>
      </c>
      <c r="CP125" s="190" t="n">
        <v>5.55788550415999</v>
      </c>
      <c r="CQ125" s="190" t="n">
        <v>5.62762119217999</v>
      </c>
      <c r="CR125" s="190" t="n">
        <v>5.69735688019999</v>
      </c>
      <c r="CS125" s="190" t="n">
        <v>5.76709256821999</v>
      </c>
      <c r="CT125" s="190" t="n">
        <v>5.83682825623999</v>
      </c>
      <c r="CU125" s="190" t="n">
        <v>5.90656394425999</v>
      </c>
      <c r="CV125" s="190" t="n">
        <v>5.97629963227999</v>
      </c>
      <c r="CW125" s="190" t="n">
        <v>6.04603532029999</v>
      </c>
      <c r="CX125" s="190" t="n">
        <v>6.11577100831999</v>
      </c>
      <c r="CY125" s="190" t="n">
        <v>6.18550669633999</v>
      </c>
      <c r="CZ125" s="190" t="n">
        <v>6.25524238435999</v>
      </c>
      <c r="DA125" s="190" t="n">
        <v>6.32497807237999</v>
      </c>
      <c r="DB125" s="190" t="n">
        <v>6.39471376039999</v>
      </c>
      <c r="DC125" s="190" t="n">
        <v>6.46444944841999</v>
      </c>
      <c r="DD125" s="190" t="n">
        <v>6.53418513643999</v>
      </c>
      <c r="DE125" s="190" t="n">
        <v>6.60392082445999</v>
      </c>
      <c r="DF125" s="190" t="n">
        <v>6.67365651247999</v>
      </c>
      <c r="DG125" s="190" t="n">
        <v>6.74339220049999</v>
      </c>
      <c r="DH125" s="190" t="n">
        <v>6.81312788851999</v>
      </c>
      <c r="DI125" s="190" t="n">
        <v>6.88286357653999</v>
      </c>
      <c r="DJ125" s="190" t="n">
        <v>6.95259926455999</v>
      </c>
      <c r="DK125" s="190" t="n">
        <v>7.02233495257999</v>
      </c>
      <c r="DL125" s="190" t="n">
        <v>7.09207064059999</v>
      </c>
      <c r="DM125" s="190" t="n">
        <v>7.16180632861999</v>
      </c>
      <c r="DN125" s="190" t="n">
        <v>7.23154201663999</v>
      </c>
      <c r="DO125" s="190" t="n">
        <v>7.30127770465999</v>
      </c>
      <c r="DP125" s="190" t="n">
        <v>7.37101339267999</v>
      </c>
      <c r="DQ125" s="190" t="n">
        <v>7.44074908069999</v>
      </c>
      <c r="DR125" s="190" t="n">
        <v>7.51048476871999</v>
      </c>
      <c r="DS125" s="190" t="n">
        <v>7.58022045673999</v>
      </c>
      <c r="DT125" s="190" t="n">
        <v>7.64995614475999</v>
      </c>
      <c r="DU125" s="190" t="n">
        <v>7.71969183277999</v>
      </c>
      <c r="DV125" s="190" t="n">
        <v>7.78942752079998</v>
      </c>
      <c r="DW125" s="190" t="n">
        <v>7.85916320881998</v>
      </c>
      <c r="DX125" s="190" t="n">
        <v>7.92889889683998</v>
      </c>
      <c r="DY125" s="190" t="n">
        <v>7.99863458485998</v>
      </c>
      <c r="DZ125" s="190" t="n">
        <v>8.06837027287998</v>
      </c>
      <c r="EA125" s="190" t="n">
        <v>8.13810596089998</v>
      </c>
      <c r="EB125" s="190" t="n">
        <v>8.20784164891998</v>
      </c>
      <c r="EC125" s="190" t="n">
        <v>8.27757733693998</v>
      </c>
      <c r="ED125" s="190" t="n">
        <v>8.34731302495998</v>
      </c>
      <c r="EE125" s="190" t="n">
        <v>8.41704871297998</v>
      </c>
      <c r="EF125" s="190" t="n">
        <v>8.48678440099998</v>
      </c>
      <c r="EG125" s="190" t="n">
        <v>8.55652008901998</v>
      </c>
      <c r="EH125" s="190" t="n">
        <v>8.62625577703998</v>
      </c>
      <c r="EI125" s="190" t="n">
        <v>8.69599146505998</v>
      </c>
      <c r="EJ125" s="190" t="n">
        <v>8.76572715307998</v>
      </c>
      <c r="EK125" s="190" t="n">
        <v>8.83546284109998</v>
      </c>
      <c r="EL125" s="180" t="n">
        <v>8.90519852911998</v>
      </c>
      <c r="EM125" s="180" t="n">
        <v>8.97493421713998</v>
      </c>
      <c r="EN125" s="180" t="n">
        <v>9.04466990515998</v>
      </c>
      <c r="EO125" s="180" t="n">
        <v>9.11440559317998</v>
      </c>
      <c r="EP125" s="180" t="n">
        <v>9.18414128119998</v>
      </c>
      <c r="EQ125" s="180" t="n">
        <v>9.25387696921998</v>
      </c>
      <c r="ER125" s="180" t="n">
        <v>9.32361265723998</v>
      </c>
      <c r="ES125" s="180" t="n">
        <v>9.39334834525998</v>
      </c>
      <c r="ET125" s="180" t="n">
        <v>9.46308403327998</v>
      </c>
      <c r="EU125" s="180" t="n">
        <v>9.53281972129998</v>
      </c>
      <c r="EV125" s="180" t="n">
        <v>9.60255540931998</v>
      </c>
      <c r="EW125" s="180" t="n">
        <v>9.67229109733998</v>
      </c>
      <c r="EX125" s="180" t="n">
        <v>9.74202678535998</v>
      </c>
      <c r="EY125" s="180" t="n">
        <v>9.81176247337998</v>
      </c>
      <c r="EZ125" s="180" t="n">
        <v>9.88149816139998</v>
      </c>
      <c r="FA125" s="180" t="n">
        <v>9.95123384941998</v>
      </c>
      <c r="FB125" s="180" t="n">
        <v>10.02096953744</v>
      </c>
      <c r="FC125" s="180" t="n">
        <v>10.09070522546</v>
      </c>
      <c r="FD125" s="180" t="n">
        <v>10.16044091348</v>
      </c>
      <c r="FE125" s="180" t="n">
        <v>10.2301766015</v>
      </c>
      <c r="FF125" s="180" t="n">
        <v>10.29991228952</v>
      </c>
      <c r="FG125" s="180" t="n">
        <v>10.36964797754</v>
      </c>
      <c r="FH125" s="180" t="n">
        <v>10.43938366556</v>
      </c>
      <c r="FI125" s="180" t="n">
        <v>10.50911935358</v>
      </c>
      <c r="FJ125" s="180" t="n">
        <v>10.5788550416</v>
      </c>
      <c r="FK125" s="180" t="n">
        <v>10.64859072962</v>
      </c>
      <c r="FL125" s="180" t="n">
        <v>10.71832641764</v>
      </c>
      <c r="FM125" s="180" t="n">
        <v>10.78806210566</v>
      </c>
      <c r="FN125" s="180" t="n">
        <v>10.85779779368</v>
      </c>
      <c r="FO125" s="180" t="n">
        <v>10.9275334817</v>
      </c>
      <c r="FP125" s="180" t="n">
        <v>10.99726916972</v>
      </c>
      <c r="FQ125" s="180" t="n">
        <v>11.06700485774</v>
      </c>
      <c r="FR125" s="180" t="n">
        <v>11.13674054576</v>
      </c>
      <c r="FS125" s="180" t="n">
        <v>11.20647623378</v>
      </c>
      <c r="FT125" s="180" t="n">
        <v>11.2762119218</v>
      </c>
      <c r="FU125" s="180" t="n">
        <v>11.34594760982</v>
      </c>
      <c r="FV125" s="180" t="n">
        <v>11.41568329784</v>
      </c>
      <c r="FW125" s="180" t="n">
        <v>11.48541898586</v>
      </c>
      <c r="FX125" s="180" t="n">
        <v>11.55515467388</v>
      </c>
      <c r="FY125" s="180" t="n">
        <v>11.6248903619</v>
      </c>
      <c r="FZ125" s="180" t="n">
        <v>11.69462604992</v>
      </c>
      <c r="GA125" s="180" t="n">
        <v>11.76436173794</v>
      </c>
      <c r="GB125" s="180" t="n">
        <v>11.83409742596</v>
      </c>
      <c r="GC125" s="180" t="n">
        <v>11.90383311398</v>
      </c>
      <c r="GD125" s="180" t="n">
        <v>11.973568802</v>
      </c>
      <c r="GE125" s="180" t="n">
        <v>12.04330449002</v>
      </c>
      <c r="GF125" s="180" t="n">
        <v>12.11304017804</v>
      </c>
      <c r="GG125" s="180" t="n">
        <v>12.18277586606</v>
      </c>
      <c r="GH125" s="180" t="n">
        <v>12.25251155408</v>
      </c>
      <c r="GI125" s="180" t="n">
        <v>12.3222472421</v>
      </c>
      <c r="GJ125" s="180" t="n">
        <v>12.39198293012</v>
      </c>
      <c r="GK125" s="180" t="n">
        <v>12.46171861814</v>
      </c>
      <c r="GL125" s="180" t="n">
        <v>12.53145430616</v>
      </c>
      <c r="GM125" s="180" t="n">
        <v>12.60118999418</v>
      </c>
      <c r="GN125" s="180" t="n">
        <v>12.6709256822</v>
      </c>
      <c r="GO125" s="180" t="n">
        <v>12.74066137022</v>
      </c>
      <c r="GP125" s="180" t="n">
        <v>12.81039705824</v>
      </c>
      <c r="GQ125" s="180" t="n">
        <v>12.88013274626</v>
      </c>
      <c r="GR125" s="180" t="n">
        <v>12.94986843428</v>
      </c>
      <c r="GS125" s="180" t="n">
        <v>13.0196041223</v>
      </c>
      <c r="GT125" s="180" t="n">
        <v>13.08933981032</v>
      </c>
      <c r="GU125" s="180" t="n">
        <v>13.15907549834</v>
      </c>
      <c r="GV125" s="180" t="n">
        <v>13.22881118636</v>
      </c>
      <c r="GW125" s="180" t="n">
        <v>13.29854687438</v>
      </c>
      <c r="GX125" s="180" t="n">
        <v>13.3682825624</v>
      </c>
      <c r="GY125" s="180" t="n">
        <v>13.43801825042</v>
      </c>
      <c r="GZ125" s="180" t="n">
        <v>13.50775393844</v>
      </c>
      <c r="HA125" s="180" t="n">
        <v>13.57748962646</v>
      </c>
      <c r="HB125" s="180" t="n">
        <v>13.64722531448</v>
      </c>
      <c r="HC125" s="180" t="n">
        <v>13.7169610025</v>
      </c>
      <c r="HD125" s="180" t="n">
        <v>13.78669669052</v>
      </c>
      <c r="HE125" s="180" t="n">
        <v>13.85643237854</v>
      </c>
      <c r="HF125" s="180" t="n">
        <v>13.92616806656</v>
      </c>
      <c r="HG125" s="180" t="n">
        <v>13.99590375458</v>
      </c>
      <c r="HH125" s="180" t="n">
        <v>14.0656394426</v>
      </c>
      <c r="HI125" s="180" t="n">
        <v>14.13537513062</v>
      </c>
      <c r="HJ125" s="180" t="n">
        <v>14.20511081864</v>
      </c>
      <c r="HK125" s="180" t="n">
        <v>14.27484650666</v>
      </c>
      <c r="HL125" s="180" t="n">
        <v>14.34458219468</v>
      </c>
      <c r="HM125" s="180" t="n">
        <v>14.4143178827</v>
      </c>
      <c r="HN125" s="180" t="n">
        <v>14.48405357072</v>
      </c>
      <c r="HO125" s="180" t="n">
        <v>14.55378925874</v>
      </c>
      <c r="HP125" s="180" t="n">
        <v>14.62352494676</v>
      </c>
      <c r="HQ125" s="180" t="n">
        <v>14.69326063478</v>
      </c>
      <c r="HR125" s="180" t="n">
        <v>14.7629963228</v>
      </c>
      <c r="HS125" s="180" t="n">
        <v>14.83273201082</v>
      </c>
      <c r="HT125" s="180" t="n">
        <v>14.90246769884</v>
      </c>
      <c r="HU125" s="180" t="n">
        <v>14.97220338686</v>
      </c>
      <c r="HV125" s="180" t="n">
        <v>15.04193907488</v>
      </c>
      <c r="HW125" s="180" t="n">
        <v>15.1116747629</v>
      </c>
      <c r="HX125" s="180" t="n">
        <v>15.18141045092</v>
      </c>
      <c r="HY125" s="180" t="n">
        <v>15.25114613894</v>
      </c>
      <c r="HZ125" s="180" t="n">
        <v>15.32088182696</v>
      </c>
      <c r="IA125" s="180" t="n">
        <v>15.39061751498</v>
      </c>
      <c r="IB125" s="180" t="n">
        <v>15.460353203</v>
      </c>
      <c r="IC125" s="180" t="n">
        <v>15.53008889102</v>
      </c>
      <c r="ID125" s="180" t="n">
        <v>15.59982457904</v>
      </c>
      <c r="IE125" s="180" t="n">
        <v>15.66956026706</v>
      </c>
      <c r="IF125" s="180" t="n">
        <v>15.73929595508</v>
      </c>
      <c r="IG125" s="180" t="n">
        <v>15.8090316431</v>
      </c>
      <c r="IH125" s="180" t="n">
        <v>15.87876733112</v>
      </c>
      <c r="II125" s="180" t="n">
        <v>15.94850301914</v>
      </c>
      <c r="IJ125" s="180" t="n">
        <v>16.01823870716</v>
      </c>
      <c r="IK125" s="180" t="n">
        <v>16.08797439518</v>
      </c>
      <c r="IL125" s="180" t="n">
        <v>16.1577100832</v>
      </c>
      <c r="IM125" s="180" t="n">
        <v>16.22744577122</v>
      </c>
      <c r="IN125" s="180" t="n">
        <v>16.29718145924</v>
      </c>
      <c r="IO125" s="180" t="n">
        <v>16.36691714726</v>
      </c>
      <c r="IP125" s="180" t="n">
        <v>16.43665283528</v>
      </c>
      <c r="IQ125" s="180" t="n">
        <v>16.5063885233</v>
      </c>
      <c r="IR125" s="180" t="n">
        <v>16.57612421132</v>
      </c>
      <c r="IS125" s="180" t="n">
        <v>16.64585989934</v>
      </c>
      <c r="IT125" s="180" t="n">
        <v>16.71559558736</v>
      </c>
      <c r="IU125" s="180" t="n">
        <v>16.78533127538</v>
      </c>
      <c r="IV125" s="180" t="n">
        <v>16.8550669634</v>
      </c>
    </row>
    <row r="126" customFormat="false" ht="12.75" hidden="false" customHeight="false" outlineLevel="0" collapsed="false">
      <c r="A126" s="189" t="n">
        <v>40513</v>
      </c>
      <c r="B126" s="185" t="n">
        <v>-2.021005929375</v>
      </c>
      <c r="C126" s="185" t="n">
        <v>-1.9907047400625</v>
      </c>
      <c r="D126" s="185" t="n">
        <v>-1.96040355075</v>
      </c>
      <c r="E126" s="185" t="n">
        <v>-1.9301023614375</v>
      </c>
      <c r="F126" s="185" t="n">
        <v>-1.899801172125</v>
      </c>
      <c r="G126" s="185" t="n">
        <v>-1.8694999828125</v>
      </c>
      <c r="H126" s="185" t="n">
        <v>-1.8391987935</v>
      </c>
      <c r="I126" s="185" t="n">
        <v>-1.8088976041875</v>
      </c>
      <c r="J126" s="185" t="n">
        <v>-1.778596414875</v>
      </c>
      <c r="K126" s="185" t="n">
        <v>-1.7482952255625</v>
      </c>
      <c r="L126" s="185" t="n">
        <v>-1.71799403625</v>
      </c>
      <c r="M126" s="185" t="n">
        <v>-1.6876928469375</v>
      </c>
      <c r="N126" s="185" t="n">
        <v>-1.657391657625</v>
      </c>
      <c r="O126" s="185" t="n">
        <v>-1.6270904683125</v>
      </c>
      <c r="P126" s="185" t="n">
        <v>-1.596789279</v>
      </c>
      <c r="Q126" s="185" t="n">
        <v>-1.5664880896875</v>
      </c>
      <c r="R126" s="185" t="n">
        <v>-1.536186900375</v>
      </c>
      <c r="S126" s="185" t="n">
        <v>-1.5058857110625</v>
      </c>
      <c r="T126" s="185" t="n">
        <v>-1.47558452175</v>
      </c>
      <c r="U126" s="185" t="n">
        <v>-1.4452833324375</v>
      </c>
      <c r="V126" s="186" t="n">
        <v>-1.414982143125</v>
      </c>
      <c r="W126" s="185" t="n">
        <v>-1.3846809538125</v>
      </c>
      <c r="X126" s="186" t="n">
        <v>-1.3543797645</v>
      </c>
      <c r="Y126" s="185" t="n">
        <v>-1.3240785751875</v>
      </c>
      <c r="Z126" s="186" t="n">
        <v>-1.293777385875</v>
      </c>
      <c r="AA126" s="185" t="n">
        <v>-1.2634761965625</v>
      </c>
      <c r="AB126" s="187" t="n">
        <v>-1.23317500725</v>
      </c>
      <c r="AC126" s="185" t="n">
        <v>-1.2028738179375</v>
      </c>
      <c r="AD126" s="187" t="n">
        <v>-1.172572628625</v>
      </c>
      <c r="AE126" s="185" t="n">
        <v>-1.1422714393125</v>
      </c>
      <c r="AF126" s="185" t="n">
        <v>-1.11197025</v>
      </c>
      <c r="AG126" s="190" t="n">
        <v>-1.083235125</v>
      </c>
      <c r="AH126" s="190" t="n">
        <v>-1.0545</v>
      </c>
      <c r="AI126" s="190" t="n">
        <v>-1.02725</v>
      </c>
      <c r="AJ126" s="190" t="n">
        <v>-1</v>
      </c>
      <c r="AK126" s="190" t="n">
        <v>-0.8</v>
      </c>
      <c r="AL126" s="190" t="n">
        <v>-0.6</v>
      </c>
      <c r="AM126" s="190" t="n">
        <v>-0.4</v>
      </c>
      <c r="AN126" s="190" t="n">
        <v>-0.2</v>
      </c>
      <c r="AO126" s="190" t="n">
        <v>0</v>
      </c>
      <c r="AP126" s="190" t="n">
        <v>0.2</v>
      </c>
      <c r="AQ126" s="190" t="n">
        <v>0.4</v>
      </c>
      <c r="AR126" s="190" t="n">
        <v>0.6</v>
      </c>
      <c r="AS126" s="190" t="n">
        <v>0.8</v>
      </c>
      <c r="AT126" s="190" t="n">
        <v>1</v>
      </c>
      <c r="AU126" s="190" t="n">
        <v>1.2</v>
      </c>
      <c r="AV126" s="190" t="n">
        <v>1.4</v>
      </c>
      <c r="AW126" s="190" t="n">
        <v>1.58</v>
      </c>
      <c r="AX126" s="190" t="n">
        <v>1.76</v>
      </c>
      <c r="AY126" s="190" t="n">
        <v>1.922</v>
      </c>
      <c r="AZ126" s="190" t="n">
        <v>2.084</v>
      </c>
      <c r="BA126" s="190" t="n">
        <v>2.2298</v>
      </c>
      <c r="BB126" s="190" t="n">
        <v>2.3756</v>
      </c>
      <c r="BC126" s="190" t="n">
        <v>2.50682</v>
      </c>
      <c r="BD126" s="190" t="n">
        <v>2.63804</v>
      </c>
      <c r="BE126" s="190" t="n">
        <v>2.756138</v>
      </c>
      <c r="BF126" s="190" t="n">
        <v>2.874236</v>
      </c>
      <c r="BG126" s="190" t="n">
        <v>2.9805242</v>
      </c>
      <c r="BH126" s="190" t="n">
        <v>3.0868124</v>
      </c>
      <c r="BI126" s="190" t="n">
        <v>3.18247178</v>
      </c>
      <c r="BJ126" s="190" t="n">
        <v>3.27813116</v>
      </c>
      <c r="BK126" s="190" t="n">
        <v>3.364224602</v>
      </c>
      <c r="BL126" s="190" t="n">
        <v>3.450318044</v>
      </c>
      <c r="BM126" s="190" t="n">
        <v>3.5278021418</v>
      </c>
      <c r="BN126" s="190" t="n">
        <v>3.6052862396</v>
      </c>
      <c r="BO126" s="190" t="n">
        <v>3.67502192762</v>
      </c>
      <c r="BP126" s="190" t="n">
        <v>3.74475761564</v>
      </c>
      <c r="BQ126" s="190" t="n">
        <v>3.81449330366</v>
      </c>
      <c r="BR126" s="190" t="n">
        <v>3.88422899168</v>
      </c>
      <c r="BS126" s="190" t="n">
        <v>3.9539646797</v>
      </c>
      <c r="BT126" s="190" t="n">
        <v>4.02370036772</v>
      </c>
      <c r="BU126" s="190" t="n">
        <v>4.09343605574</v>
      </c>
      <c r="BV126" s="190" t="n">
        <v>4.16317174376</v>
      </c>
      <c r="BW126" s="190" t="n">
        <v>4.23290743178</v>
      </c>
      <c r="BX126" s="190" t="n">
        <v>4.3026431198</v>
      </c>
      <c r="BY126" s="190" t="n">
        <v>4.37237880782</v>
      </c>
      <c r="BZ126" s="190" t="n">
        <v>4.44211449584</v>
      </c>
      <c r="CA126" s="190" t="n">
        <v>4.51185018386</v>
      </c>
      <c r="CB126" s="190" t="n">
        <v>4.58158587188</v>
      </c>
      <c r="CC126" s="190" t="n">
        <v>4.6513215599</v>
      </c>
      <c r="CD126" s="190" t="n">
        <v>4.72105724792</v>
      </c>
      <c r="CE126" s="190" t="n">
        <v>4.79079293594</v>
      </c>
      <c r="CF126" s="190" t="n">
        <v>4.86052862396</v>
      </c>
      <c r="CG126" s="190" t="n">
        <v>4.93026431198</v>
      </c>
      <c r="CH126" s="190" t="n">
        <v>5</v>
      </c>
      <c r="CI126" s="190" t="n">
        <v>5.06973568801999</v>
      </c>
      <c r="CJ126" s="190" t="n">
        <v>5.13947137603999</v>
      </c>
      <c r="CK126" s="190" t="n">
        <v>5.20920706405999</v>
      </c>
      <c r="CL126" s="190" t="n">
        <v>5.27894275207999</v>
      </c>
      <c r="CM126" s="190" t="n">
        <v>5.34867844009999</v>
      </c>
      <c r="CN126" s="190" t="n">
        <v>5.41841412811999</v>
      </c>
      <c r="CO126" s="190" t="n">
        <v>5.48814981613999</v>
      </c>
      <c r="CP126" s="190" t="n">
        <v>5.55788550415999</v>
      </c>
      <c r="CQ126" s="190" t="n">
        <v>5.62762119217999</v>
      </c>
      <c r="CR126" s="190" t="n">
        <v>5.69735688019999</v>
      </c>
      <c r="CS126" s="190" t="n">
        <v>5.76709256821999</v>
      </c>
      <c r="CT126" s="190" t="n">
        <v>5.83682825623999</v>
      </c>
      <c r="CU126" s="190" t="n">
        <v>5.90656394425999</v>
      </c>
      <c r="CV126" s="190" t="n">
        <v>5.97629963227999</v>
      </c>
      <c r="CW126" s="190" t="n">
        <v>6.04603532029999</v>
      </c>
      <c r="CX126" s="190" t="n">
        <v>6.11577100831999</v>
      </c>
      <c r="CY126" s="190" t="n">
        <v>6.18550669633999</v>
      </c>
      <c r="CZ126" s="190" t="n">
        <v>6.25524238435999</v>
      </c>
      <c r="DA126" s="190" t="n">
        <v>6.32497807237999</v>
      </c>
      <c r="DB126" s="190" t="n">
        <v>6.39471376039999</v>
      </c>
      <c r="DC126" s="190" t="n">
        <v>6.46444944841999</v>
      </c>
      <c r="DD126" s="190" t="n">
        <v>6.53418513643999</v>
      </c>
      <c r="DE126" s="190" t="n">
        <v>6.60392082445999</v>
      </c>
      <c r="DF126" s="190" t="n">
        <v>6.67365651247999</v>
      </c>
      <c r="DG126" s="190" t="n">
        <v>6.74339220049999</v>
      </c>
      <c r="DH126" s="190" t="n">
        <v>6.81312788851999</v>
      </c>
      <c r="DI126" s="190" t="n">
        <v>6.88286357653999</v>
      </c>
      <c r="DJ126" s="190" t="n">
        <v>6.95259926455999</v>
      </c>
      <c r="DK126" s="190" t="n">
        <v>7.02233495257999</v>
      </c>
      <c r="DL126" s="190" t="n">
        <v>7.09207064059999</v>
      </c>
      <c r="DM126" s="190" t="n">
        <v>7.16180632861999</v>
      </c>
      <c r="DN126" s="190" t="n">
        <v>7.23154201663999</v>
      </c>
      <c r="DO126" s="190" t="n">
        <v>7.30127770465999</v>
      </c>
      <c r="DP126" s="190" t="n">
        <v>7.37101339267999</v>
      </c>
      <c r="DQ126" s="190" t="n">
        <v>7.44074908069999</v>
      </c>
      <c r="DR126" s="190" t="n">
        <v>7.51048476871999</v>
      </c>
      <c r="DS126" s="190" t="n">
        <v>7.58022045673999</v>
      </c>
      <c r="DT126" s="190" t="n">
        <v>7.64995614475999</v>
      </c>
      <c r="DU126" s="190" t="n">
        <v>7.71969183277999</v>
      </c>
      <c r="DV126" s="190" t="n">
        <v>7.78942752079998</v>
      </c>
      <c r="DW126" s="190" t="n">
        <v>7.85916320881998</v>
      </c>
      <c r="DX126" s="190" t="n">
        <v>7.92889889683998</v>
      </c>
      <c r="DY126" s="190" t="n">
        <v>7.99863458485998</v>
      </c>
      <c r="DZ126" s="190" t="n">
        <v>8.06837027287998</v>
      </c>
      <c r="EA126" s="190" t="n">
        <v>8.13810596089998</v>
      </c>
      <c r="EB126" s="190" t="n">
        <v>8.20784164891998</v>
      </c>
      <c r="EC126" s="190" t="n">
        <v>8.27757733693998</v>
      </c>
      <c r="ED126" s="190" t="n">
        <v>8.34731302495998</v>
      </c>
      <c r="EE126" s="190" t="n">
        <v>8.41704871297998</v>
      </c>
      <c r="EF126" s="190" t="n">
        <v>8.48678440099998</v>
      </c>
      <c r="EG126" s="190" t="n">
        <v>8.55652008901998</v>
      </c>
      <c r="EH126" s="190" t="n">
        <v>8.62625577703998</v>
      </c>
      <c r="EI126" s="190" t="n">
        <v>8.69599146505998</v>
      </c>
      <c r="EJ126" s="190" t="n">
        <v>8.76572715307998</v>
      </c>
      <c r="EK126" s="190" t="n">
        <v>8.83546284109998</v>
      </c>
      <c r="EL126" s="180" t="n">
        <v>8.90519852911998</v>
      </c>
      <c r="EM126" s="180" t="n">
        <v>8.97493421713998</v>
      </c>
      <c r="EN126" s="180" t="n">
        <v>9.04466990515998</v>
      </c>
      <c r="EO126" s="180" t="n">
        <v>9.11440559317998</v>
      </c>
      <c r="EP126" s="180" t="n">
        <v>9.18414128119998</v>
      </c>
      <c r="EQ126" s="180" t="n">
        <v>9.25387696921998</v>
      </c>
      <c r="ER126" s="180" t="n">
        <v>9.32361265723998</v>
      </c>
      <c r="ES126" s="180" t="n">
        <v>9.39334834525998</v>
      </c>
      <c r="ET126" s="180" t="n">
        <v>9.46308403327998</v>
      </c>
      <c r="EU126" s="180" t="n">
        <v>9.53281972129998</v>
      </c>
      <c r="EV126" s="180" t="n">
        <v>9.60255540931998</v>
      </c>
      <c r="EW126" s="180" t="n">
        <v>9.67229109733998</v>
      </c>
      <c r="EX126" s="180" t="n">
        <v>9.74202678535998</v>
      </c>
      <c r="EY126" s="180" t="n">
        <v>9.81176247337998</v>
      </c>
      <c r="EZ126" s="180" t="n">
        <v>9.88149816139998</v>
      </c>
      <c r="FA126" s="180" t="n">
        <v>9.95123384941998</v>
      </c>
      <c r="FB126" s="180" t="n">
        <v>10.02096953744</v>
      </c>
      <c r="FC126" s="180" t="n">
        <v>10.09070522546</v>
      </c>
      <c r="FD126" s="180" t="n">
        <v>10.16044091348</v>
      </c>
      <c r="FE126" s="180" t="n">
        <v>10.2301766015</v>
      </c>
      <c r="FF126" s="180" t="n">
        <v>10.29991228952</v>
      </c>
      <c r="FG126" s="180" t="n">
        <v>10.36964797754</v>
      </c>
      <c r="FH126" s="180" t="n">
        <v>10.43938366556</v>
      </c>
      <c r="FI126" s="180" t="n">
        <v>10.50911935358</v>
      </c>
      <c r="FJ126" s="180" t="n">
        <v>10.5788550416</v>
      </c>
      <c r="FK126" s="180" t="n">
        <v>10.64859072962</v>
      </c>
      <c r="FL126" s="180" t="n">
        <v>10.71832641764</v>
      </c>
      <c r="FM126" s="180" t="n">
        <v>10.78806210566</v>
      </c>
      <c r="FN126" s="180" t="n">
        <v>10.85779779368</v>
      </c>
      <c r="FO126" s="180" t="n">
        <v>10.9275334817</v>
      </c>
      <c r="FP126" s="180" t="n">
        <v>10.99726916972</v>
      </c>
      <c r="FQ126" s="180" t="n">
        <v>11.06700485774</v>
      </c>
      <c r="FR126" s="180" t="n">
        <v>11.13674054576</v>
      </c>
      <c r="FS126" s="180" t="n">
        <v>11.20647623378</v>
      </c>
      <c r="FT126" s="180" t="n">
        <v>11.2762119218</v>
      </c>
      <c r="FU126" s="180" t="n">
        <v>11.34594760982</v>
      </c>
      <c r="FV126" s="180" t="n">
        <v>11.41568329784</v>
      </c>
      <c r="FW126" s="180" t="n">
        <v>11.48541898586</v>
      </c>
      <c r="FX126" s="180" t="n">
        <v>11.55515467388</v>
      </c>
      <c r="FY126" s="180" t="n">
        <v>11.6248903619</v>
      </c>
      <c r="FZ126" s="180" t="n">
        <v>11.69462604992</v>
      </c>
      <c r="GA126" s="180" t="n">
        <v>11.76436173794</v>
      </c>
      <c r="GB126" s="180" t="n">
        <v>11.83409742596</v>
      </c>
      <c r="GC126" s="180" t="n">
        <v>11.90383311398</v>
      </c>
      <c r="GD126" s="180" t="n">
        <v>11.973568802</v>
      </c>
      <c r="GE126" s="180" t="n">
        <v>12.04330449002</v>
      </c>
      <c r="GF126" s="180" t="n">
        <v>12.11304017804</v>
      </c>
      <c r="GG126" s="180" t="n">
        <v>12.18277586606</v>
      </c>
      <c r="GH126" s="180" t="n">
        <v>12.25251155408</v>
      </c>
      <c r="GI126" s="180" t="n">
        <v>12.3222472421</v>
      </c>
      <c r="GJ126" s="180" t="n">
        <v>12.39198293012</v>
      </c>
      <c r="GK126" s="180" t="n">
        <v>12.46171861814</v>
      </c>
      <c r="GL126" s="180" t="n">
        <v>12.53145430616</v>
      </c>
      <c r="GM126" s="180" t="n">
        <v>12.60118999418</v>
      </c>
      <c r="GN126" s="180" t="n">
        <v>12.6709256822</v>
      </c>
      <c r="GO126" s="180" t="n">
        <v>12.74066137022</v>
      </c>
      <c r="GP126" s="180" t="n">
        <v>12.81039705824</v>
      </c>
      <c r="GQ126" s="180" t="n">
        <v>12.88013274626</v>
      </c>
      <c r="GR126" s="180" t="n">
        <v>12.94986843428</v>
      </c>
      <c r="GS126" s="180" t="n">
        <v>13.0196041223</v>
      </c>
      <c r="GT126" s="180" t="n">
        <v>13.08933981032</v>
      </c>
      <c r="GU126" s="180" t="n">
        <v>13.15907549834</v>
      </c>
      <c r="GV126" s="180" t="n">
        <v>13.22881118636</v>
      </c>
      <c r="GW126" s="180" t="n">
        <v>13.29854687438</v>
      </c>
      <c r="GX126" s="180" t="n">
        <v>13.3682825624</v>
      </c>
      <c r="GY126" s="180" t="n">
        <v>13.43801825042</v>
      </c>
      <c r="GZ126" s="180" t="n">
        <v>13.50775393844</v>
      </c>
      <c r="HA126" s="180" t="n">
        <v>13.57748962646</v>
      </c>
      <c r="HB126" s="180" t="n">
        <v>13.64722531448</v>
      </c>
      <c r="HC126" s="180" t="n">
        <v>13.7169610025</v>
      </c>
      <c r="HD126" s="180" t="n">
        <v>13.78669669052</v>
      </c>
      <c r="HE126" s="180" t="n">
        <v>13.85643237854</v>
      </c>
      <c r="HF126" s="180" t="n">
        <v>13.92616806656</v>
      </c>
      <c r="HG126" s="180" t="n">
        <v>13.99590375458</v>
      </c>
      <c r="HH126" s="180" t="n">
        <v>14.0656394426</v>
      </c>
      <c r="HI126" s="180" t="n">
        <v>14.13537513062</v>
      </c>
      <c r="HJ126" s="180" t="n">
        <v>14.20511081864</v>
      </c>
      <c r="HK126" s="180" t="n">
        <v>14.27484650666</v>
      </c>
      <c r="HL126" s="180" t="n">
        <v>14.34458219468</v>
      </c>
      <c r="HM126" s="180" t="n">
        <v>14.4143178827</v>
      </c>
      <c r="HN126" s="180" t="n">
        <v>14.48405357072</v>
      </c>
      <c r="HO126" s="180" t="n">
        <v>14.55378925874</v>
      </c>
      <c r="HP126" s="180" t="n">
        <v>14.62352494676</v>
      </c>
      <c r="HQ126" s="180" t="n">
        <v>14.69326063478</v>
      </c>
      <c r="HR126" s="180" t="n">
        <v>14.7629963228</v>
      </c>
      <c r="HS126" s="180" t="n">
        <v>14.83273201082</v>
      </c>
      <c r="HT126" s="180" t="n">
        <v>14.90246769884</v>
      </c>
      <c r="HU126" s="180" t="n">
        <v>14.97220338686</v>
      </c>
      <c r="HV126" s="180" t="n">
        <v>15.04193907488</v>
      </c>
      <c r="HW126" s="180" t="n">
        <v>15.1116747629</v>
      </c>
      <c r="HX126" s="180" t="n">
        <v>15.18141045092</v>
      </c>
      <c r="HY126" s="180" t="n">
        <v>15.25114613894</v>
      </c>
      <c r="HZ126" s="180" t="n">
        <v>15.32088182696</v>
      </c>
      <c r="IA126" s="180" t="n">
        <v>15.39061751498</v>
      </c>
      <c r="IB126" s="180" t="n">
        <v>15.460353203</v>
      </c>
      <c r="IC126" s="180" t="n">
        <v>15.53008889102</v>
      </c>
      <c r="ID126" s="180" t="n">
        <v>15.59982457904</v>
      </c>
      <c r="IE126" s="180" t="n">
        <v>15.66956026706</v>
      </c>
      <c r="IF126" s="180" t="n">
        <v>15.73929595508</v>
      </c>
      <c r="IG126" s="180" t="n">
        <v>15.8090316431</v>
      </c>
      <c r="IH126" s="180" t="n">
        <v>15.87876733112</v>
      </c>
      <c r="II126" s="180" t="n">
        <v>15.94850301914</v>
      </c>
      <c r="IJ126" s="180" t="n">
        <v>16.01823870716</v>
      </c>
      <c r="IK126" s="180" t="n">
        <v>16.08797439518</v>
      </c>
      <c r="IL126" s="180" t="n">
        <v>16.1577100832</v>
      </c>
      <c r="IM126" s="180" t="n">
        <v>16.22744577122</v>
      </c>
      <c r="IN126" s="180" t="n">
        <v>16.29718145924</v>
      </c>
      <c r="IO126" s="180" t="n">
        <v>16.36691714726</v>
      </c>
      <c r="IP126" s="180" t="n">
        <v>16.43665283528</v>
      </c>
      <c r="IQ126" s="180" t="n">
        <v>16.5063885233</v>
      </c>
      <c r="IR126" s="180" t="n">
        <v>16.57612421132</v>
      </c>
      <c r="IS126" s="180" t="n">
        <v>16.64585989934</v>
      </c>
      <c r="IT126" s="180" t="n">
        <v>16.71559558736</v>
      </c>
      <c r="IU126" s="180" t="n">
        <v>16.78533127538</v>
      </c>
      <c r="IV126" s="180" t="n">
        <v>16.8550669634</v>
      </c>
    </row>
    <row r="127" customFormat="false" ht="12.75" hidden="false" customHeight="false" outlineLevel="0" collapsed="false">
      <c r="A127" s="189" t="n">
        <v>40544</v>
      </c>
      <c r="B127" s="185" t="n">
        <v>-2.021005929375</v>
      </c>
      <c r="C127" s="185" t="n">
        <v>-1.9907047400625</v>
      </c>
      <c r="D127" s="185" t="n">
        <v>-1.96040355075</v>
      </c>
      <c r="E127" s="185" t="n">
        <v>-1.9301023614375</v>
      </c>
      <c r="F127" s="185" t="n">
        <v>-1.899801172125</v>
      </c>
      <c r="G127" s="185" t="n">
        <v>-1.8694999828125</v>
      </c>
      <c r="H127" s="185" t="n">
        <v>-1.8391987935</v>
      </c>
      <c r="I127" s="185" t="n">
        <v>-1.8088976041875</v>
      </c>
      <c r="J127" s="185" t="n">
        <v>-1.778596414875</v>
      </c>
      <c r="K127" s="185" t="n">
        <v>-1.7482952255625</v>
      </c>
      <c r="L127" s="185" t="n">
        <v>-1.71799403625</v>
      </c>
      <c r="M127" s="185" t="n">
        <v>-1.6876928469375</v>
      </c>
      <c r="N127" s="185" t="n">
        <v>-1.657391657625</v>
      </c>
      <c r="O127" s="185" t="n">
        <v>-1.6270904683125</v>
      </c>
      <c r="P127" s="185" t="n">
        <v>-1.596789279</v>
      </c>
      <c r="Q127" s="185" t="n">
        <v>-1.5664880896875</v>
      </c>
      <c r="R127" s="185" t="n">
        <v>-1.536186900375</v>
      </c>
      <c r="S127" s="185" t="n">
        <v>-1.5058857110625</v>
      </c>
      <c r="T127" s="185" t="n">
        <v>-1.47558452175</v>
      </c>
      <c r="U127" s="185" t="n">
        <v>-1.4452833324375</v>
      </c>
      <c r="V127" s="186" t="n">
        <v>-1.414982143125</v>
      </c>
      <c r="W127" s="185" t="n">
        <v>-1.3846809538125</v>
      </c>
      <c r="X127" s="186" t="n">
        <v>-1.3543797645</v>
      </c>
      <c r="Y127" s="185" t="n">
        <v>-1.3240785751875</v>
      </c>
      <c r="Z127" s="186" t="n">
        <v>-1.293777385875</v>
      </c>
      <c r="AA127" s="185" t="n">
        <v>-1.2634761965625</v>
      </c>
      <c r="AB127" s="187" t="n">
        <v>-1.23317500725</v>
      </c>
      <c r="AC127" s="185" t="n">
        <v>-1.2028738179375</v>
      </c>
      <c r="AD127" s="187" t="n">
        <v>-1.172572628625</v>
      </c>
      <c r="AE127" s="185" t="n">
        <v>-1.1422714393125</v>
      </c>
      <c r="AF127" s="185" t="n">
        <v>-1.11197025</v>
      </c>
      <c r="AG127" s="190" t="n">
        <v>-1.083235125</v>
      </c>
      <c r="AH127" s="190" t="n">
        <v>-1.0545</v>
      </c>
      <c r="AI127" s="190" t="n">
        <v>-1.02725</v>
      </c>
      <c r="AJ127" s="190" t="n">
        <v>-1</v>
      </c>
      <c r="AK127" s="190" t="n">
        <v>-0.8</v>
      </c>
      <c r="AL127" s="190" t="n">
        <v>-0.6</v>
      </c>
      <c r="AM127" s="190" t="n">
        <v>-0.4</v>
      </c>
      <c r="AN127" s="190" t="n">
        <v>-0.2</v>
      </c>
      <c r="AO127" s="190" t="n">
        <v>0</v>
      </c>
      <c r="AP127" s="190" t="n">
        <v>0.2</v>
      </c>
      <c r="AQ127" s="190" t="n">
        <v>0.4</v>
      </c>
      <c r="AR127" s="190" t="n">
        <v>0.6</v>
      </c>
      <c r="AS127" s="190" t="n">
        <v>0.8</v>
      </c>
      <c r="AT127" s="190" t="n">
        <v>1</v>
      </c>
      <c r="AU127" s="190" t="n">
        <v>1.2</v>
      </c>
      <c r="AV127" s="190" t="n">
        <v>1.4</v>
      </c>
      <c r="AW127" s="190" t="n">
        <v>1.58</v>
      </c>
      <c r="AX127" s="190" t="n">
        <v>1.76</v>
      </c>
      <c r="AY127" s="190" t="n">
        <v>1.922</v>
      </c>
      <c r="AZ127" s="190" t="n">
        <v>2.084</v>
      </c>
      <c r="BA127" s="190" t="n">
        <v>2.2298</v>
      </c>
      <c r="BB127" s="190" t="n">
        <v>2.3756</v>
      </c>
      <c r="BC127" s="190" t="n">
        <v>2.50682</v>
      </c>
      <c r="BD127" s="190" t="n">
        <v>2.63804</v>
      </c>
      <c r="BE127" s="190" t="n">
        <v>2.756138</v>
      </c>
      <c r="BF127" s="190" t="n">
        <v>2.874236</v>
      </c>
      <c r="BG127" s="190" t="n">
        <v>2.9805242</v>
      </c>
      <c r="BH127" s="190" t="n">
        <v>3.0868124</v>
      </c>
      <c r="BI127" s="190" t="n">
        <v>3.18247178</v>
      </c>
      <c r="BJ127" s="190" t="n">
        <v>3.27813116</v>
      </c>
      <c r="BK127" s="190" t="n">
        <v>3.364224602</v>
      </c>
      <c r="BL127" s="190" t="n">
        <v>3.450318044</v>
      </c>
      <c r="BM127" s="190" t="n">
        <v>3.5278021418</v>
      </c>
      <c r="BN127" s="190" t="n">
        <v>3.6052862396</v>
      </c>
      <c r="BO127" s="190" t="n">
        <v>3.67502192762</v>
      </c>
      <c r="BP127" s="190" t="n">
        <v>3.74475761564</v>
      </c>
      <c r="BQ127" s="190" t="n">
        <v>3.81449330366</v>
      </c>
      <c r="BR127" s="190" t="n">
        <v>3.88422899168</v>
      </c>
      <c r="BS127" s="190" t="n">
        <v>3.9539646797</v>
      </c>
      <c r="BT127" s="190" t="n">
        <v>4.02370036772</v>
      </c>
      <c r="BU127" s="190" t="n">
        <v>4.09343605574</v>
      </c>
      <c r="BV127" s="190" t="n">
        <v>4.16317174376</v>
      </c>
      <c r="BW127" s="190" t="n">
        <v>4.23290743178</v>
      </c>
      <c r="BX127" s="190" t="n">
        <v>4.3026431198</v>
      </c>
      <c r="BY127" s="190" t="n">
        <v>4.37237880782</v>
      </c>
      <c r="BZ127" s="190" t="n">
        <v>4.44211449584</v>
      </c>
      <c r="CA127" s="190" t="n">
        <v>4.51185018386</v>
      </c>
      <c r="CB127" s="190" t="n">
        <v>4.58158587188</v>
      </c>
      <c r="CC127" s="190" t="n">
        <v>4.6513215599</v>
      </c>
      <c r="CD127" s="190" t="n">
        <v>4.72105724792</v>
      </c>
      <c r="CE127" s="190" t="n">
        <v>4.79079293594</v>
      </c>
      <c r="CF127" s="190" t="n">
        <v>4.86052862396</v>
      </c>
      <c r="CG127" s="190" t="n">
        <v>4.93026431198</v>
      </c>
      <c r="CH127" s="190" t="n">
        <v>5</v>
      </c>
      <c r="CI127" s="190" t="n">
        <v>5.06973568801999</v>
      </c>
      <c r="CJ127" s="190" t="n">
        <v>5.13947137603999</v>
      </c>
      <c r="CK127" s="190" t="n">
        <v>5.20920706405999</v>
      </c>
      <c r="CL127" s="190" t="n">
        <v>5.27894275207999</v>
      </c>
      <c r="CM127" s="190" t="n">
        <v>5.34867844009999</v>
      </c>
      <c r="CN127" s="190" t="n">
        <v>5.41841412811999</v>
      </c>
      <c r="CO127" s="190" t="n">
        <v>5.48814981613999</v>
      </c>
      <c r="CP127" s="190" t="n">
        <v>5.55788550415999</v>
      </c>
      <c r="CQ127" s="190" t="n">
        <v>5.62762119217999</v>
      </c>
      <c r="CR127" s="190" t="n">
        <v>5.69735688019999</v>
      </c>
      <c r="CS127" s="190" t="n">
        <v>5.76709256821999</v>
      </c>
      <c r="CT127" s="190" t="n">
        <v>5.83682825623999</v>
      </c>
      <c r="CU127" s="190" t="n">
        <v>5.90656394425999</v>
      </c>
      <c r="CV127" s="190" t="n">
        <v>5.97629963227999</v>
      </c>
      <c r="CW127" s="190" t="n">
        <v>6.04603532029999</v>
      </c>
      <c r="CX127" s="190" t="n">
        <v>6.11577100831999</v>
      </c>
      <c r="CY127" s="190" t="n">
        <v>6.18550669633999</v>
      </c>
      <c r="CZ127" s="190" t="n">
        <v>6.25524238435999</v>
      </c>
      <c r="DA127" s="190" t="n">
        <v>6.32497807237999</v>
      </c>
      <c r="DB127" s="190" t="n">
        <v>6.39471376039999</v>
      </c>
      <c r="DC127" s="190" t="n">
        <v>6.46444944841999</v>
      </c>
      <c r="DD127" s="190" t="n">
        <v>6.53418513643999</v>
      </c>
      <c r="DE127" s="190" t="n">
        <v>6.60392082445999</v>
      </c>
      <c r="DF127" s="190" t="n">
        <v>6.67365651247999</v>
      </c>
      <c r="DG127" s="190" t="n">
        <v>6.74339220049999</v>
      </c>
      <c r="DH127" s="190" t="n">
        <v>6.81312788851999</v>
      </c>
      <c r="DI127" s="190" t="n">
        <v>6.88286357653999</v>
      </c>
      <c r="DJ127" s="190" t="n">
        <v>6.95259926455999</v>
      </c>
      <c r="DK127" s="190" t="n">
        <v>7.02233495257999</v>
      </c>
      <c r="DL127" s="190" t="n">
        <v>7.09207064059999</v>
      </c>
      <c r="DM127" s="190" t="n">
        <v>7.16180632861999</v>
      </c>
      <c r="DN127" s="190" t="n">
        <v>7.23154201663999</v>
      </c>
      <c r="DO127" s="190" t="n">
        <v>7.30127770465999</v>
      </c>
      <c r="DP127" s="190" t="n">
        <v>7.37101339267999</v>
      </c>
      <c r="DQ127" s="190" t="n">
        <v>7.44074908069999</v>
      </c>
      <c r="DR127" s="190" t="n">
        <v>7.51048476871999</v>
      </c>
      <c r="DS127" s="190" t="n">
        <v>7.58022045673999</v>
      </c>
      <c r="DT127" s="190" t="n">
        <v>7.64995614475999</v>
      </c>
      <c r="DU127" s="190" t="n">
        <v>7.71969183277999</v>
      </c>
      <c r="DV127" s="190" t="n">
        <v>7.78942752079998</v>
      </c>
      <c r="DW127" s="190" t="n">
        <v>7.85916320881998</v>
      </c>
      <c r="DX127" s="190" t="n">
        <v>7.92889889683998</v>
      </c>
      <c r="DY127" s="190" t="n">
        <v>7.99863458485998</v>
      </c>
      <c r="DZ127" s="190" t="n">
        <v>8.06837027287998</v>
      </c>
      <c r="EA127" s="190" t="n">
        <v>8.13810596089998</v>
      </c>
      <c r="EB127" s="190" t="n">
        <v>8.20784164891998</v>
      </c>
      <c r="EC127" s="190" t="n">
        <v>8.27757733693998</v>
      </c>
      <c r="ED127" s="190" t="n">
        <v>8.34731302495998</v>
      </c>
      <c r="EE127" s="190" t="n">
        <v>8.41704871297998</v>
      </c>
      <c r="EF127" s="190" t="n">
        <v>8.48678440099998</v>
      </c>
      <c r="EG127" s="190" t="n">
        <v>8.55652008901998</v>
      </c>
      <c r="EH127" s="190" t="n">
        <v>8.62625577703998</v>
      </c>
      <c r="EI127" s="190" t="n">
        <v>8.69599146505998</v>
      </c>
      <c r="EJ127" s="190" t="n">
        <v>8.76572715307998</v>
      </c>
      <c r="EK127" s="190" t="n">
        <v>8.83546284109998</v>
      </c>
      <c r="EL127" s="180" t="n">
        <v>8.90519852911998</v>
      </c>
      <c r="EM127" s="180" t="n">
        <v>8.97493421713998</v>
      </c>
      <c r="EN127" s="180" t="n">
        <v>9.04466990515998</v>
      </c>
      <c r="EO127" s="180" t="n">
        <v>9.11440559317998</v>
      </c>
      <c r="EP127" s="180" t="n">
        <v>9.18414128119998</v>
      </c>
      <c r="EQ127" s="180" t="n">
        <v>9.25387696921998</v>
      </c>
      <c r="ER127" s="180" t="n">
        <v>9.32361265723998</v>
      </c>
      <c r="ES127" s="180" t="n">
        <v>9.39334834525998</v>
      </c>
      <c r="ET127" s="180" t="n">
        <v>9.46308403327998</v>
      </c>
      <c r="EU127" s="180" t="n">
        <v>9.53281972129998</v>
      </c>
      <c r="EV127" s="180" t="n">
        <v>9.60255540931998</v>
      </c>
      <c r="EW127" s="180" t="n">
        <v>9.67229109733998</v>
      </c>
      <c r="EX127" s="180" t="n">
        <v>9.74202678535998</v>
      </c>
      <c r="EY127" s="180" t="n">
        <v>9.81176247337998</v>
      </c>
      <c r="EZ127" s="180" t="n">
        <v>9.88149816139998</v>
      </c>
      <c r="FA127" s="180" t="n">
        <v>9.95123384941998</v>
      </c>
      <c r="FB127" s="180" t="n">
        <v>10.02096953744</v>
      </c>
      <c r="FC127" s="180" t="n">
        <v>10.09070522546</v>
      </c>
      <c r="FD127" s="180" t="n">
        <v>10.16044091348</v>
      </c>
      <c r="FE127" s="180" t="n">
        <v>10.2301766015</v>
      </c>
      <c r="FF127" s="180" t="n">
        <v>10.29991228952</v>
      </c>
      <c r="FG127" s="180" t="n">
        <v>10.36964797754</v>
      </c>
      <c r="FH127" s="180" t="n">
        <v>10.43938366556</v>
      </c>
      <c r="FI127" s="180" t="n">
        <v>10.50911935358</v>
      </c>
      <c r="FJ127" s="180" t="n">
        <v>10.5788550416</v>
      </c>
      <c r="FK127" s="180" t="n">
        <v>10.64859072962</v>
      </c>
      <c r="FL127" s="180" t="n">
        <v>10.71832641764</v>
      </c>
      <c r="FM127" s="180" t="n">
        <v>10.78806210566</v>
      </c>
      <c r="FN127" s="180" t="n">
        <v>10.85779779368</v>
      </c>
      <c r="FO127" s="180" t="n">
        <v>10.9275334817</v>
      </c>
      <c r="FP127" s="180" t="n">
        <v>10.99726916972</v>
      </c>
      <c r="FQ127" s="180" t="n">
        <v>11.06700485774</v>
      </c>
      <c r="FR127" s="180" t="n">
        <v>11.13674054576</v>
      </c>
      <c r="FS127" s="180" t="n">
        <v>11.20647623378</v>
      </c>
      <c r="FT127" s="180" t="n">
        <v>11.2762119218</v>
      </c>
      <c r="FU127" s="180" t="n">
        <v>11.34594760982</v>
      </c>
      <c r="FV127" s="180" t="n">
        <v>11.41568329784</v>
      </c>
      <c r="FW127" s="180" t="n">
        <v>11.48541898586</v>
      </c>
      <c r="FX127" s="180" t="n">
        <v>11.55515467388</v>
      </c>
      <c r="FY127" s="180" t="n">
        <v>11.6248903619</v>
      </c>
      <c r="FZ127" s="180" t="n">
        <v>11.69462604992</v>
      </c>
      <c r="GA127" s="180" t="n">
        <v>11.76436173794</v>
      </c>
      <c r="GB127" s="180" t="n">
        <v>11.83409742596</v>
      </c>
      <c r="GC127" s="180" t="n">
        <v>11.90383311398</v>
      </c>
      <c r="GD127" s="180" t="n">
        <v>11.973568802</v>
      </c>
      <c r="GE127" s="180" t="n">
        <v>12.04330449002</v>
      </c>
      <c r="GF127" s="180" t="n">
        <v>12.11304017804</v>
      </c>
      <c r="GG127" s="180" t="n">
        <v>12.18277586606</v>
      </c>
      <c r="GH127" s="180" t="n">
        <v>12.25251155408</v>
      </c>
      <c r="GI127" s="180" t="n">
        <v>12.3222472421</v>
      </c>
      <c r="GJ127" s="180" t="n">
        <v>12.39198293012</v>
      </c>
      <c r="GK127" s="180" t="n">
        <v>12.46171861814</v>
      </c>
      <c r="GL127" s="180" t="n">
        <v>12.53145430616</v>
      </c>
      <c r="GM127" s="180" t="n">
        <v>12.60118999418</v>
      </c>
      <c r="GN127" s="180" t="n">
        <v>12.6709256822</v>
      </c>
      <c r="GO127" s="180" t="n">
        <v>12.74066137022</v>
      </c>
      <c r="GP127" s="180" t="n">
        <v>12.81039705824</v>
      </c>
      <c r="GQ127" s="180" t="n">
        <v>12.88013274626</v>
      </c>
      <c r="GR127" s="180" t="n">
        <v>12.94986843428</v>
      </c>
      <c r="GS127" s="180" t="n">
        <v>13.0196041223</v>
      </c>
      <c r="GT127" s="180" t="n">
        <v>13.08933981032</v>
      </c>
      <c r="GU127" s="180" t="n">
        <v>13.15907549834</v>
      </c>
      <c r="GV127" s="180" t="n">
        <v>13.22881118636</v>
      </c>
      <c r="GW127" s="180" t="n">
        <v>13.29854687438</v>
      </c>
      <c r="GX127" s="180" t="n">
        <v>13.3682825624</v>
      </c>
      <c r="GY127" s="180" t="n">
        <v>13.43801825042</v>
      </c>
      <c r="GZ127" s="180" t="n">
        <v>13.50775393844</v>
      </c>
      <c r="HA127" s="180" t="n">
        <v>13.57748962646</v>
      </c>
      <c r="HB127" s="180" t="n">
        <v>13.64722531448</v>
      </c>
      <c r="HC127" s="180" t="n">
        <v>13.7169610025</v>
      </c>
      <c r="HD127" s="180" t="n">
        <v>13.78669669052</v>
      </c>
      <c r="HE127" s="180" t="n">
        <v>13.85643237854</v>
      </c>
      <c r="HF127" s="180" t="n">
        <v>13.92616806656</v>
      </c>
      <c r="HG127" s="180" t="n">
        <v>13.99590375458</v>
      </c>
      <c r="HH127" s="180" t="n">
        <v>14.0656394426</v>
      </c>
      <c r="HI127" s="180" t="n">
        <v>14.13537513062</v>
      </c>
      <c r="HJ127" s="180" t="n">
        <v>14.20511081864</v>
      </c>
      <c r="HK127" s="180" t="n">
        <v>14.27484650666</v>
      </c>
      <c r="HL127" s="180" t="n">
        <v>14.34458219468</v>
      </c>
      <c r="HM127" s="180" t="n">
        <v>14.4143178827</v>
      </c>
      <c r="HN127" s="180" t="n">
        <v>14.48405357072</v>
      </c>
      <c r="HO127" s="180" t="n">
        <v>14.55378925874</v>
      </c>
      <c r="HP127" s="180" t="n">
        <v>14.62352494676</v>
      </c>
      <c r="HQ127" s="180" t="n">
        <v>14.69326063478</v>
      </c>
      <c r="HR127" s="180" t="n">
        <v>14.7629963228</v>
      </c>
      <c r="HS127" s="180" t="n">
        <v>14.83273201082</v>
      </c>
      <c r="HT127" s="180" t="n">
        <v>14.90246769884</v>
      </c>
      <c r="HU127" s="180" t="n">
        <v>14.97220338686</v>
      </c>
      <c r="HV127" s="180" t="n">
        <v>15.04193907488</v>
      </c>
      <c r="HW127" s="180" t="n">
        <v>15.1116747629</v>
      </c>
      <c r="HX127" s="180" t="n">
        <v>15.18141045092</v>
      </c>
      <c r="HY127" s="180" t="n">
        <v>15.25114613894</v>
      </c>
      <c r="HZ127" s="180" t="n">
        <v>15.32088182696</v>
      </c>
      <c r="IA127" s="180" t="n">
        <v>15.39061751498</v>
      </c>
      <c r="IB127" s="180" t="n">
        <v>15.460353203</v>
      </c>
      <c r="IC127" s="180" t="n">
        <v>15.53008889102</v>
      </c>
      <c r="ID127" s="180" t="n">
        <v>15.59982457904</v>
      </c>
      <c r="IE127" s="180" t="n">
        <v>15.66956026706</v>
      </c>
      <c r="IF127" s="180" t="n">
        <v>15.73929595508</v>
      </c>
      <c r="IG127" s="180" t="n">
        <v>15.8090316431</v>
      </c>
      <c r="IH127" s="180" t="n">
        <v>15.87876733112</v>
      </c>
      <c r="II127" s="180" t="n">
        <v>15.94850301914</v>
      </c>
      <c r="IJ127" s="180" t="n">
        <v>16.01823870716</v>
      </c>
      <c r="IK127" s="180" t="n">
        <v>16.08797439518</v>
      </c>
      <c r="IL127" s="180" t="n">
        <v>16.1577100832</v>
      </c>
      <c r="IM127" s="180" t="n">
        <v>16.22744577122</v>
      </c>
      <c r="IN127" s="180" t="n">
        <v>16.29718145924</v>
      </c>
      <c r="IO127" s="180" t="n">
        <v>16.36691714726</v>
      </c>
      <c r="IP127" s="180" t="n">
        <v>16.43665283528</v>
      </c>
      <c r="IQ127" s="180" t="n">
        <v>16.5063885233</v>
      </c>
      <c r="IR127" s="180" t="n">
        <v>16.57612421132</v>
      </c>
      <c r="IS127" s="180" t="n">
        <v>16.64585989934</v>
      </c>
      <c r="IT127" s="180" t="n">
        <v>16.71559558736</v>
      </c>
      <c r="IU127" s="180" t="n">
        <v>16.78533127538</v>
      </c>
      <c r="IV127" s="180" t="n">
        <v>16.8550669634</v>
      </c>
    </row>
    <row r="128" customFormat="false" ht="12.75" hidden="false" customHeight="false" outlineLevel="0" collapsed="false">
      <c r="A128" s="189" t="n">
        <v>40575</v>
      </c>
      <c r="B128" s="185" t="n">
        <v>-2.021005929375</v>
      </c>
      <c r="C128" s="185" t="n">
        <v>-1.9907047400625</v>
      </c>
      <c r="D128" s="185" t="n">
        <v>-1.96040355075</v>
      </c>
      <c r="E128" s="185" t="n">
        <v>-1.9301023614375</v>
      </c>
      <c r="F128" s="185" t="n">
        <v>-1.899801172125</v>
      </c>
      <c r="G128" s="185" t="n">
        <v>-1.8694999828125</v>
      </c>
      <c r="H128" s="185" t="n">
        <v>-1.8391987935</v>
      </c>
      <c r="I128" s="185" t="n">
        <v>-1.8088976041875</v>
      </c>
      <c r="J128" s="185" t="n">
        <v>-1.778596414875</v>
      </c>
      <c r="K128" s="185" t="n">
        <v>-1.7482952255625</v>
      </c>
      <c r="L128" s="185" t="n">
        <v>-1.71799403625</v>
      </c>
      <c r="M128" s="185" t="n">
        <v>-1.6876928469375</v>
      </c>
      <c r="N128" s="185" t="n">
        <v>-1.657391657625</v>
      </c>
      <c r="O128" s="185" t="n">
        <v>-1.6270904683125</v>
      </c>
      <c r="P128" s="185" t="n">
        <v>-1.596789279</v>
      </c>
      <c r="Q128" s="185" t="n">
        <v>-1.5664880896875</v>
      </c>
      <c r="R128" s="185" t="n">
        <v>-1.536186900375</v>
      </c>
      <c r="S128" s="185" t="n">
        <v>-1.5058857110625</v>
      </c>
      <c r="T128" s="185" t="n">
        <v>-1.47558452175</v>
      </c>
      <c r="U128" s="185" t="n">
        <v>-1.4452833324375</v>
      </c>
      <c r="V128" s="186" t="n">
        <v>-1.414982143125</v>
      </c>
      <c r="W128" s="185" t="n">
        <v>-1.3846809538125</v>
      </c>
      <c r="X128" s="186" t="n">
        <v>-1.3543797645</v>
      </c>
      <c r="Y128" s="185" t="n">
        <v>-1.3240785751875</v>
      </c>
      <c r="Z128" s="186" t="n">
        <v>-1.293777385875</v>
      </c>
      <c r="AA128" s="185" t="n">
        <v>-1.2634761965625</v>
      </c>
      <c r="AB128" s="187" t="n">
        <v>-1.23317500725</v>
      </c>
      <c r="AC128" s="185" t="n">
        <v>-1.2028738179375</v>
      </c>
      <c r="AD128" s="187" t="n">
        <v>-1.172572628625</v>
      </c>
      <c r="AE128" s="185" t="n">
        <v>-1.1422714393125</v>
      </c>
      <c r="AF128" s="185" t="n">
        <v>-1.11197025</v>
      </c>
      <c r="AG128" s="190" t="n">
        <v>-1.083235125</v>
      </c>
      <c r="AH128" s="190" t="n">
        <v>-1.0545</v>
      </c>
      <c r="AI128" s="190" t="n">
        <v>-1.02725</v>
      </c>
      <c r="AJ128" s="190" t="n">
        <v>-1</v>
      </c>
      <c r="AK128" s="190" t="n">
        <v>-0.8</v>
      </c>
      <c r="AL128" s="190" t="n">
        <v>-0.6</v>
      </c>
      <c r="AM128" s="190" t="n">
        <v>-0.4</v>
      </c>
      <c r="AN128" s="190" t="n">
        <v>-0.2</v>
      </c>
      <c r="AO128" s="190" t="n">
        <v>0</v>
      </c>
      <c r="AP128" s="190" t="n">
        <v>0.2</v>
      </c>
      <c r="AQ128" s="190" t="n">
        <v>0.4</v>
      </c>
      <c r="AR128" s="190" t="n">
        <v>0.6</v>
      </c>
      <c r="AS128" s="190" t="n">
        <v>0.8</v>
      </c>
      <c r="AT128" s="190" t="n">
        <v>1</v>
      </c>
      <c r="AU128" s="190" t="n">
        <v>1.2</v>
      </c>
      <c r="AV128" s="190" t="n">
        <v>1.4</v>
      </c>
      <c r="AW128" s="190" t="n">
        <v>1.58</v>
      </c>
      <c r="AX128" s="190" t="n">
        <v>1.76</v>
      </c>
      <c r="AY128" s="190" t="n">
        <v>1.922</v>
      </c>
      <c r="AZ128" s="190" t="n">
        <v>2.084</v>
      </c>
      <c r="BA128" s="190" t="n">
        <v>2.2298</v>
      </c>
      <c r="BB128" s="190" t="n">
        <v>2.3756</v>
      </c>
      <c r="BC128" s="190" t="n">
        <v>2.50682</v>
      </c>
      <c r="BD128" s="190" t="n">
        <v>2.63804</v>
      </c>
      <c r="BE128" s="190" t="n">
        <v>2.756138</v>
      </c>
      <c r="BF128" s="190" t="n">
        <v>2.874236</v>
      </c>
      <c r="BG128" s="190" t="n">
        <v>2.9805242</v>
      </c>
      <c r="BH128" s="190" t="n">
        <v>3.0868124</v>
      </c>
      <c r="BI128" s="190" t="n">
        <v>3.18247178</v>
      </c>
      <c r="BJ128" s="190" t="n">
        <v>3.27813116</v>
      </c>
      <c r="BK128" s="190" t="n">
        <v>3.364224602</v>
      </c>
      <c r="BL128" s="190" t="n">
        <v>3.450318044</v>
      </c>
      <c r="BM128" s="190" t="n">
        <v>3.5278021418</v>
      </c>
      <c r="BN128" s="190" t="n">
        <v>3.6052862396</v>
      </c>
      <c r="BO128" s="190" t="n">
        <v>3.67502192762</v>
      </c>
      <c r="BP128" s="190" t="n">
        <v>3.74475761564</v>
      </c>
      <c r="BQ128" s="190" t="n">
        <v>3.81449330366</v>
      </c>
      <c r="BR128" s="190" t="n">
        <v>3.88422899168</v>
      </c>
      <c r="BS128" s="190" t="n">
        <v>3.9539646797</v>
      </c>
      <c r="BT128" s="190" t="n">
        <v>4.02370036772</v>
      </c>
      <c r="BU128" s="190" t="n">
        <v>4.09343605574</v>
      </c>
      <c r="BV128" s="190" t="n">
        <v>4.16317174376</v>
      </c>
      <c r="BW128" s="190" t="n">
        <v>4.23290743178</v>
      </c>
      <c r="BX128" s="190" t="n">
        <v>4.3026431198</v>
      </c>
      <c r="BY128" s="190" t="n">
        <v>4.37237880782</v>
      </c>
      <c r="BZ128" s="190" t="n">
        <v>4.44211449584</v>
      </c>
      <c r="CA128" s="190" t="n">
        <v>4.51185018386</v>
      </c>
      <c r="CB128" s="190" t="n">
        <v>4.58158587188</v>
      </c>
      <c r="CC128" s="190" t="n">
        <v>4.6513215599</v>
      </c>
      <c r="CD128" s="190" t="n">
        <v>4.72105724792</v>
      </c>
      <c r="CE128" s="190" t="n">
        <v>4.79079293594</v>
      </c>
      <c r="CF128" s="190" t="n">
        <v>4.86052862396</v>
      </c>
      <c r="CG128" s="190" t="n">
        <v>4.93026431198</v>
      </c>
      <c r="CH128" s="190" t="n">
        <v>5</v>
      </c>
      <c r="CI128" s="190" t="n">
        <v>5.06973568801999</v>
      </c>
      <c r="CJ128" s="190" t="n">
        <v>5.13947137603999</v>
      </c>
      <c r="CK128" s="190" t="n">
        <v>5.20920706405999</v>
      </c>
      <c r="CL128" s="190" t="n">
        <v>5.27894275207999</v>
      </c>
      <c r="CM128" s="190" t="n">
        <v>5.34867844009999</v>
      </c>
      <c r="CN128" s="190" t="n">
        <v>5.41841412811999</v>
      </c>
      <c r="CO128" s="190" t="n">
        <v>5.48814981613999</v>
      </c>
      <c r="CP128" s="190" t="n">
        <v>5.55788550415999</v>
      </c>
      <c r="CQ128" s="190" t="n">
        <v>5.62762119217999</v>
      </c>
      <c r="CR128" s="190" t="n">
        <v>5.69735688019999</v>
      </c>
      <c r="CS128" s="190" t="n">
        <v>5.76709256821999</v>
      </c>
      <c r="CT128" s="190" t="n">
        <v>5.83682825623999</v>
      </c>
      <c r="CU128" s="190" t="n">
        <v>5.90656394425999</v>
      </c>
      <c r="CV128" s="190" t="n">
        <v>5.97629963227999</v>
      </c>
      <c r="CW128" s="190" t="n">
        <v>6.04603532029999</v>
      </c>
      <c r="CX128" s="190" t="n">
        <v>6.11577100831999</v>
      </c>
      <c r="CY128" s="190" t="n">
        <v>6.18550669633999</v>
      </c>
      <c r="CZ128" s="190" t="n">
        <v>6.25524238435999</v>
      </c>
      <c r="DA128" s="190" t="n">
        <v>6.32497807237999</v>
      </c>
      <c r="DB128" s="190" t="n">
        <v>6.39471376039999</v>
      </c>
      <c r="DC128" s="190" t="n">
        <v>6.46444944841999</v>
      </c>
      <c r="DD128" s="190" t="n">
        <v>6.53418513643999</v>
      </c>
      <c r="DE128" s="190" t="n">
        <v>6.60392082445999</v>
      </c>
      <c r="DF128" s="190" t="n">
        <v>6.67365651247999</v>
      </c>
      <c r="DG128" s="190" t="n">
        <v>6.74339220049999</v>
      </c>
      <c r="DH128" s="190" t="n">
        <v>6.81312788851999</v>
      </c>
      <c r="DI128" s="190" t="n">
        <v>6.88286357653999</v>
      </c>
      <c r="DJ128" s="190" t="n">
        <v>6.95259926455999</v>
      </c>
      <c r="DK128" s="190" t="n">
        <v>7.02233495257999</v>
      </c>
      <c r="DL128" s="190" t="n">
        <v>7.09207064059999</v>
      </c>
      <c r="DM128" s="190" t="n">
        <v>7.16180632861999</v>
      </c>
      <c r="DN128" s="190" t="n">
        <v>7.23154201663999</v>
      </c>
      <c r="DO128" s="190" t="n">
        <v>7.30127770465999</v>
      </c>
      <c r="DP128" s="190" t="n">
        <v>7.37101339267999</v>
      </c>
      <c r="DQ128" s="190" t="n">
        <v>7.44074908069999</v>
      </c>
      <c r="DR128" s="190" t="n">
        <v>7.51048476871999</v>
      </c>
      <c r="DS128" s="190" t="n">
        <v>7.58022045673999</v>
      </c>
      <c r="DT128" s="190" t="n">
        <v>7.64995614475999</v>
      </c>
      <c r="DU128" s="190" t="n">
        <v>7.71969183277999</v>
      </c>
      <c r="DV128" s="190" t="n">
        <v>7.78942752079998</v>
      </c>
      <c r="DW128" s="190" t="n">
        <v>7.85916320881998</v>
      </c>
      <c r="DX128" s="190" t="n">
        <v>7.92889889683998</v>
      </c>
      <c r="DY128" s="190" t="n">
        <v>7.99863458485998</v>
      </c>
      <c r="DZ128" s="190" t="n">
        <v>8.06837027287998</v>
      </c>
      <c r="EA128" s="190" t="n">
        <v>8.13810596089998</v>
      </c>
      <c r="EB128" s="190" t="n">
        <v>8.20784164891998</v>
      </c>
      <c r="EC128" s="190" t="n">
        <v>8.27757733693998</v>
      </c>
      <c r="ED128" s="190" t="n">
        <v>8.34731302495998</v>
      </c>
      <c r="EE128" s="190" t="n">
        <v>8.41704871297998</v>
      </c>
      <c r="EF128" s="190" t="n">
        <v>8.48678440099998</v>
      </c>
      <c r="EG128" s="190" t="n">
        <v>8.55652008901998</v>
      </c>
      <c r="EH128" s="190" t="n">
        <v>8.62625577703998</v>
      </c>
      <c r="EI128" s="190" t="n">
        <v>8.69599146505998</v>
      </c>
      <c r="EJ128" s="190" t="n">
        <v>8.76572715307998</v>
      </c>
      <c r="EK128" s="190" t="n">
        <v>8.83546284109998</v>
      </c>
      <c r="EL128" s="180" t="n">
        <v>8.90519852911998</v>
      </c>
      <c r="EM128" s="180" t="n">
        <v>8.97493421713998</v>
      </c>
      <c r="EN128" s="180" t="n">
        <v>9.04466990515998</v>
      </c>
      <c r="EO128" s="180" t="n">
        <v>9.11440559317998</v>
      </c>
      <c r="EP128" s="180" t="n">
        <v>9.18414128119998</v>
      </c>
      <c r="EQ128" s="180" t="n">
        <v>9.25387696921998</v>
      </c>
      <c r="ER128" s="180" t="n">
        <v>9.32361265723998</v>
      </c>
      <c r="ES128" s="180" t="n">
        <v>9.39334834525998</v>
      </c>
      <c r="ET128" s="180" t="n">
        <v>9.46308403327998</v>
      </c>
      <c r="EU128" s="180" t="n">
        <v>9.53281972129998</v>
      </c>
      <c r="EV128" s="180" t="n">
        <v>9.60255540931998</v>
      </c>
      <c r="EW128" s="180" t="n">
        <v>9.67229109733998</v>
      </c>
      <c r="EX128" s="180" t="n">
        <v>9.74202678535998</v>
      </c>
      <c r="EY128" s="180" t="n">
        <v>9.81176247337998</v>
      </c>
      <c r="EZ128" s="180" t="n">
        <v>9.88149816139998</v>
      </c>
      <c r="FA128" s="180" t="n">
        <v>9.95123384941998</v>
      </c>
      <c r="FB128" s="180" t="n">
        <v>10.02096953744</v>
      </c>
      <c r="FC128" s="180" t="n">
        <v>10.09070522546</v>
      </c>
      <c r="FD128" s="180" t="n">
        <v>10.16044091348</v>
      </c>
      <c r="FE128" s="180" t="n">
        <v>10.2301766015</v>
      </c>
      <c r="FF128" s="180" t="n">
        <v>10.29991228952</v>
      </c>
      <c r="FG128" s="180" t="n">
        <v>10.36964797754</v>
      </c>
      <c r="FH128" s="180" t="n">
        <v>10.43938366556</v>
      </c>
      <c r="FI128" s="180" t="n">
        <v>10.50911935358</v>
      </c>
      <c r="FJ128" s="180" t="n">
        <v>10.5788550416</v>
      </c>
      <c r="FK128" s="180" t="n">
        <v>10.64859072962</v>
      </c>
      <c r="FL128" s="180" t="n">
        <v>10.71832641764</v>
      </c>
      <c r="FM128" s="180" t="n">
        <v>10.78806210566</v>
      </c>
      <c r="FN128" s="180" t="n">
        <v>10.85779779368</v>
      </c>
      <c r="FO128" s="180" t="n">
        <v>10.9275334817</v>
      </c>
      <c r="FP128" s="180" t="n">
        <v>10.99726916972</v>
      </c>
      <c r="FQ128" s="180" t="n">
        <v>11.06700485774</v>
      </c>
      <c r="FR128" s="180" t="n">
        <v>11.13674054576</v>
      </c>
      <c r="FS128" s="180" t="n">
        <v>11.20647623378</v>
      </c>
      <c r="FT128" s="180" t="n">
        <v>11.2762119218</v>
      </c>
      <c r="FU128" s="180" t="n">
        <v>11.34594760982</v>
      </c>
      <c r="FV128" s="180" t="n">
        <v>11.41568329784</v>
      </c>
      <c r="FW128" s="180" t="n">
        <v>11.48541898586</v>
      </c>
      <c r="FX128" s="180" t="n">
        <v>11.55515467388</v>
      </c>
      <c r="FY128" s="180" t="n">
        <v>11.6248903619</v>
      </c>
      <c r="FZ128" s="180" t="n">
        <v>11.69462604992</v>
      </c>
      <c r="GA128" s="180" t="n">
        <v>11.76436173794</v>
      </c>
      <c r="GB128" s="180" t="n">
        <v>11.83409742596</v>
      </c>
      <c r="GC128" s="180" t="n">
        <v>11.90383311398</v>
      </c>
      <c r="GD128" s="180" t="n">
        <v>11.973568802</v>
      </c>
      <c r="GE128" s="180" t="n">
        <v>12.04330449002</v>
      </c>
      <c r="GF128" s="180" t="n">
        <v>12.11304017804</v>
      </c>
      <c r="GG128" s="180" t="n">
        <v>12.18277586606</v>
      </c>
      <c r="GH128" s="180" t="n">
        <v>12.25251155408</v>
      </c>
      <c r="GI128" s="180" t="n">
        <v>12.3222472421</v>
      </c>
      <c r="GJ128" s="180" t="n">
        <v>12.39198293012</v>
      </c>
      <c r="GK128" s="180" t="n">
        <v>12.46171861814</v>
      </c>
      <c r="GL128" s="180" t="n">
        <v>12.53145430616</v>
      </c>
      <c r="GM128" s="180" t="n">
        <v>12.60118999418</v>
      </c>
      <c r="GN128" s="180" t="n">
        <v>12.6709256822</v>
      </c>
      <c r="GO128" s="180" t="n">
        <v>12.74066137022</v>
      </c>
      <c r="GP128" s="180" t="n">
        <v>12.81039705824</v>
      </c>
      <c r="GQ128" s="180" t="n">
        <v>12.88013274626</v>
      </c>
      <c r="GR128" s="180" t="n">
        <v>12.94986843428</v>
      </c>
      <c r="GS128" s="180" t="n">
        <v>13.0196041223</v>
      </c>
      <c r="GT128" s="180" t="n">
        <v>13.08933981032</v>
      </c>
      <c r="GU128" s="180" t="n">
        <v>13.15907549834</v>
      </c>
      <c r="GV128" s="180" t="n">
        <v>13.22881118636</v>
      </c>
      <c r="GW128" s="180" t="n">
        <v>13.29854687438</v>
      </c>
      <c r="GX128" s="180" t="n">
        <v>13.3682825624</v>
      </c>
      <c r="GY128" s="180" t="n">
        <v>13.43801825042</v>
      </c>
      <c r="GZ128" s="180" t="n">
        <v>13.50775393844</v>
      </c>
      <c r="HA128" s="180" t="n">
        <v>13.57748962646</v>
      </c>
      <c r="HB128" s="180" t="n">
        <v>13.64722531448</v>
      </c>
      <c r="HC128" s="180" t="n">
        <v>13.7169610025</v>
      </c>
      <c r="HD128" s="180" t="n">
        <v>13.78669669052</v>
      </c>
      <c r="HE128" s="180" t="n">
        <v>13.85643237854</v>
      </c>
      <c r="HF128" s="180" t="n">
        <v>13.92616806656</v>
      </c>
      <c r="HG128" s="180" t="n">
        <v>13.99590375458</v>
      </c>
      <c r="HH128" s="180" t="n">
        <v>14.0656394426</v>
      </c>
      <c r="HI128" s="180" t="n">
        <v>14.13537513062</v>
      </c>
      <c r="HJ128" s="180" t="n">
        <v>14.20511081864</v>
      </c>
      <c r="HK128" s="180" t="n">
        <v>14.27484650666</v>
      </c>
      <c r="HL128" s="180" t="n">
        <v>14.34458219468</v>
      </c>
      <c r="HM128" s="180" t="n">
        <v>14.4143178827</v>
      </c>
      <c r="HN128" s="180" t="n">
        <v>14.48405357072</v>
      </c>
      <c r="HO128" s="180" t="n">
        <v>14.55378925874</v>
      </c>
      <c r="HP128" s="180" t="n">
        <v>14.62352494676</v>
      </c>
      <c r="HQ128" s="180" t="n">
        <v>14.69326063478</v>
      </c>
      <c r="HR128" s="180" t="n">
        <v>14.7629963228</v>
      </c>
      <c r="HS128" s="180" t="n">
        <v>14.83273201082</v>
      </c>
      <c r="HT128" s="180" t="n">
        <v>14.90246769884</v>
      </c>
      <c r="HU128" s="180" t="n">
        <v>14.97220338686</v>
      </c>
      <c r="HV128" s="180" t="n">
        <v>15.04193907488</v>
      </c>
      <c r="HW128" s="180" t="n">
        <v>15.1116747629</v>
      </c>
      <c r="HX128" s="180" t="n">
        <v>15.18141045092</v>
      </c>
      <c r="HY128" s="180" t="n">
        <v>15.25114613894</v>
      </c>
      <c r="HZ128" s="180" t="n">
        <v>15.32088182696</v>
      </c>
      <c r="IA128" s="180" t="n">
        <v>15.39061751498</v>
      </c>
      <c r="IB128" s="180" t="n">
        <v>15.460353203</v>
      </c>
      <c r="IC128" s="180" t="n">
        <v>15.53008889102</v>
      </c>
      <c r="ID128" s="180" t="n">
        <v>15.59982457904</v>
      </c>
      <c r="IE128" s="180" t="n">
        <v>15.66956026706</v>
      </c>
      <c r="IF128" s="180" t="n">
        <v>15.73929595508</v>
      </c>
      <c r="IG128" s="180" t="n">
        <v>15.8090316431</v>
      </c>
      <c r="IH128" s="180" t="n">
        <v>15.87876733112</v>
      </c>
      <c r="II128" s="180" t="n">
        <v>15.94850301914</v>
      </c>
      <c r="IJ128" s="180" t="n">
        <v>16.01823870716</v>
      </c>
      <c r="IK128" s="180" t="n">
        <v>16.08797439518</v>
      </c>
      <c r="IL128" s="180" t="n">
        <v>16.1577100832</v>
      </c>
      <c r="IM128" s="180" t="n">
        <v>16.22744577122</v>
      </c>
      <c r="IN128" s="180" t="n">
        <v>16.29718145924</v>
      </c>
      <c r="IO128" s="180" t="n">
        <v>16.36691714726</v>
      </c>
      <c r="IP128" s="180" t="n">
        <v>16.43665283528</v>
      </c>
      <c r="IQ128" s="180" t="n">
        <v>16.5063885233</v>
      </c>
      <c r="IR128" s="180" t="n">
        <v>16.57612421132</v>
      </c>
      <c r="IS128" s="180" t="n">
        <v>16.64585989934</v>
      </c>
      <c r="IT128" s="180" t="n">
        <v>16.71559558736</v>
      </c>
      <c r="IU128" s="180" t="n">
        <v>16.78533127538</v>
      </c>
      <c r="IV128" s="180" t="n">
        <v>16.8550669634</v>
      </c>
    </row>
    <row r="129" customFormat="false" ht="12.75" hidden="false" customHeight="false" outlineLevel="0" collapsed="false">
      <c r="A129" s="189" t="n">
        <v>40603</v>
      </c>
      <c r="B129" s="185" t="n">
        <v>-2.021005929375</v>
      </c>
      <c r="C129" s="185" t="n">
        <v>-1.9907047400625</v>
      </c>
      <c r="D129" s="185" t="n">
        <v>-1.96040355075</v>
      </c>
      <c r="E129" s="185" t="n">
        <v>-1.9301023614375</v>
      </c>
      <c r="F129" s="185" t="n">
        <v>-1.899801172125</v>
      </c>
      <c r="G129" s="185" t="n">
        <v>-1.8694999828125</v>
      </c>
      <c r="H129" s="185" t="n">
        <v>-1.8391987935</v>
      </c>
      <c r="I129" s="185" t="n">
        <v>-1.8088976041875</v>
      </c>
      <c r="J129" s="185" t="n">
        <v>-1.778596414875</v>
      </c>
      <c r="K129" s="185" t="n">
        <v>-1.7482952255625</v>
      </c>
      <c r="L129" s="185" t="n">
        <v>-1.71799403625</v>
      </c>
      <c r="M129" s="185" t="n">
        <v>-1.6876928469375</v>
      </c>
      <c r="N129" s="185" t="n">
        <v>-1.657391657625</v>
      </c>
      <c r="O129" s="185" t="n">
        <v>-1.6270904683125</v>
      </c>
      <c r="P129" s="185" t="n">
        <v>-1.596789279</v>
      </c>
      <c r="Q129" s="185" t="n">
        <v>-1.5664880896875</v>
      </c>
      <c r="R129" s="185" t="n">
        <v>-1.536186900375</v>
      </c>
      <c r="S129" s="185" t="n">
        <v>-1.5058857110625</v>
      </c>
      <c r="T129" s="185" t="n">
        <v>-1.47558452175</v>
      </c>
      <c r="U129" s="185" t="n">
        <v>-1.4452833324375</v>
      </c>
      <c r="V129" s="186" t="n">
        <v>-1.414982143125</v>
      </c>
      <c r="W129" s="185" t="n">
        <v>-1.3846809538125</v>
      </c>
      <c r="X129" s="186" t="n">
        <v>-1.3543797645</v>
      </c>
      <c r="Y129" s="185" t="n">
        <v>-1.3240785751875</v>
      </c>
      <c r="Z129" s="186" t="n">
        <v>-1.293777385875</v>
      </c>
      <c r="AA129" s="185" t="n">
        <v>-1.2634761965625</v>
      </c>
      <c r="AB129" s="187" t="n">
        <v>-1.23317500725</v>
      </c>
      <c r="AC129" s="185" t="n">
        <v>-1.2028738179375</v>
      </c>
      <c r="AD129" s="187" t="n">
        <v>-1.172572628625</v>
      </c>
      <c r="AE129" s="185" t="n">
        <v>-1.1422714393125</v>
      </c>
      <c r="AF129" s="185" t="n">
        <v>-1.11197025</v>
      </c>
      <c r="AG129" s="190" t="n">
        <v>-1.083235125</v>
      </c>
      <c r="AH129" s="190" t="n">
        <v>-1.0545</v>
      </c>
      <c r="AI129" s="190" t="n">
        <v>-1.02725</v>
      </c>
      <c r="AJ129" s="190" t="n">
        <v>-1</v>
      </c>
      <c r="AK129" s="190" t="n">
        <v>-0.8</v>
      </c>
      <c r="AL129" s="190" t="n">
        <v>-0.6</v>
      </c>
      <c r="AM129" s="190" t="n">
        <v>-0.4</v>
      </c>
      <c r="AN129" s="190" t="n">
        <v>-0.2</v>
      </c>
      <c r="AO129" s="190" t="n">
        <v>0</v>
      </c>
      <c r="AP129" s="190" t="n">
        <v>0.2</v>
      </c>
      <c r="AQ129" s="190" t="n">
        <v>0.4</v>
      </c>
      <c r="AR129" s="190" t="n">
        <v>0.6</v>
      </c>
      <c r="AS129" s="190" t="n">
        <v>0.8</v>
      </c>
      <c r="AT129" s="190" t="n">
        <v>1</v>
      </c>
      <c r="AU129" s="190" t="n">
        <v>1.2</v>
      </c>
      <c r="AV129" s="190" t="n">
        <v>1.4</v>
      </c>
      <c r="AW129" s="190" t="n">
        <v>1.58</v>
      </c>
      <c r="AX129" s="190" t="n">
        <v>1.76</v>
      </c>
      <c r="AY129" s="190" t="n">
        <v>1.922</v>
      </c>
      <c r="AZ129" s="190" t="n">
        <v>2.084</v>
      </c>
      <c r="BA129" s="190" t="n">
        <v>2.2298</v>
      </c>
      <c r="BB129" s="190" t="n">
        <v>2.3756</v>
      </c>
      <c r="BC129" s="190" t="n">
        <v>2.50682</v>
      </c>
      <c r="BD129" s="190" t="n">
        <v>2.63804</v>
      </c>
      <c r="BE129" s="190" t="n">
        <v>2.756138</v>
      </c>
      <c r="BF129" s="190" t="n">
        <v>2.874236</v>
      </c>
      <c r="BG129" s="190" t="n">
        <v>2.9805242</v>
      </c>
      <c r="BH129" s="190" t="n">
        <v>3.0868124</v>
      </c>
      <c r="BI129" s="190" t="n">
        <v>3.18247178</v>
      </c>
      <c r="BJ129" s="190" t="n">
        <v>3.27813116</v>
      </c>
      <c r="BK129" s="190" t="n">
        <v>3.364224602</v>
      </c>
      <c r="BL129" s="190" t="n">
        <v>3.450318044</v>
      </c>
      <c r="BM129" s="190" t="n">
        <v>3.5278021418</v>
      </c>
      <c r="BN129" s="190" t="n">
        <v>3.6052862396</v>
      </c>
      <c r="BO129" s="190" t="n">
        <v>3.67502192762</v>
      </c>
      <c r="BP129" s="190" t="n">
        <v>3.74475761564</v>
      </c>
      <c r="BQ129" s="190" t="n">
        <v>3.81449330366</v>
      </c>
      <c r="BR129" s="190" t="n">
        <v>3.88422899168</v>
      </c>
      <c r="BS129" s="190" t="n">
        <v>3.9539646797</v>
      </c>
      <c r="BT129" s="190" t="n">
        <v>4.02370036772</v>
      </c>
      <c r="BU129" s="190" t="n">
        <v>4.09343605574</v>
      </c>
      <c r="BV129" s="190" t="n">
        <v>4.16317174376</v>
      </c>
      <c r="BW129" s="190" t="n">
        <v>4.23290743178</v>
      </c>
      <c r="BX129" s="190" t="n">
        <v>4.3026431198</v>
      </c>
      <c r="BY129" s="190" t="n">
        <v>4.37237880782</v>
      </c>
      <c r="BZ129" s="190" t="n">
        <v>4.44211449584</v>
      </c>
      <c r="CA129" s="190" t="n">
        <v>4.51185018386</v>
      </c>
      <c r="CB129" s="190" t="n">
        <v>4.58158587188</v>
      </c>
      <c r="CC129" s="190" t="n">
        <v>4.6513215599</v>
      </c>
      <c r="CD129" s="190" t="n">
        <v>4.72105724792</v>
      </c>
      <c r="CE129" s="190" t="n">
        <v>4.79079293594</v>
      </c>
      <c r="CF129" s="190" t="n">
        <v>4.86052862396</v>
      </c>
      <c r="CG129" s="190" t="n">
        <v>4.93026431198</v>
      </c>
      <c r="CH129" s="190" t="n">
        <v>5</v>
      </c>
      <c r="CI129" s="190" t="n">
        <v>5.06973568801999</v>
      </c>
      <c r="CJ129" s="190" t="n">
        <v>5.13947137603999</v>
      </c>
      <c r="CK129" s="190" t="n">
        <v>5.20920706405999</v>
      </c>
      <c r="CL129" s="190" t="n">
        <v>5.27894275207999</v>
      </c>
      <c r="CM129" s="190" t="n">
        <v>5.34867844009999</v>
      </c>
      <c r="CN129" s="190" t="n">
        <v>5.41841412811999</v>
      </c>
      <c r="CO129" s="190" t="n">
        <v>5.48814981613999</v>
      </c>
      <c r="CP129" s="190" t="n">
        <v>5.55788550415999</v>
      </c>
      <c r="CQ129" s="190" t="n">
        <v>5.62762119217999</v>
      </c>
      <c r="CR129" s="190" t="n">
        <v>5.69735688019999</v>
      </c>
      <c r="CS129" s="190" t="n">
        <v>5.76709256821999</v>
      </c>
      <c r="CT129" s="190" t="n">
        <v>5.83682825623999</v>
      </c>
      <c r="CU129" s="190" t="n">
        <v>5.90656394425999</v>
      </c>
      <c r="CV129" s="190" t="n">
        <v>5.97629963227999</v>
      </c>
      <c r="CW129" s="190" t="n">
        <v>6.04603532029999</v>
      </c>
      <c r="CX129" s="190" t="n">
        <v>6.11577100831999</v>
      </c>
      <c r="CY129" s="190" t="n">
        <v>6.18550669633999</v>
      </c>
      <c r="CZ129" s="190" t="n">
        <v>6.25524238435999</v>
      </c>
      <c r="DA129" s="190" t="n">
        <v>6.32497807237999</v>
      </c>
      <c r="DB129" s="190" t="n">
        <v>6.39471376039999</v>
      </c>
      <c r="DC129" s="190" t="n">
        <v>6.46444944841999</v>
      </c>
      <c r="DD129" s="190" t="n">
        <v>6.53418513643999</v>
      </c>
      <c r="DE129" s="190" t="n">
        <v>6.60392082445999</v>
      </c>
      <c r="DF129" s="190" t="n">
        <v>6.67365651247999</v>
      </c>
      <c r="DG129" s="190" t="n">
        <v>6.74339220049999</v>
      </c>
      <c r="DH129" s="190" t="n">
        <v>6.81312788851999</v>
      </c>
      <c r="DI129" s="190" t="n">
        <v>6.88286357653999</v>
      </c>
      <c r="DJ129" s="190" t="n">
        <v>6.95259926455999</v>
      </c>
      <c r="DK129" s="190" t="n">
        <v>7.02233495257999</v>
      </c>
      <c r="DL129" s="190" t="n">
        <v>7.09207064059999</v>
      </c>
      <c r="DM129" s="190" t="n">
        <v>7.16180632861999</v>
      </c>
      <c r="DN129" s="190" t="n">
        <v>7.23154201663999</v>
      </c>
      <c r="DO129" s="190" t="n">
        <v>7.30127770465999</v>
      </c>
      <c r="DP129" s="190" t="n">
        <v>7.37101339267999</v>
      </c>
      <c r="DQ129" s="190" t="n">
        <v>7.44074908069999</v>
      </c>
      <c r="DR129" s="190" t="n">
        <v>7.51048476871999</v>
      </c>
      <c r="DS129" s="190" t="n">
        <v>7.58022045673999</v>
      </c>
      <c r="DT129" s="190" t="n">
        <v>7.64995614475999</v>
      </c>
      <c r="DU129" s="190" t="n">
        <v>7.71969183277999</v>
      </c>
      <c r="DV129" s="190" t="n">
        <v>7.78942752079998</v>
      </c>
      <c r="DW129" s="190" t="n">
        <v>7.85916320881998</v>
      </c>
      <c r="DX129" s="190" t="n">
        <v>7.92889889683998</v>
      </c>
      <c r="DY129" s="190" t="n">
        <v>7.99863458485998</v>
      </c>
      <c r="DZ129" s="190" t="n">
        <v>8.06837027287998</v>
      </c>
      <c r="EA129" s="190" t="n">
        <v>8.13810596089998</v>
      </c>
      <c r="EB129" s="190" t="n">
        <v>8.20784164891998</v>
      </c>
      <c r="EC129" s="190" t="n">
        <v>8.27757733693998</v>
      </c>
      <c r="ED129" s="190" t="n">
        <v>8.34731302495998</v>
      </c>
      <c r="EE129" s="190" t="n">
        <v>8.41704871297998</v>
      </c>
      <c r="EF129" s="190" t="n">
        <v>8.48678440099998</v>
      </c>
      <c r="EG129" s="190" t="n">
        <v>8.55652008901998</v>
      </c>
      <c r="EH129" s="190" t="n">
        <v>8.62625577703998</v>
      </c>
      <c r="EI129" s="190" t="n">
        <v>8.69599146505998</v>
      </c>
      <c r="EJ129" s="190" t="n">
        <v>8.76572715307998</v>
      </c>
      <c r="EK129" s="190" t="n">
        <v>8.83546284109998</v>
      </c>
      <c r="EL129" s="180" t="n">
        <v>8.90519852911998</v>
      </c>
      <c r="EM129" s="180" t="n">
        <v>8.97493421713998</v>
      </c>
      <c r="EN129" s="180" t="n">
        <v>9.04466990515998</v>
      </c>
      <c r="EO129" s="180" t="n">
        <v>9.11440559317998</v>
      </c>
      <c r="EP129" s="180" t="n">
        <v>9.18414128119998</v>
      </c>
      <c r="EQ129" s="180" t="n">
        <v>9.25387696921998</v>
      </c>
      <c r="ER129" s="180" t="n">
        <v>9.32361265723998</v>
      </c>
      <c r="ES129" s="180" t="n">
        <v>9.39334834525998</v>
      </c>
      <c r="ET129" s="180" t="n">
        <v>9.46308403327998</v>
      </c>
      <c r="EU129" s="180" t="n">
        <v>9.53281972129998</v>
      </c>
      <c r="EV129" s="180" t="n">
        <v>9.60255540931998</v>
      </c>
      <c r="EW129" s="180" t="n">
        <v>9.67229109733998</v>
      </c>
      <c r="EX129" s="180" t="n">
        <v>9.74202678535998</v>
      </c>
      <c r="EY129" s="180" t="n">
        <v>9.81176247337998</v>
      </c>
      <c r="EZ129" s="180" t="n">
        <v>9.88149816139998</v>
      </c>
      <c r="FA129" s="180" t="n">
        <v>9.95123384941998</v>
      </c>
      <c r="FB129" s="180" t="n">
        <v>10.02096953744</v>
      </c>
      <c r="FC129" s="180" t="n">
        <v>10.09070522546</v>
      </c>
      <c r="FD129" s="180" t="n">
        <v>10.16044091348</v>
      </c>
      <c r="FE129" s="180" t="n">
        <v>10.2301766015</v>
      </c>
      <c r="FF129" s="180" t="n">
        <v>10.29991228952</v>
      </c>
      <c r="FG129" s="180" t="n">
        <v>10.36964797754</v>
      </c>
      <c r="FH129" s="180" t="n">
        <v>10.43938366556</v>
      </c>
      <c r="FI129" s="180" t="n">
        <v>10.50911935358</v>
      </c>
      <c r="FJ129" s="180" t="n">
        <v>10.5788550416</v>
      </c>
      <c r="FK129" s="180" t="n">
        <v>10.64859072962</v>
      </c>
      <c r="FL129" s="180" t="n">
        <v>10.71832641764</v>
      </c>
      <c r="FM129" s="180" t="n">
        <v>10.78806210566</v>
      </c>
      <c r="FN129" s="180" t="n">
        <v>10.85779779368</v>
      </c>
      <c r="FO129" s="180" t="n">
        <v>10.9275334817</v>
      </c>
      <c r="FP129" s="180" t="n">
        <v>10.99726916972</v>
      </c>
      <c r="FQ129" s="180" t="n">
        <v>11.06700485774</v>
      </c>
      <c r="FR129" s="180" t="n">
        <v>11.13674054576</v>
      </c>
      <c r="FS129" s="180" t="n">
        <v>11.20647623378</v>
      </c>
      <c r="FT129" s="180" t="n">
        <v>11.2762119218</v>
      </c>
      <c r="FU129" s="180" t="n">
        <v>11.34594760982</v>
      </c>
      <c r="FV129" s="180" t="n">
        <v>11.41568329784</v>
      </c>
      <c r="FW129" s="180" t="n">
        <v>11.48541898586</v>
      </c>
      <c r="FX129" s="180" t="n">
        <v>11.55515467388</v>
      </c>
      <c r="FY129" s="180" t="n">
        <v>11.6248903619</v>
      </c>
      <c r="FZ129" s="180" t="n">
        <v>11.69462604992</v>
      </c>
      <c r="GA129" s="180" t="n">
        <v>11.76436173794</v>
      </c>
      <c r="GB129" s="180" t="n">
        <v>11.83409742596</v>
      </c>
      <c r="GC129" s="180" t="n">
        <v>11.90383311398</v>
      </c>
      <c r="GD129" s="180" t="n">
        <v>11.973568802</v>
      </c>
      <c r="GE129" s="180" t="n">
        <v>12.04330449002</v>
      </c>
      <c r="GF129" s="180" t="n">
        <v>12.11304017804</v>
      </c>
      <c r="GG129" s="180" t="n">
        <v>12.18277586606</v>
      </c>
      <c r="GH129" s="180" t="n">
        <v>12.25251155408</v>
      </c>
      <c r="GI129" s="180" t="n">
        <v>12.3222472421</v>
      </c>
      <c r="GJ129" s="180" t="n">
        <v>12.39198293012</v>
      </c>
      <c r="GK129" s="180" t="n">
        <v>12.46171861814</v>
      </c>
      <c r="GL129" s="180" t="n">
        <v>12.53145430616</v>
      </c>
      <c r="GM129" s="180" t="n">
        <v>12.60118999418</v>
      </c>
      <c r="GN129" s="180" t="n">
        <v>12.6709256822</v>
      </c>
      <c r="GO129" s="180" t="n">
        <v>12.74066137022</v>
      </c>
      <c r="GP129" s="180" t="n">
        <v>12.81039705824</v>
      </c>
      <c r="GQ129" s="180" t="n">
        <v>12.88013274626</v>
      </c>
      <c r="GR129" s="180" t="n">
        <v>12.94986843428</v>
      </c>
      <c r="GS129" s="180" t="n">
        <v>13.0196041223</v>
      </c>
      <c r="GT129" s="180" t="n">
        <v>13.08933981032</v>
      </c>
      <c r="GU129" s="180" t="n">
        <v>13.15907549834</v>
      </c>
      <c r="GV129" s="180" t="n">
        <v>13.22881118636</v>
      </c>
      <c r="GW129" s="180" t="n">
        <v>13.29854687438</v>
      </c>
      <c r="GX129" s="180" t="n">
        <v>13.3682825624</v>
      </c>
      <c r="GY129" s="180" t="n">
        <v>13.43801825042</v>
      </c>
      <c r="GZ129" s="180" t="n">
        <v>13.50775393844</v>
      </c>
      <c r="HA129" s="180" t="n">
        <v>13.57748962646</v>
      </c>
      <c r="HB129" s="180" t="n">
        <v>13.64722531448</v>
      </c>
      <c r="HC129" s="180" t="n">
        <v>13.7169610025</v>
      </c>
      <c r="HD129" s="180" t="n">
        <v>13.78669669052</v>
      </c>
      <c r="HE129" s="180" t="n">
        <v>13.85643237854</v>
      </c>
      <c r="HF129" s="180" t="n">
        <v>13.92616806656</v>
      </c>
      <c r="HG129" s="180" t="n">
        <v>13.99590375458</v>
      </c>
      <c r="HH129" s="180" t="n">
        <v>14.0656394426</v>
      </c>
      <c r="HI129" s="180" t="n">
        <v>14.13537513062</v>
      </c>
      <c r="HJ129" s="180" t="n">
        <v>14.20511081864</v>
      </c>
      <c r="HK129" s="180" t="n">
        <v>14.27484650666</v>
      </c>
      <c r="HL129" s="180" t="n">
        <v>14.34458219468</v>
      </c>
      <c r="HM129" s="180" t="n">
        <v>14.4143178827</v>
      </c>
      <c r="HN129" s="180" t="n">
        <v>14.48405357072</v>
      </c>
      <c r="HO129" s="180" t="n">
        <v>14.55378925874</v>
      </c>
      <c r="HP129" s="180" t="n">
        <v>14.62352494676</v>
      </c>
      <c r="HQ129" s="180" t="n">
        <v>14.69326063478</v>
      </c>
      <c r="HR129" s="180" t="n">
        <v>14.7629963228</v>
      </c>
      <c r="HS129" s="180" t="n">
        <v>14.83273201082</v>
      </c>
      <c r="HT129" s="180" t="n">
        <v>14.90246769884</v>
      </c>
      <c r="HU129" s="180" t="n">
        <v>14.97220338686</v>
      </c>
      <c r="HV129" s="180" t="n">
        <v>15.04193907488</v>
      </c>
      <c r="HW129" s="180" t="n">
        <v>15.1116747629</v>
      </c>
      <c r="HX129" s="180" t="n">
        <v>15.18141045092</v>
      </c>
      <c r="HY129" s="180" t="n">
        <v>15.25114613894</v>
      </c>
      <c r="HZ129" s="180" t="n">
        <v>15.32088182696</v>
      </c>
      <c r="IA129" s="180" t="n">
        <v>15.39061751498</v>
      </c>
      <c r="IB129" s="180" t="n">
        <v>15.460353203</v>
      </c>
      <c r="IC129" s="180" t="n">
        <v>15.53008889102</v>
      </c>
      <c r="ID129" s="180" t="n">
        <v>15.59982457904</v>
      </c>
      <c r="IE129" s="180" t="n">
        <v>15.66956026706</v>
      </c>
      <c r="IF129" s="180" t="n">
        <v>15.73929595508</v>
      </c>
      <c r="IG129" s="180" t="n">
        <v>15.8090316431</v>
      </c>
      <c r="IH129" s="180" t="n">
        <v>15.87876733112</v>
      </c>
      <c r="II129" s="180" t="n">
        <v>15.94850301914</v>
      </c>
      <c r="IJ129" s="180" t="n">
        <v>16.01823870716</v>
      </c>
      <c r="IK129" s="180" t="n">
        <v>16.08797439518</v>
      </c>
      <c r="IL129" s="180" t="n">
        <v>16.1577100832</v>
      </c>
      <c r="IM129" s="180" t="n">
        <v>16.22744577122</v>
      </c>
      <c r="IN129" s="180" t="n">
        <v>16.29718145924</v>
      </c>
      <c r="IO129" s="180" t="n">
        <v>16.36691714726</v>
      </c>
      <c r="IP129" s="180" t="n">
        <v>16.43665283528</v>
      </c>
      <c r="IQ129" s="180" t="n">
        <v>16.5063885233</v>
      </c>
      <c r="IR129" s="180" t="n">
        <v>16.57612421132</v>
      </c>
      <c r="IS129" s="180" t="n">
        <v>16.64585989934</v>
      </c>
      <c r="IT129" s="180" t="n">
        <v>16.71559558736</v>
      </c>
      <c r="IU129" s="180" t="n">
        <v>16.78533127538</v>
      </c>
      <c r="IV129" s="180" t="n">
        <v>16.8550669634</v>
      </c>
    </row>
    <row r="130" customFormat="false" ht="12.75" hidden="false" customHeight="false" outlineLevel="0" collapsed="false">
      <c r="A130" s="189" t="n">
        <v>40634</v>
      </c>
      <c r="B130" s="185" t="n">
        <v>-2.021005929375</v>
      </c>
      <c r="C130" s="185" t="n">
        <v>-1.9907047400625</v>
      </c>
      <c r="D130" s="185" t="n">
        <v>-1.96040355075</v>
      </c>
      <c r="E130" s="185" t="n">
        <v>-1.9301023614375</v>
      </c>
      <c r="F130" s="185" t="n">
        <v>-1.899801172125</v>
      </c>
      <c r="G130" s="185" t="n">
        <v>-1.8694999828125</v>
      </c>
      <c r="H130" s="185" t="n">
        <v>-1.8391987935</v>
      </c>
      <c r="I130" s="185" t="n">
        <v>-1.8088976041875</v>
      </c>
      <c r="J130" s="185" t="n">
        <v>-1.778596414875</v>
      </c>
      <c r="K130" s="185" t="n">
        <v>-1.7482952255625</v>
      </c>
      <c r="L130" s="185" t="n">
        <v>-1.71799403625</v>
      </c>
      <c r="M130" s="185" t="n">
        <v>-1.6876928469375</v>
      </c>
      <c r="N130" s="185" t="n">
        <v>-1.657391657625</v>
      </c>
      <c r="O130" s="185" t="n">
        <v>-1.6270904683125</v>
      </c>
      <c r="P130" s="185" t="n">
        <v>-1.596789279</v>
      </c>
      <c r="Q130" s="185" t="n">
        <v>-1.5664880896875</v>
      </c>
      <c r="R130" s="185" t="n">
        <v>-1.536186900375</v>
      </c>
      <c r="S130" s="185" t="n">
        <v>-1.5058857110625</v>
      </c>
      <c r="T130" s="185" t="n">
        <v>-1.47558452175</v>
      </c>
      <c r="U130" s="185" t="n">
        <v>-1.4452833324375</v>
      </c>
      <c r="V130" s="186" t="n">
        <v>-1.414982143125</v>
      </c>
      <c r="W130" s="185" t="n">
        <v>-1.3846809538125</v>
      </c>
      <c r="X130" s="186" t="n">
        <v>-1.3543797645</v>
      </c>
      <c r="Y130" s="185" t="n">
        <v>-1.3240785751875</v>
      </c>
      <c r="Z130" s="186" t="n">
        <v>-1.293777385875</v>
      </c>
      <c r="AA130" s="185" t="n">
        <v>-1.2634761965625</v>
      </c>
      <c r="AB130" s="187" t="n">
        <v>-1.23317500725</v>
      </c>
      <c r="AC130" s="185" t="n">
        <v>-1.2028738179375</v>
      </c>
      <c r="AD130" s="187" t="n">
        <v>-1.172572628625</v>
      </c>
      <c r="AE130" s="185" t="n">
        <v>-1.1422714393125</v>
      </c>
      <c r="AF130" s="185" t="n">
        <v>-1.11197025</v>
      </c>
      <c r="AG130" s="190" t="n">
        <v>-1.083235125</v>
      </c>
      <c r="AH130" s="190" t="n">
        <v>-1.0545</v>
      </c>
      <c r="AI130" s="190" t="n">
        <v>-1.02725</v>
      </c>
      <c r="AJ130" s="190" t="n">
        <v>-1</v>
      </c>
      <c r="AK130" s="190" t="n">
        <v>-0.8</v>
      </c>
      <c r="AL130" s="190" t="n">
        <v>-0.6</v>
      </c>
      <c r="AM130" s="190" t="n">
        <v>-0.4</v>
      </c>
      <c r="AN130" s="190" t="n">
        <v>-0.2</v>
      </c>
      <c r="AO130" s="190" t="n">
        <v>0</v>
      </c>
      <c r="AP130" s="190" t="n">
        <v>0.2</v>
      </c>
      <c r="AQ130" s="190" t="n">
        <v>0.4</v>
      </c>
      <c r="AR130" s="190" t="n">
        <v>0.6</v>
      </c>
      <c r="AS130" s="190" t="n">
        <v>0.8</v>
      </c>
      <c r="AT130" s="190" t="n">
        <v>1</v>
      </c>
      <c r="AU130" s="190" t="n">
        <v>1.2</v>
      </c>
      <c r="AV130" s="190" t="n">
        <v>1.4</v>
      </c>
      <c r="AW130" s="190" t="n">
        <v>1.58</v>
      </c>
      <c r="AX130" s="190" t="n">
        <v>1.76</v>
      </c>
      <c r="AY130" s="190" t="n">
        <v>1.922</v>
      </c>
      <c r="AZ130" s="190" t="n">
        <v>2.084</v>
      </c>
      <c r="BA130" s="190" t="n">
        <v>2.2298</v>
      </c>
      <c r="BB130" s="190" t="n">
        <v>2.3756</v>
      </c>
      <c r="BC130" s="190" t="n">
        <v>2.50682</v>
      </c>
      <c r="BD130" s="190" t="n">
        <v>2.63804</v>
      </c>
      <c r="BE130" s="190" t="n">
        <v>2.756138</v>
      </c>
      <c r="BF130" s="190" t="n">
        <v>2.874236</v>
      </c>
      <c r="BG130" s="190" t="n">
        <v>2.9805242</v>
      </c>
      <c r="BH130" s="190" t="n">
        <v>3.0868124</v>
      </c>
      <c r="BI130" s="190" t="n">
        <v>3.18247178</v>
      </c>
      <c r="BJ130" s="190" t="n">
        <v>3.27813116</v>
      </c>
      <c r="BK130" s="190" t="n">
        <v>3.364224602</v>
      </c>
      <c r="BL130" s="190" t="n">
        <v>3.450318044</v>
      </c>
      <c r="BM130" s="190" t="n">
        <v>3.5278021418</v>
      </c>
      <c r="BN130" s="190" t="n">
        <v>3.6052862396</v>
      </c>
      <c r="BO130" s="190" t="n">
        <v>3.67502192762</v>
      </c>
      <c r="BP130" s="190" t="n">
        <v>3.74475761564</v>
      </c>
      <c r="BQ130" s="190" t="n">
        <v>3.81449330366</v>
      </c>
      <c r="BR130" s="190" t="n">
        <v>3.88422899168</v>
      </c>
      <c r="BS130" s="190" t="n">
        <v>3.9539646797</v>
      </c>
      <c r="BT130" s="190" t="n">
        <v>4.02370036772</v>
      </c>
      <c r="BU130" s="190" t="n">
        <v>4.09343605574</v>
      </c>
      <c r="BV130" s="190" t="n">
        <v>4.16317174376</v>
      </c>
      <c r="BW130" s="190" t="n">
        <v>4.23290743178</v>
      </c>
      <c r="BX130" s="190" t="n">
        <v>4.3026431198</v>
      </c>
      <c r="BY130" s="190" t="n">
        <v>4.37237880782</v>
      </c>
      <c r="BZ130" s="190" t="n">
        <v>4.44211449584</v>
      </c>
      <c r="CA130" s="190" t="n">
        <v>4.51185018386</v>
      </c>
      <c r="CB130" s="190" t="n">
        <v>4.58158587188</v>
      </c>
      <c r="CC130" s="190" t="n">
        <v>4.6513215599</v>
      </c>
      <c r="CD130" s="190" t="n">
        <v>4.72105724792</v>
      </c>
      <c r="CE130" s="190" t="n">
        <v>4.79079293594</v>
      </c>
      <c r="CF130" s="190" t="n">
        <v>4.86052862396</v>
      </c>
      <c r="CG130" s="190" t="n">
        <v>4.93026431198</v>
      </c>
      <c r="CH130" s="190" t="n">
        <v>5</v>
      </c>
      <c r="CI130" s="190" t="n">
        <v>5.06973568801999</v>
      </c>
      <c r="CJ130" s="190" t="n">
        <v>5.13947137603999</v>
      </c>
      <c r="CK130" s="190" t="n">
        <v>5.20920706405999</v>
      </c>
      <c r="CL130" s="190" t="n">
        <v>5.27894275207999</v>
      </c>
      <c r="CM130" s="190" t="n">
        <v>5.34867844009999</v>
      </c>
      <c r="CN130" s="190" t="n">
        <v>5.41841412811999</v>
      </c>
      <c r="CO130" s="190" t="n">
        <v>5.48814981613999</v>
      </c>
      <c r="CP130" s="190" t="n">
        <v>5.55788550415999</v>
      </c>
      <c r="CQ130" s="190" t="n">
        <v>5.62762119217999</v>
      </c>
      <c r="CR130" s="190" t="n">
        <v>5.69735688019999</v>
      </c>
      <c r="CS130" s="190" t="n">
        <v>5.76709256821999</v>
      </c>
      <c r="CT130" s="190" t="n">
        <v>5.83682825623999</v>
      </c>
      <c r="CU130" s="190" t="n">
        <v>5.90656394425999</v>
      </c>
      <c r="CV130" s="190" t="n">
        <v>5.97629963227999</v>
      </c>
      <c r="CW130" s="190" t="n">
        <v>6.04603532029999</v>
      </c>
      <c r="CX130" s="190" t="n">
        <v>6.11577100831999</v>
      </c>
      <c r="CY130" s="190" t="n">
        <v>6.18550669633999</v>
      </c>
      <c r="CZ130" s="190" t="n">
        <v>6.25524238435999</v>
      </c>
      <c r="DA130" s="190" t="n">
        <v>6.32497807237999</v>
      </c>
      <c r="DB130" s="190" t="n">
        <v>6.39471376039999</v>
      </c>
      <c r="DC130" s="190" t="n">
        <v>6.46444944841999</v>
      </c>
      <c r="DD130" s="190" t="n">
        <v>6.53418513643999</v>
      </c>
      <c r="DE130" s="190" t="n">
        <v>6.60392082445999</v>
      </c>
      <c r="DF130" s="190" t="n">
        <v>6.67365651247999</v>
      </c>
      <c r="DG130" s="190" t="n">
        <v>6.74339220049999</v>
      </c>
      <c r="DH130" s="190" t="n">
        <v>6.81312788851999</v>
      </c>
      <c r="DI130" s="190" t="n">
        <v>6.88286357653999</v>
      </c>
      <c r="DJ130" s="190" t="n">
        <v>6.95259926455999</v>
      </c>
      <c r="DK130" s="190" t="n">
        <v>7.02233495257999</v>
      </c>
      <c r="DL130" s="190" t="n">
        <v>7.09207064059999</v>
      </c>
      <c r="DM130" s="190" t="n">
        <v>7.16180632861999</v>
      </c>
      <c r="DN130" s="190" t="n">
        <v>7.23154201663999</v>
      </c>
      <c r="DO130" s="190" t="n">
        <v>7.30127770465999</v>
      </c>
      <c r="DP130" s="190" t="n">
        <v>7.37101339267999</v>
      </c>
      <c r="DQ130" s="190" t="n">
        <v>7.44074908069999</v>
      </c>
      <c r="DR130" s="190" t="n">
        <v>7.51048476871999</v>
      </c>
      <c r="DS130" s="190" t="n">
        <v>7.58022045673999</v>
      </c>
      <c r="DT130" s="190" t="n">
        <v>7.64995614475999</v>
      </c>
      <c r="DU130" s="190" t="n">
        <v>7.71969183277999</v>
      </c>
      <c r="DV130" s="190" t="n">
        <v>7.78942752079998</v>
      </c>
      <c r="DW130" s="190" t="n">
        <v>7.85916320881998</v>
      </c>
      <c r="DX130" s="190" t="n">
        <v>7.92889889683998</v>
      </c>
      <c r="DY130" s="190" t="n">
        <v>7.99863458485998</v>
      </c>
      <c r="DZ130" s="190" t="n">
        <v>8.06837027287998</v>
      </c>
      <c r="EA130" s="190" t="n">
        <v>8.13810596089998</v>
      </c>
      <c r="EB130" s="190" t="n">
        <v>8.20784164891998</v>
      </c>
      <c r="EC130" s="190" t="n">
        <v>8.27757733693998</v>
      </c>
      <c r="ED130" s="190" t="n">
        <v>8.34731302495998</v>
      </c>
      <c r="EE130" s="190" t="n">
        <v>8.41704871297998</v>
      </c>
      <c r="EF130" s="190" t="n">
        <v>8.48678440099998</v>
      </c>
      <c r="EG130" s="190" t="n">
        <v>8.55652008901998</v>
      </c>
      <c r="EH130" s="190" t="n">
        <v>8.62625577703998</v>
      </c>
      <c r="EI130" s="190" t="n">
        <v>8.69599146505998</v>
      </c>
      <c r="EJ130" s="190" t="n">
        <v>8.76572715307998</v>
      </c>
      <c r="EK130" s="190" t="n">
        <v>8.83546284109998</v>
      </c>
      <c r="EL130" s="180" t="n">
        <v>8.90519852911998</v>
      </c>
      <c r="EM130" s="180" t="n">
        <v>8.97493421713998</v>
      </c>
      <c r="EN130" s="180" t="n">
        <v>9.04466990515998</v>
      </c>
      <c r="EO130" s="180" t="n">
        <v>9.11440559317998</v>
      </c>
      <c r="EP130" s="180" t="n">
        <v>9.18414128119998</v>
      </c>
      <c r="EQ130" s="180" t="n">
        <v>9.25387696921998</v>
      </c>
      <c r="ER130" s="180" t="n">
        <v>9.32361265723998</v>
      </c>
      <c r="ES130" s="180" t="n">
        <v>9.39334834525998</v>
      </c>
      <c r="ET130" s="180" t="n">
        <v>9.46308403327998</v>
      </c>
      <c r="EU130" s="180" t="n">
        <v>9.53281972129998</v>
      </c>
      <c r="EV130" s="180" t="n">
        <v>9.60255540931998</v>
      </c>
      <c r="EW130" s="180" t="n">
        <v>9.67229109733998</v>
      </c>
      <c r="EX130" s="180" t="n">
        <v>9.74202678535998</v>
      </c>
      <c r="EY130" s="180" t="n">
        <v>9.81176247337998</v>
      </c>
      <c r="EZ130" s="180" t="n">
        <v>9.88149816139998</v>
      </c>
      <c r="FA130" s="180" t="n">
        <v>9.95123384941998</v>
      </c>
      <c r="FB130" s="180" t="n">
        <v>10.02096953744</v>
      </c>
      <c r="FC130" s="180" t="n">
        <v>10.09070522546</v>
      </c>
      <c r="FD130" s="180" t="n">
        <v>10.16044091348</v>
      </c>
      <c r="FE130" s="180" t="n">
        <v>10.2301766015</v>
      </c>
      <c r="FF130" s="180" t="n">
        <v>10.29991228952</v>
      </c>
      <c r="FG130" s="180" t="n">
        <v>10.36964797754</v>
      </c>
      <c r="FH130" s="180" t="n">
        <v>10.43938366556</v>
      </c>
      <c r="FI130" s="180" t="n">
        <v>10.50911935358</v>
      </c>
      <c r="FJ130" s="180" t="n">
        <v>10.5788550416</v>
      </c>
      <c r="FK130" s="180" t="n">
        <v>10.64859072962</v>
      </c>
      <c r="FL130" s="180" t="n">
        <v>10.71832641764</v>
      </c>
      <c r="FM130" s="180" t="n">
        <v>10.78806210566</v>
      </c>
      <c r="FN130" s="180" t="n">
        <v>10.85779779368</v>
      </c>
      <c r="FO130" s="180" t="n">
        <v>10.9275334817</v>
      </c>
      <c r="FP130" s="180" t="n">
        <v>10.99726916972</v>
      </c>
      <c r="FQ130" s="180" t="n">
        <v>11.06700485774</v>
      </c>
      <c r="FR130" s="180" t="n">
        <v>11.13674054576</v>
      </c>
      <c r="FS130" s="180" t="n">
        <v>11.20647623378</v>
      </c>
      <c r="FT130" s="180" t="n">
        <v>11.2762119218</v>
      </c>
      <c r="FU130" s="180" t="n">
        <v>11.34594760982</v>
      </c>
      <c r="FV130" s="180" t="n">
        <v>11.41568329784</v>
      </c>
      <c r="FW130" s="180" t="n">
        <v>11.48541898586</v>
      </c>
      <c r="FX130" s="180" t="n">
        <v>11.55515467388</v>
      </c>
      <c r="FY130" s="180" t="n">
        <v>11.6248903619</v>
      </c>
      <c r="FZ130" s="180" t="n">
        <v>11.69462604992</v>
      </c>
      <c r="GA130" s="180" t="n">
        <v>11.76436173794</v>
      </c>
      <c r="GB130" s="180" t="n">
        <v>11.83409742596</v>
      </c>
      <c r="GC130" s="180" t="n">
        <v>11.90383311398</v>
      </c>
      <c r="GD130" s="180" t="n">
        <v>11.973568802</v>
      </c>
      <c r="GE130" s="180" t="n">
        <v>12.04330449002</v>
      </c>
      <c r="GF130" s="180" t="n">
        <v>12.11304017804</v>
      </c>
      <c r="GG130" s="180" t="n">
        <v>12.18277586606</v>
      </c>
      <c r="GH130" s="180" t="n">
        <v>12.25251155408</v>
      </c>
      <c r="GI130" s="180" t="n">
        <v>12.3222472421</v>
      </c>
      <c r="GJ130" s="180" t="n">
        <v>12.39198293012</v>
      </c>
      <c r="GK130" s="180" t="n">
        <v>12.46171861814</v>
      </c>
      <c r="GL130" s="180" t="n">
        <v>12.53145430616</v>
      </c>
      <c r="GM130" s="180" t="n">
        <v>12.60118999418</v>
      </c>
      <c r="GN130" s="180" t="n">
        <v>12.6709256822</v>
      </c>
      <c r="GO130" s="180" t="n">
        <v>12.74066137022</v>
      </c>
      <c r="GP130" s="180" t="n">
        <v>12.81039705824</v>
      </c>
      <c r="GQ130" s="180" t="n">
        <v>12.88013274626</v>
      </c>
      <c r="GR130" s="180" t="n">
        <v>12.94986843428</v>
      </c>
      <c r="GS130" s="180" t="n">
        <v>13.0196041223</v>
      </c>
      <c r="GT130" s="180" t="n">
        <v>13.08933981032</v>
      </c>
      <c r="GU130" s="180" t="n">
        <v>13.15907549834</v>
      </c>
      <c r="GV130" s="180" t="n">
        <v>13.22881118636</v>
      </c>
      <c r="GW130" s="180" t="n">
        <v>13.29854687438</v>
      </c>
      <c r="GX130" s="180" t="n">
        <v>13.3682825624</v>
      </c>
      <c r="GY130" s="180" t="n">
        <v>13.43801825042</v>
      </c>
      <c r="GZ130" s="180" t="n">
        <v>13.50775393844</v>
      </c>
      <c r="HA130" s="180" t="n">
        <v>13.57748962646</v>
      </c>
      <c r="HB130" s="180" t="n">
        <v>13.64722531448</v>
      </c>
      <c r="HC130" s="180" t="n">
        <v>13.7169610025</v>
      </c>
      <c r="HD130" s="180" t="n">
        <v>13.78669669052</v>
      </c>
      <c r="HE130" s="180" t="n">
        <v>13.85643237854</v>
      </c>
      <c r="HF130" s="180" t="n">
        <v>13.92616806656</v>
      </c>
      <c r="HG130" s="180" t="n">
        <v>13.99590375458</v>
      </c>
      <c r="HH130" s="180" t="n">
        <v>14.0656394426</v>
      </c>
      <c r="HI130" s="180" t="n">
        <v>14.13537513062</v>
      </c>
      <c r="HJ130" s="180" t="n">
        <v>14.20511081864</v>
      </c>
      <c r="HK130" s="180" t="n">
        <v>14.27484650666</v>
      </c>
      <c r="HL130" s="180" t="n">
        <v>14.34458219468</v>
      </c>
      <c r="HM130" s="180" t="n">
        <v>14.4143178827</v>
      </c>
      <c r="HN130" s="180" t="n">
        <v>14.48405357072</v>
      </c>
      <c r="HO130" s="180" t="n">
        <v>14.55378925874</v>
      </c>
      <c r="HP130" s="180" t="n">
        <v>14.62352494676</v>
      </c>
      <c r="HQ130" s="180" t="n">
        <v>14.69326063478</v>
      </c>
      <c r="HR130" s="180" t="n">
        <v>14.7629963228</v>
      </c>
      <c r="HS130" s="180" t="n">
        <v>14.83273201082</v>
      </c>
      <c r="HT130" s="180" t="n">
        <v>14.90246769884</v>
      </c>
      <c r="HU130" s="180" t="n">
        <v>14.97220338686</v>
      </c>
      <c r="HV130" s="180" t="n">
        <v>15.04193907488</v>
      </c>
      <c r="HW130" s="180" t="n">
        <v>15.1116747629</v>
      </c>
      <c r="HX130" s="180" t="n">
        <v>15.18141045092</v>
      </c>
      <c r="HY130" s="180" t="n">
        <v>15.25114613894</v>
      </c>
      <c r="HZ130" s="180" t="n">
        <v>15.32088182696</v>
      </c>
      <c r="IA130" s="180" t="n">
        <v>15.39061751498</v>
      </c>
      <c r="IB130" s="180" t="n">
        <v>15.460353203</v>
      </c>
      <c r="IC130" s="180" t="n">
        <v>15.53008889102</v>
      </c>
      <c r="ID130" s="180" t="n">
        <v>15.59982457904</v>
      </c>
      <c r="IE130" s="180" t="n">
        <v>15.66956026706</v>
      </c>
      <c r="IF130" s="180" t="n">
        <v>15.73929595508</v>
      </c>
      <c r="IG130" s="180" t="n">
        <v>15.8090316431</v>
      </c>
      <c r="IH130" s="180" t="n">
        <v>15.87876733112</v>
      </c>
      <c r="II130" s="180" t="n">
        <v>15.94850301914</v>
      </c>
      <c r="IJ130" s="180" t="n">
        <v>16.01823870716</v>
      </c>
      <c r="IK130" s="180" t="n">
        <v>16.08797439518</v>
      </c>
      <c r="IL130" s="180" t="n">
        <v>16.1577100832</v>
      </c>
      <c r="IM130" s="180" t="n">
        <v>16.22744577122</v>
      </c>
      <c r="IN130" s="180" t="n">
        <v>16.29718145924</v>
      </c>
      <c r="IO130" s="180" t="n">
        <v>16.36691714726</v>
      </c>
      <c r="IP130" s="180" t="n">
        <v>16.43665283528</v>
      </c>
      <c r="IQ130" s="180" t="n">
        <v>16.5063885233</v>
      </c>
      <c r="IR130" s="180" t="n">
        <v>16.57612421132</v>
      </c>
      <c r="IS130" s="180" t="n">
        <v>16.64585989934</v>
      </c>
      <c r="IT130" s="180" t="n">
        <v>16.71559558736</v>
      </c>
      <c r="IU130" s="180" t="n">
        <v>16.78533127538</v>
      </c>
      <c r="IV130" s="180" t="n">
        <v>16.8550669634</v>
      </c>
    </row>
    <row r="131" customFormat="false" ht="12.75" hidden="false" customHeight="false" outlineLevel="0" collapsed="false">
      <c r="A131" s="189" t="n">
        <v>40664</v>
      </c>
      <c r="B131" s="185" t="n">
        <v>-2.021005929375</v>
      </c>
      <c r="C131" s="185" t="n">
        <v>-1.9907047400625</v>
      </c>
      <c r="D131" s="185" t="n">
        <v>-1.96040355075</v>
      </c>
      <c r="E131" s="185" t="n">
        <v>-1.9301023614375</v>
      </c>
      <c r="F131" s="185" t="n">
        <v>-1.899801172125</v>
      </c>
      <c r="G131" s="185" t="n">
        <v>-1.8694999828125</v>
      </c>
      <c r="H131" s="185" t="n">
        <v>-1.8391987935</v>
      </c>
      <c r="I131" s="185" t="n">
        <v>-1.8088976041875</v>
      </c>
      <c r="J131" s="185" t="n">
        <v>-1.778596414875</v>
      </c>
      <c r="K131" s="185" t="n">
        <v>-1.7482952255625</v>
      </c>
      <c r="L131" s="185" t="n">
        <v>-1.71799403625</v>
      </c>
      <c r="M131" s="185" t="n">
        <v>-1.6876928469375</v>
      </c>
      <c r="N131" s="185" t="n">
        <v>-1.657391657625</v>
      </c>
      <c r="O131" s="185" t="n">
        <v>-1.6270904683125</v>
      </c>
      <c r="P131" s="185" t="n">
        <v>-1.596789279</v>
      </c>
      <c r="Q131" s="185" t="n">
        <v>-1.5664880896875</v>
      </c>
      <c r="R131" s="185" t="n">
        <v>-1.536186900375</v>
      </c>
      <c r="S131" s="185" t="n">
        <v>-1.5058857110625</v>
      </c>
      <c r="T131" s="185" t="n">
        <v>-1.47558452175</v>
      </c>
      <c r="U131" s="185" t="n">
        <v>-1.4452833324375</v>
      </c>
      <c r="V131" s="186" t="n">
        <v>-1.414982143125</v>
      </c>
      <c r="W131" s="185" t="n">
        <v>-1.3846809538125</v>
      </c>
      <c r="X131" s="186" t="n">
        <v>-1.3543797645</v>
      </c>
      <c r="Y131" s="185" t="n">
        <v>-1.3240785751875</v>
      </c>
      <c r="Z131" s="186" t="n">
        <v>-1.293777385875</v>
      </c>
      <c r="AA131" s="185" t="n">
        <v>-1.2634761965625</v>
      </c>
      <c r="AB131" s="187" t="n">
        <v>-1.23317500725</v>
      </c>
      <c r="AC131" s="185" t="n">
        <v>-1.2028738179375</v>
      </c>
      <c r="AD131" s="187" t="n">
        <v>-1.172572628625</v>
      </c>
      <c r="AE131" s="185" t="n">
        <v>-1.1422714393125</v>
      </c>
      <c r="AF131" s="185" t="n">
        <v>-1.11197025</v>
      </c>
      <c r="AG131" s="190" t="n">
        <v>-1.083235125</v>
      </c>
      <c r="AH131" s="190" t="n">
        <v>-1.0545</v>
      </c>
      <c r="AI131" s="190" t="n">
        <v>-1.02725</v>
      </c>
      <c r="AJ131" s="190" t="n">
        <v>-1</v>
      </c>
      <c r="AK131" s="190" t="n">
        <v>-0.8</v>
      </c>
      <c r="AL131" s="190" t="n">
        <v>-0.6</v>
      </c>
      <c r="AM131" s="190" t="n">
        <v>-0.4</v>
      </c>
      <c r="AN131" s="190" t="n">
        <v>-0.2</v>
      </c>
      <c r="AO131" s="190" t="n">
        <v>0</v>
      </c>
      <c r="AP131" s="190" t="n">
        <v>0.2</v>
      </c>
      <c r="AQ131" s="190" t="n">
        <v>0.4</v>
      </c>
      <c r="AR131" s="190" t="n">
        <v>0.6</v>
      </c>
      <c r="AS131" s="190" t="n">
        <v>0.8</v>
      </c>
      <c r="AT131" s="190" t="n">
        <v>1</v>
      </c>
      <c r="AU131" s="190" t="n">
        <v>1.2</v>
      </c>
      <c r="AV131" s="190" t="n">
        <v>1.4</v>
      </c>
      <c r="AW131" s="190" t="n">
        <v>1.58</v>
      </c>
      <c r="AX131" s="190" t="n">
        <v>1.76</v>
      </c>
      <c r="AY131" s="190" t="n">
        <v>1.922</v>
      </c>
      <c r="AZ131" s="190" t="n">
        <v>2.084</v>
      </c>
      <c r="BA131" s="190" t="n">
        <v>2.2298</v>
      </c>
      <c r="BB131" s="190" t="n">
        <v>2.3756</v>
      </c>
      <c r="BC131" s="190" t="n">
        <v>2.50682</v>
      </c>
      <c r="BD131" s="190" t="n">
        <v>2.63804</v>
      </c>
      <c r="BE131" s="190" t="n">
        <v>2.756138</v>
      </c>
      <c r="BF131" s="190" t="n">
        <v>2.874236</v>
      </c>
      <c r="BG131" s="190" t="n">
        <v>2.9805242</v>
      </c>
      <c r="BH131" s="190" t="n">
        <v>3.0868124</v>
      </c>
      <c r="BI131" s="190" t="n">
        <v>3.18247178</v>
      </c>
      <c r="BJ131" s="190" t="n">
        <v>3.27813116</v>
      </c>
      <c r="BK131" s="190" t="n">
        <v>3.364224602</v>
      </c>
      <c r="BL131" s="190" t="n">
        <v>3.450318044</v>
      </c>
      <c r="BM131" s="190" t="n">
        <v>3.5278021418</v>
      </c>
      <c r="BN131" s="190" t="n">
        <v>3.6052862396</v>
      </c>
      <c r="BO131" s="190" t="n">
        <v>3.67502192762</v>
      </c>
      <c r="BP131" s="190" t="n">
        <v>3.74475761564</v>
      </c>
      <c r="BQ131" s="190" t="n">
        <v>3.81449330366</v>
      </c>
      <c r="BR131" s="190" t="n">
        <v>3.88422899168</v>
      </c>
      <c r="BS131" s="190" t="n">
        <v>3.9539646797</v>
      </c>
      <c r="BT131" s="190" t="n">
        <v>4.02370036772</v>
      </c>
      <c r="BU131" s="190" t="n">
        <v>4.09343605574</v>
      </c>
      <c r="BV131" s="190" t="n">
        <v>4.16317174376</v>
      </c>
      <c r="BW131" s="190" t="n">
        <v>4.23290743178</v>
      </c>
      <c r="BX131" s="190" t="n">
        <v>4.3026431198</v>
      </c>
      <c r="BY131" s="190" t="n">
        <v>4.37237880782</v>
      </c>
      <c r="BZ131" s="190" t="n">
        <v>4.44211449584</v>
      </c>
      <c r="CA131" s="190" t="n">
        <v>4.51185018386</v>
      </c>
      <c r="CB131" s="190" t="n">
        <v>4.58158587188</v>
      </c>
      <c r="CC131" s="190" t="n">
        <v>4.6513215599</v>
      </c>
      <c r="CD131" s="190" t="n">
        <v>4.72105724792</v>
      </c>
      <c r="CE131" s="190" t="n">
        <v>4.79079293594</v>
      </c>
      <c r="CF131" s="190" t="n">
        <v>4.86052862396</v>
      </c>
      <c r="CG131" s="190" t="n">
        <v>4.93026431198</v>
      </c>
      <c r="CH131" s="190" t="n">
        <v>5</v>
      </c>
      <c r="CI131" s="190" t="n">
        <v>5.06973568801999</v>
      </c>
      <c r="CJ131" s="190" t="n">
        <v>5.13947137603999</v>
      </c>
      <c r="CK131" s="190" t="n">
        <v>5.20920706405999</v>
      </c>
      <c r="CL131" s="190" t="n">
        <v>5.27894275207999</v>
      </c>
      <c r="CM131" s="190" t="n">
        <v>5.34867844009999</v>
      </c>
      <c r="CN131" s="190" t="n">
        <v>5.41841412811999</v>
      </c>
      <c r="CO131" s="190" t="n">
        <v>5.48814981613999</v>
      </c>
      <c r="CP131" s="190" t="n">
        <v>5.55788550415999</v>
      </c>
      <c r="CQ131" s="190" t="n">
        <v>5.62762119217999</v>
      </c>
      <c r="CR131" s="190" t="n">
        <v>5.69735688019999</v>
      </c>
      <c r="CS131" s="190" t="n">
        <v>5.76709256821999</v>
      </c>
      <c r="CT131" s="190" t="n">
        <v>5.83682825623999</v>
      </c>
      <c r="CU131" s="190" t="n">
        <v>5.90656394425999</v>
      </c>
      <c r="CV131" s="190" t="n">
        <v>5.97629963227999</v>
      </c>
      <c r="CW131" s="190" t="n">
        <v>6.04603532029999</v>
      </c>
      <c r="CX131" s="190" t="n">
        <v>6.11577100831999</v>
      </c>
      <c r="CY131" s="190" t="n">
        <v>6.18550669633999</v>
      </c>
      <c r="CZ131" s="190" t="n">
        <v>6.25524238435999</v>
      </c>
      <c r="DA131" s="190" t="n">
        <v>6.32497807237999</v>
      </c>
      <c r="DB131" s="190" t="n">
        <v>6.39471376039999</v>
      </c>
      <c r="DC131" s="190" t="n">
        <v>6.46444944841999</v>
      </c>
      <c r="DD131" s="190" t="n">
        <v>6.53418513643999</v>
      </c>
      <c r="DE131" s="190" t="n">
        <v>6.60392082445999</v>
      </c>
      <c r="DF131" s="190" t="n">
        <v>6.67365651247999</v>
      </c>
      <c r="DG131" s="190" t="n">
        <v>6.74339220049999</v>
      </c>
      <c r="DH131" s="190" t="n">
        <v>6.81312788851999</v>
      </c>
      <c r="DI131" s="190" t="n">
        <v>6.88286357653999</v>
      </c>
      <c r="DJ131" s="190" t="n">
        <v>6.95259926455999</v>
      </c>
      <c r="DK131" s="190" t="n">
        <v>7.02233495257999</v>
      </c>
      <c r="DL131" s="190" t="n">
        <v>7.09207064059999</v>
      </c>
      <c r="DM131" s="190" t="n">
        <v>7.16180632861999</v>
      </c>
      <c r="DN131" s="190" t="n">
        <v>7.23154201663999</v>
      </c>
      <c r="DO131" s="190" t="n">
        <v>7.30127770465999</v>
      </c>
      <c r="DP131" s="190" t="n">
        <v>7.37101339267999</v>
      </c>
      <c r="DQ131" s="190" t="n">
        <v>7.44074908069999</v>
      </c>
      <c r="DR131" s="190" t="n">
        <v>7.51048476871999</v>
      </c>
      <c r="DS131" s="190" t="n">
        <v>7.58022045673999</v>
      </c>
      <c r="DT131" s="190" t="n">
        <v>7.64995614475999</v>
      </c>
      <c r="DU131" s="190" t="n">
        <v>7.71969183277999</v>
      </c>
      <c r="DV131" s="190" t="n">
        <v>7.78942752079998</v>
      </c>
      <c r="DW131" s="190" t="n">
        <v>7.85916320881998</v>
      </c>
      <c r="DX131" s="190" t="n">
        <v>7.92889889683998</v>
      </c>
      <c r="DY131" s="190" t="n">
        <v>7.99863458485998</v>
      </c>
      <c r="DZ131" s="190" t="n">
        <v>8.06837027287998</v>
      </c>
      <c r="EA131" s="190" t="n">
        <v>8.13810596089998</v>
      </c>
      <c r="EB131" s="190" t="n">
        <v>8.20784164891998</v>
      </c>
      <c r="EC131" s="190" t="n">
        <v>8.27757733693998</v>
      </c>
      <c r="ED131" s="190" t="n">
        <v>8.34731302495998</v>
      </c>
      <c r="EE131" s="190" t="n">
        <v>8.41704871297998</v>
      </c>
      <c r="EF131" s="190" t="n">
        <v>8.48678440099998</v>
      </c>
      <c r="EG131" s="190" t="n">
        <v>8.55652008901998</v>
      </c>
      <c r="EH131" s="190" t="n">
        <v>8.62625577703998</v>
      </c>
      <c r="EI131" s="190" t="n">
        <v>8.69599146505998</v>
      </c>
      <c r="EJ131" s="190" t="n">
        <v>8.76572715307998</v>
      </c>
      <c r="EK131" s="190" t="n">
        <v>8.83546284109998</v>
      </c>
      <c r="EL131" s="180" t="n">
        <v>8.90519852911998</v>
      </c>
      <c r="EM131" s="180" t="n">
        <v>8.97493421713998</v>
      </c>
      <c r="EN131" s="180" t="n">
        <v>9.04466990515998</v>
      </c>
      <c r="EO131" s="180" t="n">
        <v>9.11440559317998</v>
      </c>
      <c r="EP131" s="180" t="n">
        <v>9.18414128119998</v>
      </c>
      <c r="EQ131" s="180" t="n">
        <v>9.25387696921998</v>
      </c>
      <c r="ER131" s="180" t="n">
        <v>9.32361265723998</v>
      </c>
      <c r="ES131" s="180" t="n">
        <v>9.39334834525998</v>
      </c>
      <c r="ET131" s="180" t="n">
        <v>9.46308403327998</v>
      </c>
      <c r="EU131" s="180" t="n">
        <v>9.53281972129998</v>
      </c>
      <c r="EV131" s="180" t="n">
        <v>9.60255540931998</v>
      </c>
      <c r="EW131" s="180" t="n">
        <v>9.67229109733998</v>
      </c>
      <c r="EX131" s="180" t="n">
        <v>9.74202678535998</v>
      </c>
      <c r="EY131" s="180" t="n">
        <v>9.81176247337998</v>
      </c>
      <c r="EZ131" s="180" t="n">
        <v>9.88149816139998</v>
      </c>
      <c r="FA131" s="180" t="n">
        <v>9.95123384941998</v>
      </c>
      <c r="FB131" s="180" t="n">
        <v>10.02096953744</v>
      </c>
      <c r="FC131" s="180" t="n">
        <v>10.09070522546</v>
      </c>
      <c r="FD131" s="180" t="n">
        <v>10.16044091348</v>
      </c>
      <c r="FE131" s="180" t="n">
        <v>10.2301766015</v>
      </c>
      <c r="FF131" s="180" t="n">
        <v>10.29991228952</v>
      </c>
      <c r="FG131" s="180" t="n">
        <v>10.36964797754</v>
      </c>
      <c r="FH131" s="180" t="n">
        <v>10.43938366556</v>
      </c>
      <c r="FI131" s="180" t="n">
        <v>10.50911935358</v>
      </c>
      <c r="FJ131" s="180" t="n">
        <v>10.5788550416</v>
      </c>
      <c r="FK131" s="180" t="n">
        <v>10.64859072962</v>
      </c>
      <c r="FL131" s="180" t="n">
        <v>10.71832641764</v>
      </c>
      <c r="FM131" s="180" t="n">
        <v>10.78806210566</v>
      </c>
      <c r="FN131" s="180" t="n">
        <v>10.85779779368</v>
      </c>
      <c r="FO131" s="180" t="n">
        <v>10.9275334817</v>
      </c>
      <c r="FP131" s="180" t="n">
        <v>10.99726916972</v>
      </c>
      <c r="FQ131" s="180" t="n">
        <v>11.06700485774</v>
      </c>
      <c r="FR131" s="180" t="n">
        <v>11.13674054576</v>
      </c>
      <c r="FS131" s="180" t="n">
        <v>11.20647623378</v>
      </c>
      <c r="FT131" s="180" t="n">
        <v>11.2762119218</v>
      </c>
      <c r="FU131" s="180" t="n">
        <v>11.34594760982</v>
      </c>
      <c r="FV131" s="180" t="n">
        <v>11.41568329784</v>
      </c>
      <c r="FW131" s="180" t="n">
        <v>11.48541898586</v>
      </c>
      <c r="FX131" s="180" t="n">
        <v>11.55515467388</v>
      </c>
      <c r="FY131" s="180" t="n">
        <v>11.6248903619</v>
      </c>
      <c r="FZ131" s="180" t="n">
        <v>11.69462604992</v>
      </c>
      <c r="GA131" s="180" t="n">
        <v>11.76436173794</v>
      </c>
      <c r="GB131" s="180" t="n">
        <v>11.83409742596</v>
      </c>
      <c r="GC131" s="180" t="n">
        <v>11.90383311398</v>
      </c>
      <c r="GD131" s="180" t="n">
        <v>11.973568802</v>
      </c>
      <c r="GE131" s="180" t="n">
        <v>12.04330449002</v>
      </c>
      <c r="GF131" s="180" t="n">
        <v>12.11304017804</v>
      </c>
      <c r="GG131" s="180" t="n">
        <v>12.18277586606</v>
      </c>
      <c r="GH131" s="180" t="n">
        <v>12.25251155408</v>
      </c>
      <c r="GI131" s="180" t="n">
        <v>12.3222472421</v>
      </c>
      <c r="GJ131" s="180" t="n">
        <v>12.39198293012</v>
      </c>
      <c r="GK131" s="180" t="n">
        <v>12.46171861814</v>
      </c>
      <c r="GL131" s="180" t="n">
        <v>12.53145430616</v>
      </c>
      <c r="GM131" s="180" t="n">
        <v>12.60118999418</v>
      </c>
      <c r="GN131" s="180" t="n">
        <v>12.6709256822</v>
      </c>
      <c r="GO131" s="180" t="n">
        <v>12.74066137022</v>
      </c>
      <c r="GP131" s="180" t="n">
        <v>12.81039705824</v>
      </c>
      <c r="GQ131" s="180" t="n">
        <v>12.88013274626</v>
      </c>
      <c r="GR131" s="180" t="n">
        <v>12.94986843428</v>
      </c>
      <c r="GS131" s="180" t="n">
        <v>13.0196041223</v>
      </c>
      <c r="GT131" s="180" t="n">
        <v>13.08933981032</v>
      </c>
      <c r="GU131" s="180" t="n">
        <v>13.15907549834</v>
      </c>
      <c r="GV131" s="180" t="n">
        <v>13.22881118636</v>
      </c>
      <c r="GW131" s="180" t="n">
        <v>13.29854687438</v>
      </c>
      <c r="GX131" s="180" t="n">
        <v>13.3682825624</v>
      </c>
      <c r="GY131" s="180" t="n">
        <v>13.43801825042</v>
      </c>
      <c r="GZ131" s="180" t="n">
        <v>13.50775393844</v>
      </c>
      <c r="HA131" s="180" t="n">
        <v>13.57748962646</v>
      </c>
      <c r="HB131" s="180" t="n">
        <v>13.64722531448</v>
      </c>
      <c r="HC131" s="180" t="n">
        <v>13.7169610025</v>
      </c>
      <c r="HD131" s="180" t="n">
        <v>13.78669669052</v>
      </c>
      <c r="HE131" s="180" t="n">
        <v>13.85643237854</v>
      </c>
      <c r="HF131" s="180" t="n">
        <v>13.92616806656</v>
      </c>
      <c r="HG131" s="180" t="n">
        <v>13.99590375458</v>
      </c>
      <c r="HH131" s="180" t="n">
        <v>14.0656394426</v>
      </c>
      <c r="HI131" s="180" t="n">
        <v>14.13537513062</v>
      </c>
      <c r="HJ131" s="180" t="n">
        <v>14.20511081864</v>
      </c>
      <c r="HK131" s="180" t="n">
        <v>14.27484650666</v>
      </c>
      <c r="HL131" s="180" t="n">
        <v>14.34458219468</v>
      </c>
      <c r="HM131" s="180" t="n">
        <v>14.4143178827</v>
      </c>
      <c r="HN131" s="180" t="n">
        <v>14.48405357072</v>
      </c>
      <c r="HO131" s="180" t="n">
        <v>14.55378925874</v>
      </c>
      <c r="HP131" s="180" t="n">
        <v>14.62352494676</v>
      </c>
      <c r="HQ131" s="180" t="n">
        <v>14.69326063478</v>
      </c>
      <c r="HR131" s="180" t="n">
        <v>14.7629963228</v>
      </c>
      <c r="HS131" s="180" t="n">
        <v>14.83273201082</v>
      </c>
      <c r="HT131" s="180" t="n">
        <v>14.90246769884</v>
      </c>
      <c r="HU131" s="180" t="n">
        <v>14.97220338686</v>
      </c>
      <c r="HV131" s="180" t="n">
        <v>15.04193907488</v>
      </c>
      <c r="HW131" s="180" t="n">
        <v>15.1116747629</v>
      </c>
      <c r="HX131" s="180" t="n">
        <v>15.18141045092</v>
      </c>
      <c r="HY131" s="180" t="n">
        <v>15.25114613894</v>
      </c>
      <c r="HZ131" s="180" t="n">
        <v>15.32088182696</v>
      </c>
      <c r="IA131" s="180" t="n">
        <v>15.39061751498</v>
      </c>
      <c r="IB131" s="180" t="n">
        <v>15.460353203</v>
      </c>
      <c r="IC131" s="180" t="n">
        <v>15.53008889102</v>
      </c>
      <c r="ID131" s="180" t="n">
        <v>15.59982457904</v>
      </c>
      <c r="IE131" s="180" t="n">
        <v>15.66956026706</v>
      </c>
      <c r="IF131" s="180" t="n">
        <v>15.73929595508</v>
      </c>
      <c r="IG131" s="180" t="n">
        <v>15.8090316431</v>
      </c>
      <c r="IH131" s="180" t="n">
        <v>15.87876733112</v>
      </c>
      <c r="II131" s="180" t="n">
        <v>15.94850301914</v>
      </c>
      <c r="IJ131" s="180" t="n">
        <v>16.01823870716</v>
      </c>
      <c r="IK131" s="180" t="n">
        <v>16.08797439518</v>
      </c>
      <c r="IL131" s="180" t="n">
        <v>16.1577100832</v>
      </c>
      <c r="IM131" s="180" t="n">
        <v>16.22744577122</v>
      </c>
      <c r="IN131" s="180" t="n">
        <v>16.29718145924</v>
      </c>
      <c r="IO131" s="180" t="n">
        <v>16.36691714726</v>
      </c>
      <c r="IP131" s="180" t="n">
        <v>16.43665283528</v>
      </c>
      <c r="IQ131" s="180" t="n">
        <v>16.5063885233</v>
      </c>
      <c r="IR131" s="180" t="n">
        <v>16.57612421132</v>
      </c>
      <c r="IS131" s="180" t="n">
        <v>16.64585989934</v>
      </c>
      <c r="IT131" s="180" t="n">
        <v>16.71559558736</v>
      </c>
      <c r="IU131" s="180" t="n">
        <v>16.78533127538</v>
      </c>
      <c r="IV131" s="180" t="n">
        <v>16.8550669634</v>
      </c>
    </row>
    <row r="132" customFormat="false" ht="12.75" hidden="false" customHeight="false" outlineLevel="0" collapsed="false">
      <c r="A132" s="189" t="n">
        <v>40695</v>
      </c>
      <c r="B132" s="185" t="n">
        <v>-2.021005929375</v>
      </c>
      <c r="C132" s="185" t="n">
        <v>-1.9907047400625</v>
      </c>
      <c r="D132" s="185" t="n">
        <v>-1.96040355075</v>
      </c>
      <c r="E132" s="185" t="n">
        <v>-1.9301023614375</v>
      </c>
      <c r="F132" s="185" t="n">
        <v>-1.899801172125</v>
      </c>
      <c r="G132" s="185" t="n">
        <v>-1.8694999828125</v>
      </c>
      <c r="H132" s="185" t="n">
        <v>-1.8391987935</v>
      </c>
      <c r="I132" s="185" t="n">
        <v>-1.8088976041875</v>
      </c>
      <c r="J132" s="185" t="n">
        <v>-1.778596414875</v>
      </c>
      <c r="K132" s="185" t="n">
        <v>-1.7482952255625</v>
      </c>
      <c r="L132" s="185" t="n">
        <v>-1.71799403625</v>
      </c>
      <c r="M132" s="185" t="n">
        <v>-1.6876928469375</v>
      </c>
      <c r="N132" s="185" t="n">
        <v>-1.657391657625</v>
      </c>
      <c r="O132" s="185" t="n">
        <v>-1.6270904683125</v>
      </c>
      <c r="P132" s="185" t="n">
        <v>-1.596789279</v>
      </c>
      <c r="Q132" s="185" t="n">
        <v>-1.5664880896875</v>
      </c>
      <c r="R132" s="185" t="n">
        <v>-1.536186900375</v>
      </c>
      <c r="S132" s="185" t="n">
        <v>-1.5058857110625</v>
      </c>
      <c r="T132" s="185" t="n">
        <v>-1.47558452175</v>
      </c>
      <c r="U132" s="185" t="n">
        <v>-1.4452833324375</v>
      </c>
      <c r="V132" s="186" t="n">
        <v>-1.414982143125</v>
      </c>
      <c r="W132" s="185" t="n">
        <v>-1.3846809538125</v>
      </c>
      <c r="X132" s="186" t="n">
        <v>-1.3543797645</v>
      </c>
      <c r="Y132" s="185" t="n">
        <v>-1.3240785751875</v>
      </c>
      <c r="Z132" s="186" t="n">
        <v>-1.293777385875</v>
      </c>
      <c r="AA132" s="185" t="n">
        <v>-1.2634761965625</v>
      </c>
      <c r="AB132" s="187" t="n">
        <v>-1.23317500725</v>
      </c>
      <c r="AC132" s="185" t="n">
        <v>-1.2028738179375</v>
      </c>
      <c r="AD132" s="187" t="n">
        <v>-1.172572628625</v>
      </c>
      <c r="AE132" s="185" t="n">
        <v>-1.1422714393125</v>
      </c>
      <c r="AF132" s="185" t="n">
        <v>-1.11197025</v>
      </c>
      <c r="AG132" s="190" t="n">
        <v>-1.083235125</v>
      </c>
      <c r="AH132" s="190" t="n">
        <v>-1.0545</v>
      </c>
      <c r="AI132" s="190" t="n">
        <v>-1.02725</v>
      </c>
      <c r="AJ132" s="190" t="n">
        <v>-1</v>
      </c>
      <c r="AK132" s="190" t="n">
        <v>-0.8</v>
      </c>
      <c r="AL132" s="190" t="n">
        <v>-0.6</v>
      </c>
      <c r="AM132" s="190" t="n">
        <v>-0.4</v>
      </c>
      <c r="AN132" s="190" t="n">
        <v>-0.2</v>
      </c>
      <c r="AO132" s="190" t="n">
        <v>0</v>
      </c>
      <c r="AP132" s="190" t="n">
        <v>0.2</v>
      </c>
      <c r="AQ132" s="190" t="n">
        <v>0.4</v>
      </c>
      <c r="AR132" s="190" t="n">
        <v>0.6</v>
      </c>
      <c r="AS132" s="190" t="n">
        <v>0.8</v>
      </c>
      <c r="AT132" s="190" t="n">
        <v>1</v>
      </c>
      <c r="AU132" s="190" t="n">
        <v>1.2</v>
      </c>
      <c r="AV132" s="190" t="n">
        <v>1.4</v>
      </c>
      <c r="AW132" s="190" t="n">
        <v>1.58</v>
      </c>
      <c r="AX132" s="190" t="n">
        <v>1.76</v>
      </c>
      <c r="AY132" s="190" t="n">
        <v>1.922</v>
      </c>
      <c r="AZ132" s="190" t="n">
        <v>2.084</v>
      </c>
      <c r="BA132" s="190" t="n">
        <v>2.2298</v>
      </c>
      <c r="BB132" s="190" t="n">
        <v>2.3756</v>
      </c>
      <c r="BC132" s="190" t="n">
        <v>2.50682</v>
      </c>
      <c r="BD132" s="190" t="n">
        <v>2.63804</v>
      </c>
      <c r="BE132" s="190" t="n">
        <v>2.756138</v>
      </c>
      <c r="BF132" s="190" t="n">
        <v>2.874236</v>
      </c>
      <c r="BG132" s="190" t="n">
        <v>2.9805242</v>
      </c>
      <c r="BH132" s="190" t="n">
        <v>3.0868124</v>
      </c>
      <c r="BI132" s="190" t="n">
        <v>3.18247178</v>
      </c>
      <c r="BJ132" s="190" t="n">
        <v>3.27813116</v>
      </c>
      <c r="BK132" s="190" t="n">
        <v>3.364224602</v>
      </c>
      <c r="BL132" s="190" t="n">
        <v>3.450318044</v>
      </c>
      <c r="BM132" s="190" t="n">
        <v>3.5278021418</v>
      </c>
      <c r="BN132" s="190" t="n">
        <v>3.6052862396</v>
      </c>
      <c r="BO132" s="190" t="n">
        <v>3.67502192762</v>
      </c>
      <c r="BP132" s="190" t="n">
        <v>3.74475761564</v>
      </c>
      <c r="BQ132" s="190" t="n">
        <v>3.81449330366</v>
      </c>
      <c r="BR132" s="190" t="n">
        <v>3.88422899168</v>
      </c>
      <c r="BS132" s="190" t="n">
        <v>3.9539646797</v>
      </c>
      <c r="BT132" s="190" t="n">
        <v>4.02370036772</v>
      </c>
      <c r="BU132" s="190" t="n">
        <v>4.09343605574</v>
      </c>
      <c r="BV132" s="190" t="n">
        <v>4.16317174376</v>
      </c>
      <c r="BW132" s="190" t="n">
        <v>4.23290743178</v>
      </c>
      <c r="BX132" s="190" t="n">
        <v>4.3026431198</v>
      </c>
      <c r="BY132" s="190" t="n">
        <v>4.37237880782</v>
      </c>
      <c r="BZ132" s="190" t="n">
        <v>4.44211449584</v>
      </c>
      <c r="CA132" s="190" t="n">
        <v>4.51185018386</v>
      </c>
      <c r="CB132" s="190" t="n">
        <v>4.58158587188</v>
      </c>
      <c r="CC132" s="190" t="n">
        <v>4.6513215599</v>
      </c>
      <c r="CD132" s="190" t="n">
        <v>4.72105724792</v>
      </c>
      <c r="CE132" s="190" t="n">
        <v>4.79079293594</v>
      </c>
      <c r="CF132" s="190" t="n">
        <v>4.86052862396</v>
      </c>
      <c r="CG132" s="190" t="n">
        <v>4.93026431198</v>
      </c>
      <c r="CH132" s="190" t="n">
        <v>5</v>
      </c>
      <c r="CI132" s="190" t="n">
        <v>5.06973568801999</v>
      </c>
      <c r="CJ132" s="190" t="n">
        <v>5.13947137603999</v>
      </c>
      <c r="CK132" s="190" t="n">
        <v>5.20920706405999</v>
      </c>
      <c r="CL132" s="190" t="n">
        <v>5.27894275207999</v>
      </c>
      <c r="CM132" s="190" t="n">
        <v>5.34867844009999</v>
      </c>
      <c r="CN132" s="190" t="n">
        <v>5.41841412811999</v>
      </c>
      <c r="CO132" s="190" t="n">
        <v>5.48814981613999</v>
      </c>
      <c r="CP132" s="190" t="n">
        <v>5.55788550415999</v>
      </c>
      <c r="CQ132" s="190" t="n">
        <v>5.62762119217999</v>
      </c>
      <c r="CR132" s="190" t="n">
        <v>5.69735688019999</v>
      </c>
      <c r="CS132" s="190" t="n">
        <v>5.76709256821999</v>
      </c>
      <c r="CT132" s="190" t="n">
        <v>5.83682825623999</v>
      </c>
      <c r="CU132" s="190" t="n">
        <v>5.90656394425999</v>
      </c>
      <c r="CV132" s="190" t="n">
        <v>5.97629963227999</v>
      </c>
      <c r="CW132" s="190" t="n">
        <v>6.04603532029999</v>
      </c>
      <c r="CX132" s="190" t="n">
        <v>6.11577100831999</v>
      </c>
      <c r="CY132" s="190" t="n">
        <v>6.18550669633999</v>
      </c>
      <c r="CZ132" s="190" t="n">
        <v>6.25524238435999</v>
      </c>
      <c r="DA132" s="190" t="n">
        <v>6.32497807237999</v>
      </c>
      <c r="DB132" s="190" t="n">
        <v>6.39471376039999</v>
      </c>
      <c r="DC132" s="190" t="n">
        <v>6.46444944841999</v>
      </c>
      <c r="DD132" s="190" t="n">
        <v>6.53418513643999</v>
      </c>
      <c r="DE132" s="190" t="n">
        <v>6.60392082445999</v>
      </c>
      <c r="DF132" s="190" t="n">
        <v>6.67365651247999</v>
      </c>
      <c r="DG132" s="190" t="n">
        <v>6.74339220049999</v>
      </c>
      <c r="DH132" s="190" t="n">
        <v>6.81312788851999</v>
      </c>
      <c r="DI132" s="190" t="n">
        <v>6.88286357653999</v>
      </c>
      <c r="DJ132" s="190" t="n">
        <v>6.95259926455999</v>
      </c>
      <c r="DK132" s="190" t="n">
        <v>7.02233495257999</v>
      </c>
      <c r="DL132" s="190" t="n">
        <v>7.09207064059999</v>
      </c>
      <c r="DM132" s="190" t="n">
        <v>7.16180632861999</v>
      </c>
      <c r="DN132" s="190" t="n">
        <v>7.23154201663999</v>
      </c>
      <c r="DO132" s="190" t="n">
        <v>7.30127770465999</v>
      </c>
      <c r="DP132" s="190" t="n">
        <v>7.37101339267999</v>
      </c>
      <c r="DQ132" s="190" t="n">
        <v>7.44074908069999</v>
      </c>
      <c r="DR132" s="190" t="n">
        <v>7.51048476871999</v>
      </c>
      <c r="DS132" s="190" t="n">
        <v>7.58022045673999</v>
      </c>
      <c r="DT132" s="190" t="n">
        <v>7.64995614475999</v>
      </c>
      <c r="DU132" s="190" t="n">
        <v>7.71969183277999</v>
      </c>
      <c r="DV132" s="190" t="n">
        <v>7.78942752079998</v>
      </c>
      <c r="DW132" s="190" t="n">
        <v>7.85916320881998</v>
      </c>
      <c r="DX132" s="190" t="n">
        <v>7.92889889683998</v>
      </c>
      <c r="DY132" s="190" t="n">
        <v>7.99863458485998</v>
      </c>
      <c r="DZ132" s="190" t="n">
        <v>8.06837027287998</v>
      </c>
      <c r="EA132" s="190" t="n">
        <v>8.13810596089998</v>
      </c>
      <c r="EB132" s="190" t="n">
        <v>8.20784164891998</v>
      </c>
      <c r="EC132" s="190" t="n">
        <v>8.27757733693998</v>
      </c>
      <c r="ED132" s="190" t="n">
        <v>8.34731302495998</v>
      </c>
      <c r="EE132" s="190" t="n">
        <v>8.41704871297998</v>
      </c>
      <c r="EF132" s="190" t="n">
        <v>8.48678440099998</v>
      </c>
      <c r="EG132" s="190" t="n">
        <v>8.55652008901998</v>
      </c>
      <c r="EH132" s="190" t="n">
        <v>8.62625577703998</v>
      </c>
      <c r="EI132" s="190" t="n">
        <v>8.69599146505998</v>
      </c>
      <c r="EJ132" s="190" t="n">
        <v>8.76572715307998</v>
      </c>
      <c r="EK132" s="190" t="n">
        <v>8.83546284109998</v>
      </c>
      <c r="EL132" s="180" t="n">
        <v>8.90519852911998</v>
      </c>
      <c r="EM132" s="180" t="n">
        <v>8.97493421713998</v>
      </c>
      <c r="EN132" s="180" t="n">
        <v>9.04466990515998</v>
      </c>
      <c r="EO132" s="180" t="n">
        <v>9.11440559317998</v>
      </c>
      <c r="EP132" s="180" t="n">
        <v>9.18414128119998</v>
      </c>
      <c r="EQ132" s="180" t="n">
        <v>9.25387696921998</v>
      </c>
      <c r="ER132" s="180" t="n">
        <v>9.32361265723998</v>
      </c>
      <c r="ES132" s="180" t="n">
        <v>9.39334834525998</v>
      </c>
      <c r="ET132" s="180" t="n">
        <v>9.46308403327998</v>
      </c>
      <c r="EU132" s="180" t="n">
        <v>9.53281972129998</v>
      </c>
      <c r="EV132" s="180" t="n">
        <v>9.60255540931998</v>
      </c>
      <c r="EW132" s="180" t="n">
        <v>9.67229109733998</v>
      </c>
      <c r="EX132" s="180" t="n">
        <v>9.74202678535998</v>
      </c>
      <c r="EY132" s="180" t="n">
        <v>9.81176247337998</v>
      </c>
      <c r="EZ132" s="180" t="n">
        <v>9.88149816139998</v>
      </c>
      <c r="FA132" s="180" t="n">
        <v>9.95123384941998</v>
      </c>
      <c r="FB132" s="180" t="n">
        <v>10.02096953744</v>
      </c>
      <c r="FC132" s="180" t="n">
        <v>10.09070522546</v>
      </c>
      <c r="FD132" s="180" t="n">
        <v>10.16044091348</v>
      </c>
      <c r="FE132" s="180" t="n">
        <v>10.2301766015</v>
      </c>
      <c r="FF132" s="180" t="n">
        <v>10.29991228952</v>
      </c>
      <c r="FG132" s="180" t="n">
        <v>10.36964797754</v>
      </c>
      <c r="FH132" s="180" t="n">
        <v>10.43938366556</v>
      </c>
      <c r="FI132" s="180" t="n">
        <v>10.50911935358</v>
      </c>
      <c r="FJ132" s="180" t="n">
        <v>10.5788550416</v>
      </c>
      <c r="FK132" s="180" t="n">
        <v>10.64859072962</v>
      </c>
      <c r="FL132" s="180" t="n">
        <v>10.71832641764</v>
      </c>
      <c r="FM132" s="180" t="n">
        <v>10.78806210566</v>
      </c>
      <c r="FN132" s="180" t="n">
        <v>10.85779779368</v>
      </c>
      <c r="FO132" s="180" t="n">
        <v>10.9275334817</v>
      </c>
      <c r="FP132" s="180" t="n">
        <v>10.99726916972</v>
      </c>
      <c r="FQ132" s="180" t="n">
        <v>11.06700485774</v>
      </c>
      <c r="FR132" s="180" t="n">
        <v>11.13674054576</v>
      </c>
      <c r="FS132" s="180" t="n">
        <v>11.20647623378</v>
      </c>
      <c r="FT132" s="180" t="n">
        <v>11.2762119218</v>
      </c>
      <c r="FU132" s="180" t="n">
        <v>11.34594760982</v>
      </c>
      <c r="FV132" s="180" t="n">
        <v>11.41568329784</v>
      </c>
      <c r="FW132" s="180" t="n">
        <v>11.48541898586</v>
      </c>
      <c r="FX132" s="180" t="n">
        <v>11.55515467388</v>
      </c>
      <c r="FY132" s="180" t="n">
        <v>11.6248903619</v>
      </c>
      <c r="FZ132" s="180" t="n">
        <v>11.69462604992</v>
      </c>
      <c r="GA132" s="180" t="n">
        <v>11.76436173794</v>
      </c>
      <c r="GB132" s="180" t="n">
        <v>11.83409742596</v>
      </c>
      <c r="GC132" s="180" t="n">
        <v>11.90383311398</v>
      </c>
      <c r="GD132" s="180" t="n">
        <v>11.973568802</v>
      </c>
      <c r="GE132" s="180" t="n">
        <v>12.04330449002</v>
      </c>
      <c r="GF132" s="180" t="n">
        <v>12.11304017804</v>
      </c>
      <c r="GG132" s="180" t="n">
        <v>12.18277586606</v>
      </c>
      <c r="GH132" s="180" t="n">
        <v>12.25251155408</v>
      </c>
      <c r="GI132" s="180" t="n">
        <v>12.3222472421</v>
      </c>
      <c r="GJ132" s="180" t="n">
        <v>12.39198293012</v>
      </c>
      <c r="GK132" s="180" t="n">
        <v>12.46171861814</v>
      </c>
      <c r="GL132" s="180" t="n">
        <v>12.53145430616</v>
      </c>
      <c r="GM132" s="180" t="n">
        <v>12.60118999418</v>
      </c>
      <c r="GN132" s="180" t="n">
        <v>12.6709256822</v>
      </c>
      <c r="GO132" s="180" t="n">
        <v>12.74066137022</v>
      </c>
      <c r="GP132" s="180" t="n">
        <v>12.81039705824</v>
      </c>
      <c r="GQ132" s="180" t="n">
        <v>12.88013274626</v>
      </c>
      <c r="GR132" s="180" t="n">
        <v>12.94986843428</v>
      </c>
      <c r="GS132" s="180" t="n">
        <v>13.0196041223</v>
      </c>
      <c r="GT132" s="180" t="n">
        <v>13.08933981032</v>
      </c>
      <c r="GU132" s="180" t="n">
        <v>13.15907549834</v>
      </c>
      <c r="GV132" s="180" t="n">
        <v>13.22881118636</v>
      </c>
      <c r="GW132" s="180" t="n">
        <v>13.29854687438</v>
      </c>
      <c r="GX132" s="180" t="n">
        <v>13.3682825624</v>
      </c>
      <c r="GY132" s="180" t="n">
        <v>13.43801825042</v>
      </c>
      <c r="GZ132" s="180" t="n">
        <v>13.50775393844</v>
      </c>
      <c r="HA132" s="180" t="n">
        <v>13.57748962646</v>
      </c>
      <c r="HB132" s="180" t="n">
        <v>13.64722531448</v>
      </c>
      <c r="HC132" s="180" t="n">
        <v>13.7169610025</v>
      </c>
      <c r="HD132" s="180" t="n">
        <v>13.78669669052</v>
      </c>
      <c r="HE132" s="180" t="n">
        <v>13.85643237854</v>
      </c>
      <c r="HF132" s="180" t="n">
        <v>13.92616806656</v>
      </c>
      <c r="HG132" s="180" t="n">
        <v>13.99590375458</v>
      </c>
      <c r="HH132" s="180" t="n">
        <v>14.0656394426</v>
      </c>
      <c r="HI132" s="180" t="n">
        <v>14.13537513062</v>
      </c>
      <c r="HJ132" s="180" t="n">
        <v>14.20511081864</v>
      </c>
      <c r="HK132" s="180" t="n">
        <v>14.27484650666</v>
      </c>
      <c r="HL132" s="180" t="n">
        <v>14.34458219468</v>
      </c>
      <c r="HM132" s="180" t="n">
        <v>14.4143178827</v>
      </c>
      <c r="HN132" s="180" t="n">
        <v>14.48405357072</v>
      </c>
      <c r="HO132" s="180" t="n">
        <v>14.55378925874</v>
      </c>
      <c r="HP132" s="180" t="n">
        <v>14.62352494676</v>
      </c>
      <c r="HQ132" s="180" t="n">
        <v>14.69326063478</v>
      </c>
      <c r="HR132" s="180" t="n">
        <v>14.7629963228</v>
      </c>
      <c r="HS132" s="180" t="n">
        <v>14.83273201082</v>
      </c>
      <c r="HT132" s="180" t="n">
        <v>14.90246769884</v>
      </c>
      <c r="HU132" s="180" t="n">
        <v>14.97220338686</v>
      </c>
      <c r="HV132" s="180" t="n">
        <v>15.04193907488</v>
      </c>
      <c r="HW132" s="180" t="n">
        <v>15.1116747629</v>
      </c>
      <c r="HX132" s="180" t="n">
        <v>15.18141045092</v>
      </c>
      <c r="HY132" s="180" t="n">
        <v>15.25114613894</v>
      </c>
      <c r="HZ132" s="180" t="n">
        <v>15.32088182696</v>
      </c>
      <c r="IA132" s="180" t="n">
        <v>15.39061751498</v>
      </c>
      <c r="IB132" s="180" t="n">
        <v>15.460353203</v>
      </c>
      <c r="IC132" s="180" t="n">
        <v>15.53008889102</v>
      </c>
      <c r="ID132" s="180" t="n">
        <v>15.59982457904</v>
      </c>
      <c r="IE132" s="180" t="n">
        <v>15.66956026706</v>
      </c>
      <c r="IF132" s="180" t="n">
        <v>15.73929595508</v>
      </c>
      <c r="IG132" s="180" t="n">
        <v>15.8090316431</v>
      </c>
      <c r="IH132" s="180" t="n">
        <v>15.87876733112</v>
      </c>
      <c r="II132" s="180" t="n">
        <v>15.94850301914</v>
      </c>
      <c r="IJ132" s="180" t="n">
        <v>16.01823870716</v>
      </c>
      <c r="IK132" s="180" t="n">
        <v>16.08797439518</v>
      </c>
      <c r="IL132" s="180" t="n">
        <v>16.1577100832</v>
      </c>
      <c r="IM132" s="180" t="n">
        <v>16.22744577122</v>
      </c>
      <c r="IN132" s="180" t="n">
        <v>16.29718145924</v>
      </c>
      <c r="IO132" s="180" t="n">
        <v>16.36691714726</v>
      </c>
      <c r="IP132" s="180" t="n">
        <v>16.43665283528</v>
      </c>
      <c r="IQ132" s="180" t="n">
        <v>16.5063885233</v>
      </c>
      <c r="IR132" s="180" t="n">
        <v>16.57612421132</v>
      </c>
      <c r="IS132" s="180" t="n">
        <v>16.64585989934</v>
      </c>
      <c r="IT132" s="180" t="n">
        <v>16.71559558736</v>
      </c>
      <c r="IU132" s="180" t="n">
        <v>16.78533127538</v>
      </c>
      <c r="IV132" s="180" t="n">
        <v>16.8550669634</v>
      </c>
    </row>
    <row r="133" customFormat="false" ht="12.75" hidden="false" customHeight="false" outlineLevel="0" collapsed="false">
      <c r="A133" s="189" t="n">
        <v>40725</v>
      </c>
      <c r="B133" s="185" t="n">
        <v>-2.021005929375</v>
      </c>
      <c r="C133" s="185" t="n">
        <v>-1.9907047400625</v>
      </c>
      <c r="D133" s="185" t="n">
        <v>-1.96040355075</v>
      </c>
      <c r="E133" s="185" t="n">
        <v>-1.9301023614375</v>
      </c>
      <c r="F133" s="185" t="n">
        <v>-1.899801172125</v>
      </c>
      <c r="G133" s="185" t="n">
        <v>-1.8694999828125</v>
      </c>
      <c r="H133" s="185" t="n">
        <v>-1.8391987935</v>
      </c>
      <c r="I133" s="185" t="n">
        <v>-1.8088976041875</v>
      </c>
      <c r="J133" s="185" t="n">
        <v>-1.778596414875</v>
      </c>
      <c r="K133" s="185" t="n">
        <v>-1.7482952255625</v>
      </c>
      <c r="L133" s="185" t="n">
        <v>-1.71799403625</v>
      </c>
      <c r="M133" s="185" t="n">
        <v>-1.6876928469375</v>
      </c>
      <c r="N133" s="185" t="n">
        <v>-1.657391657625</v>
      </c>
      <c r="O133" s="185" t="n">
        <v>-1.6270904683125</v>
      </c>
      <c r="P133" s="185" t="n">
        <v>-1.596789279</v>
      </c>
      <c r="Q133" s="185" t="n">
        <v>-1.5664880896875</v>
      </c>
      <c r="R133" s="185" t="n">
        <v>-1.536186900375</v>
      </c>
      <c r="S133" s="185" t="n">
        <v>-1.5058857110625</v>
      </c>
      <c r="T133" s="185" t="n">
        <v>-1.47558452175</v>
      </c>
      <c r="U133" s="185" t="n">
        <v>-1.4452833324375</v>
      </c>
      <c r="V133" s="186" t="n">
        <v>-1.414982143125</v>
      </c>
      <c r="W133" s="185" t="n">
        <v>-1.3846809538125</v>
      </c>
      <c r="X133" s="186" t="n">
        <v>-1.3543797645</v>
      </c>
      <c r="Y133" s="185" t="n">
        <v>-1.3240785751875</v>
      </c>
      <c r="Z133" s="186" t="n">
        <v>-1.293777385875</v>
      </c>
      <c r="AA133" s="185" t="n">
        <v>-1.2634761965625</v>
      </c>
      <c r="AB133" s="187" t="n">
        <v>-1.23317500725</v>
      </c>
      <c r="AC133" s="185" t="n">
        <v>-1.2028738179375</v>
      </c>
      <c r="AD133" s="187" t="n">
        <v>-1.172572628625</v>
      </c>
      <c r="AE133" s="185" t="n">
        <v>-1.1422714393125</v>
      </c>
      <c r="AF133" s="185" t="n">
        <v>-1.11197025</v>
      </c>
      <c r="AG133" s="190" t="n">
        <v>-1.083235125</v>
      </c>
      <c r="AH133" s="190" t="n">
        <v>-1.0545</v>
      </c>
      <c r="AI133" s="190" t="n">
        <v>-1.02725</v>
      </c>
      <c r="AJ133" s="190" t="n">
        <v>-1</v>
      </c>
      <c r="AK133" s="190" t="n">
        <v>-0.8</v>
      </c>
      <c r="AL133" s="190" t="n">
        <v>-0.6</v>
      </c>
      <c r="AM133" s="190" t="n">
        <v>-0.4</v>
      </c>
      <c r="AN133" s="190" t="n">
        <v>-0.2</v>
      </c>
      <c r="AO133" s="190" t="n">
        <v>0</v>
      </c>
      <c r="AP133" s="190" t="n">
        <v>0.2</v>
      </c>
      <c r="AQ133" s="190" t="n">
        <v>0.4</v>
      </c>
      <c r="AR133" s="190" t="n">
        <v>0.6</v>
      </c>
      <c r="AS133" s="190" t="n">
        <v>0.8</v>
      </c>
      <c r="AT133" s="190" t="n">
        <v>1</v>
      </c>
      <c r="AU133" s="190" t="n">
        <v>1.2</v>
      </c>
      <c r="AV133" s="190" t="n">
        <v>1.4</v>
      </c>
      <c r="AW133" s="190" t="n">
        <v>1.58</v>
      </c>
      <c r="AX133" s="190" t="n">
        <v>1.76</v>
      </c>
      <c r="AY133" s="190" t="n">
        <v>1.922</v>
      </c>
      <c r="AZ133" s="190" t="n">
        <v>2.084</v>
      </c>
      <c r="BA133" s="190" t="n">
        <v>2.2298</v>
      </c>
      <c r="BB133" s="190" t="n">
        <v>2.3756</v>
      </c>
      <c r="BC133" s="190" t="n">
        <v>2.50682</v>
      </c>
      <c r="BD133" s="190" t="n">
        <v>2.63804</v>
      </c>
      <c r="BE133" s="190" t="n">
        <v>2.756138</v>
      </c>
      <c r="BF133" s="190" t="n">
        <v>2.874236</v>
      </c>
      <c r="BG133" s="190" t="n">
        <v>2.9805242</v>
      </c>
      <c r="BH133" s="190" t="n">
        <v>3.0868124</v>
      </c>
      <c r="BI133" s="190" t="n">
        <v>3.18247178</v>
      </c>
      <c r="BJ133" s="190" t="n">
        <v>3.27813116</v>
      </c>
      <c r="BK133" s="190" t="n">
        <v>3.364224602</v>
      </c>
      <c r="BL133" s="190" t="n">
        <v>3.450318044</v>
      </c>
      <c r="BM133" s="190" t="n">
        <v>3.5278021418</v>
      </c>
      <c r="BN133" s="190" t="n">
        <v>3.6052862396</v>
      </c>
      <c r="BO133" s="190" t="n">
        <v>3.67502192762</v>
      </c>
      <c r="BP133" s="190" t="n">
        <v>3.74475761564</v>
      </c>
      <c r="BQ133" s="190" t="n">
        <v>3.81449330366</v>
      </c>
      <c r="BR133" s="190" t="n">
        <v>3.88422899168</v>
      </c>
      <c r="BS133" s="190" t="n">
        <v>3.9539646797</v>
      </c>
      <c r="BT133" s="190" t="n">
        <v>4.02370036772</v>
      </c>
      <c r="BU133" s="190" t="n">
        <v>4.09343605574</v>
      </c>
      <c r="BV133" s="190" t="n">
        <v>4.16317174376</v>
      </c>
      <c r="BW133" s="190" t="n">
        <v>4.23290743178</v>
      </c>
      <c r="BX133" s="190" t="n">
        <v>4.3026431198</v>
      </c>
      <c r="BY133" s="190" t="n">
        <v>4.37237880782</v>
      </c>
      <c r="BZ133" s="190" t="n">
        <v>4.44211449584</v>
      </c>
      <c r="CA133" s="190" t="n">
        <v>4.51185018386</v>
      </c>
      <c r="CB133" s="190" t="n">
        <v>4.58158587188</v>
      </c>
      <c r="CC133" s="190" t="n">
        <v>4.6513215599</v>
      </c>
      <c r="CD133" s="190" t="n">
        <v>4.72105724792</v>
      </c>
      <c r="CE133" s="190" t="n">
        <v>4.79079293594</v>
      </c>
      <c r="CF133" s="190" t="n">
        <v>4.86052862396</v>
      </c>
      <c r="CG133" s="190" t="n">
        <v>4.93026431198</v>
      </c>
      <c r="CH133" s="190" t="n">
        <v>5</v>
      </c>
      <c r="CI133" s="190" t="n">
        <v>5.06973568801999</v>
      </c>
      <c r="CJ133" s="190" t="n">
        <v>5.13947137603999</v>
      </c>
      <c r="CK133" s="190" t="n">
        <v>5.20920706405999</v>
      </c>
      <c r="CL133" s="190" t="n">
        <v>5.27894275207999</v>
      </c>
      <c r="CM133" s="190" t="n">
        <v>5.34867844009999</v>
      </c>
      <c r="CN133" s="190" t="n">
        <v>5.41841412811999</v>
      </c>
      <c r="CO133" s="190" t="n">
        <v>5.48814981613999</v>
      </c>
      <c r="CP133" s="190" t="n">
        <v>5.55788550415999</v>
      </c>
      <c r="CQ133" s="190" t="n">
        <v>5.62762119217999</v>
      </c>
      <c r="CR133" s="190" t="n">
        <v>5.69735688019999</v>
      </c>
      <c r="CS133" s="190" t="n">
        <v>5.76709256821999</v>
      </c>
      <c r="CT133" s="190" t="n">
        <v>5.83682825623999</v>
      </c>
      <c r="CU133" s="190" t="n">
        <v>5.90656394425999</v>
      </c>
      <c r="CV133" s="190" t="n">
        <v>5.97629963227999</v>
      </c>
      <c r="CW133" s="190" t="n">
        <v>6.04603532029999</v>
      </c>
      <c r="CX133" s="190" t="n">
        <v>6.11577100831999</v>
      </c>
      <c r="CY133" s="190" t="n">
        <v>6.18550669633999</v>
      </c>
      <c r="CZ133" s="190" t="n">
        <v>6.25524238435999</v>
      </c>
      <c r="DA133" s="190" t="n">
        <v>6.32497807237999</v>
      </c>
      <c r="DB133" s="190" t="n">
        <v>6.39471376039999</v>
      </c>
      <c r="DC133" s="190" t="n">
        <v>6.46444944841999</v>
      </c>
      <c r="DD133" s="190" t="n">
        <v>6.53418513643999</v>
      </c>
      <c r="DE133" s="190" t="n">
        <v>6.60392082445999</v>
      </c>
      <c r="DF133" s="190" t="n">
        <v>6.67365651247999</v>
      </c>
      <c r="DG133" s="190" t="n">
        <v>6.74339220049999</v>
      </c>
      <c r="DH133" s="190" t="n">
        <v>6.81312788851999</v>
      </c>
      <c r="DI133" s="190" t="n">
        <v>6.88286357653999</v>
      </c>
      <c r="DJ133" s="190" t="n">
        <v>6.95259926455999</v>
      </c>
      <c r="DK133" s="190" t="n">
        <v>7.02233495257999</v>
      </c>
      <c r="DL133" s="190" t="n">
        <v>7.09207064059999</v>
      </c>
      <c r="DM133" s="190" t="n">
        <v>7.16180632861999</v>
      </c>
      <c r="DN133" s="190" t="n">
        <v>7.23154201663999</v>
      </c>
      <c r="DO133" s="190" t="n">
        <v>7.30127770465999</v>
      </c>
      <c r="DP133" s="190" t="n">
        <v>7.37101339267999</v>
      </c>
      <c r="DQ133" s="190" t="n">
        <v>7.44074908069999</v>
      </c>
      <c r="DR133" s="190" t="n">
        <v>7.51048476871999</v>
      </c>
      <c r="DS133" s="190" t="n">
        <v>7.58022045673999</v>
      </c>
      <c r="DT133" s="190" t="n">
        <v>7.64995614475999</v>
      </c>
      <c r="DU133" s="190" t="n">
        <v>7.71969183277999</v>
      </c>
      <c r="DV133" s="190" t="n">
        <v>7.78942752079998</v>
      </c>
      <c r="DW133" s="190" t="n">
        <v>7.85916320881998</v>
      </c>
      <c r="DX133" s="190" t="n">
        <v>7.92889889683998</v>
      </c>
      <c r="DY133" s="190" t="n">
        <v>7.99863458485998</v>
      </c>
      <c r="DZ133" s="190" t="n">
        <v>8.06837027287998</v>
      </c>
      <c r="EA133" s="190" t="n">
        <v>8.13810596089998</v>
      </c>
      <c r="EB133" s="190" t="n">
        <v>8.20784164891998</v>
      </c>
      <c r="EC133" s="190" t="n">
        <v>8.27757733693998</v>
      </c>
      <c r="ED133" s="190" t="n">
        <v>8.34731302495998</v>
      </c>
      <c r="EE133" s="190" t="n">
        <v>8.41704871297998</v>
      </c>
      <c r="EF133" s="190" t="n">
        <v>8.48678440099998</v>
      </c>
      <c r="EG133" s="190" t="n">
        <v>8.55652008901998</v>
      </c>
      <c r="EH133" s="190" t="n">
        <v>8.62625577703998</v>
      </c>
      <c r="EI133" s="190" t="n">
        <v>8.69599146505998</v>
      </c>
      <c r="EJ133" s="190" t="n">
        <v>8.76572715307998</v>
      </c>
      <c r="EK133" s="190" t="n">
        <v>8.83546284109998</v>
      </c>
      <c r="EL133" s="180" t="n">
        <v>8.90519852911998</v>
      </c>
      <c r="EM133" s="180" t="n">
        <v>8.97493421713998</v>
      </c>
      <c r="EN133" s="180" t="n">
        <v>9.04466990515998</v>
      </c>
      <c r="EO133" s="180" t="n">
        <v>9.11440559317998</v>
      </c>
      <c r="EP133" s="180" t="n">
        <v>9.18414128119998</v>
      </c>
      <c r="EQ133" s="180" t="n">
        <v>9.25387696921998</v>
      </c>
      <c r="ER133" s="180" t="n">
        <v>9.32361265723998</v>
      </c>
      <c r="ES133" s="180" t="n">
        <v>9.39334834525998</v>
      </c>
      <c r="ET133" s="180" t="n">
        <v>9.46308403327998</v>
      </c>
      <c r="EU133" s="180" t="n">
        <v>9.53281972129998</v>
      </c>
      <c r="EV133" s="180" t="n">
        <v>9.60255540931998</v>
      </c>
      <c r="EW133" s="180" t="n">
        <v>9.67229109733998</v>
      </c>
      <c r="EX133" s="180" t="n">
        <v>9.74202678535998</v>
      </c>
      <c r="EY133" s="180" t="n">
        <v>9.81176247337998</v>
      </c>
      <c r="EZ133" s="180" t="n">
        <v>9.88149816139998</v>
      </c>
      <c r="FA133" s="180" t="n">
        <v>9.95123384941998</v>
      </c>
      <c r="FB133" s="180" t="n">
        <v>10.02096953744</v>
      </c>
      <c r="FC133" s="180" t="n">
        <v>10.09070522546</v>
      </c>
      <c r="FD133" s="180" t="n">
        <v>10.16044091348</v>
      </c>
      <c r="FE133" s="180" t="n">
        <v>10.2301766015</v>
      </c>
      <c r="FF133" s="180" t="n">
        <v>10.29991228952</v>
      </c>
      <c r="FG133" s="180" t="n">
        <v>10.36964797754</v>
      </c>
      <c r="FH133" s="180" t="n">
        <v>10.43938366556</v>
      </c>
      <c r="FI133" s="180" t="n">
        <v>10.50911935358</v>
      </c>
      <c r="FJ133" s="180" t="n">
        <v>10.5788550416</v>
      </c>
      <c r="FK133" s="180" t="n">
        <v>10.64859072962</v>
      </c>
      <c r="FL133" s="180" t="n">
        <v>10.71832641764</v>
      </c>
      <c r="FM133" s="180" t="n">
        <v>10.78806210566</v>
      </c>
      <c r="FN133" s="180" t="n">
        <v>10.85779779368</v>
      </c>
      <c r="FO133" s="180" t="n">
        <v>10.9275334817</v>
      </c>
      <c r="FP133" s="180" t="n">
        <v>10.99726916972</v>
      </c>
      <c r="FQ133" s="180" t="n">
        <v>11.06700485774</v>
      </c>
      <c r="FR133" s="180" t="n">
        <v>11.13674054576</v>
      </c>
      <c r="FS133" s="180" t="n">
        <v>11.20647623378</v>
      </c>
      <c r="FT133" s="180" t="n">
        <v>11.2762119218</v>
      </c>
      <c r="FU133" s="180" t="n">
        <v>11.34594760982</v>
      </c>
      <c r="FV133" s="180" t="n">
        <v>11.41568329784</v>
      </c>
      <c r="FW133" s="180" t="n">
        <v>11.48541898586</v>
      </c>
      <c r="FX133" s="180" t="n">
        <v>11.55515467388</v>
      </c>
      <c r="FY133" s="180" t="n">
        <v>11.6248903619</v>
      </c>
      <c r="FZ133" s="180" t="n">
        <v>11.69462604992</v>
      </c>
      <c r="GA133" s="180" t="n">
        <v>11.76436173794</v>
      </c>
      <c r="GB133" s="180" t="n">
        <v>11.83409742596</v>
      </c>
      <c r="GC133" s="180" t="n">
        <v>11.90383311398</v>
      </c>
      <c r="GD133" s="180" t="n">
        <v>11.973568802</v>
      </c>
      <c r="GE133" s="180" t="n">
        <v>12.04330449002</v>
      </c>
      <c r="GF133" s="180" t="n">
        <v>12.11304017804</v>
      </c>
      <c r="GG133" s="180" t="n">
        <v>12.18277586606</v>
      </c>
      <c r="GH133" s="180" t="n">
        <v>12.25251155408</v>
      </c>
      <c r="GI133" s="180" t="n">
        <v>12.3222472421</v>
      </c>
      <c r="GJ133" s="180" t="n">
        <v>12.39198293012</v>
      </c>
      <c r="GK133" s="180" t="n">
        <v>12.46171861814</v>
      </c>
      <c r="GL133" s="180" t="n">
        <v>12.53145430616</v>
      </c>
      <c r="GM133" s="180" t="n">
        <v>12.60118999418</v>
      </c>
      <c r="GN133" s="180" t="n">
        <v>12.6709256822</v>
      </c>
      <c r="GO133" s="180" t="n">
        <v>12.74066137022</v>
      </c>
      <c r="GP133" s="180" t="n">
        <v>12.81039705824</v>
      </c>
      <c r="GQ133" s="180" t="n">
        <v>12.88013274626</v>
      </c>
      <c r="GR133" s="180" t="n">
        <v>12.94986843428</v>
      </c>
      <c r="GS133" s="180" t="n">
        <v>13.0196041223</v>
      </c>
      <c r="GT133" s="180" t="n">
        <v>13.08933981032</v>
      </c>
      <c r="GU133" s="180" t="n">
        <v>13.15907549834</v>
      </c>
      <c r="GV133" s="180" t="n">
        <v>13.22881118636</v>
      </c>
      <c r="GW133" s="180" t="n">
        <v>13.29854687438</v>
      </c>
      <c r="GX133" s="180" t="n">
        <v>13.3682825624</v>
      </c>
      <c r="GY133" s="180" t="n">
        <v>13.43801825042</v>
      </c>
      <c r="GZ133" s="180" t="n">
        <v>13.50775393844</v>
      </c>
      <c r="HA133" s="180" t="n">
        <v>13.57748962646</v>
      </c>
      <c r="HB133" s="180" t="n">
        <v>13.64722531448</v>
      </c>
      <c r="HC133" s="180" t="n">
        <v>13.7169610025</v>
      </c>
      <c r="HD133" s="180" t="n">
        <v>13.78669669052</v>
      </c>
      <c r="HE133" s="180" t="n">
        <v>13.85643237854</v>
      </c>
      <c r="HF133" s="180" t="n">
        <v>13.92616806656</v>
      </c>
      <c r="HG133" s="180" t="n">
        <v>13.99590375458</v>
      </c>
      <c r="HH133" s="180" t="n">
        <v>14.0656394426</v>
      </c>
      <c r="HI133" s="180" t="n">
        <v>14.13537513062</v>
      </c>
      <c r="HJ133" s="180" t="n">
        <v>14.20511081864</v>
      </c>
      <c r="HK133" s="180" t="n">
        <v>14.27484650666</v>
      </c>
      <c r="HL133" s="180" t="n">
        <v>14.34458219468</v>
      </c>
      <c r="HM133" s="180" t="n">
        <v>14.4143178827</v>
      </c>
      <c r="HN133" s="180" t="n">
        <v>14.48405357072</v>
      </c>
      <c r="HO133" s="180" t="n">
        <v>14.55378925874</v>
      </c>
      <c r="HP133" s="180" t="n">
        <v>14.62352494676</v>
      </c>
      <c r="HQ133" s="180" t="n">
        <v>14.69326063478</v>
      </c>
      <c r="HR133" s="180" t="n">
        <v>14.7629963228</v>
      </c>
      <c r="HS133" s="180" t="n">
        <v>14.83273201082</v>
      </c>
      <c r="HT133" s="180" t="n">
        <v>14.90246769884</v>
      </c>
      <c r="HU133" s="180" t="n">
        <v>14.97220338686</v>
      </c>
      <c r="HV133" s="180" t="n">
        <v>15.04193907488</v>
      </c>
      <c r="HW133" s="180" t="n">
        <v>15.1116747629</v>
      </c>
      <c r="HX133" s="180" t="n">
        <v>15.18141045092</v>
      </c>
      <c r="HY133" s="180" t="n">
        <v>15.25114613894</v>
      </c>
      <c r="HZ133" s="180" t="n">
        <v>15.32088182696</v>
      </c>
      <c r="IA133" s="180" t="n">
        <v>15.39061751498</v>
      </c>
      <c r="IB133" s="180" t="n">
        <v>15.460353203</v>
      </c>
      <c r="IC133" s="180" t="n">
        <v>15.53008889102</v>
      </c>
      <c r="ID133" s="180" t="n">
        <v>15.59982457904</v>
      </c>
      <c r="IE133" s="180" t="n">
        <v>15.66956026706</v>
      </c>
      <c r="IF133" s="180" t="n">
        <v>15.73929595508</v>
      </c>
      <c r="IG133" s="180" t="n">
        <v>15.8090316431</v>
      </c>
      <c r="IH133" s="180" t="n">
        <v>15.87876733112</v>
      </c>
      <c r="II133" s="180" t="n">
        <v>15.94850301914</v>
      </c>
      <c r="IJ133" s="180" t="n">
        <v>16.01823870716</v>
      </c>
      <c r="IK133" s="180" t="n">
        <v>16.08797439518</v>
      </c>
      <c r="IL133" s="180" t="n">
        <v>16.1577100832</v>
      </c>
      <c r="IM133" s="180" t="n">
        <v>16.22744577122</v>
      </c>
      <c r="IN133" s="180" t="n">
        <v>16.29718145924</v>
      </c>
      <c r="IO133" s="180" t="n">
        <v>16.36691714726</v>
      </c>
      <c r="IP133" s="180" t="n">
        <v>16.43665283528</v>
      </c>
      <c r="IQ133" s="180" t="n">
        <v>16.5063885233</v>
      </c>
      <c r="IR133" s="180" t="n">
        <v>16.57612421132</v>
      </c>
      <c r="IS133" s="180" t="n">
        <v>16.64585989934</v>
      </c>
      <c r="IT133" s="180" t="n">
        <v>16.71559558736</v>
      </c>
      <c r="IU133" s="180" t="n">
        <v>16.78533127538</v>
      </c>
      <c r="IV133" s="180" t="n">
        <v>16.8550669634</v>
      </c>
    </row>
    <row r="134" customFormat="false" ht="12.75" hidden="false" customHeight="false" outlineLevel="0" collapsed="false">
      <c r="A134" s="189" t="n">
        <v>40756</v>
      </c>
      <c r="B134" s="185" t="n">
        <v>-2.021005929375</v>
      </c>
      <c r="C134" s="185" t="n">
        <v>-1.9907047400625</v>
      </c>
      <c r="D134" s="185" t="n">
        <v>-1.96040355075</v>
      </c>
      <c r="E134" s="185" t="n">
        <v>-1.9301023614375</v>
      </c>
      <c r="F134" s="185" t="n">
        <v>-1.899801172125</v>
      </c>
      <c r="G134" s="185" t="n">
        <v>-1.8694999828125</v>
      </c>
      <c r="H134" s="185" t="n">
        <v>-1.8391987935</v>
      </c>
      <c r="I134" s="185" t="n">
        <v>-1.8088976041875</v>
      </c>
      <c r="J134" s="185" t="n">
        <v>-1.778596414875</v>
      </c>
      <c r="K134" s="185" t="n">
        <v>-1.7482952255625</v>
      </c>
      <c r="L134" s="185" t="n">
        <v>-1.71799403625</v>
      </c>
      <c r="M134" s="185" t="n">
        <v>-1.6876928469375</v>
      </c>
      <c r="N134" s="185" t="n">
        <v>-1.657391657625</v>
      </c>
      <c r="O134" s="185" t="n">
        <v>-1.6270904683125</v>
      </c>
      <c r="P134" s="185" t="n">
        <v>-1.596789279</v>
      </c>
      <c r="Q134" s="185" t="n">
        <v>-1.5664880896875</v>
      </c>
      <c r="R134" s="185" t="n">
        <v>-1.536186900375</v>
      </c>
      <c r="S134" s="185" t="n">
        <v>-1.5058857110625</v>
      </c>
      <c r="T134" s="185" t="n">
        <v>-1.47558452175</v>
      </c>
      <c r="U134" s="185" t="n">
        <v>-1.4452833324375</v>
      </c>
      <c r="V134" s="186" t="n">
        <v>-1.414982143125</v>
      </c>
      <c r="W134" s="185" t="n">
        <v>-1.3846809538125</v>
      </c>
      <c r="X134" s="186" t="n">
        <v>-1.3543797645</v>
      </c>
      <c r="Y134" s="185" t="n">
        <v>-1.3240785751875</v>
      </c>
      <c r="Z134" s="186" t="n">
        <v>-1.293777385875</v>
      </c>
      <c r="AA134" s="185" t="n">
        <v>-1.2634761965625</v>
      </c>
      <c r="AB134" s="187" t="n">
        <v>-1.23317500725</v>
      </c>
      <c r="AC134" s="185" t="n">
        <v>-1.2028738179375</v>
      </c>
      <c r="AD134" s="187" t="n">
        <v>-1.172572628625</v>
      </c>
      <c r="AE134" s="185" t="n">
        <v>-1.1422714393125</v>
      </c>
      <c r="AF134" s="185" t="n">
        <v>-1.11197025</v>
      </c>
      <c r="AG134" s="190" t="n">
        <v>-1.083235125</v>
      </c>
      <c r="AH134" s="190" t="n">
        <v>-1.0545</v>
      </c>
      <c r="AI134" s="190" t="n">
        <v>-1.02725</v>
      </c>
      <c r="AJ134" s="190" t="n">
        <v>-1</v>
      </c>
      <c r="AK134" s="190" t="n">
        <v>-0.8</v>
      </c>
      <c r="AL134" s="190" t="n">
        <v>-0.6</v>
      </c>
      <c r="AM134" s="190" t="n">
        <v>-0.4</v>
      </c>
      <c r="AN134" s="190" t="n">
        <v>-0.2</v>
      </c>
      <c r="AO134" s="190" t="n">
        <v>0</v>
      </c>
      <c r="AP134" s="190" t="n">
        <v>0.2</v>
      </c>
      <c r="AQ134" s="190" t="n">
        <v>0.4</v>
      </c>
      <c r="AR134" s="190" t="n">
        <v>0.6</v>
      </c>
      <c r="AS134" s="190" t="n">
        <v>0.8</v>
      </c>
      <c r="AT134" s="190" t="n">
        <v>1</v>
      </c>
      <c r="AU134" s="190" t="n">
        <v>1.2</v>
      </c>
      <c r="AV134" s="190" t="n">
        <v>1.4</v>
      </c>
      <c r="AW134" s="190" t="n">
        <v>1.58</v>
      </c>
      <c r="AX134" s="190" t="n">
        <v>1.76</v>
      </c>
      <c r="AY134" s="190" t="n">
        <v>1.922</v>
      </c>
      <c r="AZ134" s="190" t="n">
        <v>2.084</v>
      </c>
      <c r="BA134" s="190" t="n">
        <v>2.2298</v>
      </c>
      <c r="BB134" s="190" t="n">
        <v>2.3756</v>
      </c>
      <c r="BC134" s="190" t="n">
        <v>2.50682</v>
      </c>
      <c r="BD134" s="190" t="n">
        <v>2.63804</v>
      </c>
      <c r="BE134" s="190" t="n">
        <v>2.756138</v>
      </c>
      <c r="BF134" s="190" t="n">
        <v>2.874236</v>
      </c>
      <c r="BG134" s="190" t="n">
        <v>2.9805242</v>
      </c>
      <c r="BH134" s="190" t="n">
        <v>3.0868124</v>
      </c>
      <c r="BI134" s="190" t="n">
        <v>3.18247178</v>
      </c>
      <c r="BJ134" s="190" t="n">
        <v>3.27813116</v>
      </c>
      <c r="BK134" s="190" t="n">
        <v>3.364224602</v>
      </c>
      <c r="BL134" s="190" t="n">
        <v>3.450318044</v>
      </c>
      <c r="BM134" s="190" t="n">
        <v>3.5278021418</v>
      </c>
      <c r="BN134" s="190" t="n">
        <v>3.6052862396</v>
      </c>
      <c r="BO134" s="190" t="n">
        <v>3.67502192762</v>
      </c>
      <c r="BP134" s="190" t="n">
        <v>3.74475761564</v>
      </c>
      <c r="BQ134" s="190" t="n">
        <v>3.81449330366</v>
      </c>
      <c r="BR134" s="190" t="n">
        <v>3.88422899168</v>
      </c>
      <c r="BS134" s="190" t="n">
        <v>3.9539646797</v>
      </c>
      <c r="BT134" s="190" t="n">
        <v>4.02370036772</v>
      </c>
      <c r="BU134" s="190" t="n">
        <v>4.09343605574</v>
      </c>
      <c r="BV134" s="190" t="n">
        <v>4.16317174376</v>
      </c>
      <c r="BW134" s="190" t="n">
        <v>4.23290743178</v>
      </c>
      <c r="BX134" s="190" t="n">
        <v>4.3026431198</v>
      </c>
      <c r="BY134" s="190" t="n">
        <v>4.37237880782</v>
      </c>
      <c r="BZ134" s="190" t="n">
        <v>4.44211449584</v>
      </c>
      <c r="CA134" s="190" t="n">
        <v>4.51185018386</v>
      </c>
      <c r="CB134" s="190" t="n">
        <v>4.58158587188</v>
      </c>
      <c r="CC134" s="190" t="n">
        <v>4.6513215599</v>
      </c>
      <c r="CD134" s="190" t="n">
        <v>4.72105724792</v>
      </c>
      <c r="CE134" s="190" t="n">
        <v>4.79079293594</v>
      </c>
      <c r="CF134" s="190" t="n">
        <v>4.86052862396</v>
      </c>
      <c r="CG134" s="190" t="n">
        <v>4.93026431198</v>
      </c>
      <c r="CH134" s="190" t="n">
        <v>5</v>
      </c>
      <c r="CI134" s="190" t="n">
        <v>5.06973568801999</v>
      </c>
      <c r="CJ134" s="190" t="n">
        <v>5.13947137603999</v>
      </c>
      <c r="CK134" s="190" t="n">
        <v>5.20920706405999</v>
      </c>
      <c r="CL134" s="190" t="n">
        <v>5.27894275207999</v>
      </c>
      <c r="CM134" s="190" t="n">
        <v>5.34867844009999</v>
      </c>
      <c r="CN134" s="190" t="n">
        <v>5.41841412811999</v>
      </c>
      <c r="CO134" s="190" t="n">
        <v>5.48814981613999</v>
      </c>
      <c r="CP134" s="190" t="n">
        <v>5.55788550415999</v>
      </c>
      <c r="CQ134" s="190" t="n">
        <v>5.62762119217999</v>
      </c>
      <c r="CR134" s="190" t="n">
        <v>5.69735688019999</v>
      </c>
      <c r="CS134" s="190" t="n">
        <v>5.76709256821999</v>
      </c>
      <c r="CT134" s="190" t="n">
        <v>5.83682825623999</v>
      </c>
      <c r="CU134" s="190" t="n">
        <v>5.90656394425999</v>
      </c>
      <c r="CV134" s="190" t="n">
        <v>5.97629963227999</v>
      </c>
      <c r="CW134" s="190" t="n">
        <v>6.04603532029999</v>
      </c>
      <c r="CX134" s="190" t="n">
        <v>6.11577100831999</v>
      </c>
      <c r="CY134" s="190" t="n">
        <v>6.18550669633999</v>
      </c>
      <c r="CZ134" s="190" t="n">
        <v>6.25524238435999</v>
      </c>
      <c r="DA134" s="190" t="n">
        <v>6.32497807237999</v>
      </c>
      <c r="DB134" s="190" t="n">
        <v>6.39471376039999</v>
      </c>
      <c r="DC134" s="190" t="n">
        <v>6.46444944841999</v>
      </c>
      <c r="DD134" s="190" t="n">
        <v>6.53418513643999</v>
      </c>
      <c r="DE134" s="190" t="n">
        <v>6.60392082445999</v>
      </c>
      <c r="DF134" s="190" t="n">
        <v>6.67365651247999</v>
      </c>
      <c r="DG134" s="190" t="n">
        <v>6.74339220049999</v>
      </c>
      <c r="DH134" s="190" t="n">
        <v>6.81312788851999</v>
      </c>
      <c r="DI134" s="190" t="n">
        <v>6.88286357653999</v>
      </c>
      <c r="DJ134" s="190" t="n">
        <v>6.95259926455999</v>
      </c>
      <c r="DK134" s="190" t="n">
        <v>7.02233495257999</v>
      </c>
      <c r="DL134" s="190" t="n">
        <v>7.09207064059999</v>
      </c>
      <c r="DM134" s="190" t="n">
        <v>7.16180632861999</v>
      </c>
      <c r="DN134" s="190" t="n">
        <v>7.23154201663999</v>
      </c>
      <c r="DO134" s="190" t="n">
        <v>7.30127770465999</v>
      </c>
      <c r="DP134" s="190" t="n">
        <v>7.37101339267999</v>
      </c>
      <c r="DQ134" s="190" t="n">
        <v>7.44074908069999</v>
      </c>
      <c r="DR134" s="190" t="n">
        <v>7.51048476871999</v>
      </c>
      <c r="DS134" s="190" t="n">
        <v>7.58022045673999</v>
      </c>
      <c r="DT134" s="190" t="n">
        <v>7.64995614475999</v>
      </c>
      <c r="DU134" s="190" t="n">
        <v>7.71969183277999</v>
      </c>
      <c r="DV134" s="190" t="n">
        <v>7.78942752079998</v>
      </c>
      <c r="DW134" s="190" t="n">
        <v>7.85916320881998</v>
      </c>
      <c r="DX134" s="190" t="n">
        <v>7.92889889683998</v>
      </c>
      <c r="DY134" s="190" t="n">
        <v>7.99863458485998</v>
      </c>
      <c r="DZ134" s="190" t="n">
        <v>8.06837027287998</v>
      </c>
      <c r="EA134" s="190" t="n">
        <v>8.13810596089998</v>
      </c>
      <c r="EB134" s="190" t="n">
        <v>8.20784164891998</v>
      </c>
      <c r="EC134" s="190" t="n">
        <v>8.27757733693998</v>
      </c>
      <c r="ED134" s="190" t="n">
        <v>8.34731302495998</v>
      </c>
      <c r="EE134" s="190" t="n">
        <v>8.41704871297998</v>
      </c>
      <c r="EF134" s="190" t="n">
        <v>8.48678440099998</v>
      </c>
      <c r="EG134" s="190" t="n">
        <v>8.55652008901998</v>
      </c>
      <c r="EH134" s="190" t="n">
        <v>8.62625577703998</v>
      </c>
      <c r="EI134" s="190" t="n">
        <v>8.69599146505998</v>
      </c>
      <c r="EJ134" s="190" t="n">
        <v>8.76572715307998</v>
      </c>
      <c r="EK134" s="190" t="n">
        <v>8.83546284109998</v>
      </c>
      <c r="EL134" s="180" t="n">
        <v>8.90519852911998</v>
      </c>
      <c r="EM134" s="180" t="n">
        <v>8.97493421713998</v>
      </c>
      <c r="EN134" s="180" t="n">
        <v>9.04466990515998</v>
      </c>
      <c r="EO134" s="180" t="n">
        <v>9.11440559317998</v>
      </c>
      <c r="EP134" s="180" t="n">
        <v>9.18414128119998</v>
      </c>
      <c r="EQ134" s="180" t="n">
        <v>9.25387696921998</v>
      </c>
      <c r="ER134" s="180" t="n">
        <v>9.32361265723998</v>
      </c>
      <c r="ES134" s="180" t="n">
        <v>9.39334834525998</v>
      </c>
      <c r="ET134" s="180" t="n">
        <v>9.46308403327998</v>
      </c>
      <c r="EU134" s="180" t="n">
        <v>9.53281972129998</v>
      </c>
      <c r="EV134" s="180" t="n">
        <v>9.60255540931998</v>
      </c>
      <c r="EW134" s="180" t="n">
        <v>9.67229109733998</v>
      </c>
      <c r="EX134" s="180" t="n">
        <v>9.74202678535998</v>
      </c>
      <c r="EY134" s="180" t="n">
        <v>9.81176247337998</v>
      </c>
      <c r="EZ134" s="180" t="n">
        <v>9.88149816139998</v>
      </c>
      <c r="FA134" s="180" t="n">
        <v>9.95123384941998</v>
      </c>
      <c r="FB134" s="180" t="n">
        <v>10.02096953744</v>
      </c>
      <c r="FC134" s="180" t="n">
        <v>10.09070522546</v>
      </c>
      <c r="FD134" s="180" t="n">
        <v>10.16044091348</v>
      </c>
      <c r="FE134" s="180" t="n">
        <v>10.2301766015</v>
      </c>
      <c r="FF134" s="180" t="n">
        <v>10.29991228952</v>
      </c>
      <c r="FG134" s="180" t="n">
        <v>10.36964797754</v>
      </c>
      <c r="FH134" s="180" t="n">
        <v>10.43938366556</v>
      </c>
      <c r="FI134" s="180" t="n">
        <v>10.50911935358</v>
      </c>
      <c r="FJ134" s="180" t="n">
        <v>10.5788550416</v>
      </c>
      <c r="FK134" s="180" t="n">
        <v>10.64859072962</v>
      </c>
      <c r="FL134" s="180" t="n">
        <v>10.71832641764</v>
      </c>
      <c r="FM134" s="180" t="n">
        <v>10.78806210566</v>
      </c>
      <c r="FN134" s="180" t="n">
        <v>10.85779779368</v>
      </c>
      <c r="FO134" s="180" t="n">
        <v>10.9275334817</v>
      </c>
      <c r="FP134" s="180" t="n">
        <v>10.99726916972</v>
      </c>
      <c r="FQ134" s="180" t="n">
        <v>11.06700485774</v>
      </c>
      <c r="FR134" s="180" t="n">
        <v>11.13674054576</v>
      </c>
      <c r="FS134" s="180" t="n">
        <v>11.20647623378</v>
      </c>
      <c r="FT134" s="180" t="n">
        <v>11.2762119218</v>
      </c>
      <c r="FU134" s="180" t="n">
        <v>11.34594760982</v>
      </c>
      <c r="FV134" s="180" t="n">
        <v>11.41568329784</v>
      </c>
      <c r="FW134" s="180" t="n">
        <v>11.48541898586</v>
      </c>
      <c r="FX134" s="180" t="n">
        <v>11.55515467388</v>
      </c>
      <c r="FY134" s="180" t="n">
        <v>11.6248903619</v>
      </c>
      <c r="FZ134" s="180" t="n">
        <v>11.69462604992</v>
      </c>
      <c r="GA134" s="180" t="n">
        <v>11.76436173794</v>
      </c>
      <c r="GB134" s="180" t="n">
        <v>11.83409742596</v>
      </c>
      <c r="GC134" s="180" t="n">
        <v>11.90383311398</v>
      </c>
      <c r="GD134" s="180" t="n">
        <v>11.973568802</v>
      </c>
      <c r="GE134" s="180" t="n">
        <v>12.04330449002</v>
      </c>
      <c r="GF134" s="180" t="n">
        <v>12.11304017804</v>
      </c>
      <c r="GG134" s="180" t="n">
        <v>12.18277586606</v>
      </c>
      <c r="GH134" s="180" t="n">
        <v>12.25251155408</v>
      </c>
      <c r="GI134" s="180" t="n">
        <v>12.3222472421</v>
      </c>
      <c r="GJ134" s="180" t="n">
        <v>12.39198293012</v>
      </c>
      <c r="GK134" s="180" t="n">
        <v>12.46171861814</v>
      </c>
      <c r="GL134" s="180" t="n">
        <v>12.53145430616</v>
      </c>
      <c r="GM134" s="180" t="n">
        <v>12.60118999418</v>
      </c>
      <c r="GN134" s="180" t="n">
        <v>12.6709256822</v>
      </c>
      <c r="GO134" s="180" t="n">
        <v>12.74066137022</v>
      </c>
      <c r="GP134" s="180" t="n">
        <v>12.81039705824</v>
      </c>
      <c r="GQ134" s="180" t="n">
        <v>12.88013274626</v>
      </c>
      <c r="GR134" s="180" t="n">
        <v>12.94986843428</v>
      </c>
      <c r="GS134" s="180" t="n">
        <v>13.0196041223</v>
      </c>
      <c r="GT134" s="180" t="n">
        <v>13.08933981032</v>
      </c>
      <c r="GU134" s="180" t="n">
        <v>13.15907549834</v>
      </c>
      <c r="GV134" s="180" t="n">
        <v>13.22881118636</v>
      </c>
      <c r="GW134" s="180" t="n">
        <v>13.29854687438</v>
      </c>
      <c r="GX134" s="180" t="n">
        <v>13.3682825624</v>
      </c>
      <c r="GY134" s="180" t="n">
        <v>13.43801825042</v>
      </c>
      <c r="GZ134" s="180" t="n">
        <v>13.50775393844</v>
      </c>
      <c r="HA134" s="180" t="n">
        <v>13.57748962646</v>
      </c>
      <c r="HB134" s="180" t="n">
        <v>13.64722531448</v>
      </c>
      <c r="HC134" s="180" t="n">
        <v>13.7169610025</v>
      </c>
      <c r="HD134" s="180" t="n">
        <v>13.78669669052</v>
      </c>
      <c r="HE134" s="180" t="n">
        <v>13.85643237854</v>
      </c>
      <c r="HF134" s="180" t="n">
        <v>13.92616806656</v>
      </c>
      <c r="HG134" s="180" t="n">
        <v>13.99590375458</v>
      </c>
      <c r="HH134" s="180" t="n">
        <v>14.0656394426</v>
      </c>
      <c r="HI134" s="180" t="n">
        <v>14.13537513062</v>
      </c>
      <c r="HJ134" s="180" t="n">
        <v>14.20511081864</v>
      </c>
      <c r="HK134" s="180" t="n">
        <v>14.27484650666</v>
      </c>
      <c r="HL134" s="180" t="n">
        <v>14.34458219468</v>
      </c>
      <c r="HM134" s="180" t="n">
        <v>14.4143178827</v>
      </c>
      <c r="HN134" s="180" t="n">
        <v>14.48405357072</v>
      </c>
      <c r="HO134" s="180" t="n">
        <v>14.55378925874</v>
      </c>
      <c r="HP134" s="180" t="n">
        <v>14.62352494676</v>
      </c>
      <c r="HQ134" s="180" t="n">
        <v>14.69326063478</v>
      </c>
      <c r="HR134" s="180" t="n">
        <v>14.7629963228</v>
      </c>
      <c r="HS134" s="180" t="n">
        <v>14.83273201082</v>
      </c>
      <c r="HT134" s="180" t="n">
        <v>14.90246769884</v>
      </c>
      <c r="HU134" s="180" t="n">
        <v>14.97220338686</v>
      </c>
      <c r="HV134" s="180" t="n">
        <v>15.04193907488</v>
      </c>
      <c r="HW134" s="180" t="n">
        <v>15.1116747629</v>
      </c>
      <c r="HX134" s="180" t="n">
        <v>15.18141045092</v>
      </c>
      <c r="HY134" s="180" t="n">
        <v>15.25114613894</v>
      </c>
      <c r="HZ134" s="180" t="n">
        <v>15.32088182696</v>
      </c>
      <c r="IA134" s="180" t="n">
        <v>15.39061751498</v>
      </c>
      <c r="IB134" s="180" t="n">
        <v>15.460353203</v>
      </c>
      <c r="IC134" s="180" t="n">
        <v>15.53008889102</v>
      </c>
      <c r="ID134" s="180" t="n">
        <v>15.59982457904</v>
      </c>
      <c r="IE134" s="180" t="n">
        <v>15.66956026706</v>
      </c>
      <c r="IF134" s="180" t="n">
        <v>15.73929595508</v>
      </c>
      <c r="IG134" s="180" t="n">
        <v>15.8090316431</v>
      </c>
      <c r="IH134" s="180" t="n">
        <v>15.87876733112</v>
      </c>
      <c r="II134" s="180" t="n">
        <v>15.94850301914</v>
      </c>
      <c r="IJ134" s="180" t="n">
        <v>16.01823870716</v>
      </c>
      <c r="IK134" s="180" t="n">
        <v>16.08797439518</v>
      </c>
      <c r="IL134" s="180" t="n">
        <v>16.1577100832</v>
      </c>
      <c r="IM134" s="180" t="n">
        <v>16.22744577122</v>
      </c>
      <c r="IN134" s="180" t="n">
        <v>16.29718145924</v>
      </c>
      <c r="IO134" s="180" t="n">
        <v>16.36691714726</v>
      </c>
      <c r="IP134" s="180" t="n">
        <v>16.43665283528</v>
      </c>
      <c r="IQ134" s="180" t="n">
        <v>16.5063885233</v>
      </c>
      <c r="IR134" s="180" t="n">
        <v>16.57612421132</v>
      </c>
      <c r="IS134" s="180" t="n">
        <v>16.64585989934</v>
      </c>
      <c r="IT134" s="180" t="n">
        <v>16.71559558736</v>
      </c>
      <c r="IU134" s="180" t="n">
        <v>16.78533127538</v>
      </c>
      <c r="IV134" s="180" t="n">
        <v>16.8550669634</v>
      </c>
    </row>
    <row r="135" customFormat="false" ht="12.75" hidden="false" customHeight="false" outlineLevel="0" collapsed="false">
      <c r="A135" s="189" t="n">
        <v>40787</v>
      </c>
      <c r="B135" s="185" t="n">
        <v>-2.021005929375</v>
      </c>
      <c r="C135" s="185" t="n">
        <v>-1.9907047400625</v>
      </c>
      <c r="D135" s="185" t="n">
        <v>-1.96040355075</v>
      </c>
      <c r="E135" s="185" t="n">
        <v>-1.9301023614375</v>
      </c>
      <c r="F135" s="185" t="n">
        <v>-1.899801172125</v>
      </c>
      <c r="G135" s="185" t="n">
        <v>-1.8694999828125</v>
      </c>
      <c r="H135" s="185" t="n">
        <v>-1.8391987935</v>
      </c>
      <c r="I135" s="185" t="n">
        <v>-1.8088976041875</v>
      </c>
      <c r="J135" s="185" t="n">
        <v>-1.778596414875</v>
      </c>
      <c r="K135" s="185" t="n">
        <v>-1.7482952255625</v>
      </c>
      <c r="L135" s="185" t="n">
        <v>-1.71799403625</v>
      </c>
      <c r="M135" s="185" t="n">
        <v>-1.6876928469375</v>
      </c>
      <c r="N135" s="185" t="n">
        <v>-1.657391657625</v>
      </c>
      <c r="O135" s="185" t="n">
        <v>-1.6270904683125</v>
      </c>
      <c r="P135" s="185" t="n">
        <v>-1.596789279</v>
      </c>
      <c r="Q135" s="185" t="n">
        <v>-1.5664880896875</v>
      </c>
      <c r="R135" s="185" t="n">
        <v>-1.536186900375</v>
      </c>
      <c r="S135" s="185" t="n">
        <v>-1.5058857110625</v>
      </c>
      <c r="T135" s="185" t="n">
        <v>-1.47558452175</v>
      </c>
      <c r="U135" s="185" t="n">
        <v>-1.4452833324375</v>
      </c>
      <c r="V135" s="186" t="n">
        <v>-1.414982143125</v>
      </c>
      <c r="W135" s="185" t="n">
        <v>-1.3846809538125</v>
      </c>
      <c r="X135" s="186" t="n">
        <v>-1.3543797645</v>
      </c>
      <c r="Y135" s="185" t="n">
        <v>-1.3240785751875</v>
      </c>
      <c r="Z135" s="186" t="n">
        <v>-1.293777385875</v>
      </c>
      <c r="AA135" s="185" t="n">
        <v>-1.2634761965625</v>
      </c>
      <c r="AB135" s="187" t="n">
        <v>-1.23317500725</v>
      </c>
      <c r="AC135" s="185" t="n">
        <v>-1.2028738179375</v>
      </c>
      <c r="AD135" s="187" t="n">
        <v>-1.172572628625</v>
      </c>
      <c r="AE135" s="185" t="n">
        <v>-1.1422714393125</v>
      </c>
      <c r="AF135" s="185" t="n">
        <v>-1.11197025</v>
      </c>
      <c r="AG135" s="190" t="n">
        <v>-1.083235125</v>
      </c>
      <c r="AH135" s="190" t="n">
        <v>-1.0545</v>
      </c>
      <c r="AI135" s="190" t="n">
        <v>-1.02725</v>
      </c>
      <c r="AJ135" s="190" t="n">
        <v>-1</v>
      </c>
      <c r="AK135" s="190" t="n">
        <v>-0.8</v>
      </c>
      <c r="AL135" s="190" t="n">
        <v>-0.6</v>
      </c>
      <c r="AM135" s="190" t="n">
        <v>-0.4</v>
      </c>
      <c r="AN135" s="190" t="n">
        <v>-0.2</v>
      </c>
      <c r="AO135" s="190" t="n">
        <v>0</v>
      </c>
      <c r="AP135" s="190" t="n">
        <v>0.2</v>
      </c>
      <c r="AQ135" s="190" t="n">
        <v>0.4</v>
      </c>
      <c r="AR135" s="190" t="n">
        <v>0.6</v>
      </c>
      <c r="AS135" s="190" t="n">
        <v>0.8</v>
      </c>
      <c r="AT135" s="190" t="n">
        <v>1</v>
      </c>
      <c r="AU135" s="190" t="n">
        <v>1.2</v>
      </c>
      <c r="AV135" s="190" t="n">
        <v>1.4</v>
      </c>
      <c r="AW135" s="190" t="n">
        <v>1.58</v>
      </c>
      <c r="AX135" s="190" t="n">
        <v>1.76</v>
      </c>
      <c r="AY135" s="190" t="n">
        <v>1.922</v>
      </c>
      <c r="AZ135" s="190" t="n">
        <v>2.084</v>
      </c>
      <c r="BA135" s="190" t="n">
        <v>2.2298</v>
      </c>
      <c r="BB135" s="190" t="n">
        <v>2.3756</v>
      </c>
      <c r="BC135" s="190" t="n">
        <v>2.50682</v>
      </c>
      <c r="BD135" s="190" t="n">
        <v>2.63804</v>
      </c>
      <c r="BE135" s="190" t="n">
        <v>2.756138</v>
      </c>
      <c r="BF135" s="190" t="n">
        <v>2.874236</v>
      </c>
      <c r="BG135" s="190" t="n">
        <v>2.9805242</v>
      </c>
      <c r="BH135" s="190" t="n">
        <v>3.0868124</v>
      </c>
      <c r="BI135" s="190" t="n">
        <v>3.18247178</v>
      </c>
      <c r="BJ135" s="190" t="n">
        <v>3.27813116</v>
      </c>
      <c r="BK135" s="190" t="n">
        <v>3.364224602</v>
      </c>
      <c r="BL135" s="190" t="n">
        <v>3.450318044</v>
      </c>
      <c r="BM135" s="190" t="n">
        <v>3.5278021418</v>
      </c>
      <c r="BN135" s="190" t="n">
        <v>3.6052862396</v>
      </c>
      <c r="BO135" s="190" t="n">
        <v>3.67502192762</v>
      </c>
      <c r="BP135" s="190" t="n">
        <v>3.74475761564</v>
      </c>
      <c r="BQ135" s="190" t="n">
        <v>3.81449330366</v>
      </c>
      <c r="BR135" s="190" t="n">
        <v>3.88422899168</v>
      </c>
      <c r="BS135" s="190" t="n">
        <v>3.9539646797</v>
      </c>
      <c r="BT135" s="190" t="n">
        <v>4.02370036772</v>
      </c>
      <c r="BU135" s="190" t="n">
        <v>4.09343605574</v>
      </c>
      <c r="BV135" s="190" t="n">
        <v>4.16317174376</v>
      </c>
      <c r="BW135" s="190" t="n">
        <v>4.23290743178</v>
      </c>
      <c r="BX135" s="190" t="n">
        <v>4.3026431198</v>
      </c>
      <c r="BY135" s="190" t="n">
        <v>4.37237880782</v>
      </c>
      <c r="BZ135" s="190" t="n">
        <v>4.44211449584</v>
      </c>
      <c r="CA135" s="190" t="n">
        <v>4.51185018386</v>
      </c>
      <c r="CB135" s="190" t="n">
        <v>4.58158587188</v>
      </c>
      <c r="CC135" s="190" t="n">
        <v>4.6513215599</v>
      </c>
      <c r="CD135" s="190" t="n">
        <v>4.72105724792</v>
      </c>
      <c r="CE135" s="190" t="n">
        <v>4.79079293594</v>
      </c>
      <c r="CF135" s="190" t="n">
        <v>4.86052862396</v>
      </c>
      <c r="CG135" s="190" t="n">
        <v>4.93026431198</v>
      </c>
      <c r="CH135" s="190" t="n">
        <v>5</v>
      </c>
      <c r="CI135" s="190" t="n">
        <v>5.06973568801999</v>
      </c>
      <c r="CJ135" s="190" t="n">
        <v>5.13947137603999</v>
      </c>
      <c r="CK135" s="190" t="n">
        <v>5.20920706405999</v>
      </c>
      <c r="CL135" s="190" t="n">
        <v>5.27894275207999</v>
      </c>
      <c r="CM135" s="190" t="n">
        <v>5.34867844009999</v>
      </c>
      <c r="CN135" s="190" t="n">
        <v>5.41841412811999</v>
      </c>
      <c r="CO135" s="190" t="n">
        <v>5.48814981613999</v>
      </c>
      <c r="CP135" s="190" t="n">
        <v>5.55788550415999</v>
      </c>
      <c r="CQ135" s="190" t="n">
        <v>5.62762119217999</v>
      </c>
      <c r="CR135" s="190" t="n">
        <v>5.69735688019999</v>
      </c>
      <c r="CS135" s="190" t="n">
        <v>5.76709256821999</v>
      </c>
      <c r="CT135" s="190" t="n">
        <v>5.83682825623999</v>
      </c>
      <c r="CU135" s="190" t="n">
        <v>5.90656394425999</v>
      </c>
      <c r="CV135" s="190" t="n">
        <v>5.97629963227999</v>
      </c>
      <c r="CW135" s="190" t="n">
        <v>6.04603532029999</v>
      </c>
      <c r="CX135" s="190" t="n">
        <v>6.11577100831999</v>
      </c>
      <c r="CY135" s="190" t="n">
        <v>6.18550669633999</v>
      </c>
      <c r="CZ135" s="190" t="n">
        <v>6.25524238435999</v>
      </c>
      <c r="DA135" s="190" t="n">
        <v>6.32497807237999</v>
      </c>
      <c r="DB135" s="190" t="n">
        <v>6.39471376039999</v>
      </c>
      <c r="DC135" s="190" t="n">
        <v>6.46444944841999</v>
      </c>
      <c r="DD135" s="190" t="n">
        <v>6.53418513643999</v>
      </c>
      <c r="DE135" s="190" t="n">
        <v>6.60392082445999</v>
      </c>
      <c r="DF135" s="190" t="n">
        <v>6.67365651247999</v>
      </c>
      <c r="DG135" s="190" t="n">
        <v>6.74339220049999</v>
      </c>
      <c r="DH135" s="190" t="n">
        <v>6.81312788851999</v>
      </c>
      <c r="DI135" s="190" t="n">
        <v>6.88286357653999</v>
      </c>
      <c r="DJ135" s="190" t="n">
        <v>6.95259926455999</v>
      </c>
      <c r="DK135" s="190" t="n">
        <v>7.02233495257999</v>
      </c>
      <c r="DL135" s="190" t="n">
        <v>7.09207064059999</v>
      </c>
      <c r="DM135" s="190" t="n">
        <v>7.16180632861999</v>
      </c>
      <c r="DN135" s="190" t="n">
        <v>7.23154201663999</v>
      </c>
      <c r="DO135" s="190" t="n">
        <v>7.30127770465999</v>
      </c>
      <c r="DP135" s="190" t="n">
        <v>7.37101339267999</v>
      </c>
      <c r="DQ135" s="190" t="n">
        <v>7.44074908069999</v>
      </c>
      <c r="DR135" s="190" t="n">
        <v>7.51048476871999</v>
      </c>
      <c r="DS135" s="190" t="n">
        <v>7.58022045673999</v>
      </c>
      <c r="DT135" s="190" t="n">
        <v>7.64995614475999</v>
      </c>
      <c r="DU135" s="190" t="n">
        <v>7.71969183277999</v>
      </c>
      <c r="DV135" s="190" t="n">
        <v>7.78942752079998</v>
      </c>
      <c r="DW135" s="190" t="n">
        <v>7.85916320881998</v>
      </c>
      <c r="DX135" s="190" t="n">
        <v>7.92889889683998</v>
      </c>
      <c r="DY135" s="190" t="n">
        <v>7.99863458485998</v>
      </c>
      <c r="DZ135" s="190" t="n">
        <v>8.06837027287998</v>
      </c>
      <c r="EA135" s="190" t="n">
        <v>8.13810596089998</v>
      </c>
      <c r="EB135" s="190" t="n">
        <v>8.20784164891998</v>
      </c>
      <c r="EC135" s="190" t="n">
        <v>8.27757733693998</v>
      </c>
      <c r="ED135" s="190" t="n">
        <v>8.34731302495998</v>
      </c>
      <c r="EE135" s="190" t="n">
        <v>8.41704871297998</v>
      </c>
      <c r="EF135" s="190" t="n">
        <v>8.48678440099998</v>
      </c>
      <c r="EG135" s="190" t="n">
        <v>8.55652008901998</v>
      </c>
      <c r="EH135" s="190" t="n">
        <v>8.62625577703998</v>
      </c>
      <c r="EI135" s="190" t="n">
        <v>8.69599146505998</v>
      </c>
      <c r="EJ135" s="190" t="n">
        <v>8.76572715307998</v>
      </c>
      <c r="EK135" s="190" t="n">
        <v>8.83546284109998</v>
      </c>
      <c r="EL135" s="180" t="n">
        <v>8.90519852911998</v>
      </c>
      <c r="EM135" s="180" t="n">
        <v>8.97493421713998</v>
      </c>
      <c r="EN135" s="180" t="n">
        <v>9.04466990515998</v>
      </c>
      <c r="EO135" s="180" t="n">
        <v>9.11440559317998</v>
      </c>
      <c r="EP135" s="180" t="n">
        <v>9.18414128119998</v>
      </c>
      <c r="EQ135" s="180" t="n">
        <v>9.25387696921998</v>
      </c>
      <c r="ER135" s="180" t="n">
        <v>9.32361265723998</v>
      </c>
      <c r="ES135" s="180" t="n">
        <v>9.39334834525998</v>
      </c>
      <c r="ET135" s="180" t="n">
        <v>9.46308403327998</v>
      </c>
      <c r="EU135" s="180" t="n">
        <v>9.53281972129998</v>
      </c>
      <c r="EV135" s="180" t="n">
        <v>9.60255540931998</v>
      </c>
      <c r="EW135" s="180" t="n">
        <v>9.67229109733998</v>
      </c>
      <c r="EX135" s="180" t="n">
        <v>9.74202678535998</v>
      </c>
      <c r="EY135" s="180" t="n">
        <v>9.81176247337998</v>
      </c>
      <c r="EZ135" s="180" t="n">
        <v>9.88149816139998</v>
      </c>
      <c r="FA135" s="180" t="n">
        <v>9.95123384941998</v>
      </c>
      <c r="FB135" s="180" t="n">
        <v>10.02096953744</v>
      </c>
      <c r="FC135" s="180" t="n">
        <v>10.09070522546</v>
      </c>
      <c r="FD135" s="180" t="n">
        <v>10.16044091348</v>
      </c>
      <c r="FE135" s="180" t="n">
        <v>10.2301766015</v>
      </c>
      <c r="FF135" s="180" t="n">
        <v>10.29991228952</v>
      </c>
      <c r="FG135" s="180" t="n">
        <v>10.36964797754</v>
      </c>
      <c r="FH135" s="180" t="n">
        <v>10.43938366556</v>
      </c>
      <c r="FI135" s="180" t="n">
        <v>10.50911935358</v>
      </c>
      <c r="FJ135" s="180" t="n">
        <v>10.5788550416</v>
      </c>
      <c r="FK135" s="180" t="n">
        <v>10.64859072962</v>
      </c>
      <c r="FL135" s="180" t="n">
        <v>10.71832641764</v>
      </c>
      <c r="FM135" s="180" t="n">
        <v>10.78806210566</v>
      </c>
      <c r="FN135" s="180" t="n">
        <v>10.85779779368</v>
      </c>
      <c r="FO135" s="180" t="n">
        <v>10.9275334817</v>
      </c>
      <c r="FP135" s="180" t="n">
        <v>10.99726916972</v>
      </c>
      <c r="FQ135" s="180" t="n">
        <v>11.06700485774</v>
      </c>
      <c r="FR135" s="180" t="n">
        <v>11.13674054576</v>
      </c>
      <c r="FS135" s="180" t="n">
        <v>11.20647623378</v>
      </c>
      <c r="FT135" s="180" t="n">
        <v>11.2762119218</v>
      </c>
      <c r="FU135" s="180" t="n">
        <v>11.34594760982</v>
      </c>
      <c r="FV135" s="180" t="n">
        <v>11.41568329784</v>
      </c>
      <c r="FW135" s="180" t="n">
        <v>11.48541898586</v>
      </c>
      <c r="FX135" s="180" t="n">
        <v>11.55515467388</v>
      </c>
      <c r="FY135" s="180" t="n">
        <v>11.6248903619</v>
      </c>
      <c r="FZ135" s="180" t="n">
        <v>11.69462604992</v>
      </c>
      <c r="GA135" s="180" t="n">
        <v>11.76436173794</v>
      </c>
      <c r="GB135" s="180" t="n">
        <v>11.83409742596</v>
      </c>
      <c r="GC135" s="180" t="n">
        <v>11.90383311398</v>
      </c>
      <c r="GD135" s="180" t="n">
        <v>11.973568802</v>
      </c>
      <c r="GE135" s="180" t="n">
        <v>12.04330449002</v>
      </c>
      <c r="GF135" s="180" t="n">
        <v>12.11304017804</v>
      </c>
      <c r="GG135" s="180" t="n">
        <v>12.18277586606</v>
      </c>
      <c r="GH135" s="180" t="n">
        <v>12.25251155408</v>
      </c>
      <c r="GI135" s="180" t="n">
        <v>12.3222472421</v>
      </c>
      <c r="GJ135" s="180" t="n">
        <v>12.39198293012</v>
      </c>
      <c r="GK135" s="180" t="n">
        <v>12.46171861814</v>
      </c>
      <c r="GL135" s="180" t="n">
        <v>12.53145430616</v>
      </c>
      <c r="GM135" s="180" t="n">
        <v>12.60118999418</v>
      </c>
      <c r="GN135" s="180" t="n">
        <v>12.6709256822</v>
      </c>
      <c r="GO135" s="180" t="n">
        <v>12.74066137022</v>
      </c>
      <c r="GP135" s="180" t="n">
        <v>12.81039705824</v>
      </c>
      <c r="GQ135" s="180" t="n">
        <v>12.88013274626</v>
      </c>
      <c r="GR135" s="180" t="n">
        <v>12.94986843428</v>
      </c>
      <c r="GS135" s="180" t="n">
        <v>13.0196041223</v>
      </c>
      <c r="GT135" s="180" t="n">
        <v>13.08933981032</v>
      </c>
      <c r="GU135" s="180" t="n">
        <v>13.15907549834</v>
      </c>
      <c r="GV135" s="180" t="n">
        <v>13.22881118636</v>
      </c>
      <c r="GW135" s="180" t="n">
        <v>13.29854687438</v>
      </c>
      <c r="GX135" s="180" t="n">
        <v>13.3682825624</v>
      </c>
      <c r="GY135" s="180" t="n">
        <v>13.43801825042</v>
      </c>
      <c r="GZ135" s="180" t="n">
        <v>13.50775393844</v>
      </c>
      <c r="HA135" s="180" t="n">
        <v>13.57748962646</v>
      </c>
      <c r="HB135" s="180" t="n">
        <v>13.64722531448</v>
      </c>
      <c r="HC135" s="180" t="n">
        <v>13.7169610025</v>
      </c>
      <c r="HD135" s="180" t="n">
        <v>13.78669669052</v>
      </c>
      <c r="HE135" s="180" t="n">
        <v>13.85643237854</v>
      </c>
      <c r="HF135" s="180" t="n">
        <v>13.92616806656</v>
      </c>
      <c r="HG135" s="180" t="n">
        <v>13.99590375458</v>
      </c>
      <c r="HH135" s="180" t="n">
        <v>14.0656394426</v>
      </c>
      <c r="HI135" s="180" t="n">
        <v>14.13537513062</v>
      </c>
      <c r="HJ135" s="180" t="n">
        <v>14.20511081864</v>
      </c>
      <c r="HK135" s="180" t="n">
        <v>14.27484650666</v>
      </c>
      <c r="HL135" s="180" t="n">
        <v>14.34458219468</v>
      </c>
      <c r="HM135" s="180" t="n">
        <v>14.4143178827</v>
      </c>
      <c r="HN135" s="180" t="n">
        <v>14.48405357072</v>
      </c>
      <c r="HO135" s="180" t="n">
        <v>14.55378925874</v>
      </c>
      <c r="HP135" s="180" t="n">
        <v>14.62352494676</v>
      </c>
      <c r="HQ135" s="180" t="n">
        <v>14.69326063478</v>
      </c>
      <c r="HR135" s="180" t="n">
        <v>14.7629963228</v>
      </c>
      <c r="HS135" s="180" t="n">
        <v>14.83273201082</v>
      </c>
      <c r="HT135" s="180" t="n">
        <v>14.90246769884</v>
      </c>
      <c r="HU135" s="180" t="n">
        <v>14.97220338686</v>
      </c>
      <c r="HV135" s="180" t="n">
        <v>15.04193907488</v>
      </c>
      <c r="HW135" s="180" t="n">
        <v>15.1116747629</v>
      </c>
      <c r="HX135" s="180" t="n">
        <v>15.18141045092</v>
      </c>
      <c r="HY135" s="180" t="n">
        <v>15.25114613894</v>
      </c>
      <c r="HZ135" s="180" t="n">
        <v>15.32088182696</v>
      </c>
      <c r="IA135" s="180" t="n">
        <v>15.39061751498</v>
      </c>
      <c r="IB135" s="180" t="n">
        <v>15.460353203</v>
      </c>
      <c r="IC135" s="180" t="n">
        <v>15.53008889102</v>
      </c>
      <c r="ID135" s="180" t="n">
        <v>15.59982457904</v>
      </c>
      <c r="IE135" s="180" t="n">
        <v>15.66956026706</v>
      </c>
      <c r="IF135" s="180" t="n">
        <v>15.73929595508</v>
      </c>
      <c r="IG135" s="180" t="n">
        <v>15.8090316431</v>
      </c>
      <c r="IH135" s="180" t="n">
        <v>15.87876733112</v>
      </c>
      <c r="II135" s="180" t="n">
        <v>15.94850301914</v>
      </c>
      <c r="IJ135" s="180" t="n">
        <v>16.01823870716</v>
      </c>
      <c r="IK135" s="180" t="n">
        <v>16.08797439518</v>
      </c>
      <c r="IL135" s="180" t="n">
        <v>16.1577100832</v>
      </c>
      <c r="IM135" s="180" t="n">
        <v>16.22744577122</v>
      </c>
      <c r="IN135" s="180" t="n">
        <v>16.29718145924</v>
      </c>
      <c r="IO135" s="180" t="n">
        <v>16.36691714726</v>
      </c>
      <c r="IP135" s="180" t="n">
        <v>16.43665283528</v>
      </c>
      <c r="IQ135" s="180" t="n">
        <v>16.5063885233</v>
      </c>
      <c r="IR135" s="180" t="n">
        <v>16.57612421132</v>
      </c>
      <c r="IS135" s="180" t="n">
        <v>16.64585989934</v>
      </c>
      <c r="IT135" s="180" t="n">
        <v>16.71559558736</v>
      </c>
      <c r="IU135" s="180" t="n">
        <v>16.78533127538</v>
      </c>
      <c r="IV135" s="180" t="n">
        <v>16.8550669634</v>
      </c>
    </row>
    <row r="136" customFormat="false" ht="12.75" hidden="false" customHeight="false" outlineLevel="0" collapsed="false">
      <c r="A136" s="189" t="n">
        <v>40817</v>
      </c>
      <c r="B136" s="185" t="n">
        <v>-2.021005929375</v>
      </c>
      <c r="C136" s="185" t="n">
        <v>-1.9907047400625</v>
      </c>
      <c r="D136" s="185" t="n">
        <v>-1.96040355075</v>
      </c>
      <c r="E136" s="185" t="n">
        <v>-1.9301023614375</v>
      </c>
      <c r="F136" s="185" t="n">
        <v>-1.899801172125</v>
      </c>
      <c r="G136" s="185" t="n">
        <v>-1.8694999828125</v>
      </c>
      <c r="H136" s="185" t="n">
        <v>-1.8391987935</v>
      </c>
      <c r="I136" s="185" t="n">
        <v>-1.8088976041875</v>
      </c>
      <c r="J136" s="185" t="n">
        <v>-1.778596414875</v>
      </c>
      <c r="K136" s="185" t="n">
        <v>-1.7482952255625</v>
      </c>
      <c r="L136" s="185" t="n">
        <v>-1.71799403625</v>
      </c>
      <c r="M136" s="185" t="n">
        <v>-1.6876928469375</v>
      </c>
      <c r="N136" s="185" t="n">
        <v>-1.657391657625</v>
      </c>
      <c r="O136" s="185" t="n">
        <v>-1.6270904683125</v>
      </c>
      <c r="P136" s="185" t="n">
        <v>-1.596789279</v>
      </c>
      <c r="Q136" s="185" t="n">
        <v>-1.5664880896875</v>
      </c>
      <c r="R136" s="185" t="n">
        <v>-1.536186900375</v>
      </c>
      <c r="S136" s="185" t="n">
        <v>-1.5058857110625</v>
      </c>
      <c r="T136" s="185" t="n">
        <v>-1.47558452175</v>
      </c>
      <c r="U136" s="185" t="n">
        <v>-1.4452833324375</v>
      </c>
      <c r="V136" s="186" t="n">
        <v>-1.414982143125</v>
      </c>
      <c r="W136" s="185" t="n">
        <v>-1.3846809538125</v>
      </c>
      <c r="X136" s="186" t="n">
        <v>-1.3543797645</v>
      </c>
      <c r="Y136" s="185" t="n">
        <v>-1.3240785751875</v>
      </c>
      <c r="Z136" s="186" t="n">
        <v>-1.293777385875</v>
      </c>
      <c r="AA136" s="185" t="n">
        <v>-1.2634761965625</v>
      </c>
      <c r="AB136" s="187" t="n">
        <v>-1.23317500725</v>
      </c>
      <c r="AC136" s="185" t="n">
        <v>-1.2028738179375</v>
      </c>
      <c r="AD136" s="187" t="n">
        <v>-1.172572628625</v>
      </c>
      <c r="AE136" s="185" t="n">
        <v>-1.1422714393125</v>
      </c>
      <c r="AF136" s="185" t="n">
        <v>-1.11197025</v>
      </c>
      <c r="AG136" s="190" t="n">
        <v>-1.083235125</v>
      </c>
      <c r="AH136" s="190" t="n">
        <v>-1.0545</v>
      </c>
      <c r="AI136" s="190" t="n">
        <v>-1.02725</v>
      </c>
      <c r="AJ136" s="190" t="n">
        <v>-1</v>
      </c>
      <c r="AK136" s="190" t="n">
        <v>-0.8</v>
      </c>
      <c r="AL136" s="190" t="n">
        <v>-0.6</v>
      </c>
      <c r="AM136" s="190" t="n">
        <v>-0.4</v>
      </c>
      <c r="AN136" s="190" t="n">
        <v>-0.2</v>
      </c>
      <c r="AO136" s="190" t="n">
        <v>0</v>
      </c>
      <c r="AP136" s="190" t="n">
        <v>0.2</v>
      </c>
      <c r="AQ136" s="190" t="n">
        <v>0.4</v>
      </c>
      <c r="AR136" s="190" t="n">
        <v>0.6</v>
      </c>
      <c r="AS136" s="190" t="n">
        <v>0.8</v>
      </c>
      <c r="AT136" s="190" t="n">
        <v>1</v>
      </c>
      <c r="AU136" s="190" t="n">
        <v>1.2</v>
      </c>
      <c r="AV136" s="190" t="n">
        <v>1.4</v>
      </c>
      <c r="AW136" s="190" t="n">
        <v>1.58</v>
      </c>
      <c r="AX136" s="190" t="n">
        <v>1.76</v>
      </c>
      <c r="AY136" s="190" t="n">
        <v>1.922</v>
      </c>
      <c r="AZ136" s="190" t="n">
        <v>2.084</v>
      </c>
      <c r="BA136" s="190" t="n">
        <v>2.2298</v>
      </c>
      <c r="BB136" s="190" t="n">
        <v>2.3756</v>
      </c>
      <c r="BC136" s="190" t="n">
        <v>2.50682</v>
      </c>
      <c r="BD136" s="190" t="n">
        <v>2.63804</v>
      </c>
      <c r="BE136" s="190" t="n">
        <v>2.756138</v>
      </c>
      <c r="BF136" s="190" t="n">
        <v>2.874236</v>
      </c>
      <c r="BG136" s="190" t="n">
        <v>2.9805242</v>
      </c>
      <c r="BH136" s="190" t="n">
        <v>3.0868124</v>
      </c>
      <c r="BI136" s="190" t="n">
        <v>3.18247178</v>
      </c>
      <c r="BJ136" s="190" t="n">
        <v>3.27813116</v>
      </c>
      <c r="BK136" s="190" t="n">
        <v>3.364224602</v>
      </c>
      <c r="BL136" s="190" t="n">
        <v>3.450318044</v>
      </c>
      <c r="BM136" s="190" t="n">
        <v>3.5278021418</v>
      </c>
      <c r="BN136" s="190" t="n">
        <v>3.6052862396</v>
      </c>
      <c r="BO136" s="190" t="n">
        <v>3.67502192762</v>
      </c>
      <c r="BP136" s="190" t="n">
        <v>3.74475761564</v>
      </c>
      <c r="BQ136" s="190" t="n">
        <v>3.81449330366</v>
      </c>
      <c r="BR136" s="190" t="n">
        <v>3.88422899168</v>
      </c>
      <c r="BS136" s="190" t="n">
        <v>3.9539646797</v>
      </c>
      <c r="BT136" s="190" t="n">
        <v>4.02370036772</v>
      </c>
      <c r="BU136" s="190" t="n">
        <v>4.09343605574</v>
      </c>
      <c r="BV136" s="190" t="n">
        <v>4.16317174376</v>
      </c>
      <c r="BW136" s="190" t="n">
        <v>4.23290743178</v>
      </c>
      <c r="BX136" s="190" t="n">
        <v>4.3026431198</v>
      </c>
      <c r="BY136" s="190" t="n">
        <v>4.37237880782</v>
      </c>
      <c r="BZ136" s="190" t="n">
        <v>4.44211449584</v>
      </c>
      <c r="CA136" s="190" t="n">
        <v>4.51185018386</v>
      </c>
      <c r="CB136" s="190" t="n">
        <v>4.58158587188</v>
      </c>
      <c r="CC136" s="190" t="n">
        <v>4.6513215599</v>
      </c>
      <c r="CD136" s="190" t="n">
        <v>4.72105724792</v>
      </c>
      <c r="CE136" s="190" t="n">
        <v>4.79079293594</v>
      </c>
      <c r="CF136" s="190" t="n">
        <v>4.86052862396</v>
      </c>
      <c r="CG136" s="190" t="n">
        <v>4.93026431198</v>
      </c>
      <c r="CH136" s="190" t="n">
        <v>5</v>
      </c>
      <c r="CI136" s="190" t="n">
        <v>5.06973568801999</v>
      </c>
      <c r="CJ136" s="190" t="n">
        <v>5.13947137603999</v>
      </c>
      <c r="CK136" s="190" t="n">
        <v>5.20920706405999</v>
      </c>
      <c r="CL136" s="190" t="n">
        <v>5.27894275207999</v>
      </c>
      <c r="CM136" s="190" t="n">
        <v>5.34867844009999</v>
      </c>
      <c r="CN136" s="190" t="n">
        <v>5.41841412811999</v>
      </c>
      <c r="CO136" s="190" t="n">
        <v>5.48814981613999</v>
      </c>
      <c r="CP136" s="190" t="n">
        <v>5.55788550415999</v>
      </c>
      <c r="CQ136" s="190" t="n">
        <v>5.62762119217999</v>
      </c>
      <c r="CR136" s="190" t="n">
        <v>5.69735688019999</v>
      </c>
      <c r="CS136" s="190" t="n">
        <v>5.76709256821999</v>
      </c>
      <c r="CT136" s="190" t="n">
        <v>5.83682825623999</v>
      </c>
      <c r="CU136" s="190" t="n">
        <v>5.90656394425999</v>
      </c>
      <c r="CV136" s="190" t="n">
        <v>5.97629963227999</v>
      </c>
      <c r="CW136" s="190" t="n">
        <v>6.04603532029999</v>
      </c>
      <c r="CX136" s="190" t="n">
        <v>6.11577100831999</v>
      </c>
      <c r="CY136" s="190" t="n">
        <v>6.18550669633999</v>
      </c>
      <c r="CZ136" s="190" t="n">
        <v>6.25524238435999</v>
      </c>
      <c r="DA136" s="190" t="n">
        <v>6.32497807237999</v>
      </c>
      <c r="DB136" s="190" t="n">
        <v>6.39471376039999</v>
      </c>
      <c r="DC136" s="190" t="n">
        <v>6.46444944841999</v>
      </c>
      <c r="DD136" s="190" t="n">
        <v>6.53418513643999</v>
      </c>
      <c r="DE136" s="190" t="n">
        <v>6.60392082445999</v>
      </c>
      <c r="DF136" s="190" t="n">
        <v>6.67365651247999</v>
      </c>
      <c r="DG136" s="190" t="n">
        <v>6.74339220049999</v>
      </c>
      <c r="DH136" s="190" t="n">
        <v>6.81312788851999</v>
      </c>
      <c r="DI136" s="190" t="n">
        <v>6.88286357653999</v>
      </c>
      <c r="DJ136" s="190" t="n">
        <v>6.95259926455999</v>
      </c>
      <c r="DK136" s="190" t="n">
        <v>7.02233495257999</v>
      </c>
      <c r="DL136" s="190" t="n">
        <v>7.09207064059999</v>
      </c>
      <c r="DM136" s="190" t="n">
        <v>7.16180632861999</v>
      </c>
      <c r="DN136" s="190" t="n">
        <v>7.23154201663999</v>
      </c>
      <c r="DO136" s="190" t="n">
        <v>7.30127770465999</v>
      </c>
      <c r="DP136" s="190" t="n">
        <v>7.37101339267999</v>
      </c>
      <c r="DQ136" s="190" t="n">
        <v>7.44074908069999</v>
      </c>
      <c r="DR136" s="190" t="n">
        <v>7.51048476871999</v>
      </c>
      <c r="DS136" s="190" t="n">
        <v>7.58022045673999</v>
      </c>
      <c r="DT136" s="190" t="n">
        <v>7.64995614475999</v>
      </c>
      <c r="DU136" s="190" t="n">
        <v>7.71969183277999</v>
      </c>
      <c r="DV136" s="190" t="n">
        <v>7.78942752079998</v>
      </c>
      <c r="DW136" s="190" t="n">
        <v>7.85916320881998</v>
      </c>
      <c r="DX136" s="190" t="n">
        <v>7.92889889683998</v>
      </c>
      <c r="DY136" s="190" t="n">
        <v>7.99863458485998</v>
      </c>
      <c r="DZ136" s="190" t="n">
        <v>8.06837027287998</v>
      </c>
      <c r="EA136" s="190" t="n">
        <v>8.13810596089998</v>
      </c>
      <c r="EB136" s="190" t="n">
        <v>8.20784164891998</v>
      </c>
      <c r="EC136" s="190" t="n">
        <v>8.27757733693998</v>
      </c>
      <c r="ED136" s="190" t="n">
        <v>8.34731302495998</v>
      </c>
      <c r="EE136" s="190" t="n">
        <v>8.41704871297998</v>
      </c>
      <c r="EF136" s="190" t="n">
        <v>8.48678440099998</v>
      </c>
      <c r="EG136" s="190" t="n">
        <v>8.55652008901998</v>
      </c>
      <c r="EH136" s="190" t="n">
        <v>8.62625577703998</v>
      </c>
      <c r="EI136" s="190" t="n">
        <v>8.69599146505998</v>
      </c>
      <c r="EJ136" s="190" t="n">
        <v>8.76572715307998</v>
      </c>
      <c r="EK136" s="190" t="n">
        <v>8.83546284109998</v>
      </c>
      <c r="EL136" s="180" t="n">
        <v>8.90519852911998</v>
      </c>
      <c r="EM136" s="180" t="n">
        <v>8.97493421713998</v>
      </c>
      <c r="EN136" s="180" t="n">
        <v>9.04466990515998</v>
      </c>
      <c r="EO136" s="180" t="n">
        <v>9.11440559317998</v>
      </c>
      <c r="EP136" s="180" t="n">
        <v>9.18414128119998</v>
      </c>
      <c r="EQ136" s="180" t="n">
        <v>9.25387696921998</v>
      </c>
      <c r="ER136" s="180" t="n">
        <v>9.32361265723998</v>
      </c>
      <c r="ES136" s="180" t="n">
        <v>9.39334834525998</v>
      </c>
      <c r="ET136" s="180" t="n">
        <v>9.46308403327998</v>
      </c>
      <c r="EU136" s="180" t="n">
        <v>9.53281972129998</v>
      </c>
      <c r="EV136" s="180" t="n">
        <v>9.60255540931998</v>
      </c>
      <c r="EW136" s="180" t="n">
        <v>9.67229109733998</v>
      </c>
      <c r="EX136" s="180" t="n">
        <v>9.74202678535998</v>
      </c>
      <c r="EY136" s="180" t="n">
        <v>9.81176247337998</v>
      </c>
      <c r="EZ136" s="180" t="n">
        <v>9.88149816139998</v>
      </c>
      <c r="FA136" s="180" t="n">
        <v>9.95123384941998</v>
      </c>
      <c r="FB136" s="180" t="n">
        <v>10.02096953744</v>
      </c>
      <c r="FC136" s="180" t="n">
        <v>10.09070522546</v>
      </c>
      <c r="FD136" s="180" t="n">
        <v>10.16044091348</v>
      </c>
      <c r="FE136" s="180" t="n">
        <v>10.2301766015</v>
      </c>
      <c r="FF136" s="180" t="n">
        <v>10.29991228952</v>
      </c>
      <c r="FG136" s="180" t="n">
        <v>10.36964797754</v>
      </c>
      <c r="FH136" s="180" t="n">
        <v>10.43938366556</v>
      </c>
      <c r="FI136" s="180" t="n">
        <v>10.50911935358</v>
      </c>
      <c r="FJ136" s="180" t="n">
        <v>10.5788550416</v>
      </c>
      <c r="FK136" s="180" t="n">
        <v>10.64859072962</v>
      </c>
      <c r="FL136" s="180" t="n">
        <v>10.71832641764</v>
      </c>
      <c r="FM136" s="180" t="n">
        <v>10.78806210566</v>
      </c>
      <c r="FN136" s="180" t="n">
        <v>10.85779779368</v>
      </c>
      <c r="FO136" s="180" t="n">
        <v>10.9275334817</v>
      </c>
      <c r="FP136" s="180" t="n">
        <v>10.99726916972</v>
      </c>
      <c r="FQ136" s="180" t="n">
        <v>11.06700485774</v>
      </c>
      <c r="FR136" s="180" t="n">
        <v>11.13674054576</v>
      </c>
      <c r="FS136" s="180" t="n">
        <v>11.20647623378</v>
      </c>
      <c r="FT136" s="180" t="n">
        <v>11.2762119218</v>
      </c>
      <c r="FU136" s="180" t="n">
        <v>11.34594760982</v>
      </c>
      <c r="FV136" s="180" t="n">
        <v>11.41568329784</v>
      </c>
      <c r="FW136" s="180" t="n">
        <v>11.48541898586</v>
      </c>
      <c r="FX136" s="180" t="n">
        <v>11.55515467388</v>
      </c>
      <c r="FY136" s="180" t="n">
        <v>11.6248903619</v>
      </c>
      <c r="FZ136" s="180" t="n">
        <v>11.69462604992</v>
      </c>
      <c r="GA136" s="180" t="n">
        <v>11.76436173794</v>
      </c>
      <c r="GB136" s="180" t="n">
        <v>11.83409742596</v>
      </c>
      <c r="GC136" s="180" t="n">
        <v>11.90383311398</v>
      </c>
      <c r="GD136" s="180" t="n">
        <v>11.973568802</v>
      </c>
      <c r="GE136" s="180" t="n">
        <v>12.04330449002</v>
      </c>
      <c r="GF136" s="180" t="n">
        <v>12.11304017804</v>
      </c>
      <c r="GG136" s="180" t="n">
        <v>12.18277586606</v>
      </c>
      <c r="GH136" s="180" t="n">
        <v>12.25251155408</v>
      </c>
      <c r="GI136" s="180" t="n">
        <v>12.3222472421</v>
      </c>
      <c r="GJ136" s="180" t="n">
        <v>12.39198293012</v>
      </c>
      <c r="GK136" s="180" t="n">
        <v>12.46171861814</v>
      </c>
      <c r="GL136" s="180" t="n">
        <v>12.53145430616</v>
      </c>
      <c r="GM136" s="180" t="n">
        <v>12.60118999418</v>
      </c>
      <c r="GN136" s="180" t="n">
        <v>12.6709256822</v>
      </c>
      <c r="GO136" s="180" t="n">
        <v>12.74066137022</v>
      </c>
      <c r="GP136" s="180" t="n">
        <v>12.81039705824</v>
      </c>
      <c r="GQ136" s="180" t="n">
        <v>12.88013274626</v>
      </c>
      <c r="GR136" s="180" t="n">
        <v>12.94986843428</v>
      </c>
      <c r="GS136" s="180" t="n">
        <v>13.0196041223</v>
      </c>
      <c r="GT136" s="180" t="n">
        <v>13.08933981032</v>
      </c>
      <c r="GU136" s="180" t="n">
        <v>13.15907549834</v>
      </c>
      <c r="GV136" s="180" t="n">
        <v>13.22881118636</v>
      </c>
      <c r="GW136" s="180" t="n">
        <v>13.29854687438</v>
      </c>
      <c r="GX136" s="180" t="n">
        <v>13.3682825624</v>
      </c>
      <c r="GY136" s="180" t="n">
        <v>13.43801825042</v>
      </c>
      <c r="GZ136" s="180" t="n">
        <v>13.50775393844</v>
      </c>
      <c r="HA136" s="180" t="n">
        <v>13.57748962646</v>
      </c>
      <c r="HB136" s="180" t="n">
        <v>13.64722531448</v>
      </c>
      <c r="HC136" s="180" t="n">
        <v>13.7169610025</v>
      </c>
      <c r="HD136" s="180" t="n">
        <v>13.78669669052</v>
      </c>
      <c r="HE136" s="180" t="n">
        <v>13.85643237854</v>
      </c>
      <c r="HF136" s="180" t="n">
        <v>13.92616806656</v>
      </c>
      <c r="HG136" s="180" t="n">
        <v>13.99590375458</v>
      </c>
      <c r="HH136" s="180" t="n">
        <v>14.0656394426</v>
      </c>
      <c r="HI136" s="180" t="n">
        <v>14.13537513062</v>
      </c>
      <c r="HJ136" s="180" t="n">
        <v>14.20511081864</v>
      </c>
      <c r="HK136" s="180" t="n">
        <v>14.27484650666</v>
      </c>
      <c r="HL136" s="180" t="n">
        <v>14.34458219468</v>
      </c>
      <c r="HM136" s="180" t="n">
        <v>14.4143178827</v>
      </c>
      <c r="HN136" s="180" t="n">
        <v>14.48405357072</v>
      </c>
      <c r="HO136" s="180" t="n">
        <v>14.55378925874</v>
      </c>
      <c r="HP136" s="180" t="n">
        <v>14.62352494676</v>
      </c>
      <c r="HQ136" s="180" t="n">
        <v>14.69326063478</v>
      </c>
      <c r="HR136" s="180" t="n">
        <v>14.7629963228</v>
      </c>
      <c r="HS136" s="180" t="n">
        <v>14.83273201082</v>
      </c>
      <c r="HT136" s="180" t="n">
        <v>14.90246769884</v>
      </c>
      <c r="HU136" s="180" t="n">
        <v>14.97220338686</v>
      </c>
      <c r="HV136" s="180" t="n">
        <v>15.04193907488</v>
      </c>
      <c r="HW136" s="180" t="n">
        <v>15.1116747629</v>
      </c>
      <c r="HX136" s="180" t="n">
        <v>15.18141045092</v>
      </c>
      <c r="HY136" s="180" t="n">
        <v>15.25114613894</v>
      </c>
      <c r="HZ136" s="180" t="n">
        <v>15.32088182696</v>
      </c>
      <c r="IA136" s="180" t="n">
        <v>15.39061751498</v>
      </c>
      <c r="IB136" s="180" t="n">
        <v>15.460353203</v>
      </c>
      <c r="IC136" s="180" t="n">
        <v>15.53008889102</v>
      </c>
      <c r="ID136" s="180" t="n">
        <v>15.59982457904</v>
      </c>
      <c r="IE136" s="180" t="n">
        <v>15.66956026706</v>
      </c>
      <c r="IF136" s="180" t="n">
        <v>15.73929595508</v>
      </c>
      <c r="IG136" s="180" t="n">
        <v>15.8090316431</v>
      </c>
      <c r="IH136" s="180" t="n">
        <v>15.87876733112</v>
      </c>
      <c r="II136" s="180" t="n">
        <v>15.94850301914</v>
      </c>
      <c r="IJ136" s="180" t="n">
        <v>16.01823870716</v>
      </c>
      <c r="IK136" s="180" t="n">
        <v>16.08797439518</v>
      </c>
      <c r="IL136" s="180" t="n">
        <v>16.1577100832</v>
      </c>
      <c r="IM136" s="180" t="n">
        <v>16.22744577122</v>
      </c>
      <c r="IN136" s="180" t="n">
        <v>16.29718145924</v>
      </c>
      <c r="IO136" s="180" t="n">
        <v>16.36691714726</v>
      </c>
      <c r="IP136" s="180" t="n">
        <v>16.43665283528</v>
      </c>
      <c r="IQ136" s="180" t="n">
        <v>16.5063885233</v>
      </c>
      <c r="IR136" s="180" t="n">
        <v>16.57612421132</v>
      </c>
      <c r="IS136" s="180" t="n">
        <v>16.64585989934</v>
      </c>
      <c r="IT136" s="180" t="n">
        <v>16.71559558736</v>
      </c>
      <c r="IU136" s="180" t="n">
        <v>16.78533127538</v>
      </c>
      <c r="IV136" s="180" t="n">
        <v>16.8550669634</v>
      </c>
    </row>
    <row r="137" customFormat="false" ht="12.75" hidden="false" customHeight="false" outlineLevel="0" collapsed="false">
      <c r="A137" s="189" t="n">
        <v>40848</v>
      </c>
      <c r="B137" s="185" t="n">
        <v>-2.021005929375</v>
      </c>
      <c r="C137" s="185" t="n">
        <v>-1.9907047400625</v>
      </c>
      <c r="D137" s="185" t="n">
        <v>-1.96040355075</v>
      </c>
      <c r="E137" s="185" t="n">
        <v>-1.9301023614375</v>
      </c>
      <c r="F137" s="185" t="n">
        <v>-1.899801172125</v>
      </c>
      <c r="G137" s="185" t="n">
        <v>-1.8694999828125</v>
      </c>
      <c r="H137" s="185" t="n">
        <v>-1.8391987935</v>
      </c>
      <c r="I137" s="185" t="n">
        <v>-1.8088976041875</v>
      </c>
      <c r="J137" s="185" t="n">
        <v>-1.778596414875</v>
      </c>
      <c r="K137" s="185" t="n">
        <v>-1.7482952255625</v>
      </c>
      <c r="L137" s="185" t="n">
        <v>-1.71799403625</v>
      </c>
      <c r="M137" s="185" t="n">
        <v>-1.6876928469375</v>
      </c>
      <c r="N137" s="185" t="n">
        <v>-1.657391657625</v>
      </c>
      <c r="O137" s="185" t="n">
        <v>-1.6270904683125</v>
      </c>
      <c r="P137" s="185" t="n">
        <v>-1.596789279</v>
      </c>
      <c r="Q137" s="185" t="n">
        <v>-1.5664880896875</v>
      </c>
      <c r="R137" s="185" t="n">
        <v>-1.536186900375</v>
      </c>
      <c r="S137" s="185" t="n">
        <v>-1.5058857110625</v>
      </c>
      <c r="T137" s="185" t="n">
        <v>-1.47558452175</v>
      </c>
      <c r="U137" s="185" t="n">
        <v>-1.4452833324375</v>
      </c>
      <c r="V137" s="186" t="n">
        <v>-1.414982143125</v>
      </c>
      <c r="W137" s="185" t="n">
        <v>-1.3846809538125</v>
      </c>
      <c r="X137" s="186" t="n">
        <v>-1.3543797645</v>
      </c>
      <c r="Y137" s="185" t="n">
        <v>-1.3240785751875</v>
      </c>
      <c r="Z137" s="186" t="n">
        <v>-1.293777385875</v>
      </c>
      <c r="AA137" s="185" t="n">
        <v>-1.2634761965625</v>
      </c>
      <c r="AB137" s="187" t="n">
        <v>-1.23317500725</v>
      </c>
      <c r="AC137" s="185" t="n">
        <v>-1.2028738179375</v>
      </c>
      <c r="AD137" s="187" t="n">
        <v>-1.172572628625</v>
      </c>
      <c r="AE137" s="185" t="n">
        <v>-1.1422714393125</v>
      </c>
      <c r="AF137" s="185" t="n">
        <v>-1.11197025</v>
      </c>
      <c r="AG137" s="190" t="n">
        <v>-1.083235125</v>
      </c>
      <c r="AH137" s="190" t="n">
        <v>-1.0545</v>
      </c>
      <c r="AI137" s="190" t="n">
        <v>-1.02725</v>
      </c>
      <c r="AJ137" s="190" t="n">
        <v>-1</v>
      </c>
      <c r="AK137" s="190" t="n">
        <v>-0.8</v>
      </c>
      <c r="AL137" s="190" t="n">
        <v>-0.6</v>
      </c>
      <c r="AM137" s="190" t="n">
        <v>-0.4</v>
      </c>
      <c r="AN137" s="190" t="n">
        <v>-0.2</v>
      </c>
      <c r="AO137" s="190" t="n">
        <v>0</v>
      </c>
      <c r="AP137" s="190" t="n">
        <v>0.2</v>
      </c>
      <c r="AQ137" s="190" t="n">
        <v>0.4</v>
      </c>
      <c r="AR137" s="190" t="n">
        <v>0.6</v>
      </c>
      <c r="AS137" s="190" t="n">
        <v>0.8</v>
      </c>
      <c r="AT137" s="190" t="n">
        <v>1</v>
      </c>
      <c r="AU137" s="190" t="n">
        <v>1.2</v>
      </c>
      <c r="AV137" s="190" t="n">
        <v>1.4</v>
      </c>
      <c r="AW137" s="190" t="n">
        <v>1.58</v>
      </c>
      <c r="AX137" s="190" t="n">
        <v>1.76</v>
      </c>
      <c r="AY137" s="190" t="n">
        <v>1.922</v>
      </c>
      <c r="AZ137" s="190" t="n">
        <v>2.084</v>
      </c>
      <c r="BA137" s="190" t="n">
        <v>2.2298</v>
      </c>
      <c r="BB137" s="190" t="n">
        <v>2.3756</v>
      </c>
      <c r="BC137" s="190" t="n">
        <v>2.50682</v>
      </c>
      <c r="BD137" s="190" t="n">
        <v>2.63804</v>
      </c>
      <c r="BE137" s="190" t="n">
        <v>2.756138</v>
      </c>
      <c r="BF137" s="190" t="n">
        <v>2.874236</v>
      </c>
      <c r="BG137" s="190" t="n">
        <v>2.9805242</v>
      </c>
      <c r="BH137" s="190" t="n">
        <v>3.0868124</v>
      </c>
      <c r="BI137" s="190" t="n">
        <v>3.18247178</v>
      </c>
      <c r="BJ137" s="190" t="n">
        <v>3.27813116</v>
      </c>
      <c r="BK137" s="190" t="n">
        <v>3.364224602</v>
      </c>
      <c r="BL137" s="190" t="n">
        <v>3.450318044</v>
      </c>
      <c r="BM137" s="190" t="n">
        <v>3.5278021418</v>
      </c>
      <c r="BN137" s="190" t="n">
        <v>3.6052862396</v>
      </c>
      <c r="BO137" s="190" t="n">
        <v>3.67502192762</v>
      </c>
      <c r="BP137" s="190" t="n">
        <v>3.74475761564</v>
      </c>
      <c r="BQ137" s="190" t="n">
        <v>3.81449330366</v>
      </c>
      <c r="BR137" s="190" t="n">
        <v>3.88422899168</v>
      </c>
      <c r="BS137" s="190" t="n">
        <v>3.9539646797</v>
      </c>
      <c r="BT137" s="190" t="n">
        <v>4.02370036772</v>
      </c>
      <c r="BU137" s="190" t="n">
        <v>4.09343605574</v>
      </c>
      <c r="BV137" s="190" t="n">
        <v>4.16317174376</v>
      </c>
      <c r="BW137" s="190" t="n">
        <v>4.23290743178</v>
      </c>
      <c r="BX137" s="190" t="n">
        <v>4.3026431198</v>
      </c>
      <c r="BY137" s="190" t="n">
        <v>4.37237880782</v>
      </c>
      <c r="BZ137" s="190" t="n">
        <v>4.44211449584</v>
      </c>
      <c r="CA137" s="190" t="n">
        <v>4.51185018386</v>
      </c>
      <c r="CB137" s="190" t="n">
        <v>4.58158587188</v>
      </c>
      <c r="CC137" s="190" t="n">
        <v>4.6513215599</v>
      </c>
      <c r="CD137" s="190" t="n">
        <v>4.72105724792</v>
      </c>
      <c r="CE137" s="190" t="n">
        <v>4.79079293594</v>
      </c>
      <c r="CF137" s="190" t="n">
        <v>4.86052862396</v>
      </c>
      <c r="CG137" s="190" t="n">
        <v>4.93026431198</v>
      </c>
      <c r="CH137" s="190" t="n">
        <v>5</v>
      </c>
      <c r="CI137" s="190" t="n">
        <v>5.06973568801999</v>
      </c>
      <c r="CJ137" s="190" t="n">
        <v>5.13947137603999</v>
      </c>
      <c r="CK137" s="190" t="n">
        <v>5.20920706405999</v>
      </c>
      <c r="CL137" s="190" t="n">
        <v>5.27894275207999</v>
      </c>
      <c r="CM137" s="190" t="n">
        <v>5.34867844009999</v>
      </c>
      <c r="CN137" s="190" t="n">
        <v>5.41841412811999</v>
      </c>
      <c r="CO137" s="190" t="n">
        <v>5.48814981613999</v>
      </c>
      <c r="CP137" s="190" t="n">
        <v>5.55788550415999</v>
      </c>
      <c r="CQ137" s="190" t="n">
        <v>5.62762119217999</v>
      </c>
      <c r="CR137" s="190" t="n">
        <v>5.69735688019999</v>
      </c>
      <c r="CS137" s="190" t="n">
        <v>5.76709256821999</v>
      </c>
      <c r="CT137" s="190" t="n">
        <v>5.83682825623999</v>
      </c>
      <c r="CU137" s="190" t="n">
        <v>5.90656394425999</v>
      </c>
      <c r="CV137" s="190" t="n">
        <v>5.97629963227999</v>
      </c>
      <c r="CW137" s="190" t="n">
        <v>6.04603532029999</v>
      </c>
      <c r="CX137" s="190" t="n">
        <v>6.11577100831999</v>
      </c>
      <c r="CY137" s="190" t="n">
        <v>6.18550669633999</v>
      </c>
      <c r="CZ137" s="190" t="n">
        <v>6.25524238435999</v>
      </c>
      <c r="DA137" s="190" t="n">
        <v>6.32497807237999</v>
      </c>
      <c r="DB137" s="190" t="n">
        <v>6.39471376039999</v>
      </c>
      <c r="DC137" s="190" t="n">
        <v>6.46444944841999</v>
      </c>
      <c r="DD137" s="190" t="n">
        <v>6.53418513643999</v>
      </c>
      <c r="DE137" s="190" t="n">
        <v>6.60392082445999</v>
      </c>
      <c r="DF137" s="190" t="n">
        <v>6.67365651247999</v>
      </c>
      <c r="DG137" s="190" t="n">
        <v>6.74339220049999</v>
      </c>
      <c r="DH137" s="190" t="n">
        <v>6.81312788851999</v>
      </c>
      <c r="DI137" s="190" t="n">
        <v>6.88286357653999</v>
      </c>
      <c r="DJ137" s="190" t="n">
        <v>6.95259926455999</v>
      </c>
      <c r="DK137" s="190" t="n">
        <v>7.02233495257999</v>
      </c>
      <c r="DL137" s="190" t="n">
        <v>7.09207064059999</v>
      </c>
      <c r="DM137" s="190" t="n">
        <v>7.16180632861999</v>
      </c>
      <c r="DN137" s="190" t="n">
        <v>7.23154201663999</v>
      </c>
      <c r="DO137" s="190" t="n">
        <v>7.30127770465999</v>
      </c>
      <c r="DP137" s="190" t="n">
        <v>7.37101339267999</v>
      </c>
      <c r="DQ137" s="190" t="n">
        <v>7.44074908069999</v>
      </c>
      <c r="DR137" s="190" t="n">
        <v>7.51048476871999</v>
      </c>
      <c r="DS137" s="190" t="n">
        <v>7.58022045673999</v>
      </c>
      <c r="DT137" s="190" t="n">
        <v>7.64995614475999</v>
      </c>
      <c r="DU137" s="190" t="n">
        <v>7.71969183277999</v>
      </c>
      <c r="DV137" s="190" t="n">
        <v>7.78942752079998</v>
      </c>
      <c r="DW137" s="190" t="n">
        <v>7.85916320881998</v>
      </c>
      <c r="DX137" s="190" t="n">
        <v>7.92889889683998</v>
      </c>
      <c r="DY137" s="190" t="n">
        <v>7.99863458485998</v>
      </c>
      <c r="DZ137" s="190" t="n">
        <v>8.06837027287998</v>
      </c>
      <c r="EA137" s="190" t="n">
        <v>8.13810596089998</v>
      </c>
      <c r="EB137" s="190" t="n">
        <v>8.20784164891998</v>
      </c>
      <c r="EC137" s="190" t="n">
        <v>8.27757733693998</v>
      </c>
      <c r="ED137" s="190" t="n">
        <v>8.34731302495998</v>
      </c>
      <c r="EE137" s="190" t="n">
        <v>8.41704871297998</v>
      </c>
      <c r="EF137" s="190" t="n">
        <v>8.48678440099998</v>
      </c>
      <c r="EG137" s="190" t="n">
        <v>8.55652008901998</v>
      </c>
      <c r="EH137" s="190" t="n">
        <v>8.62625577703998</v>
      </c>
      <c r="EI137" s="190" t="n">
        <v>8.69599146505998</v>
      </c>
      <c r="EJ137" s="190" t="n">
        <v>8.76572715307998</v>
      </c>
      <c r="EK137" s="190" t="n">
        <v>8.83546284109998</v>
      </c>
      <c r="EL137" s="180" t="n">
        <v>8.90519852911998</v>
      </c>
      <c r="EM137" s="180" t="n">
        <v>8.97493421713998</v>
      </c>
      <c r="EN137" s="180" t="n">
        <v>9.04466990515998</v>
      </c>
      <c r="EO137" s="180" t="n">
        <v>9.11440559317998</v>
      </c>
      <c r="EP137" s="180" t="n">
        <v>9.18414128119998</v>
      </c>
      <c r="EQ137" s="180" t="n">
        <v>9.25387696921998</v>
      </c>
      <c r="ER137" s="180" t="n">
        <v>9.32361265723998</v>
      </c>
      <c r="ES137" s="180" t="n">
        <v>9.39334834525998</v>
      </c>
      <c r="ET137" s="180" t="n">
        <v>9.46308403327998</v>
      </c>
      <c r="EU137" s="180" t="n">
        <v>9.53281972129998</v>
      </c>
      <c r="EV137" s="180" t="n">
        <v>9.60255540931998</v>
      </c>
      <c r="EW137" s="180" t="n">
        <v>9.67229109733998</v>
      </c>
      <c r="EX137" s="180" t="n">
        <v>9.74202678535998</v>
      </c>
      <c r="EY137" s="180" t="n">
        <v>9.81176247337998</v>
      </c>
      <c r="EZ137" s="180" t="n">
        <v>9.88149816139998</v>
      </c>
      <c r="FA137" s="180" t="n">
        <v>9.95123384941998</v>
      </c>
      <c r="FB137" s="180" t="n">
        <v>10.02096953744</v>
      </c>
      <c r="FC137" s="180" t="n">
        <v>10.09070522546</v>
      </c>
      <c r="FD137" s="180" t="n">
        <v>10.16044091348</v>
      </c>
      <c r="FE137" s="180" t="n">
        <v>10.2301766015</v>
      </c>
      <c r="FF137" s="180" t="n">
        <v>10.29991228952</v>
      </c>
      <c r="FG137" s="180" t="n">
        <v>10.36964797754</v>
      </c>
      <c r="FH137" s="180" t="n">
        <v>10.43938366556</v>
      </c>
      <c r="FI137" s="180" t="n">
        <v>10.50911935358</v>
      </c>
      <c r="FJ137" s="180" t="n">
        <v>10.5788550416</v>
      </c>
      <c r="FK137" s="180" t="n">
        <v>10.64859072962</v>
      </c>
      <c r="FL137" s="180" t="n">
        <v>10.71832641764</v>
      </c>
      <c r="FM137" s="180" t="n">
        <v>10.78806210566</v>
      </c>
      <c r="FN137" s="180" t="n">
        <v>10.85779779368</v>
      </c>
      <c r="FO137" s="180" t="n">
        <v>10.9275334817</v>
      </c>
      <c r="FP137" s="180" t="n">
        <v>10.99726916972</v>
      </c>
      <c r="FQ137" s="180" t="n">
        <v>11.06700485774</v>
      </c>
      <c r="FR137" s="180" t="n">
        <v>11.13674054576</v>
      </c>
      <c r="FS137" s="180" t="n">
        <v>11.20647623378</v>
      </c>
      <c r="FT137" s="180" t="n">
        <v>11.2762119218</v>
      </c>
      <c r="FU137" s="180" t="n">
        <v>11.34594760982</v>
      </c>
      <c r="FV137" s="180" t="n">
        <v>11.41568329784</v>
      </c>
      <c r="FW137" s="180" t="n">
        <v>11.48541898586</v>
      </c>
      <c r="FX137" s="180" t="n">
        <v>11.55515467388</v>
      </c>
      <c r="FY137" s="180" t="n">
        <v>11.6248903619</v>
      </c>
      <c r="FZ137" s="180" t="n">
        <v>11.69462604992</v>
      </c>
      <c r="GA137" s="180" t="n">
        <v>11.76436173794</v>
      </c>
      <c r="GB137" s="180" t="n">
        <v>11.83409742596</v>
      </c>
      <c r="GC137" s="180" t="n">
        <v>11.90383311398</v>
      </c>
      <c r="GD137" s="180" t="n">
        <v>11.973568802</v>
      </c>
      <c r="GE137" s="180" t="n">
        <v>12.04330449002</v>
      </c>
      <c r="GF137" s="180" t="n">
        <v>12.11304017804</v>
      </c>
      <c r="GG137" s="180" t="n">
        <v>12.18277586606</v>
      </c>
      <c r="GH137" s="180" t="n">
        <v>12.25251155408</v>
      </c>
      <c r="GI137" s="180" t="n">
        <v>12.3222472421</v>
      </c>
      <c r="GJ137" s="180" t="n">
        <v>12.39198293012</v>
      </c>
      <c r="GK137" s="180" t="n">
        <v>12.46171861814</v>
      </c>
      <c r="GL137" s="180" t="n">
        <v>12.53145430616</v>
      </c>
      <c r="GM137" s="180" t="n">
        <v>12.60118999418</v>
      </c>
      <c r="GN137" s="180" t="n">
        <v>12.6709256822</v>
      </c>
      <c r="GO137" s="180" t="n">
        <v>12.74066137022</v>
      </c>
      <c r="GP137" s="180" t="n">
        <v>12.81039705824</v>
      </c>
      <c r="GQ137" s="180" t="n">
        <v>12.88013274626</v>
      </c>
      <c r="GR137" s="180" t="n">
        <v>12.94986843428</v>
      </c>
      <c r="GS137" s="180" t="n">
        <v>13.0196041223</v>
      </c>
      <c r="GT137" s="180" t="n">
        <v>13.08933981032</v>
      </c>
      <c r="GU137" s="180" t="n">
        <v>13.15907549834</v>
      </c>
      <c r="GV137" s="180" t="n">
        <v>13.22881118636</v>
      </c>
      <c r="GW137" s="180" t="n">
        <v>13.29854687438</v>
      </c>
      <c r="GX137" s="180" t="n">
        <v>13.3682825624</v>
      </c>
      <c r="GY137" s="180" t="n">
        <v>13.43801825042</v>
      </c>
      <c r="GZ137" s="180" t="n">
        <v>13.50775393844</v>
      </c>
      <c r="HA137" s="180" t="n">
        <v>13.57748962646</v>
      </c>
      <c r="HB137" s="180" t="n">
        <v>13.64722531448</v>
      </c>
      <c r="HC137" s="180" t="n">
        <v>13.7169610025</v>
      </c>
      <c r="HD137" s="180" t="n">
        <v>13.78669669052</v>
      </c>
      <c r="HE137" s="180" t="n">
        <v>13.85643237854</v>
      </c>
      <c r="HF137" s="180" t="n">
        <v>13.92616806656</v>
      </c>
      <c r="HG137" s="180" t="n">
        <v>13.99590375458</v>
      </c>
      <c r="HH137" s="180" t="n">
        <v>14.0656394426</v>
      </c>
      <c r="HI137" s="180" t="n">
        <v>14.13537513062</v>
      </c>
      <c r="HJ137" s="180" t="n">
        <v>14.20511081864</v>
      </c>
      <c r="HK137" s="180" t="n">
        <v>14.27484650666</v>
      </c>
      <c r="HL137" s="180" t="n">
        <v>14.34458219468</v>
      </c>
      <c r="HM137" s="180" t="n">
        <v>14.4143178827</v>
      </c>
      <c r="HN137" s="180" t="n">
        <v>14.48405357072</v>
      </c>
      <c r="HO137" s="180" t="n">
        <v>14.55378925874</v>
      </c>
      <c r="HP137" s="180" t="n">
        <v>14.62352494676</v>
      </c>
      <c r="HQ137" s="180" t="n">
        <v>14.69326063478</v>
      </c>
      <c r="HR137" s="180" t="n">
        <v>14.7629963228</v>
      </c>
      <c r="HS137" s="180" t="n">
        <v>14.83273201082</v>
      </c>
      <c r="HT137" s="180" t="n">
        <v>14.90246769884</v>
      </c>
      <c r="HU137" s="180" t="n">
        <v>14.97220338686</v>
      </c>
      <c r="HV137" s="180" t="n">
        <v>15.04193907488</v>
      </c>
      <c r="HW137" s="180" t="n">
        <v>15.1116747629</v>
      </c>
      <c r="HX137" s="180" t="n">
        <v>15.18141045092</v>
      </c>
      <c r="HY137" s="180" t="n">
        <v>15.25114613894</v>
      </c>
      <c r="HZ137" s="180" t="n">
        <v>15.32088182696</v>
      </c>
      <c r="IA137" s="180" t="n">
        <v>15.39061751498</v>
      </c>
      <c r="IB137" s="180" t="n">
        <v>15.460353203</v>
      </c>
      <c r="IC137" s="180" t="n">
        <v>15.53008889102</v>
      </c>
      <c r="ID137" s="180" t="n">
        <v>15.59982457904</v>
      </c>
      <c r="IE137" s="180" t="n">
        <v>15.66956026706</v>
      </c>
      <c r="IF137" s="180" t="n">
        <v>15.73929595508</v>
      </c>
      <c r="IG137" s="180" t="n">
        <v>15.8090316431</v>
      </c>
      <c r="IH137" s="180" t="n">
        <v>15.87876733112</v>
      </c>
      <c r="II137" s="180" t="n">
        <v>15.94850301914</v>
      </c>
      <c r="IJ137" s="180" t="n">
        <v>16.01823870716</v>
      </c>
      <c r="IK137" s="180" t="n">
        <v>16.08797439518</v>
      </c>
      <c r="IL137" s="180" t="n">
        <v>16.1577100832</v>
      </c>
      <c r="IM137" s="180" t="n">
        <v>16.22744577122</v>
      </c>
      <c r="IN137" s="180" t="n">
        <v>16.29718145924</v>
      </c>
      <c r="IO137" s="180" t="n">
        <v>16.36691714726</v>
      </c>
      <c r="IP137" s="180" t="n">
        <v>16.43665283528</v>
      </c>
      <c r="IQ137" s="180" t="n">
        <v>16.5063885233</v>
      </c>
      <c r="IR137" s="180" t="n">
        <v>16.57612421132</v>
      </c>
      <c r="IS137" s="180" t="n">
        <v>16.64585989934</v>
      </c>
      <c r="IT137" s="180" t="n">
        <v>16.71559558736</v>
      </c>
      <c r="IU137" s="180" t="n">
        <v>16.78533127538</v>
      </c>
      <c r="IV137" s="180" t="n">
        <v>16.8550669634</v>
      </c>
    </row>
    <row r="138" customFormat="false" ht="12.75" hidden="false" customHeight="false" outlineLevel="0" collapsed="false">
      <c r="A138" s="189" t="n">
        <v>40878</v>
      </c>
      <c r="B138" s="185" t="n">
        <v>-2.021005929375</v>
      </c>
      <c r="C138" s="185" t="n">
        <v>-1.9907047400625</v>
      </c>
      <c r="D138" s="185" t="n">
        <v>-1.96040355075</v>
      </c>
      <c r="E138" s="185" t="n">
        <v>-1.9301023614375</v>
      </c>
      <c r="F138" s="185" t="n">
        <v>-1.899801172125</v>
      </c>
      <c r="G138" s="185" t="n">
        <v>-1.8694999828125</v>
      </c>
      <c r="H138" s="185" t="n">
        <v>-1.8391987935</v>
      </c>
      <c r="I138" s="185" t="n">
        <v>-1.8088976041875</v>
      </c>
      <c r="J138" s="185" t="n">
        <v>-1.778596414875</v>
      </c>
      <c r="K138" s="185" t="n">
        <v>-1.7482952255625</v>
      </c>
      <c r="L138" s="185" t="n">
        <v>-1.71799403625</v>
      </c>
      <c r="M138" s="185" t="n">
        <v>-1.6876928469375</v>
      </c>
      <c r="N138" s="185" t="n">
        <v>-1.657391657625</v>
      </c>
      <c r="O138" s="185" t="n">
        <v>-1.6270904683125</v>
      </c>
      <c r="P138" s="185" t="n">
        <v>-1.596789279</v>
      </c>
      <c r="Q138" s="185" t="n">
        <v>-1.5664880896875</v>
      </c>
      <c r="R138" s="185" t="n">
        <v>-1.536186900375</v>
      </c>
      <c r="S138" s="185" t="n">
        <v>-1.5058857110625</v>
      </c>
      <c r="T138" s="185" t="n">
        <v>-1.47558452175</v>
      </c>
      <c r="U138" s="185" t="n">
        <v>-1.4452833324375</v>
      </c>
      <c r="V138" s="186" t="n">
        <v>-1.414982143125</v>
      </c>
      <c r="W138" s="185" t="n">
        <v>-1.3846809538125</v>
      </c>
      <c r="X138" s="186" t="n">
        <v>-1.3543797645</v>
      </c>
      <c r="Y138" s="185" t="n">
        <v>-1.3240785751875</v>
      </c>
      <c r="Z138" s="186" t="n">
        <v>-1.293777385875</v>
      </c>
      <c r="AA138" s="185" t="n">
        <v>-1.2634761965625</v>
      </c>
      <c r="AB138" s="187" t="n">
        <v>-1.23317500725</v>
      </c>
      <c r="AC138" s="185" t="n">
        <v>-1.2028738179375</v>
      </c>
      <c r="AD138" s="187" t="n">
        <v>-1.172572628625</v>
      </c>
      <c r="AE138" s="185" t="n">
        <v>-1.1422714393125</v>
      </c>
      <c r="AF138" s="185" t="n">
        <v>-1.11197025</v>
      </c>
      <c r="AG138" s="190" t="n">
        <v>-1.083235125</v>
      </c>
      <c r="AH138" s="190" t="n">
        <v>-1.0545</v>
      </c>
      <c r="AI138" s="190" t="n">
        <v>-1.02725</v>
      </c>
      <c r="AJ138" s="190" t="n">
        <v>-1</v>
      </c>
      <c r="AK138" s="190" t="n">
        <v>-0.8</v>
      </c>
      <c r="AL138" s="190" t="n">
        <v>-0.6</v>
      </c>
      <c r="AM138" s="190" t="n">
        <v>-0.4</v>
      </c>
      <c r="AN138" s="190" t="n">
        <v>-0.2</v>
      </c>
      <c r="AO138" s="190" t="n">
        <v>0</v>
      </c>
      <c r="AP138" s="190" t="n">
        <v>0.2</v>
      </c>
      <c r="AQ138" s="190" t="n">
        <v>0.4</v>
      </c>
      <c r="AR138" s="190" t="n">
        <v>0.6</v>
      </c>
      <c r="AS138" s="190" t="n">
        <v>0.8</v>
      </c>
      <c r="AT138" s="190" t="n">
        <v>1</v>
      </c>
      <c r="AU138" s="190" t="n">
        <v>1.2</v>
      </c>
      <c r="AV138" s="190" t="n">
        <v>1.4</v>
      </c>
      <c r="AW138" s="190" t="n">
        <v>1.58</v>
      </c>
      <c r="AX138" s="190" t="n">
        <v>1.76</v>
      </c>
      <c r="AY138" s="190" t="n">
        <v>1.922</v>
      </c>
      <c r="AZ138" s="190" t="n">
        <v>2.084</v>
      </c>
      <c r="BA138" s="190" t="n">
        <v>2.2298</v>
      </c>
      <c r="BB138" s="190" t="n">
        <v>2.3756</v>
      </c>
      <c r="BC138" s="190" t="n">
        <v>2.50682</v>
      </c>
      <c r="BD138" s="190" t="n">
        <v>2.63804</v>
      </c>
      <c r="BE138" s="190" t="n">
        <v>2.756138</v>
      </c>
      <c r="BF138" s="190" t="n">
        <v>2.874236</v>
      </c>
      <c r="BG138" s="190" t="n">
        <v>2.9805242</v>
      </c>
      <c r="BH138" s="190" t="n">
        <v>3.0868124</v>
      </c>
      <c r="BI138" s="190" t="n">
        <v>3.18247178</v>
      </c>
      <c r="BJ138" s="190" t="n">
        <v>3.27813116</v>
      </c>
      <c r="BK138" s="190" t="n">
        <v>3.364224602</v>
      </c>
      <c r="BL138" s="190" t="n">
        <v>3.450318044</v>
      </c>
      <c r="BM138" s="190" t="n">
        <v>3.5278021418</v>
      </c>
      <c r="BN138" s="190" t="n">
        <v>3.6052862396</v>
      </c>
      <c r="BO138" s="190" t="n">
        <v>3.67502192762</v>
      </c>
      <c r="BP138" s="190" t="n">
        <v>3.74475761564</v>
      </c>
      <c r="BQ138" s="190" t="n">
        <v>3.81449330366</v>
      </c>
      <c r="BR138" s="190" t="n">
        <v>3.88422899168</v>
      </c>
      <c r="BS138" s="190" t="n">
        <v>3.9539646797</v>
      </c>
      <c r="BT138" s="190" t="n">
        <v>4.02370036772</v>
      </c>
      <c r="BU138" s="190" t="n">
        <v>4.09343605574</v>
      </c>
      <c r="BV138" s="190" t="n">
        <v>4.16317174376</v>
      </c>
      <c r="BW138" s="190" t="n">
        <v>4.23290743178</v>
      </c>
      <c r="BX138" s="190" t="n">
        <v>4.3026431198</v>
      </c>
      <c r="BY138" s="190" t="n">
        <v>4.37237880782</v>
      </c>
      <c r="BZ138" s="190" t="n">
        <v>4.44211449584</v>
      </c>
      <c r="CA138" s="190" t="n">
        <v>4.51185018386</v>
      </c>
      <c r="CB138" s="190" t="n">
        <v>4.58158587188</v>
      </c>
      <c r="CC138" s="190" t="n">
        <v>4.6513215599</v>
      </c>
      <c r="CD138" s="190" t="n">
        <v>4.72105724792</v>
      </c>
      <c r="CE138" s="190" t="n">
        <v>4.79079293594</v>
      </c>
      <c r="CF138" s="190" t="n">
        <v>4.86052862396</v>
      </c>
      <c r="CG138" s="190" t="n">
        <v>4.93026431198</v>
      </c>
      <c r="CH138" s="190" t="n">
        <v>5</v>
      </c>
      <c r="CI138" s="190" t="n">
        <v>5.06973568801999</v>
      </c>
      <c r="CJ138" s="190" t="n">
        <v>5.13947137603999</v>
      </c>
      <c r="CK138" s="190" t="n">
        <v>5.20920706405999</v>
      </c>
      <c r="CL138" s="190" t="n">
        <v>5.27894275207999</v>
      </c>
      <c r="CM138" s="190" t="n">
        <v>5.34867844009999</v>
      </c>
      <c r="CN138" s="190" t="n">
        <v>5.41841412811999</v>
      </c>
      <c r="CO138" s="190" t="n">
        <v>5.48814981613999</v>
      </c>
      <c r="CP138" s="190" t="n">
        <v>5.55788550415999</v>
      </c>
      <c r="CQ138" s="190" t="n">
        <v>5.62762119217999</v>
      </c>
      <c r="CR138" s="190" t="n">
        <v>5.69735688019999</v>
      </c>
      <c r="CS138" s="190" t="n">
        <v>5.76709256821999</v>
      </c>
      <c r="CT138" s="190" t="n">
        <v>5.83682825623999</v>
      </c>
      <c r="CU138" s="190" t="n">
        <v>5.90656394425999</v>
      </c>
      <c r="CV138" s="190" t="n">
        <v>5.97629963227999</v>
      </c>
      <c r="CW138" s="190" t="n">
        <v>6.04603532029999</v>
      </c>
      <c r="CX138" s="190" t="n">
        <v>6.11577100831999</v>
      </c>
      <c r="CY138" s="190" t="n">
        <v>6.18550669633999</v>
      </c>
      <c r="CZ138" s="190" t="n">
        <v>6.25524238435999</v>
      </c>
      <c r="DA138" s="190" t="n">
        <v>6.32497807237999</v>
      </c>
      <c r="DB138" s="190" t="n">
        <v>6.39471376039999</v>
      </c>
      <c r="DC138" s="190" t="n">
        <v>6.46444944841999</v>
      </c>
      <c r="DD138" s="190" t="n">
        <v>6.53418513643999</v>
      </c>
      <c r="DE138" s="190" t="n">
        <v>6.60392082445999</v>
      </c>
      <c r="DF138" s="190" t="n">
        <v>6.67365651247999</v>
      </c>
      <c r="DG138" s="190" t="n">
        <v>6.74339220049999</v>
      </c>
      <c r="DH138" s="190" t="n">
        <v>6.81312788851999</v>
      </c>
      <c r="DI138" s="190" t="n">
        <v>6.88286357653999</v>
      </c>
      <c r="DJ138" s="190" t="n">
        <v>6.95259926455999</v>
      </c>
      <c r="DK138" s="190" t="n">
        <v>7.02233495257999</v>
      </c>
      <c r="DL138" s="190" t="n">
        <v>7.09207064059999</v>
      </c>
      <c r="DM138" s="190" t="n">
        <v>7.16180632861999</v>
      </c>
      <c r="DN138" s="190" t="n">
        <v>7.23154201663999</v>
      </c>
      <c r="DO138" s="190" t="n">
        <v>7.30127770465999</v>
      </c>
      <c r="DP138" s="190" t="n">
        <v>7.37101339267999</v>
      </c>
      <c r="DQ138" s="190" t="n">
        <v>7.44074908069999</v>
      </c>
      <c r="DR138" s="190" t="n">
        <v>7.51048476871999</v>
      </c>
      <c r="DS138" s="190" t="n">
        <v>7.58022045673999</v>
      </c>
      <c r="DT138" s="190" t="n">
        <v>7.64995614475999</v>
      </c>
      <c r="DU138" s="190" t="n">
        <v>7.71969183277999</v>
      </c>
      <c r="DV138" s="190" t="n">
        <v>7.78942752079998</v>
      </c>
      <c r="DW138" s="190" t="n">
        <v>7.85916320881998</v>
      </c>
      <c r="DX138" s="190" t="n">
        <v>7.92889889683998</v>
      </c>
      <c r="DY138" s="190" t="n">
        <v>7.99863458485998</v>
      </c>
      <c r="DZ138" s="190" t="n">
        <v>8.06837027287998</v>
      </c>
      <c r="EA138" s="190" t="n">
        <v>8.13810596089998</v>
      </c>
      <c r="EB138" s="190" t="n">
        <v>8.20784164891998</v>
      </c>
      <c r="EC138" s="190" t="n">
        <v>8.27757733693998</v>
      </c>
      <c r="ED138" s="190" t="n">
        <v>8.34731302495998</v>
      </c>
      <c r="EE138" s="190" t="n">
        <v>8.41704871297998</v>
      </c>
      <c r="EF138" s="190" t="n">
        <v>8.48678440099998</v>
      </c>
      <c r="EG138" s="190" t="n">
        <v>8.55652008901998</v>
      </c>
      <c r="EH138" s="190" t="n">
        <v>8.62625577703998</v>
      </c>
      <c r="EI138" s="190" t="n">
        <v>8.69599146505998</v>
      </c>
      <c r="EJ138" s="190" t="n">
        <v>8.76572715307998</v>
      </c>
      <c r="EK138" s="190" t="n">
        <v>8.83546284109998</v>
      </c>
      <c r="EL138" s="180" t="n">
        <v>8.90519852911998</v>
      </c>
      <c r="EM138" s="180" t="n">
        <v>8.97493421713998</v>
      </c>
      <c r="EN138" s="180" t="n">
        <v>9.04466990515998</v>
      </c>
      <c r="EO138" s="180" t="n">
        <v>9.11440559317998</v>
      </c>
      <c r="EP138" s="180" t="n">
        <v>9.18414128119998</v>
      </c>
      <c r="EQ138" s="180" t="n">
        <v>9.25387696921998</v>
      </c>
      <c r="ER138" s="180" t="n">
        <v>9.32361265723998</v>
      </c>
      <c r="ES138" s="180" t="n">
        <v>9.39334834525998</v>
      </c>
      <c r="ET138" s="180" t="n">
        <v>9.46308403327998</v>
      </c>
      <c r="EU138" s="180" t="n">
        <v>9.53281972129998</v>
      </c>
      <c r="EV138" s="180" t="n">
        <v>9.60255540931998</v>
      </c>
      <c r="EW138" s="180" t="n">
        <v>9.67229109733998</v>
      </c>
      <c r="EX138" s="180" t="n">
        <v>9.74202678535998</v>
      </c>
      <c r="EY138" s="180" t="n">
        <v>9.81176247337998</v>
      </c>
      <c r="EZ138" s="180" t="n">
        <v>9.88149816139998</v>
      </c>
      <c r="FA138" s="180" t="n">
        <v>9.95123384941998</v>
      </c>
      <c r="FB138" s="180" t="n">
        <v>10.02096953744</v>
      </c>
      <c r="FC138" s="180" t="n">
        <v>10.09070522546</v>
      </c>
      <c r="FD138" s="180" t="n">
        <v>10.16044091348</v>
      </c>
      <c r="FE138" s="180" t="n">
        <v>10.2301766015</v>
      </c>
      <c r="FF138" s="180" t="n">
        <v>10.29991228952</v>
      </c>
      <c r="FG138" s="180" t="n">
        <v>10.36964797754</v>
      </c>
      <c r="FH138" s="180" t="n">
        <v>10.43938366556</v>
      </c>
      <c r="FI138" s="180" t="n">
        <v>10.50911935358</v>
      </c>
      <c r="FJ138" s="180" t="n">
        <v>10.5788550416</v>
      </c>
      <c r="FK138" s="180" t="n">
        <v>10.64859072962</v>
      </c>
      <c r="FL138" s="180" t="n">
        <v>10.71832641764</v>
      </c>
      <c r="FM138" s="180" t="n">
        <v>10.78806210566</v>
      </c>
      <c r="FN138" s="180" t="n">
        <v>10.85779779368</v>
      </c>
      <c r="FO138" s="180" t="n">
        <v>10.9275334817</v>
      </c>
      <c r="FP138" s="180" t="n">
        <v>10.99726916972</v>
      </c>
      <c r="FQ138" s="180" t="n">
        <v>11.06700485774</v>
      </c>
      <c r="FR138" s="180" t="n">
        <v>11.13674054576</v>
      </c>
      <c r="FS138" s="180" t="n">
        <v>11.20647623378</v>
      </c>
      <c r="FT138" s="180" t="n">
        <v>11.2762119218</v>
      </c>
      <c r="FU138" s="180" t="n">
        <v>11.34594760982</v>
      </c>
      <c r="FV138" s="180" t="n">
        <v>11.41568329784</v>
      </c>
      <c r="FW138" s="180" t="n">
        <v>11.48541898586</v>
      </c>
      <c r="FX138" s="180" t="n">
        <v>11.55515467388</v>
      </c>
      <c r="FY138" s="180" t="n">
        <v>11.6248903619</v>
      </c>
      <c r="FZ138" s="180" t="n">
        <v>11.69462604992</v>
      </c>
      <c r="GA138" s="180" t="n">
        <v>11.76436173794</v>
      </c>
      <c r="GB138" s="180" t="n">
        <v>11.83409742596</v>
      </c>
      <c r="GC138" s="180" t="n">
        <v>11.90383311398</v>
      </c>
      <c r="GD138" s="180" t="n">
        <v>11.973568802</v>
      </c>
      <c r="GE138" s="180" t="n">
        <v>12.04330449002</v>
      </c>
      <c r="GF138" s="180" t="n">
        <v>12.11304017804</v>
      </c>
      <c r="GG138" s="180" t="n">
        <v>12.18277586606</v>
      </c>
      <c r="GH138" s="180" t="n">
        <v>12.25251155408</v>
      </c>
      <c r="GI138" s="180" t="n">
        <v>12.3222472421</v>
      </c>
      <c r="GJ138" s="180" t="n">
        <v>12.39198293012</v>
      </c>
      <c r="GK138" s="180" t="n">
        <v>12.46171861814</v>
      </c>
      <c r="GL138" s="180" t="n">
        <v>12.53145430616</v>
      </c>
      <c r="GM138" s="180" t="n">
        <v>12.60118999418</v>
      </c>
      <c r="GN138" s="180" t="n">
        <v>12.6709256822</v>
      </c>
      <c r="GO138" s="180" t="n">
        <v>12.74066137022</v>
      </c>
      <c r="GP138" s="180" t="n">
        <v>12.81039705824</v>
      </c>
      <c r="GQ138" s="180" t="n">
        <v>12.88013274626</v>
      </c>
      <c r="GR138" s="180" t="n">
        <v>12.94986843428</v>
      </c>
      <c r="GS138" s="180" t="n">
        <v>13.0196041223</v>
      </c>
      <c r="GT138" s="180" t="n">
        <v>13.08933981032</v>
      </c>
      <c r="GU138" s="180" t="n">
        <v>13.15907549834</v>
      </c>
      <c r="GV138" s="180" t="n">
        <v>13.22881118636</v>
      </c>
      <c r="GW138" s="180" t="n">
        <v>13.29854687438</v>
      </c>
      <c r="GX138" s="180" t="n">
        <v>13.3682825624</v>
      </c>
      <c r="GY138" s="180" t="n">
        <v>13.43801825042</v>
      </c>
      <c r="GZ138" s="180" t="n">
        <v>13.50775393844</v>
      </c>
      <c r="HA138" s="180" t="n">
        <v>13.57748962646</v>
      </c>
      <c r="HB138" s="180" t="n">
        <v>13.64722531448</v>
      </c>
      <c r="HC138" s="180" t="n">
        <v>13.7169610025</v>
      </c>
      <c r="HD138" s="180" t="n">
        <v>13.78669669052</v>
      </c>
      <c r="HE138" s="180" t="n">
        <v>13.85643237854</v>
      </c>
      <c r="HF138" s="180" t="n">
        <v>13.92616806656</v>
      </c>
      <c r="HG138" s="180" t="n">
        <v>13.99590375458</v>
      </c>
      <c r="HH138" s="180" t="n">
        <v>14.0656394426</v>
      </c>
      <c r="HI138" s="180" t="n">
        <v>14.13537513062</v>
      </c>
      <c r="HJ138" s="180" t="n">
        <v>14.20511081864</v>
      </c>
      <c r="HK138" s="180" t="n">
        <v>14.27484650666</v>
      </c>
      <c r="HL138" s="180" t="n">
        <v>14.34458219468</v>
      </c>
      <c r="HM138" s="180" t="n">
        <v>14.4143178827</v>
      </c>
      <c r="HN138" s="180" t="n">
        <v>14.48405357072</v>
      </c>
      <c r="HO138" s="180" t="n">
        <v>14.55378925874</v>
      </c>
      <c r="HP138" s="180" t="n">
        <v>14.62352494676</v>
      </c>
      <c r="HQ138" s="180" t="n">
        <v>14.69326063478</v>
      </c>
      <c r="HR138" s="180" t="n">
        <v>14.7629963228</v>
      </c>
      <c r="HS138" s="180" t="n">
        <v>14.83273201082</v>
      </c>
      <c r="HT138" s="180" t="n">
        <v>14.90246769884</v>
      </c>
      <c r="HU138" s="180" t="n">
        <v>14.97220338686</v>
      </c>
      <c r="HV138" s="180" t="n">
        <v>15.04193907488</v>
      </c>
      <c r="HW138" s="180" t="n">
        <v>15.1116747629</v>
      </c>
      <c r="HX138" s="180" t="n">
        <v>15.18141045092</v>
      </c>
      <c r="HY138" s="180" t="n">
        <v>15.25114613894</v>
      </c>
      <c r="HZ138" s="180" t="n">
        <v>15.32088182696</v>
      </c>
      <c r="IA138" s="180" t="n">
        <v>15.39061751498</v>
      </c>
      <c r="IB138" s="180" t="n">
        <v>15.460353203</v>
      </c>
      <c r="IC138" s="180" t="n">
        <v>15.53008889102</v>
      </c>
      <c r="ID138" s="180" t="n">
        <v>15.59982457904</v>
      </c>
      <c r="IE138" s="180" t="n">
        <v>15.66956026706</v>
      </c>
      <c r="IF138" s="180" t="n">
        <v>15.73929595508</v>
      </c>
      <c r="IG138" s="180" t="n">
        <v>15.8090316431</v>
      </c>
      <c r="IH138" s="180" t="n">
        <v>15.87876733112</v>
      </c>
      <c r="II138" s="180" t="n">
        <v>15.94850301914</v>
      </c>
      <c r="IJ138" s="180" t="n">
        <v>16.01823870716</v>
      </c>
      <c r="IK138" s="180" t="n">
        <v>16.08797439518</v>
      </c>
      <c r="IL138" s="180" t="n">
        <v>16.1577100832</v>
      </c>
      <c r="IM138" s="180" t="n">
        <v>16.22744577122</v>
      </c>
      <c r="IN138" s="180" t="n">
        <v>16.29718145924</v>
      </c>
      <c r="IO138" s="180" t="n">
        <v>16.36691714726</v>
      </c>
      <c r="IP138" s="180" t="n">
        <v>16.43665283528</v>
      </c>
      <c r="IQ138" s="180" t="n">
        <v>16.5063885233</v>
      </c>
      <c r="IR138" s="180" t="n">
        <v>16.57612421132</v>
      </c>
      <c r="IS138" s="180" t="n">
        <v>16.64585989934</v>
      </c>
      <c r="IT138" s="180" t="n">
        <v>16.71559558736</v>
      </c>
      <c r="IU138" s="180" t="n">
        <v>16.78533127538</v>
      </c>
      <c r="IV138" s="180" t="n">
        <v>16.8550669634</v>
      </c>
    </row>
    <row r="139" customFormat="false" ht="12.75" hidden="false" customHeight="false" outlineLevel="0" collapsed="false">
      <c r="A139" s="189" t="n">
        <v>40909</v>
      </c>
      <c r="B139" s="185" t="n">
        <v>-2.021005929375</v>
      </c>
      <c r="C139" s="185" t="n">
        <v>-1.9907047400625</v>
      </c>
      <c r="D139" s="185" t="n">
        <v>-1.96040355075</v>
      </c>
      <c r="E139" s="185" t="n">
        <v>-1.9301023614375</v>
      </c>
      <c r="F139" s="185" t="n">
        <v>-1.899801172125</v>
      </c>
      <c r="G139" s="185" t="n">
        <v>-1.8694999828125</v>
      </c>
      <c r="H139" s="185" t="n">
        <v>-1.8391987935</v>
      </c>
      <c r="I139" s="185" t="n">
        <v>-1.8088976041875</v>
      </c>
      <c r="J139" s="185" t="n">
        <v>-1.778596414875</v>
      </c>
      <c r="K139" s="185" t="n">
        <v>-1.7482952255625</v>
      </c>
      <c r="L139" s="185" t="n">
        <v>-1.71799403625</v>
      </c>
      <c r="M139" s="185" t="n">
        <v>-1.6876928469375</v>
      </c>
      <c r="N139" s="185" t="n">
        <v>-1.657391657625</v>
      </c>
      <c r="O139" s="185" t="n">
        <v>-1.6270904683125</v>
      </c>
      <c r="P139" s="185" t="n">
        <v>-1.596789279</v>
      </c>
      <c r="Q139" s="185" t="n">
        <v>-1.5664880896875</v>
      </c>
      <c r="R139" s="185" t="n">
        <v>-1.536186900375</v>
      </c>
      <c r="S139" s="185" t="n">
        <v>-1.5058857110625</v>
      </c>
      <c r="T139" s="185" t="n">
        <v>-1.47558452175</v>
      </c>
      <c r="U139" s="185" t="n">
        <v>-1.4452833324375</v>
      </c>
      <c r="V139" s="186" t="n">
        <v>-1.414982143125</v>
      </c>
      <c r="W139" s="185" t="n">
        <v>-1.3846809538125</v>
      </c>
      <c r="X139" s="186" t="n">
        <v>-1.3543797645</v>
      </c>
      <c r="Y139" s="185" t="n">
        <v>-1.3240785751875</v>
      </c>
      <c r="Z139" s="186" t="n">
        <v>-1.293777385875</v>
      </c>
      <c r="AA139" s="185" t="n">
        <v>-1.2634761965625</v>
      </c>
      <c r="AB139" s="187" t="n">
        <v>-1.23317500725</v>
      </c>
      <c r="AC139" s="185" t="n">
        <v>-1.2028738179375</v>
      </c>
      <c r="AD139" s="187" t="n">
        <v>-1.172572628625</v>
      </c>
      <c r="AE139" s="185" t="n">
        <v>-1.1422714393125</v>
      </c>
      <c r="AF139" s="185" t="n">
        <v>-1.11197025</v>
      </c>
      <c r="AG139" s="190" t="n">
        <v>-1.083235125</v>
      </c>
      <c r="AH139" s="190" t="n">
        <v>-1.0545</v>
      </c>
      <c r="AI139" s="190" t="n">
        <v>-1.02725</v>
      </c>
      <c r="AJ139" s="190" t="n">
        <v>-1</v>
      </c>
      <c r="AK139" s="190" t="n">
        <v>-0.8</v>
      </c>
      <c r="AL139" s="190" t="n">
        <v>-0.6</v>
      </c>
      <c r="AM139" s="190" t="n">
        <v>-0.4</v>
      </c>
      <c r="AN139" s="190" t="n">
        <v>-0.2</v>
      </c>
      <c r="AO139" s="190" t="n">
        <v>0</v>
      </c>
      <c r="AP139" s="190" t="n">
        <v>0.2</v>
      </c>
      <c r="AQ139" s="190" t="n">
        <v>0.4</v>
      </c>
      <c r="AR139" s="190" t="n">
        <v>0.6</v>
      </c>
      <c r="AS139" s="190" t="n">
        <v>0.8</v>
      </c>
      <c r="AT139" s="190" t="n">
        <v>1</v>
      </c>
      <c r="AU139" s="190" t="n">
        <v>1.2</v>
      </c>
      <c r="AV139" s="190" t="n">
        <v>1.4</v>
      </c>
      <c r="AW139" s="190" t="n">
        <v>1.58</v>
      </c>
      <c r="AX139" s="190" t="n">
        <v>1.76</v>
      </c>
      <c r="AY139" s="190" t="n">
        <v>1.922</v>
      </c>
      <c r="AZ139" s="190" t="n">
        <v>2.084</v>
      </c>
      <c r="BA139" s="190" t="n">
        <v>2.2298</v>
      </c>
      <c r="BB139" s="190" t="n">
        <v>2.3756</v>
      </c>
      <c r="BC139" s="190" t="n">
        <v>2.50682</v>
      </c>
      <c r="BD139" s="190" t="n">
        <v>2.63804</v>
      </c>
      <c r="BE139" s="190" t="n">
        <v>2.756138</v>
      </c>
      <c r="BF139" s="190" t="n">
        <v>2.874236</v>
      </c>
      <c r="BG139" s="190" t="n">
        <v>2.9805242</v>
      </c>
      <c r="BH139" s="190" t="n">
        <v>3.0868124</v>
      </c>
      <c r="BI139" s="190" t="n">
        <v>3.18247178</v>
      </c>
      <c r="BJ139" s="190" t="n">
        <v>3.27813116</v>
      </c>
      <c r="BK139" s="190" t="n">
        <v>3.364224602</v>
      </c>
      <c r="BL139" s="190" t="n">
        <v>3.450318044</v>
      </c>
      <c r="BM139" s="190" t="n">
        <v>3.5278021418</v>
      </c>
      <c r="BN139" s="190" t="n">
        <v>3.6052862396</v>
      </c>
      <c r="BO139" s="190" t="n">
        <v>3.67502192762</v>
      </c>
      <c r="BP139" s="190" t="n">
        <v>3.74475761564</v>
      </c>
      <c r="BQ139" s="190" t="n">
        <v>3.81449330366</v>
      </c>
      <c r="BR139" s="190" t="n">
        <v>3.88422899168</v>
      </c>
      <c r="BS139" s="190" t="n">
        <v>3.9539646797</v>
      </c>
      <c r="BT139" s="190" t="n">
        <v>4.02370036772</v>
      </c>
      <c r="BU139" s="190" t="n">
        <v>4.09343605574</v>
      </c>
      <c r="BV139" s="190" t="n">
        <v>4.16317174376</v>
      </c>
      <c r="BW139" s="190" t="n">
        <v>4.23290743178</v>
      </c>
      <c r="BX139" s="190" t="n">
        <v>4.3026431198</v>
      </c>
      <c r="BY139" s="190" t="n">
        <v>4.37237880782</v>
      </c>
      <c r="BZ139" s="190" t="n">
        <v>4.44211449584</v>
      </c>
      <c r="CA139" s="190" t="n">
        <v>4.51185018386</v>
      </c>
      <c r="CB139" s="190" t="n">
        <v>4.58158587188</v>
      </c>
      <c r="CC139" s="190" t="n">
        <v>4.6513215599</v>
      </c>
      <c r="CD139" s="190" t="n">
        <v>4.72105724792</v>
      </c>
      <c r="CE139" s="190" t="n">
        <v>4.79079293594</v>
      </c>
      <c r="CF139" s="190" t="n">
        <v>4.86052862396</v>
      </c>
      <c r="CG139" s="190" t="n">
        <v>4.93026431198</v>
      </c>
      <c r="CH139" s="190" t="n">
        <v>5</v>
      </c>
      <c r="CI139" s="190" t="n">
        <v>5.06973568801999</v>
      </c>
      <c r="CJ139" s="190" t="n">
        <v>5.13947137603999</v>
      </c>
      <c r="CK139" s="190" t="n">
        <v>5.20920706405999</v>
      </c>
      <c r="CL139" s="190" t="n">
        <v>5.27894275207999</v>
      </c>
      <c r="CM139" s="190" t="n">
        <v>5.34867844009999</v>
      </c>
      <c r="CN139" s="190" t="n">
        <v>5.41841412811999</v>
      </c>
      <c r="CO139" s="190" t="n">
        <v>5.48814981613999</v>
      </c>
      <c r="CP139" s="190" t="n">
        <v>5.55788550415999</v>
      </c>
      <c r="CQ139" s="190" t="n">
        <v>5.62762119217999</v>
      </c>
      <c r="CR139" s="190" t="n">
        <v>5.69735688019999</v>
      </c>
      <c r="CS139" s="190" t="n">
        <v>5.76709256821999</v>
      </c>
      <c r="CT139" s="190" t="n">
        <v>5.83682825623999</v>
      </c>
      <c r="CU139" s="190" t="n">
        <v>5.90656394425999</v>
      </c>
      <c r="CV139" s="190" t="n">
        <v>5.97629963227999</v>
      </c>
      <c r="CW139" s="190" t="n">
        <v>6.04603532029999</v>
      </c>
      <c r="CX139" s="190" t="n">
        <v>6.11577100831999</v>
      </c>
      <c r="CY139" s="190" t="n">
        <v>6.18550669633999</v>
      </c>
      <c r="CZ139" s="190" t="n">
        <v>6.25524238435999</v>
      </c>
      <c r="DA139" s="190" t="n">
        <v>6.32497807237999</v>
      </c>
      <c r="DB139" s="190" t="n">
        <v>6.39471376039999</v>
      </c>
      <c r="DC139" s="190" t="n">
        <v>6.46444944841999</v>
      </c>
      <c r="DD139" s="190" t="n">
        <v>6.53418513643999</v>
      </c>
      <c r="DE139" s="190" t="n">
        <v>6.60392082445999</v>
      </c>
      <c r="DF139" s="190" t="n">
        <v>6.67365651247999</v>
      </c>
      <c r="DG139" s="190" t="n">
        <v>6.74339220049999</v>
      </c>
      <c r="DH139" s="190" t="n">
        <v>6.81312788851999</v>
      </c>
      <c r="DI139" s="190" t="n">
        <v>6.88286357653999</v>
      </c>
      <c r="DJ139" s="190" t="n">
        <v>6.95259926455999</v>
      </c>
      <c r="DK139" s="190" t="n">
        <v>7.02233495257999</v>
      </c>
      <c r="DL139" s="190" t="n">
        <v>7.09207064059999</v>
      </c>
      <c r="DM139" s="190" t="n">
        <v>7.16180632861999</v>
      </c>
      <c r="DN139" s="190" t="n">
        <v>7.23154201663999</v>
      </c>
      <c r="DO139" s="190" t="n">
        <v>7.30127770465999</v>
      </c>
      <c r="DP139" s="190" t="n">
        <v>7.37101339267999</v>
      </c>
      <c r="DQ139" s="190" t="n">
        <v>7.44074908069999</v>
      </c>
      <c r="DR139" s="190" t="n">
        <v>7.51048476871999</v>
      </c>
      <c r="DS139" s="190" t="n">
        <v>7.58022045673999</v>
      </c>
      <c r="DT139" s="190" t="n">
        <v>7.64995614475999</v>
      </c>
      <c r="DU139" s="190" t="n">
        <v>7.71969183277999</v>
      </c>
      <c r="DV139" s="190" t="n">
        <v>7.78942752079998</v>
      </c>
      <c r="DW139" s="190" t="n">
        <v>7.85916320881998</v>
      </c>
      <c r="DX139" s="190" t="n">
        <v>7.92889889683998</v>
      </c>
      <c r="DY139" s="190" t="n">
        <v>7.99863458485998</v>
      </c>
      <c r="DZ139" s="190" t="n">
        <v>8.06837027287998</v>
      </c>
      <c r="EA139" s="190" t="n">
        <v>8.13810596089998</v>
      </c>
      <c r="EB139" s="190" t="n">
        <v>8.20784164891998</v>
      </c>
      <c r="EC139" s="190" t="n">
        <v>8.27757733693998</v>
      </c>
      <c r="ED139" s="190" t="n">
        <v>8.34731302495998</v>
      </c>
      <c r="EE139" s="190" t="n">
        <v>8.41704871297998</v>
      </c>
      <c r="EF139" s="190" t="n">
        <v>8.48678440099998</v>
      </c>
      <c r="EG139" s="190" t="n">
        <v>8.55652008901998</v>
      </c>
      <c r="EH139" s="190" t="n">
        <v>8.62625577703998</v>
      </c>
      <c r="EI139" s="190" t="n">
        <v>8.69599146505998</v>
      </c>
      <c r="EJ139" s="190" t="n">
        <v>8.76572715307998</v>
      </c>
      <c r="EK139" s="190" t="n">
        <v>8.83546284109998</v>
      </c>
      <c r="EL139" s="180" t="n">
        <v>8.90519852911998</v>
      </c>
      <c r="EM139" s="180" t="n">
        <v>8.97493421713998</v>
      </c>
      <c r="EN139" s="180" t="n">
        <v>9.04466990515998</v>
      </c>
      <c r="EO139" s="180" t="n">
        <v>9.11440559317998</v>
      </c>
      <c r="EP139" s="180" t="n">
        <v>9.18414128119998</v>
      </c>
      <c r="EQ139" s="180" t="n">
        <v>9.25387696921998</v>
      </c>
      <c r="ER139" s="180" t="n">
        <v>9.32361265723998</v>
      </c>
      <c r="ES139" s="180" t="n">
        <v>9.39334834525998</v>
      </c>
      <c r="ET139" s="180" t="n">
        <v>9.46308403327998</v>
      </c>
      <c r="EU139" s="180" t="n">
        <v>9.53281972129998</v>
      </c>
      <c r="EV139" s="180" t="n">
        <v>9.60255540931998</v>
      </c>
      <c r="EW139" s="180" t="n">
        <v>9.67229109733998</v>
      </c>
      <c r="EX139" s="180" t="n">
        <v>9.74202678535998</v>
      </c>
      <c r="EY139" s="180" t="n">
        <v>9.81176247337998</v>
      </c>
      <c r="EZ139" s="180" t="n">
        <v>9.88149816139998</v>
      </c>
      <c r="FA139" s="180" t="n">
        <v>9.95123384941998</v>
      </c>
      <c r="FB139" s="180" t="n">
        <v>10.02096953744</v>
      </c>
      <c r="FC139" s="180" t="n">
        <v>10.09070522546</v>
      </c>
      <c r="FD139" s="180" t="n">
        <v>10.16044091348</v>
      </c>
      <c r="FE139" s="180" t="n">
        <v>10.2301766015</v>
      </c>
      <c r="FF139" s="180" t="n">
        <v>10.29991228952</v>
      </c>
      <c r="FG139" s="180" t="n">
        <v>10.36964797754</v>
      </c>
      <c r="FH139" s="180" t="n">
        <v>10.43938366556</v>
      </c>
      <c r="FI139" s="180" t="n">
        <v>10.50911935358</v>
      </c>
      <c r="FJ139" s="180" t="n">
        <v>10.5788550416</v>
      </c>
      <c r="FK139" s="180" t="n">
        <v>10.64859072962</v>
      </c>
      <c r="FL139" s="180" t="n">
        <v>10.71832641764</v>
      </c>
      <c r="FM139" s="180" t="n">
        <v>10.78806210566</v>
      </c>
      <c r="FN139" s="180" t="n">
        <v>10.85779779368</v>
      </c>
      <c r="FO139" s="180" t="n">
        <v>10.9275334817</v>
      </c>
      <c r="FP139" s="180" t="n">
        <v>10.99726916972</v>
      </c>
      <c r="FQ139" s="180" t="n">
        <v>11.06700485774</v>
      </c>
      <c r="FR139" s="180" t="n">
        <v>11.13674054576</v>
      </c>
      <c r="FS139" s="180" t="n">
        <v>11.20647623378</v>
      </c>
      <c r="FT139" s="180" t="n">
        <v>11.2762119218</v>
      </c>
      <c r="FU139" s="180" t="n">
        <v>11.34594760982</v>
      </c>
      <c r="FV139" s="180" t="n">
        <v>11.41568329784</v>
      </c>
      <c r="FW139" s="180" t="n">
        <v>11.48541898586</v>
      </c>
      <c r="FX139" s="180" t="n">
        <v>11.55515467388</v>
      </c>
      <c r="FY139" s="180" t="n">
        <v>11.6248903619</v>
      </c>
      <c r="FZ139" s="180" t="n">
        <v>11.69462604992</v>
      </c>
      <c r="GA139" s="180" t="n">
        <v>11.76436173794</v>
      </c>
      <c r="GB139" s="180" t="n">
        <v>11.83409742596</v>
      </c>
      <c r="GC139" s="180" t="n">
        <v>11.90383311398</v>
      </c>
      <c r="GD139" s="180" t="n">
        <v>11.973568802</v>
      </c>
      <c r="GE139" s="180" t="n">
        <v>12.04330449002</v>
      </c>
      <c r="GF139" s="180" t="n">
        <v>12.11304017804</v>
      </c>
      <c r="GG139" s="180" t="n">
        <v>12.18277586606</v>
      </c>
      <c r="GH139" s="180" t="n">
        <v>12.25251155408</v>
      </c>
      <c r="GI139" s="180" t="n">
        <v>12.3222472421</v>
      </c>
      <c r="GJ139" s="180" t="n">
        <v>12.39198293012</v>
      </c>
      <c r="GK139" s="180" t="n">
        <v>12.46171861814</v>
      </c>
      <c r="GL139" s="180" t="n">
        <v>12.53145430616</v>
      </c>
      <c r="GM139" s="180" t="n">
        <v>12.60118999418</v>
      </c>
      <c r="GN139" s="180" t="n">
        <v>12.6709256822</v>
      </c>
      <c r="GO139" s="180" t="n">
        <v>12.74066137022</v>
      </c>
      <c r="GP139" s="180" t="n">
        <v>12.81039705824</v>
      </c>
      <c r="GQ139" s="180" t="n">
        <v>12.88013274626</v>
      </c>
      <c r="GR139" s="180" t="n">
        <v>12.94986843428</v>
      </c>
      <c r="GS139" s="180" t="n">
        <v>13.0196041223</v>
      </c>
      <c r="GT139" s="180" t="n">
        <v>13.08933981032</v>
      </c>
      <c r="GU139" s="180" t="n">
        <v>13.15907549834</v>
      </c>
      <c r="GV139" s="180" t="n">
        <v>13.22881118636</v>
      </c>
      <c r="GW139" s="180" t="n">
        <v>13.29854687438</v>
      </c>
      <c r="GX139" s="180" t="n">
        <v>13.3682825624</v>
      </c>
      <c r="GY139" s="180" t="n">
        <v>13.43801825042</v>
      </c>
      <c r="GZ139" s="180" t="n">
        <v>13.50775393844</v>
      </c>
      <c r="HA139" s="180" t="n">
        <v>13.57748962646</v>
      </c>
      <c r="HB139" s="180" t="n">
        <v>13.64722531448</v>
      </c>
      <c r="HC139" s="180" t="n">
        <v>13.7169610025</v>
      </c>
      <c r="HD139" s="180" t="n">
        <v>13.78669669052</v>
      </c>
      <c r="HE139" s="180" t="n">
        <v>13.85643237854</v>
      </c>
      <c r="HF139" s="180" t="n">
        <v>13.92616806656</v>
      </c>
      <c r="HG139" s="180" t="n">
        <v>13.99590375458</v>
      </c>
      <c r="HH139" s="180" t="n">
        <v>14.0656394426</v>
      </c>
      <c r="HI139" s="180" t="n">
        <v>14.13537513062</v>
      </c>
      <c r="HJ139" s="180" t="n">
        <v>14.20511081864</v>
      </c>
      <c r="HK139" s="180" t="n">
        <v>14.27484650666</v>
      </c>
      <c r="HL139" s="180" t="n">
        <v>14.34458219468</v>
      </c>
      <c r="HM139" s="180" t="n">
        <v>14.4143178827</v>
      </c>
      <c r="HN139" s="180" t="n">
        <v>14.48405357072</v>
      </c>
      <c r="HO139" s="180" t="n">
        <v>14.55378925874</v>
      </c>
      <c r="HP139" s="180" t="n">
        <v>14.62352494676</v>
      </c>
      <c r="HQ139" s="180" t="n">
        <v>14.69326063478</v>
      </c>
      <c r="HR139" s="180" t="n">
        <v>14.7629963228</v>
      </c>
      <c r="HS139" s="180" t="n">
        <v>14.83273201082</v>
      </c>
      <c r="HT139" s="180" t="n">
        <v>14.90246769884</v>
      </c>
      <c r="HU139" s="180" t="n">
        <v>14.97220338686</v>
      </c>
      <c r="HV139" s="180" t="n">
        <v>15.04193907488</v>
      </c>
      <c r="HW139" s="180" t="n">
        <v>15.1116747629</v>
      </c>
      <c r="HX139" s="180" t="n">
        <v>15.18141045092</v>
      </c>
      <c r="HY139" s="180" t="n">
        <v>15.25114613894</v>
      </c>
      <c r="HZ139" s="180" t="n">
        <v>15.32088182696</v>
      </c>
      <c r="IA139" s="180" t="n">
        <v>15.39061751498</v>
      </c>
      <c r="IB139" s="180" t="n">
        <v>15.460353203</v>
      </c>
      <c r="IC139" s="180" t="n">
        <v>15.53008889102</v>
      </c>
      <c r="ID139" s="180" t="n">
        <v>15.59982457904</v>
      </c>
      <c r="IE139" s="180" t="n">
        <v>15.66956026706</v>
      </c>
      <c r="IF139" s="180" t="n">
        <v>15.73929595508</v>
      </c>
      <c r="IG139" s="180" t="n">
        <v>15.8090316431</v>
      </c>
      <c r="IH139" s="180" t="n">
        <v>15.87876733112</v>
      </c>
      <c r="II139" s="180" t="n">
        <v>15.94850301914</v>
      </c>
      <c r="IJ139" s="180" t="n">
        <v>16.01823870716</v>
      </c>
      <c r="IK139" s="180" t="n">
        <v>16.08797439518</v>
      </c>
      <c r="IL139" s="180" t="n">
        <v>16.1577100832</v>
      </c>
      <c r="IM139" s="180" t="n">
        <v>16.22744577122</v>
      </c>
      <c r="IN139" s="180" t="n">
        <v>16.29718145924</v>
      </c>
      <c r="IO139" s="180" t="n">
        <v>16.36691714726</v>
      </c>
      <c r="IP139" s="180" t="n">
        <v>16.43665283528</v>
      </c>
      <c r="IQ139" s="180" t="n">
        <v>16.5063885233</v>
      </c>
      <c r="IR139" s="180" t="n">
        <v>16.57612421132</v>
      </c>
      <c r="IS139" s="180" t="n">
        <v>16.64585989934</v>
      </c>
      <c r="IT139" s="180" t="n">
        <v>16.71559558736</v>
      </c>
      <c r="IU139" s="180" t="n">
        <v>16.78533127538</v>
      </c>
      <c r="IV139" s="180" t="n">
        <v>16.8550669634</v>
      </c>
    </row>
    <row r="140" customFormat="false" ht="12.75" hidden="false" customHeight="false" outlineLevel="0" collapsed="false">
      <c r="A140" s="189" t="n">
        <v>40940</v>
      </c>
      <c r="B140" s="185" t="n">
        <v>-2.021005929375</v>
      </c>
      <c r="C140" s="185" t="n">
        <v>-1.9907047400625</v>
      </c>
      <c r="D140" s="185" t="n">
        <v>-1.96040355075</v>
      </c>
      <c r="E140" s="185" t="n">
        <v>-1.9301023614375</v>
      </c>
      <c r="F140" s="185" t="n">
        <v>-1.899801172125</v>
      </c>
      <c r="G140" s="185" t="n">
        <v>-1.8694999828125</v>
      </c>
      <c r="H140" s="185" t="n">
        <v>-1.8391987935</v>
      </c>
      <c r="I140" s="185" t="n">
        <v>-1.8088976041875</v>
      </c>
      <c r="J140" s="185" t="n">
        <v>-1.778596414875</v>
      </c>
      <c r="K140" s="185" t="n">
        <v>-1.7482952255625</v>
      </c>
      <c r="L140" s="185" t="n">
        <v>-1.71799403625</v>
      </c>
      <c r="M140" s="185" t="n">
        <v>-1.6876928469375</v>
      </c>
      <c r="N140" s="185" t="n">
        <v>-1.657391657625</v>
      </c>
      <c r="O140" s="185" t="n">
        <v>-1.6270904683125</v>
      </c>
      <c r="P140" s="185" t="n">
        <v>-1.596789279</v>
      </c>
      <c r="Q140" s="185" t="n">
        <v>-1.5664880896875</v>
      </c>
      <c r="R140" s="185" t="n">
        <v>-1.536186900375</v>
      </c>
      <c r="S140" s="185" t="n">
        <v>-1.5058857110625</v>
      </c>
      <c r="T140" s="185" t="n">
        <v>-1.47558452175</v>
      </c>
      <c r="U140" s="185" t="n">
        <v>-1.4452833324375</v>
      </c>
      <c r="V140" s="186" t="n">
        <v>-1.414982143125</v>
      </c>
      <c r="W140" s="185" t="n">
        <v>-1.3846809538125</v>
      </c>
      <c r="X140" s="186" t="n">
        <v>-1.3543797645</v>
      </c>
      <c r="Y140" s="185" t="n">
        <v>-1.3240785751875</v>
      </c>
      <c r="Z140" s="186" t="n">
        <v>-1.293777385875</v>
      </c>
      <c r="AA140" s="185" t="n">
        <v>-1.2634761965625</v>
      </c>
      <c r="AB140" s="187" t="n">
        <v>-1.23317500725</v>
      </c>
      <c r="AC140" s="185" t="n">
        <v>-1.2028738179375</v>
      </c>
      <c r="AD140" s="187" t="n">
        <v>-1.172572628625</v>
      </c>
      <c r="AE140" s="185" t="n">
        <v>-1.1422714393125</v>
      </c>
      <c r="AF140" s="185" t="n">
        <v>-1.11197025</v>
      </c>
      <c r="AG140" s="190" t="n">
        <v>-1.083235125</v>
      </c>
      <c r="AH140" s="190" t="n">
        <v>-1.0545</v>
      </c>
      <c r="AI140" s="190" t="n">
        <v>-1.02725</v>
      </c>
      <c r="AJ140" s="190" t="n">
        <v>-1</v>
      </c>
      <c r="AK140" s="190" t="n">
        <v>-0.8</v>
      </c>
      <c r="AL140" s="190" t="n">
        <v>-0.6</v>
      </c>
      <c r="AM140" s="190" t="n">
        <v>-0.4</v>
      </c>
      <c r="AN140" s="190" t="n">
        <v>-0.2</v>
      </c>
      <c r="AO140" s="190" t="n">
        <v>0</v>
      </c>
      <c r="AP140" s="190" t="n">
        <v>0.2</v>
      </c>
      <c r="AQ140" s="190" t="n">
        <v>0.4</v>
      </c>
      <c r="AR140" s="190" t="n">
        <v>0.6</v>
      </c>
      <c r="AS140" s="190" t="n">
        <v>0.8</v>
      </c>
      <c r="AT140" s="190" t="n">
        <v>1</v>
      </c>
      <c r="AU140" s="190" t="n">
        <v>1.2</v>
      </c>
      <c r="AV140" s="190" t="n">
        <v>1.4</v>
      </c>
      <c r="AW140" s="190" t="n">
        <v>1.58</v>
      </c>
      <c r="AX140" s="190" t="n">
        <v>1.76</v>
      </c>
      <c r="AY140" s="190" t="n">
        <v>1.922</v>
      </c>
      <c r="AZ140" s="190" t="n">
        <v>2.084</v>
      </c>
      <c r="BA140" s="190" t="n">
        <v>2.2298</v>
      </c>
      <c r="BB140" s="190" t="n">
        <v>2.3756</v>
      </c>
      <c r="BC140" s="190" t="n">
        <v>2.50682</v>
      </c>
      <c r="BD140" s="190" t="n">
        <v>2.63804</v>
      </c>
      <c r="BE140" s="190" t="n">
        <v>2.756138</v>
      </c>
      <c r="BF140" s="190" t="n">
        <v>2.874236</v>
      </c>
      <c r="BG140" s="190" t="n">
        <v>2.9805242</v>
      </c>
      <c r="BH140" s="190" t="n">
        <v>3.0868124</v>
      </c>
      <c r="BI140" s="190" t="n">
        <v>3.18247178</v>
      </c>
      <c r="BJ140" s="190" t="n">
        <v>3.27813116</v>
      </c>
      <c r="BK140" s="190" t="n">
        <v>3.364224602</v>
      </c>
      <c r="BL140" s="190" t="n">
        <v>3.450318044</v>
      </c>
      <c r="BM140" s="190" t="n">
        <v>3.5278021418</v>
      </c>
      <c r="BN140" s="190" t="n">
        <v>3.6052862396</v>
      </c>
      <c r="BO140" s="190" t="n">
        <v>3.67502192762</v>
      </c>
      <c r="BP140" s="190" t="n">
        <v>3.74475761564</v>
      </c>
      <c r="BQ140" s="190" t="n">
        <v>3.81449330366</v>
      </c>
      <c r="BR140" s="190" t="n">
        <v>3.88422899168</v>
      </c>
      <c r="BS140" s="190" t="n">
        <v>3.9539646797</v>
      </c>
      <c r="BT140" s="190" t="n">
        <v>4.02370036772</v>
      </c>
      <c r="BU140" s="190" t="n">
        <v>4.09343605574</v>
      </c>
      <c r="BV140" s="190" t="n">
        <v>4.16317174376</v>
      </c>
      <c r="BW140" s="190" t="n">
        <v>4.23290743178</v>
      </c>
      <c r="BX140" s="190" t="n">
        <v>4.3026431198</v>
      </c>
      <c r="BY140" s="190" t="n">
        <v>4.37237880782</v>
      </c>
      <c r="BZ140" s="190" t="n">
        <v>4.44211449584</v>
      </c>
      <c r="CA140" s="190" t="n">
        <v>4.51185018386</v>
      </c>
      <c r="CB140" s="190" t="n">
        <v>4.58158587188</v>
      </c>
      <c r="CC140" s="190" t="n">
        <v>4.6513215599</v>
      </c>
      <c r="CD140" s="190" t="n">
        <v>4.72105724792</v>
      </c>
      <c r="CE140" s="190" t="n">
        <v>4.79079293594</v>
      </c>
      <c r="CF140" s="190" t="n">
        <v>4.86052862396</v>
      </c>
      <c r="CG140" s="190" t="n">
        <v>4.93026431198</v>
      </c>
      <c r="CH140" s="190" t="n">
        <v>5</v>
      </c>
      <c r="CI140" s="190" t="n">
        <v>5.06973568801999</v>
      </c>
      <c r="CJ140" s="190" t="n">
        <v>5.13947137603999</v>
      </c>
      <c r="CK140" s="190" t="n">
        <v>5.20920706405999</v>
      </c>
      <c r="CL140" s="190" t="n">
        <v>5.27894275207999</v>
      </c>
      <c r="CM140" s="190" t="n">
        <v>5.34867844009999</v>
      </c>
      <c r="CN140" s="190" t="n">
        <v>5.41841412811999</v>
      </c>
      <c r="CO140" s="190" t="n">
        <v>5.48814981613999</v>
      </c>
      <c r="CP140" s="190" t="n">
        <v>5.55788550415999</v>
      </c>
      <c r="CQ140" s="190" t="n">
        <v>5.62762119217999</v>
      </c>
      <c r="CR140" s="190" t="n">
        <v>5.69735688019999</v>
      </c>
      <c r="CS140" s="190" t="n">
        <v>5.76709256821999</v>
      </c>
      <c r="CT140" s="190" t="n">
        <v>5.83682825623999</v>
      </c>
      <c r="CU140" s="190" t="n">
        <v>5.90656394425999</v>
      </c>
      <c r="CV140" s="190" t="n">
        <v>5.97629963227999</v>
      </c>
      <c r="CW140" s="190" t="n">
        <v>6.04603532029999</v>
      </c>
      <c r="CX140" s="190" t="n">
        <v>6.11577100831999</v>
      </c>
      <c r="CY140" s="190" t="n">
        <v>6.18550669633999</v>
      </c>
      <c r="CZ140" s="190" t="n">
        <v>6.25524238435999</v>
      </c>
      <c r="DA140" s="190" t="n">
        <v>6.32497807237999</v>
      </c>
      <c r="DB140" s="190" t="n">
        <v>6.39471376039999</v>
      </c>
      <c r="DC140" s="190" t="n">
        <v>6.46444944841999</v>
      </c>
      <c r="DD140" s="190" t="n">
        <v>6.53418513643999</v>
      </c>
      <c r="DE140" s="190" t="n">
        <v>6.60392082445999</v>
      </c>
      <c r="DF140" s="190" t="n">
        <v>6.67365651247999</v>
      </c>
      <c r="DG140" s="190" t="n">
        <v>6.74339220049999</v>
      </c>
      <c r="DH140" s="190" t="n">
        <v>6.81312788851999</v>
      </c>
      <c r="DI140" s="190" t="n">
        <v>6.88286357653999</v>
      </c>
      <c r="DJ140" s="190" t="n">
        <v>6.95259926455999</v>
      </c>
      <c r="DK140" s="190" t="n">
        <v>7.02233495257999</v>
      </c>
      <c r="DL140" s="190" t="n">
        <v>7.09207064059999</v>
      </c>
      <c r="DM140" s="190" t="n">
        <v>7.16180632861999</v>
      </c>
      <c r="DN140" s="190" t="n">
        <v>7.23154201663999</v>
      </c>
      <c r="DO140" s="190" t="n">
        <v>7.30127770465999</v>
      </c>
      <c r="DP140" s="190" t="n">
        <v>7.37101339267999</v>
      </c>
      <c r="DQ140" s="190" t="n">
        <v>7.44074908069999</v>
      </c>
      <c r="DR140" s="190" t="n">
        <v>7.51048476871999</v>
      </c>
      <c r="DS140" s="190" t="n">
        <v>7.58022045673999</v>
      </c>
      <c r="DT140" s="190" t="n">
        <v>7.64995614475999</v>
      </c>
      <c r="DU140" s="190" t="n">
        <v>7.71969183277999</v>
      </c>
      <c r="DV140" s="190" t="n">
        <v>7.78942752079998</v>
      </c>
      <c r="DW140" s="190" t="n">
        <v>7.85916320881998</v>
      </c>
      <c r="DX140" s="190" t="n">
        <v>7.92889889683998</v>
      </c>
      <c r="DY140" s="190" t="n">
        <v>7.99863458485998</v>
      </c>
      <c r="DZ140" s="190" t="n">
        <v>8.06837027287998</v>
      </c>
      <c r="EA140" s="190" t="n">
        <v>8.13810596089998</v>
      </c>
      <c r="EB140" s="190" t="n">
        <v>8.20784164891998</v>
      </c>
      <c r="EC140" s="190" t="n">
        <v>8.27757733693998</v>
      </c>
      <c r="ED140" s="190" t="n">
        <v>8.34731302495998</v>
      </c>
      <c r="EE140" s="190" t="n">
        <v>8.41704871297998</v>
      </c>
      <c r="EF140" s="190" t="n">
        <v>8.48678440099998</v>
      </c>
      <c r="EG140" s="190" t="n">
        <v>8.55652008901998</v>
      </c>
      <c r="EH140" s="190" t="n">
        <v>8.62625577703998</v>
      </c>
      <c r="EI140" s="190" t="n">
        <v>8.69599146505998</v>
      </c>
      <c r="EJ140" s="190" t="n">
        <v>8.76572715307998</v>
      </c>
      <c r="EK140" s="190" t="n">
        <v>8.83546284109998</v>
      </c>
      <c r="EL140" s="180" t="n">
        <v>8.90519852911998</v>
      </c>
      <c r="EM140" s="180" t="n">
        <v>8.97493421713998</v>
      </c>
      <c r="EN140" s="180" t="n">
        <v>9.04466990515998</v>
      </c>
      <c r="EO140" s="180" t="n">
        <v>9.11440559317998</v>
      </c>
      <c r="EP140" s="180" t="n">
        <v>9.18414128119998</v>
      </c>
      <c r="EQ140" s="180" t="n">
        <v>9.25387696921998</v>
      </c>
      <c r="ER140" s="180" t="n">
        <v>9.32361265723998</v>
      </c>
      <c r="ES140" s="180" t="n">
        <v>9.39334834525998</v>
      </c>
      <c r="ET140" s="180" t="n">
        <v>9.46308403327998</v>
      </c>
      <c r="EU140" s="180" t="n">
        <v>9.53281972129998</v>
      </c>
      <c r="EV140" s="180" t="n">
        <v>9.60255540931998</v>
      </c>
      <c r="EW140" s="180" t="n">
        <v>9.67229109733998</v>
      </c>
      <c r="EX140" s="180" t="n">
        <v>9.74202678535998</v>
      </c>
      <c r="EY140" s="180" t="n">
        <v>9.81176247337998</v>
      </c>
      <c r="EZ140" s="180" t="n">
        <v>9.88149816139998</v>
      </c>
      <c r="FA140" s="180" t="n">
        <v>9.95123384941998</v>
      </c>
      <c r="FB140" s="180" t="n">
        <v>10.02096953744</v>
      </c>
      <c r="FC140" s="180" t="n">
        <v>10.09070522546</v>
      </c>
      <c r="FD140" s="180" t="n">
        <v>10.16044091348</v>
      </c>
      <c r="FE140" s="180" t="n">
        <v>10.2301766015</v>
      </c>
      <c r="FF140" s="180" t="n">
        <v>10.29991228952</v>
      </c>
      <c r="FG140" s="180" t="n">
        <v>10.36964797754</v>
      </c>
      <c r="FH140" s="180" t="n">
        <v>10.43938366556</v>
      </c>
      <c r="FI140" s="180" t="n">
        <v>10.50911935358</v>
      </c>
      <c r="FJ140" s="180" t="n">
        <v>10.5788550416</v>
      </c>
      <c r="FK140" s="180" t="n">
        <v>10.64859072962</v>
      </c>
      <c r="FL140" s="180" t="n">
        <v>10.71832641764</v>
      </c>
      <c r="FM140" s="180" t="n">
        <v>10.78806210566</v>
      </c>
      <c r="FN140" s="180" t="n">
        <v>10.85779779368</v>
      </c>
      <c r="FO140" s="180" t="n">
        <v>10.9275334817</v>
      </c>
      <c r="FP140" s="180" t="n">
        <v>10.99726916972</v>
      </c>
      <c r="FQ140" s="180" t="n">
        <v>11.06700485774</v>
      </c>
      <c r="FR140" s="180" t="n">
        <v>11.13674054576</v>
      </c>
      <c r="FS140" s="180" t="n">
        <v>11.20647623378</v>
      </c>
      <c r="FT140" s="180" t="n">
        <v>11.2762119218</v>
      </c>
      <c r="FU140" s="180" t="n">
        <v>11.34594760982</v>
      </c>
      <c r="FV140" s="180" t="n">
        <v>11.41568329784</v>
      </c>
      <c r="FW140" s="180" t="n">
        <v>11.48541898586</v>
      </c>
      <c r="FX140" s="180" t="n">
        <v>11.55515467388</v>
      </c>
      <c r="FY140" s="180" t="n">
        <v>11.6248903619</v>
      </c>
      <c r="FZ140" s="180" t="n">
        <v>11.69462604992</v>
      </c>
      <c r="GA140" s="180" t="n">
        <v>11.76436173794</v>
      </c>
      <c r="GB140" s="180" t="n">
        <v>11.83409742596</v>
      </c>
      <c r="GC140" s="180" t="n">
        <v>11.90383311398</v>
      </c>
      <c r="GD140" s="180" t="n">
        <v>11.973568802</v>
      </c>
      <c r="GE140" s="180" t="n">
        <v>12.04330449002</v>
      </c>
      <c r="GF140" s="180" t="n">
        <v>12.11304017804</v>
      </c>
      <c r="GG140" s="180" t="n">
        <v>12.18277586606</v>
      </c>
      <c r="GH140" s="180" t="n">
        <v>12.25251155408</v>
      </c>
      <c r="GI140" s="180" t="n">
        <v>12.3222472421</v>
      </c>
      <c r="GJ140" s="180" t="n">
        <v>12.39198293012</v>
      </c>
      <c r="GK140" s="180" t="n">
        <v>12.46171861814</v>
      </c>
      <c r="GL140" s="180" t="n">
        <v>12.53145430616</v>
      </c>
      <c r="GM140" s="180" t="n">
        <v>12.60118999418</v>
      </c>
      <c r="GN140" s="180" t="n">
        <v>12.6709256822</v>
      </c>
      <c r="GO140" s="180" t="n">
        <v>12.74066137022</v>
      </c>
      <c r="GP140" s="180" t="n">
        <v>12.81039705824</v>
      </c>
      <c r="GQ140" s="180" t="n">
        <v>12.88013274626</v>
      </c>
      <c r="GR140" s="180" t="n">
        <v>12.94986843428</v>
      </c>
      <c r="GS140" s="180" t="n">
        <v>13.0196041223</v>
      </c>
      <c r="GT140" s="180" t="n">
        <v>13.08933981032</v>
      </c>
      <c r="GU140" s="180" t="n">
        <v>13.15907549834</v>
      </c>
      <c r="GV140" s="180" t="n">
        <v>13.22881118636</v>
      </c>
      <c r="GW140" s="180" t="n">
        <v>13.29854687438</v>
      </c>
      <c r="GX140" s="180" t="n">
        <v>13.3682825624</v>
      </c>
      <c r="GY140" s="180" t="n">
        <v>13.43801825042</v>
      </c>
      <c r="GZ140" s="180" t="n">
        <v>13.50775393844</v>
      </c>
      <c r="HA140" s="180" t="n">
        <v>13.57748962646</v>
      </c>
      <c r="HB140" s="180" t="n">
        <v>13.64722531448</v>
      </c>
      <c r="HC140" s="180" t="n">
        <v>13.7169610025</v>
      </c>
      <c r="HD140" s="180" t="n">
        <v>13.78669669052</v>
      </c>
      <c r="HE140" s="180" t="n">
        <v>13.85643237854</v>
      </c>
      <c r="HF140" s="180" t="n">
        <v>13.92616806656</v>
      </c>
      <c r="HG140" s="180" t="n">
        <v>13.99590375458</v>
      </c>
      <c r="HH140" s="180" t="n">
        <v>14.0656394426</v>
      </c>
      <c r="HI140" s="180" t="n">
        <v>14.13537513062</v>
      </c>
      <c r="HJ140" s="180" t="n">
        <v>14.20511081864</v>
      </c>
      <c r="HK140" s="180" t="n">
        <v>14.27484650666</v>
      </c>
      <c r="HL140" s="180" t="n">
        <v>14.34458219468</v>
      </c>
      <c r="HM140" s="180" t="n">
        <v>14.4143178827</v>
      </c>
      <c r="HN140" s="180" t="n">
        <v>14.48405357072</v>
      </c>
      <c r="HO140" s="180" t="n">
        <v>14.55378925874</v>
      </c>
      <c r="HP140" s="180" t="n">
        <v>14.62352494676</v>
      </c>
      <c r="HQ140" s="180" t="n">
        <v>14.69326063478</v>
      </c>
      <c r="HR140" s="180" t="n">
        <v>14.7629963228</v>
      </c>
      <c r="HS140" s="180" t="n">
        <v>14.83273201082</v>
      </c>
      <c r="HT140" s="180" t="n">
        <v>14.90246769884</v>
      </c>
      <c r="HU140" s="180" t="n">
        <v>14.97220338686</v>
      </c>
      <c r="HV140" s="180" t="n">
        <v>15.04193907488</v>
      </c>
      <c r="HW140" s="180" t="n">
        <v>15.1116747629</v>
      </c>
      <c r="HX140" s="180" t="n">
        <v>15.18141045092</v>
      </c>
      <c r="HY140" s="180" t="n">
        <v>15.25114613894</v>
      </c>
      <c r="HZ140" s="180" t="n">
        <v>15.32088182696</v>
      </c>
      <c r="IA140" s="180" t="n">
        <v>15.39061751498</v>
      </c>
      <c r="IB140" s="180" t="n">
        <v>15.460353203</v>
      </c>
      <c r="IC140" s="180" t="n">
        <v>15.53008889102</v>
      </c>
      <c r="ID140" s="180" t="n">
        <v>15.59982457904</v>
      </c>
      <c r="IE140" s="180" t="n">
        <v>15.66956026706</v>
      </c>
      <c r="IF140" s="180" t="n">
        <v>15.73929595508</v>
      </c>
      <c r="IG140" s="180" t="n">
        <v>15.8090316431</v>
      </c>
      <c r="IH140" s="180" t="n">
        <v>15.87876733112</v>
      </c>
      <c r="II140" s="180" t="n">
        <v>15.94850301914</v>
      </c>
      <c r="IJ140" s="180" t="n">
        <v>16.01823870716</v>
      </c>
      <c r="IK140" s="180" t="n">
        <v>16.08797439518</v>
      </c>
      <c r="IL140" s="180" t="n">
        <v>16.1577100832</v>
      </c>
      <c r="IM140" s="180" t="n">
        <v>16.22744577122</v>
      </c>
      <c r="IN140" s="180" t="n">
        <v>16.29718145924</v>
      </c>
      <c r="IO140" s="180" t="n">
        <v>16.36691714726</v>
      </c>
      <c r="IP140" s="180" t="n">
        <v>16.43665283528</v>
      </c>
      <c r="IQ140" s="180" t="n">
        <v>16.5063885233</v>
      </c>
      <c r="IR140" s="180" t="n">
        <v>16.57612421132</v>
      </c>
      <c r="IS140" s="180" t="n">
        <v>16.64585989934</v>
      </c>
      <c r="IT140" s="180" t="n">
        <v>16.71559558736</v>
      </c>
      <c r="IU140" s="180" t="n">
        <v>16.78533127538</v>
      </c>
      <c r="IV140" s="180" t="n">
        <v>16.8550669634</v>
      </c>
    </row>
    <row r="141" customFormat="false" ht="12.75" hidden="false" customHeight="false" outlineLevel="0" collapsed="false">
      <c r="A141" s="189" t="n">
        <v>40969</v>
      </c>
      <c r="B141" s="185" t="n">
        <v>-2.021005929375</v>
      </c>
      <c r="C141" s="185" t="n">
        <v>-1.9907047400625</v>
      </c>
      <c r="D141" s="185" t="n">
        <v>-1.96040355075</v>
      </c>
      <c r="E141" s="185" t="n">
        <v>-1.9301023614375</v>
      </c>
      <c r="F141" s="185" t="n">
        <v>-1.899801172125</v>
      </c>
      <c r="G141" s="185" t="n">
        <v>-1.8694999828125</v>
      </c>
      <c r="H141" s="185" t="n">
        <v>-1.8391987935</v>
      </c>
      <c r="I141" s="185" t="n">
        <v>-1.8088976041875</v>
      </c>
      <c r="J141" s="185" t="n">
        <v>-1.778596414875</v>
      </c>
      <c r="K141" s="185" t="n">
        <v>-1.7482952255625</v>
      </c>
      <c r="L141" s="185" t="n">
        <v>-1.71799403625</v>
      </c>
      <c r="M141" s="185" t="n">
        <v>-1.6876928469375</v>
      </c>
      <c r="N141" s="185" t="n">
        <v>-1.657391657625</v>
      </c>
      <c r="O141" s="185" t="n">
        <v>-1.6270904683125</v>
      </c>
      <c r="P141" s="185" t="n">
        <v>-1.596789279</v>
      </c>
      <c r="Q141" s="185" t="n">
        <v>-1.5664880896875</v>
      </c>
      <c r="R141" s="185" t="n">
        <v>-1.536186900375</v>
      </c>
      <c r="S141" s="185" t="n">
        <v>-1.5058857110625</v>
      </c>
      <c r="T141" s="185" t="n">
        <v>-1.47558452175</v>
      </c>
      <c r="U141" s="185" t="n">
        <v>-1.4452833324375</v>
      </c>
      <c r="V141" s="186" t="n">
        <v>-1.414982143125</v>
      </c>
      <c r="W141" s="185" t="n">
        <v>-1.3846809538125</v>
      </c>
      <c r="X141" s="186" t="n">
        <v>-1.3543797645</v>
      </c>
      <c r="Y141" s="185" t="n">
        <v>-1.3240785751875</v>
      </c>
      <c r="Z141" s="186" t="n">
        <v>-1.293777385875</v>
      </c>
      <c r="AA141" s="185" t="n">
        <v>-1.2634761965625</v>
      </c>
      <c r="AB141" s="187" t="n">
        <v>-1.23317500725</v>
      </c>
      <c r="AC141" s="185" t="n">
        <v>-1.2028738179375</v>
      </c>
      <c r="AD141" s="187" t="n">
        <v>-1.172572628625</v>
      </c>
      <c r="AE141" s="185" t="n">
        <v>-1.1422714393125</v>
      </c>
      <c r="AF141" s="185" t="n">
        <v>-1.11197025</v>
      </c>
      <c r="AG141" s="190" t="n">
        <v>-1.083235125</v>
      </c>
      <c r="AH141" s="190" t="n">
        <v>-1.0545</v>
      </c>
      <c r="AI141" s="190" t="n">
        <v>-1.02725</v>
      </c>
      <c r="AJ141" s="190" t="n">
        <v>-1</v>
      </c>
      <c r="AK141" s="190" t="n">
        <v>-0.8</v>
      </c>
      <c r="AL141" s="190" t="n">
        <v>-0.6</v>
      </c>
      <c r="AM141" s="190" t="n">
        <v>-0.4</v>
      </c>
      <c r="AN141" s="190" t="n">
        <v>-0.2</v>
      </c>
      <c r="AO141" s="190" t="n">
        <v>0</v>
      </c>
      <c r="AP141" s="190" t="n">
        <v>0.2</v>
      </c>
      <c r="AQ141" s="190" t="n">
        <v>0.4</v>
      </c>
      <c r="AR141" s="190" t="n">
        <v>0.6</v>
      </c>
      <c r="AS141" s="190" t="n">
        <v>0.8</v>
      </c>
      <c r="AT141" s="190" t="n">
        <v>1</v>
      </c>
      <c r="AU141" s="190" t="n">
        <v>1.2</v>
      </c>
      <c r="AV141" s="190" t="n">
        <v>1.4</v>
      </c>
      <c r="AW141" s="190" t="n">
        <v>1.58</v>
      </c>
      <c r="AX141" s="190" t="n">
        <v>1.76</v>
      </c>
      <c r="AY141" s="190" t="n">
        <v>1.922</v>
      </c>
      <c r="AZ141" s="190" t="n">
        <v>2.084</v>
      </c>
      <c r="BA141" s="190" t="n">
        <v>2.2298</v>
      </c>
      <c r="BB141" s="190" t="n">
        <v>2.3756</v>
      </c>
      <c r="BC141" s="190" t="n">
        <v>2.50682</v>
      </c>
      <c r="BD141" s="190" t="n">
        <v>2.63804</v>
      </c>
      <c r="BE141" s="190" t="n">
        <v>2.756138</v>
      </c>
      <c r="BF141" s="190" t="n">
        <v>2.874236</v>
      </c>
      <c r="BG141" s="190" t="n">
        <v>2.9805242</v>
      </c>
      <c r="BH141" s="190" t="n">
        <v>3.0868124</v>
      </c>
      <c r="BI141" s="190" t="n">
        <v>3.18247178</v>
      </c>
      <c r="BJ141" s="190" t="n">
        <v>3.27813116</v>
      </c>
      <c r="BK141" s="190" t="n">
        <v>3.364224602</v>
      </c>
      <c r="BL141" s="190" t="n">
        <v>3.450318044</v>
      </c>
      <c r="BM141" s="190" t="n">
        <v>3.5278021418</v>
      </c>
      <c r="BN141" s="190" t="n">
        <v>3.6052862396</v>
      </c>
      <c r="BO141" s="190" t="n">
        <v>3.67502192762</v>
      </c>
      <c r="BP141" s="190" t="n">
        <v>3.74475761564</v>
      </c>
      <c r="BQ141" s="190" t="n">
        <v>3.81449330366</v>
      </c>
      <c r="BR141" s="190" t="n">
        <v>3.88422899168</v>
      </c>
      <c r="BS141" s="190" t="n">
        <v>3.9539646797</v>
      </c>
      <c r="BT141" s="190" t="n">
        <v>4.02370036772</v>
      </c>
      <c r="BU141" s="190" t="n">
        <v>4.09343605574</v>
      </c>
      <c r="BV141" s="190" t="n">
        <v>4.16317174376</v>
      </c>
      <c r="BW141" s="190" t="n">
        <v>4.23290743178</v>
      </c>
      <c r="BX141" s="190" t="n">
        <v>4.3026431198</v>
      </c>
      <c r="BY141" s="190" t="n">
        <v>4.37237880782</v>
      </c>
      <c r="BZ141" s="190" t="n">
        <v>4.44211449584</v>
      </c>
      <c r="CA141" s="190" t="n">
        <v>4.51185018386</v>
      </c>
      <c r="CB141" s="190" t="n">
        <v>4.58158587188</v>
      </c>
      <c r="CC141" s="190" t="n">
        <v>4.6513215599</v>
      </c>
      <c r="CD141" s="190" t="n">
        <v>4.72105724792</v>
      </c>
      <c r="CE141" s="190" t="n">
        <v>4.79079293594</v>
      </c>
      <c r="CF141" s="190" t="n">
        <v>4.86052862396</v>
      </c>
      <c r="CG141" s="190" t="n">
        <v>4.93026431198</v>
      </c>
      <c r="CH141" s="190" t="n">
        <v>5</v>
      </c>
      <c r="CI141" s="190" t="n">
        <v>5.06973568801999</v>
      </c>
      <c r="CJ141" s="190" t="n">
        <v>5.13947137603999</v>
      </c>
      <c r="CK141" s="190" t="n">
        <v>5.20920706405999</v>
      </c>
      <c r="CL141" s="190" t="n">
        <v>5.27894275207999</v>
      </c>
      <c r="CM141" s="190" t="n">
        <v>5.34867844009999</v>
      </c>
      <c r="CN141" s="190" t="n">
        <v>5.41841412811999</v>
      </c>
      <c r="CO141" s="190" t="n">
        <v>5.48814981613999</v>
      </c>
      <c r="CP141" s="190" t="n">
        <v>5.55788550415999</v>
      </c>
      <c r="CQ141" s="190" t="n">
        <v>5.62762119217999</v>
      </c>
      <c r="CR141" s="190" t="n">
        <v>5.69735688019999</v>
      </c>
      <c r="CS141" s="190" t="n">
        <v>5.76709256821999</v>
      </c>
      <c r="CT141" s="190" t="n">
        <v>5.83682825623999</v>
      </c>
      <c r="CU141" s="190" t="n">
        <v>5.90656394425999</v>
      </c>
      <c r="CV141" s="190" t="n">
        <v>5.97629963227999</v>
      </c>
      <c r="CW141" s="190" t="n">
        <v>6.04603532029999</v>
      </c>
      <c r="CX141" s="190" t="n">
        <v>6.11577100831999</v>
      </c>
      <c r="CY141" s="190" t="n">
        <v>6.18550669633999</v>
      </c>
      <c r="CZ141" s="190" t="n">
        <v>6.25524238435999</v>
      </c>
      <c r="DA141" s="190" t="n">
        <v>6.32497807237999</v>
      </c>
      <c r="DB141" s="190" t="n">
        <v>6.39471376039999</v>
      </c>
      <c r="DC141" s="190" t="n">
        <v>6.46444944841999</v>
      </c>
      <c r="DD141" s="190" t="n">
        <v>6.53418513643999</v>
      </c>
      <c r="DE141" s="190" t="n">
        <v>6.60392082445999</v>
      </c>
      <c r="DF141" s="190" t="n">
        <v>6.67365651247999</v>
      </c>
      <c r="DG141" s="190" t="n">
        <v>6.74339220049999</v>
      </c>
      <c r="DH141" s="190" t="n">
        <v>6.81312788851999</v>
      </c>
      <c r="DI141" s="190" t="n">
        <v>6.88286357653999</v>
      </c>
      <c r="DJ141" s="190" t="n">
        <v>6.95259926455999</v>
      </c>
      <c r="DK141" s="190" t="n">
        <v>7.02233495257999</v>
      </c>
      <c r="DL141" s="190" t="n">
        <v>7.09207064059999</v>
      </c>
      <c r="DM141" s="190" t="n">
        <v>7.16180632861999</v>
      </c>
      <c r="DN141" s="190" t="n">
        <v>7.23154201663999</v>
      </c>
      <c r="DO141" s="190" t="n">
        <v>7.30127770465999</v>
      </c>
      <c r="DP141" s="190" t="n">
        <v>7.37101339267999</v>
      </c>
      <c r="DQ141" s="190" t="n">
        <v>7.44074908069999</v>
      </c>
      <c r="DR141" s="190" t="n">
        <v>7.51048476871999</v>
      </c>
      <c r="DS141" s="190" t="n">
        <v>7.58022045673999</v>
      </c>
      <c r="DT141" s="190" t="n">
        <v>7.64995614475999</v>
      </c>
      <c r="DU141" s="190" t="n">
        <v>7.71969183277999</v>
      </c>
      <c r="DV141" s="190" t="n">
        <v>7.78942752079998</v>
      </c>
      <c r="DW141" s="190" t="n">
        <v>7.85916320881998</v>
      </c>
      <c r="DX141" s="190" t="n">
        <v>7.92889889683998</v>
      </c>
      <c r="DY141" s="190" t="n">
        <v>7.99863458485998</v>
      </c>
      <c r="DZ141" s="190" t="n">
        <v>8.06837027287998</v>
      </c>
      <c r="EA141" s="190" t="n">
        <v>8.13810596089998</v>
      </c>
      <c r="EB141" s="190" t="n">
        <v>8.20784164891998</v>
      </c>
      <c r="EC141" s="190" t="n">
        <v>8.27757733693998</v>
      </c>
      <c r="ED141" s="190" t="n">
        <v>8.34731302495998</v>
      </c>
      <c r="EE141" s="190" t="n">
        <v>8.41704871297998</v>
      </c>
      <c r="EF141" s="190" t="n">
        <v>8.48678440099998</v>
      </c>
      <c r="EG141" s="190" t="n">
        <v>8.55652008901998</v>
      </c>
      <c r="EH141" s="190" t="n">
        <v>8.62625577703998</v>
      </c>
      <c r="EI141" s="190" t="n">
        <v>8.69599146505998</v>
      </c>
      <c r="EJ141" s="190" t="n">
        <v>8.76572715307998</v>
      </c>
      <c r="EK141" s="190" t="n">
        <v>8.83546284109998</v>
      </c>
      <c r="EL141" s="180" t="n">
        <v>8.90519852911998</v>
      </c>
      <c r="EM141" s="180" t="n">
        <v>8.97493421713998</v>
      </c>
      <c r="EN141" s="180" t="n">
        <v>9.04466990515998</v>
      </c>
      <c r="EO141" s="180" t="n">
        <v>9.11440559317998</v>
      </c>
      <c r="EP141" s="180" t="n">
        <v>9.18414128119998</v>
      </c>
      <c r="EQ141" s="180" t="n">
        <v>9.25387696921998</v>
      </c>
      <c r="ER141" s="180" t="n">
        <v>9.32361265723998</v>
      </c>
      <c r="ES141" s="180" t="n">
        <v>9.39334834525998</v>
      </c>
      <c r="ET141" s="180" t="n">
        <v>9.46308403327998</v>
      </c>
      <c r="EU141" s="180" t="n">
        <v>9.53281972129998</v>
      </c>
      <c r="EV141" s="180" t="n">
        <v>9.60255540931998</v>
      </c>
      <c r="EW141" s="180" t="n">
        <v>9.67229109733998</v>
      </c>
      <c r="EX141" s="180" t="n">
        <v>9.74202678535998</v>
      </c>
      <c r="EY141" s="180" t="n">
        <v>9.81176247337998</v>
      </c>
      <c r="EZ141" s="180" t="n">
        <v>9.88149816139998</v>
      </c>
      <c r="FA141" s="180" t="n">
        <v>9.95123384941998</v>
      </c>
      <c r="FB141" s="180" t="n">
        <v>10.02096953744</v>
      </c>
      <c r="FC141" s="180" t="n">
        <v>10.09070522546</v>
      </c>
      <c r="FD141" s="180" t="n">
        <v>10.16044091348</v>
      </c>
      <c r="FE141" s="180" t="n">
        <v>10.2301766015</v>
      </c>
      <c r="FF141" s="180" t="n">
        <v>10.29991228952</v>
      </c>
      <c r="FG141" s="180" t="n">
        <v>10.36964797754</v>
      </c>
      <c r="FH141" s="180" t="n">
        <v>10.43938366556</v>
      </c>
      <c r="FI141" s="180" t="n">
        <v>10.50911935358</v>
      </c>
      <c r="FJ141" s="180" t="n">
        <v>10.5788550416</v>
      </c>
      <c r="FK141" s="180" t="n">
        <v>10.64859072962</v>
      </c>
      <c r="FL141" s="180" t="n">
        <v>10.71832641764</v>
      </c>
      <c r="FM141" s="180" t="n">
        <v>10.78806210566</v>
      </c>
      <c r="FN141" s="180" t="n">
        <v>10.85779779368</v>
      </c>
      <c r="FO141" s="180" t="n">
        <v>10.9275334817</v>
      </c>
      <c r="FP141" s="180" t="n">
        <v>10.99726916972</v>
      </c>
      <c r="FQ141" s="180" t="n">
        <v>11.06700485774</v>
      </c>
      <c r="FR141" s="180" t="n">
        <v>11.13674054576</v>
      </c>
      <c r="FS141" s="180" t="n">
        <v>11.20647623378</v>
      </c>
      <c r="FT141" s="180" t="n">
        <v>11.2762119218</v>
      </c>
      <c r="FU141" s="180" t="n">
        <v>11.34594760982</v>
      </c>
      <c r="FV141" s="180" t="n">
        <v>11.41568329784</v>
      </c>
      <c r="FW141" s="180" t="n">
        <v>11.48541898586</v>
      </c>
      <c r="FX141" s="180" t="n">
        <v>11.55515467388</v>
      </c>
      <c r="FY141" s="180" t="n">
        <v>11.6248903619</v>
      </c>
      <c r="FZ141" s="180" t="n">
        <v>11.69462604992</v>
      </c>
      <c r="GA141" s="180" t="n">
        <v>11.76436173794</v>
      </c>
      <c r="GB141" s="180" t="n">
        <v>11.83409742596</v>
      </c>
      <c r="GC141" s="180" t="n">
        <v>11.90383311398</v>
      </c>
      <c r="GD141" s="180" t="n">
        <v>11.973568802</v>
      </c>
      <c r="GE141" s="180" t="n">
        <v>12.04330449002</v>
      </c>
      <c r="GF141" s="180" t="n">
        <v>12.11304017804</v>
      </c>
      <c r="GG141" s="180" t="n">
        <v>12.18277586606</v>
      </c>
      <c r="GH141" s="180" t="n">
        <v>12.25251155408</v>
      </c>
      <c r="GI141" s="180" t="n">
        <v>12.3222472421</v>
      </c>
      <c r="GJ141" s="180" t="n">
        <v>12.39198293012</v>
      </c>
      <c r="GK141" s="180" t="n">
        <v>12.46171861814</v>
      </c>
      <c r="GL141" s="180" t="n">
        <v>12.53145430616</v>
      </c>
      <c r="GM141" s="180" t="n">
        <v>12.60118999418</v>
      </c>
      <c r="GN141" s="180" t="n">
        <v>12.6709256822</v>
      </c>
      <c r="GO141" s="180" t="n">
        <v>12.74066137022</v>
      </c>
      <c r="GP141" s="180" t="n">
        <v>12.81039705824</v>
      </c>
      <c r="GQ141" s="180" t="n">
        <v>12.88013274626</v>
      </c>
      <c r="GR141" s="180" t="n">
        <v>12.94986843428</v>
      </c>
      <c r="GS141" s="180" t="n">
        <v>13.0196041223</v>
      </c>
      <c r="GT141" s="180" t="n">
        <v>13.08933981032</v>
      </c>
      <c r="GU141" s="180" t="n">
        <v>13.15907549834</v>
      </c>
      <c r="GV141" s="180" t="n">
        <v>13.22881118636</v>
      </c>
      <c r="GW141" s="180" t="n">
        <v>13.29854687438</v>
      </c>
      <c r="GX141" s="180" t="n">
        <v>13.3682825624</v>
      </c>
      <c r="GY141" s="180" t="n">
        <v>13.43801825042</v>
      </c>
      <c r="GZ141" s="180" t="n">
        <v>13.50775393844</v>
      </c>
      <c r="HA141" s="180" t="n">
        <v>13.57748962646</v>
      </c>
      <c r="HB141" s="180" t="n">
        <v>13.64722531448</v>
      </c>
      <c r="HC141" s="180" t="n">
        <v>13.7169610025</v>
      </c>
      <c r="HD141" s="180" t="n">
        <v>13.78669669052</v>
      </c>
      <c r="HE141" s="180" t="n">
        <v>13.85643237854</v>
      </c>
      <c r="HF141" s="180" t="n">
        <v>13.92616806656</v>
      </c>
      <c r="HG141" s="180" t="n">
        <v>13.99590375458</v>
      </c>
      <c r="HH141" s="180" t="n">
        <v>14.0656394426</v>
      </c>
      <c r="HI141" s="180" t="n">
        <v>14.13537513062</v>
      </c>
      <c r="HJ141" s="180" t="n">
        <v>14.20511081864</v>
      </c>
      <c r="HK141" s="180" t="n">
        <v>14.27484650666</v>
      </c>
      <c r="HL141" s="180" t="n">
        <v>14.34458219468</v>
      </c>
      <c r="HM141" s="180" t="n">
        <v>14.4143178827</v>
      </c>
      <c r="HN141" s="180" t="n">
        <v>14.48405357072</v>
      </c>
      <c r="HO141" s="180" t="n">
        <v>14.55378925874</v>
      </c>
      <c r="HP141" s="180" t="n">
        <v>14.62352494676</v>
      </c>
      <c r="HQ141" s="180" t="n">
        <v>14.69326063478</v>
      </c>
      <c r="HR141" s="180" t="n">
        <v>14.7629963228</v>
      </c>
      <c r="HS141" s="180" t="n">
        <v>14.83273201082</v>
      </c>
      <c r="HT141" s="180" t="n">
        <v>14.90246769884</v>
      </c>
      <c r="HU141" s="180" t="n">
        <v>14.97220338686</v>
      </c>
      <c r="HV141" s="180" t="n">
        <v>15.04193907488</v>
      </c>
      <c r="HW141" s="180" t="n">
        <v>15.1116747629</v>
      </c>
      <c r="HX141" s="180" t="n">
        <v>15.18141045092</v>
      </c>
      <c r="HY141" s="180" t="n">
        <v>15.25114613894</v>
      </c>
      <c r="HZ141" s="180" t="n">
        <v>15.32088182696</v>
      </c>
      <c r="IA141" s="180" t="n">
        <v>15.39061751498</v>
      </c>
      <c r="IB141" s="180" t="n">
        <v>15.460353203</v>
      </c>
      <c r="IC141" s="180" t="n">
        <v>15.53008889102</v>
      </c>
      <c r="ID141" s="180" t="n">
        <v>15.59982457904</v>
      </c>
      <c r="IE141" s="180" t="n">
        <v>15.66956026706</v>
      </c>
      <c r="IF141" s="180" t="n">
        <v>15.73929595508</v>
      </c>
      <c r="IG141" s="180" t="n">
        <v>15.8090316431</v>
      </c>
      <c r="IH141" s="180" t="n">
        <v>15.87876733112</v>
      </c>
      <c r="II141" s="180" t="n">
        <v>15.94850301914</v>
      </c>
      <c r="IJ141" s="180" t="n">
        <v>16.01823870716</v>
      </c>
      <c r="IK141" s="180" t="n">
        <v>16.08797439518</v>
      </c>
      <c r="IL141" s="180" t="n">
        <v>16.1577100832</v>
      </c>
      <c r="IM141" s="180" t="n">
        <v>16.22744577122</v>
      </c>
      <c r="IN141" s="180" t="n">
        <v>16.29718145924</v>
      </c>
      <c r="IO141" s="180" t="n">
        <v>16.36691714726</v>
      </c>
      <c r="IP141" s="180" t="n">
        <v>16.43665283528</v>
      </c>
      <c r="IQ141" s="180" t="n">
        <v>16.5063885233</v>
      </c>
      <c r="IR141" s="180" t="n">
        <v>16.57612421132</v>
      </c>
      <c r="IS141" s="180" t="n">
        <v>16.64585989934</v>
      </c>
      <c r="IT141" s="180" t="n">
        <v>16.71559558736</v>
      </c>
      <c r="IU141" s="180" t="n">
        <v>16.78533127538</v>
      </c>
      <c r="IV141" s="180" t="n">
        <v>16.8550669634</v>
      </c>
    </row>
    <row r="142" customFormat="false" ht="12.75" hidden="false" customHeight="false" outlineLevel="0" collapsed="false">
      <c r="A142" s="189" t="n">
        <v>41000</v>
      </c>
      <c r="B142" s="185" t="n">
        <v>-2.021005929375</v>
      </c>
      <c r="C142" s="185" t="n">
        <v>-1.9907047400625</v>
      </c>
      <c r="D142" s="185" t="n">
        <v>-1.96040355075</v>
      </c>
      <c r="E142" s="185" t="n">
        <v>-1.9301023614375</v>
      </c>
      <c r="F142" s="185" t="n">
        <v>-1.899801172125</v>
      </c>
      <c r="G142" s="185" t="n">
        <v>-1.8694999828125</v>
      </c>
      <c r="H142" s="185" t="n">
        <v>-1.8391987935</v>
      </c>
      <c r="I142" s="185" t="n">
        <v>-1.8088976041875</v>
      </c>
      <c r="J142" s="185" t="n">
        <v>-1.778596414875</v>
      </c>
      <c r="K142" s="185" t="n">
        <v>-1.7482952255625</v>
      </c>
      <c r="L142" s="185" t="n">
        <v>-1.71799403625</v>
      </c>
      <c r="M142" s="185" t="n">
        <v>-1.6876928469375</v>
      </c>
      <c r="N142" s="185" t="n">
        <v>-1.657391657625</v>
      </c>
      <c r="O142" s="185" t="n">
        <v>-1.6270904683125</v>
      </c>
      <c r="P142" s="185" t="n">
        <v>-1.596789279</v>
      </c>
      <c r="Q142" s="185" t="n">
        <v>-1.5664880896875</v>
      </c>
      <c r="R142" s="185" t="n">
        <v>-1.536186900375</v>
      </c>
      <c r="S142" s="185" t="n">
        <v>-1.5058857110625</v>
      </c>
      <c r="T142" s="185" t="n">
        <v>-1.47558452175</v>
      </c>
      <c r="U142" s="185" t="n">
        <v>-1.4452833324375</v>
      </c>
      <c r="V142" s="186" t="n">
        <v>-1.414982143125</v>
      </c>
      <c r="W142" s="185" t="n">
        <v>-1.3846809538125</v>
      </c>
      <c r="X142" s="186" t="n">
        <v>-1.3543797645</v>
      </c>
      <c r="Y142" s="185" t="n">
        <v>-1.3240785751875</v>
      </c>
      <c r="Z142" s="186" t="n">
        <v>-1.293777385875</v>
      </c>
      <c r="AA142" s="185" t="n">
        <v>-1.2634761965625</v>
      </c>
      <c r="AB142" s="187" t="n">
        <v>-1.23317500725</v>
      </c>
      <c r="AC142" s="185" t="n">
        <v>-1.2028738179375</v>
      </c>
      <c r="AD142" s="187" t="n">
        <v>-1.172572628625</v>
      </c>
      <c r="AE142" s="185" t="n">
        <v>-1.1422714393125</v>
      </c>
      <c r="AF142" s="185" t="n">
        <v>-1.11197025</v>
      </c>
      <c r="AG142" s="190" t="n">
        <v>-1.083235125</v>
      </c>
      <c r="AH142" s="190" t="n">
        <v>-1.0545</v>
      </c>
      <c r="AI142" s="190" t="n">
        <v>-1.02725</v>
      </c>
      <c r="AJ142" s="190" t="n">
        <v>-1</v>
      </c>
      <c r="AK142" s="190" t="n">
        <v>-0.8</v>
      </c>
      <c r="AL142" s="190" t="n">
        <v>-0.6</v>
      </c>
      <c r="AM142" s="190" t="n">
        <v>-0.4</v>
      </c>
      <c r="AN142" s="190" t="n">
        <v>-0.2</v>
      </c>
      <c r="AO142" s="190" t="n">
        <v>0</v>
      </c>
      <c r="AP142" s="190" t="n">
        <v>0.2</v>
      </c>
      <c r="AQ142" s="190" t="n">
        <v>0.4</v>
      </c>
      <c r="AR142" s="190" t="n">
        <v>0.6</v>
      </c>
      <c r="AS142" s="190" t="n">
        <v>0.8</v>
      </c>
      <c r="AT142" s="190" t="n">
        <v>1</v>
      </c>
      <c r="AU142" s="190" t="n">
        <v>1.2</v>
      </c>
      <c r="AV142" s="190" t="n">
        <v>1.4</v>
      </c>
      <c r="AW142" s="190" t="n">
        <v>1.58</v>
      </c>
      <c r="AX142" s="190" t="n">
        <v>1.76</v>
      </c>
      <c r="AY142" s="190" t="n">
        <v>1.922</v>
      </c>
      <c r="AZ142" s="190" t="n">
        <v>2.084</v>
      </c>
      <c r="BA142" s="190" t="n">
        <v>2.2298</v>
      </c>
      <c r="BB142" s="190" t="n">
        <v>2.3756</v>
      </c>
      <c r="BC142" s="190" t="n">
        <v>2.50682</v>
      </c>
      <c r="BD142" s="190" t="n">
        <v>2.63804</v>
      </c>
      <c r="BE142" s="190" t="n">
        <v>2.756138</v>
      </c>
      <c r="BF142" s="190" t="n">
        <v>2.874236</v>
      </c>
      <c r="BG142" s="190" t="n">
        <v>2.9805242</v>
      </c>
      <c r="BH142" s="190" t="n">
        <v>3.0868124</v>
      </c>
      <c r="BI142" s="190" t="n">
        <v>3.18247178</v>
      </c>
      <c r="BJ142" s="190" t="n">
        <v>3.27813116</v>
      </c>
      <c r="BK142" s="190" t="n">
        <v>3.364224602</v>
      </c>
      <c r="BL142" s="190" t="n">
        <v>3.450318044</v>
      </c>
      <c r="BM142" s="190" t="n">
        <v>3.5278021418</v>
      </c>
      <c r="BN142" s="190" t="n">
        <v>3.6052862396</v>
      </c>
      <c r="BO142" s="190" t="n">
        <v>3.67502192762</v>
      </c>
      <c r="BP142" s="190" t="n">
        <v>3.74475761564</v>
      </c>
      <c r="BQ142" s="190" t="n">
        <v>3.81449330366</v>
      </c>
      <c r="BR142" s="190" t="n">
        <v>3.88422899168</v>
      </c>
      <c r="BS142" s="190" t="n">
        <v>3.9539646797</v>
      </c>
      <c r="BT142" s="190" t="n">
        <v>4.02370036772</v>
      </c>
      <c r="BU142" s="190" t="n">
        <v>4.09343605574</v>
      </c>
      <c r="BV142" s="190" t="n">
        <v>4.16317174376</v>
      </c>
      <c r="BW142" s="190" t="n">
        <v>4.23290743178</v>
      </c>
      <c r="BX142" s="190" t="n">
        <v>4.3026431198</v>
      </c>
      <c r="BY142" s="190" t="n">
        <v>4.37237880782</v>
      </c>
      <c r="BZ142" s="190" t="n">
        <v>4.44211449584</v>
      </c>
      <c r="CA142" s="190" t="n">
        <v>4.51185018386</v>
      </c>
      <c r="CB142" s="190" t="n">
        <v>4.58158587188</v>
      </c>
      <c r="CC142" s="190" t="n">
        <v>4.6513215599</v>
      </c>
      <c r="CD142" s="190" t="n">
        <v>4.72105724792</v>
      </c>
      <c r="CE142" s="190" t="n">
        <v>4.79079293594</v>
      </c>
      <c r="CF142" s="190" t="n">
        <v>4.86052862396</v>
      </c>
      <c r="CG142" s="190" t="n">
        <v>4.93026431198</v>
      </c>
      <c r="CH142" s="190" t="n">
        <v>5</v>
      </c>
      <c r="CI142" s="190" t="n">
        <v>5.06973568801999</v>
      </c>
      <c r="CJ142" s="190" t="n">
        <v>5.13947137603999</v>
      </c>
      <c r="CK142" s="190" t="n">
        <v>5.20920706405999</v>
      </c>
      <c r="CL142" s="190" t="n">
        <v>5.27894275207999</v>
      </c>
      <c r="CM142" s="190" t="n">
        <v>5.34867844009999</v>
      </c>
      <c r="CN142" s="190" t="n">
        <v>5.41841412811999</v>
      </c>
      <c r="CO142" s="190" t="n">
        <v>5.48814981613999</v>
      </c>
      <c r="CP142" s="190" t="n">
        <v>5.55788550415999</v>
      </c>
      <c r="CQ142" s="190" t="n">
        <v>5.62762119217999</v>
      </c>
      <c r="CR142" s="190" t="n">
        <v>5.69735688019999</v>
      </c>
      <c r="CS142" s="190" t="n">
        <v>5.76709256821999</v>
      </c>
      <c r="CT142" s="190" t="n">
        <v>5.83682825623999</v>
      </c>
      <c r="CU142" s="190" t="n">
        <v>5.90656394425999</v>
      </c>
      <c r="CV142" s="190" t="n">
        <v>5.97629963227999</v>
      </c>
      <c r="CW142" s="190" t="n">
        <v>6.04603532029999</v>
      </c>
      <c r="CX142" s="190" t="n">
        <v>6.11577100831999</v>
      </c>
      <c r="CY142" s="190" t="n">
        <v>6.18550669633999</v>
      </c>
      <c r="CZ142" s="190" t="n">
        <v>6.25524238435999</v>
      </c>
      <c r="DA142" s="190" t="n">
        <v>6.32497807237999</v>
      </c>
      <c r="DB142" s="190" t="n">
        <v>6.39471376039999</v>
      </c>
      <c r="DC142" s="190" t="n">
        <v>6.46444944841999</v>
      </c>
      <c r="DD142" s="190" t="n">
        <v>6.53418513643999</v>
      </c>
      <c r="DE142" s="190" t="n">
        <v>6.60392082445999</v>
      </c>
      <c r="DF142" s="190" t="n">
        <v>6.67365651247999</v>
      </c>
      <c r="DG142" s="190" t="n">
        <v>6.74339220049999</v>
      </c>
      <c r="DH142" s="190" t="n">
        <v>6.81312788851999</v>
      </c>
      <c r="DI142" s="190" t="n">
        <v>6.88286357653999</v>
      </c>
      <c r="DJ142" s="190" t="n">
        <v>6.95259926455999</v>
      </c>
      <c r="DK142" s="190" t="n">
        <v>7.02233495257999</v>
      </c>
      <c r="DL142" s="190" t="n">
        <v>7.09207064059999</v>
      </c>
      <c r="DM142" s="190" t="n">
        <v>7.16180632861999</v>
      </c>
      <c r="DN142" s="190" t="n">
        <v>7.23154201663999</v>
      </c>
      <c r="DO142" s="190" t="n">
        <v>7.30127770465999</v>
      </c>
      <c r="DP142" s="190" t="n">
        <v>7.37101339267999</v>
      </c>
      <c r="DQ142" s="190" t="n">
        <v>7.44074908069999</v>
      </c>
      <c r="DR142" s="190" t="n">
        <v>7.51048476871999</v>
      </c>
      <c r="DS142" s="190" t="n">
        <v>7.58022045673999</v>
      </c>
      <c r="DT142" s="190" t="n">
        <v>7.64995614475999</v>
      </c>
      <c r="DU142" s="190" t="n">
        <v>7.71969183277999</v>
      </c>
      <c r="DV142" s="190" t="n">
        <v>7.78942752079998</v>
      </c>
      <c r="DW142" s="190" t="n">
        <v>7.85916320881998</v>
      </c>
      <c r="DX142" s="190" t="n">
        <v>7.92889889683998</v>
      </c>
      <c r="DY142" s="190" t="n">
        <v>7.99863458485998</v>
      </c>
      <c r="DZ142" s="190" t="n">
        <v>8.06837027287998</v>
      </c>
      <c r="EA142" s="190" t="n">
        <v>8.13810596089998</v>
      </c>
      <c r="EB142" s="190" t="n">
        <v>8.20784164891998</v>
      </c>
      <c r="EC142" s="190" t="n">
        <v>8.27757733693998</v>
      </c>
      <c r="ED142" s="190" t="n">
        <v>8.34731302495998</v>
      </c>
      <c r="EE142" s="190" t="n">
        <v>8.41704871297998</v>
      </c>
      <c r="EF142" s="190" t="n">
        <v>8.48678440099998</v>
      </c>
      <c r="EG142" s="190" t="n">
        <v>8.55652008901998</v>
      </c>
      <c r="EH142" s="190" t="n">
        <v>8.62625577703998</v>
      </c>
      <c r="EI142" s="190" t="n">
        <v>8.69599146505998</v>
      </c>
      <c r="EJ142" s="190" t="n">
        <v>8.76572715307998</v>
      </c>
      <c r="EK142" s="190" t="n">
        <v>8.83546284109998</v>
      </c>
      <c r="EL142" s="180" t="n">
        <v>8.90519852911998</v>
      </c>
      <c r="EM142" s="180" t="n">
        <v>8.97493421713998</v>
      </c>
      <c r="EN142" s="180" t="n">
        <v>9.04466990515998</v>
      </c>
      <c r="EO142" s="180" t="n">
        <v>9.11440559317998</v>
      </c>
      <c r="EP142" s="180" t="n">
        <v>9.18414128119998</v>
      </c>
      <c r="EQ142" s="180" t="n">
        <v>9.25387696921998</v>
      </c>
      <c r="ER142" s="180" t="n">
        <v>9.32361265723998</v>
      </c>
      <c r="ES142" s="180" t="n">
        <v>9.39334834525998</v>
      </c>
      <c r="ET142" s="180" t="n">
        <v>9.46308403327998</v>
      </c>
      <c r="EU142" s="180" t="n">
        <v>9.53281972129998</v>
      </c>
      <c r="EV142" s="180" t="n">
        <v>9.60255540931998</v>
      </c>
      <c r="EW142" s="180" t="n">
        <v>9.67229109733998</v>
      </c>
      <c r="EX142" s="180" t="n">
        <v>9.74202678535998</v>
      </c>
      <c r="EY142" s="180" t="n">
        <v>9.81176247337998</v>
      </c>
      <c r="EZ142" s="180" t="n">
        <v>9.88149816139998</v>
      </c>
      <c r="FA142" s="180" t="n">
        <v>9.95123384941998</v>
      </c>
      <c r="FB142" s="180" t="n">
        <v>10.02096953744</v>
      </c>
      <c r="FC142" s="180" t="n">
        <v>10.09070522546</v>
      </c>
      <c r="FD142" s="180" t="n">
        <v>10.16044091348</v>
      </c>
      <c r="FE142" s="180" t="n">
        <v>10.2301766015</v>
      </c>
      <c r="FF142" s="180" t="n">
        <v>10.29991228952</v>
      </c>
      <c r="FG142" s="180" t="n">
        <v>10.36964797754</v>
      </c>
      <c r="FH142" s="180" t="n">
        <v>10.43938366556</v>
      </c>
      <c r="FI142" s="180" t="n">
        <v>10.50911935358</v>
      </c>
      <c r="FJ142" s="180" t="n">
        <v>10.5788550416</v>
      </c>
      <c r="FK142" s="180" t="n">
        <v>10.64859072962</v>
      </c>
      <c r="FL142" s="180" t="n">
        <v>10.71832641764</v>
      </c>
      <c r="FM142" s="180" t="n">
        <v>10.78806210566</v>
      </c>
      <c r="FN142" s="180" t="n">
        <v>10.85779779368</v>
      </c>
      <c r="FO142" s="180" t="n">
        <v>10.9275334817</v>
      </c>
      <c r="FP142" s="180" t="n">
        <v>10.99726916972</v>
      </c>
      <c r="FQ142" s="180" t="n">
        <v>11.06700485774</v>
      </c>
      <c r="FR142" s="180" t="n">
        <v>11.13674054576</v>
      </c>
      <c r="FS142" s="180" t="n">
        <v>11.20647623378</v>
      </c>
      <c r="FT142" s="180" t="n">
        <v>11.2762119218</v>
      </c>
      <c r="FU142" s="180" t="n">
        <v>11.34594760982</v>
      </c>
      <c r="FV142" s="180" t="n">
        <v>11.41568329784</v>
      </c>
      <c r="FW142" s="180" t="n">
        <v>11.48541898586</v>
      </c>
      <c r="FX142" s="180" t="n">
        <v>11.55515467388</v>
      </c>
      <c r="FY142" s="180" t="n">
        <v>11.6248903619</v>
      </c>
      <c r="FZ142" s="180" t="n">
        <v>11.69462604992</v>
      </c>
      <c r="GA142" s="180" t="n">
        <v>11.76436173794</v>
      </c>
      <c r="GB142" s="180" t="n">
        <v>11.83409742596</v>
      </c>
      <c r="GC142" s="180" t="n">
        <v>11.90383311398</v>
      </c>
      <c r="GD142" s="180" t="n">
        <v>11.973568802</v>
      </c>
      <c r="GE142" s="180" t="n">
        <v>12.04330449002</v>
      </c>
      <c r="GF142" s="180" t="n">
        <v>12.11304017804</v>
      </c>
      <c r="GG142" s="180" t="n">
        <v>12.18277586606</v>
      </c>
      <c r="GH142" s="180" t="n">
        <v>12.25251155408</v>
      </c>
      <c r="GI142" s="180" t="n">
        <v>12.3222472421</v>
      </c>
      <c r="GJ142" s="180" t="n">
        <v>12.39198293012</v>
      </c>
      <c r="GK142" s="180" t="n">
        <v>12.46171861814</v>
      </c>
      <c r="GL142" s="180" t="n">
        <v>12.53145430616</v>
      </c>
      <c r="GM142" s="180" t="n">
        <v>12.60118999418</v>
      </c>
      <c r="GN142" s="180" t="n">
        <v>12.6709256822</v>
      </c>
      <c r="GO142" s="180" t="n">
        <v>12.74066137022</v>
      </c>
      <c r="GP142" s="180" t="n">
        <v>12.81039705824</v>
      </c>
      <c r="GQ142" s="180" t="n">
        <v>12.88013274626</v>
      </c>
      <c r="GR142" s="180" t="n">
        <v>12.94986843428</v>
      </c>
      <c r="GS142" s="180" t="n">
        <v>13.0196041223</v>
      </c>
      <c r="GT142" s="180" t="n">
        <v>13.08933981032</v>
      </c>
      <c r="GU142" s="180" t="n">
        <v>13.15907549834</v>
      </c>
      <c r="GV142" s="180" t="n">
        <v>13.22881118636</v>
      </c>
      <c r="GW142" s="180" t="n">
        <v>13.29854687438</v>
      </c>
      <c r="GX142" s="180" t="n">
        <v>13.3682825624</v>
      </c>
      <c r="GY142" s="180" t="n">
        <v>13.43801825042</v>
      </c>
      <c r="GZ142" s="180" t="n">
        <v>13.50775393844</v>
      </c>
      <c r="HA142" s="180" t="n">
        <v>13.57748962646</v>
      </c>
      <c r="HB142" s="180" t="n">
        <v>13.64722531448</v>
      </c>
      <c r="HC142" s="180" t="n">
        <v>13.7169610025</v>
      </c>
      <c r="HD142" s="180" t="n">
        <v>13.78669669052</v>
      </c>
      <c r="HE142" s="180" t="n">
        <v>13.85643237854</v>
      </c>
      <c r="HF142" s="180" t="n">
        <v>13.92616806656</v>
      </c>
      <c r="HG142" s="180" t="n">
        <v>13.99590375458</v>
      </c>
      <c r="HH142" s="180" t="n">
        <v>14.0656394426</v>
      </c>
      <c r="HI142" s="180" t="n">
        <v>14.13537513062</v>
      </c>
      <c r="HJ142" s="180" t="n">
        <v>14.20511081864</v>
      </c>
      <c r="HK142" s="180" t="n">
        <v>14.27484650666</v>
      </c>
      <c r="HL142" s="180" t="n">
        <v>14.34458219468</v>
      </c>
      <c r="HM142" s="180" t="n">
        <v>14.4143178827</v>
      </c>
      <c r="HN142" s="180" t="n">
        <v>14.48405357072</v>
      </c>
      <c r="HO142" s="180" t="n">
        <v>14.55378925874</v>
      </c>
      <c r="HP142" s="180" t="n">
        <v>14.62352494676</v>
      </c>
      <c r="HQ142" s="180" t="n">
        <v>14.69326063478</v>
      </c>
      <c r="HR142" s="180" t="n">
        <v>14.7629963228</v>
      </c>
      <c r="HS142" s="180" t="n">
        <v>14.83273201082</v>
      </c>
      <c r="HT142" s="180" t="n">
        <v>14.90246769884</v>
      </c>
      <c r="HU142" s="180" t="n">
        <v>14.97220338686</v>
      </c>
      <c r="HV142" s="180" t="n">
        <v>15.04193907488</v>
      </c>
      <c r="HW142" s="180" t="n">
        <v>15.1116747629</v>
      </c>
      <c r="HX142" s="180" t="n">
        <v>15.18141045092</v>
      </c>
      <c r="HY142" s="180" t="n">
        <v>15.25114613894</v>
      </c>
      <c r="HZ142" s="180" t="n">
        <v>15.32088182696</v>
      </c>
      <c r="IA142" s="180" t="n">
        <v>15.39061751498</v>
      </c>
      <c r="IB142" s="180" t="n">
        <v>15.460353203</v>
      </c>
      <c r="IC142" s="180" t="n">
        <v>15.53008889102</v>
      </c>
      <c r="ID142" s="180" t="n">
        <v>15.59982457904</v>
      </c>
      <c r="IE142" s="180" t="n">
        <v>15.66956026706</v>
      </c>
      <c r="IF142" s="180" t="n">
        <v>15.73929595508</v>
      </c>
      <c r="IG142" s="180" t="n">
        <v>15.8090316431</v>
      </c>
      <c r="IH142" s="180" t="n">
        <v>15.87876733112</v>
      </c>
      <c r="II142" s="180" t="n">
        <v>15.94850301914</v>
      </c>
      <c r="IJ142" s="180" t="n">
        <v>16.01823870716</v>
      </c>
      <c r="IK142" s="180" t="n">
        <v>16.08797439518</v>
      </c>
      <c r="IL142" s="180" t="n">
        <v>16.1577100832</v>
      </c>
      <c r="IM142" s="180" t="n">
        <v>16.22744577122</v>
      </c>
      <c r="IN142" s="180" t="n">
        <v>16.29718145924</v>
      </c>
      <c r="IO142" s="180" t="n">
        <v>16.36691714726</v>
      </c>
      <c r="IP142" s="180" t="n">
        <v>16.43665283528</v>
      </c>
      <c r="IQ142" s="180" t="n">
        <v>16.5063885233</v>
      </c>
      <c r="IR142" s="180" t="n">
        <v>16.57612421132</v>
      </c>
      <c r="IS142" s="180" t="n">
        <v>16.64585989934</v>
      </c>
      <c r="IT142" s="180" t="n">
        <v>16.71559558736</v>
      </c>
      <c r="IU142" s="180" t="n">
        <v>16.78533127538</v>
      </c>
      <c r="IV142" s="180" t="n">
        <v>16.8550669634</v>
      </c>
    </row>
    <row r="143" customFormat="false" ht="12.75" hidden="false" customHeight="false" outlineLevel="0" collapsed="false">
      <c r="A143" s="189" t="n">
        <v>41030</v>
      </c>
      <c r="B143" s="185" t="n">
        <v>-2.021005929375</v>
      </c>
      <c r="C143" s="185" t="n">
        <v>-1.9907047400625</v>
      </c>
      <c r="D143" s="185" t="n">
        <v>-1.96040355075</v>
      </c>
      <c r="E143" s="185" t="n">
        <v>-1.9301023614375</v>
      </c>
      <c r="F143" s="185" t="n">
        <v>-1.899801172125</v>
      </c>
      <c r="G143" s="185" t="n">
        <v>-1.8694999828125</v>
      </c>
      <c r="H143" s="185" t="n">
        <v>-1.8391987935</v>
      </c>
      <c r="I143" s="185" t="n">
        <v>-1.8088976041875</v>
      </c>
      <c r="J143" s="185" t="n">
        <v>-1.778596414875</v>
      </c>
      <c r="K143" s="185" t="n">
        <v>-1.7482952255625</v>
      </c>
      <c r="L143" s="185" t="n">
        <v>-1.71799403625</v>
      </c>
      <c r="M143" s="185" t="n">
        <v>-1.6876928469375</v>
      </c>
      <c r="N143" s="185" t="n">
        <v>-1.657391657625</v>
      </c>
      <c r="O143" s="185" t="n">
        <v>-1.6270904683125</v>
      </c>
      <c r="P143" s="185" t="n">
        <v>-1.596789279</v>
      </c>
      <c r="Q143" s="185" t="n">
        <v>-1.5664880896875</v>
      </c>
      <c r="R143" s="185" t="n">
        <v>-1.536186900375</v>
      </c>
      <c r="S143" s="185" t="n">
        <v>-1.5058857110625</v>
      </c>
      <c r="T143" s="185" t="n">
        <v>-1.47558452175</v>
      </c>
      <c r="U143" s="185" t="n">
        <v>-1.4452833324375</v>
      </c>
      <c r="V143" s="186" t="n">
        <v>-1.414982143125</v>
      </c>
      <c r="W143" s="185" t="n">
        <v>-1.3846809538125</v>
      </c>
      <c r="X143" s="186" t="n">
        <v>-1.3543797645</v>
      </c>
      <c r="Y143" s="185" t="n">
        <v>-1.3240785751875</v>
      </c>
      <c r="Z143" s="186" t="n">
        <v>-1.293777385875</v>
      </c>
      <c r="AA143" s="185" t="n">
        <v>-1.2634761965625</v>
      </c>
      <c r="AB143" s="187" t="n">
        <v>-1.23317500725</v>
      </c>
      <c r="AC143" s="185" t="n">
        <v>-1.2028738179375</v>
      </c>
      <c r="AD143" s="187" t="n">
        <v>-1.172572628625</v>
      </c>
      <c r="AE143" s="185" t="n">
        <v>-1.1422714393125</v>
      </c>
      <c r="AF143" s="185" t="n">
        <v>-1.11197025</v>
      </c>
      <c r="AG143" s="190" t="n">
        <v>-1.083235125</v>
      </c>
      <c r="AH143" s="190" t="n">
        <v>-1.0545</v>
      </c>
      <c r="AI143" s="190" t="n">
        <v>-1.02725</v>
      </c>
      <c r="AJ143" s="190" t="n">
        <v>-1</v>
      </c>
      <c r="AK143" s="190" t="n">
        <v>-0.8</v>
      </c>
      <c r="AL143" s="190" t="n">
        <v>-0.6</v>
      </c>
      <c r="AM143" s="190" t="n">
        <v>-0.4</v>
      </c>
      <c r="AN143" s="190" t="n">
        <v>-0.2</v>
      </c>
      <c r="AO143" s="190" t="n">
        <v>0</v>
      </c>
      <c r="AP143" s="190" t="n">
        <v>0.2</v>
      </c>
      <c r="AQ143" s="190" t="n">
        <v>0.4</v>
      </c>
      <c r="AR143" s="190" t="n">
        <v>0.6</v>
      </c>
      <c r="AS143" s="190" t="n">
        <v>0.8</v>
      </c>
      <c r="AT143" s="190" t="n">
        <v>1</v>
      </c>
      <c r="AU143" s="190" t="n">
        <v>1.2</v>
      </c>
      <c r="AV143" s="190" t="n">
        <v>1.4</v>
      </c>
      <c r="AW143" s="190" t="n">
        <v>1.58</v>
      </c>
      <c r="AX143" s="190" t="n">
        <v>1.76</v>
      </c>
      <c r="AY143" s="190" t="n">
        <v>1.922</v>
      </c>
      <c r="AZ143" s="190" t="n">
        <v>2.084</v>
      </c>
      <c r="BA143" s="190" t="n">
        <v>2.2298</v>
      </c>
      <c r="BB143" s="190" t="n">
        <v>2.3756</v>
      </c>
      <c r="BC143" s="190" t="n">
        <v>2.50682</v>
      </c>
      <c r="BD143" s="190" t="n">
        <v>2.63804</v>
      </c>
      <c r="BE143" s="190" t="n">
        <v>2.756138</v>
      </c>
      <c r="BF143" s="190" t="n">
        <v>2.874236</v>
      </c>
      <c r="BG143" s="190" t="n">
        <v>2.9805242</v>
      </c>
      <c r="BH143" s="190" t="n">
        <v>3.0868124</v>
      </c>
      <c r="BI143" s="190" t="n">
        <v>3.18247178</v>
      </c>
      <c r="BJ143" s="190" t="n">
        <v>3.27813116</v>
      </c>
      <c r="BK143" s="190" t="n">
        <v>3.364224602</v>
      </c>
      <c r="BL143" s="190" t="n">
        <v>3.450318044</v>
      </c>
      <c r="BM143" s="190" t="n">
        <v>3.5278021418</v>
      </c>
      <c r="BN143" s="190" t="n">
        <v>3.6052862396</v>
      </c>
      <c r="BO143" s="190" t="n">
        <v>3.67502192762</v>
      </c>
      <c r="BP143" s="190" t="n">
        <v>3.74475761564</v>
      </c>
      <c r="BQ143" s="190" t="n">
        <v>3.81449330366</v>
      </c>
      <c r="BR143" s="190" t="n">
        <v>3.88422899168</v>
      </c>
      <c r="BS143" s="190" t="n">
        <v>3.9539646797</v>
      </c>
      <c r="BT143" s="190" t="n">
        <v>4.02370036772</v>
      </c>
      <c r="BU143" s="190" t="n">
        <v>4.09343605574</v>
      </c>
      <c r="BV143" s="190" t="n">
        <v>4.16317174376</v>
      </c>
      <c r="BW143" s="190" t="n">
        <v>4.23290743178</v>
      </c>
      <c r="BX143" s="190" t="n">
        <v>4.3026431198</v>
      </c>
      <c r="BY143" s="190" t="n">
        <v>4.37237880782</v>
      </c>
      <c r="BZ143" s="190" t="n">
        <v>4.44211449584</v>
      </c>
      <c r="CA143" s="190" t="n">
        <v>4.51185018386</v>
      </c>
      <c r="CB143" s="190" t="n">
        <v>4.58158587188</v>
      </c>
      <c r="CC143" s="190" t="n">
        <v>4.6513215599</v>
      </c>
      <c r="CD143" s="190" t="n">
        <v>4.72105724792</v>
      </c>
      <c r="CE143" s="190" t="n">
        <v>4.79079293594</v>
      </c>
      <c r="CF143" s="190" t="n">
        <v>4.86052862396</v>
      </c>
      <c r="CG143" s="190" t="n">
        <v>4.93026431198</v>
      </c>
      <c r="CH143" s="190" t="n">
        <v>5</v>
      </c>
      <c r="CI143" s="190" t="n">
        <v>5.06973568801999</v>
      </c>
      <c r="CJ143" s="190" t="n">
        <v>5.13947137603999</v>
      </c>
      <c r="CK143" s="190" t="n">
        <v>5.20920706405999</v>
      </c>
      <c r="CL143" s="190" t="n">
        <v>5.27894275207999</v>
      </c>
      <c r="CM143" s="190" t="n">
        <v>5.34867844009999</v>
      </c>
      <c r="CN143" s="190" t="n">
        <v>5.41841412811999</v>
      </c>
      <c r="CO143" s="190" t="n">
        <v>5.48814981613999</v>
      </c>
      <c r="CP143" s="190" t="n">
        <v>5.55788550415999</v>
      </c>
      <c r="CQ143" s="190" t="n">
        <v>5.62762119217999</v>
      </c>
      <c r="CR143" s="190" t="n">
        <v>5.69735688019999</v>
      </c>
      <c r="CS143" s="190" t="n">
        <v>5.76709256821999</v>
      </c>
      <c r="CT143" s="190" t="n">
        <v>5.83682825623999</v>
      </c>
      <c r="CU143" s="190" t="n">
        <v>5.90656394425999</v>
      </c>
      <c r="CV143" s="190" t="n">
        <v>5.97629963227999</v>
      </c>
      <c r="CW143" s="190" t="n">
        <v>6.04603532029999</v>
      </c>
      <c r="CX143" s="190" t="n">
        <v>6.11577100831999</v>
      </c>
      <c r="CY143" s="190" t="n">
        <v>6.18550669633999</v>
      </c>
      <c r="CZ143" s="190" t="n">
        <v>6.25524238435999</v>
      </c>
      <c r="DA143" s="190" t="n">
        <v>6.32497807237999</v>
      </c>
      <c r="DB143" s="190" t="n">
        <v>6.39471376039999</v>
      </c>
      <c r="DC143" s="190" t="n">
        <v>6.46444944841999</v>
      </c>
      <c r="DD143" s="190" t="n">
        <v>6.53418513643999</v>
      </c>
      <c r="DE143" s="190" t="n">
        <v>6.60392082445999</v>
      </c>
      <c r="DF143" s="190" t="n">
        <v>6.67365651247999</v>
      </c>
      <c r="DG143" s="190" t="n">
        <v>6.74339220049999</v>
      </c>
      <c r="DH143" s="190" t="n">
        <v>6.81312788851999</v>
      </c>
      <c r="DI143" s="190" t="n">
        <v>6.88286357653999</v>
      </c>
      <c r="DJ143" s="190" t="n">
        <v>6.95259926455999</v>
      </c>
      <c r="DK143" s="190" t="n">
        <v>7.02233495257999</v>
      </c>
      <c r="DL143" s="190" t="n">
        <v>7.09207064059999</v>
      </c>
      <c r="DM143" s="190" t="n">
        <v>7.16180632861999</v>
      </c>
      <c r="DN143" s="190" t="n">
        <v>7.23154201663999</v>
      </c>
      <c r="DO143" s="190" t="n">
        <v>7.30127770465999</v>
      </c>
      <c r="DP143" s="190" t="n">
        <v>7.37101339267999</v>
      </c>
      <c r="DQ143" s="190" t="n">
        <v>7.44074908069999</v>
      </c>
      <c r="DR143" s="190" t="n">
        <v>7.51048476871999</v>
      </c>
      <c r="DS143" s="190" t="n">
        <v>7.58022045673999</v>
      </c>
      <c r="DT143" s="190" t="n">
        <v>7.64995614475999</v>
      </c>
      <c r="DU143" s="190" t="n">
        <v>7.71969183277999</v>
      </c>
      <c r="DV143" s="190" t="n">
        <v>7.78942752079998</v>
      </c>
      <c r="DW143" s="190" t="n">
        <v>7.85916320881998</v>
      </c>
      <c r="DX143" s="190" t="n">
        <v>7.92889889683998</v>
      </c>
      <c r="DY143" s="190" t="n">
        <v>7.99863458485998</v>
      </c>
      <c r="DZ143" s="190" t="n">
        <v>8.06837027287998</v>
      </c>
      <c r="EA143" s="190" t="n">
        <v>8.13810596089998</v>
      </c>
      <c r="EB143" s="190" t="n">
        <v>8.20784164891998</v>
      </c>
      <c r="EC143" s="190" t="n">
        <v>8.27757733693998</v>
      </c>
      <c r="ED143" s="190" t="n">
        <v>8.34731302495998</v>
      </c>
      <c r="EE143" s="190" t="n">
        <v>8.41704871297998</v>
      </c>
      <c r="EF143" s="190" t="n">
        <v>8.48678440099998</v>
      </c>
      <c r="EG143" s="190" t="n">
        <v>8.55652008901998</v>
      </c>
      <c r="EH143" s="190" t="n">
        <v>8.62625577703998</v>
      </c>
      <c r="EI143" s="190" t="n">
        <v>8.69599146505998</v>
      </c>
      <c r="EJ143" s="190" t="n">
        <v>8.76572715307998</v>
      </c>
      <c r="EK143" s="190" t="n">
        <v>8.83546284109998</v>
      </c>
      <c r="EL143" s="180" t="n">
        <v>8.90519852911998</v>
      </c>
      <c r="EM143" s="180" t="n">
        <v>8.97493421713998</v>
      </c>
      <c r="EN143" s="180" t="n">
        <v>9.04466990515998</v>
      </c>
      <c r="EO143" s="180" t="n">
        <v>9.11440559317998</v>
      </c>
      <c r="EP143" s="180" t="n">
        <v>9.18414128119998</v>
      </c>
      <c r="EQ143" s="180" t="n">
        <v>9.25387696921998</v>
      </c>
      <c r="ER143" s="180" t="n">
        <v>9.32361265723998</v>
      </c>
      <c r="ES143" s="180" t="n">
        <v>9.39334834525998</v>
      </c>
      <c r="ET143" s="180" t="n">
        <v>9.46308403327998</v>
      </c>
      <c r="EU143" s="180" t="n">
        <v>9.53281972129998</v>
      </c>
      <c r="EV143" s="180" t="n">
        <v>9.60255540931998</v>
      </c>
      <c r="EW143" s="180" t="n">
        <v>9.67229109733998</v>
      </c>
      <c r="EX143" s="180" t="n">
        <v>9.74202678535998</v>
      </c>
      <c r="EY143" s="180" t="n">
        <v>9.81176247337998</v>
      </c>
      <c r="EZ143" s="180" t="n">
        <v>9.88149816139998</v>
      </c>
      <c r="FA143" s="180" t="n">
        <v>9.95123384941998</v>
      </c>
      <c r="FB143" s="180" t="n">
        <v>10.02096953744</v>
      </c>
      <c r="FC143" s="180" t="n">
        <v>10.09070522546</v>
      </c>
      <c r="FD143" s="180" t="n">
        <v>10.16044091348</v>
      </c>
      <c r="FE143" s="180" t="n">
        <v>10.2301766015</v>
      </c>
      <c r="FF143" s="180" t="n">
        <v>10.29991228952</v>
      </c>
      <c r="FG143" s="180" t="n">
        <v>10.36964797754</v>
      </c>
      <c r="FH143" s="180" t="n">
        <v>10.43938366556</v>
      </c>
      <c r="FI143" s="180" t="n">
        <v>10.50911935358</v>
      </c>
      <c r="FJ143" s="180" t="n">
        <v>10.5788550416</v>
      </c>
      <c r="FK143" s="180" t="n">
        <v>10.64859072962</v>
      </c>
      <c r="FL143" s="180" t="n">
        <v>10.71832641764</v>
      </c>
      <c r="FM143" s="180" t="n">
        <v>10.78806210566</v>
      </c>
      <c r="FN143" s="180" t="n">
        <v>10.85779779368</v>
      </c>
      <c r="FO143" s="180" t="n">
        <v>10.9275334817</v>
      </c>
      <c r="FP143" s="180" t="n">
        <v>10.99726916972</v>
      </c>
      <c r="FQ143" s="180" t="n">
        <v>11.06700485774</v>
      </c>
      <c r="FR143" s="180" t="n">
        <v>11.13674054576</v>
      </c>
      <c r="FS143" s="180" t="n">
        <v>11.20647623378</v>
      </c>
      <c r="FT143" s="180" t="n">
        <v>11.2762119218</v>
      </c>
      <c r="FU143" s="180" t="n">
        <v>11.34594760982</v>
      </c>
      <c r="FV143" s="180" t="n">
        <v>11.41568329784</v>
      </c>
      <c r="FW143" s="180" t="n">
        <v>11.48541898586</v>
      </c>
      <c r="FX143" s="180" t="n">
        <v>11.55515467388</v>
      </c>
      <c r="FY143" s="180" t="n">
        <v>11.6248903619</v>
      </c>
      <c r="FZ143" s="180" t="n">
        <v>11.69462604992</v>
      </c>
      <c r="GA143" s="180" t="n">
        <v>11.76436173794</v>
      </c>
      <c r="GB143" s="180" t="n">
        <v>11.83409742596</v>
      </c>
      <c r="GC143" s="180" t="n">
        <v>11.90383311398</v>
      </c>
      <c r="GD143" s="180" t="n">
        <v>11.973568802</v>
      </c>
      <c r="GE143" s="180" t="n">
        <v>12.04330449002</v>
      </c>
      <c r="GF143" s="180" t="n">
        <v>12.11304017804</v>
      </c>
      <c r="GG143" s="180" t="n">
        <v>12.18277586606</v>
      </c>
      <c r="GH143" s="180" t="n">
        <v>12.25251155408</v>
      </c>
      <c r="GI143" s="180" t="n">
        <v>12.3222472421</v>
      </c>
      <c r="GJ143" s="180" t="n">
        <v>12.39198293012</v>
      </c>
      <c r="GK143" s="180" t="n">
        <v>12.46171861814</v>
      </c>
      <c r="GL143" s="180" t="n">
        <v>12.53145430616</v>
      </c>
      <c r="GM143" s="180" t="n">
        <v>12.60118999418</v>
      </c>
      <c r="GN143" s="180" t="n">
        <v>12.6709256822</v>
      </c>
      <c r="GO143" s="180" t="n">
        <v>12.74066137022</v>
      </c>
      <c r="GP143" s="180" t="n">
        <v>12.81039705824</v>
      </c>
      <c r="GQ143" s="180" t="n">
        <v>12.88013274626</v>
      </c>
      <c r="GR143" s="180" t="n">
        <v>12.94986843428</v>
      </c>
      <c r="GS143" s="180" t="n">
        <v>13.0196041223</v>
      </c>
      <c r="GT143" s="180" t="n">
        <v>13.08933981032</v>
      </c>
      <c r="GU143" s="180" t="n">
        <v>13.15907549834</v>
      </c>
      <c r="GV143" s="180" t="n">
        <v>13.22881118636</v>
      </c>
      <c r="GW143" s="180" t="n">
        <v>13.29854687438</v>
      </c>
      <c r="GX143" s="180" t="n">
        <v>13.3682825624</v>
      </c>
      <c r="GY143" s="180" t="n">
        <v>13.43801825042</v>
      </c>
      <c r="GZ143" s="180" t="n">
        <v>13.50775393844</v>
      </c>
      <c r="HA143" s="180" t="n">
        <v>13.57748962646</v>
      </c>
      <c r="HB143" s="180" t="n">
        <v>13.64722531448</v>
      </c>
      <c r="HC143" s="180" t="n">
        <v>13.7169610025</v>
      </c>
      <c r="HD143" s="180" t="n">
        <v>13.78669669052</v>
      </c>
      <c r="HE143" s="180" t="n">
        <v>13.85643237854</v>
      </c>
      <c r="HF143" s="180" t="n">
        <v>13.92616806656</v>
      </c>
      <c r="HG143" s="180" t="n">
        <v>13.99590375458</v>
      </c>
      <c r="HH143" s="180" t="n">
        <v>14.0656394426</v>
      </c>
      <c r="HI143" s="180" t="n">
        <v>14.13537513062</v>
      </c>
      <c r="HJ143" s="180" t="n">
        <v>14.20511081864</v>
      </c>
      <c r="HK143" s="180" t="n">
        <v>14.27484650666</v>
      </c>
      <c r="HL143" s="180" t="n">
        <v>14.34458219468</v>
      </c>
      <c r="HM143" s="180" t="n">
        <v>14.4143178827</v>
      </c>
      <c r="HN143" s="180" t="n">
        <v>14.48405357072</v>
      </c>
      <c r="HO143" s="180" t="n">
        <v>14.55378925874</v>
      </c>
      <c r="HP143" s="180" t="n">
        <v>14.62352494676</v>
      </c>
      <c r="HQ143" s="180" t="n">
        <v>14.69326063478</v>
      </c>
      <c r="HR143" s="180" t="n">
        <v>14.7629963228</v>
      </c>
      <c r="HS143" s="180" t="n">
        <v>14.83273201082</v>
      </c>
      <c r="HT143" s="180" t="n">
        <v>14.90246769884</v>
      </c>
      <c r="HU143" s="180" t="n">
        <v>14.97220338686</v>
      </c>
      <c r="HV143" s="180" t="n">
        <v>15.04193907488</v>
      </c>
      <c r="HW143" s="180" t="n">
        <v>15.1116747629</v>
      </c>
      <c r="HX143" s="180" t="n">
        <v>15.18141045092</v>
      </c>
      <c r="HY143" s="180" t="n">
        <v>15.25114613894</v>
      </c>
      <c r="HZ143" s="180" t="n">
        <v>15.32088182696</v>
      </c>
      <c r="IA143" s="180" t="n">
        <v>15.39061751498</v>
      </c>
      <c r="IB143" s="180" t="n">
        <v>15.460353203</v>
      </c>
      <c r="IC143" s="180" t="n">
        <v>15.53008889102</v>
      </c>
      <c r="ID143" s="180" t="n">
        <v>15.59982457904</v>
      </c>
      <c r="IE143" s="180" t="n">
        <v>15.66956026706</v>
      </c>
      <c r="IF143" s="180" t="n">
        <v>15.73929595508</v>
      </c>
      <c r="IG143" s="180" t="n">
        <v>15.8090316431</v>
      </c>
      <c r="IH143" s="180" t="n">
        <v>15.87876733112</v>
      </c>
      <c r="II143" s="180" t="n">
        <v>15.94850301914</v>
      </c>
      <c r="IJ143" s="180" t="n">
        <v>16.01823870716</v>
      </c>
      <c r="IK143" s="180" t="n">
        <v>16.08797439518</v>
      </c>
      <c r="IL143" s="180" t="n">
        <v>16.1577100832</v>
      </c>
      <c r="IM143" s="180" t="n">
        <v>16.22744577122</v>
      </c>
      <c r="IN143" s="180" t="n">
        <v>16.29718145924</v>
      </c>
      <c r="IO143" s="180" t="n">
        <v>16.36691714726</v>
      </c>
      <c r="IP143" s="180" t="n">
        <v>16.43665283528</v>
      </c>
      <c r="IQ143" s="180" t="n">
        <v>16.5063885233</v>
      </c>
      <c r="IR143" s="180" t="n">
        <v>16.57612421132</v>
      </c>
      <c r="IS143" s="180" t="n">
        <v>16.64585989934</v>
      </c>
      <c r="IT143" s="180" t="n">
        <v>16.71559558736</v>
      </c>
      <c r="IU143" s="180" t="n">
        <v>16.78533127538</v>
      </c>
      <c r="IV143" s="180" t="n">
        <v>16.8550669634</v>
      </c>
    </row>
    <row r="144" customFormat="false" ht="12.75" hidden="false" customHeight="false" outlineLevel="0" collapsed="false">
      <c r="A144" s="189" t="n">
        <v>41061</v>
      </c>
      <c r="B144" s="185" t="n">
        <v>-2.021005929375</v>
      </c>
      <c r="C144" s="185" t="n">
        <v>-1.9907047400625</v>
      </c>
      <c r="D144" s="185" t="n">
        <v>-1.96040355075</v>
      </c>
      <c r="E144" s="185" t="n">
        <v>-1.9301023614375</v>
      </c>
      <c r="F144" s="185" t="n">
        <v>-1.899801172125</v>
      </c>
      <c r="G144" s="185" t="n">
        <v>-1.8694999828125</v>
      </c>
      <c r="H144" s="185" t="n">
        <v>-1.8391987935</v>
      </c>
      <c r="I144" s="185" t="n">
        <v>-1.8088976041875</v>
      </c>
      <c r="J144" s="185" t="n">
        <v>-1.778596414875</v>
      </c>
      <c r="K144" s="185" t="n">
        <v>-1.7482952255625</v>
      </c>
      <c r="L144" s="185" t="n">
        <v>-1.71799403625</v>
      </c>
      <c r="M144" s="185" t="n">
        <v>-1.6876928469375</v>
      </c>
      <c r="N144" s="185" t="n">
        <v>-1.657391657625</v>
      </c>
      <c r="O144" s="185" t="n">
        <v>-1.6270904683125</v>
      </c>
      <c r="P144" s="185" t="n">
        <v>-1.596789279</v>
      </c>
      <c r="Q144" s="185" t="n">
        <v>-1.5664880896875</v>
      </c>
      <c r="R144" s="185" t="n">
        <v>-1.536186900375</v>
      </c>
      <c r="S144" s="185" t="n">
        <v>-1.5058857110625</v>
      </c>
      <c r="T144" s="185" t="n">
        <v>-1.47558452175</v>
      </c>
      <c r="U144" s="185" t="n">
        <v>-1.4452833324375</v>
      </c>
      <c r="V144" s="186" t="n">
        <v>-1.414982143125</v>
      </c>
      <c r="W144" s="185" t="n">
        <v>-1.3846809538125</v>
      </c>
      <c r="X144" s="186" t="n">
        <v>-1.3543797645</v>
      </c>
      <c r="Y144" s="185" t="n">
        <v>-1.3240785751875</v>
      </c>
      <c r="Z144" s="186" t="n">
        <v>-1.293777385875</v>
      </c>
      <c r="AA144" s="185" t="n">
        <v>-1.2634761965625</v>
      </c>
      <c r="AB144" s="187" t="n">
        <v>-1.23317500725</v>
      </c>
      <c r="AC144" s="185" t="n">
        <v>-1.2028738179375</v>
      </c>
      <c r="AD144" s="187" t="n">
        <v>-1.172572628625</v>
      </c>
      <c r="AE144" s="185" t="n">
        <v>-1.1422714393125</v>
      </c>
      <c r="AF144" s="185" t="n">
        <v>-1.11197025</v>
      </c>
      <c r="AG144" s="190" t="n">
        <v>-1.083235125</v>
      </c>
      <c r="AH144" s="190" t="n">
        <v>-1.0545</v>
      </c>
      <c r="AI144" s="190" t="n">
        <v>-1.02725</v>
      </c>
      <c r="AJ144" s="190" t="n">
        <v>-1</v>
      </c>
      <c r="AK144" s="190" t="n">
        <v>-0.8</v>
      </c>
      <c r="AL144" s="190" t="n">
        <v>-0.6</v>
      </c>
      <c r="AM144" s="190" t="n">
        <v>-0.4</v>
      </c>
      <c r="AN144" s="190" t="n">
        <v>-0.2</v>
      </c>
      <c r="AO144" s="190" t="n">
        <v>0</v>
      </c>
      <c r="AP144" s="190" t="n">
        <v>0.2</v>
      </c>
      <c r="AQ144" s="190" t="n">
        <v>0.4</v>
      </c>
      <c r="AR144" s="190" t="n">
        <v>0.6</v>
      </c>
      <c r="AS144" s="190" t="n">
        <v>0.8</v>
      </c>
      <c r="AT144" s="190" t="n">
        <v>1</v>
      </c>
      <c r="AU144" s="190" t="n">
        <v>1.2</v>
      </c>
      <c r="AV144" s="190" t="n">
        <v>1.4</v>
      </c>
      <c r="AW144" s="190" t="n">
        <v>1.58</v>
      </c>
      <c r="AX144" s="190" t="n">
        <v>1.76</v>
      </c>
      <c r="AY144" s="190" t="n">
        <v>1.922</v>
      </c>
      <c r="AZ144" s="190" t="n">
        <v>2.084</v>
      </c>
      <c r="BA144" s="190" t="n">
        <v>2.2298</v>
      </c>
      <c r="BB144" s="190" t="n">
        <v>2.3756</v>
      </c>
      <c r="BC144" s="190" t="n">
        <v>2.50682</v>
      </c>
      <c r="BD144" s="190" t="n">
        <v>2.63804</v>
      </c>
      <c r="BE144" s="190" t="n">
        <v>2.756138</v>
      </c>
      <c r="BF144" s="190" t="n">
        <v>2.874236</v>
      </c>
      <c r="BG144" s="190" t="n">
        <v>2.9805242</v>
      </c>
      <c r="BH144" s="190" t="n">
        <v>3.0868124</v>
      </c>
      <c r="BI144" s="190" t="n">
        <v>3.18247178</v>
      </c>
      <c r="BJ144" s="190" t="n">
        <v>3.27813116</v>
      </c>
      <c r="BK144" s="190" t="n">
        <v>3.364224602</v>
      </c>
      <c r="BL144" s="190" t="n">
        <v>3.450318044</v>
      </c>
      <c r="BM144" s="190" t="n">
        <v>3.5278021418</v>
      </c>
      <c r="BN144" s="190" t="n">
        <v>3.6052862396</v>
      </c>
      <c r="BO144" s="190" t="n">
        <v>3.67502192762</v>
      </c>
      <c r="BP144" s="190" t="n">
        <v>3.74475761564</v>
      </c>
      <c r="BQ144" s="190" t="n">
        <v>3.81449330366</v>
      </c>
      <c r="BR144" s="190" t="n">
        <v>3.88422899168</v>
      </c>
      <c r="BS144" s="190" t="n">
        <v>3.9539646797</v>
      </c>
      <c r="BT144" s="190" t="n">
        <v>4.02370036772</v>
      </c>
      <c r="BU144" s="190" t="n">
        <v>4.09343605574</v>
      </c>
      <c r="BV144" s="190" t="n">
        <v>4.16317174376</v>
      </c>
      <c r="BW144" s="190" t="n">
        <v>4.23290743178</v>
      </c>
      <c r="BX144" s="190" t="n">
        <v>4.3026431198</v>
      </c>
      <c r="BY144" s="190" t="n">
        <v>4.37237880782</v>
      </c>
      <c r="BZ144" s="190" t="n">
        <v>4.44211449584</v>
      </c>
      <c r="CA144" s="190" t="n">
        <v>4.51185018386</v>
      </c>
      <c r="CB144" s="190" t="n">
        <v>4.58158587188</v>
      </c>
      <c r="CC144" s="190" t="n">
        <v>4.6513215599</v>
      </c>
      <c r="CD144" s="190" t="n">
        <v>4.72105724792</v>
      </c>
      <c r="CE144" s="190" t="n">
        <v>4.79079293594</v>
      </c>
      <c r="CF144" s="190" t="n">
        <v>4.86052862396</v>
      </c>
      <c r="CG144" s="190" t="n">
        <v>4.93026431198</v>
      </c>
      <c r="CH144" s="190" t="n">
        <v>5</v>
      </c>
      <c r="CI144" s="190" t="n">
        <v>5.06973568801999</v>
      </c>
      <c r="CJ144" s="190" t="n">
        <v>5.13947137603999</v>
      </c>
      <c r="CK144" s="190" t="n">
        <v>5.20920706405999</v>
      </c>
      <c r="CL144" s="190" t="n">
        <v>5.27894275207999</v>
      </c>
      <c r="CM144" s="190" t="n">
        <v>5.34867844009999</v>
      </c>
      <c r="CN144" s="190" t="n">
        <v>5.41841412811999</v>
      </c>
      <c r="CO144" s="190" t="n">
        <v>5.48814981613999</v>
      </c>
      <c r="CP144" s="190" t="n">
        <v>5.55788550415999</v>
      </c>
      <c r="CQ144" s="190" t="n">
        <v>5.62762119217999</v>
      </c>
      <c r="CR144" s="190" t="n">
        <v>5.69735688019999</v>
      </c>
      <c r="CS144" s="190" t="n">
        <v>5.76709256821999</v>
      </c>
      <c r="CT144" s="190" t="n">
        <v>5.83682825623999</v>
      </c>
      <c r="CU144" s="190" t="n">
        <v>5.90656394425999</v>
      </c>
      <c r="CV144" s="190" t="n">
        <v>5.97629963227999</v>
      </c>
      <c r="CW144" s="190" t="n">
        <v>6.04603532029999</v>
      </c>
      <c r="CX144" s="190" t="n">
        <v>6.11577100831999</v>
      </c>
      <c r="CY144" s="190" t="n">
        <v>6.18550669633999</v>
      </c>
      <c r="CZ144" s="190" t="n">
        <v>6.25524238435999</v>
      </c>
      <c r="DA144" s="190" t="n">
        <v>6.32497807237999</v>
      </c>
      <c r="DB144" s="190" t="n">
        <v>6.39471376039999</v>
      </c>
      <c r="DC144" s="190" t="n">
        <v>6.46444944841999</v>
      </c>
      <c r="DD144" s="190" t="n">
        <v>6.53418513643999</v>
      </c>
      <c r="DE144" s="190" t="n">
        <v>6.60392082445999</v>
      </c>
      <c r="DF144" s="190" t="n">
        <v>6.67365651247999</v>
      </c>
      <c r="DG144" s="190" t="n">
        <v>6.74339220049999</v>
      </c>
      <c r="DH144" s="190" t="n">
        <v>6.81312788851999</v>
      </c>
      <c r="DI144" s="190" t="n">
        <v>6.88286357653999</v>
      </c>
      <c r="DJ144" s="190" t="n">
        <v>6.95259926455999</v>
      </c>
      <c r="DK144" s="190" t="n">
        <v>7.02233495257999</v>
      </c>
      <c r="DL144" s="190" t="n">
        <v>7.09207064059999</v>
      </c>
      <c r="DM144" s="190" t="n">
        <v>7.16180632861999</v>
      </c>
      <c r="DN144" s="190" t="n">
        <v>7.23154201663999</v>
      </c>
      <c r="DO144" s="190" t="n">
        <v>7.30127770465999</v>
      </c>
      <c r="DP144" s="190" t="n">
        <v>7.37101339267999</v>
      </c>
      <c r="DQ144" s="190" t="n">
        <v>7.44074908069999</v>
      </c>
      <c r="DR144" s="190" t="n">
        <v>7.51048476871999</v>
      </c>
      <c r="DS144" s="190" t="n">
        <v>7.58022045673999</v>
      </c>
      <c r="DT144" s="190" t="n">
        <v>7.64995614475999</v>
      </c>
      <c r="DU144" s="190" t="n">
        <v>7.71969183277999</v>
      </c>
      <c r="DV144" s="190" t="n">
        <v>7.78942752079998</v>
      </c>
      <c r="DW144" s="190" t="n">
        <v>7.85916320881998</v>
      </c>
      <c r="DX144" s="190" t="n">
        <v>7.92889889683998</v>
      </c>
      <c r="DY144" s="190" t="n">
        <v>7.99863458485998</v>
      </c>
      <c r="DZ144" s="190" t="n">
        <v>8.06837027287998</v>
      </c>
      <c r="EA144" s="190" t="n">
        <v>8.13810596089998</v>
      </c>
      <c r="EB144" s="190" t="n">
        <v>8.20784164891998</v>
      </c>
      <c r="EC144" s="190" t="n">
        <v>8.27757733693998</v>
      </c>
      <c r="ED144" s="190" t="n">
        <v>8.34731302495998</v>
      </c>
      <c r="EE144" s="190" t="n">
        <v>8.41704871297998</v>
      </c>
      <c r="EF144" s="190" t="n">
        <v>8.48678440099998</v>
      </c>
      <c r="EG144" s="190" t="n">
        <v>8.55652008901998</v>
      </c>
      <c r="EH144" s="190" t="n">
        <v>8.62625577703998</v>
      </c>
      <c r="EI144" s="190" t="n">
        <v>8.69599146505998</v>
      </c>
      <c r="EJ144" s="190" t="n">
        <v>8.76572715307998</v>
      </c>
      <c r="EK144" s="190" t="n">
        <v>8.83546284109998</v>
      </c>
      <c r="EL144" s="180" t="n">
        <v>8.90519852911998</v>
      </c>
      <c r="EM144" s="180" t="n">
        <v>8.97493421713998</v>
      </c>
      <c r="EN144" s="180" t="n">
        <v>9.04466990515998</v>
      </c>
      <c r="EO144" s="180" t="n">
        <v>9.11440559317998</v>
      </c>
      <c r="EP144" s="180" t="n">
        <v>9.18414128119998</v>
      </c>
      <c r="EQ144" s="180" t="n">
        <v>9.25387696921998</v>
      </c>
      <c r="ER144" s="180" t="n">
        <v>9.32361265723998</v>
      </c>
      <c r="ES144" s="180" t="n">
        <v>9.39334834525998</v>
      </c>
      <c r="ET144" s="180" t="n">
        <v>9.46308403327998</v>
      </c>
      <c r="EU144" s="180" t="n">
        <v>9.53281972129998</v>
      </c>
      <c r="EV144" s="180" t="n">
        <v>9.60255540931998</v>
      </c>
      <c r="EW144" s="180" t="n">
        <v>9.67229109733998</v>
      </c>
      <c r="EX144" s="180" t="n">
        <v>9.74202678535998</v>
      </c>
      <c r="EY144" s="180" t="n">
        <v>9.81176247337998</v>
      </c>
      <c r="EZ144" s="180" t="n">
        <v>9.88149816139998</v>
      </c>
      <c r="FA144" s="180" t="n">
        <v>9.95123384941998</v>
      </c>
      <c r="FB144" s="180" t="n">
        <v>10.02096953744</v>
      </c>
      <c r="FC144" s="180" t="n">
        <v>10.09070522546</v>
      </c>
      <c r="FD144" s="180" t="n">
        <v>10.16044091348</v>
      </c>
      <c r="FE144" s="180" t="n">
        <v>10.2301766015</v>
      </c>
      <c r="FF144" s="180" t="n">
        <v>10.29991228952</v>
      </c>
      <c r="FG144" s="180" t="n">
        <v>10.36964797754</v>
      </c>
      <c r="FH144" s="180" t="n">
        <v>10.43938366556</v>
      </c>
      <c r="FI144" s="180" t="n">
        <v>10.50911935358</v>
      </c>
      <c r="FJ144" s="180" t="n">
        <v>10.5788550416</v>
      </c>
      <c r="FK144" s="180" t="n">
        <v>10.64859072962</v>
      </c>
      <c r="FL144" s="180" t="n">
        <v>10.71832641764</v>
      </c>
      <c r="FM144" s="180" t="n">
        <v>10.78806210566</v>
      </c>
      <c r="FN144" s="180" t="n">
        <v>10.85779779368</v>
      </c>
      <c r="FO144" s="180" t="n">
        <v>10.9275334817</v>
      </c>
      <c r="FP144" s="180" t="n">
        <v>10.99726916972</v>
      </c>
      <c r="FQ144" s="180" t="n">
        <v>11.06700485774</v>
      </c>
      <c r="FR144" s="180" t="n">
        <v>11.13674054576</v>
      </c>
      <c r="FS144" s="180" t="n">
        <v>11.20647623378</v>
      </c>
      <c r="FT144" s="180" t="n">
        <v>11.2762119218</v>
      </c>
      <c r="FU144" s="180" t="n">
        <v>11.34594760982</v>
      </c>
      <c r="FV144" s="180" t="n">
        <v>11.41568329784</v>
      </c>
      <c r="FW144" s="180" t="n">
        <v>11.48541898586</v>
      </c>
      <c r="FX144" s="180" t="n">
        <v>11.55515467388</v>
      </c>
      <c r="FY144" s="180" t="n">
        <v>11.6248903619</v>
      </c>
      <c r="FZ144" s="180" t="n">
        <v>11.69462604992</v>
      </c>
      <c r="GA144" s="180" t="n">
        <v>11.76436173794</v>
      </c>
      <c r="GB144" s="180" t="n">
        <v>11.83409742596</v>
      </c>
      <c r="GC144" s="180" t="n">
        <v>11.90383311398</v>
      </c>
      <c r="GD144" s="180" t="n">
        <v>11.973568802</v>
      </c>
      <c r="GE144" s="180" t="n">
        <v>12.04330449002</v>
      </c>
      <c r="GF144" s="180" t="n">
        <v>12.11304017804</v>
      </c>
      <c r="GG144" s="180" t="n">
        <v>12.18277586606</v>
      </c>
      <c r="GH144" s="180" t="n">
        <v>12.25251155408</v>
      </c>
      <c r="GI144" s="180" t="n">
        <v>12.3222472421</v>
      </c>
      <c r="GJ144" s="180" t="n">
        <v>12.39198293012</v>
      </c>
      <c r="GK144" s="180" t="n">
        <v>12.46171861814</v>
      </c>
      <c r="GL144" s="180" t="n">
        <v>12.53145430616</v>
      </c>
      <c r="GM144" s="180" t="n">
        <v>12.60118999418</v>
      </c>
      <c r="GN144" s="180" t="n">
        <v>12.6709256822</v>
      </c>
      <c r="GO144" s="180" t="n">
        <v>12.74066137022</v>
      </c>
      <c r="GP144" s="180" t="n">
        <v>12.81039705824</v>
      </c>
      <c r="GQ144" s="180" t="n">
        <v>12.88013274626</v>
      </c>
      <c r="GR144" s="180" t="n">
        <v>12.94986843428</v>
      </c>
      <c r="GS144" s="180" t="n">
        <v>13.0196041223</v>
      </c>
      <c r="GT144" s="180" t="n">
        <v>13.08933981032</v>
      </c>
      <c r="GU144" s="180" t="n">
        <v>13.15907549834</v>
      </c>
      <c r="GV144" s="180" t="n">
        <v>13.22881118636</v>
      </c>
      <c r="GW144" s="180" t="n">
        <v>13.29854687438</v>
      </c>
      <c r="GX144" s="180" t="n">
        <v>13.3682825624</v>
      </c>
      <c r="GY144" s="180" t="n">
        <v>13.43801825042</v>
      </c>
      <c r="GZ144" s="180" t="n">
        <v>13.50775393844</v>
      </c>
      <c r="HA144" s="180" t="n">
        <v>13.57748962646</v>
      </c>
      <c r="HB144" s="180" t="n">
        <v>13.64722531448</v>
      </c>
      <c r="HC144" s="180" t="n">
        <v>13.7169610025</v>
      </c>
      <c r="HD144" s="180" t="n">
        <v>13.78669669052</v>
      </c>
      <c r="HE144" s="180" t="n">
        <v>13.85643237854</v>
      </c>
      <c r="HF144" s="180" t="n">
        <v>13.92616806656</v>
      </c>
      <c r="HG144" s="180" t="n">
        <v>13.99590375458</v>
      </c>
      <c r="HH144" s="180" t="n">
        <v>14.0656394426</v>
      </c>
      <c r="HI144" s="180" t="n">
        <v>14.13537513062</v>
      </c>
      <c r="HJ144" s="180" t="n">
        <v>14.20511081864</v>
      </c>
      <c r="HK144" s="180" t="n">
        <v>14.27484650666</v>
      </c>
      <c r="HL144" s="180" t="n">
        <v>14.34458219468</v>
      </c>
      <c r="HM144" s="180" t="n">
        <v>14.4143178827</v>
      </c>
      <c r="HN144" s="180" t="n">
        <v>14.48405357072</v>
      </c>
      <c r="HO144" s="180" t="n">
        <v>14.55378925874</v>
      </c>
      <c r="HP144" s="180" t="n">
        <v>14.62352494676</v>
      </c>
      <c r="HQ144" s="180" t="n">
        <v>14.69326063478</v>
      </c>
      <c r="HR144" s="180" t="n">
        <v>14.7629963228</v>
      </c>
      <c r="HS144" s="180" t="n">
        <v>14.83273201082</v>
      </c>
      <c r="HT144" s="180" t="n">
        <v>14.90246769884</v>
      </c>
      <c r="HU144" s="180" t="n">
        <v>14.97220338686</v>
      </c>
      <c r="HV144" s="180" t="n">
        <v>15.04193907488</v>
      </c>
      <c r="HW144" s="180" t="n">
        <v>15.1116747629</v>
      </c>
      <c r="HX144" s="180" t="n">
        <v>15.18141045092</v>
      </c>
      <c r="HY144" s="180" t="n">
        <v>15.25114613894</v>
      </c>
      <c r="HZ144" s="180" t="n">
        <v>15.32088182696</v>
      </c>
      <c r="IA144" s="180" t="n">
        <v>15.39061751498</v>
      </c>
      <c r="IB144" s="180" t="n">
        <v>15.460353203</v>
      </c>
      <c r="IC144" s="180" t="n">
        <v>15.53008889102</v>
      </c>
      <c r="ID144" s="180" t="n">
        <v>15.59982457904</v>
      </c>
      <c r="IE144" s="180" t="n">
        <v>15.66956026706</v>
      </c>
      <c r="IF144" s="180" t="n">
        <v>15.73929595508</v>
      </c>
      <c r="IG144" s="180" t="n">
        <v>15.8090316431</v>
      </c>
      <c r="IH144" s="180" t="n">
        <v>15.87876733112</v>
      </c>
      <c r="II144" s="180" t="n">
        <v>15.94850301914</v>
      </c>
      <c r="IJ144" s="180" t="n">
        <v>16.01823870716</v>
      </c>
      <c r="IK144" s="180" t="n">
        <v>16.08797439518</v>
      </c>
      <c r="IL144" s="180" t="n">
        <v>16.1577100832</v>
      </c>
      <c r="IM144" s="180" t="n">
        <v>16.22744577122</v>
      </c>
      <c r="IN144" s="180" t="n">
        <v>16.29718145924</v>
      </c>
      <c r="IO144" s="180" t="n">
        <v>16.36691714726</v>
      </c>
      <c r="IP144" s="180" t="n">
        <v>16.43665283528</v>
      </c>
      <c r="IQ144" s="180" t="n">
        <v>16.5063885233</v>
      </c>
      <c r="IR144" s="180" t="n">
        <v>16.57612421132</v>
      </c>
      <c r="IS144" s="180" t="n">
        <v>16.64585989934</v>
      </c>
      <c r="IT144" s="180" t="n">
        <v>16.71559558736</v>
      </c>
      <c r="IU144" s="180" t="n">
        <v>16.78533127538</v>
      </c>
      <c r="IV144" s="180" t="n">
        <v>16.8550669634</v>
      </c>
    </row>
    <row r="145" customFormat="false" ht="12.75" hidden="false" customHeight="false" outlineLevel="0" collapsed="false">
      <c r="A145" s="189" t="n">
        <v>41091</v>
      </c>
      <c r="B145" s="185" t="n">
        <v>-2.021005929375</v>
      </c>
      <c r="C145" s="185" t="n">
        <v>-1.9907047400625</v>
      </c>
      <c r="D145" s="185" t="n">
        <v>-1.96040355075</v>
      </c>
      <c r="E145" s="185" t="n">
        <v>-1.9301023614375</v>
      </c>
      <c r="F145" s="185" t="n">
        <v>-1.899801172125</v>
      </c>
      <c r="G145" s="185" t="n">
        <v>-1.8694999828125</v>
      </c>
      <c r="H145" s="185" t="n">
        <v>-1.8391987935</v>
      </c>
      <c r="I145" s="185" t="n">
        <v>-1.8088976041875</v>
      </c>
      <c r="J145" s="185" t="n">
        <v>-1.778596414875</v>
      </c>
      <c r="K145" s="185" t="n">
        <v>-1.7482952255625</v>
      </c>
      <c r="L145" s="185" t="n">
        <v>-1.71799403625</v>
      </c>
      <c r="M145" s="185" t="n">
        <v>-1.6876928469375</v>
      </c>
      <c r="N145" s="185" t="n">
        <v>-1.657391657625</v>
      </c>
      <c r="O145" s="185" t="n">
        <v>-1.6270904683125</v>
      </c>
      <c r="P145" s="185" t="n">
        <v>-1.596789279</v>
      </c>
      <c r="Q145" s="185" t="n">
        <v>-1.5664880896875</v>
      </c>
      <c r="R145" s="185" t="n">
        <v>-1.536186900375</v>
      </c>
      <c r="S145" s="185" t="n">
        <v>-1.5058857110625</v>
      </c>
      <c r="T145" s="185" t="n">
        <v>-1.47558452175</v>
      </c>
      <c r="U145" s="185" t="n">
        <v>-1.4452833324375</v>
      </c>
      <c r="V145" s="186" t="n">
        <v>-1.414982143125</v>
      </c>
      <c r="W145" s="185" t="n">
        <v>-1.3846809538125</v>
      </c>
      <c r="X145" s="186" t="n">
        <v>-1.3543797645</v>
      </c>
      <c r="Y145" s="185" t="n">
        <v>-1.3240785751875</v>
      </c>
      <c r="Z145" s="186" t="n">
        <v>-1.293777385875</v>
      </c>
      <c r="AA145" s="185" t="n">
        <v>-1.2634761965625</v>
      </c>
      <c r="AB145" s="187" t="n">
        <v>-1.23317500725</v>
      </c>
      <c r="AC145" s="185" t="n">
        <v>-1.2028738179375</v>
      </c>
      <c r="AD145" s="187" t="n">
        <v>-1.172572628625</v>
      </c>
      <c r="AE145" s="185" t="n">
        <v>-1.1422714393125</v>
      </c>
      <c r="AF145" s="185" t="n">
        <v>-1.11197025</v>
      </c>
      <c r="AG145" s="190" t="n">
        <v>-1.083235125</v>
      </c>
      <c r="AH145" s="190" t="n">
        <v>-1.0545</v>
      </c>
      <c r="AI145" s="190" t="n">
        <v>-1.02725</v>
      </c>
      <c r="AJ145" s="190" t="n">
        <v>-1</v>
      </c>
      <c r="AK145" s="190" t="n">
        <v>-0.8</v>
      </c>
      <c r="AL145" s="190" t="n">
        <v>-0.6</v>
      </c>
      <c r="AM145" s="190" t="n">
        <v>-0.4</v>
      </c>
      <c r="AN145" s="190" t="n">
        <v>-0.2</v>
      </c>
      <c r="AO145" s="190" t="n">
        <v>0</v>
      </c>
      <c r="AP145" s="190" t="n">
        <v>0.2</v>
      </c>
      <c r="AQ145" s="190" t="n">
        <v>0.4</v>
      </c>
      <c r="AR145" s="190" t="n">
        <v>0.6</v>
      </c>
      <c r="AS145" s="190" t="n">
        <v>0.8</v>
      </c>
      <c r="AT145" s="190" t="n">
        <v>1</v>
      </c>
      <c r="AU145" s="190" t="n">
        <v>1.2</v>
      </c>
      <c r="AV145" s="190" t="n">
        <v>1.4</v>
      </c>
      <c r="AW145" s="190" t="n">
        <v>1.58</v>
      </c>
      <c r="AX145" s="190" t="n">
        <v>1.76</v>
      </c>
      <c r="AY145" s="190" t="n">
        <v>1.922</v>
      </c>
      <c r="AZ145" s="190" t="n">
        <v>2.084</v>
      </c>
      <c r="BA145" s="190" t="n">
        <v>2.2298</v>
      </c>
      <c r="BB145" s="190" t="n">
        <v>2.3756</v>
      </c>
      <c r="BC145" s="190" t="n">
        <v>2.50682</v>
      </c>
      <c r="BD145" s="190" t="n">
        <v>2.63804</v>
      </c>
      <c r="BE145" s="190" t="n">
        <v>2.756138</v>
      </c>
      <c r="BF145" s="190" t="n">
        <v>2.874236</v>
      </c>
      <c r="BG145" s="190" t="n">
        <v>2.9805242</v>
      </c>
      <c r="BH145" s="190" t="n">
        <v>3.0868124</v>
      </c>
      <c r="BI145" s="190" t="n">
        <v>3.18247178</v>
      </c>
      <c r="BJ145" s="190" t="n">
        <v>3.27813116</v>
      </c>
      <c r="BK145" s="190" t="n">
        <v>3.364224602</v>
      </c>
      <c r="BL145" s="190" t="n">
        <v>3.450318044</v>
      </c>
      <c r="BM145" s="190" t="n">
        <v>3.5278021418</v>
      </c>
      <c r="BN145" s="190" t="n">
        <v>3.6052862396</v>
      </c>
      <c r="BO145" s="190" t="n">
        <v>3.67502192762</v>
      </c>
      <c r="BP145" s="190" t="n">
        <v>3.74475761564</v>
      </c>
      <c r="BQ145" s="190" t="n">
        <v>3.81449330366</v>
      </c>
      <c r="BR145" s="190" t="n">
        <v>3.88422899168</v>
      </c>
      <c r="BS145" s="190" t="n">
        <v>3.9539646797</v>
      </c>
      <c r="BT145" s="190" t="n">
        <v>4.02370036772</v>
      </c>
      <c r="BU145" s="190" t="n">
        <v>4.09343605574</v>
      </c>
      <c r="BV145" s="190" t="n">
        <v>4.16317174376</v>
      </c>
      <c r="BW145" s="190" t="n">
        <v>4.23290743178</v>
      </c>
      <c r="BX145" s="190" t="n">
        <v>4.3026431198</v>
      </c>
      <c r="BY145" s="190" t="n">
        <v>4.37237880782</v>
      </c>
      <c r="BZ145" s="190" t="n">
        <v>4.44211449584</v>
      </c>
      <c r="CA145" s="190" t="n">
        <v>4.51185018386</v>
      </c>
      <c r="CB145" s="190" t="n">
        <v>4.58158587188</v>
      </c>
      <c r="CC145" s="190" t="n">
        <v>4.6513215599</v>
      </c>
      <c r="CD145" s="190" t="n">
        <v>4.72105724792</v>
      </c>
      <c r="CE145" s="190" t="n">
        <v>4.79079293594</v>
      </c>
      <c r="CF145" s="190" t="n">
        <v>4.86052862396</v>
      </c>
      <c r="CG145" s="190" t="n">
        <v>4.93026431198</v>
      </c>
      <c r="CH145" s="190" t="n">
        <v>5</v>
      </c>
      <c r="CI145" s="190" t="n">
        <v>5.06973568801999</v>
      </c>
      <c r="CJ145" s="190" t="n">
        <v>5.13947137603999</v>
      </c>
      <c r="CK145" s="190" t="n">
        <v>5.20920706405999</v>
      </c>
      <c r="CL145" s="190" t="n">
        <v>5.27894275207999</v>
      </c>
      <c r="CM145" s="190" t="n">
        <v>5.34867844009999</v>
      </c>
      <c r="CN145" s="190" t="n">
        <v>5.41841412811999</v>
      </c>
      <c r="CO145" s="190" t="n">
        <v>5.48814981613999</v>
      </c>
      <c r="CP145" s="190" t="n">
        <v>5.55788550415999</v>
      </c>
      <c r="CQ145" s="190" t="n">
        <v>5.62762119217999</v>
      </c>
      <c r="CR145" s="190" t="n">
        <v>5.69735688019999</v>
      </c>
      <c r="CS145" s="190" t="n">
        <v>5.76709256821999</v>
      </c>
      <c r="CT145" s="190" t="n">
        <v>5.83682825623999</v>
      </c>
      <c r="CU145" s="190" t="n">
        <v>5.90656394425999</v>
      </c>
      <c r="CV145" s="190" t="n">
        <v>5.97629963227999</v>
      </c>
      <c r="CW145" s="190" t="n">
        <v>6.04603532029999</v>
      </c>
      <c r="CX145" s="190" t="n">
        <v>6.11577100831999</v>
      </c>
      <c r="CY145" s="190" t="n">
        <v>6.18550669633999</v>
      </c>
      <c r="CZ145" s="190" t="n">
        <v>6.25524238435999</v>
      </c>
      <c r="DA145" s="190" t="n">
        <v>6.32497807237999</v>
      </c>
      <c r="DB145" s="190" t="n">
        <v>6.39471376039999</v>
      </c>
      <c r="DC145" s="190" t="n">
        <v>6.46444944841999</v>
      </c>
      <c r="DD145" s="190" t="n">
        <v>6.53418513643999</v>
      </c>
      <c r="DE145" s="190" t="n">
        <v>6.60392082445999</v>
      </c>
      <c r="DF145" s="190" t="n">
        <v>6.67365651247999</v>
      </c>
      <c r="DG145" s="190" t="n">
        <v>6.74339220049999</v>
      </c>
      <c r="DH145" s="190" t="n">
        <v>6.81312788851999</v>
      </c>
      <c r="DI145" s="190" t="n">
        <v>6.88286357653999</v>
      </c>
      <c r="DJ145" s="190" t="n">
        <v>6.95259926455999</v>
      </c>
      <c r="DK145" s="190" t="n">
        <v>7.02233495257999</v>
      </c>
      <c r="DL145" s="190" t="n">
        <v>7.09207064059999</v>
      </c>
      <c r="DM145" s="190" t="n">
        <v>7.16180632861999</v>
      </c>
      <c r="DN145" s="190" t="n">
        <v>7.23154201663999</v>
      </c>
      <c r="DO145" s="190" t="n">
        <v>7.30127770465999</v>
      </c>
      <c r="DP145" s="190" t="n">
        <v>7.37101339267999</v>
      </c>
      <c r="DQ145" s="190" t="n">
        <v>7.44074908069999</v>
      </c>
      <c r="DR145" s="190" t="n">
        <v>7.51048476871999</v>
      </c>
      <c r="DS145" s="190" t="n">
        <v>7.58022045673999</v>
      </c>
      <c r="DT145" s="190" t="n">
        <v>7.64995614475999</v>
      </c>
      <c r="DU145" s="190" t="n">
        <v>7.71969183277999</v>
      </c>
      <c r="DV145" s="190" t="n">
        <v>7.78942752079998</v>
      </c>
      <c r="DW145" s="190" t="n">
        <v>7.85916320881998</v>
      </c>
      <c r="DX145" s="190" t="n">
        <v>7.92889889683998</v>
      </c>
      <c r="DY145" s="190" t="n">
        <v>7.99863458485998</v>
      </c>
      <c r="DZ145" s="190" t="n">
        <v>8.06837027287998</v>
      </c>
      <c r="EA145" s="190" t="n">
        <v>8.13810596089998</v>
      </c>
      <c r="EB145" s="190" t="n">
        <v>8.20784164891998</v>
      </c>
      <c r="EC145" s="190" t="n">
        <v>8.27757733693998</v>
      </c>
      <c r="ED145" s="190" t="n">
        <v>8.34731302495998</v>
      </c>
      <c r="EE145" s="190" t="n">
        <v>8.41704871297998</v>
      </c>
      <c r="EF145" s="190" t="n">
        <v>8.48678440099998</v>
      </c>
      <c r="EG145" s="190" t="n">
        <v>8.55652008901998</v>
      </c>
      <c r="EH145" s="190" t="n">
        <v>8.62625577703998</v>
      </c>
      <c r="EI145" s="190" t="n">
        <v>8.69599146505998</v>
      </c>
      <c r="EJ145" s="190" t="n">
        <v>8.76572715307998</v>
      </c>
      <c r="EK145" s="190" t="n">
        <v>8.83546284109998</v>
      </c>
      <c r="EL145" s="180" t="n">
        <v>8.90519852911998</v>
      </c>
      <c r="EM145" s="180" t="n">
        <v>8.97493421713998</v>
      </c>
      <c r="EN145" s="180" t="n">
        <v>9.04466990515998</v>
      </c>
      <c r="EO145" s="180" t="n">
        <v>9.11440559317998</v>
      </c>
      <c r="EP145" s="180" t="n">
        <v>9.18414128119998</v>
      </c>
      <c r="EQ145" s="180" t="n">
        <v>9.25387696921998</v>
      </c>
      <c r="ER145" s="180" t="n">
        <v>9.32361265723998</v>
      </c>
      <c r="ES145" s="180" t="n">
        <v>9.39334834525998</v>
      </c>
      <c r="ET145" s="180" t="n">
        <v>9.46308403327998</v>
      </c>
      <c r="EU145" s="180" t="n">
        <v>9.53281972129998</v>
      </c>
      <c r="EV145" s="180" t="n">
        <v>9.60255540931998</v>
      </c>
      <c r="EW145" s="180" t="n">
        <v>9.67229109733998</v>
      </c>
      <c r="EX145" s="180" t="n">
        <v>9.74202678535998</v>
      </c>
      <c r="EY145" s="180" t="n">
        <v>9.81176247337998</v>
      </c>
      <c r="EZ145" s="180" t="n">
        <v>9.88149816139998</v>
      </c>
      <c r="FA145" s="180" t="n">
        <v>9.95123384941998</v>
      </c>
      <c r="FB145" s="180" t="n">
        <v>10.02096953744</v>
      </c>
      <c r="FC145" s="180" t="n">
        <v>10.09070522546</v>
      </c>
      <c r="FD145" s="180" t="n">
        <v>10.16044091348</v>
      </c>
      <c r="FE145" s="180" t="n">
        <v>10.2301766015</v>
      </c>
      <c r="FF145" s="180" t="n">
        <v>10.29991228952</v>
      </c>
      <c r="FG145" s="180" t="n">
        <v>10.36964797754</v>
      </c>
      <c r="FH145" s="180" t="n">
        <v>10.43938366556</v>
      </c>
      <c r="FI145" s="180" t="n">
        <v>10.50911935358</v>
      </c>
      <c r="FJ145" s="180" t="n">
        <v>10.5788550416</v>
      </c>
      <c r="FK145" s="180" t="n">
        <v>10.64859072962</v>
      </c>
      <c r="FL145" s="180" t="n">
        <v>10.71832641764</v>
      </c>
      <c r="FM145" s="180" t="n">
        <v>10.78806210566</v>
      </c>
      <c r="FN145" s="180" t="n">
        <v>10.85779779368</v>
      </c>
      <c r="FO145" s="180" t="n">
        <v>10.9275334817</v>
      </c>
      <c r="FP145" s="180" t="n">
        <v>10.99726916972</v>
      </c>
      <c r="FQ145" s="180" t="n">
        <v>11.06700485774</v>
      </c>
      <c r="FR145" s="180" t="n">
        <v>11.13674054576</v>
      </c>
      <c r="FS145" s="180" t="n">
        <v>11.20647623378</v>
      </c>
      <c r="FT145" s="180" t="n">
        <v>11.2762119218</v>
      </c>
      <c r="FU145" s="180" t="n">
        <v>11.34594760982</v>
      </c>
      <c r="FV145" s="180" t="n">
        <v>11.41568329784</v>
      </c>
      <c r="FW145" s="180" t="n">
        <v>11.48541898586</v>
      </c>
      <c r="FX145" s="180" t="n">
        <v>11.55515467388</v>
      </c>
      <c r="FY145" s="180" t="n">
        <v>11.6248903619</v>
      </c>
      <c r="FZ145" s="180" t="n">
        <v>11.69462604992</v>
      </c>
      <c r="GA145" s="180" t="n">
        <v>11.76436173794</v>
      </c>
      <c r="GB145" s="180" t="n">
        <v>11.83409742596</v>
      </c>
      <c r="GC145" s="180" t="n">
        <v>11.90383311398</v>
      </c>
      <c r="GD145" s="180" t="n">
        <v>11.973568802</v>
      </c>
      <c r="GE145" s="180" t="n">
        <v>12.04330449002</v>
      </c>
      <c r="GF145" s="180" t="n">
        <v>12.11304017804</v>
      </c>
      <c r="GG145" s="180" t="n">
        <v>12.18277586606</v>
      </c>
      <c r="GH145" s="180" t="n">
        <v>12.25251155408</v>
      </c>
      <c r="GI145" s="180" t="n">
        <v>12.3222472421</v>
      </c>
      <c r="GJ145" s="180" t="n">
        <v>12.39198293012</v>
      </c>
      <c r="GK145" s="180" t="n">
        <v>12.46171861814</v>
      </c>
      <c r="GL145" s="180" t="n">
        <v>12.53145430616</v>
      </c>
      <c r="GM145" s="180" t="n">
        <v>12.60118999418</v>
      </c>
      <c r="GN145" s="180" t="n">
        <v>12.6709256822</v>
      </c>
      <c r="GO145" s="180" t="n">
        <v>12.74066137022</v>
      </c>
      <c r="GP145" s="180" t="n">
        <v>12.81039705824</v>
      </c>
      <c r="GQ145" s="180" t="n">
        <v>12.88013274626</v>
      </c>
      <c r="GR145" s="180" t="n">
        <v>12.94986843428</v>
      </c>
      <c r="GS145" s="180" t="n">
        <v>13.0196041223</v>
      </c>
      <c r="GT145" s="180" t="n">
        <v>13.08933981032</v>
      </c>
      <c r="GU145" s="180" t="n">
        <v>13.15907549834</v>
      </c>
      <c r="GV145" s="180" t="n">
        <v>13.22881118636</v>
      </c>
      <c r="GW145" s="180" t="n">
        <v>13.29854687438</v>
      </c>
      <c r="GX145" s="180" t="n">
        <v>13.3682825624</v>
      </c>
      <c r="GY145" s="180" t="n">
        <v>13.43801825042</v>
      </c>
      <c r="GZ145" s="180" t="n">
        <v>13.50775393844</v>
      </c>
      <c r="HA145" s="180" t="n">
        <v>13.57748962646</v>
      </c>
      <c r="HB145" s="180" t="n">
        <v>13.64722531448</v>
      </c>
      <c r="HC145" s="180" t="n">
        <v>13.7169610025</v>
      </c>
      <c r="HD145" s="180" t="n">
        <v>13.78669669052</v>
      </c>
      <c r="HE145" s="180" t="n">
        <v>13.85643237854</v>
      </c>
      <c r="HF145" s="180" t="n">
        <v>13.92616806656</v>
      </c>
      <c r="HG145" s="180" t="n">
        <v>13.99590375458</v>
      </c>
      <c r="HH145" s="180" t="n">
        <v>14.0656394426</v>
      </c>
      <c r="HI145" s="180" t="n">
        <v>14.13537513062</v>
      </c>
      <c r="HJ145" s="180" t="n">
        <v>14.20511081864</v>
      </c>
      <c r="HK145" s="180" t="n">
        <v>14.27484650666</v>
      </c>
      <c r="HL145" s="180" t="n">
        <v>14.34458219468</v>
      </c>
      <c r="HM145" s="180" t="n">
        <v>14.4143178827</v>
      </c>
      <c r="HN145" s="180" t="n">
        <v>14.48405357072</v>
      </c>
      <c r="HO145" s="180" t="n">
        <v>14.55378925874</v>
      </c>
      <c r="HP145" s="180" t="n">
        <v>14.62352494676</v>
      </c>
      <c r="HQ145" s="180" t="n">
        <v>14.69326063478</v>
      </c>
      <c r="HR145" s="180" t="n">
        <v>14.7629963228</v>
      </c>
      <c r="HS145" s="180" t="n">
        <v>14.83273201082</v>
      </c>
      <c r="HT145" s="180" t="n">
        <v>14.90246769884</v>
      </c>
      <c r="HU145" s="180" t="n">
        <v>14.97220338686</v>
      </c>
      <c r="HV145" s="180" t="n">
        <v>15.04193907488</v>
      </c>
      <c r="HW145" s="180" t="n">
        <v>15.1116747629</v>
      </c>
      <c r="HX145" s="180" t="n">
        <v>15.18141045092</v>
      </c>
      <c r="HY145" s="180" t="n">
        <v>15.25114613894</v>
      </c>
      <c r="HZ145" s="180" t="n">
        <v>15.32088182696</v>
      </c>
      <c r="IA145" s="180" t="n">
        <v>15.39061751498</v>
      </c>
      <c r="IB145" s="180" t="n">
        <v>15.460353203</v>
      </c>
      <c r="IC145" s="180" t="n">
        <v>15.53008889102</v>
      </c>
      <c r="ID145" s="180" t="n">
        <v>15.59982457904</v>
      </c>
      <c r="IE145" s="180" t="n">
        <v>15.66956026706</v>
      </c>
      <c r="IF145" s="180" t="n">
        <v>15.73929595508</v>
      </c>
      <c r="IG145" s="180" t="n">
        <v>15.8090316431</v>
      </c>
      <c r="IH145" s="180" t="n">
        <v>15.87876733112</v>
      </c>
      <c r="II145" s="180" t="n">
        <v>15.94850301914</v>
      </c>
      <c r="IJ145" s="180" t="n">
        <v>16.01823870716</v>
      </c>
      <c r="IK145" s="180" t="n">
        <v>16.08797439518</v>
      </c>
      <c r="IL145" s="180" t="n">
        <v>16.1577100832</v>
      </c>
      <c r="IM145" s="180" t="n">
        <v>16.22744577122</v>
      </c>
      <c r="IN145" s="180" t="n">
        <v>16.29718145924</v>
      </c>
      <c r="IO145" s="180" t="n">
        <v>16.36691714726</v>
      </c>
      <c r="IP145" s="180" t="n">
        <v>16.43665283528</v>
      </c>
      <c r="IQ145" s="180" t="n">
        <v>16.5063885233</v>
      </c>
      <c r="IR145" s="180" t="n">
        <v>16.57612421132</v>
      </c>
      <c r="IS145" s="180" t="n">
        <v>16.64585989934</v>
      </c>
      <c r="IT145" s="180" t="n">
        <v>16.71559558736</v>
      </c>
      <c r="IU145" s="180" t="n">
        <v>16.78533127538</v>
      </c>
      <c r="IV145" s="180" t="n">
        <v>16.8550669634</v>
      </c>
    </row>
    <row r="146" customFormat="false" ht="12.75" hidden="false" customHeight="false" outlineLevel="0" collapsed="false">
      <c r="A146" s="189" t="n">
        <v>41122</v>
      </c>
      <c r="B146" s="185" t="n">
        <v>-2.021005929375</v>
      </c>
      <c r="C146" s="185" t="n">
        <v>-1.9907047400625</v>
      </c>
      <c r="D146" s="185" t="n">
        <v>-1.96040355075</v>
      </c>
      <c r="E146" s="185" t="n">
        <v>-1.9301023614375</v>
      </c>
      <c r="F146" s="185" t="n">
        <v>-1.899801172125</v>
      </c>
      <c r="G146" s="185" t="n">
        <v>-1.8694999828125</v>
      </c>
      <c r="H146" s="185" t="n">
        <v>-1.8391987935</v>
      </c>
      <c r="I146" s="185" t="n">
        <v>-1.8088976041875</v>
      </c>
      <c r="J146" s="185" t="n">
        <v>-1.778596414875</v>
      </c>
      <c r="K146" s="185" t="n">
        <v>-1.7482952255625</v>
      </c>
      <c r="L146" s="185" t="n">
        <v>-1.71799403625</v>
      </c>
      <c r="M146" s="185" t="n">
        <v>-1.6876928469375</v>
      </c>
      <c r="N146" s="185" t="n">
        <v>-1.657391657625</v>
      </c>
      <c r="O146" s="185" t="n">
        <v>-1.6270904683125</v>
      </c>
      <c r="P146" s="185" t="n">
        <v>-1.596789279</v>
      </c>
      <c r="Q146" s="185" t="n">
        <v>-1.5664880896875</v>
      </c>
      <c r="R146" s="185" t="n">
        <v>-1.536186900375</v>
      </c>
      <c r="S146" s="185" t="n">
        <v>-1.5058857110625</v>
      </c>
      <c r="T146" s="185" t="n">
        <v>-1.47558452175</v>
      </c>
      <c r="U146" s="185" t="n">
        <v>-1.4452833324375</v>
      </c>
      <c r="V146" s="186" t="n">
        <v>-1.414982143125</v>
      </c>
      <c r="W146" s="185" t="n">
        <v>-1.3846809538125</v>
      </c>
      <c r="X146" s="186" t="n">
        <v>-1.3543797645</v>
      </c>
      <c r="Y146" s="185" t="n">
        <v>-1.3240785751875</v>
      </c>
      <c r="Z146" s="186" t="n">
        <v>-1.293777385875</v>
      </c>
      <c r="AA146" s="185" t="n">
        <v>-1.2634761965625</v>
      </c>
      <c r="AB146" s="187" t="n">
        <v>-1.23317500725</v>
      </c>
      <c r="AC146" s="185" t="n">
        <v>-1.2028738179375</v>
      </c>
      <c r="AD146" s="187" t="n">
        <v>-1.172572628625</v>
      </c>
      <c r="AE146" s="185" t="n">
        <v>-1.1422714393125</v>
      </c>
      <c r="AF146" s="185" t="n">
        <v>-1.11197025</v>
      </c>
      <c r="AG146" s="190" t="n">
        <v>-1.083235125</v>
      </c>
      <c r="AH146" s="190" t="n">
        <v>-1.0545</v>
      </c>
      <c r="AI146" s="190" t="n">
        <v>-1.02725</v>
      </c>
      <c r="AJ146" s="190" t="n">
        <v>-1</v>
      </c>
      <c r="AK146" s="190" t="n">
        <v>-0.8</v>
      </c>
      <c r="AL146" s="190" t="n">
        <v>-0.6</v>
      </c>
      <c r="AM146" s="190" t="n">
        <v>-0.4</v>
      </c>
      <c r="AN146" s="190" t="n">
        <v>-0.2</v>
      </c>
      <c r="AO146" s="190" t="n">
        <v>0</v>
      </c>
      <c r="AP146" s="190" t="n">
        <v>0.2</v>
      </c>
      <c r="AQ146" s="190" t="n">
        <v>0.4</v>
      </c>
      <c r="AR146" s="190" t="n">
        <v>0.6</v>
      </c>
      <c r="AS146" s="190" t="n">
        <v>0.8</v>
      </c>
      <c r="AT146" s="190" t="n">
        <v>1</v>
      </c>
      <c r="AU146" s="190" t="n">
        <v>1.2</v>
      </c>
      <c r="AV146" s="190" t="n">
        <v>1.4</v>
      </c>
      <c r="AW146" s="190" t="n">
        <v>1.58</v>
      </c>
      <c r="AX146" s="190" t="n">
        <v>1.76</v>
      </c>
      <c r="AY146" s="190" t="n">
        <v>1.922</v>
      </c>
      <c r="AZ146" s="190" t="n">
        <v>2.084</v>
      </c>
      <c r="BA146" s="190" t="n">
        <v>2.2298</v>
      </c>
      <c r="BB146" s="190" t="n">
        <v>2.3756</v>
      </c>
      <c r="BC146" s="190" t="n">
        <v>2.50682</v>
      </c>
      <c r="BD146" s="190" t="n">
        <v>2.63804</v>
      </c>
      <c r="BE146" s="190" t="n">
        <v>2.756138</v>
      </c>
      <c r="BF146" s="190" t="n">
        <v>2.874236</v>
      </c>
      <c r="BG146" s="190" t="n">
        <v>2.9805242</v>
      </c>
      <c r="BH146" s="190" t="n">
        <v>3.0868124</v>
      </c>
      <c r="BI146" s="190" t="n">
        <v>3.18247178</v>
      </c>
      <c r="BJ146" s="190" t="n">
        <v>3.27813116</v>
      </c>
      <c r="BK146" s="190" t="n">
        <v>3.364224602</v>
      </c>
      <c r="BL146" s="190" t="n">
        <v>3.450318044</v>
      </c>
      <c r="BM146" s="190" t="n">
        <v>3.5278021418</v>
      </c>
      <c r="BN146" s="190" t="n">
        <v>3.6052862396</v>
      </c>
      <c r="BO146" s="190" t="n">
        <v>3.67502192762</v>
      </c>
      <c r="BP146" s="190" t="n">
        <v>3.74475761564</v>
      </c>
      <c r="BQ146" s="190" t="n">
        <v>3.81449330366</v>
      </c>
      <c r="BR146" s="190" t="n">
        <v>3.88422899168</v>
      </c>
      <c r="BS146" s="190" t="n">
        <v>3.9539646797</v>
      </c>
      <c r="BT146" s="190" t="n">
        <v>4.02370036772</v>
      </c>
      <c r="BU146" s="190" t="n">
        <v>4.09343605574</v>
      </c>
      <c r="BV146" s="190" t="n">
        <v>4.16317174376</v>
      </c>
      <c r="BW146" s="190" t="n">
        <v>4.23290743178</v>
      </c>
      <c r="BX146" s="190" t="n">
        <v>4.3026431198</v>
      </c>
      <c r="BY146" s="190" t="n">
        <v>4.37237880782</v>
      </c>
      <c r="BZ146" s="190" t="n">
        <v>4.44211449584</v>
      </c>
      <c r="CA146" s="190" t="n">
        <v>4.51185018386</v>
      </c>
      <c r="CB146" s="190" t="n">
        <v>4.58158587188</v>
      </c>
      <c r="CC146" s="190" t="n">
        <v>4.6513215599</v>
      </c>
      <c r="CD146" s="190" t="n">
        <v>4.72105724792</v>
      </c>
      <c r="CE146" s="190" t="n">
        <v>4.79079293594</v>
      </c>
      <c r="CF146" s="190" t="n">
        <v>4.86052862396</v>
      </c>
      <c r="CG146" s="190" t="n">
        <v>4.93026431198</v>
      </c>
      <c r="CH146" s="190" t="n">
        <v>5</v>
      </c>
      <c r="CI146" s="190" t="n">
        <v>5.06973568801999</v>
      </c>
      <c r="CJ146" s="190" t="n">
        <v>5.13947137603999</v>
      </c>
      <c r="CK146" s="190" t="n">
        <v>5.20920706405999</v>
      </c>
      <c r="CL146" s="190" t="n">
        <v>5.27894275207999</v>
      </c>
      <c r="CM146" s="190" t="n">
        <v>5.34867844009999</v>
      </c>
      <c r="CN146" s="190" t="n">
        <v>5.41841412811999</v>
      </c>
      <c r="CO146" s="190" t="n">
        <v>5.48814981613999</v>
      </c>
      <c r="CP146" s="190" t="n">
        <v>5.55788550415999</v>
      </c>
      <c r="CQ146" s="190" t="n">
        <v>5.62762119217999</v>
      </c>
      <c r="CR146" s="190" t="n">
        <v>5.69735688019999</v>
      </c>
      <c r="CS146" s="190" t="n">
        <v>5.76709256821999</v>
      </c>
      <c r="CT146" s="190" t="n">
        <v>5.83682825623999</v>
      </c>
      <c r="CU146" s="190" t="n">
        <v>5.90656394425999</v>
      </c>
      <c r="CV146" s="190" t="n">
        <v>5.97629963227999</v>
      </c>
      <c r="CW146" s="190" t="n">
        <v>6.04603532029999</v>
      </c>
      <c r="CX146" s="190" t="n">
        <v>6.11577100831999</v>
      </c>
      <c r="CY146" s="190" t="n">
        <v>6.18550669633999</v>
      </c>
      <c r="CZ146" s="190" t="n">
        <v>6.25524238435999</v>
      </c>
      <c r="DA146" s="190" t="n">
        <v>6.32497807237999</v>
      </c>
      <c r="DB146" s="190" t="n">
        <v>6.39471376039999</v>
      </c>
      <c r="DC146" s="190" t="n">
        <v>6.46444944841999</v>
      </c>
      <c r="DD146" s="190" t="n">
        <v>6.53418513643999</v>
      </c>
      <c r="DE146" s="190" t="n">
        <v>6.60392082445999</v>
      </c>
      <c r="DF146" s="190" t="n">
        <v>6.67365651247999</v>
      </c>
      <c r="DG146" s="190" t="n">
        <v>6.74339220049999</v>
      </c>
      <c r="DH146" s="190" t="n">
        <v>6.81312788851999</v>
      </c>
      <c r="DI146" s="190" t="n">
        <v>6.88286357653999</v>
      </c>
      <c r="DJ146" s="190" t="n">
        <v>6.95259926455999</v>
      </c>
      <c r="DK146" s="190" t="n">
        <v>7.02233495257999</v>
      </c>
      <c r="DL146" s="190" t="n">
        <v>7.09207064059999</v>
      </c>
      <c r="DM146" s="190" t="n">
        <v>7.16180632861999</v>
      </c>
      <c r="DN146" s="190" t="n">
        <v>7.23154201663999</v>
      </c>
      <c r="DO146" s="190" t="n">
        <v>7.30127770465999</v>
      </c>
      <c r="DP146" s="190" t="n">
        <v>7.37101339267999</v>
      </c>
      <c r="DQ146" s="190" t="n">
        <v>7.44074908069999</v>
      </c>
      <c r="DR146" s="190" t="n">
        <v>7.51048476871999</v>
      </c>
      <c r="DS146" s="190" t="n">
        <v>7.58022045673999</v>
      </c>
      <c r="DT146" s="190" t="n">
        <v>7.64995614475999</v>
      </c>
      <c r="DU146" s="190" t="n">
        <v>7.71969183277999</v>
      </c>
      <c r="DV146" s="190" t="n">
        <v>7.78942752079998</v>
      </c>
      <c r="DW146" s="190" t="n">
        <v>7.85916320881998</v>
      </c>
      <c r="DX146" s="190" t="n">
        <v>7.92889889683998</v>
      </c>
      <c r="DY146" s="190" t="n">
        <v>7.99863458485998</v>
      </c>
      <c r="DZ146" s="190" t="n">
        <v>8.06837027287998</v>
      </c>
      <c r="EA146" s="190" t="n">
        <v>8.13810596089998</v>
      </c>
      <c r="EB146" s="190" t="n">
        <v>8.20784164891998</v>
      </c>
      <c r="EC146" s="190" t="n">
        <v>8.27757733693998</v>
      </c>
      <c r="ED146" s="190" t="n">
        <v>8.34731302495998</v>
      </c>
      <c r="EE146" s="190" t="n">
        <v>8.41704871297998</v>
      </c>
      <c r="EF146" s="190" t="n">
        <v>8.48678440099998</v>
      </c>
      <c r="EG146" s="190" t="n">
        <v>8.55652008901998</v>
      </c>
      <c r="EH146" s="190" t="n">
        <v>8.62625577703998</v>
      </c>
      <c r="EI146" s="190" t="n">
        <v>8.69599146505998</v>
      </c>
      <c r="EJ146" s="190" t="n">
        <v>8.76572715307998</v>
      </c>
      <c r="EK146" s="190" t="n">
        <v>8.83546284109998</v>
      </c>
      <c r="EL146" s="180" t="n">
        <v>8.90519852911998</v>
      </c>
      <c r="EM146" s="180" t="n">
        <v>8.97493421713998</v>
      </c>
      <c r="EN146" s="180" t="n">
        <v>9.04466990515998</v>
      </c>
      <c r="EO146" s="180" t="n">
        <v>9.11440559317998</v>
      </c>
      <c r="EP146" s="180" t="n">
        <v>9.18414128119998</v>
      </c>
      <c r="EQ146" s="180" t="n">
        <v>9.25387696921998</v>
      </c>
      <c r="ER146" s="180" t="n">
        <v>9.32361265723998</v>
      </c>
      <c r="ES146" s="180" t="n">
        <v>9.39334834525998</v>
      </c>
      <c r="ET146" s="180" t="n">
        <v>9.46308403327998</v>
      </c>
      <c r="EU146" s="180" t="n">
        <v>9.53281972129998</v>
      </c>
      <c r="EV146" s="180" t="n">
        <v>9.60255540931998</v>
      </c>
      <c r="EW146" s="180" t="n">
        <v>9.67229109733998</v>
      </c>
      <c r="EX146" s="180" t="n">
        <v>9.74202678535998</v>
      </c>
      <c r="EY146" s="180" t="n">
        <v>9.81176247337998</v>
      </c>
      <c r="EZ146" s="180" t="n">
        <v>9.88149816139998</v>
      </c>
      <c r="FA146" s="180" t="n">
        <v>9.95123384941998</v>
      </c>
      <c r="FB146" s="180" t="n">
        <v>10.02096953744</v>
      </c>
      <c r="FC146" s="180" t="n">
        <v>10.09070522546</v>
      </c>
      <c r="FD146" s="180" t="n">
        <v>10.16044091348</v>
      </c>
      <c r="FE146" s="180" t="n">
        <v>10.2301766015</v>
      </c>
      <c r="FF146" s="180" t="n">
        <v>10.29991228952</v>
      </c>
      <c r="FG146" s="180" t="n">
        <v>10.36964797754</v>
      </c>
      <c r="FH146" s="180" t="n">
        <v>10.43938366556</v>
      </c>
      <c r="FI146" s="180" t="n">
        <v>10.50911935358</v>
      </c>
      <c r="FJ146" s="180" t="n">
        <v>10.5788550416</v>
      </c>
      <c r="FK146" s="180" t="n">
        <v>10.64859072962</v>
      </c>
      <c r="FL146" s="180" t="n">
        <v>10.71832641764</v>
      </c>
      <c r="FM146" s="180" t="n">
        <v>10.78806210566</v>
      </c>
      <c r="FN146" s="180" t="n">
        <v>10.85779779368</v>
      </c>
      <c r="FO146" s="180" t="n">
        <v>10.9275334817</v>
      </c>
      <c r="FP146" s="180" t="n">
        <v>10.99726916972</v>
      </c>
      <c r="FQ146" s="180" t="n">
        <v>11.06700485774</v>
      </c>
      <c r="FR146" s="180" t="n">
        <v>11.13674054576</v>
      </c>
      <c r="FS146" s="180" t="n">
        <v>11.20647623378</v>
      </c>
      <c r="FT146" s="180" t="n">
        <v>11.2762119218</v>
      </c>
      <c r="FU146" s="180" t="n">
        <v>11.34594760982</v>
      </c>
      <c r="FV146" s="180" t="n">
        <v>11.41568329784</v>
      </c>
      <c r="FW146" s="180" t="n">
        <v>11.48541898586</v>
      </c>
      <c r="FX146" s="180" t="n">
        <v>11.55515467388</v>
      </c>
      <c r="FY146" s="180" t="n">
        <v>11.6248903619</v>
      </c>
      <c r="FZ146" s="180" t="n">
        <v>11.69462604992</v>
      </c>
      <c r="GA146" s="180" t="n">
        <v>11.76436173794</v>
      </c>
      <c r="GB146" s="180" t="n">
        <v>11.83409742596</v>
      </c>
      <c r="GC146" s="180" t="n">
        <v>11.90383311398</v>
      </c>
      <c r="GD146" s="180" t="n">
        <v>11.973568802</v>
      </c>
      <c r="GE146" s="180" t="n">
        <v>12.04330449002</v>
      </c>
      <c r="GF146" s="180" t="n">
        <v>12.11304017804</v>
      </c>
      <c r="GG146" s="180" t="n">
        <v>12.18277586606</v>
      </c>
      <c r="GH146" s="180" t="n">
        <v>12.25251155408</v>
      </c>
      <c r="GI146" s="180" t="n">
        <v>12.3222472421</v>
      </c>
      <c r="GJ146" s="180" t="n">
        <v>12.39198293012</v>
      </c>
      <c r="GK146" s="180" t="n">
        <v>12.46171861814</v>
      </c>
      <c r="GL146" s="180" t="n">
        <v>12.53145430616</v>
      </c>
      <c r="GM146" s="180" t="n">
        <v>12.60118999418</v>
      </c>
      <c r="GN146" s="180" t="n">
        <v>12.6709256822</v>
      </c>
      <c r="GO146" s="180" t="n">
        <v>12.74066137022</v>
      </c>
      <c r="GP146" s="180" t="n">
        <v>12.81039705824</v>
      </c>
      <c r="GQ146" s="180" t="n">
        <v>12.88013274626</v>
      </c>
      <c r="GR146" s="180" t="n">
        <v>12.94986843428</v>
      </c>
      <c r="GS146" s="180" t="n">
        <v>13.0196041223</v>
      </c>
      <c r="GT146" s="180" t="n">
        <v>13.08933981032</v>
      </c>
      <c r="GU146" s="180" t="n">
        <v>13.15907549834</v>
      </c>
      <c r="GV146" s="180" t="n">
        <v>13.22881118636</v>
      </c>
      <c r="GW146" s="180" t="n">
        <v>13.29854687438</v>
      </c>
      <c r="GX146" s="180" t="n">
        <v>13.3682825624</v>
      </c>
      <c r="GY146" s="180" t="n">
        <v>13.43801825042</v>
      </c>
      <c r="GZ146" s="180" t="n">
        <v>13.50775393844</v>
      </c>
      <c r="HA146" s="180" t="n">
        <v>13.57748962646</v>
      </c>
      <c r="HB146" s="180" t="n">
        <v>13.64722531448</v>
      </c>
      <c r="HC146" s="180" t="n">
        <v>13.7169610025</v>
      </c>
      <c r="HD146" s="180" t="n">
        <v>13.78669669052</v>
      </c>
      <c r="HE146" s="180" t="n">
        <v>13.85643237854</v>
      </c>
      <c r="HF146" s="180" t="n">
        <v>13.92616806656</v>
      </c>
      <c r="HG146" s="180" t="n">
        <v>13.99590375458</v>
      </c>
      <c r="HH146" s="180" t="n">
        <v>14.0656394426</v>
      </c>
      <c r="HI146" s="180" t="n">
        <v>14.13537513062</v>
      </c>
      <c r="HJ146" s="180" t="n">
        <v>14.20511081864</v>
      </c>
      <c r="HK146" s="180" t="n">
        <v>14.27484650666</v>
      </c>
      <c r="HL146" s="180" t="n">
        <v>14.34458219468</v>
      </c>
      <c r="HM146" s="180" t="n">
        <v>14.4143178827</v>
      </c>
      <c r="HN146" s="180" t="n">
        <v>14.48405357072</v>
      </c>
      <c r="HO146" s="180" t="n">
        <v>14.55378925874</v>
      </c>
      <c r="HP146" s="180" t="n">
        <v>14.62352494676</v>
      </c>
      <c r="HQ146" s="180" t="n">
        <v>14.69326063478</v>
      </c>
      <c r="HR146" s="180" t="n">
        <v>14.7629963228</v>
      </c>
      <c r="HS146" s="180" t="n">
        <v>14.83273201082</v>
      </c>
      <c r="HT146" s="180" t="n">
        <v>14.90246769884</v>
      </c>
      <c r="HU146" s="180" t="n">
        <v>14.97220338686</v>
      </c>
      <c r="HV146" s="180" t="n">
        <v>15.04193907488</v>
      </c>
      <c r="HW146" s="180" t="n">
        <v>15.1116747629</v>
      </c>
      <c r="HX146" s="180" t="n">
        <v>15.18141045092</v>
      </c>
      <c r="HY146" s="180" t="n">
        <v>15.25114613894</v>
      </c>
      <c r="HZ146" s="180" t="n">
        <v>15.32088182696</v>
      </c>
      <c r="IA146" s="180" t="n">
        <v>15.39061751498</v>
      </c>
      <c r="IB146" s="180" t="n">
        <v>15.460353203</v>
      </c>
      <c r="IC146" s="180" t="n">
        <v>15.53008889102</v>
      </c>
      <c r="ID146" s="180" t="n">
        <v>15.59982457904</v>
      </c>
      <c r="IE146" s="180" t="n">
        <v>15.66956026706</v>
      </c>
      <c r="IF146" s="180" t="n">
        <v>15.73929595508</v>
      </c>
      <c r="IG146" s="180" t="n">
        <v>15.8090316431</v>
      </c>
      <c r="IH146" s="180" t="n">
        <v>15.87876733112</v>
      </c>
      <c r="II146" s="180" t="n">
        <v>15.94850301914</v>
      </c>
      <c r="IJ146" s="180" t="n">
        <v>16.01823870716</v>
      </c>
      <c r="IK146" s="180" t="n">
        <v>16.08797439518</v>
      </c>
      <c r="IL146" s="180" t="n">
        <v>16.1577100832</v>
      </c>
      <c r="IM146" s="180" t="n">
        <v>16.22744577122</v>
      </c>
      <c r="IN146" s="180" t="n">
        <v>16.29718145924</v>
      </c>
      <c r="IO146" s="180" t="n">
        <v>16.36691714726</v>
      </c>
      <c r="IP146" s="180" t="n">
        <v>16.43665283528</v>
      </c>
      <c r="IQ146" s="180" t="n">
        <v>16.5063885233</v>
      </c>
      <c r="IR146" s="180" t="n">
        <v>16.57612421132</v>
      </c>
      <c r="IS146" s="180" t="n">
        <v>16.64585989934</v>
      </c>
      <c r="IT146" s="180" t="n">
        <v>16.71559558736</v>
      </c>
      <c r="IU146" s="180" t="n">
        <v>16.78533127538</v>
      </c>
      <c r="IV146" s="180" t="n">
        <v>16.8550669634</v>
      </c>
    </row>
    <row r="147" customFormat="false" ht="12.75" hidden="false" customHeight="false" outlineLevel="0" collapsed="false">
      <c r="A147" s="189" t="n">
        <v>41153</v>
      </c>
      <c r="B147" s="185" t="n">
        <v>-2.021005929375</v>
      </c>
      <c r="C147" s="185" t="n">
        <v>-1.9907047400625</v>
      </c>
      <c r="D147" s="185" t="n">
        <v>-1.96040355075</v>
      </c>
      <c r="E147" s="185" t="n">
        <v>-1.9301023614375</v>
      </c>
      <c r="F147" s="185" t="n">
        <v>-1.899801172125</v>
      </c>
      <c r="G147" s="185" t="n">
        <v>-1.8694999828125</v>
      </c>
      <c r="H147" s="185" t="n">
        <v>-1.8391987935</v>
      </c>
      <c r="I147" s="185" t="n">
        <v>-1.8088976041875</v>
      </c>
      <c r="J147" s="185" t="n">
        <v>-1.778596414875</v>
      </c>
      <c r="K147" s="185" t="n">
        <v>-1.7482952255625</v>
      </c>
      <c r="L147" s="185" t="n">
        <v>-1.71799403625</v>
      </c>
      <c r="M147" s="185" t="n">
        <v>-1.6876928469375</v>
      </c>
      <c r="N147" s="185" t="n">
        <v>-1.657391657625</v>
      </c>
      <c r="O147" s="185" t="n">
        <v>-1.6270904683125</v>
      </c>
      <c r="P147" s="185" t="n">
        <v>-1.596789279</v>
      </c>
      <c r="Q147" s="185" t="n">
        <v>-1.5664880896875</v>
      </c>
      <c r="R147" s="185" t="n">
        <v>-1.536186900375</v>
      </c>
      <c r="S147" s="185" t="n">
        <v>-1.5058857110625</v>
      </c>
      <c r="T147" s="185" t="n">
        <v>-1.47558452175</v>
      </c>
      <c r="U147" s="185" t="n">
        <v>-1.4452833324375</v>
      </c>
      <c r="V147" s="186" t="n">
        <v>-1.414982143125</v>
      </c>
      <c r="W147" s="185" t="n">
        <v>-1.3846809538125</v>
      </c>
      <c r="X147" s="186" t="n">
        <v>-1.3543797645</v>
      </c>
      <c r="Y147" s="185" t="n">
        <v>-1.3240785751875</v>
      </c>
      <c r="Z147" s="186" t="n">
        <v>-1.293777385875</v>
      </c>
      <c r="AA147" s="185" t="n">
        <v>-1.2634761965625</v>
      </c>
      <c r="AB147" s="187" t="n">
        <v>-1.23317500725</v>
      </c>
      <c r="AC147" s="185" t="n">
        <v>-1.2028738179375</v>
      </c>
      <c r="AD147" s="187" t="n">
        <v>-1.172572628625</v>
      </c>
      <c r="AE147" s="185" t="n">
        <v>-1.1422714393125</v>
      </c>
      <c r="AF147" s="185" t="n">
        <v>-1.11197025</v>
      </c>
      <c r="AG147" s="190" t="n">
        <v>-1.083235125</v>
      </c>
      <c r="AH147" s="190" t="n">
        <v>-1.0545</v>
      </c>
      <c r="AI147" s="190" t="n">
        <v>-1.02725</v>
      </c>
      <c r="AJ147" s="190" t="n">
        <v>-1</v>
      </c>
      <c r="AK147" s="190" t="n">
        <v>-0.8</v>
      </c>
      <c r="AL147" s="190" t="n">
        <v>-0.6</v>
      </c>
      <c r="AM147" s="190" t="n">
        <v>-0.4</v>
      </c>
      <c r="AN147" s="190" t="n">
        <v>-0.2</v>
      </c>
      <c r="AO147" s="190" t="n">
        <v>0</v>
      </c>
      <c r="AP147" s="190" t="n">
        <v>0.2</v>
      </c>
      <c r="AQ147" s="190" t="n">
        <v>0.4</v>
      </c>
      <c r="AR147" s="190" t="n">
        <v>0.6</v>
      </c>
      <c r="AS147" s="190" t="n">
        <v>0.8</v>
      </c>
      <c r="AT147" s="190" t="n">
        <v>1</v>
      </c>
      <c r="AU147" s="190" t="n">
        <v>1.2</v>
      </c>
      <c r="AV147" s="190" t="n">
        <v>1.4</v>
      </c>
      <c r="AW147" s="190" t="n">
        <v>1.58</v>
      </c>
      <c r="AX147" s="190" t="n">
        <v>1.76</v>
      </c>
      <c r="AY147" s="190" t="n">
        <v>1.922</v>
      </c>
      <c r="AZ147" s="190" t="n">
        <v>2.084</v>
      </c>
      <c r="BA147" s="190" t="n">
        <v>2.2298</v>
      </c>
      <c r="BB147" s="190" t="n">
        <v>2.3756</v>
      </c>
      <c r="BC147" s="190" t="n">
        <v>2.50682</v>
      </c>
      <c r="BD147" s="190" t="n">
        <v>2.63804</v>
      </c>
      <c r="BE147" s="190" t="n">
        <v>2.756138</v>
      </c>
      <c r="BF147" s="190" t="n">
        <v>2.874236</v>
      </c>
      <c r="BG147" s="190" t="n">
        <v>2.9805242</v>
      </c>
      <c r="BH147" s="190" t="n">
        <v>3.0868124</v>
      </c>
      <c r="BI147" s="190" t="n">
        <v>3.18247178</v>
      </c>
      <c r="BJ147" s="190" t="n">
        <v>3.27813116</v>
      </c>
      <c r="BK147" s="190" t="n">
        <v>3.364224602</v>
      </c>
      <c r="BL147" s="190" t="n">
        <v>3.450318044</v>
      </c>
      <c r="BM147" s="190" t="n">
        <v>3.5278021418</v>
      </c>
      <c r="BN147" s="190" t="n">
        <v>3.6052862396</v>
      </c>
      <c r="BO147" s="190" t="n">
        <v>3.67502192762</v>
      </c>
      <c r="BP147" s="190" t="n">
        <v>3.74475761564</v>
      </c>
      <c r="BQ147" s="190" t="n">
        <v>3.81449330366</v>
      </c>
      <c r="BR147" s="190" t="n">
        <v>3.88422899168</v>
      </c>
      <c r="BS147" s="190" t="n">
        <v>3.9539646797</v>
      </c>
      <c r="BT147" s="190" t="n">
        <v>4.02370036772</v>
      </c>
      <c r="BU147" s="190" t="n">
        <v>4.09343605574</v>
      </c>
      <c r="BV147" s="190" t="n">
        <v>4.16317174376</v>
      </c>
      <c r="BW147" s="190" t="n">
        <v>4.23290743178</v>
      </c>
      <c r="BX147" s="190" t="n">
        <v>4.3026431198</v>
      </c>
      <c r="BY147" s="190" t="n">
        <v>4.37237880782</v>
      </c>
      <c r="BZ147" s="190" t="n">
        <v>4.44211449584</v>
      </c>
      <c r="CA147" s="190" t="n">
        <v>4.51185018386</v>
      </c>
      <c r="CB147" s="190" t="n">
        <v>4.58158587188</v>
      </c>
      <c r="CC147" s="190" t="n">
        <v>4.6513215599</v>
      </c>
      <c r="CD147" s="190" t="n">
        <v>4.72105724792</v>
      </c>
      <c r="CE147" s="190" t="n">
        <v>4.79079293594</v>
      </c>
      <c r="CF147" s="190" t="n">
        <v>4.86052862396</v>
      </c>
      <c r="CG147" s="190" t="n">
        <v>4.93026431198</v>
      </c>
      <c r="CH147" s="190" t="n">
        <v>5</v>
      </c>
      <c r="CI147" s="190" t="n">
        <v>5.06973568801999</v>
      </c>
      <c r="CJ147" s="190" t="n">
        <v>5.13947137603999</v>
      </c>
      <c r="CK147" s="190" t="n">
        <v>5.20920706405999</v>
      </c>
      <c r="CL147" s="190" t="n">
        <v>5.27894275207999</v>
      </c>
      <c r="CM147" s="190" t="n">
        <v>5.34867844009999</v>
      </c>
      <c r="CN147" s="190" t="n">
        <v>5.41841412811999</v>
      </c>
      <c r="CO147" s="190" t="n">
        <v>5.48814981613999</v>
      </c>
      <c r="CP147" s="190" t="n">
        <v>5.55788550415999</v>
      </c>
      <c r="CQ147" s="190" t="n">
        <v>5.62762119217999</v>
      </c>
      <c r="CR147" s="190" t="n">
        <v>5.69735688019999</v>
      </c>
      <c r="CS147" s="190" t="n">
        <v>5.76709256821999</v>
      </c>
      <c r="CT147" s="190" t="n">
        <v>5.83682825623999</v>
      </c>
      <c r="CU147" s="190" t="n">
        <v>5.90656394425999</v>
      </c>
      <c r="CV147" s="190" t="n">
        <v>5.97629963227999</v>
      </c>
      <c r="CW147" s="190" t="n">
        <v>6.04603532029999</v>
      </c>
      <c r="CX147" s="190" t="n">
        <v>6.11577100831999</v>
      </c>
      <c r="CY147" s="190" t="n">
        <v>6.18550669633999</v>
      </c>
      <c r="CZ147" s="190" t="n">
        <v>6.25524238435999</v>
      </c>
      <c r="DA147" s="190" t="n">
        <v>6.32497807237999</v>
      </c>
      <c r="DB147" s="190" t="n">
        <v>6.39471376039999</v>
      </c>
      <c r="DC147" s="190" t="n">
        <v>6.46444944841999</v>
      </c>
      <c r="DD147" s="190" t="n">
        <v>6.53418513643999</v>
      </c>
      <c r="DE147" s="190" t="n">
        <v>6.60392082445999</v>
      </c>
      <c r="DF147" s="190" t="n">
        <v>6.67365651247999</v>
      </c>
      <c r="DG147" s="190" t="n">
        <v>6.74339220049999</v>
      </c>
      <c r="DH147" s="190" t="n">
        <v>6.81312788851999</v>
      </c>
      <c r="DI147" s="190" t="n">
        <v>6.88286357653999</v>
      </c>
      <c r="DJ147" s="190" t="n">
        <v>6.95259926455999</v>
      </c>
      <c r="DK147" s="190" t="n">
        <v>7.02233495257999</v>
      </c>
      <c r="DL147" s="190" t="n">
        <v>7.09207064059999</v>
      </c>
      <c r="DM147" s="190" t="n">
        <v>7.16180632861999</v>
      </c>
      <c r="DN147" s="190" t="n">
        <v>7.23154201663999</v>
      </c>
      <c r="DO147" s="190" t="n">
        <v>7.30127770465999</v>
      </c>
      <c r="DP147" s="190" t="n">
        <v>7.37101339267999</v>
      </c>
      <c r="DQ147" s="190" t="n">
        <v>7.44074908069999</v>
      </c>
      <c r="DR147" s="190" t="n">
        <v>7.51048476871999</v>
      </c>
      <c r="DS147" s="190" t="n">
        <v>7.58022045673999</v>
      </c>
      <c r="DT147" s="190" t="n">
        <v>7.64995614475999</v>
      </c>
      <c r="DU147" s="190" t="n">
        <v>7.71969183277999</v>
      </c>
      <c r="DV147" s="190" t="n">
        <v>7.78942752079998</v>
      </c>
      <c r="DW147" s="190" t="n">
        <v>7.85916320881998</v>
      </c>
      <c r="DX147" s="190" t="n">
        <v>7.92889889683998</v>
      </c>
      <c r="DY147" s="190" t="n">
        <v>7.99863458485998</v>
      </c>
      <c r="DZ147" s="190" t="n">
        <v>8.06837027287998</v>
      </c>
      <c r="EA147" s="190" t="n">
        <v>8.13810596089998</v>
      </c>
      <c r="EB147" s="190" t="n">
        <v>8.20784164891998</v>
      </c>
      <c r="EC147" s="190" t="n">
        <v>8.27757733693998</v>
      </c>
      <c r="ED147" s="190" t="n">
        <v>8.34731302495998</v>
      </c>
      <c r="EE147" s="190" t="n">
        <v>8.41704871297998</v>
      </c>
      <c r="EF147" s="190" t="n">
        <v>8.48678440099998</v>
      </c>
      <c r="EG147" s="190" t="n">
        <v>8.55652008901998</v>
      </c>
      <c r="EH147" s="190" t="n">
        <v>8.62625577703998</v>
      </c>
      <c r="EI147" s="190" t="n">
        <v>8.69599146505998</v>
      </c>
      <c r="EJ147" s="190" t="n">
        <v>8.76572715307998</v>
      </c>
      <c r="EK147" s="190" t="n">
        <v>8.83546284109998</v>
      </c>
      <c r="EL147" s="180" t="n">
        <v>8.90519852911998</v>
      </c>
      <c r="EM147" s="180" t="n">
        <v>8.97493421713998</v>
      </c>
      <c r="EN147" s="180" t="n">
        <v>9.04466990515998</v>
      </c>
      <c r="EO147" s="180" t="n">
        <v>9.11440559317998</v>
      </c>
      <c r="EP147" s="180" t="n">
        <v>9.18414128119998</v>
      </c>
      <c r="EQ147" s="180" t="n">
        <v>9.25387696921998</v>
      </c>
      <c r="ER147" s="180" t="n">
        <v>9.32361265723998</v>
      </c>
      <c r="ES147" s="180" t="n">
        <v>9.39334834525998</v>
      </c>
      <c r="ET147" s="180" t="n">
        <v>9.46308403327998</v>
      </c>
      <c r="EU147" s="180" t="n">
        <v>9.53281972129998</v>
      </c>
      <c r="EV147" s="180" t="n">
        <v>9.60255540931998</v>
      </c>
      <c r="EW147" s="180" t="n">
        <v>9.67229109733998</v>
      </c>
      <c r="EX147" s="180" t="n">
        <v>9.74202678535998</v>
      </c>
      <c r="EY147" s="180" t="n">
        <v>9.81176247337998</v>
      </c>
      <c r="EZ147" s="180" t="n">
        <v>9.88149816139998</v>
      </c>
      <c r="FA147" s="180" t="n">
        <v>9.95123384941998</v>
      </c>
      <c r="FB147" s="180" t="n">
        <v>10.02096953744</v>
      </c>
      <c r="FC147" s="180" t="n">
        <v>10.09070522546</v>
      </c>
      <c r="FD147" s="180" t="n">
        <v>10.16044091348</v>
      </c>
      <c r="FE147" s="180" t="n">
        <v>10.2301766015</v>
      </c>
      <c r="FF147" s="180" t="n">
        <v>10.29991228952</v>
      </c>
      <c r="FG147" s="180" t="n">
        <v>10.36964797754</v>
      </c>
      <c r="FH147" s="180" t="n">
        <v>10.43938366556</v>
      </c>
      <c r="FI147" s="180" t="n">
        <v>10.50911935358</v>
      </c>
      <c r="FJ147" s="180" t="n">
        <v>10.5788550416</v>
      </c>
      <c r="FK147" s="180" t="n">
        <v>10.64859072962</v>
      </c>
      <c r="FL147" s="180" t="n">
        <v>10.71832641764</v>
      </c>
      <c r="FM147" s="180" t="n">
        <v>10.78806210566</v>
      </c>
      <c r="FN147" s="180" t="n">
        <v>10.85779779368</v>
      </c>
      <c r="FO147" s="180" t="n">
        <v>10.9275334817</v>
      </c>
      <c r="FP147" s="180" t="n">
        <v>10.99726916972</v>
      </c>
      <c r="FQ147" s="180" t="n">
        <v>11.06700485774</v>
      </c>
      <c r="FR147" s="180" t="n">
        <v>11.13674054576</v>
      </c>
      <c r="FS147" s="180" t="n">
        <v>11.20647623378</v>
      </c>
      <c r="FT147" s="180" t="n">
        <v>11.2762119218</v>
      </c>
      <c r="FU147" s="180" t="n">
        <v>11.34594760982</v>
      </c>
      <c r="FV147" s="180" t="n">
        <v>11.41568329784</v>
      </c>
      <c r="FW147" s="180" t="n">
        <v>11.48541898586</v>
      </c>
      <c r="FX147" s="180" t="n">
        <v>11.55515467388</v>
      </c>
      <c r="FY147" s="180" t="n">
        <v>11.6248903619</v>
      </c>
      <c r="FZ147" s="180" t="n">
        <v>11.69462604992</v>
      </c>
      <c r="GA147" s="180" t="n">
        <v>11.76436173794</v>
      </c>
      <c r="GB147" s="180" t="n">
        <v>11.83409742596</v>
      </c>
      <c r="GC147" s="180" t="n">
        <v>11.90383311398</v>
      </c>
      <c r="GD147" s="180" t="n">
        <v>11.973568802</v>
      </c>
      <c r="GE147" s="180" t="n">
        <v>12.04330449002</v>
      </c>
      <c r="GF147" s="180" t="n">
        <v>12.11304017804</v>
      </c>
      <c r="GG147" s="180" t="n">
        <v>12.18277586606</v>
      </c>
      <c r="GH147" s="180" t="n">
        <v>12.25251155408</v>
      </c>
      <c r="GI147" s="180" t="n">
        <v>12.3222472421</v>
      </c>
      <c r="GJ147" s="180" t="n">
        <v>12.39198293012</v>
      </c>
      <c r="GK147" s="180" t="n">
        <v>12.46171861814</v>
      </c>
      <c r="GL147" s="180" t="n">
        <v>12.53145430616</v>
      </c>
      <c r="GM147" s="180" t="n">
        <v>12.60118999418</v>
      </c>
      <c r="GN147" s="180" t="n">
        <v>12.6709256822</v>
      </c>
      <c r="GO147" s="180" t="n">
        <v>12.74066137022</v>
      </c>
      <c r="GP147" s="180" t="n">
        <v>12.81039705824</v>
      </c>
      <c r="GQ147" s="180" t="n">
        <v>12.88013274626</v>
      </c>
      <c r="GR147" s="180" t="n">
        <v>12.94986843428</v>
      </c>
      <c r="GS147" s="180" t="n">
        <v>13.0196041223</v>
      </c>
      <c r="GT147" s="180" t="n">
        <v>13.08933981032</v>
      </c>
      <c r="GU147" s="180" t="n">
        <v>13.15907549834</v>
      </c>
      <c r="GV147" s="180" t="n">
        <v>13.22881118636</v>
      </c>
      <c r="GW147" s="180" t="n">
        <v>13.29854687438</v>
      </c>
      <c r="GX147" s="180" t="n">
        <v>13.3682825624</v>
      </c>
      <c r="GY147" s="180" t="n">
        <v>13.43801825042</v>
      </c>
      <c r="GZ147" s="180" t="n">
        <v>13.50775393844</v>
      </c>
      <c r="HA147" s="180" t="n">
        <v>13.57748962646</v>
      </c>
      <c r="HB147" s="180" t="n">
        <v>13.64722531448</v>
      </c>
      <c r="HC147" s="180" t="n">
        <v>13.7169610025</v>
      </c>
      <c r="HD147" s="180" t="n">
        <v>13.78669669052</v>
      </c>
      <c r="HE147" s="180" t="n">
        <v>13.85643237854</v>
      </c>
      <c r="HF147" s="180" t="n">
        <v>13.92616806656</v>
      </c>
      <c r="HG147" s="180" t="n">
        <v>13.99590375458</v>
      </c>
      <c r="HH147" s="180" t="n">
        <v>14.0656394426</v>
      </c>
      <c r="HI147" s="180" t="n">
        <v>14.13537513062</v>
      </c>
      <c r="HJ147" s="180" t="n">
        <v>14.20511081864</v>
      </c>
      <c r="HK147" s="180" t="n">
        <v>14.27484650666</v>
      </c>
      <c r="HL147" s="180" t="n">
        <v>14.34458219468</v>
      </c>
      <c r="HM147" s="180" t="n">
        <v>14.4143178827</v>
      </c>
      <c r="HN147" s="180" t="n">
        <v>14.48405357072</v>
      </c>
      <c r="HO147" s="180" t="n">
        <v>14.55378925874</v>
      </c>
      <c r="HP147" s="180" t="n">
        <v>14.62352494676</v>
      </c>
      <c r="HQ147" s="180" t="n">
        <v>14.69326063478</v>
      </c>
      <c r="HR147" s="180" t="n">
        <v>14.7629963228</v>
      </c>
      <c r="HS147" s="180" t="n">
        <v>14.83273201082</v>
      </c>
      <c r="HT147" s="180" t="n">
        <v>14.90246769884</v>
      </c>
      <c r="HU147" s="180" t="n">
        <v>14.97220338686</v>
      </c>
      <c r="HV147" s="180" t="n">
        <v>15.04193907488</v>
      </c>
      <c r="HW147" s="180" t="n">
        <v>15.1116747629</v>
      </c>
      <c r="HX147" s="180" t="n">
        <v>15.18141045092</v>
      </c>
      <c r="HY147" s="180" t="n">
        <v>15.25114613894</v>
      </c>
      <c r="HZ147" s="180" t="n">
        <v>15.32088182696</v>
      </c>
      <c r="IA147" s="180" t="n">
        <v>15.39061751498</v>
      </c>
      <c r="IB147" s="180" t="n">
        <v>15.460353203</v>
      </c>
      <c r="IC147" s="180" t="n">
        <v>15.53008889102</v>
      </c>
      <c r="ID147" s="180" t="n">
        <v>15.59982457904</v>
      </c>
      <c r="IE147" s="180" t="n">
        <v>15.66956026706</v>
      </c>
      <c r="IF147" s="180" t="n">
        <v>15.73929595508</v>
      </c>
      <c r="IG147" s="180" t="n">
        <v>15.8090316431</v>
      </c>
      <c r="IH147" s="180" t="n">
        <v>15.87876733112</v>
      </c>
      <c r="II147" s="180" t="n">
        <v>15.94850301914</v>
      </c>
      <c r="IJ147" s="180" t="n">
        <v>16.01823870716</v>
      </c>
      <c r="IK147" s="180" t="n">
        <v>16.08797439518</v>
      </c>
      <c r="IL147" s="180" t="n">
        <v>16.1577100832</v>
      </c>
      <c r="IM147" s="180" t="n">
        <v>16.22744577122</v>
      </c>
      <c r="IN147" s="180" t="n">
        <v>16.29718145924</v>
      </c>
      <c r="IO147" s="180" t="n">
        <v>16.36691714726</v>
      </c>
      <c r="IP147" s="180" t="n">
        <v>16.43665283528</v>
      </c>
      <c r="IQ147" s="180" t="n">
        <v>16.5063885233</v>
      </c>
      <c r="IR147" s="180" t="n">
        <v>16.57612421132</v>
      </c>
      <c r="IS147" s="180" t="n">
        <v>16.64585989934</v>
      </c>
      <c r="IT147" s="180" t="n">
        <v>16.71559558736</v>
      </c>
      <c r="IU147" s="180" t="n">
        <v>16.78533127538</v>
      </c>
      <c r="IV147" s="180" t="n">
        <v>16.8550669634</v>
      </c>
    </row>
    <row r="148" customFormat="false" ht="12.75" hidden="false" customHeight="false" outlineLevel="0" collapsed="false">
      <c r="A148" s="189" t="n">
        <v>41183</v>
      </c>
      <c r="B148" s="185" t="n">
        <v>-2.021005929375</v>
      </c>
      <c r="C148" s="185" t="n">
        <v>-1.9907047400625</v>
      </c>
      <c r="D148" s="185" t="n">
        <v>-1.96040355075</v>
      </c>
      <c r="E148" s="185" t="n">
        <v>-1.9301023614375</v>
      </c>
      <c r="F148" s="185" t="n">
        <v>-1.899801172125</v>
      </c>
      <c r="G148" s="185" t="n">
        <v>-1.8694999828125</v>
      </c>
      <c r="H148" s="185" t="n">
        <v>-1.8391987935</v>
      </c>
      <c r="I148" s="185" t="n">
        <v>-1.8088976041875</v>
      </c>
      <c r="J148" s="185" t="n">
        <v>-1.778596414875</v>
      </c>
      <c r="K148" s="185" t="n">
        <v>-1.7482952255625</v>
      </c>
      <c r="L148" s="185" t="n">
        <v>-1.71799403625</v>
      </c>
      <c r="M148" s="185" t="n">
        <v>-1.6876928469375</v>
      </c>
      <c r="N148" s="185" t="n">
        <v>-1.657391657625</v>
      </c>
      <c r="O148" s="185" t="n">
        <v>-1.6270904683125</v>
      </c>
      <c r="P148" s="185" t="n">
        <v>-1.596789279</v>
      </c>
      <c r="Q148" s="185" t="n">
        <v>-1.5664880896875</v>
      </c>
      <c r="R148" s="185" t="n">
        <v>-1.536186900375</v>
      </c>
      <c r="S148" s="185" t="n">
        <v>-1.5058857110625</v>
      </c>
      <c r="T148" s="185" t="n">
        <v>-1.47558452175</v>
      </c>
      <c r="U148" s="185" t="n">
        <v>-1.4452833324375</v>
      </c>
      <c r="V148" s="186" t="n">
        <v>-1.414982143125</v>
      </c>
      <c r="W148" s="185" t="n">
        <v>-1.3846809538125</v>
      </c>
      <c r="X148" s="186" t="n">
        <v>-1.3543797645</v>
      </c>
      <c r="Y148" s="185" t="n">
        <v>-1.3240785751875</v>
      </c>
      <c r="Z148" s="186" t="n">
        <v>-1.293777385875</v>
      </c>
      <c r="AA148" s="185" t="n">
        <v>-1.2634761965625</v>
      </c>
      <c r="AB148" s="187" t="n">
        <v>-1.23317500725</v>
      </c>
      <c r="AC148" s="185" t="n">
        <v>-1.2028738179375</v>
      </c>
      <c r="AD148" s="187" t="n">
        <v>-1.172572628625</v>
      </c>
      <c r="AE148" s="185" t="n">
        <v>-1.1422714393125</v>
      </c>
      <c r="AF148" s="185" t="n">
        <v>-1.11197025</v>
      </c>
      <c r="AG148" s="190" t="n">
        <v>-1.083235125</v>
      </c>
      <c r="AH148" s="190" t="n">
        <v>-1.0545</v>
      </c>
      <c r="AI148" s="190" t="n">
        <v>-1.02725</v>
      </c>
      <c r="AJ148" s="190" t="n">
        <v>-1</v>
      </c>
      <c r="AK148" s="190" t="n">
        <v>-0.8</v>
      </c>
      <c r="AL148" s="190" t="n">
        <v>-0.6</v>
      </c>
      <c r="AM148" s="190" t="n">
        <v>-0.4</v>
      </c>
      <c r="AN148" s="190" t="n">
        <v>-0.2</v>
      </c>
      <c r="AO148" s="190" t="n">
        <v>0</v>
      </c>
      <c r="AP148" s="190" t="n">
        <v>0.2</v>
      </c>
      <c r="AQ148" s="190" t="n">
        <v>0.4</v>
      </c>
      <c r="AR148" s="190" t="n">
        <v>0.6</v>
      </c>
      <c r="AS148" s="190" t="n">
        <v>0.8</v>
      </c>
      <c r="AT148" s="190" t="n">
        <v>1</v>
      </c>
      <c r="AU148" s="190" t="n">
        <v>1.2</v>
      </c>
      <c r="AV148" s="190" t="n">
        <v>1.4</v>
      </c>
      <c r="AW148" s="190" t="n">
        <v>1.58</v>
      </c>
      <c r="AX148" s="190" t="n">
        <v>1.76</v>
      </c>
      <c r="AY148" s="190" t="n">
        <v>1.922</v>
      </c>
      <c r="AZ148" s="190" t="n">
        <v>2.084</v>
      </c>
      <c r="BA148" s="190" t="n">
        <v>2.2298</v>
      </c>
      <c r="BB148" s="190" t="n">
        <v>2.3756</v>
      </c>
      <c r="BC148" s="190" t="n">
        <v>2.50682</v>
      </c>
      <c r="BD148" s="190" t="n">
        <v>2.63804</v>
      </c>
      <c r="BE148" s="190" t="n">
        <v>2.756138</v>
      </c>
      <c r="BF148" s="190" t="n">
        <v>2.874236</v>
      </c>
      <c r="BG148" s="190" t="n">
        <v>2.9805242</v>
      </c>
      <c r="BH148" s="190" t="n">
        <v>3.0868124</v>
      </c>
      <c r="BI148" s="190" t="n">
        <v>3.18247178</v>
      </c>
      <c r="BJ148" s="190" t="n">
        <v>3.27813116</v>
      </c>
      <c r="BK148" s="190" t="n">
        <v>3.364224602</v>
      </c>
      <c r="BL148" s="190" t="n">
        <v>3.450318044</v>
      </c>
      <c r="BM148" s="190" t="n">
        <v>3.5278021418</v>
      </c>
      <c r="BN148" s="190" t="n">
        <v>3.6052862396</v>
      </c>
      <c r="BO148" s="190" t="n">
        <v>3.67502192762</v>
      </c>
      <c r="BP148" s="190" t="n">
        <v>3.74475761564</v>
      </c>
      <c r="BQ148" s="190" t="n">
        <v>3.81449330366</v>
      </c>
      <c r="BR148" s="190" t="n">
        <v>3.88422899168</v>
      </c>
      <c r="BS148" s="190" t="n">
        <v>3.9539646797</v>
      </c>
      <c r="BT148" s="190" t="n">
        <v>4.02370036772</v>
      </c>
      <c r="BU148" s="190" t="n">
        <v>4.09343605574</v>
      </c>
      <c r="BV148" s="190" t="n">
        <v>4.16317174376</v>
      </c>
      <c r="BW148" s="190" t="n">
        <v>4.23290743178</v>
      </c>
      <c r="BX148" s="190" t="n">
        <v>4.3026431198</v>
      </c>
      <c r="BY148" s="190" t="n">
        <v>4.37237880782</v>
      </c>
      <c r="BZ148" s="190" t="n">
        <v>4.44211449584</v>
      </c>
      <c r="CA148" s="190" t="n">
        <v>4.51185018386</v>
      </c>
      <c r="CB148" s="190" t="n">
        <v>4.58158587188</v>
      </c>
      <c r="CC148" s="190" t="n">
        <v>4.6513215599</v>
      </c>
      <c r="CD148" s="190" t="n">
        <v>4.72105724792</v>
      </c>
      <c r="CE148" s="190" t="n">
        <v>4.79079293594</v>
      </c>
      <c r="CF148" s="190" t="n">
        <v>4.86052862396</v>
      </c>
      <c r="CG148" s="190" t="n">
        <v>4.93026431198</v>
      </c>
      <c r="CH148" s="190" t="n">
        <v>5</v>
      </c>
      <c r="CI148" s="190" t="n">
        <v>5.06973568801999</v>
      </c>
      <c r="CJ148" s="190" t="n">
        <v>5.13947137603999</v>
      </c>
      <c r="CK148" s="190" t="n">
        <v>5.20920706405999</v>
      </c>
      <c r="CL148" s="190" t="n">
        <v>5.27894275207999</v>
      </c>
      <c r="CM148" s="190" t="n">
        <v>5.34867844009999</v>
      </c>
      <c r="CN148" s="190" t="n">
        <v>5.41841412811999</v>
      </c>
      <c r="CO148" s="190" t="n">
        <v>5.48814981613999</v>
      </c>
      <c r="CP148" s="190" t="n">
        <v>5.55788550415999</v>
      </c>
      <c r="CQ148" s="190" t="n">
        <v>5.62762119217999</v>
      </c>
      <c r="CR148" s="190" t="n">
        <v>5.69735688019999</v>
      </c>
      <c r="CS148" s="190" t="n">
        <v>5.76709256821999</v>
      </c>
      <c r="CT148" s="190" t="n">
        <v>5.83682825623999</v>
      </c>
      <c r="CU148" s="190" t="n">
        <v>5.90656394425999</v>
      </c>
      <c r="CV148" s="190" t="n">
        <v>5.97629963227999</v>
      </c>
      <c r="CW148" s="190" t="n">
        <v>6.04603532029999</v>
      </c>
      <c r="CX148" s="190" t="n">
        <v>6.11577100831999</v>
      </c>
      <c r="CY148" s="190" t="n">
        <v>6.18550669633999</v>
      </c>
      <c r="CZ148" s="190" t="n">
        <v>6.25524238435999</v>
      </c>
      <c r="DA148" s="190" t="n">
        <v>6.32497807237999</v>
      </c>
      <c r="DB148" s="190" t="n">
        <v>6.39471376039999</v>
      </c>
      <c r="DC148" s="190" t="n">
        <v>6.46444944841999</v>
      </c>
      <c r="DD148" s="190" t="n">
        <v>6.53418513643999</v>
      </c>
      <c r="DE148" s="190" t="n">
        <v>6.60392082445999</v>
      </c>
      <c r="DF148" s="190" t="n">
        <v>6.67365651247999</v>
      </c>
      <c r="DG148" s="190" t="n">
        <v>6.74339220049999</v>
      </c>
      <c r="DH148" s="190" t="n">
        <v>6.81312788851999</v>
      </c>
      <c r="DI148" s="190" t="n">
        <v>6.88286357653999</v>
      </c>
      <c r="DJ148" s="190" t="n">
        <v>6.95259926455999</v>
      </c>
      <c r="DK148" s="190" t="n">
        <v>7.02233495257999</v>
      </c>
      <c r="DL148" s="190" t="n">
        <v>7.09207064059999</v>
      </c>
      <c r="DM148" s="190" t="n">
        <v>7.16180632861999</v>
      </c>
      <c r="DN148" s="190" t="n">
        <v>7.23154201663999</v>
      </c>
      <c r="DO148" s="190" t="n">
        <v>7.30127770465999</v>
      </c>
      <c r="DP148" s="190" t="n">
        <v>7.37101339267999</v>
      </c>
      <c r="DQ148" s="190" t="n">
        <v>7.44074908069999</v>
      </c>
      <c r="DR148" s="190" t="n">
        <v>7.51048476871999</v>
      </c>
      <c r="DS148" s="190" t="n">
        <v>7.58022045673999</v>
      </c>
      <c r="DT148" s="190" t="n">
        <v>7.64995614475999</v>
      </c>
      <c r="DU148" s="190" t="n">
        <v>7.71969183277999</v>
      </c>
      <c r="DV148" s="190" t="n">
        <v>7.78942752079998</v>
      </c>
      <c r="DW148" s="190" t="n">
        <v>7.85916320881998</v>
      </c>
      <c r="DX148" s="190" t="n">
        <v>7.92889889683998</v>
      </c>
      <c r="DY148" s="190" t="n">
        <v>7.99863458485998</v>
      </c>
      <c r="DZ148" s="190" t="n">
        <v>8.06837027287998</v>
      </c>
      <c r="EA148" s="190" t="n">
        <v>8.13810596089998</v>
      </c>
      <c r="EB148" s="190" t="n">
        <v>8.20784164891998</v>
      </c>
      <c r="EC148" s="190" t="n">
        <v>8.27757733693998</v>
      </c>
      <c r="ED148" s="190" t="n">
        <v>8.34731302495998</v>
      </c>
      <c r="EE148" s="190" t="n">
        <v>8.41704871297998</v>
      </c>
      <c r="EF148" s="190" t="n">
        <v>8.48678440099998</v>
      </c>
      <c r="EG148" s="190" t="n">
        <v>8.55652008901998</v>
      </c>
      <c r="EH148" s="190" t="n">
        <v>8.62625577703998</v>
      </c>
      <c r="EI148" s="190" t="n">
        <v>8.69599146505998</v>
      </c>
      <c r="EJ148" s="190" t="n">
        <v>8.76572715307998</v>
      </c>
      <c r="EK148" s="190" t="n">
        <v>8.83546284109998</v>
      </c>
      <c r="EL148" s="180" t="n">
        <v>8.90519852911998</v>
      </c>
      <c r="EM148" s="180" t="n">
        <v>8.97493421713998</v>
      </c>
      <c r="EN148" s="180" t="n">
        <v>9.04466990515998</v>
      </c>
      <c r="EO148" s="180" t="n">
        <v>9.11440559317998</v>
      </c>
      <c r="EP148" s="180" t="n">
        <v>9.18414128119998</v>
      </c>
      <c r="EQ148" s="180" t="n">
        <v>9.25387696921998</v>
      </c>
      <c r="ER148" s="180" t="n">
        <v>9.32361265723998</v>
      </c>
      <c r="ES148" s="180" t="n">
        <v>9.39334834525998</v>
      </c>
      <c r="ET148" s="180" t="n">
        <v>9.46308403327998</v>
      </c>
      <c r="EU148" s="180" t="n">
        <v>9.53281972129998</v>
      </c>
      <c r="EV148" s="180" t="n">
        <v>9.60255540931998</v>
      </c>
      <c r="EW148" s="180" t="n">
        <v>9.67229109733998</v>
      </c>
      <c r="EX148" s="180" t="n">
        <v>9.74202678535998</v>
      </c>
      <c r="EY148" s="180" t="n">
        <v>9.81176247337998</v>
      </c>
      <c r="EZ148" s="180" t="n">
        <v>9.88149816139998</v>
      </c>
      <c r="FA148" s="180" t="n">
        <v>9.95123384941998</v>
      </c>
      <c r="FB148" s="180" t="n">
        <v>10.02096953744</v>
      </c>
      <c r="FC148" s="180" t="n">
        <v>10.09070522546</v>
      </c>
      <c r="FD148" s="180" t="n">
        <v>10.16044091348</v>
      </c>
      <c r="FE148" s="180" t="n">
        <v>10.2301766015</v>
      </c>
      <c r="FF148" s="180" t="n">
        <v>10.29991228952</v>
      </c>
      <c r="FG148" s="180" t="n">
        <v>10.36964797754</v>
      </c>
      <c r="FH148" s="180" t="n">
        <v>10.43938366556</v>
      </c>
      <c r="FI148" s="180" t="n">
        <v>10.50911935358</v>
      </c>
      <c r="FJ148" s="180" t="n">
        <v>10.5788550416</v>
      </c>
      <c r="FK148" s="180" t="n">
        <v>10.64859072962</v>
      </c>
      <c r="FL148" s="180" t="n">
        <v>10.71832641764</v>
      </c>
      <c r="FM148" s="180" t="n">
        <v>10.78806210566</v>
      </c>
      <c r="FN148" s="180" t="n">
        <v>10.85779779368</v>
      </c>
      <c r="FO148" s="180" t="n">
        <v>10.9275334817</v>
      </c>
      <c r="FP148" s="180" t="n">
        <v>10.99726916972</v>
      </c>
      <c r="FQ148" s="180" t="n">
        <v>11.06700485774</v>
      </c>
      <c r="FR148" s="180" t="n">
        <v>11.13674054576</v>
      </c>
      <c r="FS148" s="180" t="n">
        <v>11.20647623378</v>
      </c>
      <c r="FT148" s="180" t="n">
        <v>11.2762119218</v>
      </c>
      <c r="FU148" s="180" t="n">
        <v>11.34594760982</v>
      </c>
      <c r="FV148" s="180" t="n">
        <v>11.41568329784</v>
      </c>
      <c r="FW148" s="180" t="n">
        <v>11.48541898586</v>
      </c>
      <c r="FX148" s="180" t="n">
        <v>11.55515467388</v>
      </c>
      <c r="FY148" s="180" t="n">
        <v>11.6248903619</v>
      </c>
      <c r="FZ148" s="180" t="n">
        <v>11.69462604992</v>
      </c>
      <c r="GA148" s="180" t="n">
        <v>11.76436173794</v>
      </c>
      <c r="GB148" s="180" t="n">
        <v>11.83409742596</v>
      </c>
      <c r="GC148" s="180" t="n">
        <v>11.90383311398</v>
      </c>
      <c r="GD148" s="180" t="n">
        <v>11.973568802</v>
      </c>
      <c r="GE148" s="180" t="n">
        <v>12.04330449002</v>
      </c>
      <c r="GF148" s="180" t="n">
        <v>12.11304017804</v>
      </c>
      <c r="GG148" s="180" t="n">
        <v>12.18277586606</v>
      </c>
      <c r="GH148" s="180" t="n">
        <v>12.25251155408</v>
      </c>
      <c r="GI148" s="180" t="n">
        <v>12.3222472421</v>
      </c>
      <c r="GJ148" s="180" t="n">
        <v>12.39198293012</v>
      </c>
      <c r="GK148" s="180" t="n">
        <v>12.46171861814</v>
      </c>
      <c r="GL148" s="180" t="n">
        <v>12.53145430616</v>
      </c>
      <c r="GM148" s="180" t="n">
        <v>12.60118999418</v>
      </c>
      <c r="GN148" s="180" t="n">
        <v>12.6709256822</v>
      </c>
      <c r="GO148" s="180" t="n">
        <v>12.74066137022</v>
      </c>
      <c r="GP148" s="180" t="n">
        <v>12.81039705824</v>
      </c>
      <c r="GQ148" s="180" t="n">
        <v>12.88013274626</v>
      </c>
      <c r="GR148" s="180" t="n">
        <v>12.94986843428</v>
      </c>
      <c r="GS148" s="180" t="n">
        <v>13.0196041223</v>
      </c>
      <c r="GT148" s="180" t="n">
        <v>13.08933981032</v>
      </c>
      <c r="GU148" s="180" t="n">
        <v>13.15907549834</v>
      </c>
      <c r="GV148" s="180" t="n">
        <v>13.22881118636</v>
      </c>
      <c r="GW148" s="180" t="n">
        <v>13.29854687438</v>
      </c>
      <c r="GX148" s="180" t="n">
        <v>13.3682825624</v>
      </c>
      <c r="GY148" s="180" t="n">
        <v>13.43801825042</v>
      </c>
      <c r="GZ148" s="180" t="n">
        <v>13.50775393844</v>
      </c>
      <c r="HA148" s="180" t="n">
        <v>13.57748962646</v>
      </c>
      <c r="HB148" s="180" t="n">
        <v>13.64722531448</v>
      </c>
      <c r="HC148" s="180" t="n">
        <v>13.7169610025</v>
      </c>
      <c r="HD148" s="180" t="n">
        <v>13.78669669052</v>
      </c>
      <c r="HE148" s="180" t="n">
        <v>13.85643237854</v>
      </c>
      <c r="HF148" s="180" t="n">
        <v>13.92616806656</v>
      </c>
      <c r="HG148" s="180" t="n">
        <v>13.99590375458</v>
      </c>
      <c r="HH148" s="180" t="n">
        <v>14.0656394426</v>
      </c>
      <c r="HI148" s="180" t="n">
        <v>14.13537513062</v>
      </c>
      <c r="HJ148" s="180" t="n">
        <v>14.20511081864</v>
      </c>
      <c r="HK148" s="180" t="n">
        <v>14.27484650666</v>
      </c>
      <c r="HL148" s="180" t="n">
        <v>14.34458219468</v>
      </c>
      <c r="HM148" s="180" t="n">
        <v>14.4143178827</v>
      </c>
      <c r="HN148" s="180" t="n">
        <v>14.48405357072</v>
      </c>
      <c r="HO148" s="180" t="n">
        <v>14.55378925874</v>
      </c>
      <c r="HP148" s="180" t="n">
        <v>14.62352494676</v>
      </c>
      <c r="HQ148" s="180" t="n">
        <v>14.69326063478</v>
      </c>
      <c r="HR148" s="180" t="n">
        <v>14.7629963228</v>
      </c>
      <c r="HS148" s="180" t="n">
        <v>14.83273201082</v>
      </c>
      <c r="HT148" s="180" t="n">
        <v>14.90246769884</v>
      </c>
      <c r="HU148" s="180" t="n">
        <v>14.97220338686</v>
      </c>
      <c r="HV148" s="180" t="n">
        <v>15.04193907488</v>
      </c>
      <c r="HW148" s="180" t="n">
        <v>15.1116747629</v>
      </c>
      <c r="HX148" s="180" t="n">
        <v>15.18141045092</v>
      </c>
      <c r="HY148" s="180" t="n">
        <v>15.25114613894</v>
      </c>
      <c r="HZ148" s="180" t="n">
        <v>15.32088182696</v>
      </c>
      <c r="IA148" s="180" t="n">
        <v>15.39061751498</v>
      </c>
      <c r="IB148" s="180" t="n">
        <v>15.460353203</v>
      </c>
      <c r="IC148" s="180" t="n">
        <v>15.53008889102</v>
      </c>
      <c r="ID148" s="180" t="n">
        <v>15.59982457904</v>
      </c>
      <c r="IE148" s="180" t="n">
        <v>15.66956026706</v>
      </c>
      <c r="IF148" s="180" t="n">
        <v>15.73929595508</v>
      </c>
      <c r="IG148" s="180" t="n">
        <v>15.8090316431</v>
      </c>
      <c r="IH148" s="180" t="n">
        <v>15.87876733112</v>
      </c>
      <c r="II148" s="180" t="n">
        <v>15.94850301914</v>
      </c>
      <c r="IJ148" s="180" t="n">
        <v>16.01823870716</v>
      </c>
      <c r="IK148" s="180" t="n">
        <v>16.08797439518</v>
      </c>
      <c r="IL148" s="180" t="n">
        <v>16.1577100832</v>
      </c>
      <c r="IM148" s="180" t="n">
        <v>16.22744577122</v>
      </c>
      <c r="IN148" s="180" t="n">
        <v>16.29718145924</v>
      </c>
      <c r="IO148" s="180" t="n">
        <v>16.36691714726</v>
      </c>
      <c r="IP148" s="180" t="n">
        <v>16.43665283528</v>
      </c>
      <c r="IQ148" s="180" t="n">
        <v>16.5063885233</v>
      </c>
      <c r="IR148" s="180" t="n">
        <v>16.57612421132</v>
      </c>
      <c r="IS148" s="180" t="n">
        <v>16.64585989934</v>
      </c>
      <c r="IT148" s="180" t="n">
        <v>16.71559558736</v>
      </c>
      <c r="IU148" s="180" t="n">
        <v>16.78533127538</v>
      </c>
      <c r="IV148" s="180" t="n">
        <v>16.8550669634</v>
      </c>
    </row>
    <row r="149" customFormat="false" ht="12.75" hidden="false" customHeight="false" outlineLevel="0" collapsed="false">
      <c r="A149" s="189" t="n">
        <v>41214</v>
      </c>
      <c r="B149" s="185" t="n">
        <v>-2.021005929375</v>
      </c>
      <c r="C149" s="185" t="n">
        <v>-1.9907047400625</v>
      </c>
      <c r="D149" s="185" t="n">
        <v>-1.96040355075</v>
      </c>
      <c r="E149" s="185" t="n">
        <v>-1.9301023614375</v>
      </c>
      <c r="F149" s="185" t="n">
        <v>-1.899801172125</v>
      </c>
      <c r="G149" s="185" t="n">
        <v>-1.8694999828125</v>
      </c>
      <c r="H149" s="185" t="n">
        <v>-1.8391987935</v>
      </c>
      <c r="I149" s="185" t="n">
        <v>-1.8088976041875</v>
      </c>
      <c r="J149" s="185" t="n">
        <v>-1.778596414875</v>
      </c>
      <c r="K149" s="185" t="n">
        <v>-1.7482952255625</v>
      </c>
      <c r="L149" s="185" t="n">
        <v>-1.71799403625</v>
      </c>
      <c r="M149" s="185" t="n">
        <v>-1.6876928469375</v>
      </c>
      <c r="N149" s="185" t="n">
        <v>-1.657391657625</v>
      </c>
      <c r="O149" s="185" t="n">
        <v>-1.6270904683125</v>
      </c>
      <c r="P149" s="185" t="n">
        <v>-1.596789279</v>
      </c>
      <c r="Q149" s="185" t="n">
        <v>-1.5664880896875</v>
      </c>
      <c r="R149" s="185" t="n">
        <v>-1.536186900375</v>
      </c>
      <c r="S149" s="185" t="n">
        <v>-1.5058857110625</v>
      </c>
      <c r="T149" s="185" t="n">
        <v>-1.47558452175</v>
      </c>
      <c r="U149" s="185" t="n">
        <v>-1.4452833324375</v>
      </c>
      <c r="V149" s="186" t="n">
        <v>-1.414982143125</v>
      </c>
      <c r="W149" s="185" t="n">
        <v>-1.3846809538125</v>
      </c>
      <c r="X149" s="186" t="n">
        <v>-1.3543797645</v>
      </c>
      <c r="Y149" s="185" t="n">
        <v>-1.3240785751875</v>
      </c>
      <c r="Z149" s="186" t="n">
        <v>-1.293777385875</v>
      </c>
      <c r="AA149" s="185" t="n">
        <v>-1.2634761965625</v>
      </c>
      <c r="AB149" s="187" t="n">
        <v>-1.23317500725</v>
      </c>
      <c r="AC149" s="185" t="n">
        <v>-1.2028738179375</v>
      </c>
      <c r="AD149" s="187" t="n">
        <v>-1.172572628625</v>
      </c>
      <c r="AE149" s="185" t="n">
        <v>-1.1422714393125</v>
      </c>
      <c r="AF149" s="185" t="n">
        <v>-1.11197025</v>
      </c>
      <c r="AG149" s="190" t="n">
        <v>-1.083235125</v>
      </c>
      <c r="AH149" s="190" t="n">
        <v>-1.0545</v>
      </c>
      <c r="AI149" s="190" t="n">
        <v>-1.02725</v>
      </c>
      <c r="AJ149" s="190" t="n">
        <v>-1</v>
      </c>
      <c r="AK149" s="190" t="n">
        <v>-0.8</v>
      </c>
      <c r="AL149" s="190" t="n">
        <v>-0.6</v>
      </c>
      <c r="AM149" s="190" t="n">
        <v>-0.4</v>
      </c>
      <c r="AN149" s="190" t="n">
        <v>-0.2</v>
      </c>
      <c r="AO149" s="190" t="n">
        <v>0</v>
      </c>
      <c r="AP149" s="190" t="n">
        <v>0.2</v>
      </c>
      <c r="AQ149" s="190" t="n">
        <v>0.4</v>
      </c>
      <c r="AR149" s="190" t="n">
        <v>0.6</v>
      </c>
      <c r="AS149" s="190" t="n">
        <v>0.8</v>
      </c>
      <c r="AT149" s="190" t="n">
        <v>1</v>
      </c>
      <c r="AU149" s="190" t="n">
        <v>1.2</v>
      </c>
      <c r="AV149" s="190" t="n">
        <v>1.4</v>
      </c>
      <c r="AW149" s="190" t="n">
        <v>1.58</v>
      </c>
      <c r="AX149" s="190" t="n">
        <v>1.76</v>
      </c>
      <c r="AY149" s="190" t="n">
        <v>1.922</v>
      </c>
      <c r="AZ149" s="190" t="n">
        <v>2.084</v>
      </c>
      <c r="BA149" s="190" t="n">
        <v>2.2298</v>
      </c>
      <c r="BB149" s="190" t="n">
        <v>2.3756</v>
      </c>
      <c r="BC149" s="190" t="n">
        <v>2.50682</v>
      </c>
      <c r="BD149" s="190" t="n">
        <v>2.63804</v>
      </c>
      <c r="BE149" s="190" t="n">
        <v>2.756138</v>
      </c>
      <c r="BF149" s="190" t="n">
        <v>2.874236</v>
      </c>
      <c r="BG149" s="190" t="n">
        <v>2.9805242</v>
      </c>
      <c r="BH149" s="190" t="n">
        <v>3.0868124</v>
      </c>
      <c r="BI149" s="190" t="n">
        <v>3.18247178</v>
      </c>
      <c r="BJ149" s="190" t="n">
        <v>3.27813116</v>
      </c>
      <c r="BK149" s="190" t="n">
        <v>3.364224602</v>
      </c>
      <c r="BL149" s="190" t="n">
        <v>3.450318044</v>
      </c>
      <c r="BM149" s="190" t="n">
        <v>3.5278021418</v>
      </c>
      <c r="BN149" s="190" t="n">
        <v>3.6052862396</v>
      </c>
      <c r="BO149" s="190" t="n">
        <v>3.67502192762</v>
      </c>
      <c r="BP149" s="190" t="n">
        <v>3.74475761564</v>
      </c>
      <c r="BQ149" s="190" t="n">
        <v>3.81449330366</v>
      </c>
      <c r="BR149" s="190" t="n">
        <v>3.88422899168</v>
      </c>
      <c r="BS149" s="190" t="n">
        <v>3.9539646797</v>
      </c>
      <c r="BT149" s="190" t="n">
        <v>4.02370036772</v>
      </c>
      <c r="BU149" s="190" t="n">
        <v>4.09343605574</v>
      </c>
      <c r="BV149" s="190" t="n">
        <v>4.16317174376</v>
      </c>
      <c r="BW149" s="190" t="n">
        <v>4.23290743178</v>
      </c>
      <c r="BX149" s="190" t="n">
        <v>4.3026431198</v>
      </c>
      <c r="BY149" s="190" t="n">
        <v>4.37237880782</v>
      </c>
      <c r="BZ149" s="190" t="n">
        <v>4.44211449584</v>
      </c>
      <c r="CA149" s="190" t="n">
        <v>4.51185018386</v>
      </c>
      <c r="CB149" s="190" t="n">
        <v>4.58158587188</v>
      </c>
      <c r="CC149" s="190" t="n">
        <v>4.6513215599</v>
      </c>
      <c r="CD149" s="190" t="n">
        <v>4.72105724792</v>
      </c>
      <c r="CE149" s="190" t="n">
        <v>4.79079293594</v>
      </c>
      <c r="CF149" s="190" t="n">
        <v>4.86052862396</v>
      </c>
      <c r="CG149" s="190" t="n">
        <v>4.93026431198</v>
      </c>
      <c r="CH149" s="190" t="n">
        <v>5</v>
      </c>
      <c r="CI149" s="190" t="n">
        <v>5.06973568801999</v>
      </c>
      <c r="CJ149" s="190" t="n">
        <v>5.13947137603999</v>
      </c>
      <c r="CK149" s="190" t="n">
        <v>5.20920706405999</v>
      </c>
      <c r="CL149" s="190" t="n">
        <v>5.27894275207999</v>
      </c>
      <c r="CM149" s="190" t="n">
        <v>5.34867844009999</v>
      </c>
      <c r="CN149" s="190" t="n">
        <v>5.41841412811999</v>
      </c>
      <c r="CO149" s="190" t="n">
        <v>5.48814981613999</v>
      </c>
      <c r="CP149" s="190" t="n">
        <v>5.55788550415999</v>
      </c>
      <c r="CQ149" s="190" t="n">
        <v>5.62762119217999</v>
      </c>
      <c r="CR149" s="190" t="n">
        <v>5.69735688019999</v>
      </c>
      <c r="CS149" s="190" t="n">
        <v>5.76709256821999</v>
      </c>
      <c r="CT149" s="190" t="n">
        <v>5.83682825623999</v>
      </c>
      <c r="CU149" s="190" t="n">
        <v>5.90656394425999</v>
      </c>
      <c r="CV149" s="190" t="n">
        <v>5.97629963227999</v>
      </c>
      <c r="CW149" s="190" t="n">
        <v>6.04603532029999</v>
      </c>
      <c r="CX149" s="190" t="n">
        <v>6.11577100831999</v>
      </c>
      <c r="CY149" s="190" t="n">
        <v>6.18550669633999</v>
      </c>
      <c r="CZ149" s="190" t="n">
        <v>6.25524238435999</v>
      </c>
      <c r="DA149" s="190" t="n">
        <v>6.32497807237999</v>
      </c>
      <c r="DB149" s="190" t="n">
        <v>6.39471376039999</v>
      </c>
      <c r="DC149" s="190" t="n">
        <v>6.46444944841999</v>
      </c>
      <c r="DD149" s="190" t="n">
        <v>6.53418513643999</v>
      </c>
      <c r="DE149" s="190" t="n">
        <v>6.60392082445999</v>
      </c>
      <c r="DF149" s="190" t="n">
        <v>6.67365651247999</v>
      </c>
      <c r="DG149" s="190" t="n">
        <v>6.74339220049999</v>
      </c>
      <c r="DH149" s="190" t="n">
        <v>6.81312788851999</v>
      </c>
      <c r="DI149" s="190" t="n">
        <v>6.88286357653999</v>
      </c>
      <c r="DJ149" s="190" t="n">
        <v>6.95259926455999</v>
      </c>
      <c r="DK149" s="190" t="n">
        <v>7.02233495257999</v>
      </c>
      <c r="DL149" s="190" t="n">
        <v>7.09207064059999</v>
      </c>
      <c r="DM149" s="190" t="n">
        <v>7.16180632861999</v>
      </c>
      <c r="DN149" s="190" t="n">
        <v>7.23154201663999</v>
      </c>
      <c r="DO149" s="190" t="n">
        <v>7.30127770465999</v>
      </c>
      <c r="DP149" s="190" t="n">
        <v>7.37101339267999</v>
      </c>
      <c r="DQ149" s="190" t="n">
        <v>7.44074908069999</v>
      </c>
      <c r="DR149" s="190" t="n">
        <v>7.51048476871999</v>
      </c>
      <c r="DS149" s="190" t="n">
        <v>7.58022045673999</v>
      </c>
      <c r="DT149" s="190" t="n">
        <v>7.64995614475999</v>
      </c>
      <c r="DU149" s="190" t="n">
        <v>7.71969183277999</v>
      </c>
      <c r="DV149" s="190" t="n">
        <v>7.78942752079998</v>
      </c>
      <c r="DW149" s="190" t="n">
        <v>7.85916320881998</v>
      </c>
      <c r="DX149" s="190" t="n">
        <v>7.92889889683998</v>
      </c>
      <c r="DY149" s="190" t="n">
        <v>7.99863458485998</v>
      </c>
      <c r="DZ149" s="190" t="n">
        <v>8.06837027287998</v>
      </c>
      <c r="EA149" s="190" t="n">
        <v>8.13810596089998</v>
      </c>
      <c r="EB149" s="190" t="n">
        <v>8.20784164891998</v>
      </c>
      <c r="EC149" s="190" t="n">
        <v>8.27757733693998</v>
      </c>
      <c r="ED149" s="190" t="n">
        <v>8.34731302495998</v>
      </c>
      <c r="EE149" s="190" t="n">
        <v>8.41704871297998</v>
      </c>
      <c r="EF149" s="190" t="n">
        <v>8.48678440099998</v>
      </c>
      <c r="EG149" s="190" t="n">
        <v>8.55652008901998</v>
      </c>
      <c r="EH149" s="190" t="n">
        <v>8.62625577703998</v>
      </c>
      <c r="EI149" s="190" t="n">
        <v>8.69599146505998</v>
      </c>
      <c r="EJ149" s="190" t="n">
        <v>8.76572715307998</v>
      </c>
      <c r="EK149" s="190" t="n">
        <v>8.83546284109998</v>
      </c>
      <c r="EL149" s="180" t="n">
        <v>8.90519852911998</v>
      </c>
      <c r="EM149" s="180" t="n">
        <v>8.97493421713998</v>
      </c>
      <c r="EN149" s="180" t="n">
        <v>9.04466990515998</v>
      </c>
      <c r="EO149" s="180" t="n">
        <v>9.11440559317998</v>
      </c>
      <c r="EP149" s="180" t="n">
        <v>9.18414128119998</v>
      </c>
      <c r="EQ149" s="180" t="n">
        <v>9.25387696921998</v>
      </c>
      <c r="ER149" s="180" t="n">
        <v>9.32361265723998</v>
      </c>
      <c r="ES149" s="180" t="n">
        <v>9.39334834525998</v>
      </c>
      <c r="ET149" s="180" t="n">
        <v>9.46308403327998</v>
      </c>
      <c r="EU149" s="180" t="n">
        <v>9.53281972129998</v>
      </c>
      <c r="EV149" s="180" t="n">
        <v>9.60255540931998</v>
      </c>
      <c r="EW149" s="180" t="n">
        <v>9.67229109733998</v>
      </c>
      <c r="EX149" s="180" t="n">
        <v>9.74202678535998</v>
      </c>
      <c r="EY149" s="180" t="n">
        <v>9.81176247337998</v>
      </c>
      <c r="EZ149" s="180" t="n">
        <v>9.88149816139998</v>
      </c>
      <c r="FA149" s="180" t="n">
        <v>9.95123384941998</v>
      </c>
      <c r="FB149" s="180" t="n">
        <v>10.02096953744</v>
      </c>
      <c r="FC149" s="180" t="n">
        <v>10.09070522546</v>
      </c>
      <c r="FD149" s="180" t="n">
        <v>10.16044091348</v>
      </c>
      <c r="FE149" s="180" t="n">
        <v>10.2301766015</v>
      </c>
      <c r="FF149" s="180" t="n">
        <v>10.29991228952</v>
      </c>
      <c r="FG149" s="180" t="n">
        <v>10.36964797754</v>
      </c>
      <c r="FH149" s="180" t="n">
        <v>10.43938366556</v>
      </c>
      <c r="FI149" s="180" t="n">
        <v>10.50911935358</v>
      </c>
      <c r="FJ149" s="180" t="n">
        <v>10.5788550416</v>
      </c>
      <c r="FK149" s="180" t="n">
        <v>10.64859072962</v>
      </c>
      <c r="FL149" s="180" t="n">
        <v>10.71832641764</v>
      </c>
      <c r="FM149" s="180" t="n">
        <v>10.78806210566</v>
      </c>
      <c r="FN149" s="180" t="n">
        <v>10.85779779368</v>
      </c>
      <c r="FO149" s="180" t="n">
        <v>10.9275334817</v>
      </c>
      <c r="FP149" s="180" t="n">
        <v>10.99726916972</v>
      </c>
      <c r="FQ149" s="180" t="n">
        <v>11.06700485774</v>
      </c>
      <c r="FR149" s="180" t="n">
        <v>11.13674054576</v>
      </c>
      <c r="FS149" s="180" t="n">
        <v>11.20647623378</v>
      </c>
      <c r="FT149" s="180" t="n">
        <v>11.2762119218</v>
      </c>
      <c r="FU149" s="180" t="n">
        <v>11.34594760982</v>
      </c>
      <c r="FV149" s="180" t="n">
        <v>11.41568329784</v>
      </c>
      <c r="FW149" s="180" t="n">
        <v>11.48541898586</v>
      </c>
      <c r="FX149" s="180" t="n">
        <v>11.55515467388</v>
      </c>
      <c r="FY149" s="180" t="n">
        <v>11.6248903619</v>
      </c>
      <c r="FZ149" s="180" t="n">
        <v>11.69462604992</v>
      </c>
      <c r="GA149" s="180" t="n">
        <v>11.76436173794</v>
      </c>
      <c r="GB149" s="180" t="n">
        <v>11.83409742596</v>
      </c>
      <c r="GC149" s="180" t="n">
        <v>11.90383311398</v>
      </c>
      <c r="GD149" s="180" t="n">
        <v>11.973568802</v>
      </c>
      <c r="GE149" s="180" t="n">
        <v>12.04330449002</v>
      </c>
      <c r="GF149" s="180" t="n">
        <v>12.11304017804</v>
      </c>
      <c r="GG149" s="180" t="n">
        <v>12.18277586606</v>
      </c>
      <c r="GH149" s="180" t="n">
        <v>12.25251155408</v>
      </c>
      <c r="GI149" s="180" t="n">
        <v>12.3222472421</v>
      </c>
      <c r="GJ149" s="180" t="n">
        <v>12.39198293012</v>
      </c>
      <c r="GK149" s="180" t="n">
        <v>12.46171861814</v>
      </c>
      <c r="GL149" s="180" t="n">
        <v>12.53145430616</v>
      </c>
      <c r="GM149" s="180" t="n">
        <v>12.60118999418</v>
      </c>
      <c r="GN149" s="180" t="n">
        <v>12.6709256822</v>
      </c>
      <c r="GO149" s="180" t="n">
        <v>12.74066137022</v>
      </c>
      <c r="GP149" s="180" t="n">
        <v>12.81039705824</v>
      </c>
      <c r="GQ149" s="180" t="n">
        <v>12.88013274626</v>
      </c>
      <c r="GR149" s="180" t="n">
        <v>12.94986843428</v>
      </c>
      <c r="GS149" s="180" t="n">
        <v>13.0196041223</v>
      </c>
      <c r="GT149" s="180" t="n">
        <v>13.08933981032</v>
      </c>
      <c r="GU149" s="180" t="n">
        <v>13.15907549834</v>
      </c>
      <c r="GV149" s="180" t="n">
        <v>13.22881118636</v>
      </c>
      <c r="GW149" s="180" t="n">
        <v>13.29854687438</v>
      </c>
      <c r="GX149" s="180" t="n">
        <v>13.3682825624</v>
      </c>
      <c r="GY149" s="180" t="n">
        <v>13.43801825042</v>
      </c>
      <c r="GZ149" s="180" t="n">
        <v>13.50775393844</v>
      </c>
      <c r="HA149" s="180" t="n">
        <v>13.57748962646</v>
      </c>
      <c r="HB149" s="180" t="n">
        <v>13.64722531448</v>
      </c>
      <c r="HC149" s="180" t="n">
        <v>13.7169610025</v>
      </c>
      <c r="HD149" s="180" t="n">
        <v>13.78669669052</v>
      </c>
      <c r="HE149" s="180" t="n">
        <v>13.85643237854</v>
      </c>
      <c r="HF149" s="180" t="n">
        <v>13.92616806656</v>
      </c>
      <c r="HG149" s="180" t="n">
        <v>13.99590375458</v>
      </c>
      <c r="HH149" s="180" t="n">
        <v>14.0656394426</v>
      </c>
      <c r="HI149" s="180" t="n">
        <v>14.13537513062</v>
      </c>
      <c r="HJ149" s="180" t="n">
        <v>14.20511081864</v>
      </c>
      <c r="HK149" s="180" t="n">
        <v>14.27484650666</v>
      </c>
      <c r="HL149" s="180" t="n">
        <v>14.34458219468</v>
      </c>
      <c r="HM149" s="180" t="n">
        <v>14.4143178827</v>
      </c>
      <c r="HN149" s="180" t="n">
        <v>14.48405357072</v>
      </c>
      <c r="HO149" s="180" t="n">
        <v>14.55378925874</v>
      </c>
      <c r="HP149" s="180" t="n">
        <v>14.62352494676</v>
      </c>
      <c r="HQ149" s="180" t="n">
        <v>14.69326063478</v>
      </c>
      <c r="HR149" s="180" t="n">
        <v>14.7629963228</v>
      </c>
      <c r="HS149" s="180" t="n">
        <v>14.83273201082</v>
      </c>
      <c r="HT149" s="180" t="n">
        <v>14.90246769884</v>
      </c>
      <c r="HU149" s="180" t="n">
        <v>14.97220338686</v>
      </c>
      <c r="HV149" s="180" t="n">
        <v>15.04193907488</v>
      </c>
      <c r="HW149" s="180" t="n">
        <v>15.1116747629</v>
      </c>
      <c r="HX149" s="180" t="n">
        <v>15.18141045092</v>
      </c>
      <c r="HY149" s="180" t="n">
        <v>15.25114613894</v>
      </c>
      <c r="HZ149" s="180" t="n">
        <v>15.32088182696</v>
      </c>
      <c r="IA149" s="180" t="n">
        <v>15.39061751498</v>
      </c>
      <c r="IB149" s="180" t="n">
        <v>15.460353203</v>
      </c>
      <c r="IC149" s="180" t="n">
        <v>15.53008889102</v>
      </c>
      <c r="ID149" s="180" t="n">
        <v>15.59982457904</v>
      </c>
      <c r="IE149" s="180" t="n">
        <v>15.66956026706</v>
      </c>
      <c r="IF149" s="180" t="n">
        <v>15.73929595508</v>
      </c>
      <c r="IG149" s="180" t="n">
        <v>15.8090316431</v>
      </c>
      <c r="IH149" s="180" t="n">
        <v>15.87876733112</v>
      </c>
      <c r="II149" s="180" t="n">
        <v>15.94850301914</v>
      </c>
      <c r="IJ149" s="180" t="n">
        <v>16.01823870716</v>
      </c>
      <c r="IK149" s="180" t="n">
        <v>16.08797439518</v>
      </c>
      <c r="IL149" s="180" t="n">
        <v>16.1577100832</v>
      </c>
      <c r="IM149" s="180" t="n">
        <v>16.22744577122</v>
      </c>
      <c r="IN149" s="180" t="n">
        <v>16.29718145924</v>
      </c>
      <c r="IO149" s="180" t="n">
        <v>16.36691714726</v>
      </c>
      <c r="IP149" s="180" t="n">
        <v>16.43665283528</v>
      </c>
      <c r="IQ149" s="180" t="n">
        <v>16.5063885233</v>
      </c>
      <c r="IR149" s="180" t="n">
        <v>16.57612421132</v>
      </c>
      <c r="IS149" s="180" t="n">
        <v>16.64585989934</v>
      </c>
      <c r="IT149" s="180" t="n">
        <v>16.71559558736</v>
      </c>
      <c r="IU149" s="180" t="n">
        <v>16.78533127538</v>
      </c>
      <c r="IV149" s="180" t="n">
        <v>16.8550669634</v>
      </c>
    </row>
    <row r="150" customFormat="false" ht="12.75" hidden="false" customHeight="false" outlineLevel="0" collapsed="false">
      <c r="A150" s="189" t="n">
        <v>41244</v>
      </c>
      <c r="B150" s="185" t="n">
        <v>-2.021005929375</v>
      </c>
      <c r="C150" s="185" t="n">
        <v>-1.9907047400625</v>
      </c>
      <c r="D150" s="185" t="n">
        <v>-1.96040355075</v>
      </c>
      <c r="E150" s="185" t="n">
        <v>-1.9301023614375</v>
      </c>
      <c r="F150" s="185" t="n">
        <v>-1.899801172125</v>
      </c>
      <c r="G150" s="185" t="n">
        <v>-1.8694999828125</v>
      </c>
      <c r="H150" s="185" t="n">
        <v>-1.8391987935</v>
      </c>
      <c r="I150" s="185" t="n">
        <v>-1.8088976041875</v>
      </c>
      <c r="J150" s="185" t="n">
        <v>-1.778596414875</v>
      </c>
      <c r="K150" s="185" t="n">
        <v>-1.7482952255625</v>
      </c>
      <c r="L150" s="185" t="n">
        <v>-1.71799403625</v>
      </c>
      <c r="M150" s="185" t="n">
        <v>-1.6876928469375</v>
      </c>
      <c r="N150" s="185" t="n">
        <v>-1.657391657625</v>
      </c>
      <c r="O150" s="185" t="n">
        <v>-1.6270904683125</v>
      </c>
      <c r="P150" s="185" t="n">
        <v>-1.596789279</v>
      </c>
      <c r="Q150" s="185" t="n">
        <v>-1.5664880896875</v>
      </c>
      <c r="R150" s="185" t="n">
        <v>-1.536186900375</v>
      </c>
      <c r="S150" s="185" t="n">
        <v>-1.5058857110625</v>
      </c>
      <c r="T150" s="185" t="n">
        <v>-1.47558452175</v>
      </c>
      <c r="U150" s="185" t="n">
        <v>-1.4452833324375</v>
      </c>
      <c r="V150" s="186" t="n">
        <v>-1.414982143125</v>
      </c>
      <c r="W150" s="185" t="n">
        <v>-1.3846809538125</v>
      </c>
      <c r="X150" s="186" t="n">
        <v>-1.3543797645</v>
      </c>
      <c r="Y150" s="185" t="n">
        <v>-1.3240785751875</v>
      </c>
      <c r="Z150" s="186" t="n">
        <v>-1.293777385875</v>
      </c>
      <c r="AA150" s="185" t="n">
        <v>-1.2634761965625</v>
      </c>
      <c r="AB150" s="187" t="n">
        <v>-1.23317500725</v>
      </c>
      <c r="AC150" s="185" t="n">
        <v>-1.2028738179375</v>
      </c>
      <c r="AD150" s="187" t="n">
        <v>-1.172572628625</v>
      </c>
      <c r="AE150" s="185" t="n">
        <v>-1.1422714393125</v>
      </c>
      <c r="AF150" s="185" t="n">
        <v>-1.11197025</v>
      </c>
      <c r="AG150" s="190" t="n">
        <v>-1.083235125</v>
      </c>
      <c r="AH150" s="190" t="n">
        <v>-1.0545</v>
      </c>
      <c r="AI150" s="190" t="n">
        <v>-1.02725</v>
      </c>
      <c r="AJ150" s="190" t="n">
        <v>-1</v>
      </c>
      <c r="AK150" s="190" t="n">
        <v>-0.8</v>
      </c>
      <c r="AL150" s="190" t="n">
        <v>-0.6</v>
      </c>
      <c r="AM150" s="190" t="n">
        <v>-0.4</v>
      </c>
      <c r="AN150" s="190" t="n">
        <v>-0.2</v>
      </c>
      <c r="AO150" s="190" t="n">
        <v>0</v>
      </c>
      <c r="AP150" s="190" t="n">
        <v>0.2</v>
      </c>
      <c r="AQ150" s="190" t="n">
        <v>0.4</v>
      </c>
      <c r="AR150" s="190" t="n">
        <v>0.6</v>
      </c>
      <c r="AS150" s="190" t="n">
        <v>0.8</v>
      </c>
      <c r="AT150" s="190" t="n">
        <v>1</v>
      </c>
      <c r="AU150" s="190" t="n">
        <v>1.2</v>
      </c>
      <c r="AV150" s="190" t="n">
        <v>1.4</v>
      </c>
      <c r="AW150" s="190" t="n">
        <v>1.58</v>
      </c>
      <c r="AX150" s="190" t="n">
        <v>1.76</v>
      </c>
      <c r="AY150" s="190" t="n">
        <v>1.922</v>
      </c>
      <c r="AZ150" s="190" t="n">
        <v>2.084</v>
      </c>
      <c r="BA150" s="190" t="n">
        <v>2.2298</v>
      </c>
      <c r="BB150" s="190" t="n">
        <v>2.3756</v>
      </c>
      <c r="BC150" s="190" t="n">
        <v>2.50682</v>
      </c>
      <c r="BD150" s="190" t="n">
        <v>2.63804</v>
      </c>
      <c r="BE150" s="190" t="n">
        <v>2.756138</v>
      </c>
      <c r="BF150" s="190" t="n">
        <v>2.874236</v>
      </c>
      <c r="BG150" s="190" t="n">
        <v>2.9805242</v>
      </c>
      <c r="BH150" s="190" t="n">
        <v>3.0868124</v>
      </c>
      <c r="BI150" s="190" t="n">
        <v>3.18247178</v>
      </c>
      <c r="BJ150" s="190" t="n">
        <v>3.27813116</v>
      </c>
      <c r="BK150" s="190" t="n">
        <v>3.364224602</v>
      </c>
      <c r="BL150" s="190" t="n">
        <v>3.450318044</v>
      </c>
      <c r="BM150" s="190" t="n">
        <v>3.5278021418</v>
      </c>
      <c r="BN150" s="190" t="n">
        <v>3.6052862396</v>
      </c>
      <c r="BO150" s="190" t="n">
        <v>3.67502192762</v>
      </c>
      <c r="BP150" s="190" t="n">
        <v>3.74475761564</v>
      </c>
      <c r="BQ150" s="190" t="n">
        <v>3.81449330366</v>
      </c>
      <c r="BR150" s="190" t="n">
        <v>3.88422899168</v>
      </c>
      <c r="BS150" s="190" t="n">
        <v>3.9539646797</v>
      </c>
      <c r="BT150" s="190" t="n">
        <v>4.02370036772</v>
      </c>
      <c r="BU150" s="190" t="n">
        <v>4.09343605574</v>
      </c>
      <c r="BV150" s="190" t="n">
        <v>4.16317174376</v>
      </c>
      <c r="BW150" s="190" t="n">
        <v>4.23290743178</v>
      </c>
      <c r="BX150" s="190" t="n">
        <v>4.3026431198</v>
      </c>
      <c r="BY150" s="190" t="n">
        <v>4.37237880782</v>
      </c>
      <c r="BZ150" s="190" t="n">
        <v>4.44211449584</v>
      </c>
      <c r="CA150" s="190" t="n">
        <v>4.51185018386</v>
      </c>
      <c r="CB150" s="190" t="n">
        <v>4.58158587188</v>
      </c>
      <c r="CC150" s="190" t="n">
        <v>4.6513215599</v>
      </c>
      <c r="CD150" s="190" t="n">
        <v>4.72105724792</v>
      </c>
      <c r="CE150" s="190" t="n">
        <v>4.79079293594</v>
      </c>
      <c r="CF150" s="190" t="n">
        <v>4.86052862396</v>
      </c>
      <c r="CG150" s="190" t="n">
        <v>4.93026431198</v>
      </c>
      <c r="CH150" s="190" t="n">
        <v>5</v>
      </c>
      <c r="CI150" s="190" t="n">
        <v>5.06973568801999</v>
      </c>
      <c r="CJ150" s="190" t="n">
        <v>5.13947137603999</v>
      </c>
      <c r="CK150" s="190" t="n">
        <v>5.20920706405999</v>
      </c>
      <c r="CL150" s="190" t="n">
        <v>5.27894275207999</v>
      </c>
      <c r="CM150" s="190" t="n">
        <v>5.34867844009999</v>
      </c>
      <c r="CN150" s="190" t="n">
        <v>5.41841412811999</v>
      </c>
      <c r="CO150" s="190" t="n">
        <v>5.48814981613999</v>
      </c>
      <c r="CP150" s="190" t="n">
        <v>5.55788550415999</v>
      </c>
      <c r="CQ150" s="190" t="n">
        <v>5.62762119217999</v>
      </c>
      <c r="CR150" s="190" t="n">
        <v>5.69735688019999</v>
      </c>
      <c r="CS150" s="190" t="n">
        <v>5.76709256821999</v>
      </c>
      <c r="CT150" s="190" t="n">
        <v>5.83682825623999</v>
      </c>
      <c r="CU150" s="190" t="n">
        <v>5.90656394425999</v>
      </c>
      <c r="CV150" s="190" t="n">
        <v>5.97629963227999</v>
      </c>
      <c r="CW150" s="190" t="n">
        <v>6.04603532029999</v>
      </c>
      <c r="CX150" s="190" t="n">
        <v>6.11577100831999</v>
      </c>
      <c r="CY150" s="190" t="n">
        <v>6.18550669633999</v>
      </c>
      <c r="CZ150" s="190" t="n">
        <v>6.25524238435999</v>
      </c>
      <c r="DA150" s="190" t="n">
        <v>6.32497807237999</v>
      </c>
      <c r="DB150" s="190" t="n">
        <v>6.39471376039999</v>
      </c>
      <c r="DC150" s="190" t="n">
        <v>6.46444944841999</v>
      </c>
      <c r="DD150" s="190" t="n">
        <v>6.53418513643999</v>
      </c>
      <c r="DE150" s="190" t="n">
        <v>6.60392082445999</v>
      </c>
      <c r="DF150" s="190" t="n">
        <v>6.67365651247999</v>
      </c>
      <c r="DG150" s="190" t="n">
        <v>6.74339220049999</v>
      </c>
      <c r="DH150" s="190" t="n">
        <v>6.81312788851999</v>
      </c>
      <c r="DI150" s="190" t="n">
        <v>6.88286357653999</v>
      </c>
      <c r="DJ150" s="190" t="n">
        <v>6.95259926455999</v>
      </c>
      <c r="DK150" s="190" t="n">
        <v>7.02233495257999</v>
      </c>
      <c r="DL150" s="190" t="n">
        <v>7.09207064059999</v>
      </c>
      <c r="DM150" s="190" t="n">
        <v>7.16180632861999</v>
      </c>
      <c r="DN150" s="190" t="n">
        <v>7.23154201663999</v>
      </c>
      <c r="DO150" s="190" t="n">
        <v>7.30127770465999</v>
      </c>
      <c r="DP150" s="190" t="n">
        <v>7.37101339267999</v>
      </c>
      <c r="DQ150" s="190" t="n">
        <v>7.44074908069999</v>
      </c>
      <c r="DR150" s="190" t="n">
        <v>7.51048476871999</v>
      </c>
      <c r="DS150" s="190" t="n">
        <v>7.58022045673999</v>
      </c>
      <c r="DT150" s="190" t="n">
        <v>7.64995614475999</v>
      </c>
      <c r="DU150" s="190" t="n">
        <v>7.71969183277999</v>
      </c>
      <c r="DV150" s="190" t="n">
        <v>7.78942752079998</v>
      </c>
      <c r="DW150" s="190" t="n">
        <v>7.85916320881998</v>
      </c>
      <c r="DX150" s="190" t="n">
        <v>7.92889889683998</v>
      </c>
      <c r="DY150" s="190" t="n">
        <v>7.99863458485998</v>
      </c>
      <c r="DZ150" s="190" t="n">
        <v>8.06837027287998</v>
      </c>
      <c r="EA150" s="190" t="n">
        <v>8.13810596089998</v>
      </c>
      <c r="EB150" s="190" t="n">
        <v>8.20784164891998</v>
      </c>
      <c r="EC150" s="190" t="n">
        <v>8.27757733693998</v>
      </c>
      <c r="ED150" s="190" t="n">
        <v>8.34731302495998</v>
      </c>
      <c r="EE150" s="190" t="n">
        <v>8.41704871297998</v>
      </c>
      <c r="EF150" s="190" t="n">
        <v>8.48678440099998</v>
      </c>
      <c r="EG150" s="190" t="n">
        <v>8.55652008901998</v>
      </c>
      <c r="EH150" s="190" t="n">
        <v>8.62625577703998</v>
      </c>
      <c r="EI150" s="190" t="n">
        <v>8.69599146505998</v>
      </c>
      <c r="EJ150" s="190" t="n">
        <v>8.76572715307998</v>
      </c>
      <c r="EK150" s="190" t="n">
        <v>8.83546284109998</v>
      </c>
      <c r="EL150" s="180" t="n">
        <v>8.90519852911998</v>
      </c>
      <c r="EM150" s="180" t="n">
        <v>8.97493421713998</v>
      </c>
      <c r="EN150" s="180" t="n">
        <v>9.04466990515998</v>
      </c>
      <c r="EO150" s="180" t="n">
        <v>9.11440559317998</v>
      </c>
      <c r="EP150" s="180" t="n">
        <v>9.18414128119998</v>
      </c>
      <c r="EQ150" s="180" t="n">
        <v>9.25387696921998</v>
      </c>
      <c r="ER150" s="180" t="n">
        <v>9.32361265723998</v>
      </c>
      <c r="ES150" s="180" t="n">
        <v>9.39334834525998</v>
      </c>
      <c r="ET150" s="180" t="n">
        <v>9.46308403327998</v>
      </c>
      <c r="EU150" s="180" t="n">
        <v>9.53281972129998</v>
      </c>
      <c r="EV150" s="180" t="n">
        <v>9.60255540931998</v>
      </c>
      <c r="EW150" s="180" t="n">
        <v>9.67229109733998</v>
      </c>
      <c r="EX150" s="180" t="n">
        <v>9.74202678535998</v>
      </c>
      <c r="EY150" s="180" t="n">
        <v>9.81176247337998</v>
      </c>
      <c r="EZ150" s="180" t="n">
        <v>9.88149816139998</v>
      </c>
      <c r="FA150" s="180" t="n">
        <v>9.95123384941998</v>
      </c>
      <c r="FB150" s="180" t="n">
        <v>10.02096953744</v>
      </c>
      <c r="FC150" s="180" t="n">
        <v>10.09070522546</v>
      </c>
      <c r="FD150" s="180" t="n">
        <v>10.16044091348</v>
      </c>
      <c r="FE150" s="180" t="n">
        <v>10.2301766015</v>
      </c>
      <c r="FF150" s="180" t="n">
        <v>10.29991228952</v>
      </c>
      <c r="FG150" s="180" t="n">
        <v>10.36964797754</v>
      </c>
      <c r="FH150" s="180" t="n">
        <v>10.43938366556</v>
      </c>
      <c r="FI150" s="180" t="n">
        <v>10.50911935358</v>
      </c>
      <c r="FJ150" s="180" t="n">
        <v>10.5788550416</v>
      </c>
      <c r="FK150" s="180" t="n">
        <v>10.64859072962</v>
      </c>
      <c r="FL150" s="180" t="n">
        <v>10.71832641764</v>
      </c>
      <c r="FM150" s="180" t="n">
        <v>10.78806210566</v>
      </c>
      <c r="FN150" s="180" t="n">
        <v>10.85779779368</v>
      </c>
      <c r="FO150" s="180" t="n">
        <v>10.9275334817</v>
      </c>
      <c r="FP150" s="180" t="n">
        <v>10.99726916972</v>
      </c>
      <c r="FQ150" s="180" t="n">
        <v>11.06700485774</v>
      </c>
      <c r="FR150" s="180" t="n">
        <v>11.13674054576</v>
      </c>
      <c r="FS150" s="180" t="n">
        <v>11.20647623378</v>
      </c>
      <c r="FT150" s="180" t="n">
        <v>11.2762119218</v>
      </c>
      <c r="FU150" s="180" t="n">
        <v>11.34594760982</v>
      </c>
      <c r="FV150" s="180" t="n">
        <v>11.41568329784</v>
      </c>
      <c r="FW150" s="180" t="n">
        <v>11.48541898586</v>
      </c>
      <c r="FX150" s="180" t="n">
        <v>11.55515467388</v>
      </c>
      <c r="FY150" s="180" t="n">
        <v>11.6248903619</v>
      </c>
      <c r="FZ150" s="180" t="n">
        <v>11.69462604992</v>
      </c>
      <c r="GA150" s="180" t="n">
        <v>11.76436173794</v>
      </c>
      <c r="GB150" s="180" t="n">
        <v>11.83409742596</v>
      </c>
      <c r="GC150" s="180" t="n">
        <v>11.90383311398</v>
      </c>
      <c r="GD150" s="180" t="n">
        <v>11.973568802</v>
      </c>
      <c r="GE150" s="180" t="n">
        <v>12.04330449002</v>
      </c>
      <c r="GF150" s="180" t="n">
        <v>12.11304017804</v>
      </c>
      <c r="GG150" s="180" t="n">
        <v>12.18277586606</v>
      </c>
      <c r="GH150" s="180" t="n">
        <v>12.25251155408</v>
      </c>
      <c r="GI150" s="180" t="n">
        <v>12.3222472421</v>
      </c>
      <c r="GJ150" s="180" t="n">
        <v>12.39198293012</v>
      </c>
      <c r="GK150" s="180" t="n">
        <v>12.46171861814</v>
      </c>
      <c r="GL150" s="180" t="n">
        <v>12.53145430616</v>
      </c>
      <c r="GM150" s="180" t="n">
        <v>12.60118999418</v>
      </c>
      <c r="GN150" s="180" t="n">
        <v>12.6709256822</v>
      </c>
      <c r="GO150" s="180" t="n">
        <v>12.74066137022</v>
      </c>
      <c r="GP150" s="180" t="n">
        <v>12.81039705824</v>
      </c>
      <c r="GQ150" s="180" t="n">
        <v>12.88013274626</v>
      </c>
      <c r="GR150" s="180" t="n">
        <v>12.94986843428</v>
      </c>
      <c r="GS150" s="180" t="n">
        <v>13.0196041223</v>
      </c>
      <c r="GT150" s="180" t="n">
        <v>13.08933981032</v>
      </c>
      <c r="GU150" s="180" t="n">
        <v>13.15907549834</v>
      </c>
      <c r="GV150" s="180" t="n">
        <v>13.22881118636</v>
      </c>
      <c r="GW150" s="180" t="n">
        <v>13.29854687438</v>
      </c>
      <c r="GX150" s="180" t="n">
        <v>13.3682825624</v>
      </c>
      <c r="GY150" s="180" t="n">
        <v>13.43801825042</v>
      </c>
      <c r="GZ150" s="180" t="n">
        <v>13.50775393844</v>
      </c>
      <c r="HA150" s="180" t="n">
        <v>13.57748962646</v>
      </c>
      <c r="HB150" s="180" t="n">
        <v>13.64722531448</v>
      </c>
      <c r="HC150" s="180" t="n">
        <v>13.7169610025</v>
      </c>
      <c r="HD150" s="180" t="n">
        <v>13.78669669052</v>
      </c>
      <c r="HE150" s="180" t="n">
        <v>13.85643237854</v>
      </c>
      <c r="HF150" s="180" t="n">
        <v>13.92616806656</v>
      </c>
      <c r="HG150" s="180" t="n">
        <v>13.99590375458</v>
      </c>
      <c r="HH150" s="180" t="n">
        <v>14.0656394426</v>
      </c>
      <c r="HI150" s="180" t="n">
        <v>14.13537513062</v>
      </c>
      <c r="HJ150" s="180" t="n">
        <v>14.20511081864</v>
      </c>
      <c r="HK150" s="180" t="n">
        <v>14.27484650666</v>
      </c>
      <c r="HL150" s="180" t="n">
        <v>14.34458219468</v>
      </c>
      <c r="HM150" s="180" t="n">
        <v>14.4143178827</v>
      </c>
      <c r="HN150" s="180" t="n">
        <v>14.48405357072</v>
      </c>
      <c r="HO150" s="180" t="n">
        <v>14.55378925874</v>
      </c>
      <c r="HP150" s="180" t="n">
        <v>14.62352494676</v>
      </c>
      <c r="HQ150" s="180" t="n">
        <v>14.69326063478</v>
      </c>
      <c r="HR150" s="180" t="n">
        <v>14.7629963228</v>
      </c>
      <c r="HS150" s="180" t="n">
        <v>14.83273201082</v>
      </c>
      <c r="HT150" s="180" t="n">
        <v>14.90246769884</v>
      </c>
      <c r="HU150" s="180" t="n">
        <v>14.97220338686</v>
      </c>
      <c r="HV150" s="180" t="n">
        <v>15.04193907488</v>
      </c>
      <c r="HW150" s="180" t="n">
        <v>15.1116747629</v>
      </c>
      <c r="HX150" s="180" t="n">
        <v>15.18141045092</v>
      </c>
      <c r="HY150" s="180" t="n">
        <v>15.25114613894</v>
      </c>
      <c r="HZ150" s="180" t="n">
        <v>15.32088182696</v>
      </c>
      <c r="IA150" s="180" t="n">
        <v>15.39061751498</v>
      </c>
      <c r="IB150" s="180" t="n">
        <v>15.460353203</v>
      </c>
      <c r="IC150" s="180" t="n">
        <v>15.53008889102</v>
      </c>
      <c r="ID150" s="180" t="n">
        <v>15.59982457904</v>
      </c>
      <c r="IE150" s="180" t="n">
        <v>15.66956026706</v>
      </c>
      <c r="IF150" s="180" t="n">
        <v>15.73929595508</v>
      </c>
      <c r="IG150" s="180" t="n">
        <v>15.8090316431</v>
      </c>
      <c r="IH150" s="180" t="n">
        <v>15.87876733112</v>
      </c>
      <c r="II150" s="180" t="n">
        <v>15.94850301914</v>
      </c>
      <c r="IJ150" s="180" t="n">
        <v>16.01823870716</v>
      </c>
      <c r="IK150" s="180" t="n">
        <v>16.08797439518</v>
      </c>
      <c r="IL150" s="180" t="n">
        <v>16.1577100832</v>
      </c>
      <c r="IM150" s="180" t="n">
        <v>16.22744577122</v>
      </c>
      <c r="IN150" s="180" t="n">
        <v>16.29718145924</v>
      </c>
      <c r="IO150" s="180" t="n">
        <v>16.36691714726</v>
      </c>
      <c r="IP150" s="180" t="n">
        <v>16.43665283528</v>
      </c>
      <c r="IQ150" s="180" t="n">
        <v>16.5063885233</v>
      </c>
      <c r="IR150" s="180" t="n">
        <v>16.57612421132</v>
      </c>
      <c r="IS150" s="180" t="n">
        <v>16.64585989934</v>
      </c>
      <c r="IT150" s="180" t="n">
        <v>16.71559558736</v>
      </c>
      <c r="IU150" s="180" t="n">
        <v>16.78533127538</v>
      </c>
      <c r="IV150" s="180" t="n">
        <v>16.8550669634</v>
      </c>
    </row>
    <row r="151" customFormat="false" ht="12.75" hidden="false" customHeight="false" outlineLevel="0" collapsed="false">
      <c r="A151" s="189" t="n">
        <v>41275</v>
      </c>
      <c r="B151" s="185" t="n">
        <v>-2.021005929375</v>
      </c>
      <c r="C151" s="185" t="n">
        <v>-1.9907047400625</v>
      </c>
      <c r="D151" s="185" t="n">
        <v>-1.96040355075</v>
      </c>
      <c r="E151" s="185" t="n">
        <v>-1.9301023614375</v>
      </c>
      <c r="F151" s="185" t="n">
        <v>-1.899801172125</v>
      </c>
      <c r="G151" s="185" t="n">
        <v>-1.8694999828125</v>
      </c>
      <c r="H151" s="185" t="n">
        <v>-1.8391987935</v>
      </c>
      <c r="I151" s="185" t="n">
        <v>-1.8088976041875</v>
      </c>
      <c r="J151" s="185" t="n">
        <v>-1.778596414875</v>
      </c>
      <c r="K151" s="185" t="n">
        <v>-1.7482952255625</v>
      </c>
      <c r="L151" s="185" t="n">
        <v>-1.71799403625</v>
      </c>
      <c r="M151" s="185" t="n">
        <v>-1.6876928469375</v>
      </c>
      <c r="N151" s="185" t="n">
        <v>-1.657391657625</v>
      </c>
      <c r="O151" s="185" t="n">
        <v>-1.6270904683125</v>
      </c>
      <c r="P151" s="185" t="n">
        <v>-1.596789279</v>
      </c>
      <c r="Q151" s="185" t="n">
        <v>-1.5664880896875</v>
      </c>
      <c r="R151" s="185" t="n">
        <v>-1.536186900375</v>
      </c>
      <c r="S151" s="185" t="n">
        <v>-1.5058857110625</v>
      </c>
      <c r="T151" s="185" t="n">
        <v>-1.47558452175</v>
      </c>
      <c r="U151" s="185" t="n">
        <v>-1.4452833324375</v>
      </c>
      <c r="V151" s="186" t="n">
        <v>-1.414982143125</v>
      </c>
      <c r="W151" s="185" t="n">
        <v>-1.3846809538125</v>
      </c>
      <c r="X151" s="186" t="n">
        <v>-1.3543797645</v>
      </c>
      <c r="Y151" s="185" t="n">
        <v>-1.3240785751875</v>
      </c>
      <c r="Z151" s="186" t="n">
        <v>-1.293777385875</v>
      </c>
      <c r="AA151" s="185" t="n">
        <v>-1.2634761965625</v>
      </c>
      <c r="AB151" s="187" t="n">
        <v>-1.23317500725</v>
      </c>
      <c r="AC151" s="185" t="n">
        <v>-1.2028738179375</v>
      </c>
      <c r="AD151" s="187" t="n">
        <v>-1.172572628625</v>
      </c>
      <c r="AE151" s="185" t="n">
        <v>-1.1422714393125</v>
      </c>
      <c r="AF151" s="185" t="n">
        <v>-1.11197025</v>
      </c>
      <c r="AG151" s="190" t="n">
        <v>-1.083235125</v>
      </c>
      <c r="AH151" s="190" t="n">
        <v>-1.0545</v>
      </c>
      <c r="AI151" s="190" t="n">
        <v>-1.02725</v>
      </c>
      <c r="AJ151" s="190" t="n">
        <v>-1</v>
      </c>
      <c r="AK151" s="190" t="n">
        <v>-0.8</v>
      </c>
      <c r="AL151" s="190" t="n">
        <v>-0.6</v>
      </c>
      <c r="AM151" s="190" t="n">
        <v>-0.4</v>
      </c>
      <c r="AN151" s="190" t="n">
        <v>-0.2</v>
      </c>
      <c r="AO151" s="190" t="n">
        <v>0</v>
      </c>
      <c r="AP151" s="190" t="n">
        <v>0.2</v>
      </c>
      <c r="AQ151" s="190" t="n">
        <v>0.4</v>
      </c>
      <c r="AR151" s="190" t="n">
        <v>0.6</v>
      </c>
      <c r="AS151" s="190" t="n">
        <v>0.8</v>
      </c>
      <c r="AT151" s="190" t="n">
        <v>1</v>
      </c>
      <c r="AU151" s="190" t="n">
        <v>1.2</v>
      </c>
      <c r="AV151" s="190" t="n">
        <v>1.4</v>
      </c>
      <c r="AW151" s="190" t="n">
        <v>1.58</v>
      </c>
      <c r="AX151" s="190" t="n">
        <v>1.76</v>
      </c>
      <c r="AY151" s="190" t="n">
        <v>1.922</v>
      </c>
      <c r="AZ151" s="190" t="n">
        <v>2.084</v>
      </c>
      <c r="BA151" s="190" t="n">
        <v>2.2298</v>
      </c>
      <c r="BB151" s="190" t="n">
        <v>2.3756</v>
      </c>
      <c r="BC151" s="190" t="n">
        <v>2.50682</v>
      </c>
      <c r="BD151" s="190" t="n">
        <v>2.63804</v>
      </c>
      <c r="BE151" s="190" t="n">
        <v>2.756138</v>
      </c>
      <c r="BF151" s="190" t="n">
        <v>2.874236</v>
      </c>
      <c r="BG151" s="190" t="n">
        <v>2.9805242</v>
      </c>
      <c r="BH151" s="190" t="n">
        <v>3.0868124</v>
      </c>
      <c r="BI151" s="190" t="n">
        <v>3.18247178</v>
      </c>
      <c r="BJ151" s="190" t="n">
        <v>3.27813116</v>
      </c>
      <c r="BK151" s="190" t="n">
        <v>3.364224602</v>
      </c>
      <c r="BL151" s="190" t="n">
        <v>3.450318044</v>
      </c>
      <c r="BM151" s="190" t="n">
        <v>3.5278021418</v>
      </c>
      <c r="BN151" s="190" t="n">
        <v>3.6052862396</v>
      </c>
      <c r="BO151" s="190" t="n">
        <v>3.67502192762</v>
      </c>
      <c r="BP151" s="190" t="n">
        <v>3.74475761564</v>
      </c>
      <c r="BQ151" s="190" t="n">
        <v>3.81449330366</v>
      </c>
      <c r="BR151" s="190" t="n">
        <v>3.88422899168</v>
      </c>
      <c r="BS151" s="190" t="n">
        <v>3.9539646797</v>
      </c>
      <c r="BT151" s="190" t="n">
        <v>4.02370036772</v>
      </c>
      <c r="BU151" s="190" t="n">
        <v>4.09343605574</v>
      </c>
      <c r="BV151" s="190" t="n">
        <v>4.16317174376</v>
      </c>
      <c r="BW151" s="190" t="n">
        <v>4.23290743178</v>
      </c>
      <c r="BX151" s="190" t="n">
        <v>4.3026431198</v>
      </c>
      <c r="BY151" s="190" t="n">
        <v>4.37237880782</v>
      </c>
      <c r="BZ151" s="190" t="n">
        <v>4.44211449584</v>
      </c>
      <c r="CA151" s="190" t="n">
        <v>4.51185018386</v>
      </c>
      <c r="CB151" s="190" t="n">
        <v>4.58158587188</v>
      </c>
      <c r="CC151" s="190" t="n">
        <v>4.6513215599</v>
      </c>
      <c r="CD151" s="190" t="n">
        <v>4.72105724792</v>
      </c>
      <c r="CE151" s="190" t="n">
        <v>4.79079293594</v>
      </c>
      <c r="CF151" s="190" t="n">
        <v>4.86052862396</v>
      </c>
      <c r="CG151" s="190" t="n">
        <v>4.93026431198</v>
      </c>
      <c r="CH151" s="190" t="n">
        <v>5</v>
      </c>
      <c r="CI151" s="190" t="n">
        <v>5.06973568801999</v>
      </c>
      <c r="CJ151" s="190" t="n">
        <v>5.13947137603999</v>
      </c>
      <c r="CK151" s="190" t="n">
        <v>5.20920706405999</v>
      </c>
      <c r="CL151" s="190" t="n">
        <v>5.27894275207999</v>
      </c>
      <c r="CM151" s="190" t="n">
        <v>5.34867844009999</v>
      </c>
      <c r="CN151" s="190" t="n">
        <v>5.41841412811999</v>
      </c>
      <c r="CO151" s="190" t="n">
        <v>5.48814981613999</v>
      </c>
      <c r="CP151" s="190" t="n">
        <v>5.55788550415999</v>
      </c>
      <c r="CQ151" s="190" t="n">
        <v>5.62762119217999</v>
      </c>
      <c r="CR151" s="190" t="n">
        <v>5.69735688019999</v>
      </c>
      <c r="CS151" s="190" t="n">
        <v>5.76709256821999</v>
      </c>
      <c r="CT151" s="190" t="n">
        <v>5.83682825623999</v>
      </c>
      <c r="CU151" s="190" t="n">
        <v>5.90656394425999</v>
      </c>
      <c r="CV151" s="190" t="n">
        <v>5.97629963227999</v>
      </c>
      <c r="CW151" s="190" t="n">
        <v>6.04603532029999</v>
      </c>
      <c r="CX151" s="190" t="n">
        <v>6.11577100831999</v>
      </c>
      <c r="CY151" s="190" t="n">
        <v>6.18550669633999</v>
      </c>
      <c r="CZ151" s="190" t="n">
        <v>6.25524238435999</v>
      </c>
      <c r="DA151" s="190" t="n">
        <v>6.32497807237999</v>
      </c>
      <c r="DB151" s="190" t="n">
        <v>6.39471376039999</v>
      </c>
      <c r="DC151" s="190" t="n">
        <v>6.46444944841999</v>
      </c>
      <c r="DD151" s="190" t="n">
        <v>6.53418513643999</v>
      </c>
      <c r="DE151" s="190" t="n">
        <v>6.60392082445999</v>
      </c>
      <c r="DF151" s="190" t="n">
        <v>6.67365651247999</v>
      </c>
      <c r="DG151" s="190" t="n">
        <v>6.74339220049999</v>
      </c>
      <c r="DH151" s="190" t="n">
        <v>6.81312788851999</v>
      </c>
      <c r="DI151" s="190" t="n">
        <v>6.88286357653999</v>
      </c>
      <c r="DJ151" s="190" t="n">
        <v>6.95259926455999</v>
      </c>
      <c r="DK151" s="190" t="n">
        <v>7.02233495257999</v>
      </c>
      <c r="DL151" s="190" t="n">
        <v>7.09207064059999</v>
      </c>
      <c r="DM151" s="190" t="n">
        <v>7.16180632861999</v>
      </c>
      <c r="DN151" s="190" t="n">
        <v>7.23154201663999</v>
      </c>
      <c r="DO151" s="190" t="n">
        <v>7.30127770465999</v>
      </c>
      <c r="DP151" s="190" t="n">
        <v>7.37101339267999</v>
      </c>
      <c r="DQ151" s="190" t="n">
        <v>7.44074908069999</v>
      </c>
      <c r="DR151" s="190" t="n">
        <v>7.51048476871999</v>
      </c>
      <c r="DS151" s="190" t="n">
        <v>7.58022045673999</v>
      </c>
      <c r="DT151" s="190" t="n">
        <v>7.64995614475999</v>
      </c>
      <c r="DU151" s="190" t="n">
        <v>7.71969183277999</v>
      </c>
      <c r="DV151" s="190" t="n">
        <v>7.78942752079998</v>
      </c>
      <c r="DW151" s="190" t="n">
        <v>7.85916320881998</v>
      </c>
      <c r="DX151" s="190" t="n">
        <v>7.92889889683998</v>
      </c>
      <c r="DY151" s="190" t="n">
        <v>7.99863458485998</v>
      </c>
      <c r="DZ151" s="190" t="n">
        <v>8.06837027287998</v>
      </c>
      <c r="EA151" s="190" t="n">
        <v>8.13810596089998</v>
      </c>
      <c r="EB151" s="190" t="n">
        <v>8.20784164891998</v>
      </c>
      <c r="EC151" s="190" t="n">
        <v>8.27757733693998</v>
      </c>
      <c r="ED151" s="190" t="n">
        <v>8.34731302495998</v>
      </c>
      <c r="EE151" s="190" t="n">
        <v>8.41704871297998</v>
      </c>
      <c r="EF151" s="190" t="n">
        <v>8.48678440099998</v>
      </c>
      <c r="EG151" s="190" t="n">
        <v>8.55652008901998</v>
      </c>
      <c r="EH151" s="190" t="n">
        <v>8.62625577703998</v>
      </c>
      <c r="EI151" s="190" t="n">
        <v>8.69599146505998</v>
      </c>
      <c r="EJ151" s="190" t="n">
        <v>8.76572715307998</v>
      </c>
      <c r="EK151" s="190" t="n">
        <v>8.83546284109998</v>
      </c>
      <c r="EL151" s="180" t="n">
        <v>8.90519852911998</v>
      </c>
      <c r="EM151" s="180" t="n">
        <v>8.97493421713998</v>
      </c>
      <c r="EN151" s="180" t="n">
        <v>9.04466990515998</v>
      </c>
      <c r="EO151" s="180" t="n">
        <v>9.11440559317998</v>
      </c>
      <c r="EP151" s="180" t="n">
        <v>9.18414128119998</v>
      </c>
      <c r="EQ151" s="180" t="n">
        <v>9.25387696921998</v>
      </c>
      <c r="ER151" s="180" t="n">
        <v>9.32361265723998</v>
      </c>
      <c r="ES151" s="180" t="n">
        <v>9.39334834525998</v>
      </c>
      <c r="ET151" s="180" t="n">
        <v>9.46308403327998</v>
      </c>
      <c r="EU151" s="180" t="n">
        <v>9.53281972129998</v>
      </c>
      <c r="EV151" s="180" t="n">
        <v>9.60255540931998</v>
      </c>
      <c r="EW151" s="180" t="n">
        <v>9.67229109733998</v>
      </c>
      <c r="EX151" s="180" t="n">
        <v>9.74202678535998</v>
      </c>
      <c r="EY151" s="180" t="n">
        <v>9.81176247337998</v>
      </c>
      <c r="EZ151" s="180" t="n">
        <v>9.88149816139998</v>
      </c>
      <c r="FA151" s="180" t="n">
        <v>9.95123384941998</v>
      </c>
      <c r="FB151" s="180" t="n">
        <v>10.02096953744</v>
      </c>
      <c r="FC151" s="180" t="n">
        <v>10.09070522546</v>
      </c>
      <c r="FD151" s="180" t="n">
        <v>10.16044091348</v>
      </c>
      <c r="FE151" s="180" t="n">
        <v>10.2301766015</v>
      </c>
      <c r="FF151" s="180" t="n">
        <v>10.29991228952</v>
      </c>
      <c r="FG151" s="180" t="n">
        <v>10.36964797754</v>
      </c>
      <c r="FH151" s="180" t="n">
        <v>10.43938366556</v>
      </c>
      <c r="FI151" s="180" t="n">
        <v>10.50911935358</v>
      </c>
      <c r="FJ151" s="180" t="n">
        <v>10.5788550416</v>
      </c>
      <c r="FK151" s="180" t="n">
        <v>10.64859072962</v>
      </c>
      <c r="FL151" s="180" t="n">
        <v>10.71832641764</v>
      </c>
      <c r="FM151" s="180" t="n">
        <v>10.78806210566</v>
      </c>
      <c r="FN151" s="180" t="n">
        <v>10.85779779368</v>
      </c>
      <c r="FO151" s="180" t="n">
        <v>10.9275334817</v>
      </c>
      <c r="FP151" s="180" t="n">
        <v>10.99726916972</v>
      </c>
      <c r="FQ151" s="180" t="n">
        <v>11.06700485774</v>
      </c>
      <c r="FR151" s="180" t="n">
        <v>11.13674054576</v>
      </c>
      <c r="FS151" s="180" t="n">
        <v>11.20647623378</v>
      </c>
      <c r="FT151" s="180" t="n">
        <v>11.2762119218</v>
      </c>
      <c r="FU151" s="180" t="n">
        <v>11.34594760982</v>
      </c>
      <c r="FV151" s="180" t="n">
        <v>11.41568329784</v>
      </c>
      <c r="FW151" s="180" t="n">
        <v>11.48541898586</v>
      </c>
      <c r="FX151" s="180" t="n">
        <v>11.55515467388</v>
      </c>
      <c r="FY151" s="180" t="n">
        <v>11.6248903619</v>
      </c>
      <c r="FZ151" s="180" t="n">
        <v>11.69462604992</v>
      </c>
      <c r="GA151" s="180" t="n">
        <v>11.76436173794</v>
      </c>
      <c r="GB151" s="180" t="n">
        <v>11.83409742596</v>
      </c>
      <c r="GC151" s="180" t="n">
        <v>11.90383311398</v>
      </c>
      <c r="GD151" s="180" t="n">
        <v>11.973568802</v>
      </c>
      <c r="GE151" s="180" t="n">
        <v>12.04330449002</v>
      </c>
      <c r="GF151" s="180" t="n">
        <v>12.11304017804</v>
      </c>
      <c r="GG151" s="180" t="n">
        <v>12.18277586606</v>
      </c>
      <c r="GH151" s="180" t="n">
        <v>12.25251155408</v>
      </c>
      <c r="GI151" s="180" t="n">
        <v>12.3222472421</v>
      </c>
      <c r="GJ151" s="180" t="n">
        <v>12.39198293012</v>
      </c>
      <c r="GK151" s="180" t="n">
        <v>12.46171861814</v>
      </c>
      <c r="GL151" s="180" t="n">
        <v>12.53145430616</v>
      </c>
      <c r="GM151" s="180" t="n">
        <v>12.60118999418</v>
      </c>
      <c r="GN151" s="180" t="n">
        <v>12.6709256822</v>
      </c>
      <c r="GO151" s="180" t="n">
        <v>12.74066137022</v>
      </c>
      <c r="GP151" s="180" t="n">
        <v>12.81039705824</v>
      </c>
      <c r="GQ151" s="180" t="n">
        <v>12.88013274626</v>
      </c>
      <c r="GR151" s="180" t="n">
        <v>12.94986843428</v>
      </c>
      <c r="GS151" s="180" t="n">
        <v>13.0196041223</v>
      </c>
      <c r="GT151" s="180" t="n">
        <v>13.08933981032</v>
      </c>
      <c r="GU151" s="180" t="n">
        <v>13.15907549834</v>
      </c>
      <c r="GV151" s="180" t="n">
        <v>13.22881118636</v>
      </c>
      <c r="GW151" s="180" t="n">
        <v>13.29854687438</v>
      </c>
      <c r="GX151" s="180" t="n">
        <v>13.3682825624</v>
      </c>
      <c r="GY151" s="180" t="n">
        <v>13.43801825042</v>
      </c>
      <c r="GZ151" s="180" t="n">
        <v>13.50775393844</v>
      </c>
      <c r="HA151" s="180" t="n">
        <v>13.57748962646</v>
      </c>
      <c r="HB151" s="180" t="n">
        <v>13.64722531448</v>
      </c>
      <c r="HC151" s="180" t="n">
        <v>13.7169610025</v>
      </c>
      <c r="HD151" s="180" t="n">
        <v>13.78669669052</v>
      </c>
      <c r="HE151" s="180" t="n">
        <v>13.85643237854</v>
      </c>
      <c r="HF151" s="180" t="n">
        <v>13.92616806656</v>
      </c>
      <c r="HG151" s="180" t="n">
        <v>13.99590375458</v>
      </c>
      <c r="HH151" s="180" t="n">
        <v>14.0656394426</v>
      </c>
      <c r="HI151" s="180" t="n">
        <v>14.13537513062</v>
      </c>
      <c r="HJ151" s="180" t="n">
        <v>14.20511081864</v>
      </c>
      <c r="HK151" s="180" t="n">
        <v>14.27484650666</v>
      </c>
      <c r="HL151" s="180" t="n">
        <v>14.34458219468</v>
      </c>
      <c r="HM151" s="180" t="n">
        <v>14.4143178827</v>
      </c>
      <c r="HN151" s="180" t="n">
        <v>14.48405357072</v>
      </c>
      <c r="HO151" s="180" t="n">
        <v>14.55378925874</v>
      </c>
      <c r="HP151" s="180" t="n">
        <v>14.62352494676</v>
      </c>
      <c r="HQ151" s="180" t="n">
        <v>14.69326063478</v>
      </c>
      <c r="HR151" s="180" t="n">
        <v>14.7629963228</v>
      </c>
      <c r="HS151" s="180" t="n">
        <v>14.83273201082</v>
      </c>
      <c r="HT151" s="180" t="n">
        <v>14.90246769884</v>
      </c>
      <c r="HU151" s="180" t="n">
        <v>14.97220338686</v>
      </c>
      <c r="HV151" s="180" t="n">
        <v>15.04193907488</v>
      </c>
      <c r="HW151" s="180" t="n">
        <v>15.1116747629</v>
      </c>
      <c r="HX151" s="180" t="n">
        <v>15.18141045092</v>
      </c>
      <c r="HY151" s="180" t="n">
        <v>15.25114613894</v>
      </c>
      <c r="HZ151" s="180" t="n">
        <v>15.32088182696</v>
      </c>
      <c r="IA151" s="180" t="n">
        <v>15.39061751498</v>
      </c>
      <c r="IB151" s="180" t="n">
        <v>15.460353203</v>
      </c>
      <c r="IC151" s="180" t="n">
        <v>15.53008889102</v>
      </c>
      <c r="ID151" s="180" t="n">
        <v>15.59982457904</v>
      </c>
      <c r="IE151" s="180" t="n">
        <v>15.66956026706</v>
      </c>
      <c r="IF151" s="180" t="n">
        <v>15.73929595508</v>
      </c>
      <c r="IG151" s="180" t="n">
        <v>15.8090316431</v>
      </c>
      <c r="IH151" s="180" t="n">
        <v>15.87876733112</v>
      </c>
      <c r="II151" s="180" t="n">
        <v>15.94850301914</v>
      </c>
      <c r="IJ151" s="180" t="n">
        <v>16.01823870716</v>
      </c>
      <c r="IK151" s="180" t="n">
        <v>16.08797439518</v>
      </c>
      <c r="IL151" s="180" t="n">
        <v>16.1577100832</v>
      </c>
      <c r="IM151" s="180" t="n">
        <v>16.22744577122</v>
      </c>
      <c r="IN151" s="180" t="n">
        <v>16.29718145924</v>
      </c>
      <c r="IO151" s="180" t="n">
        <v>16.36691714726</v>
      </c>
      <c r="IP151" s="180" t="n">
        <v>16.43665283528</v>
      </c>
      <c r="IQ151" s="180" t="n">
        <v>16.5063885233</v>
      </c>
      <c r="IR151" s="180" t="n">
        <v>16.57612421132</v>
      </c>
      <c r="IS151" s="180" t="n">
        <v>16.64585989934</v>
      </c>
      <c r="IT151" s="180" t="n">
        <v>16.71559558736</v>
      </c>
      <c r="IU151" s="180" t="n">
        <v>16.78533127538</v>
      </c>
      <c r="IV151" s="180" t="n">
        <v>16.8550669634</v>
      </c>
    </row>
    <row r="152" customFormat="false" ht="12.75" hidden="false" customHeight="false" outlineLevel="0" collapsed="false">
      <c r="A152" s="189" t="n">
        <v>41306</v>
      </c>
      <c r="B152" s="185" t="n">
        <v>-2.021005929375</v>
      </c>
      <c r="C152" s="185" t="n">
        <v>-1.9907047400625</v>
      </c>
      <c r="D152" s="185" t="n">
        <v>-1.96040355075</v>
      </c>
      <c r="E152" s="185" t="n">
        <v>-1.9301023614375</v>
      </c>
      <c r="F152" s="185" t="n">
        <v>-1.899801172125</v>
      </c>
      <c r="G152" s="185" t="n">
        <v>-1.8694999828125</v>
      </c>
      <c r="H152" s="185" t="n">
        <v>-1.8391987935</v>
      </c>
      <c r="I152" s="185" t="n">
        <v>-1.8088976041875</v>
      </c>
      <c r="J152" s="185" t="n">
        <v>-1.778596414875</v>
      </c>
      <c r="K152" s="185" t="n">
        <v>-1.7482952255625</v>
      </c>
      <c r="L152" s="185" t="n">
        <v>-1.71799403625</v>
      </c>
      <c r="M152" s="185" t="n">
        <v>-1.6876928469375</v>
      </c>
      <c r="N152" s="185" t="n">
        <v>-1.657391657625</v>
      </c>
      <c r="O152" s="185" t="n">
        <v>-1.6270904683125</v>
      </c>
      <c r="P152" s="185" t="n">
        <v>-1.596789279</v>
      </c>
      <c r="Q152" s="185" t="n">
        <v>-1.5664880896875</v>
      </c>
      <c r="R152" s="185" t="n">
        <v>-1.536186900375</v>
      </c>
      <c r="S152" s="185" t="n">
        <v>-1.5058857110625</v>
      </c>
      <c r="T152" s="185" t="n">
        <v>-1.47558452175</v>
      </c>
      <c r="U152" s="185" t="n">
        <v>-1.4452833324375</v>
      </c>
      <c r="V152" s="186" t="n">
        <v>-1.414982143125</v>
      </c>
      <c r="W152" s="185" t="n">
        <v>-1.3846809538125</v>
      </c>
      <c r="X152" s="186" t="n">
        <v>-1.3543797645</v>
      </c>
      <c r="Y152" s="185" t="n">
        <v>-1.3240785751875</v>
      </c>
      <c r="Z152" s="186" t="n">
        <v>-1.293777385875</v>
      </c>
      <c r="AA152" s="185" t="n">
        <v>-1.2634761965625</v>
      </c>
      <c r="AB152" s="187" t="n">
        <v>-1.23317500725</v>
      </c>
      <c r="AC152" s="185" t="n">
        <v>-1.2028738179375</v>
      </c>
      <c r="AD152" s="187" t="n">
        <v>-1.172572628625</v>
      </c>
      <c r="AE152" s="185" t="n">
        <v>-1.1422714393125</v>
      </c>
      <c r="AF152" s="185" t="n">
        <v>-1.11197025</v>
      </c>
      <c r="AG152" s="190" t="n">
        <v>-1.083235125</v>
      </c>
      <c r="AH152" s="190" t="n">
        <v>-1.0545</v>
      </c>
      <c r="AI152" s="190" t="n">
        <v>-1.02725</v>
      </c>
      <c r="AJ152" s="190" t="n">
        <v>-1</v>
      </c>
      <c r="AK152" s="190" t="n">
        <v>-0.8</v>
      </c>
      <c r="AL152" s="190" t="n">
        <v>-0.6</v>
      </c>
      <c r="AM152" s="190" t="n">
        <v>-0.4</v>
      </c>
      <c r="AN152" s="190" t="n">
        <v>-0.2</v>
      </c>
      <c r="AO152" s="190" t="n">
        <v>0</v>
      </c>
      <c r="AP152" s="190" t="n">
        <v>0.2</v>
      </c>
      <c r="AQ152" s="190" t="n">
        <v>0.4</v>
      </c>
      <c r="AR152" s="190" t="n">
        <v>0.6</v>
      </c>
      <c r="AS152" s="190" t="n">
        <v>0.8</v>
      </c>
      <c r="AT152" s="190" t="n">
        <v>1</v>
      </c>
      <c r="AU152" s="190" t="n">
        <v>1.2</v>
      </c>
      <c r="AV152" s="190" t="n">
        <v>1.4</v>
      </c>
      <c r="AW152" s="190" t="n">
        <v>1.58</v>
      </c>
      <c r="AX152" s="190" t="n">
        <v>1.76</v>
      </c>
      <c r="AY152" s="190" t="n">
        <v>1.922</v>
      </c>
      <c r="AZ152" s="190" t="n">
        <v>2.084</v>
      </c>
      <c r="BA152" s="190" t="n">
        <v>2.2298</v>
      </c>
      <c r="BB152" s="190" t="n">
        <v>2.3756</v>
      </c>
      <c r="BC152" s="190" t="n">
        <v>2.50682</v>
      </c>
      <c r="BD152" s="190" t="n">
        <v>2.63804</v>
      </c>
      <c r="BE152" s="190" t="n">
        <v>2.756138</v>
      </c>
      <c r="BF152" s="190" t="n">
        <v>2.874236</v>
      </c>
      <c r="BG152" s="190" t="n">
        <v>2.9805242</v>
      </c>
      <c r="BH152" s="190" t="n">
        <v>3.0868124</v>
      </c>
      <c r="BI152" s="190" t="n">
        <v>3.18247178</v>
      </c>
      <c r="BJ152" s="190" t="n">
        <v>3.27813116</v>
      </c>
      <c r="BK152" s="190" t="n">
        <v>3.364224602</v>
      </c>
      <c r="BL152" s="190" t="n">
        <v>3.450318044</v>
      </c>
      <c r="BM152" s="190" t="n">
        <v>3.5278021418</v>
      </c>
      <c r="BN152" s="190" t="n">
        <v>3.6052862396</v>
      </c>
      <c r="BO152" s="190" t="n">
        <v>3.67502192762</v>
      </c>
      <c r="BP152" s="190" t="n">
        <v>3.74475761564</v>
      </c>
      <c r="BQ152" s="190" t="n">
        <v>3.81449330366</v>
      </c>
      <c r="BR152" s="190" t="n">
        <v>3.88422899168</v>
      </c>
      <c r="BS152" s="190" t="n">
        <v>3.9539646797</v>
      </c>
      <c r="BT152" s="190" t="n">
        <v>4.02370036772</v>
      </c>
      <c r="BU152" s="190" t="n">
        <v>4.09343605574</v>
      </c>
      <c r="BV152" s="190" t="n">
        <v>4.16317174376</v>
      </c>
      <c r="BW152" s="190" t="n">
        <v>4.23290743178</v>
      </c>
      <c r="BX152" s="190" t="n">
        <v>4.3026431198</v>
      </c>
      <c r="BY152" s="190" t="n">
        <v>4.37237880782</v>
      </c>
      <c r="BZ152" s="190" t="n">
        <v>4.44211449584</v>
      </c>
      <c r="CA152" s="190" t="n">
        <v>4.51185018386</v>
      </c>
      <c r="CB152" s="190" t="n">
        <v>4.58158587188</v>
      </c>
      <c r="CC152" s="190" t="n">
        <v>4.6513215599</v>
      </c>
      <c r="CD152" s="190" t="n">
        <v>4.72105724792</v>
      </c>
      <c r="CE152" s="190" t="n">
        <v>4.79079293594</v>
      </c>
      <c r="CF152" s="190" t="n">
        <v>4.86052862396</v>
      </c>
      <c r="CG152" s="190" t="n">
        <v>4.93026431198</v>
      </c>
      <c r="CH152" s="190" t="n">
        <v>5</v>
      </c>
      <c r="CI152" s="190" t="n">
        <v>5.06973568801999</v>
      </c>
      <c r="CJ152" s="190" t="n">
        <v>5.13947137603999</v>
      </c>
      <c r="CK152" s="190" t="n">
        <v>5.20920706405999</v>
      </c>
      <c r="CL152" s="190" t="n">
        <v>5.27894275207999</v>
      </c>
      <c r="CM152" s="190" t="n">
        <v>5.34867844009999</v>
      </c>
      <c r="CN152" s="190" t="n">
        <v>5.41841412811999</v>
      </c>
      <c r="CO152" s="190" t="n">
        <v>5.48814981613999</v>
      </c>
      <c r="CP152" s="190" t="n">
        <v>5.55788550415999</v>
      </c>
      <c r="CQ152" s="190" t="n">
        <v>5.62762119217999</v>
      </c>
      <c r="CR152" s="190" t="n">
        <v>5.69735688019999</v>
      </c>
      <c r="CS152" s="190" t="n">
        <v>5.76709256821999</v>
      </c>
      <c r="CT152" s="190" t="n">
        <v>5.83682825623999</v>
      </c>
      <c r="CU152" s="190" t="n">
        <v>5.90656394425999</v>
      </c>
      <c r="CV152" s="190" t="n">
        <v>5.97629963227999</v>
      </c>
      <c r="CW152" s="190" t="n">
        <v>6.04603532029999</v>
      </c>
      <c r="CX152" s="190" t="n">
        <v>6.11577100831999</v>
      </c>
      <c r="CY152" s="190" t="n">
        <v>6.18550669633999</v>
      </c>
      <c r="CZ152" s="190" t="n">
        <v>6.25524238435999</v>
      </c>
      <c r="DA152" s="190" t="n">
        <v>6.32497807237999</v>
      </c>
      <c r="DB152" s="190" t="n">
        <v>6.39471376039999</v>
      </c>
      <c r="DC152" s="190" t="n">
        <v>6.46444944841999</v>
      </c>
      <c r="DD152" s="190" t="n">
        <v>6.53418513643999</v>
      </c>
      <c r="DE152" s="190" t="n">
        <v>6.60392082445999</v>
      </c>
      <c r="DF152" s="190" t="n">
        <v>6.67365651247999</v>
      </c>
      <c r="DG152" s="190" t="n">
        <v>6.74339220049999</v>
      </c>
      <c r="DH152" s="190" t="n">
        <v>6.81312788851999</v>
      </c>
      <c r="DI152" s="190" t="n">
        <v>6.88286357653999</v>
      </c>
      <c r="DJ152" s="190" t="n">
        <v>6.95259926455999</v>
      </c>
      <c r="DK152" s="190" t="n">
        <v>7.02233495257999</v>
      </c>
      <c r="DL152" s="190" t="n">
        <v>7.09207064059999</v>
      </c>
      <c r="DM152" s="190" t="n">
        <v>7.16180632861999</v>
      </c>
      <c r="DN152" s="190" t="n">
        <v>7.23154201663999</v>
      </c>
      <c r="DO152" s="190" t="n">
        <v>7.30127770465999</v>
      </c>
      <c r="DP152" s="190" t="n">
        <v>7.37101339267999</v>
      </c>
      <c r="DQ152" s="190" t="n">
        <v>7.44074908069999</v>
      </c>
      <c r="DR152" s="190" t="n">
        <v>7.51048476871999</v>
      </c>
      <c r="DS152" s="190" t="n">
        <v>7.58022045673999</v>
      </c>
      <c r="DT152" s="190" t="n">
        <v>7.64995614475999</v>
      </c>
      <c r="DU152" s="190" t="n">
        <v>7.71969183277999</v>
      </c>
      <c r="DV152" s="190" t="n">
        <v>7.78942752079998</v>
      </c>
      <c r="DW152" s="190" t="n">
        <v>7.85916320881998</v>
      </c>
      <c r="DX152" s="190" t="n">
        <v>7.92889889683998</v>
      </c>
      <c r="DY152" s="190" t="n">
        <v>7.99863458485998</v>
      </c>
      <c r="DZ152" s="190" t="n">
        <v>8.06837027287998</v>
      </c>
      <c r="EA152" s="190" t="n">
        <v>8.13810596089998</v>
      </c>
      <c r="EB152" s="190" t="n">
        <v>8.20784164891998</v>
      </c>
      <c r="EC152" s="190" t="n">
        <v>8.27757733693998</v>
      </c>
      <c r="ED152" s="190" t="n">
        <v>8.34731302495998</v>
      </c>
      <c r="EE152" s="190" t="n">
        <v>8.41704871297998</v>
      </c>
      <c r="EF152" s="190" t="n">
        <v>8.48678440099998</v>
      </c>
      <c r="EG152" s="190" t="n">
        <v>8.55652008901998</v>
      </c>
      <c r="EH152" s="190" t="n">
        <v>8.62625577703998</v>
      </c>
      <c r="EI152" s="190" t="n">
        <v>8.69599146505998</v>
      </c>
      <c r="EJ152" s="190" t="n">
        <v>8.76572715307998</v>
      </c>
      <c r="EK152" s="190" t="n">
        <v>8.83546284109998</v>
      </c>
      <c r="EL152" s="180" t="n">
        <v>8.90519852911998</v>
      </c>
      <c r="EM152" s="180" t="n">
        <v>8.97493421713998</v>
      </c>
      <c r="EN152" s="180" t="n">
        <v>9.04466990515998</v>
      </c>
      <c r="EO152" s="180" t="n">
        <v>9.11440559317998</v>
      </c>
      <c r="EP152" s="180" t="n">
        <v>9.18414128119998</v>
      </c>
      <c r="EQ152" s="180" t="n">
        <v>9.25387696921998</v>
      </c>
      <c r="ER152" s="180" t="n">
        <v>9.32361265723998</v>
      </c>
      <c r="ES152" s="180" t="n">
        <v>9.39334834525998</v>
      </c>
      <c r="ET152" s="180" t="n">
        <v>9.46308403327998</v>
      </c>
      <c r="EU152" s="180" t="n">
        <v>9.53281972129998</v>
      </c>
      <c r="EV152" s="180" t="n">
        <v>9.60255540931998</v>
      </c>
      <c r="EW152" s="180" t="n">
        <v>9.67229109733998</v>
      </c>
      <c r="EX152" s="180" t="n">
        <v>9.74202678535998</v>
      </c>
      <c r="EY152" s="180" t="n">
        <v>9.81176247337998</v>
      </c>
      <c r="EZ152" s="180" t="n">
        <v>9.88149816139998</v>
      </c>
      <c r="FA152" s="180" t="n">
        <v>9.95123384941998</v>
      </c>
      <c r="FB152" s="180" t="n">
        <v>10.02096953744</v>
      </c>
      <c r="FC152" s="180" t="n">
        <v>10.09070522546</v>
      </c>
      <c r="FD152" s="180" t="n">
        <v>10.16044091348</v>
      </c>
      <c r="FE152" s="180" t="n">
        <v>10.2301766015</v>
      </c>
      <c r="FF152" s="180" t="n">
        <v>10.29991228952</v>
      </c>
      <c r="FG152" s="180" t="n">
        <v>10.36964797754</v>
      </c>
      <c r="FH152" s="180" t="n">
        <v>10.43938366556</v>
      </c>
      <c r="FI152" s="180" t="n">
        <v>10.50911935358</v>
      </c>
      <c r="FJ152" s="180" t="n">
        <v>10.5788550416</v>
      </c>
      <c r="FK152" s="180" t="n">
        <v>10.64859072962</v>
      </c>
      <c r="FL152" s="180" t="n">
        <v>10.71832641764</v>
      </c>
      <c r="FM152" s="180" t="n">
        <v>10.78806210566</v>
      </c>
      <c r="FN152" s="180" t="n">
        <v>10.85779779368</v>
      </c>
      <c r="FO152" s="180" t="n">
        <v>10.9275334817</v>
      </c>
      <c r="FP152" s="180" t="n">
        <v>10.99726916972</v>
      </c>
      <c r="FQ152" s="180" t="n">
        <v>11.06700485774</v>
      </c>
      <c r="FR152" s="180" t="n">
        <v>11.13674054576</v>
      </c>
      <c r="FS152" s="180" t="n">
        <v>11.20647623378</v>
      </c>
      <c r="FT152" s="180" t="n">
        <v>11.2762119218</v>
      </c>
      <c r="FU152" s="180" t="n">
        <v>11.34594760982</v>
      </c>
      <c r="FV152" s="180" t="n">
        <v>11.41568329784</v>
      </c>
      <c r="FW152" s="180" t="n">
        <v>11.48541898586</v>
      </c>
      <c r="FX152" s="180" t="n">
        <v>11.55515467388</v>
      </c>
      <c r="FY152" s="180" t="n">
        <v>11.6248903619</v>
      </c>
      <c r="FZ152" s="180" t="n">
        <v>11.69462604992</v>
      </c>
      <c r="GA152" s="180" t="n">
        <v>11.76436173794</v>
      </c>
      <c r="GB152" s="180" t="n">
        <v>11.83409742596</v>
      </c>
      <c r="GC152" s="180" t="n">
        <v>11.90383311398</v>
      </c>
      <c r="GD152" s="180" t="n">
        <v>11.973568802</v>
      </c>
      <c r="GE152" s="180" t="n">
        <v>12.04330449002</v>
      </c>
      <c r="GF152" s="180" t="n">
        <v>12.11304017804</v>
      </c>
      <c r="GG152" s="180" t="n">
        <v>12.18277586606</v>
      </c>
      <c r="GH152" s="180" t="n">
        <v>12.25251155408</v>
      </c>
      <c r="GI152" s="180" t="n">
        <v>12.3222472421</v>
      </c>
      <c r="GJ152" s="180" t="n">
        <v>12.39198293012</v>
      </c>
      <c r="GK152" s="180" t="n">
        <v>12.46171861814</v>
      </c>
      <c r="GL152" s="180" t="n">
        <v>12.53145430616</v>
      </c>
      <c r="GM152" s="180" t="n">
        <v>12.60118999418</v>
      </c>
      <c r="GN152" s="180" t="n">
        <v>12.6709256822</v>
      </c>
      <c r="GO152" s="180" t="n">
        <v>12.74066137022</v>
      </c>
      <c r="GP152" s="180" t="n">
        <v>12.81039705824</v>
      </c>
      <c r="GQ152" s="180" t="n">
        <v>12.88013274626</v>
      </c>
      <c r="GR152" s="180" t="n">
        <v>12.94986843428</v>
      </c>
      <c r="GS152" s="180" t="n">
        <v>13.0196041223</v>
      </c>
      <c r="GT152" s="180" t="n">
        <v>13.08933981032</v>
      </c>
      <c r="GU152" s="180" t="n">
        <v>13.15907549834</v>
      </c>
      <c r="GV152" s="180" t="n">
        <v>13.22881118636</v>
      </c>
      <c r="GW152" s="180" t="n">
        <v>13.29854687438</v>
      </c>
      <c r="GX152" s="180" t="n">
        <v>13.3682825624</v>
      </c>
      <c r="GY152" s="180" t="n">
        <v>13.43801825042</v>
      </c>
      <c r="GZ152" s="180" t="n">
        <v>13.50775393844</v>
      </c>
      <c r="HA152" s="180" t="n">
        <v>13.57748962646</v>
      </c>
      <c r="HB152" s="180" t="n">
        <v>13.64722531448</v>
      </c>
      <c r="HC152" s="180" t="n">
        <v>13.7169610025</v>
      </c>
      <c r="HD152" s="180" t="n">
        <v>13.78669669052</v>
      </c>
      <c r="HE152" s="180" t="n">
        <v>13.85643237854</v>
      </c>
      <c r="HF152" s="180" t="n">
        <v>13.92616806656</v>
      </c>
      <c r="HG152" s="180" t="n">
        <v>13.99590375458</v>
      </c>
      <c r="HH152" s="180" t="n">
        <v>14.0656394426</v>
      </c>
      <c r="HI152" s="180" t="n">
        <v>14.13537513062</v>
      </c>
      <c r="HJ152" s="180" t="n">
        <v>14.20511081864</v>
      </c>
      <c r="HK152" s="180" t="n">
        <v>14.27484650666</v>
      </c>
      <c r="HL152" s="180" t="n">
        <v>14.34458219468</v>
      </c>
      <c r="HM152" s="180" t="n">
        <v>14.4143178827</v>
      </c>
      <c r="HN152" s="180" t="n">
        <v>14.48405357072</v>
      </c>
      <c r="HO152" s="180" t="n">
        <v>14.55378925874</v>
      </c>
      <c r="HP152" s="180" t="n">
        <v>14.62352494676</v>
      </c>
      <c r="HQ152" s="180" t="n">
        <v>14.69326063478</v>
      </c>
      <c r="HR152" s="180" t="n">
        <v>14.7629963228</v>
      </c>
      <c r="HS152" s="180" t="n">
        <v>14.83273201082</v>
      </c>
      <c r="HT152" s="180" t="n">
        <v>14.90246769884</v>
      </c>
      <c r="HU152" s="180" t="n">
        <v>14.97220338686</v>
      </c>
      <c r="HV152" s="180" t="n">
        <v>15.04193907488</v>
      </c>
      <c r="HW152" s="180" t="n">
        <v>15.1116747629</v>
      </c>
      <c r="HX152" s="180" t="n">
        <v>15.18141045092</v>
      </c>
      <c r="HY152" s="180" t="n">
        <v>15.25114613894</v>
      </c>
      <c r="HZ152" s="180" t="n">
        <v>15.32088182696</v>
      </c>
      <c r="IA152" s="180" t="n">
        <v>15.39061751498</v>
      </c>
      <c r="IB152" s="180" t="n">
        <v>15.460353203</v>
      </c>
      <c r="IC152" s="180" t="n">
        <v>15.53008889102</v>
      </c>
      <c r="ID152" s="180" t="n">
        <v>15.59982457904</v>
      </c>
      <c r="IE152" s="180" t="n">
        <v>15.66956026706</v>
      </c>
      <c r="IF152" s="180" t="n">
        <v>15.73929595508</v>
      </c>
      <c r="IG152" s="180" t="n">
        <v>15.8090316431</v>
      </c>
      <c r="IH152" s="180" t="n">
        <v>15.87876733112</v>
      </c>
      <c r="II152" s="180" t="n">
        <v>15.94850301914</v>
      </c>
      <c r="IJ152" s="180" t="n">
        <v>16.01823870716</v>
      </c>
      <c r="IK152" s="180" t="n">
        <v>16.08797439518</v>
      </c>
      <c r="IL152" s="180" t="n">
        <v>16.1577100832</v>
      </c>
      <c r="IM152" s="180" t="n">
        <v>16.22744577122</v>
      </c>
      <c r="IN152" s="180" t="n">
        <v>16.29718145924</v>
      </c>
      <c r="IO152" s="180" t="n">
        <v>16.36691714726</v>
      </c>
      <c r="IP152" s="180" t="n">
        <v>16.43665283528</v>
      </c>
      <c r="IQ152" s="180" t="n">
        <v>16.5063885233</v>
      </c>
      <c r="IR152" s="180" t="n">
        <v>16.57612421132</v>
      </c>
      <c r="IS152" s="180" t="n">
        <v>16.64585989934</v>
      </c>
      <c r="IT152" s="180" t="n">
        <v>16.71559558736</v>
      </c>
      <c r="IU152" s="180" t="n">
        <v>16.78533127538</v>
      </c>
      <c r="IV152" s="180" t="n">
        <v>16.8550669634</v>
      </c>
    </row>
    <row r="153" customFormat="false" ht="12.75" hidden="false" customHeight="false" outlineLevel="0" collapsed="false">
      <c r="A153" s="189" t="n">
        <v>41334</v>
      </c>
      <c r="B153" s="185" t="n">
        <v>-2.021005929375</v>
      </c>
      <c r="C153" s="185" t="n">
        <v>-1.9907047400625</v>
      </c>
      <c r="D153" s="185" t="n">
        <v>-1.96040355075</v>
      </c>
      <c r="E153" s="185" t="n">
        <v>-1.9301023614375</v>
      </c>
      <c r="F153" s="185" t="n">
        <v>-1.899801172125</v>
      </c>
      <c r="G153" s="185" t="n">
        <v>-1.8694999828125</v>
      </c>
      <c r="H153" s="185" t="n">
        <v>-1.8391987935</v>
      </c>
      <c r="I153" s="185" t="n">
        <v>-1.8088976041875</v>
      </c>
      <c r="J153" s="185" t="n">
        <v>-1.778596414875</v>
      </c>
      <c r="K153" s="185" t="n">
        <v>-1.7482952255625</v>
      </c>
      <c r="L153" s="185" t="n">
        <v>-1.71799403625</v>
      </c>
      <c r="M153" s="185" t="n">
        <v>-1.6876928469375</v>
      </c>
      <c r="N153" s="185" t="n">
        <v>-1.657391657625</v>
      </c>
      <c r="O153" s="185" t="n">
        <v>-1.6270904683125</v>
      </c>
      <c r="P153" s="185" t="n">
        <v>-1.596789279</v>
      </c>
      <c r="Q153" s="185" t="n">
        <v>-1.5664880896875</v>
      </c>
      <c r="R153" s="185" t="n">
        <v>-1.536186900375</v>
      </c>
      <c r="S153" s="185" t="n">
        <v>-1.5058857110625</v>
      </c>
      <c r="T153" s="185" t="n">
        <v>-1.47558452175</v>
      </c>
      <c r="U153" s="185" t="n">
        <v>-1.4452833324375</v>
      </c>
      <c r="V153" s="186" t="n">
        <v>-1.414982143125</v>
      </c>
      <c r="W153" s="185" t="n">
        <v>-1.3846809538125</v>
      </c>
      <c r="X153" s="186" t="n">
        <v>-1.3543797645</v>
      </c>
      <c r="Y153" s="185" t="n">
        <v>-1.3240785751875</v>
      </c>
      <c r="Z153" s="186" t="n">
        <v>-1.293777385875</v>
      </c>
      <c r="AA153" s="185" t="n">
        <v>-1.2634761965625</v>
      </c>
      <c r="AB153" s="187" t="n">
        <v>-1.23317500725</v>
      </c>
      <c r="AC153" s="185" t="n">
        <v>-1.2028738179375</v>
      </c>
      <c r="AD153" s="187" t="n">
        <v>-1.172572628625</v>
      </c>
      <c r="AE153" s="185" t="n">
        <v>-1.1422714393125</v>
      </c>
      <c r="AF153" s="185" t="n">
        <v>-1.11197025</v>
      </c>
      <c r="AG153" s="190" t="n">
        <v>-1.083235125</v>
      </c>
      <c r="AH153" s="190" t="n">
        <v>-1.0545</v>
      </c>
      <c r="AI153" s="190" t="n">
        <v>-1.02725</v>
      </c>
      <c r="AJ153" s="190" t="n">
        <v>-1</v>
      </c>
      <c r="AK153" s="190" t="n">
        <v>-0.8</v>
      </c>
      <c r="AL153" s="190" t="n">
        <v>-0.6</v>
      </c>
      <c r="AM153" s="190" t="n">
        <v>-0.4</v>
      </c>
      <c r="AN153" s="190" t="n">
        <v>-0.2</v>
      </c>
      <c r="AO153" s="190" t="n">
        <v>0</v>
      </c>
      <c r="AP153" s="190" t="n">
        <v>0.2</v>
      </c>
      <c r="AQ153" s="190" t="n">
        <v>0.4</v>
      </c>
      <c r="AR153" s="190" t="n">
        <v>0.6</v>
      </c>
      <c r="AS153" s="190" t="n">
        <v>0.8</v>
      </c>
      <c r="AT153" s="190" t="n">
        <v>1</v>
      </c>
      <c r="AU153" s="190" t="n">
        <v>1.2</v>
      </c>
      <c r="AV153" s="190" t="n">
        <v>1.4</v>
      </c>
      <c r="AW153" s="190" t="n">
        <v>1.58</v>
      </c>
      <c r="AX153" s="190" t="n">
        <v>1.76</v>
      </c>
      <c r="AY153" s="190" t="n">
        <v>1.922</v>
      </c>
      <c r="AZ153" s="190" t="n">
        <v>2.084</v>
      </c>
      <c r="BA153" s="190" t="n">
        <v>2.2298</v>
      </c>
      <c r="BB153" s="190" t="n">
        <v>2.3756</v>
      </c>
      <c r="BC153" s="190" t="n">
        <v>2.50682</v>
      </c>
      <c r="BD153" s="190" t="n">
        <v>2.63804</v>
      </c>
      <c r="BE153" s="190" t="n">
        <v>2.756138</v>
      </c>
      <c r="BF153" s="190" t="n">
        <v>2.874236</v>
      </c>
      <c r="BG153" s="190" t="n">
        <v>2.9805242</v>
      </c>
      <c r="BH153" s="190" t="n">
        <v>3.0868124</v>
      </c>
      <c r="BI153" s="190" t="n">
        <v>3.18247178</v>
      </c>
      <c r="BJ153" s="190" t="n">
        <v>3.27813116</v>
      </c>
      <c r="BK153" s="190" t="n">
        <v>3.364224602</v>
      </c>
      <c r="BL153" s="190" t="n">
        <v>3.450318044</v>
      </c>
      <c r="BM153" s="190" t="n">
        <v>3.5278021418</v>
      </c>
      <c r="BN153" s="190" t="n">
        <v>3.6052862396</v>
      </c>
      <c r="BO153" s="190" t="n">
        <v>3.67502192762</v>
      </c>
      <c r="BP153" s="190" t="n">
        <v>3.74475761564</v>
      </c>
      <c r="BQ153" s="190" t="n">
        <v>3.81449330366</v>
      </c>
      <c r="BR153" s="190" t="n">
        <v>3.88422899168</v>
      </c>
      <c r="BS153" s="190" t="n">
        <v>3.9539646797</v>
      </c>
      <c r="BT153" s="190" t="n">
        <v>4.02370036772</v>
      </c>
      <c r="BU153" s="190" t="n">
        <v>4.09343605574</v>
      </c>
      <c r="BV153" s="190" t="n">
        <v>4.16317174376</v>
      </c>
      <c r="BW153" s="190" t="n">
        <v>4.23290743178</v>
      </c>
      <c r="BX153" s="190" t="n">
        <v>4.3026431198</v>
      </c>
      <c r="BY153" s="190" t="n">
        <v>4.37237880782</v>
      </c>
      <c r="BZ153" s="190" t="n">
        <v>4.44211449584</v>
      </c>
      <c r="CA153" s="190" t="n">
        <v>4.51185018386</v>
      </c>
      <c r="CB153" s="190" t="n">
        <v>4.58158587188</v>
      </c>
      <c r="CC153" s="190" t="n">
        <v>4.6513215599</v>
      </c>
      <c r="CD153" s="190" t="n">
        <v>4.72105724792</v>
      </c>
      <c r="CE153" s="190" t="n">
        <v>4.79079293594</v>
      </c>
      <c r="CF153" s="190" t="n">
        <v>4.86052862396</v>
      </c>
      <c r="CG153" s="190" t="n">
        <v>4.93026431198</v>
      </c>
      <c r="CH153" s="190" t="n">
        <v>5</v>
      </c>
      <c r="CI153" s="190" t="n">
        <v>5.06973568801999</v>
      </c>
      <c r="CJ153" s="190" t="n">
        <v>5.13947137603999</v>
      </c>
      <c r="CK153" s="190" t="n">
        <v>5.20920706405999</v>
      </c>
      <c r="CL153" s="190" t="n">
        <v>5.27894275207999</v>
      </c>
      <c r="CM153" s="190" t="n">
        <v>5.34867844009999</v>
      </c>
      <c r="CN153" s="190" t="n">
        <v>5.41841412811999</v>
      </c>
      <c r="CO153" s="190" t="n">
        <v>5.48814981613999</v>
      </c>
      <c r="CP153" s="190" t="n">
        <v>5.55788550415999</v>
      </c>
      <c r="CQ153" s="190" t="n">
        <v>5.62762119217999</v>
      </c>
      <c r="CR153" s="190" t="n">
        <v>5.69735688019999</v>
      </c>
      <c r="CS153" s="190" t="n">
        <v>5.76709256821999</v>
      </c>
      <c r="CT153" s="190" t="n">
        <v>5.83682825623999</v>
      </c>
      <c r="CU153" s="190" t="n">
        <v>5.90656394425999</v>
      </c>
      <c r="CV153" s="190" t="n">
        <v>5.97629963227999</v>
      </c>
      <c r="CW153" s="190" t="n">
        <v>6.04603532029999</v>
      </c>
      <c r="CX153" s="190" t="n">
        <v>6.11577100831999</v>
      </c>
      <c r="CY153" s="190" t="n">
        <v>6.18550669633999</v>
      </c>
      <c r="CZ153" s="190" t="n">
        <v>6.25524238435999</v>
      </c>
      <c r="DA153" s="190" t="n">
        <v>6.32497807237999</v>
      </c>
      <c r="DB153" s="190" t="n">
        <v>6.39471376039999</v>
      </c>
      <c r="DC153" s="190" t="n">
        <v>6.46444944841999</v>
      </c>
      <c r="DD153" s="190" t="n">
        <v>6.53418513643999</v>
      </c>
      <c r="DE153" s="190" t="n">
        <v>6.60392082445999</v>
      </c>
      <c r="DF153" s="190" t="n">
        <v>6.67365651247999</v>
      </c>
      <c r="DG153" s="190" t="n">
        <v>6.74339220049999</v>
      </c>
      <c r="DH153" s="190" t="n">
        <v>6.81312788851999</v>
      </c>
      <c r="DI153" s="190" t="n">
        <v>6.88286357653999</v>
      </c>
      <c r="DJ153" s="190" t="n">
        <v>6.95259926455999</v>
      </c>
      <c r="DK153" s="190" t="n">
        <v>7.02233495257999</v>
      </c>
      <c r="DL153" s="190" t="n">
        <v>7.09207064059999</v>
      </c>
      <c r="DM153" s="190" t="n">
        <v>7.16180632861999</v>
      </c>
      <c r="DN153" s="190" t="n">
        <v>7.23154201663999</v>
      </c>
      <c r="DO153" s="190" t="n">
        <v>7.30127770465999</v>
      </c>
      <c r="DP153" s="190" t="n">
        <v>7.37101339267999</v>
      </c>
      <c r="DQ153" s="190" t="n">
        <v>7.44074908069999</v>
      </c>
      <c r="DR153" s="190" t="n">
        <v>7.51048476871999</v>
      </c>
      <c r="DS153" s="190" t="n">
        <v>7.58022045673999</v>
      </c>
      <c r="DT153" s="190" t="n">
        <v>7.64995614475999</v>
      </c>
      <c r="DU153" s="190" t="n">
        <v>7.71969183277999</v>
      </c>
      <c r="DV153" s="190" t="n">
        <v>7.78942752079998</v>
      </c>
      <c r="DW153" s="190" t="n">
        <v>7.85916320881998</v>
      </c>
      <c r="DX153" s="190" t="n">
        <v>7.92889889683998</v>
      </c>
      <c r="DY153" s="190" t="n">
        <v>7.99863458485998</v>
      </c>
      <c r="DZ153" s="190" t="n">
        <v>8.06837027287998</v>
      </c>
      <c r="EA153" s="190" t="n">
        <v>8.13810596089998</v>
      </c>
      <c r="EB153" s="190" t="n">
        <v>8.20784164891998</v>
      </c>
      <c r="EC153" s="190" t="n">
        <v>8.27757733693998</v>
      </c>
      <c r="ED153" s="190" t="n">
        <v>8.34731302495998</v>
      </c>
      <c r="EE153" s="190" t="n">
        <v>8.41704871297998</v>
      </c>
      <c r="EF153" s="190" t="n">
        <v>8.48678440099998</v>
      </c>
      <c r="EG153" s="190" t="n">
        <v>8.55652008901998</v>
      </c>
      <c r="EH153" s="190" t="n">
        <v>8.62625577703998</v>
      </c>
      <c r="EI153" s="190" t="n">
        <v>8.69599146505998</v>
      </c>
      <c r="EJ153" s="190" t="n">
        <v>8.76572715307998</v>
      </c>
      <c r="EK153" s="190" t="n">
        <v>8.83546284109998</v>
      </c>
      <c r="EL153" s="180" t="n">
        <v>8.90519852911998</v>
      </c>
      <c r="EM153" s="180" t="n">
        <v>8.97493421713998</v>
      </c>
      <c r="EN153" s="180" t="n">
        <v>9.04466990515998</v>
      </c>
      <c r="EO153" s="180" t="n">
        <v>9.11440559317998</v>
      </c>
      <c r="EP153" s="180" t="n">
        <v>9.18414128119998</v>
      </c>
      <c r="EQ153" s="180" t="n">
        <v>9.25387696921998</v>
      </c>
      <c r="ER153" s="180" t="n">
        <v>9.32361265723998</v>
      </c>
      <c r="ES153" s="180" t="n">
        <v>9.39334834525998</v>
      </c>
      <c r="ET153" s="180" t="n">
        <v>9.46308403327998</v>
      </c>
      <c r="EU153" s="180" t="n">
        <v>9.53281972129998</v>
      </c>
      <c r="EV153" s="180" t="n">
        <v>9.60255540931998</v>
      </c>
      <c r="EW153" s="180" t="n">
        <v>9.67229109733998</v>
      </c>
      <c r="EX153" s="180" t="n">
        <v>9.74202678535998</v>
      </c>
      <c r="EY153" s="180" t="n">
        <v>9.81176247337998</v>
      </c>
      <c r="EZ153" s="180" t="n">
        <v>9.88149816139998</v>
      </c>
      <c r="FA153" s="180" t="n">
        <v>9.95123384941998</v>
      </c>
      <c r="FB153" s="180" t="n">
        <v>10.02096953744</v>
      </c>
      <c r="FC153" s="180" t="n">
        <v>10.09070522546</v>
      </c>
      <c r="FD153" s="180" t="n">
        <v>10.16044091348</v>
      </c>
      <c r="FE153" s="180" t="n">
        <v>10.2301766015</v>
      </c>
      <c r="FF153" s="180" t="n">
        <v>10.29991228952</v>
      </c>
      <c r="FG153" s="180" t="n">
        <v>10.36964797754</v>
      </c>
      <c r="FH153" s="180" t="n">
        <v>10.43938366556</v>
      </c>
      <c r="FI153" s="180" t="n">
        <v>10.50911935358</v>
      </c>
      <c r="FJ153" s="180" t="n">
        <v>10.5788550416</v>
      </c>
      <c r="FK153" s="180" t="n">
        <v>10.64859072962</v>
      </c>
      <c r="FL153" s="180" t="n">
        <v>10.71832641764</v>
      </c>
      <c r="FM153" s="180" t="n">
        <v>10.78806210566</v>
      </c>
      <c r="FN153" s="180" t="n">
        <v>10.85779779368</v>
      </c>
      <c r="FO153" s="180" t="n">
        <v>10.9275334817</v>
      </c>
      <c r="FP153" s="180" t="n">
        <v>10.99726916972</v>
      </c>
      <c r="FQ153" s="180" t="n">
        <v>11.06700485774</v>
      </c>
      <c r="FR153" s="180" t="n">
        <v>11.13674054576</v>
      </c>
      <c r="FS153" s="180" t="n">
        <v>11.20647623378</v>
      </c>
      <c r="FT153" s="180" t="n">
        <v>11.2762119218</v>
      </c>
      <c r="FU153" s="180" t="n">
        <v>11.34594760982</v>
      </c>
      <c r="FV153" s="180" t="n">
        <v>11.41568329784</v>
      </c>
      <c r="FW153" s="180" t="n">
        <v>11.48541898586</v>
      </c>
      <c r="FX153" s="180" t="n">
        <v>11.55515467388</v>
      </c>
      <c r="FY153" s="180" t="n">
        <v>11.6248903619</v>
      </c>
      <c r="FZ153" s="180" t="n">
        <v>11.69462604992</v>
      </c>
      <c r="GA153" s="180" t="n">
        <v>11.76436173794</v>
      </c>
      <c r="GB153" s="180" t="n">
        <v>11.83409742596</v>
      </c>
      <c r="GC153" s="180" t="n">
        <v>11.90383311398</v>
      </c>
      <c r="GD153" s="180" t="n">
        <v>11.973568802</v>
      </c>
      <c r="GE153" s="180" t="n">
        <v>12.04330449002</v>
      </c>
      <c r="GF153" s="180" t="n">
        <v>12.11304017804</v>
      </c>
      <c r="GG153" s="180" t="n">
        <v>12.18277586606</v>
      </c>
      <c r="GH153" s="180" t="n">
        <v>12.25251155408</v>
      </c>
      <c r="GI153" s="180" t="n">
        <v>12.3222472421</v>
      </c>
      <c r="GJ153" s="180" t="n">
        <v>12.39198293012</v>
      </c>
      <c r="GK153" s="180" t="n">
        <v>12.46171861814</v>
      </c>
      <c r="GL153" s="180" t="n">
        <v>12.53145430616</v>
      </c>
      <c r="GM153" s="180" t="n">
        <v>12.60118999418</v>
      </c>
      <c r="GN153" s="180" t="n">
        <v>12.6709256822</v>
      </c>
      <c r="GO153" s="180" t="n">
        <v>12.74066137022</v>
      </c>
      <c r="GP153" s="180" t="n">
        <v>12.81039705824</v>
      </c>
      <c r="GQ153" s="180" t="n">
        <v>12.88013274626</v>
      </c>
      <c r="GR153" s="180" t="n">
        <v>12.94986843428</v>
      </c>
      <c r="GS153" s="180" t="n">
        <v>13.0196041223</v>
      </c>
      <c r="GT153" s="180" t="n">
        <v>13.08933981032</v>
      </c>
      <c r="GU153" s="180" t="n">
        <v>13.15907549834</v>
      </c>
      <c r="GV153" s="180" t="n">
        <v>13.22881118636</v>
      </c>
      <c r="GW153" s="180" t="n">
        <v>13.29854687438</v>
      </c>
      <c r="GX153" s="180" t="n">
        <v>13.3682825624</v>
      </c>
      <c r="GY153" s="180" t="n">
        <v>13.43801825042</v>
      </c>
      <c r="GZ153" s="180" t="n">
        <v>13.50775393844</v>
      </c>
      <c r="HA153" s="180" t="n">
        <v>13.57748962646</v>
      </c>
      <c r="HB153" s="180" t="n">
        <v>13.64722531448</v>
      </c>
      <c r="HC153" s="180" t="n">
        <v>13.7169610025</v>
      </c>
      <c r="HD153" s="180" t="n">
        <v>13.78669669052</v>
      </c>
      <c r="HE153" s="180" t="n">
        <v>13.85643237854</v>
      </c>
      <c r="HF153" s="180" t="n">
        <v>13.92616806656</v>
      </c>
      <c r="HG153" s="180" t="n">
        <v>13.99590375458</v>
      </c>
      <c r="HH153" s="180" t="n">
        <v>14.0656394426</v>
      </c>
      <c r="HI153" s="180" t="n">
        <v>14.13537513062</v>
      </c>
      <c r="HJ153" s="180" t="n">
        <v>14.20511081864</v>
      </c>
      <c r="HK153" s="180" t="n">
        <v>14.27484650666</v>
      </c>
      <c r="HL153" s="180" t="n">
        <v>14.34458219468</v>
      </c>
      <c r="HM153" s="180" t="n">
        <v>14.4143178827</v>
      </c>
      <c r="HN153" s="180" t="n">
        <v>14.48405357072</v>
      </c>
      <c r="HO153" s="180" t="n">
        <v>14.55378925874</v>
      </c>
      <c r="HP153" s="180" t="n">
        <v>14.62352494676</v>
      </c>
      <c r="HQ153" s="180" t="n">
        <v>14.69326063478</v>
      </c>
      <c r="HR153" s="180" t="n">
        <v>14.7629963228</v>
      </c>
      <c r="HS153" s="180" t="n">
        <v>14.83273201082</v>
      </c>
      <c r="HT153" s="180" t="n">
        <v>14.90246769884</v>
      </c>
      <c r="HU153" s="180" t="n">
        <v>14.97220338686</v>
      </c>
      <c r="HV153" s="180" t="n">
        <v>15.04193907488</v>
      </c>
      <c r="HW153" s="180" t="n">
        <v>15.1116747629</v>
      </c>
      <c r="HX153" s="180" t="n">
        <v>15.18141045092</v>
      </c>
      <c r="HY153" s="180" t="n">
        <v>15.25114613894</v>
      </c>
      <c r="HZ153" s="180" t="n">
        <v>15.32088182696</v>
      </c>
      <c r="IA153" s="180" t="n">
        <v>15.39061751498</v>
      </c>
      <c r="IB153" s="180" t="n">
        <v>15.460353203</v>
      </c>
      <c r="IC153" s="180" t="n">
        <v>15.53008889102</v>
      </c>
      <c r="ID153" s="180" t="n">
        <v>15.59982457904</v>
      </c>
      <c r="IE153" s="180" t="n">
        <v>15.66956026706</v>
      </c>
      <c r="IF153" s="180" t="n">
        <v>15.73929595508</v>
      </c>
      <c r="IG153" s="180" t="n">
        <v>15.8090316431</v>
      </c>
      <c r="IH153" s="180" t="n">
        <v>15.87876733112</v>
      </c>
      <c r="II153" s="180" t="n">
        <v>15.94850301914</v>
      </c>
      <c r="IJ153" s="180" t="n">
        <v>16.01823870716</v>
      </c>
      <c r="IK153" s="180" t="n">
        <v>16.08797439518</v>
      </c>
      <c r="IL153" s="180" t="n">
        <v>16.1577100832</v>
      </c>
      <c r="IM153" s="180" t="n">
        <v>16.22744577122</v>
      </c>
      <c r="IN153" s="180" t="n">
        <v>16.29718145924</v>
      </c>
      <c r="IO153" s="180" t="n">
        <v>16.36691714726</v>
      </c>
      <c r="IP153" s="180" t="n">
        <v>16.43665283528</v>
      </c>
      <c r="IQ153" s="180" t="n">
        <v>16.5063885233</v>
      </c>
      <c r="IR153" s="180" t="n">
        <v>16.57612421132</v>
      </c>
      <c r="IS153" s="180" t="n">
        <v>16.64585989934</v>
      </c>
      <c r="IT153" s="180" t="n">
        <v>16.71559558736</v>
      </c>
      <c r="IU153" s="180" t="n">
        <v>16.78533127538</v>
      </c>
      <c r="IV153" s="180" t="n">
        <v>16.8550669634</v>
      </c>
    </row>
    <row r="154" customFormat="false" ht="12.75" hidden="false" customHeight="false" outlineLevel="0" collapsed="false">
      <c r="A154" s="189" t="n">
        <v>41365</v>
      </c>
      <c r="B154" s="185" t="n">
        <v>-2.021005929375</v>
      </c>
      <c r="C154" s="185" t="n">
        <v>-1.9907047400625</v>
      </c>
      <c r="D154" s="185" t="n">
        <v>-1.96040355075</v>
      </c>
      <c r="E154" s="185" t="n">
        <v>-1.9301023614375</v>
      </c>
      <c r="F154" s="185" t="n">
        <v>-1.899801172125</v>
      </c>
      <c r="G154" s="185" t="n">
        <v>-1.8694999828125</v>
      </c>
      <c r="H154" s="185" t="n">
        <v>-1.8391987935</v>
      </c>
      <c r="I154" s="185" t="n">
        <v>-1.8088976041875</v>
      </c>
      <c r="J154" s="185" t="n">
        <v>-1.778596414875</v>
      </c>
      <c r="K154" s="185" t="n">
        <v>-1.7482952255625</v>
      </c>
      <c r="L154" s="185" t="n">
        <v>-1.71799403625</v>
      </c>
      <c r="M154" s="185" t="n">
        <v>-1.6876928469375</v>
      </c>
      <c r="N154" s="185" t="n">
        <v>-1.657391657625</v>
      </c>
      <c r="O154" s="185" t="n">
        <v>-1.6270904683125</v>
      </c>
      <c r="P154" s="185" t="n">
        <v>-1.596789279</v>
      </c>
      <c r="Q154" s="185" t="n">
        <v>-1.5664880896875</v>
      </c>
      <c r="R154" s="185" t="n">
        <v>-1.536186900375</v>
      </c>
      <c r="S154" s="185" t="n">
        <v>-1.5058857110625</v>
      </c>
      <c r="T154" s="185" t="n">
        <v>-1.47558452175</v>
      </c>
      <c r="U154" s="185" t="n">
        <v>-1.4452833324375</v>
      </c>
      <c r="V154" s="186" t="n">
        <v>-1.414982143125</v>
      </c>
      <c r="W154" s="185" t="n">
        <v>-1.3846809538125</v>
      </c>
      <c r="X154" s="186" t="n">
        <v>-1.3543797645</v>
      </c>
      <c r="Y154" s="185" t="n">
        <v>-1.3240785751875</v>
      </c>
      <c r="Z154" s="186" t="n">
        <v>-1.293777385875</v>
      </c>
      <c r="AA154" s="185" t="n">
        <v>-1.2634761965625</v>
      </c>
      <c r="AB154" s="187" t="n">
        <v>-1.23317500725</v>
      </c>
      <c r="AC154" s="185" t="n">
        <v>-1.2028738179375</v>
      </c>
      <c r="AD154" s="187" t="n">
        <v>-1.172572628625</v>
      </c>
      <c r="AE154" s="185" t="n">
        <v>-1.1422714393125</v>
      </c>
      <c r="AF154" s="185" t="n">
        <v>-1.11197025</v>
      </c>
      <c r="AG154" s="190" t="n">
        <v>-1.083235125</v>
      </c>
      <c r="AH154" s="190" t="n">
        <v>-1.0545</v>
      </c>
      <c r="AI154" s="190" t="n">
        <v>-1.02725</v>
      </c>
      <c r="AJ154" s="190" t="n">
        <v>-1</v>
      </c>
      <c r="AK154" s="190" t="n">
        <v>-0.8</v>
      </c>
      <c r="AL154" s="190" t="n">
        <v>-0.6</v>
      </c>
      <c r="AM154" s="190" t="n">
        <v>-0.4</v>
      </c>
      <c r="AN154" s="190" t="n">
        <v>-0.2</v>
      </c>
      <c r="AO154" s="190" t="n">
        <v>0</v>
      </c>
      <c r="AP154" s="190" t="n">
        <v>0.2</v>
      </c>
      <c r="AQ154" s="190" t="n">
        <v>0.4</v>
      </c>
      <c r="AR154" s="190" t="n">
        <v>0.6</v>
      </c>
      <c r="AS154" s="190" t="n">
        <v>0.8</v>
      </c>
      <c r="AT154" s="190" t="n">
        <v>1</v>
      </c>
      <c r="AU154" s="190" t="n">
        <v>1.2</v>
      </c>
      <c r="AV154" s="190" t="n">
        <v>1.4</v>
      </c>
      <c r="AW154" s="190" t="n">
        <v>1.58</v>
      </c>
      <c r="AX154" s="190" t="n">
        <v>1.76</v>
      </c>
      <c r="AY154" s="190" t="n">
        <v>1.922</v>
      </c>
      <c r="AZ154" s="190" t="n">
        <v>2.084</v>
      </c>
      <c r="BA154" s="190" t="n">
        <v>2.2298</v>
      </c>
      <c r="BB154" s="190" t="n">
        <v>2.3756</v>
      </c>
      <c r="BC154" s="190" t="n">
        <v>2.50682</v>
      </c>
      <c r="BD154" s="190" t="n">
        <v>2.63804</v>
      </c>
      <c r="BE154" s="190" t="n">
        <v>2.756138</v>
      </c>
      <c r="BF154" s="190" t="n">
        <v>2.874236</v>
      </c>
      <c r="BG154" s="190" t="n">
        <v>2.9805242</v>
      </c>
      <c r="BH154" s="190" t="n">
        <v>3.0868124</v>
      </c>
      <c r="BI154" s="190" t="n">
        <v>3.18247178</v>
      </c>
      <c r="BJ154" s="190" t="n">
        <v>3.27813116</v>
      </c>
      <c r="BK154" s="190" t="n">
        <v>3.364224602</v>
      </c>
      <c r="BL154" s="190" t="n">
        <v>3.450318044</v>
      </c>
      <c r="BM154" s="190" t="n">
        <v>3.5278021418</v>
      </c>
      <c r="BN154" s="190" t="n">
        <v>3.6052862396</v>
      </c>
      <c r="BO154" s="190" t="n">
        <v>3.67502192762</v>
      </c>
      <c r="BP154" s="190" t="n">
        <v>3.74475761564</v>
      </c>
      <c r="BQ154" s="190" t="n">
        <v>3.81449330366</v>
      </c>
      <c r="BR154" s="190" t="n">
        <v>3.88422899168</v>
      </c>
      <c r="BS154" s="190" t="n">
        <v>3.9539646797</v>
      </c>
      <c r="BT154" s="190" t="n">
        <v>4.02370036772</v>
      </c>
      <c r="BU154" s="190" t="n">
        <v>4.09343605574</v>
      </c>
      <c r="BV154" s="190" t="n">
        <v>4.16317174376</v>
      </c>
      <c r="BW154" s="190" t="n">
        <v>4.23290743178</v>
      </c>
      <c r="BX154" s="190" t="n">
        <v>4.3026431198</v>
      </c>
      <c r="BY154" s="190" t="n">
        <v>4.37237880782</v>
      </c>
      <c r="BZ154" s="190" t="n">
        <v>4.44211449584</v>
      </c>
      <c r="CA154" s="190" t="n">
        <v>4.51185018386</v>
      </c>
      <c r="CB154" s="190" t="n">
        <v>4.58158587188</v>
      </c>
      <c r="CC154" s="190" t="n">
        <v>4.6513215599</v>
      </c>
      <c r="CD154" s="190" t="n">
        <v>4.72105724792</v>
      </c>
      <c r="CE154" s="190" t="n">
        <v>4.79079293594</v>
      </c>
      <c r="CF154" s="190" t="n">
        <v>4.86052862396</v>
      </c>
      <c r="CG154" s="190" t="n">
        <v>4.93026431198</v>
      </c>
      <c r="CH154" s="190" t="n">
        <v>5</v>
      </c>
      <c r="CI154" s="190" t="n">
        <v>5.06973568801999</v>
      </c>
      <c r="CJ154" s="190" t="n">
        <v>5.13947137603999</v>
      </c>
      <c r="CK154" s="190" t="n">
        <v>5.20920706405999</v>
      </c>
      <c r="CL154" s="190" t="n">
        <v>5.27894275207999</v>
      </c>
      <c r="CM154" s="190" t="n">
        <v>5.34867844009999</v>
      </c>
      <c r="CN154" s="190" t="n">
        <v>5.41841412811999</v>
      </c>
      <c r="CO154" s="190" t="n">
        <v>5.48814981613999</v>
      </c>
      <c r="CP154" s="190" t="n">
        <v>5.55788550415999</v>
      </c>
      <c r="CQ154" s="190" t="n">
        <v>5.62762119217999</v>
      </c>
      <c r="CR154" s="190" t="n">
        <v>5.69735688019999</v>
      </c>
      <c r="CS154" s="190" t="n">
        <v>5.76709256821999</v>
      </c>
      <c r="CT154" s="190" t="n">
        <v>5.83682825623999</v>
      </c>
      <c r="CU154" s="190" t="n">
        <v>5.90656394425999</v>
      </c>
      <c r="CV154" s="190" t="n">
        <v>5.97629963227999</v>
      </c>
      <c r="CW154" s="190" t="n">
        <v>6.04603532029999</v>
      </c>
      <c r="CX154" s="190" t="n">
        <v>6.11577100831999</v>
      </c>
      <c r="CY154" s="190" t="n">
        <v>6.18550669633999</v>
      </c>
      <c r="CZ154" s="190" t="n">
        <v>6.25524238435999</v>
      </c>
      <c r="DA154" s="190" t="n">
        <v>6.32497807237999</v>
      </c>
      <c r="DB154" s="190" t="n">
        <v>6.39471376039999</v>
      </c>
      <c r="DC154" s="190" t="n">
        <v>6.46444944841999</v>
      </c>
      <c r="DD154" s="190" t="n">
        <v>6.53418513643999</v>
      </c>
      <c r="DE154" s="190" t="n">
        <v>6.60392082445999</v>
      </c>
      <c r="DF154" s="190" t="n">
        <v>6.67365651247999</v>
      </c>
      <c r="DG154" s="190" t="n">
        <v>6.74339220049999</v>
      </c>
      <c r="DH154" s="190" t="n">
        <v>6.81312788851999</v>
      </c>
      <c r="DI154" s="190" t="n">
        <v>6.88286357653999</v>
      </c>
      <c r="DJ154" s="190" t="n">
        <v>6.95259926455999</v>
      </c>
      <c r="DK154" s="190" t="n">
        <v>7.02233495257999</v>
      </c>
      <c r="DL154" s="190" t="n">
        <v>7.09207064059999</v>
      </c>
      <c r="DM154" s="190" t="n">
        <v>7.16180632861999</v>
      </c>
      <c r="DN154" s="190" t="n">
        <v>7.23154201663999</v>
      </c>
      <c r="DO154" s="190" t="n">
        <v>7.30127770465999</v>
      </c>
      <c r="DP154" s="190" t="n">
        <v>7.37101339267999</v>
      </c>
      <c r="DQ154" s="190" t="n">
        <v>7.44074908069999</v>
      </c>
      <c r="DR154" s="190" t="n">
        <v>7.51048476871999</v>
      </c>
      <c r="DS154" s="190" t="n">
        <v>7.58022045673999</v>
      </c>
      <c r="DT154" s="190" t="n">
        <v>7.64995614475999</v>
      </c>
      <c r="DU154" s="190" t="n">
        <v>7.71969183277999</v>
      </c>
      <c r="DV154" s="190" t="n">
        <v>7.78942752079998</v>
      </c>
      <c r="DW154" s="190" t="n">
        <v>7.85916320881998</v>
      </c>
      <c r="DX154" s="190" t="n">
        <v>7.92889889683998</v>
      </c>
      <c r="DY154" s="190" t="n">
        <v>7.99863458485998</v>
      </c>
      <c r="DZ154" s="190" t="n">
        <v>8.06837027287998</v>
      </c>
      <c r="EA154" s="190" t="n">
        <v>8.13810596089998</v>
      </c>
      <c r="EB154" s="190" t="n">
        <v>8.20784164891998</v>
      </c>
      <c r="EC154" s="190" t="n">
        <v>8.27757733693998</v>
      </c>
      <c r="ED154" s="190" t="n">
        <v>8.34731302495998</v>
      </c>
      <c r="EE154" s="190" t="n">
        <v>8.41704871297998</v>
      </c>
      <c r="EF154" s="190" t="n">
        <v>8.48678440099998</v>
      </c>
      <c r="EG154" s="190" t="n">
        <v>8.55652008901998</v>
      </c>
      <c r="EH154" s="190" t="n">
        <v>8.62625577703998</v>
      </c>
      <c r="EI154" s="190" t="n">
        <v>8.69599146505998</v>
      </c>
      <c r="EJ154" s="190" t="n">
        <v>8.76572715307998</v>
      </c>
      <c r="EK154" s="190" t="n">
        <v>8.83546284109998</v>
      </c>
      <c r="EL154" s="180" t="n">
        <v>8.90519852911998</v>
      </c>
      <c r="EM154" s="180" t="n">
        <v>8.97493421713998</v>
      </c>
      <c r="EN154" s="180" t="n">
        <v>9.04466990515998</v>
      </c>
      <c r="EO154" s="180" t="n">
        <v>9.11440559317998</v>
      </c>
      <c r="EP154" s="180" t="n">
        <v>9.18414128119998</v>
      </c>
      <c r="EQ154" s="180" t="n">
        <v>9.25387696921998</v>
      </c>
      <c r="ER154" s="180" t="n">
        <v>9.32361265723998</v>
      </c>
      <c r="ES154" s="180" t="n">
        <v>9.39334834525998</v>
      </c>
      <c r="ET154" s="180" t="n">
        <v>9.46308403327998</v>
      </c>
      <c r="EU154" s="180" t="n">
        <v>9.53281972129998</v>
      </c>
      <c r="EV154" s="180" t="n">
        <v>9.60255540931998</v>
      </c>
      <c r="EW154" s="180" t="n">
        <v>9.67229109733998</v>
      </c>
      <c r="EX154" s="180" t="n">
        <v>9.74202678535998</v>
      </c>
      <c r="EY154" s="180" t="n">
        <v>9.81176247337998</v>
      </c>
      <c r="EZ154" s="180" t="n">
        <v>9.88149816139998</v>
      </c>
      <c r="FA154" s="180" t="n">
        <v>9.95123384941998</v>
      </c>
      <c r="FB154" s="180" t="n">
        <v>10.02096953744</v>
      </c>
      <c r="FC154" s="180" t="n">
        <v>10.09070522546</v>
      </c>
      <c r="FD154" s="180" t="n">
        <v>10.16044091348</v>
      </c>
      <c r="FE154" s="180" t="n">
        <v>10.2301766015</v>
      </c>
      <c r="FF154" s="180" t="n">
        <v>10.29991228952</v>
      </c>
      <c r="FG154" s="180" t="n">
        <v>10.36964797754</v>
      </c>
      <c r="FH154" s="180" t="n">
        <v>10.43938366556</v>
      </c>
      <c r="FI154" s="180" t="n">
        <v>10.50911935358</v>
      </c>
      <c r="FJ154" s="180" t="n">
        <v>10.5788550416</v>
      </c>
      <c r="FK154" s="180" t="n">
        <v>10.64859072962</v>
      </c>
      <c r="FL154" s="180" t="n">
        <v>10.71832641764</v>
      </c>
      <c r="FM154" s="180" t="n">
        <v>10.78806210566</v>
      </c>
      <c r="FN154" s="180" t="n">
        <v>10.85779779368</v>
      </c>
      <c r="FO154" s="180" t="n">
        <v>10.9275334817</v>
      </c>
      <c r="FP154" s="180" t="n">
        <v>10.99726916972</v>
      </c>
      <c r="FQ154" s="180" t="n">
        <v>11.06700485774</v>
      </c>
      <c r="FR154" s="180" t="n">
        <v>11.13674054576</v>
      </c>
      <c r="FS154" s="180" t="n">
        <v>11.20647623378</v>
      </c>
      <c r="FT154" s="180" t="n">
        <v>11.2762119218</v>
      </c>
      <c r="FU154" s="180" t="n">
        <v>11.34594760982</v>
      </c>
      <c r="FV154" s="180" t="n">
        <v>11.41568329784</v>
      </c>
      <c r="FW154" s="180" t="n">
        <v>11.48541898586</v>
      </c>
      <c r="FX154" s="180" t="n">
        <v>11.55515467388</v>
      </c>
      <c r="FY154" s="180" t="n">
        <v>11.6248903619</v>
      </c>
      <c r="FZ154" s="180" t="n">
        <v>11.69462604992</v>
      </c>
      <c r="GA154" s="180" t="n">
        <v>11.76436173794</v>
      </c>
      <c r="GB154" s="180" t="n">
        <v>11.83409742596</v>
      </c>
      <c r="GC154" s="180" t="n">
        <v>11.90383311398</v>
      </c>
      <c r="GD154" s="180" t="n">
        <v>11.973568802</v>
      </c>
      <c r="GE154" s="180" t="n">
        <v>12.04330449002</v>
      </c>
      <c r="GF154" s="180" t="n">
        <v>12.11304017804</v>
      </c>
      <c r="GG154" s="180" t="n">
        <v>12.18277586606</v>
      </c>
      <c r="GH154" s="180" t="n">
        <v>12.25251155408</v>
      </c>
      <c r="GI154" s="180" t="n">
        <v>12.3222472421</v>
      </c>
      <c r="GJ154" s="180" t="n">
        <v>12.39198293012</v>
      </c>
      <c r="GK154" s="180" t="n">
        <v>12.46171861814</v>
      </c>
      <c r="GL154" s="180" t="n">
        <v>12.53145430616</v>
      </c>
      <c r="GM154" s="180" t="n">
        <v>12.60118999418</v>
      </c>
      <c r="GN154" s="180" t="n">
        <v>12.6709256822</v>
      </c>
      <c r="GO154" s="180" t="n">
        <v>12.74066137022</v>
      </c>
      <c r="GP154" s="180" t="n">
        <v>12.81039705824</v>
      </c>
      <c r="GQ154" s="180" t="n">
        <v>12.88013274626</v>
      </c>
      <c r="GR154" s="180" t="n">
        <v>12.94986843428</v>
      </c>
      <c r="GS154" s="180" t="n">
        <v>13.0196041223</v>
      </c>
      <c r="GT154" s="180" t="n">
        <v>13.08933981032</v>
      </c>
      <c r="GU154" s="180" t="n">
        <v>13.15907549834</v>
      </c>
      <c r="GV154" s="180" t="n">
        <v>13.22881118636</v>
      </c>
      <c r="GW154" s="180" t="n">
        <v>13.29854687438</v>
      </c>
      <c r="GX154" s="180" t="n">
        <v>13.3682825624</v>
      </c>
      <c r="GY154" s="180" t="n">
        <v>13.43801825042</v>
      </c>
      <c r="GZ154" s="180" t="n">
        <v>13.50775393844</v>
      </c>
      <c r="HA154" s="180" t="n">
        <v>13.57748962646</v>
      </c>
      <c r="HB154" s="180" t="n">
        <v>13.64722531448</v>
      </c>
      <c r="HC154" s="180" t="n">
        <v>13.7169610025</v>
      </c>
      <c r="HD154" s="180" t="n">
        <v>13.78669669052</v>
      </c>
      <c r="HE154" s="180" t="n">
        <v>13.85643237854</v>
      </c>
      <c r="HF154" s="180" t="n">
        <v>13.92616806656</v>
      </c>
      <c r="HG154" s="180" t="n">
        <v>13.99590375458</v>
      </c>
      <c r="HH154" s="180" t="n">
        <v>14.0656394426</v>
      </c>
      <c r="HI154" s="180" t="n">
        <v>14.13537513062</v>
      </c>
      <c r="HJ154" s="180" t="n">
        <v>14.20511081864</v>
      </c>
      <c r="HK154" s="180" t="n">
        <v>14.27484650666</v>
      </c>
      <c r="HL154" s="180" t="n">
        <v>14.34458219468</v>
      </c>
      <c r="HM154" s="180" t="n">
        <v>14.4143178827</v>
      </c>
      <c r="HN154" s="180" t="n">
        <v>14.48405357072</v>
      </c>
      <c r="HO154" s="180" t="n">
        <v>14.55378925874</v>
      </c>
      <c r="HP154" s="180" t="n">
        <v>14.62352494676</v>
      </c>
      <c r="HQ154" s="180" t="n">
        <v>14.69326063478</v>
      </c>
      <c r="HR154" s="180" t="n">
        <v>14.7629963228</v>
      </c>
      <c r="HS154" s="180" t="n">
        <v>14.83273201082</v>
      </c>
      <c r="HT154" s="180" t="n">
        <v>14.90246769884</v>
      </c>
      <c r="HU154" s="180" t="n">
        <v>14.97220338686</v>
      </c>
      <c r="HV154" s="180" t="n">
        <v>15.04193907488</v>
      </c>
      <c r="HW154" s="180" t="n">
        <v>15.1116747629</v>
      </c>
      <c r="HX154" s="180" t="n">
        <v>15.18141045092</v>
      </c>
      <c r="HY154" s="180" t="n">
        <v>15.25114613894</v>
      </c>
      <c r="HZ154" s="180" t="n">
        <v>15.32088182696</v>
      </c>
      <c r="IA154" s="180" t="n">
        <v>15.39061751498</v>
      </c>
      <c r="IB154" s="180" t="n">
        <v>15.460353203</v>
      </c>
      <c r="IC154" s="180" t="n">
        <v>15.53008889102</v>
      </c>
      <c r="ID154" s="180" t="n">
        <v>15.59982457904</v>
      </c>
      <c r="IE154" s="180" t="n">
        <v>15.66956026706</v>
      </c>
      <c r="IF154" s="180" t="n">
        <v>15.73929595508</v>
      </c>
      <c r="IG154" s="180" t="n">
        <v>15.8090316431</v>
      </c>
      <c r="IH154" s="180" t="n">
        <v>15.87876733112</v>
      </c>
      <c r="II154" s="180" t="n">
        <v>15.94850301914</v>
      </c>
      <c r="IJ154" s="180" t="n">
        <v>16.01823870716</v>
      </c>
      <c r="IK154" s="180" t="n">
        <v>16.08797439518</v>
      </c>
      <c r="IL154" s="180" t="n">
        <v>16.1577100832</v>
      </c>
      <c r="IM154" s="180" t="n">
        <v>16.22744577122</v>
      </c>
      <c r="IN154" s="180" t="n">
        <v>16.29718145924</v>
      </c>
      <c r="IO154" s="180" t="n">
        <v>16.36691714726</v>
      </c>
      <c r="IP154" s="180" t="n">
        <v>16.43665283528</v>
      </c>
      <c r="IQ154" s="180" t="n">
        <v>16.5063885233</v>
      </c>
      <c r="IR154" s="180" t="n">
        <v>16.57612421132</v>
      </c>
      <c r="IS154" s="180" t="n">
        <v>16.64585989934</v>
      </c>
      <c r="IT154" s="180" t="n">
        <v>16.71559558736</v>
      </c>
      <c r="IU154" s="180" t="n">
        <v>16.78533127538</v>
      </c>
      <c r="IV154" s="180" t="n">
        <v>16.8550669634</v>
      </c>
    </row>
    <row r="155" customFormat="false" ht="12.75" hidden="false" customHeight="false" outlineLevel="0" collapsed="false">
      <c r="A155" s="189" t="n">
        <v>41395</v>
      </c>
      <c r="B155" s="185" t="n">
        <v>-2.021005929375</v>
      </c>
      <c r="C155" s="185" t="n">
        <v>-1.9907047400625</v>
      </c>
      <c r="D155" s="185" t="n">
        <v>-1.96040355075</v>
      </c>
      <c r="E155" s="185" t="n">
        <v>-1.9301023614375</v>
      </c>
      <c r="F155" s="185" t="n">
        <v>-1.899801172125</v>
      </c>
      <c r="G155" s="185" t="n">
        <v>-1.8694999828125</v>
      </c>
      <c r="H155" s="185" t="n">
        <v>-1.8391987935</v>
      </c>
      <c r="I155" s="185" t="n">
        <v>-1.8088976041875</v>
      </c>
      <c r="J155" s="185" t="n">
        <v>-1.778596414875</v>
      </c>
      <c r="K155" s="185" t="n">
        <v>-1.7482952255625</v>
      </c>
      <c r="L155" s="185" t="n">
        <v>-1.71799403625</v>
      </c>
      <c r="M155" s="185" t="n">
        <v>-1.6876928469375</v>
      </c>
      <c r="N155" s="185" t="n">
        <v>-1.657391657625</v>
      </c>
      <c r="O155" s="185" t="n">
        <v>-1.6270904683125</v>
      </c>
      <c r="P155" s="185" t="n">
        <v>-1.596789279</v>
      </c>
      <c r="Q155" s="185" t="n">
        <v>-1.5664880896875</v>
      </c>
      <c r="R155" s="185" t="n">
        <v>-1.536186900375</v>
      </c>
      <c r="S155" s="185" t="n">
        <v>-1.5058857110625</v>
      </c>
      <c r="T155" s="185" t="n">
        <v>-1.47558452175</v>
      </c>
      <c r="U155" s="185" t="n">
        <v>-1.4452833324375</v>
      </c>
      <c r="V155" s="186" t="n">
        <v>-1.414982143125</v>
      </c>
      <c r="W155" s="185" t="n">
        <v>-1.3846809538125</v>
      </c>
      <c r="X155" s="186" t="n">
        <v>-1.3543797645</v>
      </c>
      <c r="Y155" s="185" t="n">
        <v>-1.3240785751875</v>
      </c>
      <c r="Z155" s="186" t="n">
        <v>-1.293777385875</v>
      </c>
      <c r="AA155" s="185" t="n">
        <v>-1.2634761965625</v>
      </c>
      <c r="AB155" s="187" t="n">
        <v>-1.23317500725</v>
      </c>
      <c r="AC155" s="185" t="n">
        <v>-1.2028738179375</v>
      </c>
      <c r="AD155" s="187" t="n">
        <v>-1.172572628625</v>
      </c>
      <c r="AE155" s="185" t="n">
        <v>-1.1422714393125</v>
      </c>
      <c r="AF155" s="185" t="n">
        <v>-1.11197025</v>
      </c>
      <c r="AG155" s="190" t="n">
        <v>-1.083235125</v>
      </c>
      <c r="AH155" s="190" t="n">
        <v>-1.0545</v>
      </c>
      <c r="AI155" s="190" t="n">
        <v>-1.02725</v>
      </c>
      <c r="AJ155" s="190" t="n">
        <v>-1</v>
      </c>
      <c r="AK155" s="190" t="n">
        <v>-0.8</v>
      </c>
      <c r="AL155" s="190" t="n">
        <v>-0.6</v>
      </c>
      <c r="AM155" s="190" t="n">
        <v>-0.4</v>
      </c>
      <c r="AN155" s="190" t="n">
        <v>-0.2</v>
      </c>
      <c r="AO155" s="190" t="n">
        <v>0</v>
      </c>
      <c r="AP155" s="190" t="n">
        <v>0.2</v>
      </c>
      <c r="AQ155" s="190" t="n">
        <v>0.4</v>
      </c>
      <c r="AR155" s="190" t="n">
        <v>0.6</v>
      </c>
      <c r="AS155" s="190" t="n">
        <v>0.8</v>
      </c>
      <c r="AT155" s="190" t="n">
        <v>1</v>
      </c>
      <c r="AU155" s="190" t="n">
        <v>1.2</v>
      </c>
      <c r="AV155" s="190" t="n">
        <v>1.4</v>
      </c>
      <c r="AW155" s="190" t="n">
        <v>1.58</v>
      </c>
      <c r="AX155" s="190" t="n">
        <v>1.76</v>
      </c>
      <c r="AY155" s="190" t="n">
        <v>1.922</v>
      </c>
      <c r="AZ155" s="190" t="n">
        <v>2.084</v>
      </c>
      <c r="BA155" s="190" t="n">
        <v>2.2298</v>
      </c>
      <c r="BB155" s="190" t="n">
        <v>2.3756</v>
      </c>
      <c r="BC155" s="190" t="n">
        <v>2.50682</v>
      </c>
      <c r="BD155" s="190" t="n">
        <v>2.63804</v>
      </c>
      <c r="BE155" s="190" t="n">
        <v>2.756138</v>
      </c>
      <c r="BF155" s="190" t="n">
        <v>2.874236</v>
      </c>
      <c r="BG155" s="190" t="n">
        <v>2.9805242</v>
      </c>
      <c r="BH155" s="190" t="n">
        <v>3.0868124</v>
      </c>
      <c r="BI155" s="190" t="n">
        <v>3.18247178</v>
      </c>
      <c r="BJ155" s="190" t="n">
        <v>3.27813116</v>
      </c>
      <c r="BK155" s="190" t="n">
        <v>3.364224602</v>
      </c>
      <c r="BL155" s="190" t="n">
        <v>3.450318044</v>
      </c>
      <c r="BM155" s="190" t="n">
        <v>3.5278021418</v>
      </c>
      <c r="BN155" s="190" t="n">
        <v>3.6052862396</v>
      </c>
      <c r="BO155" s="190" t="n">
        <v>3.67502192762</v>
      </c>
      <c r="BP155" s="190" t="n">
        <v>3.74475761564</v>
      </c>
      <c r="BQ155" s="190" t="n">
        <v>3.81449330366</v>
      </c>
      <c r="BR155" s="190" t="n">
        <v>3.88422899168</v>
      </c>
      <c r="BS155" s="190" t="n">
        <v>3.9539646797</v>
      </c>
      <c r="BT155" s="190" t="n">
        <v>4.02370036772</v>
      </c>
      <c r="BU155" s="190" t="n">
        <v>4.09343605574</v>
      </c>
      <c r="BV155" s="190" t="n">
        <v>4.16317174376</v>
      </c>
      <c r="BW155" s="190" t="n">
        <v>4.23290743178</v>
      </c>
      <c r="BX155" s="190" t="n">
        <v>4.3026431198</v>
      </c>
      <c r="BY155" s="190" t="n">
        <v>4.37237880782</v>
      </c>
      <c r="BZ155" s="190" t="n">
        <v>4.44211449584</v>
      </c>
      <c r="CA155" s="190" t="n">
        <v>4.51185018386</v>
      </c>
      <c r="CB155" s="190" t="n">
        <v>4.58158587188</v>
      </c>
      <c r="CC155" s="190" t="n">
        <v>4.6513215599</v>
      </c>
      <c r="CD155" s="190" t="n">
        <v>4.72105724792</v>
      </c>
      <c r="CE155" s="190" t="n">
        <v>4.79079293594</v>
      </c>
      <c r="CF155" s="190" t="n">
        <v>4.86052862396</v>
      </c>
      <c r="CG155" s="190" t="n">
        <v>4.93026431198</v>
      </c>
      <c r="CH155" s="190" t="n">
        <v>5</v>
      </c>
      <c r="CI155" s="190" t="n">
        <v>5.06973568801999</v>
      </c>
      <c r="CJ155" s="190" t="n">
        <v>5.13947137603999</v>
      </c>
      <c r="CK155" s="190" t="n">
        <v>5.20920706405999</v>
      </c>
      <c r="CL155" s="190" t="n">
        <v>5.27894275207999</v>
      </c>
      <c r="CM155" s="190" t="n">
        <v>5.34867844009999</v>
      </c>
      <c r="CN155" s="190" t="n">
        <v>5.41841412811999</v>
      </c>
      <c r="CO155" s="190" t="n">
        <v>5.48814981613999</v>
      </c>
      <c r="CP155" s="190" t="n">
        <v>5.55788550415999</v>
      </c>
      <c r="CQ155" s="190" t="n">
        <v>5.62762119217999</v>
      </c>
      <c r="CR155" s="190" t="n">
        <v>5.69735688019999</v>
      </c>
      <c r="CS155" s="190" t="n">
        <v>5.76709256821999</v>
      </c>
      <c r="CT155" s="190" t="n">
        <v>5.83682825623999</v>
      </c>
      <c r="CU155" s="190" t="n">
        <v>5.90656394425999</v>
      </c>
      <c r="CV155" s="190" t="n">
        <v>5.97629963227999</v>
      </c>
      <c r="CW155" s="190" t="n">
        <v>6.04603532029999</v>
      </c>
      <c r="CX155" s="190" t="n">
        <v>6.11577100831999</v>
      </c>
      <c r="CY155" s="190" t="n">
        <v>6.18550669633999</v>
      </c>
      <c r="CZ155" s="190" t="n">
        <v>6.25524238435999</v>
      </c>
      <c r="DA155" s="190" t="n">
        <v>6.32497807237999</v>
      </c>
      <c r="DB155" s="190" t="n">
        <v>6.39471376039999</v>
      </c>
      <c r="DC155" s="190" t="n">
        <v>6.46444944841999</v>
      </c>
      <c r="DD155" s="190" t="n">
        <v>6.53418513643999</v>
      </c>
      <c r="DE155" s="190" t="n">
        <v>6.60392082445999</v>
      </c>
      <c r="DF155" s="190" t="n">
        <v>6.67365651247999</v>
      </c>
      <c r="DG155" s="190" t="n">
        <v>6.74339220049999</v>
      </c>
      <c r="DH155" s="190" t="n">
        <v>6.81312788851999</v>
      </c>
      <c r="DI155" s="190" t="n">
        <v>6.88286357653999</v>
      </c>
      <c r="DJ155" s="190" t="n">
        <v>6.95259926455999</v>
      </c>
      <c r="DK155" s="190" t="n">
        <v>7.02233495257999</v>
      </c>
      <c r="DL155" s="190" t="n">
        <v>7.09207064059999</v>
      </c>
      <c r="DM155" s="190" t="n">
        <v>7.16180632861999</v>
      </c>
      <c r="DN155" s="190" t="n">
        <v>7.23154201663999</v>
      </c>
      <c r="DO155" s="190" t="n">
        <v>7.30127770465999</v>
      </c>
      <c r="DP155" s="190" t="n">
        <v>7.37101339267999</v>
      </c>
      <c r="DQ155" s="190" t="n">
        <v>7.44074908069999</v>
      </c>
      <c r="DR155" s="190" t="n">
        <v>7.51048476871999</v>
      </c>
      <c r="DS155" s="190" t="n">
        <v>7.58022045673999</v>
      </c>
      <c r="DT155" s="190" t="n">
        <v>7.64995614475999</v>
      </c>
      <c r="DU155" s="190" t="n">
        <v>7.71969183277999</v>
      </c>
      <c r="DV155" s="190" t="n">
        <v>7.78942752079998</v>
      </c>
      <c r="DW155" s="190" t="n">
        <v>7.85916320881998</v>
      </c>
      <c r="DX155" s="190" t="n">
        <v>7.92889889683998</v>
      </c>
      <c r="DY155" s="190" t="n">
        <v>7.99863458485998</v>
      </c>
      <c r="DZ155" s="190" t="n">
        <v>8.06837027287998</v>
      </c>
      <c r="EA155" s="190" t="n">
        <v>8.13810596089998</v>
      </c>
      <c r="EB155" s="190" t="n">
        <v>8.20784164891998</v>
      </c>
      <c r="EC155" s="190" t="n">
        <v>8.27757733693998</v>
      </c>
      <c r="ED155" s="190" t="n">
        <v>8.34731302495998</v>
      </c>
      <c r="EE155" s="190" t="n">
        <v>8.41704871297998</v>
      </c>
      <c r="EF155" s="190" t="n">
        <v>8.48678440099998</v>
      </c>
      <c r="EG155" s="190" t="n">
        <v>8.55652008901998</v>
      </c>
      <c r="EH155" s="190" t="n">
        <v>8.62625577703998</v>
      </c>
      <c r="EI155" s="190" t="n">
        <v>8.69599146505998</v>
      </c>
      <c r="EJ155" s="190" t="n">
        <v>8.76572715307998</v>
      </c>
      <c r="EK155" s="190" t="n">
        <v>8.83546284109998</v>
      </c>
      <c r="EL155" s="180" t="n">
        <v>8.90519852911998</v>
      </c>
      <c r="EM155" s="180" t="n">
        <v>8.97493421713998</v>
      </c>
      <c r="EN155" s="180" t="n">
        <v>9.04466990515998</v>
      </c>
      <c r="EO155" s="180" t="n">
        <v>9.11440559317998</v>
      </c>
      <c r="EP155" s="180" t="n">
        <v>9.18414128119998</v>
      </c>
      <c r="EQ155" s="180" t="n">
        <v>9.25387696921998</v>
      </c>
      <c r="ER155" s="180" t="n">
        <v>9.32361265723998</v>
      </c>
      <c r="ES155" s="180" t="n">
        <v>9.39334834525998</v>
      </c>
      <c r="ET155" s="180" t="n">
        <v>9.46308403327998</v>
      </c>
      <c r="EU155" s="180" t="n">
        <v>9.53281972129998</v>
      </c>
      <c r="EV155" s="180" t="n">
        <v>9.60255540931998</v>
      </c>
      <c r="EW155" s="180" t="n">
        <v>9.67229109733998</v>
      </c>
      <c r="EX155" s="180" t="n">
        <v>9.74202678535998</v>
      </c>
      <c r="EY155" s="180" t="n">
        <v>9.81176247337998</v>
      </c>
      <c r="EZ155" s="180" t="n">
        <v>9.88149816139998</v>
      </c>
      <c r="FA155" s="180" t="n">
        <v>9.95123384941998</v>
      </c>
      <c r="FB155" s="180" t="n">
        <v>10.02096953744</v>
      </c>
      <c r="FC155" s="180" t="n">
        <v>10.09070522546</v>
      </c>
      <c r="FD155" s="180" t="n">
        <v>10.16044091348</v>
      </c>
      <c r="FE155" s="180" t="n">
        <v>10.2301766015</v>
      </c>
      <c r="FF155" s="180" t="n">
        <v>10.29991228952</v>
      </c>
      <c r="FG155" s="180" t="n">
        <v>10.36964797754</v>
      </c>
      <c r="FH155" s="180" t="n">
        <v>10.43938366556</v>
      </c>
      <c r="FI155" s="180" t="n">
        <v>10.50911935358</v>
      </c>
      <c r="FJ155" s="180" t="n">
        <v>10.5788550416</v>
      </c>
      <c r="FK155" s="180" t="n">
        <v>10.64859072962</v>
      </c>
      <c r="FL155" s="180" t="n">
        <v>10.71832641764</v>
      </c>
      <c r="FM155" s="180" t="n">
        <v>10.78806210566</v>
      </c>
      <c r="FN155" s="180" t="n">
        <v>10.85779779368</v>
      </c>
      <c r="FO155" s="180" t="n">
        <v>10.9275334817</v>
      </c>
      <c r="FP155" s="180" t="n">
        <v>10.99726916972</v>
      </c>
      <c r="FQ155" s="180" t="n">
        <v>11.06700485774</v>
      </c>
      <c r="FR155" s="180" t="n">
        <v>11.13674054576</v>
      </c>
      <c r="FS155" s="180" t="n">
        <v>11.20647623378</v>
      </c>
      <c r="FT155" s="180" t="n">
        <v>11.2762119218</v>
      </c>
      <c r="FU155" s="180" t="n">
        <v>11.34594760982</v>
      </c>
      <c r="FV155" s="180" t="n">
        <v>11.41568329784</v>
      </c>
      <c r="FW155" s="180" t="n">
        <v>11.48541898586</v>
      </c>
      <c r="FX155" s="180" t="n">
        <v>11.55515467388</v>
      </c>
      <c r="FY155" s="180" t="n">
        <v>11.6248903619</v>
      </c>
      <c r="FZ155" s="180" t="n">
        <v>11.69462604992</v>
      </c>
      <c r="GA155" s="180" t="n">
        <v>11.76436173794</v>
      </c>
      <c r="GB155" s="180" t="n">
        <v>11.83409742596</v>
      </c>
      <c r="GC155" s="180" t="n">
        <v>11.90383311398</v>
      </c>
      <c r="GD155" s="180" t="n">
        <v>11.973568802</v>
      </c>
      <c r="GE155" s="180" t="n">
        <v>12.04330449002</v>
      </c>
      <c r="GF155" s="180" t="n">
        <v>12.11304017804</v>
      </c>
      <c r="GG155" s="180" t="n">
        <v>12.18277586606</v>
      </c>
      <c r="GH155" s="180" t="n">
        <v>12.25251155408</v>
      </c>
      <c r="GI155" s="180" t="n">
        <v>12.3222472421</v>
      </c>
      <c r="GJ155" s="180" t="n">
        <v>12.39198293012</v>
      </c>
      <c r="GK155" s="180" t="n">
        <v>12.46171861814</v>
      </c>
      <c r="GL155" s="180" t="n">
        <v>12.53145430616</v>
      </c>
      <c r="GM155" s="180" t="n">
        <v>12.60118999418</v>
      </c>
      <c r="GN155" s="180" t="n">
        <v>12.6709256822</v>
      </c>
      <c r="GO155" s="180" t="n">
        <v>12.74066137022</v>
      </c>
      <c r="GP155" s="180" t="n">
        <v>12.81039705824</v>
      </c>
      <c r="GQ155" s="180" t="n">
        <v>12.88013274626</v>
      </c>
      <c r="GR155" s="180" t="n">
        <v>12.94986843428</v>
      </c>
      <c r="GS155" s="180" t="n">
        <v>13.0196041223</v>
      </c>
      <c r="GT155" s="180" t="n">
        <v>13.08933981032</v>
      </c>
      <c r="GU155" s="180" t="n">
        <v>13.15907549834</v>
      </c>
      <c r="GV155" s="180" t="n">
        <v>13.22881118636</v>
      </c>
      <c r="GW155" s="180" t="n">
        <v>13.29854687438</v>
      </c>
      <c r="GX155" s="180" t="n">
        <v>13.3682825624</v>
      </c>
      <c r="GY155" s="180" t="n">
        <v>13.43801825042</v>
      </c>
      <c r="GZ155" s="180" t="n">
        <v>13.50775393844</v>
      </c>
      <c r="HA155" s="180" t="n">
        <v>13.57748962646</v>
      </c>
      <c r="HB155" s="180" t="n">
        <v>13.64722531448</v>
      </c>
      <c r="HC155" s="180" t="n">
        <v>13.7169610025</v>
      </c>
      <c r="HD155" s="180" t="n">
        <v>13.78669669052</v>
      </c>
      <c r="HE155" s="180" t="n">
        <v>13.85643237854</v>
      </c>
      <c r="HF155" s="180" t="n">
        <v>13.92616806656</v>
      </c>
      <c r="HG155" s="180" t="n">
        <v>13.99590375458</v>
      </c>
      <c r="HH155" s="180" t="n">
        <v>14.0656394426</v>
      </c>
      <c r="HI155" s="180" t="n">
        <v>14.13537513062</v>
      </c>
      <c r="HJ155" s="180" t="n">
        <v>14.20511081864</v>
      </c>
      <c r="HK155" s="180" t="n">
        <v>14.27484650666</v>
      </c>
      <c r="HL155" s="180" t="n">
        <v>14.34458219468</v>
      </c>
      <c r="HM155" s="180" t="n">
        <v>14.4143178827</v>
      </c>
      <c r="HN155" s="180" t="n">
        <v>14.48405357072</v>
      </c>
      <c r="HO155" s="180" t="n">
        <v>14.55378925874</v>
      </c>
      <c r="HP155" s="180" t="n">
        <v>14.62352494676</v>
      </c>
      <c r="HQ155" s="180" t="n">
        <v>14.69326063478</v>
      </c>
      <c r="HR155" s="180" t="n">
        <v>14.7629963228</v>
      </c>
      <c r="HS155" s="180" t="n">
        <v>14.83273201082</v>
      </c>
      <c r="HT155" s="180" t="n">
        <v>14.90246769884</v>
      </c>
      <c r="HU155" s="180" t="n">
        <v>14.97220338686</v>
      </c>
      <c r="HV155" s="180" t="n">
        <v>15.04193907488</v>
      </c>
      <c r="HW155" s="180" t="n">
        <v>15.1116747629</v>
      </c>
      <c r="HX155" s="180" t="n">
        <v>15.18141045092</v>
      </c>
      <c r="HY155" s="180" t="n">
        <v>15.25114613894</v>
      </c>
      <c r="HZ155" s="180" t="n">
        <v>15.32088182696</v>
      </c>
      <c r="IA155" s="180" t="n">
        <v>15.39061751498</v>
      </c>
      <c r="IB155" s="180" t="n">
        <v>15.460353203</v>
      </c>
      <c r="IC155" s="180" t="n">
        <v>15.53008889102</v>
      </c>
      <c r="ID155" s="180" t="n">
        <v>15.59982457904</v>
      </c>
      <c r="IE155" s="180" t="n">
        <v>15.66956026706</v>
      </c>
      <c r="IF155" s="180" t="n">
        <v>15.73929595508</v>
      </c>
      <c r="IG155" s="180" t="n">
        <v>15.8090316431</v>
      </c>
      <c r="IH155" s="180" t="n">
        <v>15.87876733112</v>
      </c>
      <c r="II155" s="180" t="n">
        <v>15.94850301914</v>
      </c>
      <c r="IJ155" s="180" t="n">
        <v>16.01823870716</v>
      </c>
      <c r="IK155" s="180" t="n">
        <v>16.08797439518</v>
      </c>
      <c r="IL155" s="180" t="n">
        <v>16.1577100832</v>
      </c>
      <c r="IM155" s="180" t="n">
        <v>16.22744577122</v>
      </c>
      <c r="IN155" s="180" t="n">
        <v>16.29718145924</v>
      </c>
      <c r="IO155" s="180" t="n">
        <v>16.36691714726</v>
      </c>
      <c r="IP155" s="180" t="n">
        <v>16.43665283528</v>
      </c>
      <c r="IQ155" s="180" t="n">
        <v>16.5063885233</v>
      </c>
      <c r="IR155" s="180" t="n">
        <v>16.57612421132</v>
      </c>
      <c r="IS155" s="180" t="n">
        <v>16.64585989934</v>
      </c>
      <c r="IT155" s="180" t="n">
        <v>16.71559558736</v>
      </c>
      <c r="IU155" s="180" t="n">
        <v>16.78533127538</v>
      </c>
      <c r="IV155" s="180" t="n">
        <v>16.8550669634</v>
      </c>
    </row>
    <row r="156" customFormat="false" ht="12.75" hidden="false" customHeight="false" outlineLevel="0" collapsed="false">
      <c r="A156" s="189" t="n">
        <v>41426</v>
      </c>
      <c r="B156" s="185" t="n">
        <v>-2.021005929375</v>
      </c>
      <c r="C156" s="185" t="n">
        <v>-1.9907047400625</v>
      </c>
      <c r="D156" s="185" t="n">
        <v>-1.96040355075</v>
      </c>
      <c r="E156" s="185" t="n">
        <v>-1.9301023614375</v>
      </c>
      <c r="F156" s="185" t="n">
        <v>-1.899801172125</v>
      </c>
      <c r="G156" s="185" t="n">
        <v>-1.8694999828125</v>
      </c>
      <c r="H156" s="185" t="n">
        <v>-1.8391987935</v>
      </c>
      <c r="I156" s="185" t="n">
        <v>-1.8088976041875</v>
      </c>
      <c r="J156" s="185" t="n">
        <v>-1.778596414875</v>
      </c>
      <c r="K156" s="185" t="n">
        <v>-1.7482952255625</v>
      </c>
      <c r="L156" s="185" t="n">
        <v>-1.71799403625</v>
      </c>
      <c r="M156" s="185" t="n">
        <v>-1.6876928469375</v>
      </c>
      <c r="N156" s="185" t="n">
        <v>-1.657391657625</v>
      </c>
      <c r="O156" s="185" t="n">
        <v>-1.6270904683125</v>
      </c>
      <c r="P156" s="185" t="n">
        <v>-1.596789279</v>
      </c>
      <c r="Q156" s="185" t="n">
        <v>-1.5664880896875</v>
      </c>
      <c r="R156" s="185" t="n">
        <v>-1.536186900375</v>
      </c>
      <c r="S156" s="185" t="n">
        <v>-1.5058857110625</v>
      </c>
      <c r="T156" s="185" t="n">
        <v>-1.47558452175</v>
      </c>
      <c r="U156" s="185" t="n">
        <v>-1.4452833324375</v>
      </c>
      <c r="V156" s="186" t="n">
        <v>-1.414982143125</v>
      </c>
      <c r="W156" s="185" t="n">
        <v>-1.3846809538125</v>
      </c>
      <c r="X156" s="186" t="n">
        <v>-1.3543797645</v>
      </c>
      <c r="Y156" s="185" t="n">
        <v>-1.3240785751875</v>
      </c>
      <c r="Z156" s="186" t="n">
        <v>-1.293777385875</v>
      </c>
      <c r="AA156" s="185" t="n">
        <v>-1.2634761965625</v>
      </c>
      <c r="AB156" s="187" t="n">
        <v>-1.23317500725</v>
      </c>
      <c r="AC156" s="185" t="n">
        <v>-1.2028738179375</v>
      </c>
      <c r="AD156" s="187" t="n">
        <v>-1.172572628625</v>
      </c>
      <c r="AE156" s="185" t="n">
        <v>-1.1422714393125</v>
      </c>
      <c r="AF156" s="185" t="n">
        <v>-1.11197025</v>
      </c>
      <c r="AG156" s="190" t="n">
        <v>-1.083235125</v>
      </c>
      <c r="AH156" s="190" t="n">
        <v>-1.0545</v>
      </c>
      <c r="AI156" s="190" t="n">
        <v>-1.02725</v>
      </c>
      <c r="AJ156" s="190" t="n">
        <v>-1</v>
      </c>
      <c r="AK156" s="190" t="n">
        <v>-0.8</v>
      </c>
      <c r="AL156" s="190" t="n">
        <v>-0.6</v>
      </c>
      <c r="AM156" s="190" t="n">
        <v>-0.4</v>
      </c>
      <c r="AN156" s="190" t="n">
        <v>-0.2</v>
      </c>
      <c r="AO156" s="190" t="n">
        <v>0</v>
      </c>
      <c r="AP156" s="190" t="n">
        <v>0.2</v>
      </c>
      <c r="AQ156" s="190" t="n">
        <v>0.4</v>
      </c>
      <c r="AR156" s="190" t="n">
        <v>0.6</v>
      </c>
      <c r="AS156" s="190" t="n">
        <v>0.8</v>
      </c>
      <c r="AT156" s="190" t="n">
        <v>1</v>
      </c>
      <c r="AU156" s="190" t="n">
        <v>1.2</v>
      </c>
      <c r="AV156" s="190" t="n">
        <v>1.4</v>
      </c>
      <c r="AW156" s="190" t="n">
        <v>1.58</v>
      </c>
      <c r="AX156" s="190" t="n">
        <v>1.76</v>
      </c>
      <c r="AY156" s="190" t="n">
        <v>1.922</v>
      </c>
      <c r="AZ156" s="190" t="n">
        <v>2.084</v>
      </c>
      <c r="BA156" s="190" t="n">
        <v>2.2298</v>
      </c>
      <c r="BB156" s="190" t="n">
        <v>2.3756</v>
      </c>
      <c r="BC156" s="190" t="n">
        <v>2.50682</v>
      </c>
      <c r="BD156" s="190" t="n">
        <v>2.63804</v>
      </c>
      <c r="BE156" s="190" t="n">
        <v>2.756138</v>
      </c>
      <c r="BF156" s="190" t="n">
        <v>2.874236</v>
      </c>
      <c r="BG156" s="190" t="n">
        <v>2.9805242</v>
      </c>
      <c r="BH156" s="190" t="n">
        <v>3.0868124</v>
      </c>
      <c r="BI156" s="190" t="n">
        <v>3.18247178</v>
      </c>
      <c r="BJ156" s="190" t="n">
        <v>3.27813116</v>
      </c>
      <c r="BK156" s="190" t="n">
        <v>3.364224602</v>
      </c>
      <c r="BL156" s="190" t="n">
        <v>3.450318044</v>
      </c>
      <c r="BM156" s="190" t="n">
        <v>3.5278021418</v>
      </c>
      <c r="BN156" s="190" t="n">
        <v>3.6052862396</v>
      </c>
      <c r="BO156" s="190" t="n">
        <v>3.67502192762</v>
      </c>
      <c r="BP156" s="190" t="n">
        <v>3.74475761564</v>
      </c>
      <c r="BQ156" s="190" t="n">
        <v>3.81449330366</v>
      </c>
      <c r="BR156" s="190" t="n">
        <v>3.88422899168</v>
      </c>
      <c r="BS156" s="190" t="n">
        <v>3.9539646797</v>
      </c>
      <c r="BT156" s="190" t="n">
        <v>4.02370036772</v>
      </c>
      <c r="BU156" s="190" t="n">
        <v>4.09343605574</v>
      </c>
      <c r="BV156" s="190" t="n">
        <v>4.16317174376</v>
      </c>
      <c r="BW156" s="190" t="n">
        <v>4.23290743178</v>
      </c>
      <c r="BX156" s="190" t="n">
        <v>4.3026431198</v>
      </c>
      <c r="BY156" s="190" t="n">
        <v>4.37237880782</v>
      </c>
      <c r="BZ156" s="190" t="n">
        <v>4.44211449584</v>
      </c>
      <c r="CA156" s="190" t="n">
        <v>4.51185018386</v>
      </c>
      <c r="CB156" s="190" t="n">
        <v>4.58158587188</v>
      </c>
      <c r="CC156" s="190" t="n">
        <v>4.6513215599</v>
      </c>
      <c r="CD156" s="190" t="n">
        <v>4.72105724792</v>
      </c>
      <c r="CE156" s="190" t="n">
        <v>4.79079293594</v>
      </c>
      <c r="CF156" s="190" t="n">
        <v>4.86052862396</v>
      </c>
      <c r="CG156" s="190" t="n">
        <v>4.93026431198</v>
      </c>
      <c r="CH156" s="190" t="n">
        <v>5</v>
      </c>
      <c r="CI156" s="190" t="n">
        <v>5.06973568801999</v>
      </c>
      <c r="CJ156" s="190" t="n">
        <v>5.13947137603999</v>
      </c>
      <c r="CK156" s="190" t="n">
        <v>5.20920706405999</v>
      </c>
      <c r="CL156" s="190" t="n">
        <v>5.27894275207999</v>
      </c>
      <c r="CM156" s="190" t="n">
        <v>5.34867844009999</v>
      </c>
      <c r="CN156" s="190" t="n">
        <v>5.41841412811999</v>
      </c>
      <c r="CO156" s="190" t="n">
        <v>5.48814981613999</v>
      </c>
      <c r="CP156" s="190" t="n">
        <v>5.55788550415999</v>
      </c>
      <c r="CQ156" s="190" t="n">
        <v>5.62762119217999</v>
      </c>
      <c r="CR156" s="190" t="n">
        <v>5.69735688019999</v>
      </c>
      <c r="CS156" s="190" t="n">
        <v>5.76709256821999</v>
      </c>
      <c r="CT156" s="190" t="n">
        <v>5.83682825623999</v>
      </c>
      <c r="CU156" s="190" t="n">
        <v>5.90656394425999</v>
      </c>
      <c r="CV156" s="190" t="n">
        <v>5.97629963227999</v>
      </c>
      <c r="CW156" s="190" t="n">
        <v>6.04603532029999</v>
      </c>
      <c r="CX156" s="190" t="n">
        <v>6.11577100831999</v>
      </c>
      <c r="CY156" s="190" t="n">
        <v>6.18550669633999</v>
      </c>
      <c r="CZ156" s="190" t="n">
        <v>6.25524238435999</v>
      </c>
      <c r="DA156" s="190" t="n">
        <v>6.32497807237999</v>
      </c>
      <c r="DB156" s="190" t="n">
        <v>6.39471376039999</v>
      </c>
      <c r="DC156" s="190" t="n">
        <v>6.46444944841999</v>
      </c>
      <c r="DD156" s="190" t="n">
        <v>6.53418513643999</v>
      </c>
      <c r="DE156" s="190" t="n">
        <v>6.60392082445999</v>
      </c>
      <c r="DF156" s="190" t="n">
        <v>6.67365651247999</v>
      </c>
      <c r="DG156" s="190" t="n">
        <v>6.74339220049999</v>
      </c>
      <c r="DH156" s="190" t="n">
        <v>6.81312788851999</v>
      </c>
      <c r="DI156" s="190" t="n">
        <v>6.88286357653999</v>
      </c>
      <c r="DJ156" s="190" t="n">
        <v>6.95259926455999</v>
      </c>
      <c r="DK156" s="190" t="n">
        <v>7.02233495257999</v>
      </c>
      <c r="DL156" s="190" t="n">
        <v>7.09207064059999</v>
      </c>
      <c r="DM156" s="190" t="n">
        <v>7.16180632861999</v>
      </c>
      <c r="DN156" s="190" t="n">
        <v>7.23154201663999</v>
      </c>
      <c r="DO156" s="190" t="n">
        <v>7.30127770465999</v>
      </c>
      <c r="DP156" s="190" t="n">
        <v>7.37101339267999</v>
      </c>
      <c r="DQ156" s="190" t="n">
        <v>7.44074908069999</v>
      </c>
      <c r="DR156" s="190" t="n">
        <v>7.51048476871999</v>
      </c>
      <c r="DS156" s="190" t="n">
        <v>7.58022045673999</v>
      </c>
      <c r="DT156" s="190" t="n">
        <v>7.64995614475999</v>
      </c>
      <c r="DU156" s="190" t="n">
        <v>7.71969183277999</v>
      </c>
      <c r="DV156" s="190" t="n">
        <v>7.78942752079998</v>
      </c>
      <c r="DW156" s="190" t="n">
        <v>7.85916320881998</v>
      </c>
      <c r="DX156" s="190" t="n">
        <v>7.92889889683998</v>
      </c>
      <c r="DY156" s="190" t="n">
        <v>7.99863458485998</v>
      </c>
      <c r="DZ156" s="190" t="n">
        <v>8.06837027287998</v>
      </c>
      <c r="EA156" s="190" t="n">
        <v>8.13810596089998</v>
      </c>
      <c r="EB156" s="190" t="n">
        <v>8.20784164891998</v>
      </c>
      <c r="EC156" s="190" t="n">
        <v>8.27757733693998</v>
      </c>
      <c r="ED156" s="190" t="n">
        <v>8.34731302495998</v>
      </c>
      <c r="EE156" s="190" t="n">
        <v>8.41704871297998</v>
      </c>
      <c r="EF156" s="190" t="n">
        <v>8.48678440099998</v>
      </c>
      <c r="EG156" s="190" t="n">
        <v>8.55652008901998</v>
      </c>
      <c r="EH156" s="190" t="n">
        <v>8.62625577703998</v>
      </c>
      <c r="EI156" s="190" t="n">
        <v>8.69599146505998</v>
      </c>
      <c r="EJ156" s="190" t="n">
        <v>8.76572715307998</v>
      </c>
      <c r="EK156" s="190" t="n">
        <v>8.83546284109998</v>
      </c>
      <c r="EL156" s="180" t="n">
        <v>8.90519852911998</v>
      </c>
      <c r="EM156" s="180" t="n">
        <v>8.97493421713998</v>
      </c>
      <c r="EN156" s="180" t="n">
        <v>9.04466990515998</v>
      </c>
      <c r="EO156" s="180" t="n">
        <v>9.11440559317998</v>
      </c>
      <c r="EP156" s="180" t="n">
        <v>9.18414128119998</v>
      </c>
      <c r="EQ156" s="180" t="n">
        <v>9.25387696921998</v>
      </c>
      <c r="ER156" s="180" t="n">
        <v>9.32361265723998</v>
      </c>
      <c r="ES156" s="180" t="n">
        <v>9.39334834525998</v>
      </c>
      <c r="ET156" s="180" t="n">
        <v>9.46308403327998</v>
      </c>
      <c r="EU156" s="180" t="n">
        <v>9.53281972129998</v>
      </c>
      <c r="EV156" s="180" t="n">
        <v>9.60255540931998</v>
      </c>
      <c r="EW156" s="180" t="n">
        <v>9.67229109733998</v>
      </c>
      <c r="EX156" s="180" t="n">
        <v>9.74202678535998</v>
      </c>
      <c r="EY156" s="180" t="n">
        <v>9.81176247337998</v>
      </c>
      <c r="EZ156" s="180" t="n">
        <v>9.88149816139998</v>
      </c>
      <c r="FA156" s="180" t="n">
        <v>9.95123384941998</v>
      </c>
      <c r="FB156" s="180" t="n">
        <v>10.02096953744</v>
      </c>
      <c r="FC156" s="180" t="n">
        <v>10.09070522546</v>
      </c>
      <c r="FD156" s="180" t="n">
        <v>10.16044091348</v>
      </c>
      <c r="FE156" s="180" t="n">
        <v>10.2301766015</v>
      </c>
      <c r="FF156" s="180" t="n">
        <v>10.29991228952</v>
      </c>
      <c r="FG156" s="180" t="n">
        <v>10.36964797754</v>
      </c>
      <c r="FH156" s="180" t="n">
        <v>10.43938366556</v>
      </c>
      <c r="FI156" s="180" t="n">
        <v>10.50911935358</v>
      </c>
      <c r="FJ156" s="180" t="n">
        <v>10.5788550416</v>
      </c>
      <c r="FK156" s="180" t="n">
        <v>10.64859072962</v>
      </c>
      <c r="FL156" s="180" t="n">
        <v>10.71832641764</v>
      </c>
      <c r="FM156" s="180" t="n">
        <v>10.78806210566</v>
      </c>
      <c r="FN156" s="180" t="n">
        <v>10.85779779368</v>
      </c>
      <c r="FO156" s="180" t="n">
        <v>10.9275334817</v>
      </c>
      <c r="FP156" s="180" t="n">
        <v>10.99726916972</v>
      </c>
      <c r="FQ156" s="180" t="n">
        <v>11.06700485774</v>
      </c>
      <c r="FR156" s="180" t="n">
        <v>11.13674054576</v>
      </c>
      <c r="FS156" s="180" t="n">
        <v>11.20647623378</v>
      </c>
      <c r="FT156" s="180" t="n">
        <v>11.2762119218</v>
      </c>
      <c r="FU156" s="180" t="n">
        <v>11.34594760982</v>
      </c>
      <c r="FV156" s="180" t="n">
        <v>11.41568329784</v>
      </c>
      <c r="FW156" s="180" t="n">
        <v>11.48541898586</v>
      </c>
      <c r="FX156" s="180" t="n">
        <v>11.55515467388</v>
      </c>
      <c r="FY156" s="180" t="n">
        <v>11.6248903619</v>
      </c>
      <c r="FZ156" s="180" t="n">
        <v>11.69462604992</v>
      </c>
      <c r="GA156" s="180" t="n">
        <v>11.76436173794</v>
      </c>
      <c r="GB156" s="180" t="n">
        <v>11.83409742596</v>
      </c>
      <c r="GC156" s="180" t="n">
        <v>11.90383311398</v>
      </c>
      <c r="GD156" s="180" t="n">
        <v>11.973568802</v>
      </c>
      <c r="GE156" s="180" t="n">
        <v>12.04330449002</v>
      </c>
      <c r="GF156" s="180" t="n">
        <v>12.11304017804</v>
      </c>
      <c r="GG156" s="180" t="n">
        <v>12.18277586606</v>
      </c>
      <c r="GH156" s="180" t="n">
        <v>12.25251155408</v>
      </c>
      <c r="GI156" s="180" t="n">
        <v>12.3222472421</v>
      </c>
      <c r="GJ156" s="180" t="n">
        <v>12.39198293012</v>
      </c>
      <c r="GK156" s="180" t="n">
        <v>12.46171861814</v>
      </c>
      <c r="GL156" s="180" t="n">
        <v>12.53145430616</v>
      </c>
      <c r="GM156" s="180" t="n">
        <v>12.60118999418</v>
      </c>
      <c r="GN156" s="180" t="n">
        <v>12.6709256822</v>
      </c>
      <c r="GO156" s="180" t="n">
        <v>12.74066137022</v>
      </c>
      <c r="GP156" s="180" t="n">
        <v>12.81039705824</v>
      </c>
      <c r="GQ156" s="180" t="n">
        <v>12.88013274626</v>
      </c>
      <c r="GR156" s="180" t="n">
        <v>12.94986843428</v>
      </c>
      <c r="GS156" s="180" t="n">
        <v>13.0196041223</v>
      </c>
      <c r="GT156" s="180" t="n">
        <v>13.08933981032</v>
      </c>
      <c r="GU156" s="180" t="n">
        <v>13.15907549834</v>
      </c>
      <c r="GV156" s="180" t="n">
        <v>13.22881118636</v>
      </c>
      <c r="GW156" s="180" t="n">
        <v>13.29854687438</v>
      </c>
      <c r="GX156" s="180" t="n">
        <v>13.3682825624</v>
      </c>
      <c r="GY156" s="180" t="n">
        <v>13.43801825042</v>
      </c>
      <c r="GZ156" s="180" t="n">
        <v>13.50775393844</v>
      </c>
      <c r="HA156" s="180" t="n">
        <v>13.57748962646</v>
      </c>
      <c r="HB156" s="180" t="n">
        <v>13.64722531448</v>
      </c>
      <c r="HC156" s="180" t="n">
        <v>13.7169610025</v>
      </c>
      <c r="HD156" s="180" t="n">
        <v>13.78669669052</v>
      </c>
      <c r="HE156" s="180" t="n">
        <v>13.85643237854</v>
      </c>
      <c r="HF156" s="180" t="n">
        <v>13.92616806656</v>
      </c>
      <c r="HG156" s="180" t="n">
        <v>13.99590375458</v>
      </c>
      <c r="HH156" s="180" t="n">
        <v>14.0656394426</v>
      </c>
      <c r="HI156" s="180" t="n">
        <v>14.13537513062</v>
      </c>
      <c r="HJ156" s="180" t="n">
        <v>14.20511081864</v>
      </c>
      <c r="HK156" s="180" t="n">
        <v>14.27484650666</v>
      </c>
      <c r="HL156" s="180" t="n">
        <v>14.34458219468</v>
      </c>
      <c r="HM156" s="180" t="n">
        <v>14.4143178827</v>
      </c>
      <c r="HN156" s="180" t="n">
        <v>14.48405357072</v>
      </c>
      <c r="HO156" s="180" t="n">
        <v>14.55378925874</v>
      </c>
      <c r="HP156" s="180" t="n">
        <v>14.62352494676</v>
      </c>
      <c r="HQ156" s="180" t="n">
        <v>14.69326063478</v>
      </c>
      <c r="HR156" s="180" t="n">
        <v>14.7629963228</v>
      </c>
      <c r="HS156" s="180" t="n">
        <v>14.83273201082</v>
      </c>
      <c r="HT156" s="180" t="n">
        <v>14.90246769884</v>
      </c>
      <c r="HU156" s="180" t="n">
        <v>14.97220338686</v>
      </c>
      <c r="HV156" s="180" t="n">
        <v>15.04193907488</v>
      </c>
      <c r="HW156" s="180" t="n">
        <v>15.1116747629</v>
      </c>
      <c r="HX156" s="180" t="n">
        <v>15.18141045092</v>
      </c>
      <c r="HY156" s="180" t="n">
        <v>15.25114613894</v>
      </c>
      <c r="HZ156" s="180" t="n">
        <v>15.32088182696</v>
      </c>
      <c r="IA156" s="180" t="n">
        <v>15.39061751498</v>
      </c>
      <c r="IB156" s="180" t="n">
        <v>15.460353203</v>
      </c>
      <c r="IC156" s="180" t="n">
        <v>15.53008889102</v>
      </c>
      <c r="ID156" s="180" t="n">
        <v>15.59982457904</v>
      </c>
      <c r="IE156" s="180" t="n">
        <v>15.66956026706</v>
      </c>
      <c r="IF156" s="180" t="n">
        <v>15.73929595508</v>
      </c>
      <c r="IG156" s="180" t="n">
        <v>15.8090316431</v>
      </c>
      <c r="IH156" s="180" t="n">
        <v>15.87876733112</v>
      </c>
      <c r="II156" s="180" t="n">
        <v>15.94850301914</v>
      </c>
      <c r="IJ156" s="180" t="n">
        <v>16.01823870716</v>
      </c>
      <c r="IK156" s="180" t="n">
        <v>16.08797439518</v>
      </c>
      <c r="IL156" s="180" t="n">
        <v>16.1577100832</v>
      </c>
      <c r="IM156" s="180" t="n">
        <v>16.22744577122</v>
      </c>
      <c r="IN156" s="180" t="n">
        <v>16.29718145924</v>
      </c>
      <c r="IO156" s="180" t="n">
        <v>16.36691714726</v>
      </c>
      <c r="IP156" s="180" t="n">
        <v>16.43665283528</v>
      </c>
      <c r="IQ156" s="180" t="n">
        <v>16.5063885233</v>
      </c>
      <c r="IR156" s="180" t="n">
        <v>16.57612421132</v>
      </c>
      <c r="IS156" s="180" t="n">
        <v>16.64585989934</v>
      </c>
      <c r="IT156" s="180" t="n">
        <v>16.71559558736</v>
      </c>
      <c r="IU156" s="180" t="n">
        <v>16.78533127538</v>
      </c>
      <c r="IV156" s="180" t="n">
        <v>16.8550669634</v>
      </c>
    </row>
    <row r="157" customFormat="false" ht="12.75" hidden="false" customHeight="false" outlineLevel="0" collapsed="false">
      <c r="A157" s="189" t="n">
        <v>41456</v>
      </c>
      <c r="B157" s="185" t="n">
        <v>-2.021005929375</v>
      </c>
      <c r="C157" s="185" t="n">
        <v>-1.9907047400625</v>
      </c>
      <c r="D157" s="185" t="n">
        <v>-1.96040355075</v>
      </c>
      <c r="E157" s="185" t="n">
        <v>-1.9301023614375</v>
      </c>
      <c r="F157" s="185" t="n">
        <v>-1.899801172125</v>
      </c>
      <c r="G157" s="185" t="n">
        <v>-1.8694999828125</v>
      </c>
      <c r="H157" s="185" t="n">
        <v>-1.8391987935</v>
      </c>
      <c r="I157" s="185" t="n">
        <v>-1.8088976041875</v>
      </c>
      <c r="J157" s="185" t="n">
        <v>-1.778596414875</v>
      </c>
      <c r="K157" s="185" t="n">
        <v>-1.7482952255625</v>
      </c>
      <c r="L157" s="185" t="n">
        <v>-1.71799403625</v>
      </c>
      <c r="M157" s="185" t="n">
        <v>-1.6876928469375</v>
      </c>
      <c r="N157" s="185" t="n">
        <v>-1.657391657625</v>
      </c>
      <c r="O157" s="185" t="n">
        <v>-1.6270904683125</v>
      </c>
      <c r="P157" s="185" t="n">
        <v>-1.596789279</v>
      </c>
      <c r="Q157" s="185" t="n">
        <v>-1.5664880896875</v>
      </c>
      <c r="R157" s="185" t="n">
        <v>-1.536186900375</v>
      </c>
      <c r="S157" s="185" t="n">
        <v>-1.5058857110625</v>
      </c>
      <c r="T157" s="185" t="n">
        <v>-1.47558452175</v>
      </c>
      <c r="U157" s="185" t="n">
        <v>-1.4452833324375</v>
      </c>
      <c r="V157" s="186" t="n">
        <v>-1.414982143125</v>
      </c>
      <c r="W157" s="185" t="n">
        <v>-1.3846809538125</v>
      </c>
      <c r="X157" s="186" t="n">
        <v>-1.3543797645</v>
      </c>
      <c r="Y157" s="185" t="n">
        <v>-1.3240785751875</v>
      </c>
      <c r="Z157" s="186" t="n">
        <v>-1.293777385875</v>
      </c>
      <c r="AA157" s="185" t="n">
        <v>-1.2634761965625</v>
      </c>
      <c r="AB157" s="187" t="n">
        <v>-1.23317500725</v>
      </c>
      <c r="AC157" s="185" t="n">
        <v>-1.2028738179375</v>
      </c>
      <c r="AD157" s="187" t="n">
        <v>-1.172572628625</v>
      </c>
      <c r="AE157" s="185" t="n">
        <v>-1.1422714393125</v>
      </c>
      <c r="AF157" s="185" t="n">
        <v>-1.11197025</v>
      </c>
      <c r="AG157" s="190" t="n">
        <v>-1.083235125</v>
      </c>
      <c r="AH157" s="190" t="n">
        <v>-1.0545</v>
      </c>
      <c r="AI157" s="190" t="n">
        <v>-1.02725</v>
      </c>
      <c r="AJ157" s="190" t="n">
        <v>-1</v>
      </c>
      <c r="AK157" s="190" t="n">
        <v>-0.8</v>
      </c>
      <c r="AL157" s="190" t="n">
        <v>-0.6</v>
      </c>
      <c r="AM157" s="190" t="n">
        <v>-0.4</v>
      </c>
      <c r="AN157" s="190" t="n">
        <v>-0.2</v>
      </c>
      <c r="AO157" s="190" t="n">
        <v>0</v>
      </c>
      <c r="AP157" s="190" t="n">
        <v>0.2</v>
      </c>
      <c r="AQ157" s="190" t="n">
        <v>0.4</v>
      </c>
      <c r="AR157" s="190" t="n">
        <v>0.6</v>
      </c>
      <c r="AS157" s="190" t="n">
        <v>0.8</v>
      </c>
      <c r="AT157" s="190" t="n">
        <v>1</v>
      </c>
      <c r="AU157" s="190" t="n">
        <v>1.2</v>
      </c>
      <c r="AV157" s="190" t="n">
        <v>1.4</v>
      </c>
      <c r="AW157" s="190" t="n">
        <v>1.58</v>
      </c>
      <c r="AX157" s="190" t="n">
        <v>1.76</v>
      </c>
      <c r="AY157" s="190" t="n">
        <v>1.922</v>
      </c>
      <c r="AZ157" s="190" t="n">
        <v>2.084</v>
      </c>
      <c r="BA157" s="190" t="n">
        <v>2.2298</v>
      </c>
      <c r="BB157" s="190" t="n">
        <v>2.3756</v>
      </c>
      <c r="BC157" s="190" t="n">
        <v>2.50682</v>
      </c>
      <c r="BD157" s="190" t="n">
        <v>2.63804</v>
      </c>
      <c r="BE157" s="190" t="n">
        <v>2.756138</v>
      </c>
      <c r="BF157" s="190" t="n">
        <v>2.874236</v>
      </c>
      <c r="BG157" s="190" t="n">
        <v>2.9805242</v>
      </c>
      <c r="BH157" s="190" t="n">
        <v>3.0868124</v>
      </c>
      <c r="BI157" s="190" t="n">
        <v>3.18247178</v>
      </c>
      <c r="BJ157" s="190" t="n">
        <v>3.27813116</v>
      </c>
      <c r="BK157" s="190" t="n">
        <v>3.364224602</v>
      </c>
      <c r="BL157" s="190" t="n">
        <v>3.450318044</v>
      </c>
      <c r="BM157" s="190" t="n">
        <v>3.5278021418</v>
      </c>
      <c r="BN157" s="190" t="n">
        <v>3.6052862396</v>
      </c>
      <c r="BO157" s="190" t="n">
        <v>3.67502192762</v>
      </c>
      <c r="BP157" s="190" t="n">
        <v>3.74475761564</v>
      </c>
      <c r="BQ157" s="190" t="n">
        <v>3.81449330366</v>
      </c>
      <c r="BR157" s="190" t="n">
        <v>3.88422899168</v>
      </c>
      <c r="BS157" s="190" t="n">
        <v>3.9539646797</v>
      </c>
      <c r="BT157" s="190" t="n">
        <v>4.02370036772</v>
      </c>
      <c r="BU157" s="190" t="n">
        <v>4.09343605574</v>
      </c>
      <c r="BV157" s="190" t="n">
        <v>4.16317174376</v>
      </c>
      <c r="BW157" s="190" t="n">
        <v>4.23290743178</v>
      </c>
      <c r="BX157" s="190" t="n">
        <v>4.3026431198</v>
      </c>
      <c r="BY157" s="190" t="n">
        <v>4.37237880782</v>
      </c>
      <c r="BZ157" s="190" t="n">
        <v>4.44211449584</v>
      </c>
      <c r="CA157" s="190" t="n">
        <v>4.51185018386</v>
      </c>
      <c r="CB157" s="190" t="n">
        <v>4.58158587188</v>
      </c>
      <c r="CC157" s="190" t="n">
        <v>4.6513215599</v>
      </c>
      <c r="CD157" s="190" t="n">
        <v>4.72105724792</v>
      </c>
      <c r="CE157" s="190" t="n">
        <v>4.79079293594</v>
      </c>
      <c r="CF157" s="190" t="n">
        <v>4.86052862396</v>
      </c>
      <c r="CG157" s="190" t="n">
        <v>4.93026431198</v>
      </c>
      <c r="CH157" s="190" t="n">
        <v>5</v>
      </c>
      <c r="CI157" s="190" t="n">
        <v>5.06973568801999</v>
      </c>
      <c r="CJ157" s="190" t="n">
        <v>5.13947137603999</v>
      </c>
      <c r="CK157" s="190" t="n">
        <v>5.20920706405999</v>
      </c>
      <c r="CL157" s="190" t="n">
        <v>5.27894275207999</v>
      </c>
      <c r="CM157" s="190" t="n">
        <v>5.34867844009999</v>
      </c>
      <c r="CN157" s="190" t="n">
        <v>5.41841412811999</v>
      </c>
      <c r="CO157" s="190" t="n">
        <v>5.48814981613999</v>
      </c>
      <c r="CP157" s="190" t="n">
        <v>5.55788550415999</v>
      </c>
      <c r="CQ157" s="190" t="n">
        <v>5.62762119217999</v>
      </c>
      <c r="CR157" s="190" t="n">
        <v>5.69735688019999</v>
      </c>
      <c r="CS157" s="190" t="n">
        <v>5.76709256821999</v>
      </c>
      <c r="CT157" s="190" t="n">
        <v>5.83682825623999</v>
      </c>
      <c r="CU157" s="190" t="n">
        <v>5.90656394425999</v>
      </c>
      <c r="CV157" s="190" t="n">
        <v>5.97629963227999</v>
      </c>
      <c r="CW157" s="190" t="n">
        <v>6.04603532029999</v>
      </c>
      <c r="CX157" s="190" t="n">
        <v>6.11577100831999</v>
      </c>
      <c r="CY157" s="190" t="n">
        <v>6.18550669633999</v>
      </c>
      <c r="CZ157" s="190" t="n">
        <v>6.25524238435999</v>
      </c>
      <c r="DA157" s="190" t="n">
        <v>6.32497807237999</v>
      </c>
      <c r="DB157" s="190" t="n">
        <v>6.39471376039999</v>
      </c>
      <c r="DC157" s="190" t="n">
        <v>6.46444944841999</v>
      </c>
      <c r="DD157" s="190" t="n">
        <v>6.53418513643999</v>
      </c>
      <c r="DE157" s="190" t="n">
        <v>6.60392082445999</v>
      </c>
      <c r="DF157" s="190" t="n">
        <v>6.67365651247999</v>
      </c>
      <c r="DG157" s="190" t="n">
        <v>6.74339220049999</v>
      </c>
      <c r="DH157" s="190" t="n">
        <v>6.81312788851999</v>
      </c>
      <c r="DI157" s="190" t="n">
        <v>6.88286357653999</v>
      </c>
      <c r="DJ157" s="190" t="n">
        <v>6.95259926455999</v>
      </c>
      <c r="DK157" s="190" t="n">
        <v>7.02233495257999</v>
      </c>
      <c r="DL157" s="190" t="n">
        <v>7.09207064059999</v>
      </c>
      <c r="DM157" s="190" t="n">
        <v>7.16180632861999</v>
      </c>
      <c r="DN157" s="190" t="n">
        <v>7.23154201663999</v>
      </c>
      <c r="DO157" s="190" t="n">
        <v>7.30127770465999</v>
      </c>
      <c r="DP157" s="190" t="n">
        <v>7.37101339267999</v>
      </c>
      <c r="DQ157" s="190" t="n">
        <v>7.44074908069999</v>
      </c>
      <c r="DR157" s="190" t="n">
        <v>7.51048476871999</v>
      </c>
      <c r="DS157" s="190" t="n">
        <v>7.58022045673999</v>
      </c>
      <c r="DT157" s="190" t="n">
        <v>7.64995614475999</v>
      </c>
      <c r="DU157" s="190" t="n">
        <v>7.71969183277999</v>
      </c>
      <c r="DV157" s="190" t="n">
        <v>7.78942752079998</v>
      </c>
      <c r="DW157" s="190" t="n">
        <v>7.85916320881998</v>
      </c>
      <c r="DX157" s="190" t="n">
        <v>7.92889889683998</v>
      </c>
      <c r="DY157" s="190" t="n">
        <v>7.99863458485998</v>
      </c>
      <c r="DZ157" s="190" t="n">
        <v>8.06837027287998</v>
      </c>
      <c r="EA157" s="190" t="n">
        <v>8.13810596089998</v>
      </c>
      <c r="EB157" s="190" t="n">
        <v>8.20784164891998</v>
      </c>
      <c r="EC157" s="190" t="n">
        <v>8.27757733693998</v>
      </c>
      <c r="ED157" s="190" t="n">
        <v>8.34731302495998</v>
      </c>
      <c r="EE157" s="190" t="n">
        <v>8.41704871297998</v>
      </c>
      <c r="EF157" s="190" t="n">
        <v>8.48678440099998</v>
      </c>
      <c r="EG157" s="190" t="n">
        <v>8.55652008901998</v>
      </c>
      <c r="EH157" s="190" t="n">
        <v>8.62625577703998</v>
      </c>
      <c r="EI157" s="190" t="n">
        <v>8.69599146505998</v>
      </c>
      <c r="EJ157" s="190" t="n">
        <v>8.76572715307998</v>
      </c>
      <c r="EK157" s="190" t="n">
        <v>8.83546284109998</v>
      </c>
      <c r="EL157" s="180" t="n">
        <v>8.90519852911998</v>
      </c>
      <c r="EM157" s="180" t="n">
        <v>8.97493421713998</v>
      </c>
      <c r="EN157" s="180" t="n">
        <v>9.04466990515998</v>
      </c>
      <c r="EO157" s="180" t="n">
        <v>9.11440559317998</v>
      </c>
      <c r="EP157" s="180" t="n">
        <v>9.18414128119998</v>
      </c>
      <c r="EQ157" s="180" t="n">
        <v>9.25387696921998</v>
      </c>
      <c r="ER157" s="180" t="n">
        <v>9.32361265723998</v>
      </c>
      <c r="ES157" s="180" t="n">
        <v>9.39334834525998</v>
      </c>
      <c r="ET157" s="180" t="n">
        <v>9.46308403327998</v>
      </c>
      <c r="EU157" s="180" t="n">
        <v>9.53281972129998</v>
      </c>
      <c r="EV157" s="180" t="n">
        <v>9.60255540931998</v>
      </c>
      <c r="EW157" s="180" t="n">
        <v>9.67229109733998</v>
      </c>
      <c r="EX157" s="180" t="n">
        <v>9.74202678535998</v>
      </c>
      <c r="EY157" s="180" t="n">
        <v>9.81176247337998</v>
      </c>
      <c r="EZ157" s="180" t="n">
        <v>9.88149816139998</v>
      </c>
      <c r="FA157" s="180" t="n">
        <v>9.95123384941998</v>
      </c>
      <c r="FB157" s="180" t="n">
        <v>10.02096953744</v>
      </c>
      <c r="FC157" s="180" t="n">
        <v>10.09070522546</v>
      </c>
      <c r="FD157" s="180" t="n">
        <v>10.16044091348</v>
      </c>
      <c r="FE157" s="180" t="n">
        <v>10.2301766015</v>
      </c>
      <c r="FF157" s="180" t="n">
        <v>10.29991228952</v>
      </c>
      <c r="FG157" s="180" t="n">
        <v>10.36964797754</v>
      </c>
      <c r="FH157" s="180" t="n">
        <v>10.43938366556</v>
      </c>
      <c r="FI157" s="180" t="n">
        <v>10.50911935358</v>
      </c>
      <c r="FJ157" s="180" t="n">
        <v>10.5788550416</v>
      </c>
      <c r="FK157" s="180" t="n">
        <v>10.64859072962</v>
      </c>
      <c r="FL157" s="180" t="n">
        <v>10.71832641764</v>
      </c>
      <c r="FM157" s="180" t="n">
        <v>10.78806210566</v>
      </c>
      <c r="FN157" s="180" t="n">
        <v>10.85779779368</v>
      </c>
      <c r="FO157" s="180" t="n">
        <v>10.9275334817</v>
      </c>
      <c r="FP157" s="180" t="n">
        <v>10.99726916972</v>
      </c>
      <c r="FQ157" s="180" t="n">
        <v>11.06700485774</v>
      </c>
      <c r="FR157" s="180" t="n">
        <v>11.13674054576</v>
      </c>
      <c r="FS157" s="180" t="n">
        <v>11.20647623378</v>
      </c>
      <c r="FT157" s="180" t="n">
        <v>11.2762119218</v>
      </c>
      <c r="FU157" s="180" t="n">
        <v>11.34594760982</v>
      </c>
      <c r="FV157" s="180" t="n">
        <v>11.41568329784</v>
      </c>
      <c r="FW157" s="180" t="n">
        <v>11.48541898586</v>
      </c>
      <c r="FX157" s="180" t="n">
        <v>11.55515467388</v>
      </c>
      <c r="FY157" s="180" t="n">
        <v>11.6248903619</v>
      </c>
      <c r="FZ157" s="180" t="n">
        <v>11.69462604992</v>
      </c>
      <c r="GA157" s="180" t="n">
        <v>11.76436173794</v>
      </c>
      <c r="GB157" s="180" t="n">
        <v>11.83409742596</v>
      </c>
      <c r="GC157" s="180" t="n">
        <v>11.90383311398</v>
      </c>
      <c r="GD157" s="180" t="n">
        <v>11.973568802</v>
      </c>
      <c r="GE157" s="180" t="n">
        <v>12.04330449002</v>
      </c>
      <c r="GF157" s="180" t="n">
        <v>12.11304017804</v>
      </c>
      <c r="GG157" s="180" t="n">
        <v>12.18277586606</v>
      </c>
      <c r="GH157" s="180" t="n">
        <v>12.25251155408</v>
      </c>
      <c r="GI157" s="180" t="n">
        <v>12.3222472421</v>
      </c>
      <c r="GJ157" s="180" t="n">
        <v>12.39198293012</v>
      </c>
      <c r="GK157" s="180" t="n">
        <v>12.46171861814</v>
      </c>
      <c r="GL157" s="180" t="n">
        <v>12.53145430616</v>
      </c>
      <c r="GM157" s="180" t="n">
        <v>12.60118999418</v>
      </c>
      <c r="GN157" s="180" t="n">
        <v>12.6709256822</v>
      </c>
      <c r="GO157" s="180" t="n">
        <v>12.74066137022</v>
      </c>
      <c r="GP157" s="180" t="n">
        <v>12.81039705824</v>
      </c>
      <c r="GQ157" s="180" t="n">
        <v>12.88013274626</v>
      </c>
      <c r="GR157" s="180" t="n">
        <v>12.94986843428</v>
      </c>
      <c r="GS157" s="180" t="n">
        <v>13.0196041223</v>
      </c>
      <c r="GT157" s="180" t="n">
        <v>13.08933981032</v>
      </c>
      <c r="GU157" s="180" t="n">
        <v>13.15907549834</v>
      </c>
      <c r="GV157" s="180" t="n">
        <v>13.22881118636</v>
      </c>
      <c r="GW157" s="180" t="n">
        <v>13.29854687438</v>
      </c>
      <c r="GX157" s="180" t="n">
        <v>13.3682825624</v>
      </c>
      <c r="GY157" s="180" t="n">
        <v>13.43801825042</v>
      </c>
      <c r="GZ157" s="180" t="n">
        <v>13.50775393844</v>
      </c>
      <c r="HA157" s="180" t="n">
        <v>13.57748962646</v>
      </c>
      <c r="HB157" s="180" t="n">
        <v>13.64722531448</v>
      </c>
      <c r="HC157" s="180" t="n">
        <v>13.7169610025</v>
      </c>
      <c r="HD157" s="180" t="n">
        <v>13.78669669052</v>
      </c>
      <c r="HE157" s="180" t="n">
        <v>13.85643237854</v>
      </c>
      <c r="HF157" s="180" t="n">
        <v>13.92616806656</v>
      </c>
      <c r="HG157" s="180" t="n">
        <v>13.99590375458</v>
      </c>
      <c r="HH157" s="180" t="n">
        <v>14.0656394426</v>
      </c>
      <c r="HI157" s="180" t="n">
        <v>14.13537513062</v>
      </c>
      <c r="HJ157" s="180" t="n">
        <v>14.20511081864</v>
      </c>
      <c r="HK157" s="180" t="n">
        <v>14.27484650666</v>
      </c>
      <c r="HL157" s="180" t="n">
        <v>14.34458219468</v>
      </c>
      <c r="HM157" s="180" t="n">
        <v>14.4143178827</v>
      </c>
      <c r="HN157" s="180" t="n">
        <v>14.48405357072</v>
      </c>
      <c r="HO157" s="180" t="n">
        <v>14.55378925874</v>
      </c>
      <c r="HP157" s="180" t="n">
        <v>14.62352494676</v>
      </c>
      <c r="HQ157" s="180" t="n">
        <v>14.69326063478</v>
      </c>
      <c r="HR157" s="180" t="n">
        <v>14.7629963228</v>
      </c>
      <c r="HS157" s="180" t="n">
        <v>14.83273201082</v>
      </c>
      <c r="HT157" s="180" t="n">
        <v>14.90246769884</v>
      </c>
      <c r="HU157" s="180" t="n">
        <v>14.97220338686</v>
      </c>
      <c r="HV157" s="180" t="n">
        <v>15.04193907488</v>
      </c>
      <c r="HW157" s="180" t="n">
        <v>15.1116747629</v>
      </c>
      <c r="HX157" s="180" t="n">
        <v>15.18141045092</v>
      </c>
      <c r="HY157" s="180" t="n">
        <v>15.25114613894</v>
      </c>
      <c r="HZ157" s="180" t="n">
        <v>15.32088182696</v>
      </c>
      <c r="IA157" s="180" t="n">
        <v>15.39061751498</v>
      </c>
      <c r="IB157" s="180" t="n">
        <v>15.460353203</v>
      </c>
      <c r="IC157" s="180" t="n">
        <v>15.53008889102</v>
      </c>
      <c r="ID157" s="180" t="n">
        <v>15.59982457904</v>
      </c>
      <c r="IE157" s="180" t="n">
        <v>15.66956026706</v>
      </c>
      <c r="IF157" s="180" t="n">
        <v>15.73929595508</v>
      </c>
      <c r="IG157" s="180" t="n">
        <v>15.8090316431</v>
      </c>
      <c r="IH157" s="180" t="n">
        <v>15.87876733112</v>
      </c>
      <c r="II157" s="180" t="n">
        <v>15.94850301914</v>
      </c>
      <c r="IJ157" s="180" t="n">
        <v>16.01823870716</v>
      </c>
      <c r="IK157" s="180" t="n">
        <v>16.08797439518</v>
      </c>
      <c r="IL157" s="180" t="n">
        <v>16.1577100832</v>
      </c>
      <c r="IM157" s="180" t="n">
        <v>16.22744577122</v>
      </c>
      <c r="IN157" s="180" t="n">
        <v>16.29718145924</v>
      </c>
      <c r="IO157" s="180" t="n">
        <v>16.36691714726</v>
      </c>
      <c r="IP157" s="180" t="n">
        <v>16.43665283528</v>
      </c>
      <c r="IQ157" s="180" t="n">
        <v>16.5063885233</v>
      </c>
      <c r="IR157" s="180" t="n">
        <v>16.57612421132</v>
      </c>
      <c r="IS157" s="180" t="n">
        <v>16.64585989934</v>
      </c>
      <c r="IT157" s="180" t="n">
        <v>16.71559558736</v>
      </c>
      <c r="IU157" s="180" t="n">
        <v>16.78533127538</v>
      </c>
      <c r="IV157" s="180" t="n">
        <v>16.8550669634</v>
      </c>
    </row>
    <row r="158" customFormat="false" ht="12.75" hidden="false" customHeight="false" outlineLevel="0" collapsed="false">
      <c r="A158" s="189" t="n">
        <v>41487</v>
      </c>
      <c r="B158" s="185" t="n">
        <v>-2.021005929375</v>
      </c>
      <c r="C158" s="185" t="n">
        <v>-1.9907047400625</v>
      </c>
      <c r="D158" s="185" t="n">
        <v>-1.96040355075</v>
      </c>
      <c r="E158" s="185" t="n">
        <v>-1.9301023614375</v>
      </c>
      <c r="F158" s="185" t="n">
        <v>-1.899801172125</v>
      </c>
      <c r="G158" s="185" t="n">
        <v>-1.8694999828125</v>
      </c>
      <c r="H158" s="185" t="n">
        <v>-1.8391987935</v>
      </c>
      <c r="I158" s="185" t="n">
        <v>-1.8088976041875</v>
      </c>
      <c r="J158" s="185" t="n">
        <v>-1.778596414875</v>
      </c>
      <c r="K158" s="185" t="n">
        <v>-1.7482952255625</v>
      </c>
      <c r="L158" s="185" t="n">
        <v>-1.71799403625</v>
      </c>
      <c r="M158" s="185" t="n">
        <v>-1.6876928469375</v>
      </c>
      <c r="N158" s="185" t="n">
        <v>-1.657391657625</v>
      </c>
      <c r="O158" s="185" t="n">
        <v>-1.6270904683125</v>
      </c>
      <c r="P158" s="185" t="n">
        <v>-1.596789279</v>
      </c>
      <c r="Q158" s="185" t="n">
        <v>-1.5664880896875</v>
      </c>
      <c r="R158" s="185" t="n">
        <v>-1.536186900375</v>
      </c>
      <c r="S158" s="185" t="n">
        <v>-1.5058857110625</v>
      </c>
      <c r="T158" s="185" t="n">
        <v>-1.47558452175</v>
      </c>
      <c r="U158" s="185" t="n">
        <v>-1.4452833324375</v>
      </c>
      <c r="V158" s="186" t="n">
        <v>-1.414982143125</v>
      </c>
      <c r="W158" s="185" t="n">
        <v>-1.3846809538125</v>
      </c>
      <c r="X158" s="186" t="n">
        <v>-1.3543797645</v>
      </c>
      <c r="Y158" s="185" t="n">
        <v>-1.3240785751875</v>
      </c>
      <c r="Z158" s="186" t="n">
        <v>-1.293777385875</v>
      </c>
      <c r="AA158" s="185" t="n">
        <v>-1.2634761965625</v>
      </c>
      <c r="AB158" s="187" t="n">
        <v>-1.23317500725</v>
      </c>
      <c r="AC158" s="185" t="n">
        <v>-1.2028738179375</v>
      </c>
      <c r="AD158" s="187" t="n">
        <v>-1.172572628625</v>
      </c>
      <c r="AE158" s="185" t="n">
        <v>-1.1422714393125</v>
      </c>
      <c r="AF158" s="185" t="n">
        <v>-1.11197025</v>
      </c>
      <c r="AG158" s="190" t="n">
        <v>-1.083235125</v>
      </c>
      <c r="AH158" s="190" t="n">
        <v>-1.0545</v>
      </c>
      <c r="AI158" s="190" t="n">
        <v>-1.02725</v>
      </c>
      <c r="AJ158" s="190" t="n">
        <v>-1</v>
      </c>
      <c r="AK158" s="190" t="n">
        <v>-0.8</v>
      </c>
      <c r="AL158" s="190" t="n">
        <v>-0.6</v>
      </c>
      <c r="AM158" s="190" t="n">
        <v>-0.4</v>
      </c>
      <c r="AN158" s="190" t="n">
        <v>-0.2</v>
      </c>
      <c r="AO158" s="190" t="n">
        <v>0</v>
      </c>
      <c r="AP158" s="190" t="n">
        <v>0.2</v>
      </c>
      <c r="AQ158" s="190" t="n">
        <v>0.4</v>
      </c>
      <c r="AR158" s="190" t="n">
        <v>0.6</v>
      </c>
      <c r="AS158" s="190" t="n">
        <v>0.8</v>
      </c>
      <c r="AT158" s="190" t="n">
        <v>1</v>
      </c>
      <c r="AU158" s="190" t="n">
        <v>1.2</v>
      </c>
      <c r="AV158" s="190" t="n">
        <v>1.4</v>
      </c>
      <c r="AW158" s="190" t="n">
        <v>1.58</v>
      </c>
      <c r="AX158" s="190" t="n">
        <v>1.76</v>
      </c>
      <c r="AY158" s="190" t="n">
        <v>1.922</v>
      </c>
      <c r="AZ158" s="190" t="n">
        <v>2.084</v>
      </c>
      <c r="BA158" s="190" t="n">
        <v>2.2298</v>
      </c>
      <c r="BB158" s="190" t="n">
        <v>2.3756</v>
      </c>
      <c r="BC158" s="190" t="n">
        <v>2.50682</v>
      </c>
      <c r="BD158" s="190" t="n">
        <v>2.63804</v>
      </c>
      <c r="BE158" s="190" t="n">
        <v>2.756138</v>
      </c>
      <c r="BF158" s="190" t="n">
        <v>2.874236</v>
      </c>
      <c r="BG158" s="190" t="n">
        <v>2.9805242</v>
      </c>
      <c r="BH158" s="190" t="n">
        <v>3.0868124</v>
      </c>
      <c r="BI158" s="190" t="n">
        <v>3.18247178</v>
      </c>
      <c r="BJ158" s="190" t="n">
        <v>3.27813116</v>
      </c>
      <c r="BK158" s="190" t="n">
        <v>3.364224602</v>
      </c>
      <c r="BL158" s="190" t="n">
        <v>3.450318044</v>
      </c>
      <c r="BM158" s="190" t="n">
        <v>3.5278021418</v>
      </c>
      <c r="BN158" s="190" t="n">
        <v>3.6052862396</v>
      </c>
      <c r="BO158" s="190" t="n">
        <v>3.67502192762</v>
      </c>
      <c r="BP158" s="190" t="n">
        <v>3.74475761564</v>
      </c>
      <c r="BQ158" s="190" t="n">
        <v>3.81449330366</v>
      </c>
      <c r="BR158" s="190" t="n">
        <v>3.88422899168</v>
      </c>
      <c r="BS158" s="190" t="n">
        <v>3.9539646797</v>
      </c>
      <c r="BT158" s="190" t="n">
        <v>4.02370036772</v>
      </c>
      <c r="BU158" s="190" t="n">
        <v>4.09343605574</v>
      </c>
      <c r="BV158" s="190" t="n">
        <v>4.16317174376</v>
      </c>
      <c r="BW158" s="190" t="n">
        <v>4.23290743178</v>
      </c>
      <c r="BX158" s="190" t="n">
        <v>4.3026431198</v>
      </c>
      <c r="BY158" s="190" t="n">
        <v>4.37237880782</v>
      </c>
      <c r="BZ158" s="190" t="n">
        <v>4.44211449584</v>
      </c>
      <c r="CA158" s="190" t="n">
        <v>4.51185018386</v>
      </c>
      <c r="CB158" s="190" t="n">
        <v>4.58158587188</v>
      </c>
      <c r="CC158" s="190" t="n">
        <v>4.6513215599</v>
      </c>
      <c r="CD158" s="190" t="n">
        <v>4.72105724792</v>
      </c>
      <c r="CE158" s="190" t="n">
        <v>4.79079293594</v>
      </c>
      <c r="CF158" s="190" t="n">
        <v>4.86052862396</v>
      </c>
      <c r="CG158" s="190" t="n">
        <v>4.93026431198</v>
      </c>
      <c r="CH158" s="190" t="n">
        <v>5</v>
      </c>
      <c r="CI158" s="190" t="n">
        <v>5.06973568801999</v>
      </c>
      <c r="CJ158" s="190" t="n">
        <v>5.13947137603999</v>
      </c>
      <c r="CK158" s="190" t="n">
        <v>5.20920706405999</v>
      </c>
      <c r="CL158" s="190" t="n">
        <v>5.27894275207999</v>
      </c>
      <c r="CM158" s="190" t="n">
        <v>5.34867844009999</v>
      </c>
      <c r="CN158" s="190" t="n">
        <v>5.41841412811999</v>
      </c>
      <c r="CO158" s="190" t="n">
        <v>5.48814981613999</v>
      </c>
      <c r="CP158" s="190" t="n">
        <v>5.55788550415999</v>
      </c>
      <c r="CQ158" s="190" t="n">
        <v>5.62762119217999</v>
      </c>
      <c r="CR158" s="190" t="n">
        <v>5.69735688019999</v>
      </c>
      <c r="CS158" s="190" t="n">
        <v>5.76709256821999</v>
      </c>
      <c r="CT158" s="190" t="n">
        <v>5.83682825623999</v>
      </c>
      <c r="CU158" s="190" t="n">
        <v>5.90656394425999</v>
      </c>
      <c r="CV158" s="190" t="n">
        <v>5.97629963227999</v>
      </c>
      <c r="CW158" s="190" t="n">
        <v>6.04603532029999</v>
      </c>
      <c r="CX158" s="190" t="n">
        <v>6.11577100831999</v>
      </c>
      <c r="CY158" s="190" t="n">
        <v>6.18550669633999</v>
      </c>
      <c r="CZ158" s="190" t="n">
        <v>6.25524238435999</v>
      </c>
      <c r="DA158" s="190" t="n">
        <v>6.32497807237999</v>
      </c>
      <c r="DB158" s="190" t="n">
        <v>6.39471376039999</v>
      </c>
      <c r="DC158" s="190" t="n">
        <v>6.46444944841999</v>
      </c>
      <c r="DD158" s="190" t="n">
        <v>6.53418513643999</v>
      </c>
      <c r="DE158" s="190" t="n">
        <v>6.60392082445999</v>
      </c>
      <c r="DF158" s="190" t="n">
        <v>6.67365651247999</v>
      </c>
      <c r="DG158" s="190" t="n">
        <v>6.74339220049999</v>
      </c>
      <c r="DH158" s="190" t="n">
        <v>6.81312788851999</v>
      </c>
      <c r="DI158" s="190" t="n">
        <v>6.88286357653999</v>
      </c>
      <c r="DJ158" s="190" t="n">
        <v>6.95259926455999</v>
      </c>
      <c r="DK158" s="190" t="n">
        <v>7.02233495257999</v>
      </c>
      <c r="DL158" s="190" t="n">
        <v>7.09207064059999</v>
      </c>
      <c r="DM158" s="190" t="n">
        <v>7.16180632861999</v>
      </c>
      <c r="DN158" s="190" t="n">
        <v>7.23154201663999</v>
      </c>
      <c r="DO158" s="190" t="n">
        <v>7.30127770465999</v>
      </c>
      <c r="DP158" s="190" t="n">
        <v>7.37101339267999</v>
      </c>
      <c r="DQ158" s="190" t="n">
        <v>7.44074908069999</v>
      </c>
      <c r="DR158" s="190" t="n">
        <v>7.51048476871999</v>
      </c>
      <c r="DS158" s="190" t="n">
        <v>7.58022045673999</v>
      </c>
      <c r="DT158" s="190" t="n">
        <v>7.64995614475999</v>
      </c>
      <c r="DU158" s="190" t="n">
        <v>7.71969183277999</v>
      </c>
      <c r="DV158" s="190" t="n">
        <v>7.78942752079998</v>
      </c>
      <c r="DW158" s="190" t="n">
        <v>7.85916320881998</v>
      </c>
      <c r="DX158" s="190" t="n">
        <v>7.92889889683998</v>
      </c>
      <c r="DY158" s="190" t="n">
        <v>7.99863458485998</v>
      </c>
      <c r="DZ158" s="190" t="n">
        <v>8.06837027287998</v>
      </c>
      <c r="EA158" s="190" t="n">
        <v>8.13810596089998</v>
      </c>
      <c r="EB158" s="190" t="n">
        <v>8.20784164891998</v>
      </c>
      <c r="EC158" s="190" t="n">
        <v>8.27757733693998</v>
      </c>
      <c r="ED158" s="190" t="n">
        <v>8.34731302495998</v>
      </c>
      <c r="EE158" s="190" t="n">
        <v>8.41704871297998</v>
      </c>
      <c r="EF158" s="190" t="n">
        <v>8.48678440099998</v>
      </c>
      <c r="EG158" s="190" t="n">
        <v>8.55652008901998</v>
      </c>
      <c r="EH158" s="190" t="n">
        <v>8.62625577703998</v>
      </c>
      <c r="EI158" s="190" t="n">
        <v>8.69599146505998</v>
      </c>
      <c r="EJ158" s="190" t="n">
        <v>8.76572715307998</v>
      </c>
      <c r="EK158" s="190" t="n">
        <v>8.83546284109998</v>
      </c>
      <c r="EL158" s="180" t="n">
        <v>8.90519852911998</v>
      </c>
      <c r="EM158" s="180" t="n">
        <v>8.97493421713998</v>
      </c>
      <c r="EN158" s="180" t="n">
        <v>9.04466990515998</v>
      </c>
      <c r="EO158" s="180" t="n">
        <v>9.11440559317998</v>
      </c>
      <c r="EP158" s="180" t="n">
        <v>9.18414128119998</v>
      </c>
      <c r="EQ158" s="180" t="n">
        <v>9.25387696921998</v>
      </c>
      <c r="ER158" s="180" t="n">
        <v>9.32361265723998</v>
      </c>
      <c r="ES158" s="180" t="n">
        <v>9.39334834525998</v>
      </c>
      <c r="ET158" s="180" t="n">
        <v>9.46308403327998</v>
      </c>
      <c r="EU158" s="180" t="n">
        <v>9.53281972129998</v>
      </c>
      <c r="EV158" s="180" t="n">
        <v>9.60255540931998</v>
      </c>
      <c r="EW158" s="180" t="n">
        <v>9.67229109733998</v>
      </c>
      <c r="EX158" s="180" t="n">
        <v>9.74202678535998</v>
      </c>
      <c r="EY158" s="180" t="n">
        <v>9.81176247337998</v>
      </c>
      <c r="EZ158" s="180" t="n">
        <v>9.88149816139998</v>
      </c>
      <c r="FA158" s="180" t="n">
        <v>9.95123384941998</v>
      </c>
      <c r="FB158" s="180" t="n">
        <v>10.02096953744</v>
      </c>
      <c r="FC158" s="180" t="n">
        <v>10.09070522546</v>
      </c>
      <c r="FD158" s="180" t="n">
        <v>10.16044091348</v>
      </c>
      <c r="FE158" s="180" t="n">
        <v>10.2301766015</v>
      </c>
      <c r="FF158" s="180" t="n">
        <v>10.29991228952</v>
      </c>
      <c r="FG158" s="180" t="n">
        <v>10.36964797754</v>
      </c>
      <c r="FH158" s="180" t="n">
        <v>10.43938366556</v>
      </c>
      <c r="FI158" s="180" t="n">
        <v>10.50911935358</v>
      </c>
      <c r="FJ158" s="180" t="n">
        <v>10.5788550416</v>
      </c>
      <c r="FK158" s="180" t="n">
        <v>10.64859072962</v>
      </c>
      <c r="FL158" s="180" t="n">
        <v>10.71832641764</v>
      </c>
      <c r="FM158" s="180" t="n">
        <v>10.78806210566</v>
      </c>
      <c r="FN158" s="180" t="n">
        <v>10.85779779368</v>
      </c>
      <c r="FO158" s="180" t="n">
        <v>10.9275334817</v>
      </c>
      <c r="FP158" s="180" t="n">
        <v>10.99726916972</v>
      </c>
      <c r="FQ158" s="180" t="n">
        <v>11.06700485774</v>
      </c>
      <c r="FR158" s="180" t="n">
        <v>11.13674054576</v>
      </c>
      <c r="FS158" s="180" t="n">
        <v>11.20647623378</v>
      </c>
      <c r="FT158" s="180" t="n">
        <v>11.2762119218</v>
      </c>
      <c r="FU158" s="180" t="n">
        <v>11.34594760982</v>
      </c>
      <c r="FV158" s="180" t="n">
        <v>11.41568329784</v>
      </c>
      <c r="FW158" s="180" t="n">
        <v>11.48541898586</v>
      </c>
      <c r="FX158" s="180" t="n">
        <v>11.55515467388</v>
      </c>
      <c r="FY158" s="180" t="n">
        <v>11.6248903619</v>
      </c>
      <c r="FZ158" s="180" t="n">
        <v>11.69462604992</v>
      </c>
      <c r="GA158" s="180" t="n">
        <v>11.76436173794</v>
      </c>
      <c r="GB158" s="180" t="n">
        <v>11.83409742596</v>
      </c>
      <c r="GC158" s="180" t="n">
        <v>11.90383311398</v>
      </c>
      <c r="GD158" s="180" t="n">
        <v>11.973568802</v>
      </c>
      <c r="GE158" s="180" t="n">
        <v>12.04330449002</v>
      </c>
      <c r="GF158" s="180" t="n">
        <v>12.11304017804</v>
      </c>
      <c r="GG158" s="180" t="n">
        <v>12.18277586606</v>
      </c>
      <c r="GH158" s="180" t="n">
        <v>12.25251155408</v>
      </c>
      <c r="GI158" s="180" t="n">
        <v>12.3222472421</v>
      </c>
      <c r="GJ158" s="180" t="n">
        <v>12.39198293012</v>
      </c>
      <c r="GK158" s="180" t="n">
        <v>12.46171861814</v>
      </c>
      <c r="GL158" s="180" t="n">
        <v>12.53145430616</v>
      </c>
      <c r="GM158" s="180" t="n">
        <v>12.60118999418</v>
      </c>
      <c r="GN158" s="180" t="n">
        <v>12.6709256822</v>
      </c>
      <c r="GO158" s="180" t="n">
        <v>12.74066137022</v>
      </c>
      <c r="GP158" s="180" t="n">
        <v>12.81039705824</v>
      </c>
      <c r="GQ158" s="180" t="n">
        <v>12.88013274626</v>
      </c>
      <c r="GR158" s="180" t="n">
        <v>12.94986843428</v>
      </c>
      <c r="GS158" s="180" t="n">
        <v>13.0196041223</v>
      </c>
      <c r="GT158" s="180" t="n">
        <v>13.08933981032</v>
      </c>
      <c r="GU158" s="180" t="n">
        <v>13.15907549834</v>
      </c>
      <c r="GV158" s="180" t="n">
        <v>13.22881118636</v>
      </c>
      <c r="GW158" s="180" t="n">
        <v>13.29854687438</v>
      </c>
      <c r="GX158" s="180" t="n">
        <v>13.3682825624</v>
      </c>
      <c r="GY158" s="180" t="n">
        <v>13.43801825042</v>
      </c>
      <c r="GZ158" s="180" t="n">
        <v>13.50775393844</v>
      </c>
      <c r="HA158" s="180" t="n">
        <v>13.57748962646</v>
      </c>
      <c r="HB158" s="180" t="n">
        <v>13.64722531448</v>
      </c>
      <c r="HC158" s="180" t="n">
        <v>13.7169610025</v>
      </c>
      <c r="HD158" s="180" t="n">
        <v>13.78669669052</v>
      </c>
      <c r="HE158" s="180" t="n">
        <v>13.85643237854</v>
      </c>
      <c r="HF158" s="180" t="n">
        <v>13.92616806656</v>
      </c>
      <c r="HG158" s="180" t="n">
        <v>13.99590375458</v>
      </c>
      <c r="HH158" s="180" t="n">
        <v>14.0656394426</v>
      </c>
      <c r="HI158" s="180" t="n">
        <v>14.13537513062</v>
      </c>
      <c r="HJ158" s="180" t="n">
        <v>14.20511081864</v>
      </c>
      <c r="HK158" s="180" t="n">
        <v>14.27484650666</v>
      </c>
      <c r="HL158" s="180" t="n">
        <v>14.34458219468</v>
      </c>
      <c r="HM158" s="180" t="n">
        <v>14.4143178827</v>
      </c>
      <c r="HN158" s="180" t="n">
        <v>14.48405357072</v>
      </c>
      <c r="HO158" s="180" t="n">
        <v>14.55378925874</v>
      </c>
      <c r="HP158" s="180" t="n">
        <v>14.62352494676</v>
      </c>
      <c r="HQ158" s="180" t="n">
        <v>14.69326063478</v>
      </c>
      <c r="HR158" s="180" t="n">
        <v>14.7629963228</v>
      </c>
      <c r="HS158" s="180" t="n">
        <v>14.83273201082</v>
      </c>
      <c r="HT158" s="180" t="n">
        <v>14.90246769884</v>
      </c>
      <c r="HU158" s="180" t="n">
        <v>14.97220338686</v>
      </c>
      <c r="HV158" s="180" t="n">
        <v>15.04193907488</v>
      </c>
      <c r="HW158" s="180" t="n">
        <v>15.1116747629</v>
      </c>
      <c r="HX158" s="180" t="n">
        <v>15.18141045092</v>
      </c>
      <c r="HY158" s="180" t="n">
        <v>15.25114613894</v>
      </c>
      <c r="HZ158" s="180" t="n">
        <v>15.32088182696</v>
      </c>
      <c r="IA158" s="180" t="n">
        <v>15.39061751498</v>
      </c>
      <c r="IB158" s="180" t="n">
        <v>15.460353203</v>
      </c>
      <c r="IC158" s="180" t="n">
        <v>15.53008889102</v>
      </c>
      <c r="ID158" s="180" t="n">
        <v>15.59982457904</v>
      </c>
      <c r="IE158" s="180" t="n">
        <v>15.66956026706</v>
      </c>
      <c r="IF158" s="180" t="n">
        <v>15.73929595508</v>
      </c>
      <c r="IG158" s="180" t="n">
        <v>15.8090316431</v>
      </c>
      <c r="IH158" s="180" t="n">
        <v>15.87876733112</v>
      </c>
      <c r="II158" s="180" t="n">
        <v>15.94850301914</v>
      </c>
      <c r="IJ158" s="180" t="n">
        <v>16.01823870716</v>
      </c>
      <c r="IK158" s="180" t="n">
        <v>16.08797439518</v>
      </c>
      <c r="IL158" s="180" t="n">
        <v>16.1577100832</v>
      </c>
      <c r="IM158" s="180" t="n">
        <v>16.22744577122</v>
      </c>
      <c r="IN158" s="180" t="n">
        <v>16.29718145924</v>
      </c>
      <c r="IO158" s="180" t="n">
        <v>16.36691714726</v>
      </c>
      <c r="IP158" s="180" t="n">
        <v>16.43665283528</v>
      </c>
      <c r="IQ158" s="180" t="n">
        <v>16.5063885233</v>
      </c>
      <c r="IR158" s="180" t="n">
        <v>16.57612421132</v>
      </c>
      <c r="IS158" s="180" t="n">
        <v>16.64585989934</v>
      </c>
      <c r="IT158" s="180" t="n">
        <v>16.71559558736</v>
      </c>
      <c r="IU158" s="180" t="n">
        <v>16.78533127538</v>
      </c>
      <c r="IV158" s="180" t="n">
        <v>16.8550669634</v>
      </c>
    </row>
    <row r="159" customFormat="false" ht="12.75" hidden="false" customHeight="false" outlineLevel="0" collapsed="false">
      <c r="A159" s="189" t="n">
        <v>41518</v>
      </c>
      <c r="B159" s="185" t="n">
        <v>-2.021005929375</v>
      </c>
      <c r="C159" s="185" t="n">
        <v>-1.9907047400625</v>
      </c>
      <c r="D159" s="185" t="n">
        <v>-1.96040355075</v>
      </c>
      <c r="E159" s="185" t="n">
        <v>-1.9301023614375</v>
      </c>
      <c r="F159" s="185" t="n">
        <v>-1.899801172125</v>
      </c>
      <c r="G159" s="185" t="n">
        <v>-1.8694999828125</v>
      </c>
      <c r="H159" s="185" t="n">
        <v>-1.8391987935</v>
      </c>
      <c r="I159" s="185" t="n">
        <v>-1.8088976041875</v>
      </c>
      <c r="J159" s="185" t="n">
        <v>-1.778596414875</v>
      </c>
      <c r="K159" s="185" t="n">
        <v>-1.7482952255625</v>
      </c>
      <c r="L159" s="185" t="n">
        <v>-1.71799403625</v>
      </c>
      <c r="M159" s="185" t="n">
        <v>-1.6876928469375</v>
      </c>
      <c r="N159" s="185" t="n">
        <v>-1.657391657625</v>
      </c>
      <c r="O159" s="185" t="n">
        <v>-1.6270904683125</v>
      </c>
      <c r="P159" s="185" t="n">
        <v>-1.596789279</v>
      </c>
      <c r="Q159" s="185" t="n">
        <v>-1.5664880896875</v>
      </c>
      <c r="R159" s="185" t="n">
        <v>-1.536186900375</v>
      </c>
      <c r="S159" s="185" t="n">
        <v>-1.5058857110625</v>
      </c>
      <c r="T159" s="185" t="n">
        <v>-1.47558452175</v>
      </c>
      <c r="U159" s="185" t="n">
        <v>-1.4452833324375</v>
      </c>
      <c r="V159" s="186" t="n">
        <v>-1.414982143125</v>
      </c>
      <c r="W159" s="185" t="n">
        <v>-1.3846809538125</v>
      </c>
      <c r="X159" s="186" t="n">
        <v>-1.3543797645</v>
      </c>
      <c r="Y159" s="185" t="n">
        <v>-1.3240785751875</v>
      </c>
      <c r="Z159" s="186" t="n">
        <v>-1.293777385875</v>
      </c>
      <c r="AA159" s="185" t="n">
        <v>-1.2634761965625</v>
      </c>
      <c r="AB159" s="187" t="n">
        <v>-1.23317500725</v>
      </c>
      <c r="AC159" s="185" t="n">
        <v>-1.2028738179375</v>
      </c>
      <c r="AD159" s="187" t="n">
        <v>-1.172572628625</v>
      </c>
      <c r="AE159" s="185" t="n">
        <v>-1.1422714393125</v>
      </c>
      <c r="AF159" s="185" t="n">
        <v>-1.11197025</v>
      </c>
      <c r="AG159" s="190" t="n">
        <v>-1.083235125</v>
      </c>
      <c r="AH159" s="190" t="n">
        <v>-1.0545</v>
      </c>
      <c r="AI159" s="190" t="n">
        <v>-1.02725</v>
      </c>
      <c r="AJ159" s="190" t="n">
        <v>-1</v>
      </c>
      <c r="AK159" s="190" t="n">
        <v>-0.8</v>
      </c>
      <c r="AL159" s="190" t="n">
        <v>-0.6</v>
      </c>
      <c r="AM159" s="190" t="n">
        <v>-0.4</v>
      </c>
      <c r="AN159" s="190" t="n">
        <v>-0.2</v>
      </c>
      <c r="AO159" s="190" t="n">
        <v>0</v>
      </c>
      <c r="AP159" s="190" t="n">
        <v>0.2</v>
      </c>
      <c r="AQ159" s="190" t="n">
        <v>0.4</v>
      </c>
      <c r="AR159" s="190" t="n">
        <v>0.6</v>
      </c>
      <c r="AS159" s="190" t="n">
        <v>0.8</v>
      </c>
      <c r="AT159" s="190" t="n">
        <v>1</v>
      </c>
      <c r="AU159" s="190" t="n">
        <v>1.2</v>
      </c>
      <c r="AV159" s="190" t="n">
        <v>1.4</v>
      </c>
      <c r="AW159" s="190" t="n">
        <v>1.58</v>
      </c>
      <c r="AX159" s="190" t="n">
        <v>1.76</v>
      </c>
      <c r="AY159" s="190" t="n">
        <v>1.922</v>
      </c>
      <c r="AZ159" s="190" t="n">
        <v>2.084</v>
      </c>
      <c r="BA159" s="190" t="n">
        <v>2.2298</v>
      </c>
      <c r="BB159" s="190" t="n">
        <v>2.3756</v>
      </c>
      <c r="BC159" s="190" t="n">
        <v>2.50682</v>
      </c>
      <c r="BD159" s="190" t="n">
        <v>2.63804</v>
      </c>
      <c r="BE159" s="190" t="n">
        <v>2.756138</v>
      </c>
      <c r="BF159" s="190" t="n">
        <v>2.874236</v>
      </c>
      <c r="BG159" s="190" t="n">
        <v>2.9805242</v>
      </c>
      <c r="BH159" s="190" t="n">
        <v>3.0868124</v>
      </c>
      <c r="BI159" s="190" t="n">
        <v>3.18247178</v>
      </c>
      <c r="BJ159" s="190" t="n">
        <v>3.27813116</v>
      </c>
      <c r="BK159" s="190" t="n">
        <v>3.364224602</v>
      </c>
      <c r="BL159" s="190" t="n">
        <v>3.450318044</v>
      </c>
      <c r="BM159" s="190" t="n">
        <v>3.5278021418</v>
      </c>
      <c r="BN159" s="190" t="n">
        <v>3.6052862396</v>
      </c>
      <c r="BO159" s="190" t="n">
        <v>3.67502192762</v>
      </c>
      <c r="BP159" s="190" t="n">
        <v>3.74475761564</v>
      </c>
      <c r="BQ159" s="190" t="n">
        <v>3.81449330366</v>
      </c>
      <c r="BR159" s="190" t="n">
        <v>3.88422899168</v>
      </c>
      <c r="BS159" s="190" t="n">
        <v>3.9539646797</v>
      </c>
      <c r="BT159" s="190" t="n">
        <v>4.02370036772</v>
      </c>
      <c r="BU159" s="190" t="n">
        <v>4.09343605574</v>
      </c>
      <c r="BV159" s="190" t="n">
        <v>4.16317174376</v>
      </c>
      <c r="BW159" s="190" t="n">
        <v>4.23290743178</v>
      </c>
      <c r="BX159" s="190" t="n">
        <v>4.3026431198</v>
      </c>
      <c r="BY159" s="190" t="n">
        <v>4.37237880782</v>
      </c>
      <c r="BZ159" s="190" t="n">
        <v>4.44211449584</v>
      </c>
      <c r="CA159" s="190" t="n">
        <v>4.51185018386</v>
      </c>
      <c r="CB159" s="190" t="n">
        <v>4.58158587188</v>
      </c>
      <c r="CC159" s="190" t="n">
        <v>4.6513215599</v>
      </c>
      <c r="CD159" s="190" t="n">
        <v>4.72105724792</v>
      </c>
      <c r="CE159" s="190" t="n">
        <v>4.79079293594</v>
      </c>
      <c r="CF159" s="190" t="n">
        <v>4.86052862396</v>
      </c>
      <c r="CG159" s="190" t="n">
        <v>4.93026431198</v>
      </c>
      <c r="CH159" s="190" t="n">
        <v>5</v>
      </c>
      <c r="CI159" s="190" t="n">
        <v>5.06973568801999</v>
      </c>
      <c r="CJ159" s="190" t="n">
        <v>5.13947137603999</v>
      </c>
      <c r="CK159" s="190" t="n">
        <v>5.20920706405999</v>
      </c>
      <c r="CL159" s="190" t="n">
        <v>5.27894275207999</v>
      </c>
      <c r="CM159" s="190" t="n">
        <v>5.34867844009999</v>
      </c>
      <c r="CN159" s="190" t="n">
        <v>5.41841412811999</v>
      </c>
      <c r="CO159" s="190" t="n">
        <v>5.48814981613999</v>
      </c>
      <c r="CP159" s="190" t="n">
        <v>5.55788550415999</v>
      </c>
      <c r="CQ159" s="190" t="n">
        <v>5.62762119217999</v>
      </c>
      <c r="CR159" s="190" t="n">
        <v>5.69735688019999</v>
      </c>
      <c r="CS159" s="190" t="n">
        <v>5.76709256821999</v>
      </c>
      <c r="CT159" s="190" t="n">
        <v>5.83682825623999</v>
      </c>
      <c r="CU159" s="190" t="n">
        <v>5.90656394425999</v>
      </c>
      <c r="CV159" s="190" t="n">
        <v>5.97629963227999</v>
      </c>
      <c r="CW159" s="190" t="n">
        <v>6.04603532029999</v>
      </c>
      <c r="CX159" s="190" t="n">
        <v>6.11577100831999</v>
      </c>
      <c r="CY159" s="190" t="n">
        <v>6.18550669633999</v>
      </c>
      <c r="CZ159" s="190" t="n">
        <v>6.25524238435999</v>
      </c>
      <c r="DA159" s="190" t="n">
        <v>6.32497807237999</v>
      </c>
      <c r="DB159" s="190" t="n">
        <v>6.39471376039999</v>
      </c>
      <c r="DC159" s="190" t="n">
        <v>6.46444944841999</v>
      </c>
      <c r="DD159" s="190" t="n">
        <v>6.53418513643999</v>
      </c>
      <c r="DE159" s="190" t="n">
        <v>6.60392082445999</v>
      </c>
      <c r="DF159" s="190" t="n">
        <v>6.67365651247999</v>
      </c>
      <c r="DG159" s="190" t="n">
        <v>6.74339220049999</v>
      </c>
      <c r="DH159" s="190" t="n">
        <v>6.81312788851999</v>
      </c>
      <c r="DI159" s="190" t="n">
        <v>6.88286357653999</v>
      </c>
      <c r="DJ159" s="190" t="n">
        <v>6.95259926455999</v>
      </c>
      <c r="DK159" s="190" t="n">
        <v>7.02233495257999</v>
      </c>
      <c r="DL159" s="190" t="n">
        <v>7.09207064059999</v>
      </c>
      <c r="DM159" s="190" t="n">
        <v>7.16180632861999</v>
      </c>
      <c r="DN159" s="190" t="n">
        <v>7.23154201663999</v>
      </c>
      <c r="DO159" s="190" t="n">
        <v>7.30127770465999</v>
      </c>
      <c r="DP159" s="190" t="n">
        <v>7.37101339267999</v>
      </c>
      <c r="DQ159" s="190" t="n">
        <v>7.44074908069999</v>
      </c>
      <c r="DR159" s="190" t="n">
        <v>7.51048476871999</v>
      </c>
      <c r="DS159" s="190" t="n">
        <v>7.58022045673999</v>
      </c>
      <c r="DT159" s="190" t="n">
        <v>7.64995614475999</v>
      </c>
      <c r="DU159" s="190" t="n">
        <v>7.71969183277999</v>
      </c>
      <c r="DV159" s="190" t="n">
        <v>7.78942752079998</v>
      </c>
      <c r="DW159" s="190" t="n">
        <v>7.85916320881998</v>
      </c>
      <c r="DX159" s="190" t="n">
        <v>7.92889889683998</v>
      </c>
      <c r="DY159" s="190" t="n">
        <v>7.99863458485998</v>
      </c>
      <c r="DZ159" s="190" t="n">
        <v>8.06837027287998</v>
      </c>
      <c r="EA159" s="190" t="n">
        <v>8.13810596089998</v>
      </c>
      <c r="EB159" s="190" t="n">
        <v>8.20784164891998</v>
      </c>
      <c r="EC159" s="190" t="n">
        <v>8.27757733693998</v>
      </c>
      <c r="ED159" s="190" t="n">
        <v>8.34731302495998</v>
      </c>
      <c r="EE159" s="190" t="n">
        <v>8.41704871297998</v>
      </c>
      <c r="EF159" s="190" t="n">
        <v>8.48678440099998</v>
      </c>
      <c r="EG159" s="190" t="n">
        <v>8.55652008901998</v>
      </c>
      <c r="EH159" s="190" t="n">
        <v>8.62625577703998</v>
      </c>
      <c r="EI159" s="190" t="n">
        <v>8.69599146505998</v>
      </c>
      <c r="EJ159" s="190" t="n">
        <v>8.76572715307998</v>
      </c>
      <c r="EK159" s="190" t="n">
        <v>8.83546284109998</v>
      </c>
      <c r="EL159" s="180" t="n">
        <v>8.90519852911998</v>
      </c>
      <c r="EM159" s="180" t="n">
        <v>8.97493421713998</v>
      </c>
      <c r="EN159" s="180" t="n">
        <v>9.04466990515998</v>
      </c>
      <c r="EO159" s="180" t="n">
        <v>9.11440559317998</v>
      </c>
      <c r="EP159" s="180" t="n">
        <v>9.18414128119998</v>
      </c>
      <c r="EQ159" s="180" t="n">
        <v>9.25387696921998</v>
      </c>
      <c r="ER159" s="180" t="n">
        <v>9.32361265723998</v>
      </c>
      <c r="ES159" s="180" t="n">
        <v>9.39334834525998</v>
      </c>
      <c r="ET159" s="180" t="n">
        <v>9.46308403327998</v>
      </c>
      <c r="EU159" s="180" t="n">
        <v>9.53281972129998</v>
      </c>
      <c r="EV159" s="180" t="n">
        <v>9.60255540931998</v>
      </c>
      <c r="EW159" s="180" t="n">
        <v>9.67229109733998</v>
      </c>
      <c r="EX159" s="180" t="n">
        <v>9.74202678535998</v>
      </c>
      <c r="EY159" s="180" t="n">
        <v>9.81176247337998</v>
      </c>
      <c r="EZ159" s="180" t="n">
        <v>9.88149816139998</v>
      </c>
      <c r="FA159" s="180" t="n">
        <v>9.95123384941998</v>
      </c>
      <c r="FB159" s="180" t="n">
        <v>10.02096953744</v>
      </c>
      <c r="FC159" s="180" t="n">
        <v>10.09070522546</v>
      </c>
      <c r="FD159" s="180" t="n">
        <v>10.16044091348</v>
      </c>
      <c r="FE159" s="180" t="n">
        <v>10.2301766015</v>
      </c>
      <c r="FF159" s="180" t="n">
        <v>10.29991228952</v>
      </c>
      <c r="FG159" s="180" t="n">
        <v>10.36964797754</v>
      </c>
      <c r="FH159" s="180" t="n">
        <v>10.43938366556</v>
      </c>
      <c r="FI159" s="180" t="n">
        <v>10.50911935358</v>
      </c>
      <c r="FJ159" s="180" t="n">
        <v>10.5788550416</v>
      </c>
      <c r="FK159" s="180" t="n">
        <v>10.64859072962</v>
      </c>
      <c r="FL159" s="180" t="n">
        <v>10.71832641764</v>
      </c>
      <c r="FM159" s="180" t="n">
        <v>10.78806210566</v>
      </c>
      <c r="FN159" s="180" t="n">
        <v>10.85779779368</v>
      </c>
      <c r="FO159" s="180" t="n">
        <v>10.9275334817</v>
      </c>
      <c r="FP159" s="180" t="n">
        <v>10.99726916972</v>
      </c>
      <c r="FQ159" s="180" t="n">
        <v>11.06700485774</v>
      </c>
      <c r="FR159" s="180" t="n">
        <v>11.13674054576</v>
      </c>
      <c r="FS159" s="180" t="n">
        <v>11.20647623378</v>
      </c>
      <c r="FT159" s="180" t="n">
        <v>11.2762119218</v>
      </c>
      <c r="FU159" s="180" t="n">
        <v>11.34594760982</v>
      </c>
      <c r="FV159" s="180" t="n">
        <v>11.41568329784</v>
      </c>
      <c r="FW159" s="180" t="n">
        <v>11.48541898586</v>
      </c>
      <c r="FX159" s="180" t="n">
        <v>11.55515467388</v>
      </c>
      <c r="FY159" s="180" t="n">
        <v>11.6248903619</v>
      </c>
      <c r="FZ159" s="180" t="n">
        <v>11.69462604992</v>
      </c>
      <c r="GA159" s="180" t="n">
        <v>11.76436173794</v>
      </c>
      <c r="GB159" s="180" t="n">
        <v>11.83409742596</v>
      </c>
      <c r="GC159" s="180" t="n">
        <v>11.90383311398</v>
      </c>
      <c r="GD159" s="180" t="n">
        <v>11.973568802</v>
      </c>
      <c r="GE159" s="180" t="n">
        <v>12.04330449002</v>
      </c>
      <c r="GF159" s="180" t="n">
        <v>12.11304017804</v>
      </c>
      <c r="GG159" s="180" t="n">
        <v>12.18277586606</v>
      </c>
      <c r="GH159" s="180" t="n">
        <v>12.25251155408</v>
      </c>
      <c r="GI159" s="180" t="n">
        <v>12.3222472421</v>
      </c>
      <c r="GJ159" s="180" t="n">
        <v>12.39198293012</v>
      </c>
      <c r="GK159" s="180" t="n">
        <v>12.46171861814</v>
      </c>
      <c r="GL159" s="180" t="n">
        <v>12.53145430616</v>
      </c>
      <c r="GM159" s="180" t="n">
        <v>12.60118999418</v>
      </c>
      <c r="GN159" s="180" t="n">
        <v>12.6709256822</v>
      </c>
      <c r="GO159" s="180" t="n">
        <v>12.74066137022</v>
      </c>
      <c r="GP159" s="180" t="n">
        <v>12.81039705824</v>
      </c>
      <c r="GQ159" s="180" t="n">
        <v>12.88013274626</v>
      </c>
      <c r="GR159" s="180" t="n">
        <v>12.94986843428</v>
      </c>
      <c r="GS159" s="180" t="n">
        <v>13.0196041223</v>
      </c>
      <c r="GT159" s="180" t="n">
        <v>13.08933981032</v>
      </c>
      <c r="GU159" s="180" t="n">
        <v>13.15907549834</v>
      </c>
      <c r="GV159" s="180" t="n">
        <v>13.22881118636</v>
      </c>
      <c r="GW159" s="180" t="n">
        <v>13.29854687438</v>
      </c>
      <c r="GX159" s="180" t="n">
        <v>13.3682825624</v>
      </c>
      <c r="GY159" s="180" t="n">
        <v>13.43801825042</v>
      </c>
      <c r="GZ159" s="180" t="n">
        <v>13.50775393844</v>
      </c>
      <c r="HA159" s="180" t="n">
        <v>13.57748962646</v>
      </c>
      <c r="HB159" s="180" t="n">
        <v>13.64722531448</v>
      </c>
      <c r="HC159" s="180" t="n">
        <v>13.7169610025</v>
      </c>
      <c r="HD159" s="180" t="n">
        <v>13.78669669052</v>
      </c>
      <c r="HE159" s="180" t="n">
        <v>13.85643237854</v>
      </c>
      <c r="HF159" s="180" t="n">
        <v>13.92616806656</v>
      </c>
      <c r="HG159" s="180" t="n">
        <v>13.99590375458</v>
      </c>
      <c r="HH159" s="180" t="n">
        <v>14.0656394426</v>
      </c>
      <c r="HI159" s="180" t="n">
        <v>14.13537513062</v>
      </c>
      <c r="HJ159" s="180" t="n">
        <v>14.20511081864</v>
      </c>
      <c r="HK159" s="180" t="n">
        <v>14.27484650666</v>
      </c>
      <c r="HL159" s="180" t="n">
        <v>14.34458219468</v>
      </c>
      <c r="HM159" s="180" t="n">
        <v>14.4143178827</v>
      </c>
      <c r="HN159" s="180" t="n">
        <v>14.48405357072</v>
      </c>
      <c r="HO159" s="180" t="n">
        <v>14.55378925874</v>
      </c>
      <c r="HP159" s="180" t="n">
        <v>14.62352494676</v>
      </c>
      <c r="HQ159" s="180" t="n">
        <v>14.69326063478</v>
      </c>
      <c r="HR159" s="180" t="n">
        <v>14.7629963228</v>
      </c>
      <c r="HS159" s="180" t="n">
        <v>14.83273201082</v>
      </c>
      <c r="HT159" s="180" t="n">
        <v>14.90246769884</v>
      </c>
      <c r="HU159" s="180" t="n">
        <v>14.97220338686</v>
      </c>
      <c r="HV159" s="180" t="n">
        <v>15.04193907488</v>
      </c>
      <c r="HW159" s="180" t="n">
        <v>15.1116747629</v>
      </c>
      <c r="HX159" s="180" t="n">
        <v>15.18141045092</v>
      </c>
      <c r="HY159" s="180" t="n">
        <v>15.25114613894</v>
      </c>
      <c r="HZ159" s="180" t="n">
        <v>15.32088182696</v>
      </c>
      <c r="IA159" s="180" t="n">
        <v>15.39061751498</v>
      </c>
      <c r="IB159" s="180" t="n">
        <v>15.460353203</v>
      </c>
      <c r="IC159" s="180" t="n">
        <v>15.53008889102</v>
      </c>
      <c r="ID159" s="180" t="n">
        <v>15.59982457904</v>
      </c>
      <c r="IE159" s="180" t="n">
        <v>15.66956026706</v>
      </c>
      <c r="IF159" s="180" t="n">
        <v>15.73929595508</v>
      </c>
      <c r="IG159" s="180" t="n">
        <v>15.8090316431</v>
      </c>
      <c r="IH159" s="180" t="n">
        <v>15.87876733112</v>
      </c>
      <c r="II159" s="180" t="n">
        <v>15.94850301914</v>
      </c>
      <c r="IJ159" s="180" t="n">
        <v>16.01823870716</v>
      </c>
      <c r="IK159" s="180" t="n">
        <v>16.08797439518</v>
      </c>
      <c r="IL159" s="180" t="n">
        <v>16.1577100832</v>
      </c>
      <c r="IM159" s="180" t="n">
        <v>16.22744577122</v>
      </c>
      <c r="IN159" s="180" t="n">
        <v>16.29718145924</v>
      </c>
      <c r="IO159" s="180" t="n">
        <v>16.36691714726</v>
      </c>
      <c r="IP159" s="180" t="n">
        <v>16.43665283528</v>
      </c>
      <c r="IQ159" s="180" t="n">
        <v>16.5063885233</v>
      </c>
      <c r="IR159" s="180" t="n">
        <v>16.57612421132</v>
      </c>
      <c r="IS159" s="180" t="n">
        <v>16.64585989934</v>
      </c>
      <c r="IT159" s="180" t="n">
        <v>16.71559558736</v>
      </c>
      <c r="IU159" s="180" t="n">
        <v>16.78533127538</v>
      </c>
      <c r="IV159" s="180" t="n">
        <v>16.8550669634</v>
      </c>
    </row>
    <row r="160" customFormat="false" ht="12.75" hidden="false" customHeight="false" outlineLevel="0" collapsed="false">
      <c r="A160" s="189" t="n">
        <v>41548</v>
      </c>
      <c r="B160" s="185" t="n">
        <v>-2.021005929375</v>
      </c>
      <c r="C160" s="185" t="n">
        <v>-1.9907047400625</v>
      </c>
      <c r="D160" s="185" t="n">
        <v>-1.96040355075</v>
      </c>
      <c r="E160" s="185" t="n">
        <v>-1.9301023614375</v>
      </c>
      <c r="F160" s="185" t="n">
        <v>-1.899801172125</v>
      </c>
      <c r="G160" s="185" t="n">
        <v>-1.8694999828125</v>
      </c>
      <c r="H160" s="185" t="n">
        <v>-1.8391987935</v>
      </c>
      <c r="I160" s="185" t="n">
        <v>-1.8088976041875</v>
      </c>
      <c r="J160" s="185" t="n">
        <v>-1.778596414875</v>
      </c>
      <c r="K160" s="185" t="n">
        <v>-1.7482952255625</v>
      </c>
      <c r="L160" s="185" t="n">
        <v>-1.71799403625</v>
      </c>
      <c r="M160" s="185" t="n">
        <v>-1.6876928469375</v>
      </c>
      <c r="N160" s="185" t="n">
        <v>-1.657391657625</v>
      </c>
      <c r="O160" s="185" t="n">
        <v>-1.6270904683125</v>
      </c>
      <c r="P160" s="185" t="n">
        <v>-1.596789279</v>
      </c>
      <c r="Q160" s="185" t="n">
        <v>-1.5664880896875</v>
      </c>
      <c r="R160" s="185" t="n">
        <v>-1.536186900375</v>
      </c>
      <c r="S160" s="185" t="n">
        <v>-1.5058857110625</v>
      </c>
      <c r="T160" s="185" t="n">
        <v>-1.47558452175</v>
      </c>
      <c r="U160" s="185" t="n">
        <v>-1.4452833324375</v>
      </c>
      <c r="V160" s="186" t="n">
        <v>-1.414982143125</v>
      </c>
      <c r="W160" s="185" t="n">
        <v>-1.3846809538125</v>
      </c>
      <c r="X160" s="186" t="n">
        <v>-1.3543797645</v>
      </c>
      <c r="Y160" s="185" t="n">
        <v>-1.3240785751875</v>
      </c>
      <c r="Z160" s="186" t="n">
        <v>-1.293777385875</v>
      </c>
      <c r="AA160" s="185" t="n">
        <v>-1.2634761965625</v>
      </c>
      <c r="AB160" s="187" t="n">
        <v>-1.23317500725</v>
      </c>
      <c r="AC160" s="185" t="n">
        <v>-1.2028738179375</v>
      </c>
      <c r="AD160" s="187" t="n">
        <v>-1.172572628625</v>
      </c>
      <c r="AE160" s="185" t="n">
        <v>-1.1422714393125</v>
      </c>
      <c r="AF160" s="185" t="n">
        <v>-1.11197025</v>
      </c>
      <c r="AG160" s="190" t="n">
        <v>-1.083235125</v>
      </c>
      <c r="AH160" s="190" t="n">
        <v>-1.0545</v>
      </c>
      <c r="AI160" s="190" t="n">
        <v>-1.02725</v>
      </c>
      <c r="AJ160" s="190" t="n">
        <v>-1</v>
      </c>
      <c r="AK160" s="190" t="n">
        <v>-0.8</v>
      </c>
      <c r="AL160" s="190" t="n">
        <v>-0.6</v>
      </c>
      <c r="AM160" s="190" t="n">
        <v>-0.4</v>
      </c>
      <c r="AN160" s="190" t="n">
        <v>-0.2</v>
      </c>
      <c r="AO160" s="190" t="n">
        <v>0</v>
      </c>
      <c r="AP160" s="190" t="n">
        <v>0.2</v>
      </c>
      <c r="AQ160" s="190" t="n">
        <v>0.4</v>
      </c>
      <c r="AR160" s="190" t="n">
        <v>0.6</v>
      </c>
      <c r="AS160" s="190" t="n">
        <v>0.8</v>
      </c>
      <c r="AT160" s="190" t="n">
        <v>1</v>
      </c>
      <c r="AU160" s="190" t="n">
        <v>1.2</v>
      </c>
      <c r="AV160" s="190" t="n">
        <v>1.4</v>
      </c>
      <c r="AW160" s="190" t="n">
        <v>1.58</v>
      </c>
      <c r="AX160" s="190" t="n">
        <v>1.76</v>
      </c>
      <c r="AY160" s="190" t="n">
        <v>1.922</v>
      </c>
      <c r="AZ160" s="190" t="n">
        <v>2.084</v>
      </c>
      <c r="BA160" s="190" t="n">
        <v>2.2298</v>
      </c>
      <c r="BB160" s="190" t="n">
        <v>2.3756</v>
      </c>
      <c r="BC160" s="190" t="n">
        <v>2.50682</v>
      </c>
      <c r="BD160" s="190" t="n">
        <v>2.63804</v>
      </c>
      <c r="BE160" s="190" t="n">
        <v>2.756138</v>
      </c>
      <c r="BF160" s="190" t="n">
        <v>2.874236</v>
      </c>
      <c r="BG160" s="190" t="n">
        <v>2.9805242</v>
      </c>
      <c r="BH160" s="190" t="n">
        <v>3.0868124</v>
      </c>
      <c r="BI160" s="190" t="n">
        <v>3.18247178</v>
      </c>
      <c r="BJ160" s="190" t="n">
        <v>3.27813116</v>
      </c>
      <c r="BK160" s="190" t="n">
        <v>3.364224602</v>
      </c>
      <c r="BL160" s="190" t="n">
        <v>3.450318044</v>
      </c>
      <c r="BM160" s="190" t="n">
        <v>3.5278021418</v>
      </c>
      <c r="BN160" s="190" t="n">
        <v>3.6052862396</v>
      </c>
      <c r="BO160" s="190" t="n">
        <v>3.67502192762</v>
      </c>
      <c r="BP160" s="190" t="n">
        <v>3.74475761564</v>
      </c>
      <c r="BQ160" s="190" t="n">
        <v>3.81449330366</v>
      </c>
      <c r="BR160" s="190" t="n">
        <v>3.88422899168</v>
      </c>
      <c r="BS160" s="190" t="n">
        <v>3.9539646797</v>
      </c>
      <c r="BT160" s="190" t="n">
        <v>4.02370036772</v>
      </c>
      <c r="BU160" s="190" t="n">
        <v>4.09343605574</v>
      </c>
      <c r="BV160" s="190" t="n">
        <v>4.16317174376</v>
      </c>
      <c r="BW160" s="190" t="n">
        <v>4.23290743178</v>
      </c>
      <c r="BX160" s="190" t="n">
        <v>4.3026431198</v>
      </c>
      <c r="BY160" s="190" t="n">
        <v>4.37237880782</v>
      </c>
      <c r="BZ160" s="190" t="n">
        <v>4.44211449584</v>
      </c>
      <c r="CA160" s="190" t="n">
        <v>4.51185018386</v>
      </c>
      <c r="CB160" s="190" t="n">
        <v>4.58158587188</v>
      </c>
      <c r="CC160" s="190" t="n">
        <v>4.6513215599</v>
      </c>
      <c r="CD160" s="190" t="n">
        <v>4.72105724792</v>
      </c>
      <c r="CE160" s="190" t="n">
        <v>4.79079293594</v>
      </c>
      <c r="CF160" s="190" t="n">
        <v>4.86052862396</v>
      </c>
      <c r="CG160" s="190" t="n">
        <v>4.93026431198</v>
      </c>
      <c r="CH160" s="190" t="n">
        <v>5</v>
      </c>
      <c r="CI160" s="190" t="n">
        <v>5.06973568801999</v>
      </c>
      <c r="CJ160" s="190" t="n">
        <v>5.13947137603999</v>
      </c>
      <c r="CK160" s="190" t="n">
        <v>5.20920706405999</v>
      </c>
      <c r="CL160" s="190" t="n">
        <v>5.27894275207999</v>
      </c>
      <c r="CM160" s="190" t="n">
        <v>5.34867844009999</v>
      </c>
      <c r="CN160" s="190" t="n">
        <v>5.41841412811999</v>
      </c>
      <c r="CO160" s="190" t="n">
        <v>5.48814981613999</v>
      </c>
      <c r="CP160" s="190" t="n">
        <v>5.55788550415999</v>
      </c>
      <c r="CQ160" s="190" t="n">
        <v>5.62762119217999</v>
      </c>
      <c r="CR160" s="190" t="n">
        <v>5.69735688019999</v>
      </c>
      <c r="CS160" s="190" t="n">
        <v>5.76709256821999</v>
      </c>
      <c r="CT160" s="190" t="n">
        <v>5.83682825623999</v>
      </c>
      <c r="CU160" s="190" t="n">
        <v>5.90656394425999</v>
      </c>
      <c r="CV160" s="190" t="n">
        <v>5.97629963227999</v>
      </c>
      <c r="CW160" s="190" t="n">
        <v>6.04603532029999</v>
      </c>
      <c r="CX160" s="190" t="n">
        <v>6.11577100831999</v>
      </c>
      <c r="CY160" s="190" t="n">
        <v>6.18550669633999</v>
      </c>
      <c r="CZ160" s="190" t="n">
        <v>6.25524238435999</v>
      </c>
      <c r="DA160" s="190" t="n">
        <v>6.32497807237999</v>
      </c>
      <c r="DB160" s="190" t="n">
        <v>6.39471376039999</v>
      </c>
      <c r="DC160" s="190" t="n">
        <v>6.46444944841999</v>
      </c>
      <c r="DD160" s="190" t="n">
        <v>6.53418513643999</v>
      </c>
      <c r="DE160" s="190" t="n">
        <v>6.60392082445999</v>
      </c>
      <c r="DF160" s="190" t="n">
        <v>6.67365651247999</v>
      </c>
      <c r="DG160" s="190" t="n">
        <v>6.74339220049999</v>
      </c>
      <c r="DH160" s="190" t="n">
        <v>6.81312788851999</v>
      </c>
      <c r="DI160" s="190" t="n">
        <v>6.88286357653999</v>
      </c>
      <c r="DJ160" s="190" t="n">
        <v>6.95259926455999</v>
      </c>
      <c r="DK160" s="190" t="n">
        <v>7.02233495257999</v>
      </c>
      <c r="DL160" s="190" t="n">
        <v>7.09207064059999</v>
      </c>
      <c r="DM160" s="190" t="n">
        <v>7.16180632861999</v>
      </c>
      <c r="DN160" s="190" t="n">
        <v>7.23154201663999</v>
      </c>
      <c r="DO160" s="190" t="n">
        <v>7.30127770465999</v>
      </c>
      <c r="DP160" s="190" t="n">
        <v>7.37101339267999</v>
      </c>
      <c r="DQ160" s="190" t="n">
        <v>7.44074908069999</v>
      </c>
      <c r="DR160" s="190" t="n">
        <v>7.51048476871999</v>
      </c>
      <c r="DS160" s="190" t="n">
        <v>7.58022045673999</v>
      </c>
      <c r="DT160" s="190" t="n">
        <v>7.64995614475999</v>
      </c>
      <c r="DU160" s="190" t="n">
        <v>7.71969183277999</v>
      </c>
      <c r="DV160" s="190" t="n">
        <v>7.78942752079998</v>
      </c>
      <c r="DW160" s="190" t="n">
        <v>7.85916320881998</v>
      </c>
      <c r="DX160" s="190" t="n">
        <v>7.92889889683998</v>
      </c>
      <c r="DY160" s="190" t="n">
        <v>7.99863458485998</v>
      </c>
      <c r="DZ160" s="190" t="n">
        <v>8.06837027287998</v>
      </c>
      <c r="EA160" s="190" t="n">
        <v>8.13810596089998</v>
      </c>
      <c r="EB160" s="190" t="n">
        <v>8.20784164891998</v>
      </c>
      <c r="EC160" s="190" t="n">
        <v>8.27757733693998</v>
      </c>
      <c r="ED160" s="190" t="n">
        <v>8.34731302495998</v>
      </c>
      <c r="EE160" s="190" t="n">
        <v>8.41704871297998</v>
      </c>
      <c r="EF160" s="190" t="n">
        <v>8.48678440099998</v>
      </c>
      <c r="EG160" s="190" t="n">
        <v>8.55652008901998</v>
      </c>
      <c r="EH160" s="190" t="n">
        <v>8.62625577703998</v>
      </c>
      <c r="EI160" s="190" t="n">
        <v>8.69599146505998</v>
      </c>
      <c r="EJ160" s="190" t="n">
        <v>8.76572715307998</v>
      </c>
      <c r="EK160" s="190" t="n">
        <v>8.83546284109998</v>
      </c>
      <c r="EL160" s="180" t="n">
        <v>8.90519852911998</v>
      </c>
      <c r="EM160" s="180" t="n">
        <v>8.97493421713998</v>
      </c>
      <c r="EN160" s="180" t="n">
        <v>9.04466990515998</v>
      </c>
      <c r="EO160" s="180" t="n">
        <v>9.11440559317998</v>
      </c>
      <c r="EP160" s="180" t="n">
        <v>9.18414128119998</v>
      </c>
      <c r="EQ160" s="180" t="n">
        <v>9.25387696921998</v>
      </c>
      <c r="ER160" s="180" t="n">
        <v>9.32361265723998</v>
      </c>
      <c r="ES160" s="180" t="n">
        <v>9.39334834525998</v>
      </c>
      <c r="ET160" s="180" t="n">
        <v>9.46308403327998</v>
      </c>
      <c r="EU160" s="180" t="n">
        <v>9.53281972129998</v>
      </c>
      <c r="EV160" s="180" t="n">
        <v>9.60255540931998</v>
      </c>
      <c r="EW160" s="180" t="n">
        <v>9.67229109733998</v>
      </c>
      <c r="EX160" s="180" t="n">
        <v>9.74202678535998</v>
      </c>
      <c r="EY160" s="180" t="n">
        <v>9.81176247337998</v>
      </c>
      <c r="EZ160" s="180" t="n">
        <v>9.88149816139998</v>
      </c>
      <c r="FA160" s="180" t="n">
        <v>9.95123384941998</v>
      </c>
      <c r="FB160" s="180" t="n">
        <v>10.02096953744</v>
      </c>
      <c r="FC160" s="180" t="n">
        <v>10.09070522546</v>
      </c>
      <c r="FD160" s="180" t="n">
        <v>10.16044091348</v>
      </c>
      <c r="FE160" s="180" t="n">
        <v>10.2301766015</v>
      </c>
      <c r="FF160" s="180" t="n">
        <v>10.29991228952</v>
      </c>
      <c r="FG160" s="180" t="n">
        <v>10.36964797754</v>
      </c>
      <c r="FH160" s="180" t="n">
        <v>10.43938366556</v>
      </c>
      <c r="FI160" s="180" t="n">
        <v>10.50911935358</v>
      </c>
      <c r="FJ160" s="180" t="n">
        <v>10.5788550416</v>
      </c>
      <c r="FK160" s="180" t="n">
        <v>10.64859072962</v>
      </c>
      <c r="FL160" s="180" t="n">
        <v>10.71832641764</v>
      </c>
      <c r="FM160" s="180" t="n">
        <v>10.78806210566</v>
      </c>
      <c r="FN160" s="180" t="n">
        <v>10.85779779368</v>
      </c>
      <c r="FO160" s="180" t="n">
        <v>10.9275334817</v>
      </c>
      <c r="FP160" s="180" t="n">
        <v>10.99726916972</v>
      </c>
      <c r="FQ160" s="180" t="n">
        <v>11.06700485774</v>
      </c>
      <c r="FR160" s="180" t="n">
        <v>11.13674054576</v>
      </c>
      <c r="FS160" s="180" t="n">
        <v>11.20647623378</v>
      </c>
      <c r="FT160" s="180" t="n">
        <v>11.2762119218</v>
      </c>
      <c r="FU160" s="180" t="n">
        <v>11.34594760982</v>
      </c>
      <c r="FV160" s="180" t="n">
        <v>11.41568329784</v>
      </c>
      <c r="FW160" s="180" t="n">
        <v>11.48541898586</v>
      </c>
      <c r="FX160" s="180" t="n">
        <v>11.55515467388</v>
      </c>
      <c r="FY160" s="180" t="n">
        <v>11.6248903619</v>
      </c>
      <c r="FZ160" s="180" t="n">
        <v>11.69462604992</v>
      </c>
      <c r="GA160" s="180" t="n">
        <v>11.76436173794</v>
      </c>
      <c r="GB160" s="180" t="n">
        <v>11.83409742596</v>
      </c>
      <c r="GC160" s="180" t="n">
        <v>11.90383311398</v>
      </c>
      <c r="GD160" s="180" t="n">
        <v>11.973568802</v>
      </c>
      <c r="GE160" s="180" t="n">
        <v>12.04330449002</v>
      </c>
      <c r="GF160" s="180" t="n">
        <v>12.11304017804</v>
      </c>
      <c r="GG160" s="180" t="n">
        <v>12.18277586606</v>
      </c>
      <c r="GH160" s="180" t="n">
        <v>12.25251155408</v>
      </c>
      <c r="GI160" s="180" t="n">
        <v>12.3222472421</v>
      </c>
      <c r="GJ160" s="180" t="n">
        <v>12.39198293012</v>
      </c>
      <c r="GK160" s="180" t="n">
        <v>12.46171861814</v>
      </c>
      <c r="GL160" s="180" t="n">
        <v>12.53145430616</v>
      </c>
      <c r="GM160" s="180" t="n">
        <v>12.60118999418</v>
      </c>
      <c r="GN160" s="180" t="n">
        <v>12.6709256822</v>
      </c>
      <c r="GO160" s="180" t="n">
        <v>12.74066137022</v>
      </c>
      <c r="GP160" s="180" t="n">
        <v>12.81039705824</v>
      </c>
      <c r="GQ160" s="180" t="n">
        <v>12.88013274626</v>
      </c>
      <c r="GR160" s="180" t="n">
        <v>12.94986843428</v>
      </c>
      <c r="GS160" s="180" t="n">
        <v>13.0196041223</v>
      </c>
      <c r="GT160" s="180" t="n">
        <v>13.08933981032</v>
      </c>
      <c r="GU160" s="180" t="n">
        <v>13.15907549834</v>
      </c>
      <c r="GV160" s="180" t="n">
        <v>13.22881118636</v>
      </c>
      <c r="GW160" s="180" t="n">
        <v>13.29854687438</v>
      </c>
      <c r="GX160" s="180" t="n">
        <v>13.3682825624</v>
      </c>
      <c r="GY160" s="180" t="n">
        <v>13.43801825042</v>
      </c>
      <c r="GZ160" s="180" t="n">
        <v>13.50775393844</v>
      </c>
      <c r="HA160" s="180" t="n">
        <v>13.57748962646</v>
      </c>
      <c r="HB160" s="180" t="n">
        <v>13.64722531448</v>
      </c>
      <c r="HC160" s="180" t="n">
        <v>13.7169610025</v>
      </c>
      <c r="HD160" s="180" t="n">
        <v>13.78669669052</v>
      </c>
      <c r="HE160" s="180" t="n">
        <v>13.85643237854</v>
      </c>
      <c r="HF160" s="180" t="n">
        <v>13.92616806656</v>
      </c>
      <c r="HG160" s="180" t="n">
        <v>13.99590375458</v>
      </c>
      <c r="HH160" s="180" t="n">
        <v>14.0656394426</v>
      </c>
      <c r="HI160" s="180" t="n">
        <v>14.13537513062</v>
      </c>
      <c r="HJ160" s="180" t="n">
        <v>14.20511081864</v>
      </c>
      <c r="HK160" s="180" t="n">
        <v>14.27484650666</v>
      </c>
      <c r="HL160" s="180" t="n">
        <v>14.34458219468</v>
      </c>
      <c r="HM160" s="180" t="n">
        <v>14.4143178827</v>
      </c>
      <c r="HN160" s="180" t="n">
        <v>14.48405357072</v>
      </c>
      <c r="HO160" s="180" t="n">
        <v>14.55378925874</v>
      </c>
      <c r="HP160" s="180" t="n">
        <v>14.62352494676</v>
      </c>
      <c r="HQ160" s="180" t="n">
        <v>14.69326063478</v>
      </c>
      <c r="HR160" s="180" t="n">
        <v>14.7629963228</v>
      </c>
      <c r="HS160" s="180" t="n">
        <v>14.83273201082</v>
      </c>
      <c r="HT160" s="180" t="n">
        <v>14.90246769884</v>
      </c>
      <c r="HU160" s="180" t="n">
        <v>14.97220338686</v>
      </c>
      <c r="HV160" s="180" t="n">
        <v>15.04193907488</v>
      </c>
      <c r="HW160" s="180" t="n">
        <v>15.1116747629</v>
      </c>
      <c r="HX160" s="180" t="n">
        <v>15.18141045092</v>
      </c>
      <c r="HY160" s="180" t="n">
        <v>15.25114613894</v>
      </c>
      <c r="HZ160" s="180" t="n">
        <v>15.32088182696</v>
      </c>
      <c r="IA160" s="180" t="n">
        <v>15.39061751498</v>
      </c>
      <c r="IB160" s="180" t="n">
        <v>15.460353203</v>
      </c>
      <c r="IC160" s="180" t="n">
        <v>15.53008889102</v>
      </c>
      <c r="ID160" s="180" t="n">
        <v>15.59982457904</v>
      </c>
      <c r="IE160" s="180" t="n">
        <v>15.66956026706</v>
      </c>
      <c r="IF160" s="180" t="n">
        <v>15.73929595508</v>
      </c>
      <c r="IG160" s="180" t="n">
        <v>15.8090316431</v>
      </c>
      <c r="IH160" s="180" t="n">
        <v>15.87876733112</v>
      </c>
      <c r="II160" s="180" t="n">
        <v>15.94850301914</v>
      </c>
      <c r="IJ160" s="180" t="n">
        <v>16.01823870716</v>
      </c>
      <c r="IK160" s="180" t="n">
        <v>16.08797439518</v>
      </c>
      <c r="IL160" s="180" t="n">
        <v>16.1577100832</v>
      </c>
      <c r="IM160" s="180" t="n">
        <v>16.22744577122</v>
      </c>
      <c r="IN160" s="180" t="n">
        <v>16.29718145924</v>
      </c>
      <c r="IO160" s="180" t="n">
        <v>16.36691714726</v>
      </c>
      <c r="IP160" s="180" t="n">
        <v>16.43665283528</v>
      </c>
      <c r="IQ160" s="180" t="n">
        <v>16.5063885233</v>
      </c>
      <c r="IR160" s="180" t="n">
        <v>16.57612421132</v>
      </c>
      <c r="IS160" s="180" t="n">
        <v>16.64585989934</v>
      </c>
      <c r="IT160" s="180" t="n">
        <v>16.71559558736</v>
      </c>
      <c r="IU160" s="180" t="n">
        <v>16.78533127538</v>
      </c>
      <c r="IV160" s="180" t="n">
        <v>16.8550669634</v>
      </c>
    </row>
    <row r="161" customFormat="false" ht="12.75" hidden="false" customHeight="false" outlineLevel="0" collapsed="false">
      <c r="A161" s="189" t="n">
        <v>41579</v>
      </c>
      <c r="B161" s="185" t="n">
        <v>-2.021005929375</v>
      </c>
      <c r="C161" s="185" t="n">
        <v>-1.9907047400625</v>
      </c>
      <c r="D161" s="185" t="n">
        <v>-1.96040355075</v>
      </c>
      <c r="E161" s="185" t="n">
        <v>-1.9301023614375</v>
      </c>
      <c r="F161" s="185" t="n">
        <v>-1.899801172125</v>
      </c>
      <c r="G161" s="185" t="n">
        <v>-1.8694999828125</v>
      </c>
      <c r="H161" s="185" t="n">
        <v>-1.8391987935</v>
      </c>
      <c r="I161" s="185" t="n">
        <v>-1.8088976041875</v>
      </c>
      <c r="J161" s="185" t="n">
        <v>-1.778596414875</v>
      </c>
      <c r="K161" s="185" t="n">
        <v>-1.7482952255625</v>
      </c>
      <c r="L161" s="185" t="n">
        <v>-1.71799403625</v>
      </c>
      <c r="M161" s="185" t="n">
        <v>-1.6876928469375</v>
      </c>
      <c r="N161" s="185" t="n">
        <v>-1.657391657625</v>
      </c>
      <c r="O161" s="185" t="n">
        <v>-1.6270904683125</v>
      </c>
      <c r="P161" s="185" t="n">
        <v>-1.596789279</v>
      </c>
      <c r="Q161" s="185" t="n">
        <v>-1.5664880896875</v>
      </c>
      <c r="R161" s="185" t="n">
        <v>-1.536186900375</v>
      </c>
      <c r="S161" s="185" t="n">
        <v>-1.5058857110625</v>
      </c>
      <c r="T161" s="185" t="n">
        <v>-1.47558452175</v>
      </c>
      <c r="U161" s="185" t="n">
        <v>-1.4452833324375</v>
      </c>
      <c r="V161" s="186" t="n">
        <v>-1.414982143125</v>
      </c>
      <c r="W161" s="185" t="n">
        <v>-1.3846809538125</v>
      </c>
      <c r="X161" s="186" t="n">
        <v>-1.3543797645</v>
      </c>
      <c r="Y161" s="185" t="n">
        <v>-1.3240785751875</v>
      </c>
      <c r="Z161" s="186" t="n">
        <v>-1.293777385875</v>
      </c>
      <c r="AA161" s="185" t="n">
        <v>-1.2634761965625</v>
      </c>
      <c r="AB161" s="187" t="n">
        <v>-1.23317500725</v>
      </c>
      <c r="AC161" s="185" t="n">
        <v>-1.2028738179375</v>
      </c>
      <c r="AD161" s="187" t="n">
        <v>-1.172572628625</v>
      </c>
      <c r="AE161" s="185" t="n">
        <v>-1.1422714393125</v>
      </c>
      <c r="AF161" s="185" t="n">
        <v>-1.11197025</v>
      </c>
      <c r="AG161" s="190" t="n">
        <v>-1.083235125</v>
      </c>
      <c r="AH161" s="190" t="n">
        <v>-1.0545</v>
      </c>
      <c r="AI161" s="190" t="n">
        <v>-1.02725</v>
      </c>
      <c r="AJ161" s="190" t="n">
        <v>-1</v>
      </c>
      <c r="AK161" s="190" t="n">
        <v>-0.8</v>
      </c>
      <c r="AL161" s="190" t="n">
        <v>-0.6</v>
      </c>
      <c r="AM161" s="190" t="n">
        <v>-0.4</v>
      </c>
      <c r="AN161" s="190" t="n">
        <v>-0.2</v>
      </c>
      <c r="AO161" s="190" t="n">
        <v>0</v>
      </c>
      <c r="AP161" s="190" t="n">
        <v>0.2</v>
      </c>
      <c r="AQ161" s="190" t="n">
        <v>0.4</v>
      </c>
      <c r="AR161" s="190" t="n">
        <v>0.6</v>
      </c>
      <c r="AS161" s="190" t="n">
        <v>0.8</v>
      </c>
      <c r="AT161" s="190" t="n">
        <v>1</v>
      </c>
      <c r="AU161" s="190" t="n">
        <v>1.2</v>
      </c>
      <c r="AV161" s="190" t="n">
        <v>1.4</v>
      </c>
      <c r="AW161" s="190" t="n">
        <v>1.58</v>
      </c>
      <c r="AX161" s="190" t="n">
        <v>1.76</v>
      </c>
      <c r="AY161" s="190" t="n">
        <v>1.922</v>
      </c>
      <c r="AZ161" s="190" t="n">
        <v>2.084</v>
      </c>
      <c r="BA161" s="190" t="n">
        <v>2.2298</v>
      </c>
      <c r="BB161" s="190" t="n">
        <v>2.3756</v>
      </c>
      <c r="BC161" s="190" t="n">
        <v>2.50682</v>
      </c>
      <c r="BD161" s="190" t="n">
        <v>2.63804</v>
      </c>
      <c r="BE161" s="190" t="n">
        <v>2.756138</v>
      </c>
      <c r="BF161" s="190" t="n">
        <v>2.874236</v>
      </c>
      <c r="BG161" s="190" t="n">
        <v>2.9805242</v>
      </c>
      <c r="BH161" s="190" t="n">
        <v>3.0868124</v>
      </c>
      <c r="BI161" s="190" t="n">
        <v>3.18247178</v>
      </c>
      <c r="BJ161" s="190" t="n">
        <v>3.27813116</v>
      </c>
      <c r="BK161" s="190" t="n">
        <v>3.364224602</v>
      </c>
      <c r="BL161" s="190" t="n">
        <v>3.450318044</v>
      </c>
      <c r="BM161" s="190" t="n">
        <v>3.5278021418</v>
      </c>
      <c r="BN161" s="190" t="n">
        <v>3.6052862396</v>
      </c>
      <c r="BO161" s="190" t="n">
        <v>3.67502192762</v>
      </c>
      <c r="BP161" s="190" t="n">
        <v>3.74475761564</v>
      </c>
      <c r="BQ161" s="190" t="n">
        <v>3.81449330366</v>
      </c>
      <c r="BR161" s="190" t="n">
        <v>3.88422899168</v>
      </c>
      <c r="BS161" s="190" t="n">
        <v>3.9539646797</v>
      </c>
      <c r="BT161" s="190" t="n">
        <v>4.02370036772</v>
      </c>
      <c r="BU161" s="190" t="n">
        <v>4.09343605574</v>
      </c>
      <c r="BV161" s="190" t="n">
        <v>4.16317174376</v>
      </c>
      <c r="BW161" s="190" t="n">
        <v>4.23290743178</v>
      </c>
      <c r="BX161" s="190" t="n">
        <v>4.3026431198</v>
      </c>
      <c r="BY161" s="190" t="n">
        <v>4.37237880782</v>
      </c>
      <c r="BZ161" s="190" t="n">
        <v>4.44211449584</v>
      </c>
      <c r="CA161" s="190" t="n">
        <v>4.51185018386</v>
      </c>
      <c r="CB161" s="190" t="n">
        <v>4.58158587188</v>
      </c>
      <c r="CC161" s="190" t="n">
        <v>4.6513215599</v>
      </c>
      <c r="CD161" s="190" t="n">
        <v>4.72105724792</v>
      </c>
      <c r="CE161" s="190" t="n">
        <v>4.79079293594</v>
      </c>
      <c r="CF161" s="190" t="n">
        <v>4.86052862396</v>
      </c>
      <c r="CG161" s="190" t="n">
        <v>4.93026431198</v>
      </c>
      <c r="CH161" s="190" t="n">
        <v>5</v>
      </c>
      <c r="CI161" s="190" t="n">
        <v>5.06973568801999</v>
      </c>
      <c r="CJ161" s="190" t="n">
        <v>5.13947137603999</v>
      </c>
      <c r="CK161" s="190" t="n">
        <v>5.20920706405999</v>
      </c>
      <c r="CL161" s="190" t="n">
        <v>5.27894275207999</v>
      </c>
      <c r="CM161" s="190" t="n">
        <v>5.34867844009999</v>
      </c>
      <c r="CN161" s="190" t="n">
        <v>5.41841412811999</v>
      </c>
      <c r="CO161" s="190" t="n">
        <v>5.48814981613999</v>
      </c>
      <c r="CP161" s="190" t="n">
        <v>5.55788550415999</v>
      </c>
      <c r="CQ161" s="190" t="n">
        <v>5.62762119217999</v>
      </c>
      <c r="CR161" s="190" t="n">
        <v>5.69735688019999</v>
      </c>
      <c r="CS161" s="190" t="n">
        <v>5.76709256821999</v>
      </c>
      <c r="CT161" s="190" t="n">
        <v>5.83682825623999</v>
      </c>
      <c r="CU161" s="190" t="n">
        <v>5.90656394425999</v>
      </c>
      <c r="CV161" s="190" t="n">
        <v>5.97629963227999</v>
      </c>
      <c r="CW161" s="190" t="n">
        <v>6.04603532029999</v>
      </c>
      <c r="CX161" s="190" t="n">
        <v>6.11577100831999</v>
      </c>
      <c r="CY161" s="190" t="n">
        <v>6.18550669633999</v>
      </c>
      <c r="CZ161" s="190" t="n">
        <v>6.25524238435999</v>
      </c>
      <c r="DA161" s="190" t="n">
        <v>6.32497807237999</v>
      </c>
      <c r="DB161" s="190" t="n">
        <v>6.39471376039999</v>
      </c>
      <c r="DC161" s="190" t="n">
        <v>6.46444944841999</v>
      </c>
      <c r="DD161" s="190" t="n">
        <v>6.53418513643999</v>
      </c>
      <c r="DE161" s="190" t="n">
        <v>6.60392082445999</v>
      </c>
      <c r="DF161" s="190" t="n">
        <v>6.67365651247999</v>
      </c>
      <c r="DG161" s="190" t="n">
        <v>6.74339220049999</v>
      </c>
      <c r="DH161" s="190" t="n">
        <v>6.81312788851999</v>
      </c>
      <c r="DI161" s="190" t="n">
        <v>6.88286357653999</v>
      </c>
      <c r="DJ161" s="190" t="n">
        <v>6.95259926455999</v>
      </c>
      <c r="DK161" s="190" t="n">
        <v>7.02233495257999</v>
      </c>
      <c r="DL161" s="190" t="n">
        <v>7.09207064059999</v>
      </c>
      <c r="DM161" s="190" t="n">
        <v>7.16180632861999</v>
      </c>
      <c r="DN161" s="190" t="n">
        <v>7.23154201663999</v>
      </c>
      <c r="DO161" s="190" t="n">
        <v>7.30127770465999</v>
      </c>
      <c r="DP161" s="190" t="n">
        <v>7.37101339267999</v>
      </c>
      <c r="DQ161" s="190" t="n">
        <v>7.44074908069999</v>
      </c>
      <c r="DR161" s="190" t="n">
        <v>7.51048476871999</v>
      </c>
      <c r="DS161" s="190" t="n">
        <v>7.58022045673999</v>
      </c>
      <c r="DT161" s="190" t="n">
        <v>7.64995614475999</v>
      </c>
      <c r="DU161" s="190" t="n">
        <v>7.71969183277999</v>
      </c>
      <c r="DV161" s="190" t="n">
        <v>7.78942752079998</v>
      </c>
      <c r="DW161" s="190" t="n">
        <v>7.85916320881998</v>
      </c>
      <c r="DX161" s="190" t="n">
        <v>7.92889889683998</v>
      </c>
      <c r="DY161" s="190" t="n">
        <v>7.99863458485998</v>
      </c>
      <c r="DZ161" s="190" t="n">
        <v>8.06837027287998</v>
      </c>
      <c r="EA161" s="190" t="n">
        <v>8.13810596089998</v>
      </c>
      <c r="EB161" s="190" t="n">
        <v>8.20784164891998</v>
      </c>
      <c r="EC161" s="190" t="n">
        <v>8.27757733693998</v>
      </c>
      <c r="ED161" s="190" t="n">
        <v>8.34731302495998</v>
      </c>
      <c r="EE161" s="190" t="n">
        <v>8.41704871297998</v>
      </c>
      <c r="EF161" s="190" t="n">
        <v>8.48678440099998</v>
      </c>
      <c r="EG161" s="190" t="n">
        <v>8.55652008901998</v>
      </c>
      <c r="EH161" s="190" t="n">
        <v>8.62625577703998</v>
      </c>
      <c r="EI161" s="190" t="n">
        <v>8.69599146505998</v>
      </c>
      <c r="EJ161" s="190" t="n">
        <v>8.76572715307998</v>
      </c>
      <c r="EK161" s="190" t="n">
        <v>8.83546284109998</v>
      </c>
      <c r="EL161" s="180" t="n">
        <v>8.90519852911998</v>
      </c>
      <c r="EM161" s="180" t="n">
        <v>8.97493421713998</v>
      </c>
      <c r="EN161" s="180" t="n">
        <v>9.04466990515998</v>
      </c>
      <c r="EO161" s="180" t="n">
        <v>9.11440559317998</v>
      </c>
      <c r="EP161" s="180" t="n">
        <v>9.18414128119998</v>
      </c>
      <c r="EQ161" s="180" t="n">
        <v>9.25387696921998</v>
      </c>
      <c r="ER161" s="180" t="n">
        <v>9.32361265723998</v>
      </c>
      <c r="ES161" s="180" t="n">
        <v>9.39334834525998</v>
      </c>
      <c r="ET161" s="180" t="n">
        <v>9.46308403327998</v>
      </c>
      <c r="EU161" s="180" t="n">
        <v>9.53281972129998</v>
      </c>
      <c r="EV161" s="180" t="n">
        <v>9.60255540931998</v>
      </c>
      <c r="EW161" s="180" t="n">
        <v>9.67229109733998</v>
      </c>
      <c r="EX161" s="180" t="n">
        <v>9.74202678535998</v>
      </c>
      <c r="EY161" s="180" t="n">
        <v>9.81176247337998</v>
      </c>
      <c r="EZ161" s="180" t="n">
        <v>9.88149816139998</v>
      </c>
      <c r="FA161" s="180" t="n">
        <v>9.95123384941998</v>
      </c>
      <c r="FB161" s="180" t="n">
        <v>10.02096953744</v>
      </c>
      <c r="FC161" s="180" t="n">
        <v>10.09070522546</v>
      </c>
      <c r="FD161" s="180" t="n">
        <v>10.16044091348</v>
      </c>
      <c r="FE161" s="180" t="n">
        <v>10.2301766015</v>
      </c>
      <c r="FF161" s="180" t="n">
        <v>10.29991228952</v>
      </c>
      <c r="FG161" s="180" t="n">
        <v>10.36964797754</v>
      </c>
      <c r="FH161" s="180" t="n">
        <v>10.43938366556</v>
      </c>
      <c r="FI161" s="180" t="n">
        <v>10.50911935358</v>
      </c>
      <c r="FJ161" s="180" t="n">
        <v>10.5788550416</v>
      </c>
      <c r="FK161" s="180" t="n">
        <v>10.64859072962</v>
      </c>
      <c r="FL161" s="180" t="n">
        <v>10.71832641764</v>
      </c>
      <c r="FM161" s="180" t="n">
        <v>10.78806210566</v>
      </c>
      <c r="FN161" s="180" t="n">
        <v>10.85779779368</v>
      </c>
      <c r="FO161" s="180" t="n">
        <v>10.9275334817</v>
      </c>
      <c r="FP161" s="180" t="n">
        <v>10.99726916972</v>
      </c>
      <c r="FQ161" s="180" t="n">
        <v>11.06700485774</v>
      </c>
      <c r="FR161" s="180" t="n">
        <v>11.13674054576</v>
      </c>
      <c r="FS161" s="180" t="n">
        <v>11.20647623378</v>
      </c>
      <c r="FT161" s="180" t="n">
        <v>11.2762119218</v>
      </c>
      <c r="FU161" s="180" t="n">
        <v>11.34594760982</v>
      </c>
      <c r="FV161" s="180" t="n">
        <v>11.41568329784</v>
      </c>
      <c r="FW161" s="180" t="n">
        <v>11.48541898586</v>
      </c>
      <c r="FX161" s="180" t="n">
        <v>11.55515467388</v>
      </c>
      <c r="FY161" s="180" t="n">
        <v>11.6248903619</v>
      </c>
      <c r="FZ161" s="180" t="n">
        <v>11.69462604992</v>
      </c>
      <c r="GA161" s="180" t="n">
        <v>11.76436173794</v>
      </c>
      <c r="GB161" s="180" t="n">
        <v>11.83409742596</v>
      </c>
      <c r="GC161" s="180" t="n">
        <v>11.90383311398</v>
      </c>
      <c r="GD161" s="180" t="n">
        <v>11.973568802</v>
      </c>
      <c r="GE161" s="180" t="n">
        <v>12.04330449002</v>
      </c>
      <c r="GF161" s="180" t="n">
        <v>12.11304017804</v>
      </c>
      <c r="GG161" s="180" t="n">
        <v>12.18277586606</v>
      </c>
      <c r="GH161" s="180" t="n">
        <v>12.25251155408</v>
      </c>
      <c r="GI161" s="180" t="n">
        <v>12.3222472421</v>
      </c>
      <c r="GJ161" s="180" t="n">
        <v>12.39198293012</v>
      </c>
      <c r="GK161" s="180" t="n">
        <v>12.46171861814</v>
      </c>
      <c r="GL161" s="180" t="n">
        <v>12.53145430616</v>
      </c>
      <c r="GM161" s="180" t="n">
        <v>12.60118999418</v>
      </c>
      <c r="GN161" s="180" t="n">
        <v>12.6709256822</v>
      </c>
      <c r="GO161" s="180" t="n">
        <v>12.74066137022</v>
      </c>
      <c r="GP161" s="180" t="n">
        <v>12.81039705824</v>
      </c>
      <c r="GQ161" s="180" t="n">
        <v>12.88013274626</v>
      </c>
      <c r="GR161" s="180" t="n">
        <v>12.94986843428</v>
      </c>
      <c r="GS161" s="180" t="n">
        <v>13.0196041223</v>
      </c>
      <c r="GT161" s="180" t="n">
        <v>13.08933981032</v>
      </c>
      <c r="GU161" s="180" t="n">
        <v>13.15907549834</v>
      </c>
      <c r="GV161" s="180" t="n">
        <v>13.22881118636</v>
      </c>
      <c r="GW161" s="180" t="n">
        <v>13.29854687438</v>
      </c>
      <c r="GX161" s="180" t="n">
        <v>13.3682825624</v>
      </c>
      <c r="GY161" s="180" t="n">
        <v>13.43801825042</v>
      </c>
      <c r="GZ161" s="180" t="n">
        <v>13.50775393844</v>
      </c>
      <c r="HA161" s="180" t="n">
        <v>13.57748962646</v>
      </c>
      <c r="HB161" s="180" t="n">
        <v>13.64722531448</v>
      </c>
      <c r="HC161" s="180" t="n">
        <v>13.7169610025</v>
      </c>
      <c r="HD161" s="180" t="n">
        <v>13.78669669052</v>
      </c>
      <c r="HE161" s="180" t="n">
        <v>13.85643237854</v>
      </c>
      <c r="HF161" s="180" t="n">
        <v>13.92616806656</v>
      </c>
      <c r="HG161" s="180" t="n">
        <v>13.99590375458</v>
      </c>
      <c r="HH161" s="180" t="n">
        <v>14.0656394426</v>
      </c>
      <c r="HI161" s="180" t="n">
        <v>14.13537513062</v>
      </c>
      <c r="HJ161" s="180" t="n">
        <v>14.20511081864</v>
      </c>
      <c r="HK161" s="180" t="n">
        <v>14.27484650666</v>
      </c>
      <c r="HL161" s="180" t="n">
        <v>14.34458219468</v>
      </c>
      <c r="HM161" s="180" t="n">
        <v>14.4143178827</v>
      </c>
      <c r="HN161" s="180" t="n">
        <v>14.48405357072</v>
      </c>
      <c r="HO161" s="180" t="n">
        <v>14.55378925874</v>
      </c>
      <c r="HP161" s="180" t="n">
        <v>14.62352494676</v>
      </c>
      <c r="HQ161" s="180" t="n">
        <v>14.69326063478</v>
      </c>
      <c r="HR161" s="180" t="n">
        <v>14.7629963228</v>
      </c>
      <c r="HS161" s="180" t="n">
        <v>14.83273201082</v>
      </c>
      <c r="HT161" s="180" t="n">
        <v>14.90246769884</v>
      </c>
      <c r="HU161" s="180" t="n">
        <v>14.97220338686</v>
      </c>
      <c r="HV161" s="180" t="n">
        <v>15.04193907488</v>
      </c>
      <c r="HW161" s="180" t="n">
        <v>15.1116747629</v>
      </c>
      <c r="HX161" s="180" t="n">
        <v>15.18141045092</v>
      </c>
      <c r="HY161" s="180" t="n">
        <v>15.25114613894</v>
      </c>
      <c r="HZ161" s="180" t="n">
        <v>15.32088182696</v>
      </c>
      <c r="IA161" s="180" t="n">
        <v>15.39061751498</v>
      </c>
      <c r="IB161" s="180" t="n">
        <v>15.460353203</v>
      </c>
      <c r="IC161" s="180" t="n">
        <v>15.53008889102</v>
      </c>
      <c r="ID161" s="180" t="n">
        <v>15.59982457904</v>
      </c>
      <c r="IE161" s="180" t="n">
        <v>15.66956026706</v>
      </c>
      <c r="IF161" s="180" t="n">
        <v>15.73929595508</v>
      </c>
      <c r="IG161" s="180" t="n">
        <v>15.8090316431</v>
      </c>
      <c r="IH161" s="180" t="n">
        <v>15.87876733112</v>
      </c>
      <c r="II161" s="180" t="n">
        <v>15.94850301914</v>
      </c>
      <c r="IJ161" s="180" t="n">
        <v>16.01823870716</v>
      </c>
      <c r="IK161" s="180" t="n">
        <v>16.08797439518</v>
      </c>
      <c r="IL161" s="180" t="n">
        <v>16.1577100832</v>
      </c>
      <c r="IM161" s="180" t="n">
        <v>16.22744577122</v>
      </c>
      <c r="IN161" s="180" t="n">
        <v>16.29718145924</v>
      </c>
      <c r="IO161" s="180" t="n">
        <v>16.36691714726</v>
      </c>
      <c r="IP161" s="180" t="n">
        <v>16.43665283528</v>
      </c>
      <c r="IQ161" s="180" t="n">
        <v>16.5063885233</v>
      </c>
      <c r="IR161" s="180" t="n">
        <v>16.57612421132</v>
      </c>
      <c r="IS161" s="180" t="n">
        <v>16.64585989934</v>
      </c>
      <c r="IT161" s="180" t="n">
        <v>16.71559558736</v>
      </c>
      <c r="IU161" s="180" t="n">
        <v>16.78533127538</v>
      </c>
      <c r="IV161" s="180" t="n">
        <v>16.8550669634</v>
      </c>
    </row>
    <row r="162" customFormat="false" ht="12.75" hidden="false" customHeight="false" outlineLevel="0" collapsed="false">
      <c r="A162" s="179" t="n">
        <v>41579</v>
      </c>
      <c r="B162" s="190" t="n">
        <v>-2.18017875</v>
      </c>
      <c r="C162" s="190" t="n">
        <v>-2.14425984375</v>
      </c>
      <c r="D162" s="190" t="n">
        <v>-2.1083409375</v>
      </c>
      <c r="E162" s="190" t="n">
        <v>-2.07242203125</v>
      </c>
      <c r="F162" s="190" t="n">
        <v>-2.036503125</v>
      </c>
      <c r="G162" s="190" t="n">
        <v>-2.00058421875</v>
      </c>
      <c r="H162" s="190" t="n">
        <v>-1.9646653125</v>
      </c>
      <c r="I162" s="190" t="n">
        <v>-1.92874640625</v>
      </c>
      <c r="J162" s="190" t="n">
        <v>-1.8928275</v>
      </c>
      <c r="K162" s="190" t="n">
        <v>-1.85690859375</v>
      </c>
      <c r="L162" s="190" t="n">
        <v>-1.8209896875</v>
      </c>
      <c r="M162" s="190" t="n">
        <v>-1.78507078125</v>
      </c>
      <c r="N162" s="190" t="n">
        <v>-1.749151875</v>
      </c>
      <c r="O162" s="190" t="n">
        <v>-1.71323296875</v>
      </c>
      <c r="P162" s="190" t="n">
        <v>-1.6773140625</v>
      </c>
      <c r="Q162" s="190" t="n">
        <v>-1.64139515625</v>
      </c>
      <c r="R162" s="190" t="n">
        <v>-1.60547625</v>
      </c>
      <c r="S162" s="190" t="n">
        <v>-1.56955734375</v>
      </c>
      <c r="T162" s="190" t="n">
        <v>-1.5336384375</v>
      </c>
      <c r="U162" s="190" t="n">
        <v>-1.49771953125</v>
      </c>
      <c r="V162" s="190" t="n">
        <v>-1.461800625</v>
      </c>
      <c r="W162" s="190" t="n">
        <v>-1.42588171875</v>
      </c>
      <c r="X162" s="190" t="n">
        <v>-1.3899628125</v>
      </c>
      <c r="Y162" s="190" t="n">
        <v>-1.35404390625</v>
      </c>
      <c r="Z162" s="190" t="n">
        <v>-1.318125</v>
      </c>
      <c r="AA162" s="190" t="n">
        <v>-1.2840625</v>
      </c>
      <c r="AB162" s="190" t="n">
        <v>-1.25</v>
      </c>
      <c r="AC162" s="190" t="n">
        <v>-1</v>
      </c>
      <c r="AD162" s="190" t="n">
        <v>-0.75</v>
      </c>
      <c r="AE162" s="190" t="n">
        <v>-0.5</v>
      </c>
      <c r="AF162" s="190" t="n">
        <v>-0.25</v>
      </c>
      <c r="AG162" s="190" t="n">
        <v>0</v>
      </c>
      <c r="AH162" s="190" t="n">
        <v>0.08</v>
      </c>
      <c r="AI162" s="190" t="n">
        <v>0.16</v>
      </c>
      <c r="AJ162" s="190" t="n">
        <v>0.24</v>
      </c>
      <c r="AK162" s="190" t="n">
        <v>0.32</v>
      </c>
      <c r="AL162" s="190" t="n">
        <v>0.4</v>
      </c>
      <c r="AM162" s="190" t="n">
        <v>0.48</v>
      </c>
      <c r="AN162" s="190" t="n">
        <v>0.56</v>
      </c>
      <c r="AO162" s="190" t="n">
        <v>0.64</v>
      </c>
      <c r="AP162" s="190" t="n">
        <v>0.72</v>
      </c>
      <c r="AQ162" s="190" t="n">
        <v>0.8</v>
      </c>
      <c r="AR162" s="190" t="n">
        <v>0.88</v>
      </c>
      <c r="AS162" s="190" t="n">
        <v>0.96</v>
      </c>
      <c r="AT162" s="190" t="n">
        <v>1.04</v>
      </c>
      <c r="AU162" s="190" t="n">
        <v>1.12</v>
      </c>
      <c r="AV162" s="190" t="n">
        <v>1.2</v>
      </c>
      <c r="AW162" s="190" t="n">
        <v>1.28</v>
      </c>
      <c r="AX162" s="190" t="n">
        <v>1.36</v>
      </c>
      <c r="AY162" s="190" t="n">
        <v>1.44</v>
      </c>
      <c r="AZ162" s="190" t="n">
        <v>1.52</v>
      </c>
      <c r="BA162" s="190" t="n">
        <v>1.6</v>
      </c>
      <c r="BB162" s="190" t="n">
        <v>1.68</v>
      </c>
      <c r="BC162" s="190" t="n">
        <v>1.76</v>
      </c>
      <c r="BD162" s="190" t="n">
        <v>1.84</v>
      </c>
      <c r="BE162" s="190" t="n">
        <v>1.92</v>
      </c>
      <c r="BF162" s="190" t="n">
        <v>2</v>
      </c>
      <c r="BG162" s="190" t="n">
        <v>2.08</v>
      </c>
      <c r="BH162" s="190" t="n">
        <v>2.16</v>
      </c>
      <c r="BI162" s="190" t="n">
        <v>2.24</v>
      </c>
      <c r="BJ162" s="190" t="n">
        <v>2.32</v>
      </c>
      <c r="BK162" s="190" t="n">
        <v>2.4</v>
      </c>
      <c r="BL162" s="190" t="n">
        <v>2.48</v>
      </c>
      <c r="BM162" s="190" t="n">
        <v>2.56</v>
      </c>
      <c r="BN162" s="190" t="n">
        <v>2.64</v>
      </c>
      <c r="BO162" s="190" t="n">
        <v>2.72</v>
      </c>
      <c r="BP162" s="190" t="n">
        <v>2.8</v>
      </c>
      <c r="BQ162" s="190" t="n">
        <v>2.88</v>
      </c>
      <c r="BR162" s="190" t="n">
        <v>2.96</v>
      </c>
      <c r="BS162" s="190" t="n">
        <v>3.04</v>
      </c>
      <c r="BT162" s="190" t="n">
        <v>3.12</v>
      </c>
      <c r="BU162" s="190" t="n">
        <v>3.2</v>
      </c>
      <c r="BV162" s="190" t="n">
        <v>3.28</v>
      </c>
      <c r="BW162" s="190" t="n">
        <v>3.36</v>
      </c>
      <c r="BX162" s="190" t="n">
        <v>3.44</v>
      </c>
      <c r="BY162" s="190" t="n">
        <v>3.52</v>
      </c>
      <c r="BZ162" s="190" t="n">
        <v>3.6</v>
      </c>
      <c r="CA162" s="190" t="n">
        <v>3.68</v>
      </c>
      <c r="CB162" s="190" t="n">
        <v>3.76</v>
      </c>
      <c r="CC162" s="190" t="n">
        <v>3.84</v>
      </c>
      <c r="CD162" s="190" t="n">
        <v>3.92</v>
      </c>
      <c r="CE162" s="190" t="n">
        <v>4</v>
      </c>
      <c r="CF162" s="190" t="n">
        <v>4.08</v>
      </c>
      <c r="CG162" s="190" t="n">
        <v>4.16</v>
      </c>
      <c r="CH162" s="190" t="n">
        <v>4.24</v>
      </c>
      <c r="CI162" s="190" t="n">
        <v>4.32</v>
      </c>
      <c r="CJ162" s="190" t="n">
        <v>4.4</v>
      </c>
      <c r="CK162" s="190" t="n">
        <v>4.48</v>
      </c>
      <c r="CL162" s="190" t="n">
        <v>4.56</v>
      </c>
      <c r="CM162" s="190" t="n">
        <v>4.64</v>
      </c>
      <c r="CN162" s="190" t="n">
        <v>4.72</v>
      </c>
      <c r="CO162" s="190" t="n">
        <v>4.8</v>
      </c>
      <c r="CP162" s="190" t="n">
        <v>4.88</v>
      </c>
      <c r="CQ162" s="190" t="n">
        <v>4.96</v>
      </c>
      <c r="CR162" s="190" t="n">
        <v>5.04</v>
      </c>
      <c r="CS162" s="190" t="n">
        <v>5.12</v>
      </c>
      <c r="CT162" s="190" t="n">
        <v>5.2</v>
      </c>
      <c r="CU162" s="190" t="n">
        <v>5.28</v>
      </c>
      <c r="CV162" s="190" t="n">
        <v>5.36</v>
      </c>
      <c r="CW162" s="190" t="n">
        <v>5.44</v>
      </c>
      <c r="CX162" s="190" t="n">
        <v>5.52</v>
      </c>
      <c r="CY162" s="190" t="n">
        <v>5.6</v>
      </c>
      <c r="CZ162" s="190" t="n">
        <v>5.68</v>
      </c>
      <c r="DA162" s="190" t="n">
        <v>5.76</v>
      </c>
      <c r="DB162" s="190" t="n">
        <v>5.84</v>
      </c>
      <c r="DC162" s="190" t="n">
        <v>5.92</v>
      </c>
      <c r="DD162" s="190" t="n">
        <v>6</v>
      </c>
      <c r="DE162" s="190" t="n">
        <v>6.08</v>
      </c>
      <c r="DF162" s="190" t="n">
        <v>6.16</v>
      </c>
      <c r="DG162" s="190" t="n">
        <v>6.24</v>
      </c>
      <c r="DH162" s="190" t="n">
        <v>6.32</v>
      </c>
      <c r="DI162" s="190" t="n">
        <v>6.4</v>
      </c>
      <c r="DJ162" s="190" t="n">
        <v>6.48</v>
      </c>
      <c r="DK162" s="190" t="n">
        <v>6.56</v>
      </c>
      <c r="DL162" s="190" t="n">
        <v>6.64</v>
      </c>
      <c r="DM162" s="190" t="n">
        <v>6.72</v>
      </c>
      <c r="DN162" s="190" t="n">
        <v>6.80000000000001</v>
      </c>
      <c r="DO162" s="190" t="n">
        <v>6.88000000000001</v>
      </c>
      <c r="DP162" s="190" t="n">
        <v>6.96000000000001</v>
      </c>
      <c r="DQ162" s="190" t="n">
        <v>7.04000000000001</v>
      </c>
      <c r="DR162" s="190" t="n">
        <v>7.12000000000001</v>
      </c>
      <c r="DS162" s="190" t="n">
        <v>7.20000000000001</v>
      </c>
      <c r="DT162" s="190" t="n">
        <v>7.28000000000001</v>
      </c>
      <c r="DU162" s="190" t="n">
        <v>7.36000000000001</v>
      </c>
      <c r="DV162" s="190" t="n">
        <v>7.44000000000001</v>
      </c>
      <c r="DW162" s="190" t="n">
        <v>7.52000000000001</v>
      </c>
      <c r="DX162" s="190" t="n">
        <v>7.60000000000001</v>
      </c>
      <c r="DY162" s="190" t="n">
        <v>7.68000000000001</v>
      </c>
      <c r="DZ162" s="190" t="n">
        <v>7.76000000000001</v>
      </c>
      <c r="EA162" s="190" t="n">
        <v>7.84000000000001</v>
      </c>
      <c r="EB162" s="190" t="n">
        <v>7.92000000000001</v>
      </c>
      <c r="EC162" s="190" t="n">
        <v>8.00000000000001</v>
      </c>
      <c r="ED162" s="190" t="n">
        <v>8.08000000000001</v>
      </c>
      <c r="EE162" s="190" t="n">
        <v>8.16000000000001</v>
      </c>
      <c r="EF162" s="190" t="n">
        <v>8.24000000000001</v>
      </c>
      <c r="EG162" s="190" t="n">
        <v>8.32000000000001</v>
      </c>
      <c r="EH162" s="190" t="n">
        <v>8.40000000000001</v>
      </c>
      <c r="EI162" s="190" t="n">
        <v>8.48000000000001</v>
      </c>
      <c r="EJ162" s="190" t="n">
        <v>8.56000000000001</v>
      </c>
      <c r="EK162" s="190" t="n">
        <v>8.64000000000001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Z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6" topLeftCell="B7" activePane="bottomRight" state="frozen"/>
      <selection pane="topLeft" activeCell="A1" activeCellId="0" sqref="A1"/>
      <selection pane="topRight" activeCell="B1" activeCellId="0" sqref="B1"/>
      <selection pane="bottomLeft" activeCell="A7" activeCellId="0" sqref="A7"/>
      <selection pane="bottomRight" activeCell="G16" activeCellId="0" sqref="G1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4" min="1" style="1" width="9.7"/>
    <col collapsed="false" customWidth="true" hidden="false" outlineLevel="0" max="25" min="15" style="1" width="10.71"/>
    <col collapsed="false" customWidth="true" hidden="false" outlineLevel="0" max="38" min="26" style="1" width="9.14"/>
  </cols>
  <sheetData>
    <row r="1" customFormat="false" ht="12.75" hidden="false" customHeight="false" outlineLevel="0" collapsed="false">
      <c r="B1" s="159" t="s">
        <v>217</v>
      </c>
      <c r="C1" s="123" t="e">
        <f aca="false">C7</f>
        <v>#N/A</v>
      </c>
      <c r="D1" s="123" t="e">
        <f aca="false">D7</f>
        <v>#N/A</v>
      </c>
      <c r="E1" s="123" t="e">
        <f aca="false">E7</f>
        <v>#N/A</v>
      </c>
      <c r="F1" s="123" t="e">
        <f aca="false">F7</f>
        <v>#N/A</v>
      </c>
      <c r="G1" s="123" t="e">
        <f aca="false">G7</f>
        <v>#N/A</v>
      </c>
      <c r="H1" s="123" t="e">
        <f aca="false">H7</f>
        <v>#N/A</v>
      </c>
      <c r="I1" s="123" t="e">
        <f aca="false">I7</f>
        <v>#N/A</v>
      </c>
      <c r="J1" s="123" t="e">
        <f aca="false">J7</f>
        <v>#N/A</v>
      </c>
      <c r="K1" s="123" t="e">
        <f aca="false">K7</f>
        <v>#N/A</v>
      </c>
      <c r="L1" s="123" t="e">
        <f aca="false">L7</f>
        <v>#N/A</v>
      </c>
      <c r="M1" s="123" t="e">
        <f aca="false">M7</f>
        <v>#N/A</v>
      </c>
      <c r="N1" s="123" t="e">
        <f aca="false">N7</f>
        <v>#N/A</v>
      </c>
      <c r="O1" s="123" t="e">
        <f aca="false">O7</f>
        <v>#N/A</v>
      </c>
      <c r="P1" s="123" t="e">
        <f aca="false">P7</f>
        <v>#N/A</v>
      </c>
      <c r="Q1" s="123" t="e">
        <f aca="false">Q7</f>
        <v>#N/A</v>
      </c>
      <c r="R1" s="123" t="e">
        <f aca="false">R7</f>
        <v>#N/A</v>
      </c>
      <c r="S1" s="123" t="e">
        <f aca="false">S7</f>
        <v>#N/A</v>
      </c>
      <c r="T1" s="123" t="e">
        <f aca="false">T7</f>
        <v>#N/A</v>
      </c>
      <c r="U1" s="123" t="e">
        <f aca="false">U7</f>
        <v>#N/A</v>
      </c>
      <c r="V1" s="123" t="e">
        <f aca="false">V7</f>
        <v>#N/A</v>
      </c>
      <c r="W1" s="123" t="e">
        <f aca="false">W7</f>
        <v>#N/A</v>
      </c>
      <c r="X1" s="123" t="e">
        <f aca="false">X7</f>
        <v>#N/A</v>
      </c>
      <c r="Y1" s="123" t="e">
        <f aca="false">Y7</f>
        <v>#N/A</v>
      </c>
    </row>
    <row r="2" customFormat="false" ht="12.75" hidden="false" customHeight="false" outlineLevel="0" collapsed="false">
      <c r="B2" s="159" t="s">
        <v>45</v>
      </c>
      <c r="C2" s="123" t="n">
        <f aca="false">C8</f>
        <v>-0.16</v>
      </c>
      <c r="D2" s="123" t="n">
        <f aca="false">D8</f>
        <v>-0.6625</v>
      </c>
      <c r="E2" s="123" t="n">
        <f aca="false">E8</f>
        <v>-0.7775</v>
      </c>
      <c r="F2" s="123" t="n">
        <f aca="false">F8</f>
        <v>0.6975</v>
      </c>
      <c r="G2" s="123" t="n">
        <f aca="false">G8</f>
        <v>0.115</v>
      </c>
      <c r="H2" s="123" t="n">
        <f aca="false">H8</f>
        <v>-0.05</v>
      </c>
      <c r="I2" s="123" t="n">
        <f aca="false">I8</f>
        <v>0.245</v>
      </c>
      <c r="J2" s="123" t="n">
        <f aca="false">J8</f>
        <v>0.48</v>
      </c>
      <c r="K2" s="123" t="n">
        <f aca="false">K8</f>
        <v>0.35</v>
      </c>
      <c r="L2" s="123" t="n">
        <f aca="false">L8</f>
        <v>-0.0575</v>
      </c>
      <c r="M2" s="123" t="n">
        <f aca="false">M8</f>
        <v>-0.0025</v>
      </c>
      <c r="N2" s="123" t="n">
        <f aca="false">N8</f>
        <v>-0.115</v>
      </c>
      <c r="O2" s="123" t="n">
        <f aca="false">O8</f>
        <v>-0.6625</v>
      </c>
      <c r="P2" s="123" t="n">
        <f aca="false">P8</f>
        <v>-0.115</v>
      </c>
      <c r="Q2" s="123" t="n">
        <f aca="false">Q8</f>
        <v>0.245</v>
      </c>
      <c r="R2" s="123" t="n">
        <f aca="false">R8</f>
        <v>-0.145</v>
      </c>
      <c r="S2" s="123" t="n">
        <f aca="false">S8</f>
        <v>-0.0025</v>
      </c>
      <c r="T2" s="123" t="n">
        <f aca="false">T8</f>
        <v>0.215</v>
      </c>
      <c r="U2" s="123" t="n">
        <f aca="false">U8</f>
        <v>0.48</v>
      </c>
      <c r="V2" s="123" t="n">
        <f aca="false">V8</f>
        <v>-0.06</v>
      </c>
      <c r="W2" s="123" t="n">
        <f aca="false">W8</f>
        <v>-0.0325</v>
      </c>
      <c r="X2" s="123" t="n">
        <f aca="false">X8</f>
        <v>0.6975</v>
      </c>
      <c r="Y2" s="123" t="n">
        <f aca="false">Y8</f>
        <v>0.8475</v>
      </c>
    </row>
    <row r="3" customFormat="false" ht="12.75" hidden="false" customHeight="false" outlineLevel="0" collapsed="false">
      <c r="A3" s="123"/>
      <c r="B3" s="159" t="s">
        <v>125</v>
      </c>
      <c r="C3" s="123" t="n">
        <f aca="false">AVERAGE(C9:C13)</f>
        <v>-0.154</v>
      </c>
      <c r="D3" s="123" t="n">
        <f aca="false">AVERAGE(D9:D13)</f>
        <v>-0.25</v>
      </c>
      <c r="E3" s="123" t="n">
        <f aca="false">AVERAGE(E9:E13)</f>
        <v>-0.346</v>
      </c>
      <c r="F3" s="123" t="n">
        <f aca="false">AVERAGE(F9:F13)</f>
        <v>0.24</v>
      </c>
      <c r="G3" s="123" t="n">
        <f aca="false">AVERAGE(G9:G13)</f>
        <v>0.1675</v>
      </c>
      <c r="H3" s="123" t="n">
        <f aca="false">AVERAGE(H9:H13)</f>
        <v>-0.099</v>
      </c>
      <c r="I3" s="123" t="n">
        <f aca="false">AVERAGE(I9:I13)</f>
        <v>0.38</v>
      </c>
      <c r="J3" s="123" t="n">
        <f aca="false">AVERAGE(J9:J13)</f>
        <v>1.86</v>
      </c>
      <c r="K3" s="123" t="n">
        <f aca="false">AVERAGE(K9:K13)</f>
        <v>0.1695</v>
      </c>
      <c r="L3" s="123" t="n">
        <f aca="false">AVERAGE(L9:L13)</f>
        <v>0.0275</v>
      </c>
      <c r="M3" s="123" t="n">
        <f aca="false">AVERAGE(M9:M13)</f>
        <v>-0.046</v>
      </c>
      <c r="N3" s="123" t="n">
        <f aca="false">AVERAGE(N9:N13)</f>
        <v>-0.135</v>
      </c>
      <c r="O3" s="123" t="n">
        <f aca="false">AVERAGE(O9:O13)</f>
        <v>-0.25</v>
      </c>
      <c r="P3" s="123" t="n">
        <f aca="false">AVERAGE(P9:P13)</f>
        <v>-0.135</v>
      </c>
      <c r="Q3" s="123" t="n">
        <f aca="false">AVERAGE(Q9:Q13)</f>
        <v>0.38</v>
      </c>
      <c r="R3" s="123" t="n">
        <f aca="false">AVERAGE(R9:R13)</f>
        <v>-0.155</v>
      </c>
      <c r="S3" s="123" t="n">
        <f aca="false">AVERAGE(S9:S13)</f>
        <v>0.0025</v>
      </c>
      <c r="T3" s="123" t="n">
        <f aca="false">AVERAGE(T9:T13)</f>
        <v>0.295</v>
      </c>
      <c r="U3" s="123" t="n">
        <f aca="false">AVERAGE(U9:U13)</f>
        <v>1.86</v>
      </c>
      <c r="V3" s="123" t="n">
        <f aca="false">AVERAGE(V9:V13)</f>
        <v>-0.06</v>
      </c>
      <c r="W3" s="123" t="n">
        <f aca="false">AVERAGE(W9:W13)</f>
        <v>-0.04</v>
      </c>
      <c r="X3" s="123" t="n">
        <f aca="false">AVERAGE(X9:X13)</f>
        <v>0.24</v>
      </c>
      <c r="Y3" s="123" t="n">
        <f aca="false">AVERAGE(Y9:Y13)</f>
        <v>0.44</v>
      </c>
    </row>
    <row r="4" customFormat="false" ht="12.75" hidden="false" customHeight="false" outlineLevel="0" collapsed="false">
      <c r="B4" s="159" t="s">
        <v>127</v>
      </c>
      <c r="C4" s="123" t="n">
        <f aca="false">AVERAGE(C14:C20)</f>
        <v>-0.1375</v>
      </c>
      <c r="D4" s="123" t="n">
        <f aca="false">AVERAGE(D14:D20)</f>
        <v>-0.3</v>
      </c>
      <c r="E4" s="123" t="n">
        <f aca="false">AVERAGE(E14:E20)</f>
        <v>-0.5575</v>
      </c>
      <c r="F4" s="123" t="n">
        <f aca="false">AVERAGE(F14:F20)</f>
        <v>0.305</v>
      </c>
      <c r="G4" s="123" t="n">
        <f aca="false">AVERAGE(G14:G20)</f>
        <v>0.0625</v>
      </c>
      <c r="H4" s="123" t="n">
        <f aca="false">AVERAGE(H14:H20)</f>
        <v>-0.065</v>
      </c>
      <c r="I4" s="123" t="n">
        <f aca="false">AVERAGE(I14:I20)</f>
        <v>0.201428571428571</v>
      </c>
      <c r="J4" s="123" t="n">
        <f aca="false">AVERAGE(J14:J20)</f>
        <v>0.442285714285714</v>
      </c>
      <c r="K4" s="123" t="n">
        <f aca="false">AVERAGE(K14:K20)</f>
        <v>0.12</v>
      </c>
      <c r="L4" s="123" t="n">
        <f aca="false">AVERAGE(L14:L20)</f>
        <v>-0.0925</v>
      </c>
      <c r="M4" s="123" t="n">
        <f aca="false">AVERAGE(M14:M20)</f>
        <v>0.0225</v>
      </c>
      <c r="N4" s="123" t="n">
        <f aca="false">AVERAGE(N14:N20)</f>
        <v>-0.13</v>
      </c>
      <c r="O4" s="123" t="n">
        <f aca="false">AVERAGE(O14:O20)</f>
        <v>-0.3</v>
      </c>
      <c r="P4" s="123" t="n">
        <f aca="false">AVERAGE(P14:P20)</f>
        <v>-0.13</v>
      </c>
      <c r="Q4" s="123" t="n">
        <f aca="false">AVERAGE(Q14:Q20)</f>
        <v>0.201428571428571</v>
      </c>
      <c r="R4" s="123" t="n">
        <f aca="false">AVERAGE(R14:R20)</f>
        <v>-0.13</v>
      </c>
      <c r="S4" s="123" t="n">
        <f aca="false">AVERAGE(S14:S20)</f>
        <v>0.005</v>
      </c>
      <c r="T4" s="123" t="n">
        <f aca="false">AVERAGE(T14:T20)</f>
        <v>0.1525</v>
      </c>
      <c r="U4" s="123" t="n">
        <f aca="false">AVERAGE(U14:U20)</f>
        <v>0.442285714285714</v>
      </c>
      <c r="V4" s="123" t="n">
        <f aca="false">AVERAGE(V14:V20)</f>
        <v>-0.06</v>
      </c>
      <c r="W4" s="123" t="n">
        <f aca="false">AVERAGE(W14:W20)</f>
        <v>-0.0227142857142857</v>
      </c>
      <c r="X4" s="123" t="n">
        <f aca="false">AVERAGE(X14:X20)</f>
        <v>0.305</v>
      </c>
      <c r="Y4" s="123" t="n">
        <f aca="false">AVERAGE(Y14:Y20)</f>
        <v>0.335</v>
      </c>
      <c r="Z4" s="10" t="e">
        <f aca="false">IF(#REF!=3,#REF!,3)</f>
        <v>#REF!</v>
      </c>
      <c r="AA4" s="10" t="e">
        <f aca="false">IF(#REF!=3,#REF!,3)</f>
        <v>#REF!</v>
      </c>
      <c r="AC4" s="11"/>
      <c r="AD4" s="35" t="e">
        <f aca="false">SUM(AD7:AD26)</f>
        <v>#REF!</v>
      </c>
      <c r="AK4" s="0"/>
      <c r="AL4" s="0"/>
      <c r="AO4" s="1"/>
      <c r="AP4" s="1"/>
      <c r="AQ4" s="1"/>
      <c r="AU4" s="4"/>
      <c r="AV4" s="4"/>
      <c r="AW4" s="4"/>
      <c r="AX4" s="4"/>
      <c r="AY4" s="4"/>
      <c r="AZ4" s="4"/>
    </row>
    <row r="5" customFormat="false" ht="13.5" hidden="false" customHeight="false" outlineLevel="0" collapsed="false">
      <c r="B5" s="36"/>
      <c r="C5" s="64" t="s">
        <v>64</v>
      </c>
      <c r="D5" s="64" t="s">
        <v>42</v>
      </c>
      <c r="E5" s="64" t="s">
        <v>37</v>
      </c>
      <c r="F5" s="64" t="s">
        <v>75</v>
      </c>
      <c r="G5" s="64" t="s">
        <v>52</v>
      </c>
      <c r="H5" s="64" t="s">
        <v>218</v>
      </c>
      <c r="I5" s="64" t="s">
        <v>38</v>
      </c>
      <c r="J5" s="64" t="s">
        <v>35</v>
      </c>
      <c r="K5" s="64" t="s">
        <v>116</v>
      </c>
      <c r="L5" s="64" t="s">
        <v>67</v>
      </c>
      <c r="M5" s="64" t="s">
        <v>31</v>
      </c>
      <c r="N5" s="64" t="s">
        <v>47</v>
      </c>
      <c r="O5" s="64" t="s">
        <v>42</v>
      </c>
      <c r="P5" s="64" t="s">
        <v>47</v>
      </c>
      <c r="Q5" s="64" t="s">
        <v>38</v>
      </c>
      <c r="R5" s="64" t="s">
        <v>99</v>
      </c>
      <c r="S5" s="64" t="s">
        <v>219</v>
      </c>
      <c r="T5" s="64" t="s">
        <v>114</v>
      </c>
      <c r="U5" s="64" t="s">
        <v>35</v>
      </c>
      <c r="V5" s="64" t="s">
        <v>95</v>
      </c>
      <c r="W5" s="64" t="s">
        <v>92</v>
      </c>
      <c r="X5" s="64" t="s">
        <v>75</v>
      </c>
      <c r="Y5" s="64" t="s">
        <v>115</v>
      </c>
      <c r="Z5" s="1" t="n">
        <v>4</v>
      </c>
      <c r="AA5" s="1" t="n">
        <v>4</v>
      </c>
      <c r="AH5" s="23" t="s">
        <v>6</v>
      </c>
      <c r="AI5" s="4" t="s">
        <v>1</v>
      </c>
      <c r="AJ5" s="4" t="s">
        <v>2</v>
      </c>
      <c r="AK5" s="4" t="s">
        <v>3</v>
      </c>
      <c r="AL5" s="4" t="s">
        <v>4</v>
      </c>
      <c r="AM5" s="4" t="s">
        <v>5</v>
      </c>
      <c r="AO5" s="23"/>
      <c r="AP5" s="4" t="s">
        <v>1</v>
      </c>
      <c r="AQ5" s="4" t="s">
        <v>2</v>
      </c>
      <c r="AR5" s="4" t="s">
        <v>3</v>
      </c>
      <c r="AS5" s="4" t="s">
        <v>4</v>
      </c>
      <c r="AT5" s="4" t="s">
        <v>5</v>
      </c>
      <c r="AU5" s="10"/>
      <c r="AV5" s="10"/>
      <c r="AW5" s="11"/>
      <c r="AX5" s="1"/>
      <c r="AY5" s="1"/>
      <c r="AZ5" s="1"/>
    </row>
    <row r="6" customFormat="false" ht="14.25" hidden="false" customHeight="false" outlineLevel="0" collapsed="false">
      <c r="A6" s="37" t="s">
        <v>0</v>
      </c>
      <c r="B6" s="37" t="s">
        <v>16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10"/>
      <c r="AA6" s="10"/>
      <c r="AD6" s="1" t="s">
        <v>166</v>
      </c>
      <c r="AE6" s="1" t="s">
        <v>216</v>
      </c>
      <c r="AH6" s="11"/>
      <c r="AK6" s="0"/>
      <c r="AL6" s="0"/>
      <c r="AO6" s="11"/>
      <c r="AP6" s="1"/>
      <c r="AQ6" s="1"/>
      <c r="AU6" s="10"/>
      <c r="AV6" s="10"/>
      <c r="AW6" s="11"/>
      <c r="AX6" s="10"/>
      <c r="AY6" s="1"/>
      <c r="AZ6" s="11"/>
    </row>
    <row r="7" customFormat="false" ht="13.5" hidden="false" customHeight="false" outlineLevel="0" collapsed="false">
      <c r="A7" s="48" t="n">
        <v>36770</v>
      </c>
      <c r="B7" s="40" t="e">
        <f aca="false">VLOOKUP(A7,STRADDLE,5,FALSE())</f>
        <v>#N/A</v>
      </c>
      <c r="C7" s="40" t="e">
        <f aca="false">VLOOKUP($A7,curvesettle,HLOOKUP(C$5,curvesettle,2,FALSE()),FALSE())</f>
        <v>#N/A</v>
      </c>
      <c r="D7" s="40" t="e">
        <f aca="false">VLOOKUP($A7,curvesettle,HLOOKUP(D$5,curvesettle,2,FALSE()),FALSE())</f>
        <v>#N/A</v>
      </c>
      <c r="E7" s="40" t="e">
        <f aca="false">VLOOKUP($A7,curvesettle,HLOOKUP(E$5,curvesettle,2,FALSE()),FALSE())</f>
        <v>#N/A</v>
      </c>
      <c r="F7" s="40" t="e">
        <f aca="false">VLOOKUP($A7,curvesettle,HLOOKUP(F$5,curvesettle,2,FALSE()),FALSE())</f>
        <v>#N/A</v>
      </c>
      <c r="G7" s="40" t="e">
        <f aca="false">VLOOKUP($A7,curvesettle,HLOOKUP(G$5,curvesettle,2,FALSE()),FALSE())</f>
        <v>#N/A</v>
      </c>
      <c r="H7" s="40" t="e">
        <f aca="false">VLOOKUP($A7,curvesettle,HLOOKUP(H$5,curvesettle,2,FALSE()),FALSE())</f>
        <v>#N/A</v>
      </c>
      <c r="I7" s="40" t="e">
        <f aca="false">VLOOKUP($A7,curvesettle,HLOOKUP(I$5,curvesettle,2,FALSE()),FALSE())</f>
        <v>#N/A</v>
      </c>
      <c r="J7" s="40" t="e">
        <f aca="false">VLOOKUP($A7,curvesettle,HLOOKUP(J$5,curvesettle,2,FALSE()),FALSE())</f>
        <v>#N/A</v>
      </c>
      <c r="K7" s="40" t="e">
        <f aca="false">VLOOKUP($A7,curvesettle,HLOOKUP(K$5,curvesettle,2,FALSE()),FALSE())</f>
        <v>#N/A</v>
      </c>
      <c r="L7" s="40" t="e">
        <f aca="false">VLOOKUP($A7,curvesettle,HLOOKUP(L$5,curvesettle,2,FALSE()),FALSE())</f>
        <v>#N/A</v>
      </c>
      <c r="M7" s="40" t="e">
        <f aca="false">VLOOKUP($A7,curvesettle,HLOOKUP(M$5,curvesettle,2,FALSE()),FALSE())</f>
        <v>#N/A</v>
      </c>
      <c r="N7" s="40" t="e">
        <f aca="false">VLOOKUP($A7,curvesettle,HLOOKUP(N$5,curvesettle,2,FALSE()),FALSE())</f>
        <v>#N/A</v>
      </c>
      <c r="O7" s="40" t="e">
        <f aca="false">VLOOKUP($A7,curvesettle,HLOOKUP(O$5,curvesettle,2,FALSE()),FALSE())</f>
        <v>#N/A</v>
      </c>
      <c r="P7" s="40" t="e">
        <f aca="false">VLOOKUP($A7,curvesettle,HLOOKUP(P$5,curvesettle,2,FALSE()),FALSE())</f>
        <v>#N/A</v>
      </c>
      <c r="Q7" s="40" t="e">
        <f aca="false">VLOOKUP($A7,curvesettle,HLOOKUP(Q$5,curvesettle,2,FALSE()),FALSE())</f>
        <v>#N/A</v>
      </c>
      <c r="R7" s="40" t="e">
        <f aca="false">VLOOKUP($A7,curvesettle,HLOOKUP(R$5,curvesettle,2,FALSE()),FALSE())</f>
        <v>#N/A</v>
      </c>
      <c r="S7" s="40" t="e">
        <f aca="false">VLOOKUP($A7,curvesettle,HLOOKUP(S$5,curvesettle,2,FALSE()),FALSE())</f>
        <v>#N/A</v>
      </c>
      <c r="T7" s="40" t="e">
        <f aca="false">VLOOKUP($A7,curvesettle,HLOOKUP(T$5,curvesettle,2,FALSE()),FALSE())</f>
        <v>#N/A</v>
      </c>
      <c r="U7" s="40" t="e">
        <f aca="false">VLOOKUP($A7,curvesettle,HLOOKUP(U$5,curvesettle,2,FALSE()),FALSE())</f>
        <v>#N/A</v>
      </c>
      <c r="V7" s="40" t="e">
        <f aca="false">VLOOKUP($A7,curvesettle,HLOOKUP(V$5,curvesettle,2,FALSE()),FALSE())</f>
        <v>#N/A</v>
      </c>
      <c r="W7" s="40" t="e">
        <f aca="false">VLOOKUP($A7,curvesettle,HLOOKUP(W$5,curvesettle,2,FALSE()),FALSE())</f>
        <v>#N/A</v>
      </c>
      <c r="X7" s="40" t="e">
        <f aca="false">VLOOKUP($A7,curvesettle,HLOOKUP(X$5,curvesettle,2,FALSE()),FALSE())</f>
        <v>#N/A</v>
      </c>
      <c r="Y7" s="40" t="e">
        <f aca="false">VLOOKUP($A7,curvesettle,HLOOKUP(Y$5,curvesettle,2,FALSE()),FALSE())</f>
        <v>#N/A</v>
      </c>
      <c r="Z7" s="44" t="e">
        <f aca="false">IF($AD7=0,0,bsd(Z$5,Z$4,$E7,$F7,$O7,$K7,$P7,0.1))</f>
        <v>#REF!</v>
      </c>
      <c r="AA7" s="44" t="e">
        <f aca="false">IF($AD7=0,0,bsd(AA$5,AA$4,$E7,$G7,$O7,$L7,$P7,0.1))</f>
        <v>#REF!</v>
      </c>
      <c r="AC7" s="9"/>
      <c r="AD7" s="9" t="e">
        <f aca="false">IF(#REF!=1,M7,IF(AE7&gt;0,A8-A7,0))</f>
        <v>#REF!</v>
      </c>
      <c r="AE7" s="48" t="e">
        <f aca="false">IF(A7&lt;=#REF!,A7,0)</f>
        <v>#REF!</v>
      </c>
      <c r="AG7" s="1" t="e">
        <f aca="false">AD7*B7</f>
        <v>#N/A</v>
      </c>
      <c r="AH7" s="33" t="e">
        <f aca="false">AD7*E7</f>
        <v>#N/A</v>
      </c>
      <c r="AI7" s="45" t="e">
        <f aca="false">$AD7*R7</f>
        <v>#N/A</v>
      </c>
      <c r="AJ7" s="45" t="e">
        <f aca="false">$AD7*T7</f>
        <v>#N/A</v>
      </c>
      <c r="AK7" s="45" t="e">
        <f aca="false">$AD7*V7</f>
        <v>#N/A</v>
      </c>
      <c r="AL7" s="45" t="e">
        <f aca="false">$AD7*X7</f>
        <v>#N/A</v>
      </c>
      <c r="AM7" s="45" t="e">
        <f aca="false">$AD7*Z7</f>
        <v>#REF!</v>
      </c>
      <c r="AO7" s="33"/>
      <c r="AP7" s="45" t="e">
        <f aca="false">$AD7*S7</f>
        <v>#N/A</v>
      </c>
      <c r="AQ7" s="45" t="e">
        <f aca="false">$AD7*U7</f>
        <v>#N/A</v>
      </c>
      <c r="AR7" s="45" t="e">
        <f aca="false">$AD7*W7</f>
        <v>#N/A</v>
      </c>
      <c r="AS7" s="45" t="e">
        <f aca="false">$AD7*Y7</f>
        <v>#N/A</v>
      </c>
      <c r="AT7" s="45" t="e">
        <f aca="false">$AD7*AA7</f>
        <v>#REF!</v>
      </c>
      <c r="AU7" s="46"/>
      <c r="AV7" s="45"/>
      <c r="AW7" s="46"/>
      <c r="AX7" s="47"/>
      <c r="AY7" s="47"/>
      <c r="AZ7" s="47"/>
    </row>
    <row r="8" customFormat="false" ht="12.75" hidden="false" customHeight="false" outlineLevel="0" collapsed="false">
      <c r="A8" s="48" t="n">
        <f aca="false">DATE(YEAR(A7),MONTH(A7)+1,1)</f>
        <v>36800</v>
      </c>
      <c r="B8" s="40" t="n">
        <f aca="false">VLOOKUP(A8,STRADDLE,5,FALSE())</f>
        <v>5.24</v>
      </c>
      <c r="C8" s="40" t="n">
        <f aca="false">VLOOKUP($A8,curvesettle,HLOOKUP(C$5,curvesettle,2,FALSE()),FALSE())</f>
        <v>-0.16</v>
      </c>
      <c r="D8" s="40" t="n">
        <f aca="false">VLOOKUP($A8,curvesettle,HLOOKUP(D$5,curvesettle,2,FALSE()),FALSE())</f>
        <v>-0.6625</v>
      </c>
      <c r="E8" s="40" t="n">
        <f aca="false">VLOOKUP($A8,curvesettle,HLOOKUP(E$5,curvesettle,2,FALSE()),FALSE())</f>
        <v>-0.7775</v>
      </c>
      <c r="F8" s="40" t="n">
        <f aca="false">VLOOKUP($A8,curvesettle,HLOOKUP(F$5,curvesettle,2,FALSE()),FALSE())</f>
        <v>0.6975</v>
      </c>
      <c r="G8" s="40" t="n">
        <f aca="false">VLOOKUP($A8,curvesettle,HLOOKUP(G$5,curvesettle,2,FALSE()),FALSE())</f>
        <v>0.115</v>
      </c>
      <c r="H8" s="40" t="n">
        <f aca="false">VLOOKUP($A8,curvesettle,HLOOKUP(H$5,curvesettle,2,FALSE()),FALSE())</f>
        <v>-0.05</v>
      </c>
      <c r="I8" s="40" t="n">
        <f aca="false">VLOOKUP($A8,curvesettle,HLOOKUP(I$5,curvesettle,2,FALSE()),FALSE())</f>
        <v>0.245</v>
      </c>
      <c r="J8" s="40" t="n">
        <f aca="false">VLOOKUP($A8,curvesettle,HLOOKUP(J$5,curvesettle,2,FALSE()),FALSE())</f>
        <v>0.48</v>
      </c>
      <c r="K8" s="40" t="n">
        <f aca="false">VLOOKUP($A8,curvesettle,HLOOKUP(K$5,curvesettle,2,FALSE()),FALSE())</f>
        <v>0.35</v>
      </c>
      <c r="L8" s="40" t="n">
        <f aca="false">VLOOKUP($A8,curvesettle,HLOOKUP(L$5,curvesettle,2,FALSE()),FALSE())</f>
        <v>-0.0575</v>
      </c>
      <c r="M8" s="40" t="n">
        <f aca="false">VLOOKUP($A8,curvesettle,HLOOKUP(M$5,curvesettle,2,FALSE()),FALSE())</f>
        <v>-0.0025</v>
      </c>
      <c r="N8" s="40" t="n">
        <f aca="false">VLOOKUP($A8,curvesettle,HLOOKUP(N$5,curvesettle,2,FALSE()),FALSE())</f>
        <v>-0.115</v>
      </c>
      <c r="O8" s="40" t="n">
        <f aca="false">VLOOKUP($A8,curvesettle,HLOOKUP(O$5,curvesettle,2,FALSE()),FALSE())</f>
        <v>-0.6625</v>
      </c>
      <c r="P8" s="40" t="n">
        <f aca="false">VLOOKUP($A8,curvesettle,HLOOKUP(P$5,curvesettle,2,FALSE()),FALSE())</f>
        <v>-0.115</v>
      </c>
      <c r="Q8" s="40" t="n">
        <f aca="false">VLOOKUP($A8,curvesettle,HLOOKUP(Q$5,curvesettle,2,FALSE()),FALSE())</f>
        <v>0.245</v>
      </c>
      <c r="R8" s="40" t="n">
        <f aca="false">VLOOKUP($A8,curvesettle,HLOOKUP(R$5,curvesettle,2,FALSE()),FALSE())</f>
        <v>-0.145</v>
      </c>
      <c r="S8" s="40" t="n">
        <f aca="false">VLOOKUP($A8,curvesettle,HLOOKUP(S$5,curvesettle,2,FALSE()),FALSE())</f>
        <v>-0.0025</v>
      </c>
      <c r="T8" s="40" t="n">
        <f aca="false">VLOOKUP($A8,curvesettle,HLOOKUP(T$5,curvesettle,2,FALSE()),FALSE())</f>
        <v>0.215</v>
      </c>
      <c r="U8" s="40" t="n">
        <f aca="false">VLOOKUP($A8,curvesettle,HLOOKUP(U$5,curvesettle,2,FALSE()),FALSE())</f>
        <v>0.48</v>
      </c>
      <c r="V8" s="40" t="n">
        <f aca="false">VLOOKUP($A8,curvesettle,HLOOKUP(V$5,curvesettle,2,FALSE()),FALSE())</f>
        <v>-0.06</v>
      </c>
      <c r="W8" s="40" t="n">
        <f aca="false">VLOOKUP($A8,curvesettle,HLOOKUP(W$5,curvesettle,2,FALSE()),FALSE())</f>
        <v>-0.0325</v>
      </c>
      <c r="X8" s="40" t="n">
        <f aca="false">VLOOKUP($A8,curvesettle,HLOOKUP(X$5,curvesettle,2,FALSE()),FALSE())</f>
        <v>0.6975</v>
      </c>
      <c r="Y8" s="40" t="n">
        <f aca="false">VLOOKUP($A8,curvesettle,HLOOKUP(Y$5,curvesettle,2,FALSE()),FALSE())</f>
        <v>0.8475</v>
      </c>
      <c r="Z8" s="44" t="e">
        <f aca="false">IF($AD8=0,0,bsd(Z$5,Z$4,$E8,$F8,$O8,$K8,$P8,0.1))</f>
        <v>#REF!</v>
      </c>
      <c r="AA8" s="44" t="e">
        <f aca="false">IF($AD8=0,0,bsd(AA$5,AA$4,$E8,$G8,$O8,$L8,$P8,0.1))</f>
        <v>#REF!</v>
      </c>
      <c r="AC8" s="9"/>
      <c r="AD8" s="9" t="e">
        <f aca="false">IF(#REF!=1,M8,IF(AE8&gt;0,A9-A8,0))</f>
        <v>#REF!</v>
      </c>
      <c r="AE8" s="48" t="e">
        <f aca="false">IF(A8&lt;=#REF!,A8,0)</f>
        <v>#REF!</v>
      </c>
      <c r="AG8" s="1" t="e">
        <f aca="false">AD8*B8</f>
        <v>#REF!</v>
      </c>
      <c r="AH8" s="33" t="e">
        <f aca="false">AD8*E8</f>
        <v>#REF!</v>
      </c>
      <c r="AI8" s="45" t="e">
        <f aca="false">$AD8*R8</f>
        <v>#REF!</v>
      </c>
      <c r="AJ8" s="45" t="e">
        <f aca="false">$AD8*T8</f>
        <v>#REF!</v>
      </c>
      <c r="AK8" s="45" t="e">
        <f aca="false">$AD8*V8</f>
        <v>#REF!</v>
      </c>
      <c r="AL8" s="45" t="e">
        <f aca="false">$AD8*X8</f>
        <v>#REF!</v>
      </c>
      <c r="AM8" s="45" t="e">
        <f aca="false">$AD8*Z8</f>
        <v>#REF!</v>
      </c>
      <c r="AO8" s="33"/>
      <c r="AP8" s="45" t="e">
        <f aca="false">$AD8*S8</f>
        <v>#REF!</v>
      </c>
      <c r="AQ8" s="45" t="e">
        <f aca="false">$AD8*U8</f>
        <v>#REF!</v>
      </c>
      <c r="AR8" s="45" t="e">
        <f aca="false">$AD8*W8</f>
        <v>#REF!</v>
      </c>
      <c r="AS8" s="45" t="e">
        <f aca="false">$AD8*Y8</f>
        <v>#REF!</v>
      </c>
      <c r="AT8" s="45" t="e">
        <f aca="false">$AD8*AA8</f>
        <v>#REF!</v>
      </c>
      <c r="AU8" s="46"/>
      <c r="AV8" s="45"/>
      <c r="AW8" s="46"/>
      <c r="AX8" s="47"/>
      <c r="AY8" s="47"/>
      <c r="AZ8" s="47"/>
    </row>
    <row r="9" customFormat="false" ht="12.75" hidden="false" customHeight="false" outlineLevel="0" collapsed="false">
      <c r="A9" s="48" t="n">
        <f aca="false">DATE(YEAR(A8),MONTH(A8)+1,1)</f>
        <v>36831</v>
      </c>
      <c r="B9" s="40" t="n">
        <f aca="false">VLOOKUP(A9,STRADDLE,5,FALSE())</f>
        <v>5.4258</v>
      </c>
      <c r="C9" s="40" t="n">
        <f aca="false">VLOOKUP($A9,curvesettle,HLOOKUP(C$5,curvesettle,2,FALSE()),FALSE())</f>
        <v>-0.1575</v>
      </c>
      <c r="D9" s="40" t="n">
        <f aca="false">VLOOKUP($A9,curvesettle,HLOOKUP(D$5,curvesettle,2,FALSE()),FALSE())</f>
        <v>-0.295</v>
      </c>
      <c r="E9" s="40" t="n">
        <f aca="false">VLOOKUP($A9,curvesettle,HLOOKUP(E$5,curvesettle,2,FALSE()),FALSE())</f>
        <v>-0.44</v>
      </c>
      <c r="F9" s="40" t="n">
        <f aca="false">VLOOKUP($A9,curvesettle,HLOOKUP(F$5,curvesettle,2,FALSE()),FALSE())</f>
        <v>0.55</v>
      </c>
      <c r="G9" s="40" t="n">
        <f aca="false">VLOOKUP($A9,curvesettle,HLOOKUP(G$5,curvesettle,2,FALSE()),FALSE())</f>
        <v>0.125</v>
      </c>
      <c r="H9" s="40" t="n">
        <f aca="false">VLOOKUP($A9,curvesettle,HLOOKUP(H$5,curvesettle,2,FALSE()),FALSE())</f>
        <v>-0.1125</v>
      </c>
      <c r="I9" s="40" t="n">
        <f aca="false">VLOOKUP($A9,curvesettle,HLOOKUP(I$5,curvesettle,2,FALSE()),FALSE())</f>
        <v>0.36</v>
      </c>
      <c r="J9" s="40" t="n">
        <f aca="false">VLOOKUP($A9,curvesettle,HLOOKUP(J$5,curvesettle,2,FALSE()),FALSE())</f>
        <v>0.89</v>
      </c>
      <c r="K9" s="40" t="n">
        <f aca="false">VLOOKUP($A9,curvesettle,HLOOKUP(K$5,curvesettle,2,FALSE()),FALSE())</f>
        <v>0.18</v>
      </c>
      <c r="L9" s="40" t="n">
        <f aca="false">VLOOKUP($A9,curvesettle,HLOOKUP(L$5,curvesettle,2,FALSE()),FALSE())</f>
        <v>0.0025</v>
      </c>
      <c r="M9" s="40" t="n">
        <f aca="false">VLOOKUP($A9,curvesettle,HLOOKUP(M$5,curvesettle,2,FALSE()),FALSE())</f>
        <v>-0.0275</v>
      </c>
      <c r="N9" s="40" t="n">
        <f aca="false">VLOOKUP($A9,curvesettle,HLOOKUP(N$5,curvesettle,2,FALSE()),FALSE())</f>
        <v>-0.13</v>
      </c>
      <c r="O9" s="40" t="n">
        <f aca="false">VLOOKUP($A9,curvesettle,HLOOKUP(O$5,curvesettle,2,FALSE()),FALSE())</f>
        <v>-0.295</v>
      </c>
      <c r="P9" s="40" t="n">
        <f aca="false">VLOOKUP($A9,curvesettle,HLOOKUP(P$5,curvesettle,2,FALSE()),FALSE())</f>
        <v>-0.13</v>
      </c>
      <c r="Q9" s="40" t="n">
        <f aca="false">VLOOKUP($A9,curvesettle,HLOOKUP(Q$5,curvesettle,2,FALSE()),FALSE())</f>
        <v>0.36</v>
      </c>
      <c r="R9" s="40" t="n">
        <f aca="false">VLOOKUP($A9,curvesettle,HLOOKUP(R$5,curvesettle,2,FALSE()),FALSE())</f>
        <v>-0.15</v>
      </c>
      <c r="S9" s="40" t="n">
        <f aca="false">VLOOKUP($A9,curvesettle,HLOOKUP(S$5,curvesettle,2,FALSE()),FALSE())</f>
        <v>0.0025</v>
      </c>
      <c r="T9" s="40" t="n">
        <f aca="false">VLOOKUP($A9,curvesettle,HLOOKUP(T$5,curvesettle,2,FALSE()),FALSE())</f>
        <v>0.2525</v>
      </c>
      <c r="U9" s="40" t="n">
        <f aca="false">VLOOKUP($A9,curvesettle,HLOOKUP(U$5,curvesettle,2,FALSE()),FALSE())</f>
        <v>0.89</v>
      </c>
      <c r="V9" s="40" t="n">
        <f aca="false">VLOOKUP($A9,curvesettle,HLOOKUP(V$5,curvesettle,2,FALSE()),FALSE())</f>
        <v>-0.06</v>
      </c>
      <c r="W9" s="40" t="n">
        <f aca="false">VLOOKUP($A9,curvesettle,HLOOKUP(W$5,curvesettle,2,FALSE()),FALSE())</f>
        <v>-0.04</v>
      </c>
      <c r="X9" s="40" t="n">
        <f aca="false">VLOOKUP($A9,curvesettle,HLOOKUP(X$5,curvesettle,2,FALSE()),FALSE())</f>
        <v>0.55</v>
      </c>
      <c r="Y9" s="40" t="n">
        <f aca="false">VLOOKUP($A9,curvesettle,HLOOKUP(Y$5,curvesettle,2,FALSE()),FALSE())</f>
        <v>0.75</v>
      </c>
      <c r="Z9" s="44" t="e">
        <f aca="false">IF($AD9=0,0,bsd(Z$5,Z$4,$E9,$F9,$O9,$K9,$P9,0.1))</f>
        <v>#REF!</v>
      </c>
      <c r="AA9" s="44" t="e">
        <f aca="false">IF($AD9=0,0,bsd(AA$5,AA$4,$E9,$G9,$O9,$L9,$P9,0.1))</f>
        <v>#REF!</v>
      </c>
      <c r="AC9" s="9"/>
      <c r="AD9" s="9" t="e">
        <f aca="false">IF(#REF!=1,M9,IF(AE9&gt;0,A10-A9,0))</f>
        <v>#REF!</v>
      </c>
      <c r="AE9" s="48" t="e">
        <f aca="false">IF(A9&lt;=#REF!,A9,0)</f>
        <v>#REF!</v>
      </c>
      <c r="AG9" s="1" t="e">
        <f aca="false">AD9*B9</f>
        <v>#REF!</v>
      </c>
      <c r="AH9" s="33" t="e">
        <f aca="false">AD9*E9</f>
        <v>#REF!</v>
      </c>
      <c r="AI9" s="45" t="e">
        <f aca="false">$AD9*R9</f>
        <v>#REF!</v>
      </c>
      <c r="AJ9" s="45" t="e">
        <f aca="false">$AD9*T9</f>
        <v>#REF!</v>
      </c>
      <c r="AK9" s="45" t="e">
        <f aca="false">$AD9*V9</f>
        <v>#REF!</v>
      </c>
      <c r="AL9" s="45" t="e">
        <f aca="false">$AD9*X9</f>
        <v>#REF!</v>
      </c>
      <c r="AM9" s="45" t="e">
        <f aca="false">$AD9*Z9</f>
        <v>#REF!</v>
      </c>
      <c r="AO9" s="33"/>
      <c r="AP9" s="45" t="e">
        <f aca="false">$AD9*S9</f>
        <v>#REF!</v>
      </c>
      <c r="AQ9" s="45" t="e">
        <f aca="false">$AD9*U9</f>
        <v>#REF!</v>
      </c>
      <c r="AR9" s="45" t="e">
        <f aca="false">$AD9*W9</f>
        <v>#REF!</v>
      </c>
      <c r="AS9" s="45" t="e">
        <f aca="false">$AD9*Y9</f>
        <v>#REF!</v>
      </c>
      <c r="AT9" s="45" t="e">
        <f aca="false">$AD9*AA9</f>
        <v>#REF!</v>
      </c>
      <c r="AU9" s="46"/>
      <c r="AV9" s="45"/>
      <c r="AW9" s="46"/>
      <c r="AX9" s="47"/>
      <c r="AY9" s="47"/>
      <c r="AZ9" s="47"/>
    </row>
    <row r="10" customFormat="false" ht="12.75" hidden="false" customHeight="false" outlineLevel="0" collapsed="false">
      <c r="A10" s="48" t="n">
        <f aca="false">DATE(YEAR(A9),MONTH(A9)+1,1)</f>
        <v>36861</v>
      </c>
      <c r="B10" s="40" t="n">
        <f aca="false">VLOOKUP(A10,STRADDLE,5,FALSE())</f>
        <v>5.5268</v>
      </c>
      <c r="C10" s="40" t="n">
        <f aca="false">VLOOKUP($A10,curvesettle,HLOOKUP(C$5,curvesettle,2,FALSE()),FALSE())</f>
        <v>-0.1525</v>
      </c>
      <c r="D10" s="40" t="n">
        <f aca="false">VLOOKUP($A10,curvesettle,HLOOKUP(D$5,curvesettle,2,FALSE()),FALSE())</f>
        <v>-0.22</v>
      </c>
      <c r="E10" s="40" t="n">
        <f aca="false">VLOOKUP($A10,curvesettle,HLOOKUP(E$5,curvesettle,2,FALSE()),FALSE())</f>
        <v>-0.3</v>
      </c>
      <c r="F10" s="40" t="n">
        <f aca="false">VLOOKUP($A10,curvesettle,HLOOKUP(F$5,curvesettle,2,FALSE()),FALSE())</f>
        <v>0.27</v>
      </c>
      <c r="G10" s="40" t="n">
        <f aca="false">VLOOKUP($A10,curvesettle,HLOOKUP(G$5,curvesettle,2,FALSE()),FALSE())</f>
        <v>0.1475</v>
      </c>
      <c r="H10" s="40" t="n">
        <f aca="false">VLOOKUP($A10,curvesettle,HLOOKUP(H$5,curvesettle,2,FALSE()),FALSE())</f>
        <v>-0.09</v>
      </c>
      <c r="I10" s="40" t="n">
        <f aca="false">VLOOKUP($A10,curvesettle,HLOOKUP(I$5,curvesettle,2,FALSE()),FALSE())</f>
        <v>0.39</v>
      </c>
      <c r="J10" s="40" t="n">
        <f aca="false">VLOOKUP($A10,curvesettle,HLOOKUP(J$5,curvesettle,2,FALSE()),FALSE())</f>
        <v>1.86</v>
      </c>
      <c r="K10" s="40" t="n">
        <f aca="false">VLOOKUP($A10,curvesettle,HLOOKUP(K$5,curvesettle,2,FALSE()),FALSE())</f>
        <v>0.1575</v>
      </c>
      <c r="L10" s="40" t="n">
        <f aca="false">VLOOKUP($A10,curvesettle,HLOOKUP(L$5,curvesettle,2,FALSE()),FALSE())</f>
        <v>0.0225</v>
      </c>
      <c r="M10" s="40" t="n">
        <f aca="false">VLOOKUP($A10,curvesettle,HLOOKUP(M$5,curvesettle,2,FALSE()),FALSE())</f>
        <v>-0.06</v>
      </c>
      <c r="N10" s="40" t="n">
        <f aca="false">VLOOKUP($A10,curvesettle,HLOOKUP(N$5,curvesettle,2,FALSE()),FALSE())</f>
        <v>-0.14</v>
      </c>
      <c r="O10" s="40" t="n">
        <f aca="false">VLOOKUP($A10,curvesettle,HLOOKUP(O$5,curvesettle,2,FALSE()),FALSE())</f>
        <v>-0.22</v>
      </c>
      <c r="P10" s="40" t="n">
        <f aca="false">VLOOKUP($A10,curvesettle,HLOOKUP(P$5,curvesettle,2,FALSE()),FALSE())</f>
        <v>-0.14</v>
      </c>
      <c r="Q10" s="40" t="n">
        <f aca="false">VLOOKUP($A10,curvesettle,HLOOKUP(Q$5,curvesettle,2,FALSE()),FALSE())</f>
        <v>0.39</v>
      </c>
      <c r="R10" s="40" t="n">
        <f aca="false">VLOOKUP($A10,curvesettle,HLOOKUP(R$5,curvesettle,2,FALSE()),FALSE())</f>
        <v>-0.16</v>
      </c>
      <c r="S10" s="40" t="n">
        <f aca="false">VLOOKUP($A10,curvesettle,HLOOKUP(S$5,curvesettle,2,FALSE()),FALSE())</f>
        <v>0.0025</v>
      </c>
      <c r="T10" s="40" t="n">
        <f aca="false">VLOOKUP($A10,curvesettle,HLOOKUP(T$5,curvesettle,2,FALSE()),FALSE())</f>
        <v>0.255</v>
      </c>
      <c r="U10" s="40" t="n">
        <f aca="false">VLOOKUP($A10,curvesettle,HLOOKUP(U$5,curvesettle,2,FALSE()),FALSE())</f>
        <v>1.86</v>
      </c>
      <c r="V10" s="40" t="n">
        <f aca="false">VLOOKUP($A10,curvesettle,HLOOKUP(V$5,curvesettle,2,FALSE()),FALSE())</f>
        <v>-0.06</v>
      </c>
      <c r="W10" s="40" t="n">
        <f aca="false">VLOOKUP($A10,curvesettle,HLOOKUP(W$5,curvesettle,2,FALSE()),FALSE())</f>
        <v>-0.04</v>
      </c>
      <c r="X10" s="40" t="n">
        <f aca="false">VLOOKUP($A10,curvesettle,HLOOKUP(X$5,curvesettle,2,FALSE()),FALSE())</f>
        <v>0.27</v>
      </c>
      <c r="Y10" s="40" t="n">
        <f aca="false">VLOOKUP($A10,curvesettle,HLOOKUP(Y$5,curvesettle,2,FALSE()),FALSE())</f>
        <v>0.47</v>
      </c>
      <c r="Z10" s="44" t="e">
        <f aca="false">IF($AD10=0,0,bsd(Z$5,Z$4,$E10,$F10,$O10,$K10,$P10,0.1))</f>
        <v>#REF!</v>
      </c>
      <c r="AA10" s="44" t="e">
        <f aca="false">IF($AD10=0,0,bsd(AA$5,AA$4,$E10,$G10,$O10,$L10,$P10,0.1))</f>
        <v>#REF!</v>
      </c>
      <c r="AC10" s="9"/>
      <c r="AD10" s="9" t="e">
        <f aca="false">IF(#REF!=1,M10,IF(AE10&gt;0,A11-A10,0))</f>
        <v>#REF!</v>
      </c>
      <c r="AE10" s="48" t="e">
        <f aca="false">IF(A10&lt;=#REF!,A10,0)</f>
        <v>#REF!</v>
      </c>
      <c r="AG10" s="1" t="e">
        <f aca="false">AD10*B10</f>
        <v>#REF!</v>
      </c>
      <c r="AH10" s="33" t="e">
        <f aca="false">AD10*E10</f>
        <v>#REF!</v>
      </c>
      <c r="AI10" s="45" t="e">
        <f aca="false">$AD10*R10</f>
        <v>#REF!</v>
      </c>
      <c r="AJ10" s="45" t="e">
        <f aca="false">$AD10*T10</f>
        <v>#REF!</v>
      </c>
      <c r="AK10" s="45" t="e">
        <f aca="false">$AD10*V10</f>
        <v>#REF!</v>
      </c>
      <c r="AL10" s="45" t="e">
        <f aca="false">$AD10*X10</f>
        <v>#REF!</v>
      </c>
      <c r="AM10" s="45" t="e">
        <f aca="false">$AD10*Z10</f>
        <v>#REF!</v>
      </c>
      <c r="AO10" s="33"/>
      <c r="AP10" s="45" t="e">
        <f aca="false">$AD10*S10</f>
        <v>#REF!</v>
      </c>
      <c r="AQ10" s="45" t="e">
        <f aca="false">$AD10*U10</f>
        <v>#REF!</v>
      </c>
      <c r="AR10" s="45" t="e">
        <f aca="false">$AD10*W10</f>
        <v>#REF!</v>
      </c>
      <c r="AS10" s="45" t="e">
        <f aca="false">$AD10*Y10</f>
        <v>#REF!</v>
      </c>
      <c r="AT10" s="45" t="e">
        <f aca="false">$AD10*AA10</f>
        <v>#REF!</v>
      </c>
      <c r="AU10" s="46"/>
      <c r="AV10" s="45"/>
      <c r="AW10" s="46"/>
      <c r="AX10" s="47"/>
      <c r="AY10" s="47"/>
      <c r="AZ10" s="47"/>
    </row>
    <row r="11" customFormat="false" ht="12.75" hidden="false" customHeight="false" outlineLevel="0" collapsed="false">
      <c r="A11" s="48" t="n">
        <f aca="false">DATE(YEAR(A10),MONTH(A10)+1,1)</f>
        <v>36892</v>
      </c>
      <c r="B11" s="40" t="n">
        <f aca="false">VLOOKUP(A11,STRADDLE,5,FALSE())</f>
        <v>5.4768</v>
      </c>
      <c r="C11" s="40" t="n">
        <f aca="false">VLOOKUP($A11,curvesettle,HLOOKUP(C$5,curvesettle,2,FALSE()),FALSE())</f>
        <v>-0.1525</v>
      </c>
      <c r="D11" s="40" t="n">
        <f aca="false">VLOOKUP($A11,curvesettle,HLOOKUP(D$5,curvesettle,2,FALSE()),FALSE())</f>
        <v>-0.2175</v>
      </c>
      <c r="E11" s="40" t="n">
        <f aca="false">VLOOKUP($A11,curvesettle,HLOOKUP(E$5,curvesettle,2,FALSE()),FALSE())</f>
        <v>-0.31</v>
      </c>
      <c r="F11" s="40" t="n">
        <f aca="false">VLOOKUP($A11,curvesettle,HLOOKUP(F$5,curvesettle,2,FALSE()),FALSE())</f>
        <v>0.17</v>
      </c>
      <c r="G11" s="40" t="n">
        <f aca="false">VLOOKUP($A11,curvesettle,HLOOKUP(G$5,curvesettle,2,FALSE()),FALSE())</f>
        <v>0.1825</v>
      </c>
      <c r="H11" s="40" t="n">
        <f aca="false">VLOOKUP($A11,curvesettle,HLOOKUP(H$5,curvesettle,2,FALSE()),FALSE())</f>
        <v>-0.09</v>
      </c>
      <c r="I11" s="40" t="n">
        <f aca="false">VLOOKUP($A11,curvesettle,HLOOKUP(I$5,curvesettle,2,FALSE()),FALSE())</f>
        <v>0.39</v>
      </c>
      <c r="J11" s="40" t="n">
        <f aca="false">VLOOKUP($A11,curvesettle,HLOOKUP(J$5,curvesettle,2,FALSE()),FALSE())</f>
        <v>2.61</v>
      </c>
      <c r="K11" s="40" t="n">
        <f aca="false">VLOOKUP($A11,curvesettle,HLOOKUP(K$5,curvesettle,2,FALSE()),FALSE())</f>
        <v>0.15</v>
      </c>
      <c r="L11" s="40" t="n">
        <f aca="false">VLOOKUP($A11,curvesettle,HLOOKUP(L$5,curvesettle,2,FALSE()),FALSE())</f>
        <v>0.035</v>
      </c>
      <c r="M11" s="40" t="n">
        <f aca="false">VLOOKUP($A11,curvesettle,HLOOKUP(M$5,curvesettle,2,FALSE()),FALSE())</f>
        <v>-0.065</v>
      </c>
      <c r="N11" s="40" t="n">
        <f aca="false">VLOOKUP($A11,curvesettle,HLOOKUP(N$5,curvesettle,2,FALSE()),FALSE())</f>
        <v>-0.1475</v>
      </c>
      <c r="O11" s="40" t="n">
        <f aca="false">VLOOKUP($A11,curvesettle,HLOOKUP(O$5,curvesettle,2,FALSE()),FALSE())</f>
        <v>-0.2175</v>
      </c>
      <c r="P11" s="40" t="n">
        <f aca="false">VLOOKUP($A11,curvesettle,HLOOKUP(P$5,curvesettle,2,FALSE()),FALSE())</f>
        <v>-0.1475</v>
      </c>
      <c r="Q11" s="40" t="n">
        <f aca="false">VLOOKUP($A11,curvesettle,HLOOKUP(Q$5,curvesettle,2,FALSE()),FALSE())</f>
        <v>0.39</v>
      </c>
      <c r="R11" s="40" t="n">
        <f aca="false">VLOOKUP($A11,curvesettle,HLOOKUP(R$5,curvesettle,2,FALSE()),FALSE())</f>
        <v>-0.1675</v>
      </c>
      <c r="S11" s="40" t="n">
        <f aca="false">VLOOKUP($A11,curvesettle,HLOOKUP(S$5,curvesettle,2,FALSE()),FALSE())</f>
        <v>0.0025</v>
      </c>
      <c r="T11" s="40" t="n">
        <f aca="false">VLOOKUP($A11,curvesettle,HLOOKUP(T$5,curvesettle,2,FALSE()),FALSE())</f>
        <v>0.305</v>
      </c>
      <c r="U11" s="40" t="n">
        <f aca="false">VLOOKUP($A11,curvesettle,HLOOKUP(U$5,curvesettle,2,FALSE()),FALSE())</f>
        <v>2.61</v>
      </c>
      <c r="V11" s="40" t="n">
        <f aca="false">VLOOKUP($A11,curvesettle,HLOOKUP(V$5,curvesettle,2,FALSE()),FALSE())</f>
        <v>-0.06</v>
      </c>
      <c r="W11" s="40" t="n">
        <f aca="false">VLOOKUP($A11,curvesettle,HLOOKUP(W$5,curvesettle,2,FALSE()),FALSE())</f>
        <v>-0.04</v>
      </c>
      <c r="X11" s="40" t="n">
        <f aca="false">VLOOKUP($A11,curvesettle,HLOOKUP(X$5,curvesettle,2,FALSE()),FALSE())</f>
        <v>0.17</v>
      </c>
      <c r="Y11" s="40" t="n">
        <f aca="false">VLOOKUP($A11,curvesettle,HLOOKUP(Y$5,curvesettle,2,FALSE()),FALSE())</f>
        <v>0.37</v>
      </c>
      <c r="Z11" s="44" t="e">
        <f aca="false">IF($AD11=0,0,bsd(Z$5,Z$4,$E11,$F11,$O11,$K11,$P11,0.1))</f>
        <v>#REF!</v>
      </c>
      <c r="AA11" s="44" t="e">
        <f aca="false">IF($AD11=0,0,bsd(AA$5,AA$4,$E11,$G11,$O11,$L11,$P11,0.1))</f>
        <v>#REF!</v>
      </c>
      <c r="AC11" s="9"/>
      <c r="AD11" s="9" t="e">
        <f aca="false">IF(#REF!=1,M11,IF(AE11&gt;0,A12-A11,0))</f>
        <v>#REF!</v>
      </c>
      <c r="AE11" s="48" t="e">
        <f aca="false">IF(A11&lt;=#REF!,A11,0)</f>
        <v>#REF!</v>
      </c>
      <c r="AG11" s="1" t="e">
        <f aca="false">AD11*B11</f>
        <v>#REF!</v>
      </c>
      <c r="AH11" s="33" t="e">
        <f aca="false">AD11*E11</f>
        <v>#REF!</v>
      </c>
      <c r="AI11" s="45" t="e">
        <f aca="false">$AD11*R11</f>
        <v>#REF!</v>
      </c>
      <c r="AJ11" s="45" t="e">
        <f aca="false">$AD11*T11</f>
        <v>#REF!</v>
      </c>
      <c r="AK11" s="45" t="e">
        <f aca="false">$AD11*V11</f>
        <v>#REF!</v>
      </c>
      <c r="AL11" s="45" t="e">
        <f aca="false">$AD11*X11</f>
        <v>#REF!</v>
      </c>
      <c r="AM11" s="45" t="e">
        <f aca="false">$AD11*Z11</f>
        <v>#REF!</v>
      </c>
      <c r="AO11" s="33"/>
      <c r="AP11" s="45" t="e">
        <f aca="false">$AD11*S11</f>
        <v>#REF!</v>
      </c>
      <c r="AQ11" s="45" t="e">
        <f aca="false">$AD11*U11</f>
        <v>#REF!</v>
      </c>
      <c r="AR11" s="45" t="e">
        <f aca="false">$AD11*W11</f>
        <v>#REF!</v>
      </c>
      <c r="AS11" s="45" t="e">
        <f aca="false">$AD11*Y11</f>
        <v>#REF!</v>
      </c>
      <c r="AT11" s="45" t="e">
        <f aca="false">$AD11*AA11</f>
        <v>#REF!</v>
      </c>
      <c r="AU11" s="46"/>
      <c r="AV11" s="45"/>
      <c r="AW11" s="46"/>
      <c r="AX11" s="47"/>
      <c r="AY11" s="47"/>
      <c r="AZ11" s="47"/>
    </row>
    <row r="12" customFormat="false" ht="12.75" hidden="false" customHeight="false" outlineLevel="0" collapsed="false">
      <c r="A12" s="48" t="n">
        <f aca="false">DATE(YEAR(A11),MONTH(A11)+1,1)</f>
        <v>36923</v>
      </c>
      <c r="B12" s="40" t="n">
        <f aca="false">VLOOKUP(A12,STRADDLE,5,FALSE())</f>
        <v>5.1838</v>
      </c>
      <c r="C12" s="40" t="n">
        <f aca="false">VLOOKUP($A12,curvesettle,HLOOKUP(C$5,curvesettle,2,FALSE()),FALSE())</f>
        <v>-0.1525</v>
      </c>
      <c r="D12" s="40" t="n">
        <f aca="false">VLOOKUP($A12,curvesettle,HLOOKUP(D$5,curvesettle,2,FALSE()),FALSE())</f>
        <v>-0.2225</v>
      </c>
      <c r="E12" s="40" t="n">
        <f aca="false">VLOOKUP($A12,curvesettle,HLOOKUP(E$5,curvesettle,2,FALSE()),FALSE())</f>
        <v>-0.33</v>
      </c>
      <c r="F12" s="40" t="n">
        <f aca="false">VLOOKUP($A12,curvesettle,HLOOKUP(F$5,curvesettle,2,FALSE()),FALSE())</f>
        <v>0.125</v>
      </c>
      <c r="G12" s="40" t="n">
        <f aca="false">VLOOKUP($A12,curvesettle,HLOOKUP(G$5,curvesettle,2,FALSE()),FALSE())</f>
        <v>0.195</v>
      </c>
      <c r="H12" s="40" t="n">
        <f aca="false">VLOOKUP($A12,curvesettle,HLOOKUP(H$5,curvesettle,2,FALSE()),FALSE())</f>
        <v>-0.09</v>
      </c>
      <c r="I12" s="40" t="n">
        <f aca="false">VLOOKUP($A12,curvesettle,HLOOKUP(I$5,curvesettle,2,FALSE()),FALSE())</f>
        <v>0.39</v>
      </c>
      <c r="J12" s="40" t="n">
        <f aca="false">VLOOKUP($A12,curvesettle,HLOOKUP(J$5,curvesettle,2,FALSE()),FALSE())</f>
        <v>2.6</v>
      </c>
      <c r="K12" s="40" t="n">
        <f aca="false">VLOOKUP($A12,curvesettle,HLOOKUP(K$5,curvesettle,2,FALSE()),FALSE())</f>
        <v>0.18</v>
      </c>
      <c r="L12" s="40" t="n">
        <f aca="false">VLOOKUP($A12,curvesettle,HLOOKUP(L$5,curvesettle,2,FALSE()),FALSE())</f>
        <v>0.04</v>
      </c>
      <c r="M12" s="40" t="n">
        <f aca="false">VLOOKUP($A12,curvesettle,HLOOKUP(M$5,curvesettle,2,FALSE()),FALSE())</f>
        <v>-0.0475</v>
      </c>
      <c r="N12" s="40" t="n">
        <f aca="false">VLOOKUP($A12,curvesettle,HLOOKUP(N$5,curvesettle,2,FALSE()),FALSE())</f>
        <v>-0.1325</v>
      </c>
      <c r="O12" s="40" t="n">
        <f aca="false">VLOOKUP($A12,curvesettle,HLOOKUP(O$5,curvesettle,2,FALSE()),FALSE())</f>
        <v>-0.2225</v>
      </c>
      <c r="P12" s="40" t="n">
        <f aca="false">VLOOKUP($A12,curvesettle,HLOOKUP(P$5,curvesettle,2,FALSE()),FALSE())</f>
        <v>-0.1325</v>
      </c>
      <c r="Q12" s="40" t="n">
        <f aca="false">VLOOKUP($A12,curvesettle,HLOOKUP(Q$5,curvesettle,2,FALSE()),FALSE())</f>
        <v>0.39</v>
      </c>
      <c r="R12" s="40" t="n">
        <f aca="false">VLOOKUP($A12,curvesettle,HLOOKUP(R$5,curvesettle,2,FALSE()),FALSE())</f>
        <v>-0.1525</v>
      </c>
      <c r="S12" s="40" t="n">
        <f aca="false">VLOOKUP($A12,curvesettle,HLOOKUP(S$5,curvesettle,2,FALSE()),FALSE())</f>
        <v>0.0025</v>
      </c>
      <c r="T12" s="40" t="n">
        <f aca="false">VLOOKUP($A12,curvesettle,HLOOKUP(T$5,curvesettle,2,FALSE()),FALSE())</f>
        <v>0.3325</v>
      </c>
      <c r="U12" s="40" t="n">
        <f aca="false">VLOOKUP($A12,curvesettle,HLOOKUP(U$5,curvesettle,2,FALSE()),FALSE())</f>
        <v>2.6</v>
      </c>
      <c r="V12" s="40" t="n">
        <f aca="false">VLOOKUP($A12,curvesettle,HLOOKUP(V$5,curvesettle,2,FALSE()),FALSE())</f>
        <v>-0.06</v>
      </c>
      <c r="W12" s="40" t="n">
        <f aca="false">VLOOKUP($A12,curvesettle,HLOOKUP(W$5,curvesettle,2,FALSE()),FALSE())</f>
        <v>-0.04</v>
      </c>
      <c r="X12" s="40" t="n">
        <f aca="false">VLOOKUP($A12,curvesettle,HLOOKUP(X$5,curvesettle,2,FALSE()),FALSE())</f>
        <v>0.125</v>
      </c>
      <c r="Y12" s="40" t="n">
        <f aca="false">VLOOKUP($A12,curvesettle,HLOOKUP(Y$5,curvesettle,2,FALSE()),FALSE())</f>
        <v>0.325</v>
      </c>
      <c r="Z12" s="44" t="e">
        <f aca="false">IF($AD12=0,0,bsd(Z$5,Z$4,$E12,$F12,$O12,$K12,$P12,0.1))</f>
        <v>#REF!</v>
      </c>
      <c r="AA12" s="44" t="e">
        <f aca="false">IF($AD12=0,0,bsd(AA$5,AA$4,$E12,$G12,$O12,$L12,$P12,0.1))</f>
        <v>#REF!</v>
      </c>
      <c r="AC12" s="9"/>
      <c r="AD12" s="9" t="e">
        <f aca="false">IF(#REF!=1,M12,IF(AE12&gt;0,A13-A12,0))</f>
        <v>#REF!</v>
      </c>
      <c r="AE12" s="48" t="e">
        <f aca="false">IF(A12&lt;=#REF!,A12,0)</f>
        <v>#REF!</v>
      </c>
      <c r="AG12" s="1" t="e">
        <f aca="false">AD12*B12</f>
        <v>#REF!</v>
      </c>
      <c r="AH12" s="33" t="e">
        <f aca="false">AD12*E12</f>
        <v>#REF!</v>
      </c>
      <c r="AI12" s="45" t="e">
        <f aca="false">$AD12*R12</f>
        <v>#REF!</v>
      </c>
      <c r="AJ12" s="45" t="e">
        <f aca="false">$AD12*T12</f>
        <v>#REF!</v>
      </c>
      <c r="AK12" s="45" t="e">
        <f aca="false">$AD12*V12</f>
        <v>#REF!</v>
      </c>
      <c r="AL12" s="45" t="e">
        <f aca="false">$AD12*X12</f>
        <v>#REF!</v>
      </c>
      <c r="AM12" s="45" t="e">
        <f aca="false">$AD12*Z12</f>
        <v>#REF!</v>
      </c>
      <c r="AO12" s="33"/>
      <c r="AP12" s="45" t="e">
        <f aca="false">$AD12*S12</f>
        <v>#REF!</v>
      </c>
      <c r="AQ12" s="45" t="e">
        <f aca="false">$AD12*U12</f>
        <v>#REF!</v>
      </c>
      <c r="AR12" s="45" t="e">
        <f aca="false">$AD12*W12</f>
        <v>#REF!</v>
      </c>
      <c r="AS12" s="45" t="e">
        <f aca="false">$AD12*Y12</f>
        <v>#REF!</v>
      </c>
      <c r="AT12" s="45" t="e">
        <f aca="false">$AD12*AA12</f>
        <v>#REF!</v>
      </c>
      <c r="AU12" s="46"/>
      <c r="AV12" s="45"/>
      <c r="AW12" s="46"/>
      <c r="AX12" s="47"/>
      <c r="AY12" s="47"/>
      <c r="AZ12" s="47"/>
    </row>
    <row r="13" customFormat="false" ht="12.75" hidden="false" customHeight="false" outlineLevel="0" collapsed="false">
      <c r="A13" s="48" t="n">
        <f aca="false">DATE(YEAR(A12),MONTH(A12)+1,1)</f>
        <v>36951</v>
      </c>
      <c r="B13" s="40" t="n">
        <f aca="false">VLOOKUP(A13,STRADDLE,5,FALSE())</f>
        <v>4.8868</v>
      </c>
      <c r="C13" s="40" t="n">
        <f aca="false">VLOOKUP($A13,curvesettle,HLOOKUP(C$5,curvesettle,2,FALSE()),FALSE())</f>
        <v>-0.155</v>
      </c>
      <c r="D13" s="40" t="n">
        <f aca="false">VLOOKUP($A13,curvesettle,HLOOKUP(D$5,curvesettle,2,FALSE()),FALSE())</f>
        <v>-0.295</v>
      </c>
      <c r="E13" s="40" t="n">
        <f aca="false">VLOOKUP($A13,curvesettle,HLOOKUP(E$5,curvesettle,2,FALSE()),FALSE())</f>
        <v>-0.35</v>
      </c>
      <c r="F13" s="40" t="n">
        <f aca="false">VLOOKUP($A13,curvesettle,HLOOKUP(F$5,curvesettle,2,FALSE()),FALSE())</f>
        <v>0.085</v>
      </c>
      <c r="G13" s="40" t="n">
        <f aca="false">VLOOKUP($A13,curvesettle,HLOOKUP(G$5,curvesettle,2,FALSE()),FALSE())</f>
        <v>0.1875</v>
      </c>
      <c r="H13" s="40" t="n">
        <f aca="false">VLOOKUP($A13,curvesettle,HLOOKUP(H$5,curvesettle,2,FALSE()),FALSE())</f>
        <v>-0.1125</v>
      </c>
      <c r="I13" s="40" t="n">
        <f aca="false">VLOOKUP($A13,curvesettle,HLOOKUP(I$5,curvesettle,2,FALSE()),FALSE())</f>
        <v>0.37</v>
      </c>
      <c r="J13" s="40" t="n">
        <f aca="false">VLOOKUP($A13,curvesettle,HLOOKUP(J$5,curvesettle,2,FALSE()),FALSE())</f>
        <v>1.34</v>
      </c>
      <c r="K13" s="40" t="n">
        <f aca="false">VLOOKUP($A13,curvesettle,HLOOKUP(K$5,curvesettle,2,FALSE()),FALSE())</f>
        <v>0.18</v>
      </c>
      <c r="L13" s="40" t="n">
        <f aca="false">VLOOKUP($A13,curvesettle,HLOOKUP(L$5,curvesettle,2,FALSE()),FALSE())</f>
        <v>0.0375</v>
      </c>
      <c r="M13" s="40" t="n">
        <f aca="false">VLOOKUP($A13,curvesettle,HLOOKUP(M$5,curvesettle,2,FALSE()),FALSE())</f>
        <v>-0.03</v>
      </c>
      <c r="N13" s="40" t="n">
        <f aca="false">VLOOKUP($A13,curvesettle,HLOOKUP(N$5,curvesettle,2,FALSE()),FALSE())</f>
        <v>-0.125</v>
      </c>
      <c r="O13" s="40" t="n">
        <f aca="false">VLOOKUP($A13,curvesettle,HLOOKUP(O$5,curvesettle,2,FALSE()),FALSE())</f>
        <v>-0.295</v>
      </c>
      <c r="P13" s="40" t="n">
        <f aca="false">VLOOKUP($A13,curvesettle,HLOOKUP(P$5,curvesettle,2,FALSE()),FALSE())</f>
        <v>-0.125</v>
      </c>
      <c r="Q13" s="40" t="n">
        <f aca="false">VLOOKUP($A13,curvesettle,HLOOKUP(Q$5,curvesettle,2,FALSE()),FALSE())</f>
        <v>0.37</v>
      </c>
      <c r="R13" s="40" t="n">
        <f aca="false">VLOOKUP($A13,curvesettle,HLOOKUP(R$5,curvesettle,2,FALSE()),FALSE())</f>
        <v>-0.145</v>
      </c>
      <c r="S13" s="40" t="n">
        <f aca="false">VLOOKUP($A13,curvesettle,HLOOKUP(S$5,curvesettle,2,FALSE()),FALSE())</f>
        <v>0.0025</v>
      </c>
      <c r="T13" s="40" t="n">
        <f aca="false">VLOOKUP($A13,curvesettle,HLOOKUP(T$5,curvesettle,2,FALSE()),FALSE())</f>
        <v>0.33</v>
      </c>
      <c r="U13" s="40" t="n">
        <f aca="false">VLOOKUP($A13,curvesettle,HLOOKUP(U$5,curvesettle,2,FALSE()),FALSE())</f>
        <v>1.34</v>
      </c>
      <c r="V13" s="40" t="n">
        <f aca="false">VLOOKUP($A13,curvesettle,HLOOKUP(V$5,curvesettle,2,FALSE()),FALSE())</f>
        <v>-0.06</v>
      </c>
      <c r="W13" s="40" t="n">
        <f aca="false">VLOOKUP($A13,curvesettle,HLOOKUP(W$5,curvesettle,2,FALSE()),FALSE())</f>
        <v>-0.04</v>
      </c>
      <c r="X13" s="40" t="n">
        <f aca="false">VLOOKUP($A13,curvesettle,HLOOKUP(X$5,curvesettle,2,FALSE()),FALSE())</f>
        <v>0.085</v>
      </c>
      <c r="Y13" s="40" t="n">
        <f aca="false">VLOOKUP($A13,curvesettle,HLOOKUP(Y$5,curvesettle,2,FALSE()),FALSE())</f>
        <v>0.285</v>
      </c>
      <c r="Z13" s="44" t="e">
        <f aca="false">IF($AD13=0,0,bsd(Z$5,Z$4,$E13,$F13,$O13,$K13,$P13,0.1))</f>
        <v>#REF!</v>
      </c>
      <c r="AA13" s="44" t="e">
        <f aca="false">IF($AD13=0,0,bsd(AA$5,AA$4,$E13,$G13,$O13,$L13,$P13,0.1))</f>
        <v>#REF!</v>
      </c>
      <c r="AC13" s="9"/>
      <c r="AD13" s="9" t="e">
        <f aca="false">IF(#REF!=1,M13,IF(AE13&gt;0,A14-A13,0))</f>
        <v>#REF!</v>
      </c>
      <c r="AE13" s="48" t="e">
        <f aca="false">IF(A13&lt;=#REF!,A13,0)</f>
        <v>#REF!</v>
      </c>
      <c r="AG13" s="1" t="e">
        <f aca="false">AD13*B13</f>
        <v>#REF!</v>
      </c>
      <c r="AH13" s="33" t="e">
        <f aca="false">AD13*E13</f>
        <v>#REF!</v>
      </c>
      <c r="AI13" s="45" t="e">
        <f aca="false">$AD13*R13</f>
        <v>#REF!</v>
      </c>
      <c r="AJ13" s="45" t="e">
        <f aca="false">$AD13*T13</f>
        <v>#REF!</v>
      </c>
      <c r="AK13" s="45" t="e">
        <f aca="false">$AD13*V13</f>
        <v>#REF!</v>
      </c>
      <c r="AL13" s="45" t="e">
        <f aca="false">$AD13*X13</f>
        <v>#REF!</v>
      </c>
      <c r="AM13" s="45" t="e">
        <f aca="false">$AD13*Z13</f>
        <v>#REF!</v>
      </c>
      <c r="AO13" s="33"/>
      <c r="AP13" s="45" t="e">
        <f aca="false">$AD13*S13</f>
        <v>#REF!</v>
      </c>
      <c r="AQ13" s="45" t="e">
        <f aca="false">$AD13*U13</f>
        <v>#REF!</v>
      </c>
      <c r="AR13" s="45" t="e">
        <f aca="false">$AD13*W13</f>
        <v>#REF!</v>
      </c>
      <c r="AS13" s="45" t="e">
        <f aca="false">$AD13*Y13</f>
        <v>#REF!</v>
      </c>
      <c r="AT13" s="45" t="e">
        <f aca="false">$AD13*AA13</f>
        <v>#REF!</v>
      </c>
      <c r="AU13" s="46"/>
      <c r="AV13" s="45"/>
      <c r="AW13" s="46"/>
      <c r="AX13" s="47"/>
      <c r="AY13" s="47"/>
      <c r="AZ13" s="47"/>
    </row>
    <row r="14" customFormat="false" ht="12.75" hidden="false" customHeight="false" outlineLevel="0" collapsed="false">
      <c r="A14" s="48" t="n">
        <f aca="false">DATE(YEAR(A13),MONTH(A13)+1,1)</f>
        <v>36982</v>
      </c>
      <c r="B14" s="40" t="n">
        <f aca="false">VLOOKUP(A14,STRADDLE,5,FALSE())</f>
        <v>4.57071428571429</v>
      </c>
      <c r="C14" s="40" t="n">
        <f aca="false">VLOOKUP($A14,curvesettle,HLOOKUP(C$5,curvesettle,2,FALSE()),FALSE())</f>
        <v>-0.1375</v>
      </c>
      <c r="D14" s="40" t="n">
        <f aca="false">VLOOKUP($A14,curvesettle,HLOOKUP(D$5,curvesettle,2,FALSE()),FALSE())</f>
        <v>-0.3</v>
      </c>
      <c r="E14" s="40" t="n">
        <f aca="false">VLOOKUP($A14,curvesettle,HLOOKUP(E$5,curvesettle,2,FALSE()),FALSE())</f>
        <v>-0.5375</v>
      </c>
      <c r="F14" s="40" t="n">
        <f aca="false">VLOOKUP($A14,curvesettle,HLOOKUP(F$5,curvesettle,2,FALSE()),FALSE())</f>
        <v>-0.055</v>
      </c>
      <c r="G14" s="40" t="n">
        <f aca="false">VLOOKUP($A14,curvesettle,HLOOKUP(G$5,curvesettle,2,FALSE()),FALSE())</f>
        <v>0.0725</v>
      </c>
      <c r="H14" s="40" t="n">
        <f aca="false">VLOOKUP($A14,curvesettle,HLOOKUP(H$5,curvesettle,2,FALSE()),FALSE())</f>
        <v>-0.065</v>
      </c>
      <c r="I14" s="40" t="n">
        <f aca="false">VLOOKUP($A14,curvesettle,HLOOKUP(I$5,curvesettle,2,FALSE()),FALSE())</f>
        <v>0.21</v>
      </c>
      <c r="J14" s="40" t="n">
        <f aca="false">VLOOKUP($A14,curvesettle,HLOOKUP(J$5,curvesettle,2,FALSE()),FALSE())</f>
        <v>0.52</v>
      </c>
      <c r="K14" s="40" t="n">
        <f aca="false">VLOOKUP($A14,curvesettle,HLOOKUP(K$5,curvesettle,2,FALSE()),FALSE())</f>
        <v>0.12</v>
      </c>
      <c r="L14" s="40" t="n">
        <f aca="false">VLOOKUP($A14,curvesettle,HLOOKUP(L$5,curvesettle,2,FALSE()),FALSE())</f>
        <v>-0.1025</v>
      </c>
      <c r="M14" s="40" t="n">
        <f aca="false">VLOOKUP($A14,curvesettle,HLOOKUP(M$5,curvesettle,2,FALSE()),FALSE())</f>
        <v>0.0125</v>
      </c>
      <c r="N14" s="40" t="n">
        <f aca="false">VLOOKUP($A14,curvesettle,HLOOKUP(N$5,curvesettle,2,FALSE()),FALSE())</f>
        <v>-0.14</v>
      </c>
      <c r="O14" s="40" t="n">
        <f aca="false">VLOOKUP($A14,curvesettle,HLOOKUP(O$5,curvesettle,2,FALSE()),FALSE())</f>
        <v>-0.3</v>
      </c>
      <c r="P14" s="40" t="n">
        <f aca="false">VLOOKUP($A14,curvesettle,HLOOKUP(P$5,curvesettle,2,FALSE()),FALSE())</f>
        <v>-0.14</v>
      </c>
      <c r="Q14" s="40" t="n">
        <f aca="false">VLOOKUP($A14,curvesettle,HLOOKUP(Q$5,curvesettle,2,FALSE()),FALSE())</f>
        <v>0.21</v>
      </c>
      <c r="R14" s="40" t="n">
        <f aca="false">VLOOKUP($A14,curvesettle,HLOOKUP(R$5,curvesettle,2,FALSE()),FALSE())</f>
        <v>-0.13</v>
      </c>
      <c r="S14" s="40" t="n">
        <f aca="false">VLOOKUP($A14,curvesettle,HLOOKUP(S$5,curvesettle,2,FALSE()),FALSE())</f>
        <v>0.005</v>
      </c>
      <c r="T14" s="40" t="n">
        <f aca="false">VLOOKUP($A14,curvesettle,HLOOKUP(T$5,curvesettle,2,FALSE()),FALSE())</f>
        <v>0.17</v>
      </c>
      <c r="U14" s="40" t="n">
        <f aca="false">VLOOKUP($A14,curvesettle,HLOOKUP(U$5,curvesettle,2,FALSE()),FALSE())</f>
        <v>0.52</v>
      </c>
      <c r="V14" s="40" t="n">
        <f aca="false">VLOOKUP($A14,curvesettle,HLOOKUP(V$5,curvesettle,2,FALSE()),FALSE())</f>
        <v>-0.06</v>
      </c>
      <c r="W14" s="40" t="n">
        <f aca="false">VLOOKUP($A14,curvesettle,HLOOKUP(W$5,curvesettle,2,FALSE()),FALSE())</f>
        <v>-0.0225</v>
      </c>
      <c r="X14" s="40" t="n">
        <f aca="false">VLOOKUP($A14,curvesettle,HLOOKUP(X$5,curvesettle,2,FALSE()),FALSE())</f>
        <v>-0.055</v>
      </c>
      <c r="Y14" s="40" t="n">
        <f aca="false">VLOOKUP($A14,curvesettle,HLOOKUP(Y$5,curvesettle,2,FALSE()),FALSE())</f>
        <v>-0.025</v>
      </c>
      <c r="Z14" s="44" t="e">
        <f aca="false">IF($AD14=0,0,bsd(Z$5,Z$4,$E14,$F14,$O14,$K14,$P14,0.1))</f>
        <v>#REF!</v>
      </c>
      <c r="AA14" s="44" t="e">
        <f aca="false">IF($AD14=0,0,bsd(AA$5,AA$4,$E14,$G14,$O14,$L14,$P14,0.1))</f>
        <v>#REF!</v>
      </c>
      <c r="AC14" s="9"/>
      <c r="AD14" s="9" t="e">
        <f aca="false">IF(#REF!=1,M14,IF(AE14&gt;0,A15-A14,0))</f>
        <v>#REF!</v>
      </c>
      <c r="AE14" s="48" t="e">
        <f aca="false">IF(A14&lt;=#REF!,A14,0)</f>
        <v>#REF!</v>
      </c>
      <c r="AG14" s="1" t="e">
        <f aca="false">AD14*B14</f>
        <v>#REF!</v>
      </c>
      <c r="AH14" s="33" t="e">
        <f aca="false">AD14*E14</f>
        <v>#REF!</v>
      </c>
      <c r="AI14" s="45" t="e">
        <f aca="false">$AD14*R14</f>
        <v>#REF!</v>
      </c>
      <c r="AJ14" s="45" t="e">
        <f aca="false">$AD14*T14</f>
        <v>#REF!</v>
      </c>
      <c r="AK14" s="45" t="e">
        <f aca="false">$AD14*V14</f>
        <v>#REF!</v>
      </c>
      <c r="AL14" s="45" t="e">
        <f aca="false">$AD14*X14</f>
        <v>#REF!</v>
      </c>
      <c r="AM14" s="45" t="e">
        <f aca="false">$AD14*Z14</f>
        <v>#REF!</v>
      </c>
      <c r="AO14" s="33"/>
      <c r="AP14" s="45" t="e">
        <f aca="false">$AD14*S14</f>
        <v>#REF!</v>
      </c>
      <c r="AQ14" s="45" t="e">
        <f aca="false">$AD14*U14</f>
        <v>#REF!</v>
      </c>
      <c r="AR14" s="45" t="e">
        <f aca="false">$AD14*W14</f>
        <v>#REF!</v>
      </c>
      <c r="AS14" s="45" t="e">
        <f aca="false">$AD14*Y14</f>
        <v>#REF!</v>
      </c>
      <c r="AT14" s="45" t="e">
        <f aca="false">$AD14*AA14</f>
        <v>#REF!</v>
      </c>
      <c r="AU14" s="46"/>
      <c r="AV14" s="45"/>
      <c r="AW14" s="46"/>
      <c r="AX14" s="47"/>
      <c r="AY14" s="47"/>
      <c r="AZ14" s="47"/>
    </row>
    <row r="15" customFormat="false" ht="12.75" hidden="false" customHeight="false" outlineLevel="0" collapsed="false">
      <c r="A15" s="48" t="n">
        <f aca="false">DATE(YEAR(A14),MONTH(A14)+1,1)</f>
        <v>37012</v>
      </c>
      <c r="B15" s="40" t="n">
        <f aca="false">VLOOKUP(A15,STRADDLE,5,FALSE())</f>
        <v>4.46571428571429</v>
      </c>
      <c r="C15" s="40" t="n">
        <f aca="false">VLOOKUP($A15,curvesettle,HLOOKUP(C$5,curvesettle,2,FALSE()),FALSE())</f>
        <v>-0.1375</v>
      </c>
      <c r="D15" s="40" t="n">
        <f aca="false">VLOOKUP($A15,curvesettle,HLOOKUP(D$5,curvesettle,2,FALSE()),FALSE())</f>
        <v>-0.3</v>
      </c>
      <c r="E15" s="40" t="n">
        <f aca="false">VLOOKUP($A15,curvesettle,HLOOKUP(E$5,curvesettle,2,FALSE()),FALSE())</f>
        <v>-0.5375</v>
      </c>
      <c r="F15" s="40" t="n">
        <f aca="false">VLOOKUP($A15,curvesettle,HLOOKUP(F$5,curvesettle,2,FALSE()),FALSE())</f>
        <v>-0.04</v>
      </c>
      <c r="G15" s="40" t="n">
        <f aca="false">VLOOKUP($A15,curvesettle,HLOOKUP(G$5,curvesettle,2,FALSE()),FALSE())</f>
        <v>0.06</v>
      </c>
      <c r="H15" s="40" t="n">
        <f aca="false">VLOOKUP($A15,curvesettle,HLOOKUP(H$5,curvesettle,2,FALSE()),FALSE())</f>
        <v>-0.065</v>
      </c>
      <c r="I15" s="40" t="n">
        <f aca="false">VLOOKUP($A15,curvesettle,HLOOKUP(I$5,curvesettle,2,FALSE()),FALSE())</f>
        <v>0.2</v>
      </c>
      <c r="J15" s="40" t="n">
        <f aca="false">VLOOKUP($A15,curvesettle,HLOOKUP(J$5,curvesettle,2,FALSE()),FALSE())</f>
        <v>0.405</v>
      </c>
      <c r="K15" s="40" t="n">
        <f aca="false">VLOOKUP($A15,curvesettle,HLOOKUP(K$5,curvesettle,2,FALSE()),FALSE())</f>
        <v>0.12</v>
      </c>
      <c r="L15" s="40" t="n">
        <f aca="false">VLOOKUP($A15,curvesettle,HLOOKUP(L$5,curvesettle,2,FALSE()),FALSE())</f>
        <v>-0.0975</v>
      </c>
      <c r="M15" s="40" t="n">
        <f aca="false">VLOOKUP($A15,curvesettle,HLOOKUP(M$5,curvesettle,2,FALSE()),FALSE())</f>
        <v>0.015</v>
      </c>
      <c r="N15" s="40" t="n">
        <f aca="false">VLOOKUP($A15,curvesettle,HLOOKUP(N$5,curvesettle,2,FALSE()),FALSE())</f>
        <v>-0.135</v>
      </c>
      <c r="O15" s="40" t="n">
        <f aca="false">VLOOKUP($A15,curvesettle,HLOOKUP(O$5,curvesettle,2,FALSE()),FALSE())</f>
        <v>-0.3</v>
      </c>
      <c r="P15" s="40" t="n">
        <f aca="false">VLOOKUP($A15,curvesettle,HLOOKUP(P$5,curvesettle,2,FALSE()),FALSE())</f>
        <v>-0.135</v>
      </c>
      <c r="Q15" s="40" t="n">
        <f aca="false">VLOOKUP($A15,curvesettle,HLOOKUP(Q$5,curvesettle,2,FALSE()),FALSE())</f>
        <v>0.2</v>
      </c>
      <c r="R15" s="40" t="n">
        <f aca="false">VLOOKUP($A15,curvesettle,HLOOKUP(R$5,curvesettle,2,FALSE()),FALSE())</f>
        <v>-0.13</v>
      </c>
      <c r="S15" s="40" t="n">
        <f aca="false">VLOOKUP($A15,curvesettle,HLOOKUP(S$5,curvesettle,2,FALSE()),FALSE())</f>
        <v>0.005</v>
      </c>
      <c r="T15" s="40" t="n">
        <f aca="false">VLOOKUP($A15,curvesettle,HLOOKUP(T$5,curvesettle,2,FALSE()),FALSE())</f>
        <v>0.1575</v>
      </c>
      <c r="U15" s="40" t="n">
        <f aca="false">VLOOKUP($A15,curvesettle,HLOOKUP(U$5,curvesettle,2,FALSE()),FALSE())</f>
        <v>0.405</v>
      </c>
      <c r="V15" s="40" t="n">
        <f aca="false">VLOOKUP($A15,curvesettle,HLOOKUP(V$5,curvesettle,2,FALSE()),FALSE())</f>
        <v>-0.06</v>
      </c>
      <c r="W15" s="40" t="n">
        <f aca="false">VLOOKUP($A15,curvesettle,HLOOKUP(W$5,curvesettle,2,FALSE()),FALSE())</f>
        <v>-0.02275</v>
      </c>
      <c r="X15" s="40" t="n">
        <f aca="false">VLOOKUP($A15,curvesettle,HLOOKUP(X$5,curvesettle,2,FALSE()),FALSE())</f>
        <v>-0.04</v>
      </c>
      <c r="Y15" s="40" t="n">
        <f aca="false">VLOOKUP($A15,curvesettle,HLOOKUP(Y$5,curvesettle,2,FALSE()),FALSE())</f>
        <v>-0.01</v>
      </c>
      <c r="Z15" s="44" t="e">
        <f aca="false">IF($AD15=0,0,bsd(Z$5,Z$4,$E15,$F15,$O15,$K15,$P15,0.1))</f>
        <v>#REF!</v>
      </c>
      <c r="AA15" s="44" t="e">
        <f aca="false">IF($AD15=0,0,bsd(AA$5,AA$4,$E15,$G15,$O15,$L15,$P15,0.1))</f>
        <v>#REF!</v>
      </c>
      <c r="AC15" s="9"/>
      <c r="AD15" s="9" t="e">
        <f aca="false">IF(#REF!=1,M15,IF(AE15&gt;0,A16-A15,0))</f>
        <v>#REF!</v>
      </c>
      <c r="AE15" s="48" t="e">
        <f aca="false">IF(A15&lt;=#REF!,A15,0)</f>
        <v>#REF!</v>
      </c>
      <c r="AG15" s="1" t="e">
        <f aca="false">AD15*B15</f>
        <v>#REF!</v>
      </c>
      <c r="AH15" s="33" t="e">
        <f aca="false">AD15*E15</f>
        <v>#REF!</v>
      </c>
      <c r="AI15" s="45" t="e">
        <f aca="false">$AD15*R15</f>
        <v>#REF!</v>
      </c>
      <c r="AJ15" s="45" t="e">
        <f aca="false">$AD15*T15</f>
        <v>#REF!</v>
      </c>
      <c r="AK15" s="45" t="e">
        <f aca="false">$AD15*V15</f>
        <v>#REF!</v>
      </c>
      <c r="AL15" s="45" t="e">
        <f aca="false">$AD15*X15</f>
        <v>#REF!</v>
      </c>
      <c r="AM15" s="45" t="e">
        <f aca="false">$AD15*Z15</f>
        <v>#REF!</v>
      </c>
      <c r="AO15" s="33"/>
      <c r="AP15" s="45" t="e">
        <f aca="false">$AD15*S15</f>
        <v>#REF!</v>
      </c>
      <c r="AQ15" s="45" t="e">
        <f aca="false">$AD15*U15</f>
        <v>#REF!</v>
      </c>
      <c r="AR15" s="45" t="e">
        <f aca="false">$AD15*W15</f>
        <v>#REF!</v>
      </c>
      <c r="AS15" s="45" t="e">
        <f aca="false">$AD15*Y15</f>
        <v>#REF!</v>
      </c>
      <c r="AT15" s="45" t="e">
        <f aca="false">$AD15*AA15</f>
        <v>#REF!</v>
      </c>
      <c r="AU15" s="46"/>
      <c r="AV15" s="45"/>
      <c r="AW15" s="46"/>
      <c r="AX15" s="47"/>
      <c r="AY15" s="47"/>
      <c r="AZ15" s="47"/>
    </row>
    <row r="16" customFormat="false" ht="12.75" hidden="false" customHeight="false" outlineLevel="0" collapsed="false">
      <c r="A16" s="48" t="n">
        <f aca="false">DATE(YEAR(A15),MONTH(A15)+1,1)</f>
        <v>37043</v>
      </c>
      <c r="B16" s="40" t="n">
        <f aca="false">VLOOKUP(A16,STRADDLE,5,FALSE())</f>
        <v>4.44071428571429</v>
      </c>
      <c r="C16" s="40" t="n">
        <f aca="false">VLOOKUP($A16,curvesettle,HLOOKUP(C$5,curvesettle,2,FALSE()),FALSE())</f>
        <v>-0.1375</v>
      </c>
      <c r="D16" s="40" t="n">
        <f aca="false">VLOOKUP($A16,curvesettle,HLOOKUP(D$5,curvesettle,2,FALSE()),FALSE())</f>
        <v>-0.3</v>
      </c>
      <c r="E16" s="40" t="n">
        <f aca="false">VLOOKUP($A16,curvesettle,HLOOKUP(E$5,curvesettle,2,FALSE()),FALSE())</f>
        <v>-0.5375</v>
      </c>
      <c r="F16" s="40" t="n">
        <f aca="false">VLOOKUP($A16,curvesettle,HLOOKUP(F$5,curvesettle,2,FALSE()),FALSE())</f>
        <v>0.12</v>
      </c>
      <c r="G16" s="40" t="n">
        <f aca="false">VLOOKUP($A16,curvesettle,HLOOKUP(G$5,curvesettle,2,FALSE()),FALSE())</f>
        <v>0.0575</v>
      </c>
      <c r="H16" s="40" t="n">
        <f aca="false">VLOOKUP($A16,curvesettle,HLOOKUP(H$5,curvesettle,2,FALSE()),FALSE())</f>
        <v>-0.065</v>
      </c>
      <c r="I16" s="40" t="n">
        <f aca="false">VLOOKUP($A16,curvesettle,HLOOKUP(I$5,curvesettle,2,FALSE()),FALSE())</f>
        <v>0.2</v>
      </c>
      <c r="J16" s="40" t="n">
        <f aca="false">VLOOKUP($A16,curvesettle,HLOOKUP(J$5,curvesettle,2,FALSE()),FALSE())</f>
        <v>0.395</v>
      </c>
      <c r="K16" s="40" t="n">
        <f aca="false">VLOOKUP($A16,curvesettle,HLOOKUP(K$5,curvesettle,2,FALSE()),FALSE())</f>
        <v>0.12</v>
      </c>
      <c r="L16" s="40" t="n">
        <f aca="false">VLOOKUP($A16,curvesettle,HLOOKUP(L$5,curvesettle,2,FALSE()),FALSE())</f>
        <v>-0.0925</v>
      </c>
      <c r="M16" s="40" t="n">
        <f aca="false">VLOOKUP($A16,curvesettle,HLOOKUP(M$5,curvesettle,2,FALSE()),FALSE())</f>
        <v>0.025</v>
      </c>
      <c r="N16" s="40" t="n">
        <f aca="false">VLOOKUP($A16,curvesettle,HLOOKUP(N$5,curvesettle,2,FALSE()),FALSE())</f>
        <v>-0.13</v>
      </c>
      <c r="O16" s="40" t="n">
        <f aca="false">VLOOKUP($A16,curvesettle,HLOOKUP(O$5,curvesettle,2,FALSE()),FALSE())</f>
        <v>-0.3</v>
      </c>
      <c r="P16" s="40" t="n">
        <f aca="false">VLOOKUP($A16,curvesettle,HLOOKUP(P$5,curvesettle,2,FALSE()),FALSE())</f>
        <v>-0.13</v>
      </c>
      <c r="Q16" s="40" t="n">
        <f aca="false">VLOOKUP($A16,curvesettle,HLOOKUP(Q$5,curvesettle,2,FALSE()),FALSE())</f>
        <v>0.2</v>
      </c>
      <c r="R16" s="40" t="n">
        <f aca="false">VLOOKUP($A16,curvesettle,HLOOKUP(R$5,curvesettle,2,FALSE()),FALSE())</f>
        <v>-0.13</v>
      </c>
      <c r="S16" s="40" t="n">
        <f aca="false">VLOOKUP($A16,curvesettle,HLOOKUP(S$5,curvesettle,2,FALSE()),FALSE())</f>
        <v>0.005</v>
      </c>
      <c r="T16" s="40" t="n">
        <f aca="false">VLOOKUP($A16,curvesettle,HLOOKUP(T$5,curvesettle,2,FALSE()),FALSE())</f>
        <v>0.1525</v>
      </c>
      <c r="U16" s="40" t="n">
        <f aca="false">VLOOKUP($A16,curvesettle,HLOOKUP(U$5,curvesettle,2,FALSE()),FALSE())</f>
        <v>0.395</v>
      </c>
      <c r="V16" s="40" t="n">
        <f aca="false">VLOOKUP($A16,curvesettle,HLOOKUP(V$5,curvesettle,2,FALSE()),FALSE())</f>
        <v>-0.06</v>
      </c>
      <c r="W16" s="40" t="n">
        <f aca="false">VLOOKUP($A16,curvesettle,HLOOKUP(W$5,curvesettle,2,FALSE()),FALSE())</f>
        <v>-0.02275</v>
      </c>
      <c r="X16" s="40" t="n">
        <f aca="false">VLOOKUP($A16,curvesettle,HLOOKUP(X$5,curvesettle,2,FALSE()),FALSE())</f>
        <v>0.12</v>
      </c>
      <c r="Y16" s="40" t="n">
        <f aca="false">VLOOKUP($A16,curvesettle,HLOOKUP(Y$5,curvesettle,2,FALSE()),FALSE())</f>
        <v>0.15</v>
      </c>
      <c r="Z16" s="44" t="e">
        <f aca="false">IF($AD16=0,0,bsd(Z$5,Z$4,$E16,$F16,$O16,$K16,$P16,0.1))</f>
        <v>#REF!</v>
      </c>
      <c r="AA16" s="44" t="e">
        <f aca="false">IF($AD16=0,0,bsd(AA$5,AA$4,$E16,$G16,$O16,$L16,$P16,0.1))</f>
        <v>#REF!</v>
      </c>
      <c r="AC16" s="9"/>
      <c r="AD16" s="9" t="e">
        <f aca="false">IF(#REF!=1,M16,IF(AE16&gt;0,A17-A16,0))</f>
        <v>#REF!</v>
      </c>
      <c r="AE16" s="48" t="e">
        <f aca="false">IF(A16&lt;=#REF!,A16,0)</f>
        <v>#REF!</v>
      </c>
      <c r="AG16" s="1" t="e">
        <f aca="false">AD16*B16</f>
        <v>#REF!</v>
      </c>
      <c r="AH16" s="33" t="e">
        <f aca="false">AD16*E16</f>
        <v>#REF!</v>
      </c>
      <c r="AI16" s="45" t="e">
        <f aca="false">$AD16*R16</f>
        <v>#REF!</v>
      </c>
      <c r="AJ16" s="45" t="e">
        <f aca="false">$AD16*T16</f>
        <v>#REF!</v>
      </c>
      <c r="AK16" s="45" t="e">
        <f aca="false">$AD16*V16</f>
        <v>#REF!</v>
      </c>
      <c r="AL16" s="45" t="e">
        <f aca="false">$AD16*X16</f>
        <v>#REF!</v>
      </c>
      <c r="AM16" s="45" t="e">
        <f aca="false">$AD16*Z16</f>
        <v>#REF!</v>
      </c>
      <c r="AO16" s="33"/>
      <c r="AP16" s="45" t="e">
        <f aca="false">$AD16*S16</f>
        <v>#REF!</v>
      </c>
      <c r="AQ16" s="45" t="e">
        <f aca="false">$AD16*U16</f>
        <v>#REF!</v>
      </c>
      <c r="AR16" s="45" t="e">
        <f aca="false">$AD16*W16</f>
        <v>#REF!</v>
      </c>
      <c r="AS16" s="45" t="e">
        <f aca="false">$AD16*Y16</f>
        <v>#REF!</v>
      </c>
      <c r="AT16" s="45" t="e">
        <f aca="false">$AD16*AA16</f>
        <v>#REF!</v>
      </c>
      <c r="AU16" s="46"/>
      <c r="AV16" s="45"/>
      <c r="AW16" s="46"/>
      <c r="AX16" s="47"/>
      <c r="AY16" s="47"/>
      <c r="AZ16" s="47"/>
    </row>
    <row r="17" customFormat="false" ht="12.75" hidden="false" customHeight="false" outlineLevel="0" collapsed="false">
      <c r="A17" s="48" t="n">
        <f aca="false">DATE(YEAR(A16),MONTH(A16)+1,1)</f>
        <v>37073</v>
      </c>
      <c r="B17" s="40" t="n">
        <f aca="false">VLOOKUP(A17,STRADDLE,5,FALSE())</f>
        <v>4.42071428571429</v>
      </c>
      <c r="C17" s="40" t="n">
        <f aca="false">VLOOKUP($A17,curvesettle,HLOOKUP(C$5,curvesettle,2,FALSE()),FALSE())</f>
        <v>-0.1375</v>
      </c>
      <c r="D17" s="40" t="n">
        <f aca="false">VLOOKUP($A17,curvesettle,HLOOKUP(D$5,curvesettle,2,FALSE()),FALSE())</f>
        <v>-0.3</v>
      </c>
      <c r="E17" s="40" t="n">
        <f aca="false">VLOOKUP($A17,curvesettle,HLOOKUP(E$5,curvesettle,2,FALSE()),FALSE())</f>
        <v>-0.5725</v>
      </c>
      <c r="F17" s="40" t="n">
        <f aca="false">VLOOKUP($A17,curvesettle,HLOOKUP(F$5,curvesettle,2,FALSE()),FALSE())</f>
        <v>0.5925</v>
      </c>
      <c r="G17" s="40" t="n">
        <f aca="false">VLOOKUP($A17,curvesettle,HLOOKUP(G$5,curvesettle,2,FALSE()),FALSE())</f>
        <v>0.0475</v>
      </c>
      <c r="H17" s="40" t="n">
        <f aca="false">VLOOKUP($A17,curvesettle,HLOOKUP(H$5,curvesettle,2,FALSE()),FALSE())</f>
        <v>-0.065</v>
      </c>
      <c r="I17" s="40" t="n">
        <f aca="false">VLOOKUP($A17,curvesettle,HLOOKUP(I$5,curvesettle,2,FALSE()),FALSE())</f>
        <v>0.2</v>
      </c>
      <c r="J17" s="40" t="n">
        <f aca="false">VLOOKUP($A17,curvesettle,HLOOKUP(J$5,curvesettle,2,FALSE()),FALSE())</f>
        <v>0.46</v>
      </c>
      <c r="K17" s="40" t="n">
        <f aca="false">VLOOKUP($A17,curvesettle,HLOOKUP(K$5,curvesettle,2,FALSE()),FALSE())</f>
        <v>0.12</v>
      </c>
      <c r="L17" s="40" t="n">
        <f aca="false">VLOOKUP($A17,curvesettle,HLOOKUP(L$5,curvesettle,2,FALSE()),FALSE())</f>
        <v>-0.0925</v>
      </c>
      <c r="M17" s="40" t="n">
        <f aca="false">VLOOKUP($A17,curvesettle,HLOOKUP(M$5,curvesettle,2,FALSE()),FALSE())</f>
        <v>0.03</v>
      </c>
      <c r="N17" s="40" t="n">
        <f aca="false">VLOOKUP($A17,curvesettle,HLOOKUP(N$5,curvesettle,2,FALSE()),FALSE())</f>
        <v>-0.13</v>
      </c>
      <c r="O17" s="40" t="n">
        <f aca="false">VLOOKUP($A17,curvesettle,HLOOKUP(O$5,curvesettle,2,FALSE()),FALSE())</f>
        <v>-0.3</v>
      </c>
      <c r="P17" s="40" t="n">
        <f aca="false">VLOOKUP($A17,curvesettle,HLOOKUP(P$5,curvesettle,2,FALSE()),FALSE())</f>
        <v>-0.13</v>
      </c>
      <c r="Q17" s="40" t="n">
        <f aca="false">VLOOKUP($A17,curvesettle,HLOOKUP(Q$5,curvesettle,2,FALSE()),FALSE())</f>
        <v>0.2</v>
      </c>
      <c r="R17" s="40" t="n">
        <f aca="false">VLOOKUP($A17,curvesettle,HLOOKUP(R$5,curvesettle,2,FALSE()),FALSE())</f>
        <v>-0.13</v>
      </c>
      <c r="S17" s="40" t="n">
        <f aca="false">VLOOKUP($A17,curvesettle,HLOOKUP(S$5,curvesettle,2,FALSE()),FALSE())</f>
        <v>0.005</v>
      </c>
      <c r="T17" s="40" t="n">
        <f aca="false">VLOOKUP($A17,curvesettle,HLOOKUP(T$5,curvesettle,2,FALSE()),FALSE())</f>
        <v>0.145</v>
      </c>
      <c r="U17" s="40" t="n">
        <f aca="false">VLOOKUP($A17,curvesettle,HLOOKUP(U$5,curvesettle,2,FALSE()),FALSE())</f>
        <v>0.46</v>
      </c>
      <c r="V17" s="40" t="n">
        <f aca="false">VLOOKUP($A17,curvesettle,HLOOKUP(V$5,curvesettle,2,FALSE()),FALSE())</f>
        <v>-0.06</v>
      </c>
      <c r="W17" s="40" t="n">
        <f aca="false">VLOOKUP($A17,curvesettle,HLOOKUP(W$5,curvesettle,2,FALSE()),FALSE())</f>
        <v>-0.02275</v>
      </c>
      <c r="X17" s="40" t="n">
        <f aca="false">VLOOKUP($A17,curvesettle,HLOOKUP(X$5,curvesettle,2,FALSE()),FALSE())</f>
        <v>0.5925</v>
      </c>
      <c r="Y17" s="40" t="n">
        <f aca="false">VLOOKUP($A17,curvesettle,HLOOKUP(Y$5,curvesettle,2,FALSE()),FALSE())</f>
        <v>0.6225</v>
      </c>
      <c r="Z17" s="44" t="e">
        <f aca="false">IF($AD17=0,0,bsd(Z$5,Z$4,$E17,$F17,$O17,$K17,$P17,0.1))</f>
        <v>#REF!</v>
      </c>
      <c r="AA17" s="44" t="e">
        <f aca="false">IF($AD17=0,0,bsd(AA$5,AA$4,$E17,$G17,$O17,$L17,$P17,0.1))</f>
        <v>#REF!</v>
      </c>
      <c r="AC17" s="9"/>
      <c r="AD17" s="9" t="e">
        <f aca="false">IF(#REF!=1,M17,IF(AE17&gt;0,A18-A17,0))</f>
        <v>#REF!</v>
      </c>
      <c r="AE17" s="48" t="e">
        <f aca="false">IF(A17&lt;=#REF!,A17,0)</f>
        <v>#REF!</v>
      </c>
      <c r="AG17" s="1" t="e">
        <f aca="false">AD17*B17</f>
        <v>#REF!</v>
      </c>
      <c r="AH17" s="33" t="e">
        <f aca="false">AD17*E17</f>
        <v>#REF!</v>
      </c>
      <c r="AI17" s="45" t="e">
        <f aca="false">$AD17*R17</f>
        <v>#REF!</v>
      </c>
      <c r="AJ17" s="45" t="e">
        <f aca="false">$AD17*T17</f>
        <v>#REF!</v>
      </c>
      <c r="AK17" s="45" t="e">
        <f aca="false">$AD17*V17</f>
        <v>#REF!</v>
      </c>
      <c r="AL17" s="45" t="e">
        <f aca="false">$AD17*X17</f>
        <v>#REF!</v>
      </c>
      <c r="AM17" s="45" t="e">
        <f aca="false">$AD17*Z17</f>
        <v>#REF!</v>
      </c>
      <c r="AO17" s="33"/>
      <c r="AP17" s="45" t="e">
        <f aca="false">$AD17*S17</f>
        <v>#REF!</v>
      </c>
      <c r="AQ17" s="45" t="e">
        <f aca="false">$AD17*U17</f>
        <v>#REF!</v>
      </c>
      <c r="AR17" s="45" t="e">
        <f aca="false">$AD17*W17</f>
        <v>#REF!</v>
      </c>
      <c r="AS17" s="45" t="e">
        <f aca="false">$AD17*Y17</f>
        <v>#REF!</v>
      </c>
      <c r="AT17" s="45" t="e">
        <f aca="false">$AD17*AA17</f>
        <v>#REF!</v>
      </c>
      <c r="AU17" s="46"/>
      <c r="AV17" s="45"/>
      <c r="AW17" s="46"/>
      <c r="AX17" s="47"/>
      <c r="AY17" s="47"/>
      <c r="AZ17" s="47"/>
    </row>
    <row r="18" customFormat="false" ht="12.75" hidden="false" customHeight="false" outlineLevel="0" collapsed="false">
      <c r="A18" s="48" t="n">
        <f aca="false">DATE(YEAR(A17),MONTH(A17)+1,1)</f>
        <v>37104</v>
      </c>
      <c r="B18" s="40" t="n">
        <f aca="false">VLOOKUP(A18,STRADDLE,5,FALSE())</f>
        <v>4.41071428571429</v>
      </c>
      <c r="C18" s="40" t="n">
        <f aca="false">VLOOKUP($A18,curvesettle,HLOOKUP(C$5,curvesettle,2,FALSE()),FALSE())</f>
        <v>-0.1375</v>
      </c>
      <c r="D18" s="40" t="n">
        <f aca="false">VLOOKUP($A18,curvesettle,HLOOKUP(D$5,curvesettle,2,FALSE()),FALSE())</f>
        <v>-0.3</v>
      </c>
      <c r="E18" s="40" t="n">
        <f aca="false">VLOOKUP($A18,curvesettle,HLOOKUP(E$5,curvesettle,2,FALSE()),FALSE())</f>
        <v>-0.5725</v>
      </c>
      <c r="F18" s="40" t="n">
        <f aca="false">VLOOKUP($A18,curvesettle,HLOOKUP(F$5,curvesettle,2,FALSE()),FALSE())</f>
        <v>0.7075</v>
      </c>
      <c r="G18" s="40" t="n">
        <f aca="false">VLOOKUP($A18,curvesettle,HLOOKUP(G$5,curvesettle,2,FALSE()),FALSE())</f>
        <v>0.06</v>
      </c>
      <c r="H18" s="40" t="n">
        <f aca="false">VLOOKUP($A18,curvesettle,HLOOKUP(H$5,curvesettle,2,FALSE()),FALSE())</f>
        <v>-0.065</v>
      </c>
      <c r="I18" s="40" t="n">
        <f aca="false">VLOOKUP($A18,curvesettle,HLOOKUP(I$5,curvesettle,2,FALSE()),FALSE())</f>
        <v>0.2</v>
      </c>
      <c r="J18" s="40" t="n">
        <f aca="false">VLOOKUP($A18,curvesettle,HLOOKUP(J$5,curvesettle,2,FALSE()),FALSE())</f>
        <v>0.46</v>
      </c>
      <c r="K18" s="40" t="n">
        <f aca="false">VLOOKUP($A18,curvesettle,HLOOKUP(K$5,curvesettle,2,FALSE()),FALSE())</f>
        <v>0.12</v>
      </c>
      <c r="L18" s="40" t="n">
        <f aca="false">VLOOKUP($A18,curvesettle,HLOOKUP(L$5,curvesettle,2,FALSE()),FALSE())</f>
        <v>-0.0925</v>
      </c>
      <c r="M18" s="40" t="n">
        <f aca="false">VLOOKUP($A18,curvesettle,HLOOKUP(M$5,curvesettle,2,FALSE()),FALSE())</f>
        <v>0.0325</v>
      </c>
      <c r="N18" s="40" t="n">
        <f aca="false">VLOOKUP($A18,curvesettle,HLOOKUP(N$5,curvesettle,2,FALSE()),FALSE())</f>
        <v>-0.13</v>
      </c>
      <c r="O18" s="40" t="n">
        <f aca="false">VLOOKUP($A18,curvesettle,HLOOKUP(O$5,curvesettle,2,FALSE()),FALSE())</f>
        <v>-0.3</v>
      </c>
      <c r="P18" s="40" t="n">
        <f aca="false">VLOOKUP($A18,curvesettle,HLOOKUP(P$5,curvesettle,2,FALSE()),FALSE())</f>
        <v>-0.13</v>
      </c>
      <c r="Q18" s="40" t="n">
        <f aca="false">VLOOKUP($A18,curvesettle,HLOOKUP(Q$5,curvesettle,2,FALSE()),FALSE())</f>
        <v>0.2</v>
      </c>
      <c r="R18" s="40" t="n">
        <f aca="false">VLOOKUP($A18,curvesettle,HLOOKUP(R$5,curvesettle,2,FALSE()),FALSE())</f>
        <v>-0.13</v>
      </c>
      <c r="S18" s="40" t="n">
        <f aca="false">VLOOKUP($A18,curvesettle,HLOOKUP(S$5,curvesettle,2,FALSE()),FALSE())</f>
        <v>0.005</v>
      </c>
      <c r="T18" s="40" t="n">
        <f aca="false">VLOOKUP($A18,curvesettle,HLOOKUP(T$5,curvesettle,2,FALSE()),FALSE())</f>
        <v>0.1425</v>
      </c>
      <c r="U18" s="40" t="n">
        <f aca="false">VLOOKUP($A18,curvesettle,HLOOKUP(U$5,curvesettle,2,FALSE()),FALSE())</f>
        <v>0.46</v>
      </c>
      <c r="V18" s="40" t="n">
        <f aca="false">VLOOKUP($A18,curvesettle,HLOOKUP(V$5,curvesettle,2,FALSE()),FALSE())</f>
        <v>-0.06</v>
      </c>
      <c r="W18" s="40" t="n">
        <f aca="false">VLOOKUP($A18,curvesettle,HLOOKUP(W$5,curvesettle,2,FALSE()),FALSE())</f>
        <v>-0.02275</v>
      </c>
      <c r="X18" s="40" t="n">
        <f aca="false">VLOOKUP($A18,curvesettle,HLOOKUP(X$5,curvesettle,2,FALSE()),FALSE())</f>
        <v>0.7075</v>
      </c>
      <c r="Y18" s="40" t="n">
        <f aca="false">VLOOKUP($A18,curvesettle,HLOOKUP(Y$5,curvesettle,2,FALSE()),FALSE())</f>
        <v>0.7375</v>
      </c>
      <c r="Z18" s="44" t="e">
        <f aca="false">IF($AD18=0,0,bsd(Z$5,Z$4,$E18,$F18,$O18,$K18,$P18,0.1))</f>
        <v>#REF!</v>
      </c>
      <c r="AA18" s="44" t="e">
        <f aca="false">IF($AD18=0,0,bsd(AA$5,AA$4,$E18,$G18,$O18,$L18,$P18,0.1))</f>
        <v>#REF!</v>
      </c>
      <c r="AC18" s="9"/>
      <c r="AD18" s="9" t="e">
        <f aca="false">IF(#REF!=1,M18,IF(AE18&gt;0,A19-A18,0))</f>
        <v>#REF!</v>
      </c>
      <c r="AE18" s="48" t="e">
        <f aca="false">IF(A18&lt;=#REF!,A18,0)</f>
        <v>#REF!</v>
      </c>
      <c r="AG18" s="1" t="e">
        <f aca="false">AD18*B18</f>
        <v>#REF!</v>
      </c>
      <c r="AH18" s="33" t="e">
        <f aca="false">AD18*E18</f>
        <v>#REF!</v>
      </c>
      <c r="AI18" s="45" t="e">
        <f aca="false">$AD18*R18</f>
        <v>#REF!</v>
      </c>
      <c r="AJ18" s="45" t="e">
        <f aca="false">$AD18*T18</f>
        <v>#REF!</v>
      </c>
      <c r="AK18" s="45" t="e">
        <f aca="false">$AD18*V18</f>
        <v>#REF!</v>
      </c>
      <c r="AL18" s="45" t="e">
        <f aca="false">$AD18*X18</f>
        <v>#REF!</v>
      </c>
      <c r="AM18" s="45" t="e">
        <f aca="false">$AD18*Z18</f>
        <v>#REF!</v>
      </c>
      <c r="AO18" s="33"/>
      <c r="AP18" s="45" t="e">
        <f aca="false">$AD18*S18</f>
        <v>#REF!</v>
      </c>
      <c r="AQ18" s="45" t="e">
        <f aca="false">$AD18*U18</f>
        <v>#REF!</v>
      </c>
      <c r="AR18" s="45" t="e">
        <f aca="false">$AD18*W18</f>
        <v>#REF!</v>
      </c>
      <c r="AS18" s="45" t="e">
        <f aca="false">$AD18*Y18</f>
        <v>#REF!</v>
      </c>
      <c r="AT18" s="45" t="e">
        <f aca="false">$AD18*AA18</f>
        <v>#REF!</v>
      </c>
      <c r="AU18" s="46"/>
      <c r="AV18" s="45"/>
      <c r="AW18" s="46"/>
      <c r="AX18" s="47"/>
      <c r="AY18" s="47"/>
      <c r="AZ18" s="47"/>
    </row>
    <row r="19" customFormat="false" ht="12.75" hidden="false" customHeight="false" outlineLevel="0" collapsed="false">
      <c r="A19" s="48" t="n">
        <f aca="false">DATE(YEAR(A18),MONTH(A18)+1,1)</f>
        <v>37135</v>
      </c>
      <c r="B19" s="40" t="n">
        <f aca="false">VLOOKUP(A19,STRADDLE,5,FALSE())</f>
        <v>4.39071428571429</v>
      </c>
      <c r="C19" s="40" t="n">
        <f aca="false">VLOOKUP($A19,curvesettle,HLOOKUP(C$5,curvesettle,2,FALSE()),FALSE())</f>
        <v>-0.1375</v>
      </c>
      <c r="D19" s="40" t="n">
        <f aca="false">VLOOKUP($A19,curvesettle,HLOOKUP(D$5,curvesettle,2,FALSE()),FALSE())</f>
        <v>-0.3</v>
      </c>
      <c r="E19" s="40" t="n">
        <f aca="false">VLOOKUP($A19,curvesettle,HLOOKUP(E$5,curvesettle,2,FALSE()),FALSE())</f>
        <v>-0.5725</v>
      </c>
      <c r="F19" s="40" t="n">
        <f aca="false">VLOOKUP($A19,curvesettle,HLOOKUP(F$5,curvesettle,2,FALSE()),FALSE())</f>
        <v>0.6875</v>
      </c>
      <c r="G19" s="40" t="n">
        <f aca="false">VLOOKUP($A19,curvesettle,HLOOKUP(G$5,curvesettle,2,FALSE()),FALSE())</f>
        <v>0.06</v>
      </c>
      <c r="H19" s="40" t="n">
        <f aca="false">VLOOKUP($A19,curvesettle,HLOOKUP(H$5,curvesettle,2,FALSE()),FALSE())</f>
        <v>-0.065</v>
      </c>
      <c r="I19" s="40" t="n">
        <f aca="false">VLOOKUP($A19,curvesettle,HLOOKUP(I$5,curvesettle,2,FALSE()),FALSE())</f>
        <v>0.2</v>
      </c>
      <c r="J19" s="40" t="n">
        <f aca="false">VLOOKUP($A19,curvesettle,HLOOKUP(J$5,curvesettle,2,FALSE()),FALSE())</f>
        <v>0.395</v>
      </c>
      <c r="K19" s="40" t="n">
        <f aca="false">VLOOKUP($A19,curvesettle,HLOOKUP(K$5,curvesettle,2,FALSE()),FALSE())</f>
        <v>0.12</v>
      </c>
      <c r="L19" s="40" t="n">
        <f aca="false">VLOOKUP($A19,curvesettle,HLOOKUP(L$5,curvesettle,2,FALSE()),FALSE())</f>
        <v>-0.0875</v>
      </c>
      <c r="M19" s="40" t="n">
        <f aca="false">VLOOKUP($A19,curvesettle,HLOOKUP(M$5,curvesettle,2,FALSE()),FALSE())</f>
        <v>0.03</v>
      </c>
      <c r="N19" s="40" t="n">
        <f aca="false">VLOOKUP($A19,curvesettle,HLOOKUP(N$5,curvesettle,2,FALSE()),FALSE())</f>
        <v>-0.125</v>
      </c>
      <c r="O19" s="40" t="n">
        <f aca="false">VLOOKUP($A19,curvesettle,HLOOKUP(O$5,curvesettle,2,FALSE()),FALSE())</f>
        <v>-0.3</v>
      </c>
      <c r="P19" s="40" t="n">
        <f aca="false">VLOOKUP($A19,curvesettle,HLOOKUP(P$5,curvesettle,2,FALSE()),FALSE())</f>
        <v>-0.125</v>
      </c>
      <c r="Q19" s="40" t="n">
        <f aca="false">VLOOKUP($A19,curvesettle,HLOOKUP(Q$5,curvesettle,2,FALSE()),FALSE())</f>
        <v>0.2</v>
      </c>
      <c r="R19" s="40" t="n">
        <f aca="false">VLOOKUP($A19,curvesettle,HLOOKUP(R$5,curvesettle,2,FALSE()),FALSE())</f>
        <v>-0.13</v>
      </c>
      <c r="S19" s="40" t="n">
        <f aca="false">VLOOKUP($A19,curvesettle,HLOOKUP(S$5,curvesettle,2,FALSE()),FALSE())</f>
        <v>0.005</v>
      </c>
      <c r="T19" s="40" t="n">
        <f aca="false">VLOOKUP($A19,curvesettle,HLOOKUP(T$5,curvesettle,2,FALSE()),FALSE())</f>
        <v>0.1425</v>
      </c>
      <c r="U19" s="40" t="n">
        <f aca="false">VLOOKUP($A19,curvesettle,HLOOKUP(U$5,curvesettle,2,FALSE()),FALSE())</f>
        <v>0.395</v>
      </c>
      <c r="V19" s="40" t="n">
        <f aca="false">VLOOKUP($A19,curvesettle,HLOOKUP(V$5,curvesettle,2,FALSE()),FALSE())</f>
        <v>-0.06</v>
      </c>
      <c r="W19" s="40" t="n">
        <f aca="false">VLOOKUP($A19,curvesettle,HLOOKUP(W$5,curvesettle,2,FALSE()),FALSE())</f>
        <v>-0.02275</v>
      </c>
      <c r="X19" s="40" t="n">
        <f aca="false">VLOOKUP($A19,curvesettle,HLOOKUP(X$5,curvesettle,2,FALSE()),FALSE())</f>
        <v>0.6875</v>
      </c>
      <c r="Y19" s="40" t="n">
        <f aca="false">VLOOKUP($A19,curvesettle,HLOOKUP(Y$5,curvesettle,2,FALSE()),FALSE())</f>
        <v>0.7175</v>
      </c>
      <c r="Z19" s="44" t="e">
        <f aca="false">IF($AD19=0,0,bsd(Z$5,Z$4,$E19,$F19,$O19,$K19,$P19,0.1))</f>
        <v>#REF!</v>
      </c>
      <c r="AA19" s="44" t="e">
        <f aca="false">IF($AD19=0,0,bsd(AA$5,AA$4,$E19,$G19,$O19,$L19,$P19,0.1))</f>
        <v>#REF!</v>
      </c>
      <c r="AC19" s="9"/>
      <c r="AD19" s="9" t="e">
        <f aca="false">IF(#REF!=1,M19,IF(AE19&gt;0,A20-A19,0))</f>
        <v>#REF!</v>
      </c>
      <c r="AE19" s="48" t="e">
        <f aca="false">IF(A19&lt;=#REF!,A19,0)</f>
        <v>#REF!</v>
      </c>
      <c r="AG19" s="1" t="e">
        <f aca="false">AD19*B19</f>
        <v>#REF!</v>
      </c>
      <c r="AH19" s="33" t="e">
        <f aca="false">AD19*E19</f>
        <v>#REF!</v>
      </c>
      <c r="AI19" s="45" t="e">
        <f aca="false">$AD19*R19</f>
        <v>#REF!</v>
      </c>
      <c r="AJ19" s="45" t="e">
        <f aca="false">$AD19*T19</f>
        <v>#REF!</v>
      </c>
      <c r="AK19" s="45" t="e">
        <f aca="false">$AD19*V19</f>
        <v>#REF!</v>
      </c>
      <c r="AL19" s="45" t="e">
        <f aca="false">$AD19*X19</f>
        <v>#REF!</v>
      </c>
      <c r="AM19" s="45" t="e">
        <f aca="false">$AD19*Z19</f>
        <v>#REF!</v>
      </c>
      <c r="AO19" s="33"/>
      <c r="AP19" s="45" t="e">
        <f aca="false">$AD19*S19</f>
        <v>#REF!</v>
      </c>
      <c r="AQ19" s="45" t="e">
        <f aca="false">$AD19*U19</f>
        <v>#REF!</v>
      </c>
      <c r="AR19" s="45" t="e">
        <f aca="false">$AD19*W19</f>
        <v>#REF!</v>
      </c>
      <c r="AS19" s="45" t="e">
        <f aca="false">$AD19*Y19</f>
        <v>#REF!</v>
      </c>
      <c r="AT19" s="45" t="e">
        <f aca="false">$AD19*AA19</f>
        <v>#REF!</v>
      </c>
      <c r="AU19" s="46"/>
      <c r="AV19" s="45"/>
      <c r="AW19" s="46"/>
      <c r="AX19" s="47"/>
      <c r="AY19" s="47"/>
      <c r="AZ19" s="47"/>
    </row>
    <row r="20" customFormat="false" ht="12.75" hidden="false" customHeight="false" outlineLevel="0" collapsed="false">
      <c r="A20" s="48" t="n">
        <f aca="false">DATE(YEAR(A19),MONTH(A19)+1,1)</f>
        <v>37165</v>
      </c>
      <c r="B20" s="40" t="n">
        <f aca="false">VLOOKUP(A20,STRADDLE,5,FALSE())</f>
        <v>4.38071428571429</v>
      </c>
      <c r="C20" s="40" t="n">
        <f aca="false">VLOOKUP($A20,curvesettle,HLOOKUP(C$5,curvesettle,2,FALSE()),FALSE())</f>
        <v>-0.1375</v>
      </c>
      <c r="D20" s="40" t="n">
        <f aca="false">VLOOKUP($A20,curvesettle,HLOOKUP(D$5,curvesettle,2,FALSE()),FALSE())</f>
        <v>-0.3</v>
      </c>
      <c r="E20" s="40" t="n">
        <f aca="false">VLOOKUP($A20,curvesettle,HLOOKUP(E$5,curvesettle,2,FALSE()),FALSE())</f>
        <v>-0.5725</v>
      </c>
      <c r="F20" s="40" t="n">
        <f aca="false">VLOOKUP($A20,curvesettle,HLOOKUP(F$5,curvesettle,2,FALSE()),FALSE())</f>
        <v>0.1225</v>
      </c>
      <c r="G20" s="40" t="n">
        <f aca="false">VLOOKUP($A20,curvesettle,HLOOKUP(G$5,curvesettle,2,FALSE()),FALSE())</f>
        <v>0.08</v>
      </c>
      <c r="H20" s="40" t="n">
        <f aca="false">VLOOKUP($A20,curvesettle,HLOOKUP(H$5,curvesettle,2,FALSE()),FALSE())</f>
        <v>-0.065</v>
      </c>
      <c r="I20" s="40" t="n">
        <f aca="false">VLOOKUP($A20,curvesettle,HLOOKUP(I$5,curvesettle,2,FALSE()),FALSE())</f>
        <v>0.2</v>
      </c>
      <c r="J20" s="40" t="n">
        <f aca="false">VLOOKUP($A20,curvesettle,HLOOKUP(J$5,curvesettle,2,FALSE()),FALSE())</f>
        <v>0.461</v>
      </c>
      <c r="K20" s="40" t="n">
        <f aca="false">VLOOKUP($A20,curvesettle,HLOOKUP(K$5,curvesettle,2,FALSE()),FALSE())</f>
        <v>0.12</v>
      </c>
      <c r="L20" s="40" t="n">
        <f aca="false">VLOOKUP($A20,curvesettle,HLOOKUP(L$5,curvesettle,2,FALSE()),FALSE())</f>
        <v>-0.0825</v>
      </c>
      <c r="M20" s="40" t="n">
        <f aca="false">VLOOKUP($A20,curvesettle,HLOOKUP(M$5,curvesettle,2,FALSE()),FALSE())</f>
        <v>0.0125</v>
      </c>
      <c r="N20" s="40" t="n">
        <f aca="false">VLOOKUP($A20,curvesettle,HLOOKUP(N$5,curvesettle,2,FALSE()),FALSE())</f>
        <v>-0.12</v>
      </c>
      <c r="O20" s="40" t="n">
        <f aca="false">VLOOKUP($A20,curvesettle,HLOOKUP(O$5,curvesettle,2,FALSE()),FALSE())</f>
        <v>-0.3</v>
      </c>
      <c r="P20" s="40" t="n">
        <f aca="false">VLOOKUP($A20,curvesettle,HLOOKUP(P$5,curvesettle,2,FALSE()),FALSE())</f>
        <v>-0.12</v>
      </c>
      <c r="Q20" s="40" t="n">
        <f aca="false">VLOOKUP($A20,curvesettle,HLOOKUP(Q$5,curvesettle,2,FALSE()),FALSE())</f>
        <v>0.2</v>
      </c>
      <c r="R20" s="40" t="n">
        <f aca="false">VLOOKUP($A20,curvesettle,HLOOKUP(R$5,curvesettle,2,FALSE()),FALSE())</f>
        <v>-0.13</v>
      </c>
      <c r="S20" s="40" t="n">
        <f aca="false">VLOOKUP($A20,curvesettle,HLOOKUP(S$5,curvesettle,2,FALSE()),FALSE())</f>
        <v>0.005</v>
      </c>
      <c r="T20" s="40" t="n">
        <f aca="false">VLOOKUP($A20,curvesettle,HLOOKUP(T$5,curvesettle,2,FALSE()),FALSE())</f>
        <v>0.1575</v>
      </c>
      <c r="U20" s="40" t="n">
        <f aca="false">VLOOKUP($A20,curvesettle,HLOOKUP(U$5,curvesettle,2,FALSE()),FALSE())</f>
        <v>0.461</v>
      </c>
      <c r="V20" s="40" t="n">
        <f aca="false">VLOOKUP($A20,curvesettle,HLOOKUP(V$5,curvesettle,2,FALSE()),FALSE())</f>
        <v>-0.06</v>
      </c>
      <c r="W20" s="40" t="n">
        <f aca="false">VLOOKUP($A20,curvesettle,HLOOKUP(W$5,curvesettle,2,FALSE()),FALSE())</f>
        <v>-0.02275</v>
      </c>
      <c r="X20" s="40" t="n">
        <f aca="false">VLOOKUP($A20,curvesettle,HLOOKUP(X$5,curvesettle,2,FALSE()),FALSE())</f>
        <v>0.1225</v>
      </c>
      <c r="Y20" s="40" t="n">
        <f aca="false">VLOOKUP($A20,curvesettle,HLOOKUP(Y$5,curvesettle,2,FALSE()),FALSE())</f>
        <v>0.1525</v>
      </c>
      <c r="Z20" s="44" t="e">
        <f aca="false">IF($AD20=0,0,bsd(Z$5,Z$4,$E20,$F20,$O20,$K20,$P20,0.1))</f>
        <v>#REF!</v>
      </c>
      <c r="AA20" s="44" t="e">
        <f aca="false">IF($AD20=0,0,bsd(AA$5,AA$4,$E20,$G20,$O20,$L20,$P20,0.1))</f>
        <v>#REF!</v>
      </c>
      <c r="AC20" s="9"/>
      <c r="AD20" s="9" t="e">
        <f aca="false">IF(#REF!=1,M20,IF(AE20&gt;0,A21-A20,0))</f>
        <v>#REF!</v>
      </c>
      <c r="AE20" s="48" t="e">
        <f aca="false">IF(A20&lt;=#REF!,A20,0)</f>
        <v>#REF!</v>
      </c>
      <c r="AG20" s="1" t="e">
        <f aca="false">AD20*B20</f>
        <v>#REF!</v>
      </c>
      <c r="AH20" s="33" t="e">
        <f aca="false">AD20*E20</f>
        <v>#REF!</v>
      </c>
      <c r="AI20" s="45" t="e">
        <f aca="false">$AD20*R20</f>
        <v>#REF!</v>
      </c>
      <c r="AJ20" s="45" t="e">
        <f aca="false">$AD20*T20</f>
        <v>#REF!</v>
      </c>
      <c r="AK20" s="45" t="e">
        <f aca="false">$AD20*V20</f>
        <v>#REF!</v>
      </c>
      <c r="AL20" s="45" t="e">
        <f aca="false">$AD20*X20</f>
        <v>#REF!</v>
      </c>
      <c r="AM20" s="45" t="e">
        <f aca="false">$AD20*Z20</f>
        <v>#REF!</v>
      </c>
      <c r="AO20" s="33"/>
      <c r="AP20" s="45" t="e">
        <f aca="false">$AD20*S20</f>
        <v>#REF!</v>
      </c>
      <c r="AQ20" s="45" t="e">
        <f aca="false">$AD20*U20</f>
        <v>#REF!</v>
      </c>
      <c r="AR20" s="45" t="e">
        <f aca="false">$AD20*W20</f>
        <v>#REF!</v>
      </c>
      <c r="AS20" s="45" t="e">
        <f aca="false">$AD20*Y20</f>
        <v>#REF!</v>
      </c>
      <c r="AT20" s="45" t="e">
        <f aca="false">$AD20*AA20</f>
        <v>#REF!</v>
      </c>
      <c r="AU20" s="46"/>
      <c r="AV20" s="45"/>
      <c r="AW20" s="46"/>
      <c r="AX20" s="47"/>
      <c r="AY20" s="47"/>
      <c r="AZ20" s="47"/>
    </row>
    <row r="21" customFormat="false" ht="12.75" hidden="false" customHeight="false" outlineLevel="0" collapsed="false">
      <c r="A21" s="48" t="n">
        <f aca="false">DATE(YEAR(A20),MONTH(A20)+1,1)</f>
        <v>37196</v>
      </c>
      <c r="B21" s="40" t="n">
        <f aca="false">VLOOKUP(A21,STRADDLE,5,FALSE())</f>
        <v>4.486</v>
      </c>
      <c r="C21" s="40" t="n">
        <f aca="false">VLOOKUP($A21,curvesettle,HLOOKUP(C$5,curvesettle,2,FALSE()),FALSE())</f>
        <v>-0.14</v>
      </c>
      <c r="D21" s="40" t="n">
        <f aca="false">VLOOKUP($A21,curvesettle,HLOOKUP(D$5,curvesettle,2,FALSE()),FALSE())</f>
        <v>-0.2675</v>
      </c>
      <c r="E21" s="40" t="n">
        <f aca="false">VLOOKUP($A21,curvesettle,HLOOKUP(E$5,curvesettle,2,FALSE()),FALSE())</f>
        <v>-0.33</v>
      </c>
      <c r="F21" s="40" t="n">
        <f aca="false">VLOOKUP($A21,curvesettle,HLOOKUP(F$5,curvesettle,2,FALSE()),FALSE())</f>
        <v>0.22</v>
      </c>
      <c r="G21" s="40" t="n">
        <f aca="false">VLOOKUP($A21,curvesettle,HLOOKUP(G$5,curvesettle,2,FALSE()),FALSE())</f>
        <v>0.1275</v>
      </c>
      <c r="H21" s="40" t="n">
        <f aca="false">VLOOKUP($A21,curvesettle,HLOOKUP(H$5,curvesettle,2,FALSE()),FALSE())</f>
        <v>-0.125</v>
      </c>
      <c r="I21" s="40" t="n">
        <f aca="false">VLOOKUP($A21,curvesettle,HLOOKUP(I$5,curvesettle,2,FALSE()),FALSE())</f>
        <v>0.33</v>
      </c>
      <c r="J21" s="40" t="n">
        <f aca="false">VLOOKUP($A21,curvesettle,HLOOKUP(J$5,curvesettle,2,FALSE()),FALSE())</f>
        <v>1.19</v>
      </c>
      <c r="K21" s="40" t="n">
        <f aca="false">VLOOKUP($A21,curvesettle,HLOOKUP(K$5,curvesettle,2,FALSE()),FALSE())</f>
        <v>0.21</v>
      </c>
      <c r="L21" s="40" t="n">
        <f aca="false">VLOOKUP($A21,curvesettle,HLOOKUP(L$5,curvesettle,2,FALSE()),FALSE())</f>
        <v>0.0025</v>
      </c>
      <c r="M21" s="40" t="n">
        <f aca="false">VLOOKUP($A21,curvesettle,HLOOKUP(M$5,curvesettle,2,FALSE()),FALSE())</f>
        <v>-0.0375</v>
      </c>
      <c r="N21" s="40" t="n">
        <f aca="false">VLOOKUP($A21,curvesettle,HLOOKUP(N$5,curvesettle,2,FALSE()),FALSE())</f>
        <v>-0.1275</v>
      </c>
      <c r="O21" s="40" t="n">
        <f aca="false">VLOOKUP($A21,curvesettle,HLOOKUP(O$5,curvesettle,2,FALSE()),FALSE())</f>
        <v>-0.2675</v>
      </c>
      <c r="P21" s="40" t="n">
        <f aca="false">VLOOKUP($A21,curvesettle,HLOOKUP(P$5,curvesettle,2,FALSE()),FALSE())</f>
        <v>-0.1275</v>
      </c>
      <c r="Q21" s="40" t="n">
        <f aca="false">VLOOKUP($A21,curvesettle,HLOOKUP(Q$5,curvesettle,2,FALSE()),FALSE())</f>
        <v>0.33</v>
      </c>
      <c r="R21" s="40" t="n">
        <f aca="false">VLOOKUP($A21,curvesettle,HLOOKUP(R$5,curvesettle,2,FALSE()),FALSE())</f>
        <v>-0.1475</v>
      </c>
      <c r="S21" s="40" t="n">
        <f aca="false">VLOOKUP($A21,curvesettle,HLOOKUP(S$5,curvesettle,2,FALSE()),FALSE())</f>
        <v>0.0025</v>
      </c>
      <c r="T21" s="40" t="n">
        <f aca="false">VLOOKUP($A21,curvesettle,HLOOKUP(T$5,curvesettle,2,FALSE()),FALSE())</f>
        <v>0.2275</v>
      </c>
      <c r="U21" s="40" t="n">
        <f aca="false">VLOOKUP($A21,curvesettle,HLOOKUP(U$5,curvesettle,2,FALSE()),FALSE())</f>
        <v>1.19</v>
      </c>
      <c r="V21" s="40" t="n">
        <f aca="false">VLOOKUP($A21,curvesettle,HLOOKUP(V$5,curvesettle,2,FALSE()),FALSE())</f>
        <v>-0.0775</v>
      </c>
      <c r="W21" s="40" t="n">
        <f aca="false">VLOOKUP($A21,curvesettle,HLOOKUP(W$5,curvesettle,2,FALSE()),FALSE())</f>
        <v>-0.0375</v>
      </c>
      <c r="X21" s="40" t="n">
        <f aca="false">VLOOKUP($A21,curvesettle,HLOOKUP(X$5,curvesettle,2,FALSE()),FALSE())</f>
        <v>0.22</v>
      </c>
      <c r="Y21" s="40" t="n">
        <f aca="false">VLOOKUP($A21,curvesettle,HLOOKUP(Y$5,curvesettle,2,FALSE()),FALSE())</f>
        <v>0.415</v>
      </c>
      <c r="Z21" s="44" t="e">
        <f aca="false">IF($AD21=0,0,bsd(Z$5,Z$4,$E21,$F21,$O21,$K21,$P21,0.1))</f>
        <v>#REF!</v>
      </c>
      <c r="AA21" s="44" t="e">
        <f aca="false">IF($AD21=0,0,bsd(AA$5,AA$4,$E21,$G21,$O21,$L21,$P21,0.1))</f>
        <v>#REF!</v>
      </c>
      <c r="AC21" s="9"/>
      <c r="AD21" s="9" t="e">
        <f aca="false">IF(#REF!=1,M21,IF(AE21&gt;0,A22-A21,0))</f>
        <v>#REF!</v>
      </c>
      <c r="AE21" s="48" t="e">
        <f aca="false">IF(A21&lt;=#REF!,A21,0)</f>
        <v>#REF!</v>
      </c>
      <c r="AG21" s="1" t="e">
        <f aca="false">AD21*B21</f>
        <v>#REF!</v>
      </c>
      <c r="AH21" s="33" t="e">
        <f aca="false">AD21*E21</f>
        <v>#REF!</v>
      </c>
      <c r="AI21" s="45" t="e">
        <f aca="false">$AD21*R21</f>
        <v>#REF!</v>
      </c>
      <c r="AJ21" s="45" t="e">
        <f aca="false">$AD21*T21</f>
        <v>#REF!</v>
      </c>
      <c r="AK21" s="45" t="e">
        <f aca="false">$AD21*V21</f>
        <v>#REF!</v>
      </c>
      <c r="AL21" s="45" t="e">
        <f aca="false">$AD21*X21</f>
        <v>#REF!</v>
      </c>
      <c r="AM21" s="45" t="e">
        <f aca="false">$AD21*Z21</f>
        <v>#REF!</v>
      </c>
      <c r="AO21" s="33"/>
      <c r="AP21" s="45" t="e">
        <f aca="false">$AD21*S21</f>
        <v>#REF!</v>
      </c>
      <c r="AQ21" s="45" t="e">
        <f aca="false">$AD21*U21</f>
        <v>#REF!</v>
      </c>
      <c r="AR21" s="45" t="e">
        <f aca="false">$AD21*W21</f>
        <v>#REF!</v>
      </c>
      <c r="AS21" s="45" t="e">
        <f aca="false">$AD21*Y21</f>
        <v>#REF!</v>
      </c>
      <c r="AT21" s="45" t="e">
        <f aca="false">$AD21*AA21</f>
        <v>#REF!</v>
      </c>
      <c r="AU21" s="46"/>
      <c r="AV21" s="45"/>
      <c r="AW21" s="46"/>
      <c r="AX21" s="47"/>
      <c r="AY21" s="47"/>
      <c r="AZ21" s="47"/>
    </row>
    <row r="22" customFormat="false" ht="12.75" hidden="false" customHeight="false" outlineLevel="0" collapsed="false">
      <c r="A22" s="48" t="n">
        <f aca="false">DATE(YEAR(A21),MONTH(A21)+1,1)</f>
        <v>37226</v>
      </c>
      <c r="B22" s="40" t="n">
        <f aca="false">VLOOKUP(A22,STRADDLE,5,FALSE())</f>
        <v>4.581</v>
      </c>
      <c r="C22" s="40" t="n">
        <f aca="false">VLOOKUP($A22,curvesettle,HLOOKUP(C$5,curvesettle,2,FALSE()),FALSE())</f>
        <v>-0.135</v>
      </c>
      <c r="D22" s="40" t="n">
        <f aca="false">VLOOKUP($A22,curvesettle,HLOOKUP(D$5,curvesettle,2,FALSE()),FALSE())</f>
        <v>-0.2675</v>
      </c>
      <c r="E22" s="40" t="n">
        <f aca="false">VLOOKUP($A22,curvesettle,HLOOKUP(E$5,curvesettle,2,FALSE()),FALSE())</f>
        <v>-0.33</v>
      </c>
      <c r="F22" s="40" t="n">
        <f aca="false">VLOOKUP($A22,curvesettle,HLOOKUP(F$5,curvesettle,2,FALSE()),FALSE())</f>
        <v>0.22</v>
      </c>
      <c r="G22" s="40" t="n">
        <f aca="false">VLOOKUP($A22,curvesettle,HLOOKUP(G$5,curvesettle,2,FALSE()),FALSE())</f>
        <v>0.1675</v>
      </c>
      <c r="H22" s="40" t="n">
        <f aca="false">VLOOKUP($A22,curvesettle,HLOOKUP(H$5,curvesettle,2,FALSE()),FALSE())</f>
        <v>-0.125</v>
      </c>
      <c r="I22" s="40" t="n">
        <f aca="false">VLOOKUP($A22,curvesettle,HLOOKUP(I$5,curvesettle,2,FALSE()),FALSE())</f>
        <v>0.36</v>
      </c>
      <c r="J22" s="40" t="n">
        <f aca="false">VLOOKUP($A22,curvesettle,HLOOKUP(J$5,curvesettle,2,FALSE()),FALSE())</f>
        <v>1.61</v>
      </c>
      <c r="K22" s="40" t="n">
        <f aca="false">VLOOKUP($A22,curvesettle,HLOOKUP(K$5,curvesettle,2,FALSE()),FALSE())</f>
        <v>0.21</v>
      </c>
      <c r="L22" s="40" t="n">
        <f aca="false">VLOOKUP($A22,curvesettle,HLOOKUP(L$5,curvesettle,2,FALSE()),FALSE())</f>
        <v>0.0225</v>
      </c>
      <c r="M22" s="40" t="n">
        <f aca="false">VLOOKUP($A22,curvesettle,HLOOKUP(M$5,curvesettle,2,FALSE()),FALSE())</f>
        <v>-0.06</v>
      </c>
      <c r="N22" s="40" t="n">
        <f aca="false">VLOOKUP($A22,curvesettle,HLOOKUP(N$5,curvesettle,2,FALSE()),FALSE())</f>
        <v>-0.13</v>
      </c>
      <c r="O22" s="40" t="n">
        <f aca="false">VLOOKUP($A22,curvesettle,HLOOKUP(O$5,curvesettle,2,FALSE()),FALSE())</f>
        <v>-0.2675</v>
      </c>
      <c r="P22" s="40" t="n">
        <f aca="false">VLOOKUP($A22,curvesettle,HLOOKUP(P$5,curvesettle,2,FALSE()),FALSE())</f>
        <v>-0.13</v>
      </c>
      <c r="Q22" s="40" t="n">
        <f aca="false">VLOOKUP($A22,curvesettle,HLOOKUP(Q$5,curvesettle,2,FALSE()),FALSE())</f>
        <v>0.36</v>
      </c>
      <c r="R22" s="40" t="n">
        <f aca="false">VLOOKUP($A22,curvesettle,HLOOKUP(R$5,curvesettle,2,FALSE()),FALSE())</f>
        <v>-0.15</v>
      </c>
      <c r="S22" s="40" t="n">
        <f aca="false">VLOOKUP($A22,curvesettle,HLOOKUP(S$5,curvesettle,2,FALSE()),FALSE())</f>
        <v>0.0025</v>
      </c>
      <c r="T22" s="40" t="n">
        <f aca="false">VLOOKUP($A22,curvesettle,HLOOKUP(T$5,curvesettle,2,FALSE()),FALSE())</f>
        <v>0.2675</v>
      </c>
      <c r="U22" s="40" t="n">
        <f aca="false">VLOOKUP($A22,curvesettle,HLOOKUP(U$5,curvesettle,2,FALSE()),FALSE())</f>
        <v>1.61</v>
      </c>
      <c r="V22" s="40" t="n">
        <f aca="false">VLOOKUP($A22,curvesettle,HLOOKUP(V$5,curvesettle,2,FALSE()),FALSE())</f>
        <v>-0.0775</v>
      </c>
      <c r="W22" s="40" t="n">
        <f aca="false">VLOOKUP($A22,curvesettle,HLOOKUP(W$5,curvesettle,2,FALSE()),FALSE())</f>
        <v>-0.0375</v>
      </c>
      <c r="X22" s="40" t="n">
        <f aca="false">VLOOKUP($A22,curvesettle,HLOOKUP(X$5,curvesettle,2,FALSE()),FALSE())</f>
        <v>0.22</v>
      </c>
      <c r="Y22" s="40" t="n">
        <f aca="false">VLOOKUP($A22,curvesettle,HLOOKUP(Y$5,curvesettle,2,FALSE()),FALSE())</f>
        <v>0.415</v>
      </c>
      <c r="Z22" s="44" t="e">
        <f aca="false">IF($AD22=0,0,bsd(Z$5,Z$4,$E22,$F22,$O22,$K22,$P22,0.1))</f>
        <v>#REF!</v>
      </c>
      <c r="AA22" s="44" t="e">
        <f aca="false">IF($AD22=0,0,bsd(AA$5,AA$4,$E22,$G22,$O22,$L22,$P22,0.1))</f>
        <v>#REF!</v>
      </c>
      <c r="AC22" s="9"/>
      <c r="AD22" s="9" t="e">
        <f aca="false">IF(#REF!=1,M22,IF(AE22&gt;0,A23-A22,0))</f>
        <v>#REF!</v>
      </c>
      <c r="AE22" s="48" t="e">
        <f aca="false">IF(A22&lt;=#REF!,A22,0)</f>
        <v>#REF!</v>
      </c>
      <c r="AG22" s="1" t="e">
        <f aca="false">AD22*B22</f>
        <v>#REF!</v>
      </c>
      <c r="AH22" s="33" t="e">
        <f aca="false">AD22*E22</f>
        <v>#REF!</v>
      </c>
      <c r="AI22" s="45" t="e">
        <f aca="false">$AD22*R22</f>
        <v>#REF!</v>
      </c>
      <c r="AJ22" s="45" t="e">
        <f aca="false">$AD22*T22</f>
        <v>#REF!</v>
      </c>
      <c r="AK22" s="45" t="e">
        <f aca="false">$AD22*V22</f>
        <v>#REF!</v>
      </c>
      <c r="AL22" s="45" t="e">
        <f aca="false">$AD22*X22</f>
        <v>#REF!</v>
      </c>
      <c r="AM22" s="45" t="e">
        <f aca="false">$AD22*Z22</f>
        <v>#REF!</v>
      </c>
      <c r="AO22" s="33"/>
      <c r="AP22" s="45" t="e">
        <f aca="false">$AD22*S22</f>
        <v>#REF!</v>
      </c>
      <c r="AQ22" s="45" t="e">
        <f aca="false">$AD22*U22</f>
        <v>#REF!</v>
      </c>
      <c r="AR22" s="45" t="e">
        <f aca="false">$AD22*W22</f>
        <v>#REF!</v>
      </c>
      <c r="AS22" s="45" t="e">
        <f aca="false">$AD22*Y22</f>
        <v>#REF!</v>
      </c>
      <c r="AT22" s="45" t="e">
        <f aca="false">$AD22*AA22</f>
        <v>#REF!</v>
      </c>
      <c r="AU22" s="46"/>
      <c r="AV22" s="45"/>
      <c r="AW22" s="46"/>
      <c r="AX22" s="47"/>
      <c r="AY22" s="47"/>
      <c r="AZ22" s="47"/>
    </row>
    <row r="23" customFormat="false" ht="12.75" hidden="false" customHeight="false" outlineLevel="0" collapsed="false">
      <c r="A23" s="48" t="n">
        <f aca="false">DATE(YEAR(A22),MONTH(A22)+1,1)</f>
        <v>37257</v>
      </c>
      <c r="B23" s="40" t="n">
        <f aca="false">VLOOKUP(A23,STRADDLE,5,FALSE())</f>
        <v>4.546</v>
      </c>
      <c r="C23" s="40" t="n">
        <f aca="false">VLOOKUP($A23,curvesettle,HLOOKUP(C$5,curvesettle,2,FALSE()),FALSE())</f>
        <v>-0.135</v>
      </c>
      <c r="D23" s="40" t="n">
        <f aca="false">VLOOKUP($A23,curvesettle,HLOOKUP(D$5,curvesettle,2,FALSE()),FALSE())</f>
        <v>-0.2675</v>
      </c>
      <c r="E23" s="40" t="n">
        <f aca="false">VLOOKUP($A23,curvesettle,HLOOKUP(E$5,curvesettle,2,FALSE()),FALSE())</f>
        <v>-0.33</v>
      </c>
      <c r="F23" s="40" t="n">
        <f aca="false">VLOOKUP($A23,curvesettle,HLOOKUP(F$5,curvesettle,2,FALSE()),FALSE())</f>
        <v>0.22</v>
      </c>
      <c r="G23" s="40" t="n">
        <f aca="false">VLOOKUP($A23,curvesettle,HLOOKUP(G$5,curvesettle,2,FALSE()),FALSE())</f>
        <v>0.18</v>
      </c>
      <c r="H23" s="40" t="n">
        <f aca="false">VLOOKUP($A23,curvesettle,HLOOKUP(H$5,curvesettle,2,FALSE()),FALSE())</f>
        <v>-0.125</v>
      </c>
      <c r="I23" s="40" t="n">
        <f aca="false">VLOOKUP($A23,curvesettle,HLOOKUP(I$5,curvesettle,2,FALSE()),FALSE())</f>
        <v>0.37</v>
      </c>
      <c r="J23" s="40" t="n">
        <f aca="false">VLOOKUP($A23,curvesettle,HLOOKUP(J$5,curvesettle,2,FALSE()),FALSE())</f>
        <v>1.87</v>
      </c>
      <c r="K23" s="40" t="n">
        <f aca="false">VLOOKUP($A23,curvesettle,HLOOKUP(K$5,curvesettle,2,FALSE()),FALSE())</f>
        <v>0.21</v>
      </c>
      <c r="L23" s="40" t="n">
        <f aca="false">VLOOKUP($A23,curvesettle,HLOOKUP(L$5,curvesettle,2,FALSE()),FALSE())</f>
        <v>0.035</v>
      </c>
      <c r="M23" s="40" t="n">
        <f aca="false">VLOOKUP($A23,curvesettle,HLOOKUP(M$5,curvesettle,2,FALSE()),FALSE())</f>
        <v>-0.0625</v>
      </c>
      <c r="N23" s="40" t="n">
        <f aca="false">VLOOKUP($A23,curvesettle,HLOOKUP(N$5,curvesettle,2,FALSE()),FALSE())</f>
        <v>-0.1325</v>
      </c>
      <c r="O23" s="40" t="n">
        <f aca="false">VLOOKUP($A23,curvesettle,HLOOKUP(O$5,curvesettle,2,FALSE()),FALSE())</f>
        <v>-0.2675</v>
      </c>
      <c r="P23" s="40" t="n">
        <f aca="false">VLOOKUP($A23,curvesettle,HLOOKUP(P$5,curvesettle,2,FALSE()),FALSE())</f>
        <v>-0.1325</v>
      </c>
      <c r="Q23" s="40" t="n">
        <f aca="false">VLOOKUP($A23,curvesettle,HLOOKUP(Q$5,curvesettle,2,FALSE()),FALSE())</f>
        <v>0.37</v>
      </c>
      <c r="R23" s="40" t="n">
        <f aca="false">VLOOKUP($A23,curvesettle,HLOOKUP(R$5,curvesettle,2,FALSE()),FALSE())</f>
        <v>-0.1525</v>
      </c>
      <c r="S23" s="40" t="n">
        <f aca="false">VLOOKUP($A23,curvesettle,HLOOKUP(S$5,curvesettle,2,FALSE()),FALSE())</f>
        <v>0.0025</v>
      </c>
      <c r="T23" s="40" t="n">
        <f aca="false">VLOOKUP($A23,curvesettle,HLOOKUP(T$5,curvesettle,2,FALSE()),FALSE())</f>
        <v>0.28</v>
      </c>
      <c r="U23" s="40" t="n">
        <f aca="false">VLOOKUP($A23,curvesettle,HLOOKUP(U$5,curvesettle,2,FALSE()),FALSE())</f>
        <v>1.87</v>
      </c>
      <c r="V23" s="40" t="n">
        <f aca="false">VLOOKUP($A23,curvesettle,HLOOKUP(V$5,curvesettle,2,FALSE()),FALSE())</f>
        <v>-0.0775</v>
      </c>
      <c r="W23" s="40" t="n">
        <f aca="false">VLOOKUP($A23,curvesettle,HLOOKUP(W$5,curvesettle,2,FALSE()),FALSE())</f>
        <v>-0.0375</v>
      </c>
      <c r="X23" s="40" t="n">
        <f aca="false">VLOOKUP($A23,curvesettle,HLOOKUP(X$5,curvesettle,2,FALSE()),FALSE())</f>
        <v>0.22</v>
      </c>
      <c r="Y23" s="40" t="n">
        <f aca="false">VLOOKUP($A23,curvesettle,HLOOKUP(Y$5,curvesettle,2,FALSE()),FALSE())</f>
        <v>0.415</v>
      </c>
      <c r="Z23" s="44" t="e">
        <f aca="false">IF($AD23=0,0,bsd(Z$5,Z$4,$E23,$F23,$O23,$K23,$P23,0.1))</f>
        <v>#REF!</v>
      </c>
      <c r="AA23" s="44" t="e">
        <f aca="false">IF($AD23=0,0,bsd(AA$5,AA$4,$E23,$G23,$O23,$L23,$P23,0.1))</f>
        <v>#REF!</v>
      </c>
      <c r="AC23" s="9"/>
      <c r="AD23" s="9" t="e">
        <f aca="false">IF(#REF!=1,M23,IF(AE23&gt;0,A24-A23,0))</f>
        <v>#REF!</v>
      </c>
      <c r="AE23" s="48" t="e">
        <f aca="false">IF(A23&lt;=#REF!,A23,0)</f>
        <v>#REF!</v>
      </c>
      <c r="AG23" s="1" t="e">
        <f aca="false">AD23*B23</f>
        <v>#REF!</v>
      </c>
      <c r="AH23" s="33" t="e">
        <f aca="false">AD23*E23</f>
        <v>#REF!</v>
      </c>
      <c r="AI23" s="45" t="e">
        <f aca="false">$AD23*R23</f>
        <v>#REF!</v>
      </c>
      <c r="AJ23" s="45" t="e">
        <f aca="false">$AD23*T23</f>
        <v>#REF!</v>
      </c>
      <c r="AK23" s="45" t="e">
        <f aca="false">$AD23*V23</f>
        <v>#REF!</v>
      </c>
      <c r="AL23" s="45" t="e">
        <f aca="false">$AD23*X23</f>
        <v>#REF!</v>
      </c>
      <c r="AM23" s="45" t="e">
        <f aca="false">$AD23*Z23</f>
        <v>#REF!</v>
      </c>
      <c r="AO23" s="33"/>
      <c r="AP23" s="45" t="e">
        <f aca="false">$AD23*S23</f>
        <v>#REF!</v>
      </c>
      <c r="AQ23" s="45" t="e">
        <f aca="false">$AD23*U23</f>
        <v>#REF!</v>
      </c>
      <c r="AR23" s="45" t="e">
        <f aca="false">$AD23*W23</f>
        <v>#REF!</v>
      </c>
      <c r="AS23" s="45" t="e">
        <f aca="false">$AD23*Y23</f>
        <v>#REF!</v>
      </c>
      <c r="AT23" s="45" t="e">
        <f aca="false">$AD23*AA23</f>
        <v>#REF!</v>
      </c>
      <c r="AU23" s="46"/>
      <c r="AV23" s="45"/>
      <c r="AW23" s="46"/>
      <c r="AX23" s="47"/>
      <c r="AY23" s="47"/>
      <c r="AZ23" s="47"/>
    </row>
    <row r="24" customFormat="false" ht="12.75" hidden="false" customHeight="false" outlineLevel="0" collapsed="false">
      <c r="A24" s="48" t="n">
        <f aca="false">DATE(YEAR(A23),MONTH(A23)+1,1)</f>
        <v>37288</v>
      </c>
      <c r="B24" s="40" t="n">
        <f aca="false">VLOOKUP(A24,STRADDLE,5,FALSE())</f>
        <v>4.321</v>
      </c>
      <c r="C24" s="40" t="n">
        <f aca="false">VLOOKUP($A24,curvesettle,HLOOKUP(C$5,curvesettle,2,FALSE()),FALSE())</f>
        <v>-0.135</v>
      </c>
      <c r="D24" s="40" t="n">
        <f aca="false">VLOOKUP($A24,curvesettle,HLOOKUP(D$5,curvesettle,2,FALSE()),FALSE())</f>
        <v>-0.2675</v>
      </c>
      <c r="E24" s="40" t="n">
        <f aca="false">VLOOKUP($A24,curvesettle,HLOOKUP(E$5,curvesettle,2,FALSE()),FALSE())</f>
        <v>-0.33</v>
      </c>
      <c r="F24" s="40" t="n">
        <f aca="false">VLOOKUP($A24,curvesettle,HLOOKUP(F$5,curvesettle,2,FALSE()),FALSE())</f>
        <v>0.22</v>
      </c>
      <c r="G24" s="40" t="n">
        <f aca="false">VLOOKUP($A24,curvesettle,HLOOKUP(G$5,curvesettle,2,FALSE()),FALSE())</f>
        <v>0.1575</v>
      </c>
      <c r="H24" s="40" t="n">
        <f aca="false">VLOOKUP($A24,curvesettle,HLOOKUP(H$5,curvesettle,2,FALSE()),FALSE())</f>
        <v>-0.125</v>
      </c>
      <c r="I24" s="40" t="n">
        <f aca="false">VLOOKUP($A24,curvesettle,HLOOKUP(I$5,curvesettle,2,FALSE()),FALSE())</f>
        <v>0.37</v>
      </c>
      <c r="J24" s="40" t="n">
        <f aca="false">VLOOKUP($A24,curvesettle,HLOOKUP(J$5,curvesettle,2,FALSE()),FALSE())</f>
        <v>1.86</v>
      </c>
      <c r="K24" s="40" t="n">
        <f aca="false">VLOOKUP($A24,curvesettle,HLOOKUP(K$5,curvesettle,2,FALSE()),FALSE())</f>
        <v>0.21</v>
      </c>
      <c r="L24" s="40" t="n">
        <f aca="false">VLOOKUP($A24,curvesettle,HLOOKUP(L$5,curvesettle,2,FALSE()),FALSE())</f>
        <v>0.04</v>
      </c>
      <c r="M24" s="40" t="n">
        <f aca="false">VLOOKUP($A24,curvesettle,HLOOKUP(M$5,curvesettle,2,FALSE()),FALSE())</f>
        <v>-0.045</v>
      </c>
      <c r="N24" s="40" t="n">
        <f aca="false">VLOOKUP($A24,curvesettle,HLOOKUP(N$5,curvesettle,2,FALSE()),FALSE())</f>
        <v>-0.135</v>
      </c>
      <c r="O24" s="40" t="n">
        <f aca="false">VLOOKUP($A24,curvesettle,HLOOKUP(O$5,curvesettle,2,FALSE()),FALSE())</f>
        <v>-0.2675</v>
      </c>
      <c r="P24" s="40" t="n">
        <f aca="false">VLOOKUP($A24,curvesettle,HLOOKUP(P$5,curvesettle,2,FALSE()),FALSE())</f>
        <v>-0.135</v>
      </c>
      <c r="Q24" s="40" t="n">
        <f aca="false">VLOOKUP($A24,curvesettle,HLOOKUP(Q$5,curvesettle,2,FALSE()),FALSE())</f>
        <v>0.37</v>
      </c>
      <c r="R24" s="40" t="n">
        <f aca="false">VLOOKUP($A24,curvesettle,HLOOKUP(R$5,curvesettle,2,FALSE()),FALSE())</f>
        <v>-0.155</v>
      </c>
      <c r="S24" s="40" t="n">
        <f aca="false">VLOOKUP($A24,curvesettle,HLOOKUP(S$5,curvesettle,2,FALSE()),FALSE())</f>
        <v>0.0025</v>
      </c>
      <c r="T24" s="40" t="n">
        <f aca="false">VLOOKUP($A24,curvesettle,HLOOKUP(T$5,curvesettle,2,FALSE()),FALSE())</f>
        <v>0.2575</v>
      </c>
      <c r="U24" s="40" t="n">
        <f aca="false">VLOOKUP($A24,curvesettle,HLOOKUP(U$5,curvesettle,2,FALSE()),FALSE())</f>
        <v>1.86</v>
      </c>
      <c r="V24" s="40" t="n">
        <f aca="false">VLOOKUP($A24,curvesettle,HLOOKUP(V$5,curvesettle,2,FALSE()),FALSE())</f>
        <v>-0.0775</v>
      </c>
      <c r="W24" s="40" t="n">
        <f aca="false">VLOOKUP($A24,curvesettle,HLOOKUP(W$5,curvesettle,2,FALSE()),FALSE())</f>
        <v>-0.0375</v>
      </c>
      <c r="X24" s="40" t="n">
        <f aca="false">VLOOKUP($A24,curvesettle,HLOOKUP(X$5,curvesettle,2,FALSE()),FALSE())</f>
        <v>0.22</v>
      </c>
      <c r="Y24" s="40" t="n">
        <f aca="false">VLOOKUP($A24,curvesettle,HLOOKUP(Y$5,curvesettle,2,FALSE()),FALSE())</f>
        <v>0.415</v>
      </c>
      <c r="Z24" s="44" t="e">
        <f aca="false">IF($AD24=0,0,bsd(Z$5,Z$4,$E24,$F24,$O24,$K24,$P24,0.1))</f>
        <v>#REF!</v>
      </c>
      <c r="AA24" s="44" t="e">
        <f aca="false">IF($AD24=0,0,bsd(AA$5,AA$4,$E24,$G24,$O24,$L24,$P24,0.1))</f>
        <v>#REF!</v>
      </c>
      <c r="AC24" s="9"/>
      <c r="AD24" s="9" t="e">
        <f aca="false">IF(#REF!=1,M24,IF(AE24&gt;0,A25-A24,0))</f>
        <v>#REF!</v>
      </c>
      <c r="AE24" s="48" t="e">
        <f aca="false">IF(A24&lt;=#REF!,A24,0)</f>
        <v>#REF!</v>
      </c>
      <c r="AG24" s="1" t="e">
        <f aca="false">AD24*B24</f>
        <v>#REF!</v>
      </c>
      <c r="AH24" s="33" t="e">
        <f aca="false">AD24*E24</f>
        <v>#REF!</v>
      </c>
      <c r="AI24" s="45" t="e">
        <f aca="false">$AD24*R24</f>
        <v>#REF!</v>
      </c>
      <c r="AJ24" s="45" t="e">
        <f aca="false">$AD24*T24</f>
        <v>#REF!</v>
      </c>
      <c r="AK24" s="45" t="e">
        <f aca="false">$AD24*V24</f>
        <v>#REF!</v>
      </c>
      <c r="AL24" s="45" t="e">
        <f aca="false">$AD24*X24</f>
        <v>#REF!</v>
      </c>
      <c r="AM24" s="45" t="e">
        <f aca="false">$AD24*Z24</f>
        <v>#REF!</v>
      </c>
      <c r="AO24" s="33"/>
      <c r="AP24" s="45" t="e">
        <f aca="false">$AD24*S24</f>
        <v>#REF!</v>
      </c>
      <c r="AQ24" s="45" t="e">
        <f aca="false">$AD24*U24</f>
        <v>#REF!</v>
      </c>
      <c r="AR24" s="45" t="e">
        <f aca="false">$AD24*W24</f>
        <v>#REF!</v>
      </c>
      <c r="AS24" s="45" t="e">
        <f aca="false">$AD24*Y24</f>
        <v>#REF!</v>
      </c>
      <c r="AT24" s="45" t="e">
        <f aca="false">$AD24*AA24</f>
        <v>#REF!</v>
      </c>
      <c r="AU24" s="46"/>
      <c r="AV24" s="45"/>
      <c r="AW24" s="46"/>
      <c r="AX24" s="47"/>
      <c r="AY24" s="47"/>
      <c r="AZ24" s="47"/>
    </row>
    <row r="25" customFormat="false" ht="12.75" hidden="false" customHeight="false" outlineLevel="0" collapsed="false">
      <c r="A25" s="48" t="n">
        <f aca="false">DATE(YEAR(A24),MONTH(A24)+1,1)</f>
        <v>37316</v>
      </c>
      <c r="B25" s="40" t="n">
        <f aca="false">VLOOKUP(A25,STRADDLE,5,FALSE())</f>
        <v>4.091</v>
      </c>
      <c r="C25" s="40" t="n">
        <f aca="false">VLOOKUP($A25,curvesettle,HLOOKUP(C$5,curvesettle,2,FALSE()),FALSE())</f>
        <v>-0.14</v>
      </c>
      <c r="D25" s="40" t="n">
        <f aca="false">VLOOKUP($A25,curvesettle,HLOOKUP(D$5,curvesettle,2,FALSE()),FALSE())</f>
        <v>-0.2675</v>
      </c>
      <c r="E25" s="40" t="n">
        <f aca="false">VLOOKUP($A25,curvesettle,HLOOKUP(E$5,curvesettle,2,FALSE()),FALSE())</f>
        <v>-0.33</v>
      </c>
      <c r="F25" s="40" t="n">
        <f aca="false">VLOOKUP($A25,curvesettle,HLOOKUP(F$5,curvesettle,2,FALSE()),FALSE())</f>
        <v>0.22</v>
      </c>
      <c r="G25" s="40" t="n">
        <f aca="false">VLOOKUP($A25,curvesettle,HLOOKUP(G$5,curvesettle,2,FALSE()),FALSE())</f>
        <v>0.155</v>
      </c>
      <c r="H25" s="40" t="n">
        <f aca="false">VLOOKUP($A25,curvesettle,HLOOKUP(H$5,curvesettle,2,FALSE()),FALSE())</f>
        <v>-0.125</v>
      </c>
      <c r="I25" s="40" t="n">
        <f aca="false">VLOOKUP($A25,curvesettle,HLOOKUP(I$5,curvesettle,2,FALSE()),FALSE())</f>
        <v>0.34</v>
      </c>
      <c r="J25" s="40" t="n">
        <f aca="false">VLOOKUP($A25,curvesettle,HLOOKUP(J$5,curvesettle,2,FALSE()),FALSE())</f>
        <v>1.29</v>
      </c>
      <c r="K25" s="40" t="n">
        <f aca="false">VLOOKUP($A25,curvesettle,HLOOKUP(K$5,curvesettle,2,FALSE()),FALSE())</f>
        <v>0.21</v>
      </c>
      <c r="L25" s="40" t="n">
        <f aca="false">VLOOKUP($A25,curvesettle,HLOOKUP(L$5,curvesettle,2,FALSE()),FALSE())</f>
        <v>0.0375</v>
      </c>
      <c r="M25" s="40" t="n">
        <f aca="false">VLOOKUP($A25,curvesettle,HLOOKUP(M$5,curvesettle,2,FALSE()),FALSE())</f>
        <v>-0.0325</v>
      </c>
      <c r="N25" s="40" t="n">
        <f aca="false">VLOOKUP($A25,curvesettle,HLOOKUP(N$5,curvesettle,2,FALSE()),FALSE())</f>
        <v>-0.1375</v>
      </c>
      <c r="O25" s="40" t="n">
        <f aca="false">VLOOKUP($A25,curvesettle,HLOOKUP(O$5,curvesettle,2,FALSE()),FALSE())</f>
        <v>-0.2675</v>
      </c>
      <c r="P25" s="40" t="n">
        <f aca="false">VLOOKUP($A25,curvesettle,HLOOKUP(P$5,curvesettle,2,FALSE()),FALSE())</f>
        <v>-0.1375</v>
      </c>
      <c r="Q25" s="40" t="n">
        <f aca="false">VLOOKUP($A25,curvesettle,HLOOKUP(Q$5,curvesettle,2,FALSE()),FALSE())</f>
        <v>0.34</v>
      </c>
      <c r="R25" s="40" t="n">
        <f aca="false">VLOOKUP($A25,curvesettle,HLOOKUP(R$5,curvesettle,2,FALSE()),FALSE())</f>
        <v>-0.1575</v>
      </c>
      <c r="S25" s="40" t="n">
        <f aca="false">VLOOKUP($A25,curvesettle,HLOOKUP(S$5,curvesettle,2,FALSE()),FALSE())</f>
        <v>0.0025</v>
      </c>
      <c r="T25" s="40" t="n">
        <f aca="false">VLOOKUP($A25,curvesettle,HLOOKUP(T$5,curvesettle,2,FALSE()),FALSE())</f>
        <v>0.255</v>
      </c>
      <c r="U25" s="40" t="n">
        <f aca="false">VLOOKUP($A25,curvesettle,HLOOKUP(U$5,curvesettle,2,FALSE()),FALSE())</f>
        <v>1.29</v>
      </c>
      <c r="V25" s="40" t="n">
        <f aca="false">VLOOKUP($A25,curvesettle,HLOOKUP(V$5,curvesettle,2,FALSE()),FALSE())</f>
        <v>-0.0775</v>
      </c>
      <c r="W25" s="40" t="n">
        <f aca="false">VLOOKUP($A25,curvesettle,HLOOKUP(W$5,curvesettle,2,FALSE()),FALSE())</f>
        <v>-0.0375</v>
      </c>
      <c r="X25" s="40" t="n">
        <f aca="false">VLOOKUP($A25,curvesettle,HLOOKUP(X$5,curvesettle,2,FALSE()),FALSE())</f>
        <v>0.22</v>
      </c>
      <c r="Y25" s="40" t="n">
        <f aca="false">VLOOKUP($A25,curvesettle,HLOOKUP(Y$5,curvesettle,2,FALSE()),FALSE())</f>
        <v>0.415</v>
      </c>
      <c r="Z25" s="44" t="e">
        <f aca="false">IF($AD25=0,0,bsd(Z$5,Z$4,$E25,$F25,$O25,$K25,$P25,0.1))</f>
        <v>#REF!</v>
      </c>
      <c r="AA25" s="44" t="e">
        <f aca="false">IF($AD25=0,0,bsd(AA$5,AA$4,$E25,$G25,$O25,$L25,$P25,0.1))</f>
        <v>#REF!</v>
      </c>
      <c r="AC25" s="9"/>
      <c r="AD25" s="9" t="e">
        <f aca="false">IF(#REF!=1,M25,IF(AE25&gt;0,A26-A25,0))</f>
        <v>#REF!</v>
      </c>
      <c r="AE25" s="48" t="e">
        <f aca="false">IF(A25&lt;=#REF!,A25,0)</f>
        <v>#REF!</v>
      </c>
      <c r="AG25" s="1" t="e">
        <f aca="false">AD25*B25</f>
        <v>#REF!</v>
      </c>
      <c r="AH25" s="33" t="e">
        <f aca="false">AD25*E25</f>
        <v>#REF!</v>
      </c>
      <c r="AI25" s="45" t="e">
        <f aca="false">$AD25*R25</f>
        <v>#REF!</v>
      </c>
      <c r="AJ25" s="45" t="e">
        <f aca="false">$AD25*T25</f>
        <v>#REF!</v>
      </c>
      <c r="AK25" s="45" t="e">
        <f aca="false">$AD25*V25</f>
        <v>#REF!</v>
      </c>
      <c r="AL25" s="45" t="e">
        <f aca="false">$AD25*X25</f>
        <v>#REF!</v>
      </c>
      <c r="AM25" s="45" t="e">
        <f aca="false">$AD25*Z25</f>
        <v>#REF!</v>
      </c>
      <c r="AO25" s="33"/>
      <c r="AP25" s="45" t="e">
        <f aca="false">$AD25*S25</f>
        <v>#REF!</v>
      </c>
      <c r="AQ25" s="45" t="e">
        <f aca="false">$AD25*U25</f>
        <v>#REF!</v>
      </c>
      <c r="AR25" s="45" t="e">
        <f aca="false">$AD25*W25</f>
        <v>#REF!</v>
      </c>
      <c r="AS25" s="45" t="e">
        <f aca="false">$AD25*Y25</f>
        <v>#REF!</v>
      </c>
      <c r="AT25" s="45" t="e">
        <f aca="false">$AD25*AA25</f>
        <v>#REF!</v>
      </c>
      <c r="AU25" s="46"/>
      <c r="AV25" s="45"/>
      <c r="AW25" s="46"/>
      <c r="AX25" s="47"/>
      <c r="AY25" s="47"/>
      <c r="AZ25" s="47"/>
    </row>
    <row r="26" customFormat="false" ht="12.75" hidden="false" customHeight="false" outlineLevel="0" collapsed="false">
      <c r="A26" s="48" t="n">
        <f aca="false">DATE(YEAR(A25),MONTH(A25)+1,1)</f>
        <v>37347</v>
      </c>
      <c r="B26" s="40" t="n">
        <f aca="false">VLOOKUP(A26,STRADDLE,5,FALSE())</f>
        <v>3.81</v>
      </c>
      <c r="C26" s="40" t="n">
        <f aca="false">VLOOKUP($A26,curvesettle,HLOOKUP(C$5,curvesettle,2,FALSE()),FALSE())</f>
        <v>-0.1275</v>
      </c>
      <c r="D26" s="40" t="n">
        <f aca="false">VLOOKUP($A26,curvesettle,HLOOKUP(D$5,curvesettle,2,FALSE()),FALSE())</f>
        <v>-0.21</v>
      </c>
      <c r="E26" s="40" t="n">
        <f aca="false">VLOOKUP($A26,curvesettle,HLOOKUP(E$5,curvesettle,2,FALSE()),FALSE())</f>
        <v>-0.535</v>
      </c>
      <c r="F26" s="40" t="n">
        <f aca="false">VLOOKUP($A26,curvesettle,HLOOKUP(F$5,curvesettle,2,FALSE()),FALSE())</f>
        <v>0.37</v>
      </c>
      <c r="G26" s="40" t="n">
        <f aca="false">VLOOKUP($A26,curvesettle,HLOOKUP(G$5,curvesettle,2,FALSE()),FALSE())</f>
        <v>0.075</v>
      </c>
      <c r="H26" s="40" t="n">
        <f aca="false">VLOOKUP($A26,curvesettle,HLOOKUP(H$5,curvesettle,2,FALSE()),FALSE())</f>
        <v>-0.115</v>
      </c>
      <c r="I26" s="40" t="n">
        <f aca="false">VLOOKUP($A26,curvesettle,HLOOKUP(I$5,curvesettle,2,FALSE()),FALSE())</f>
        <v>0.205</v>
      </c>
      <c r="J26" s="40" t="n">
        <f aca="false">VLOOKUP($A26,curvesettle,HLOOKUP(J$5,curvesettle,2,FALSE()),FALSE())</f>
        <v>0.45</v>
      </c>
      <c r="K26" s="40" t="n">
        <f aca="false">VLOOKUP($A26,curvesettle,HLOOKUP(K$5,curvesettle,2,FALSE()),FALSE())</f>
        <v>0.12</v>
      </c>
      <c r="L26" s="40" t="n">
        <f aca="false">VLOOKUP($A26,curvesettle,HLOOKUP(L$5,curvesettle,2,FALSE()),FALSE())</f>
        <v>-0.06</v>
      </c>
      <c r="M26" s="40" t="n">
        <f aca="false">VLOOKUP($A26,curvesettle,HLOOKUP(M$5,curvesettle,2,FALSE()),FALSE())</f>
        <v>0.015</v>
      </c>
      <c r="N26" s="40" t="n">
        <f aca="false">VLOOKUP($A26,curvesettle,HLOOKUP(N$5,curvesettle,2,FALSE()),FALSE())</f>
        <v>-0.1325</v>
      </c>
      <c r="O26" s="40" t="n">
        <f aca="false">VLOOKUP($A26,curvesettle,HLOOKUP(O$5,curvesettle,2,FALSE()),FALSE())</f>
        <v>-0.21</v>
      </c>
      <c r="P26" s="40" t="n">
        <f aca="false">VLOOKUP($A26,curvesettle,HLOOKUP(P$5,curvesettle,2,FALSE()),FALSE())</f>
        <v>-0.1325</v>
      </c>
      <c r="Q26" s="40" t="n">
        <f aca="false">VLOOKUP($A26,curvesettle,HLOOKUP(Q$5,curvesettle,2,FALSE()),FALSE())</f>
        <v>0.205</v>
      </c>
      <c r="R26" s="40" t="n">
        <f aca="false">VLOOKUP($A26,curvesettle,HLOOKUP(R$5,curvesettle,2,FALSE()),FALSE())</f>
        <v>-0.1975</v>
      </c>
      <c r="S26" s="40" t="n">
        <f aca="false">VLOOKUP($A26,curvesettle,HLOOKUP(S$5,curvesettle,2,FALSE()),FALSE())</f>
        <v>0.006</v>
      </c>
      <c r="T26" s="40" t="n">
        <f aca="false">VLOOKUP($A26,curvesettle,HLOOKUP(T$5,curvesettle,2,FALSE()),FALSE())</f>
        <v>0.16</v>
      </c>
      <c r="U26" s="40" t="n">
        <f aca="false">VLOOKUP($A26,curvesettle,HLOOKUP(U$5,curvesettle,2,FALSE()),FALSE())</f>
        <v>0.45</v>
      </c>
      <c r="V26" s="40" t="n">
        <f aca="false">VLOOKUP($A26,curvesettle,HLOOKUP(V$5,curvesettle,2,FALSE()),FALSE())</f>
        <v>-0.06</v>
      </c>
      <c r="W26" s="40" t="n">
        <f aca="false">VLOOKUP($A26,curvesettle,HLOOKUP(W$5,curvesettle,2,FALSE()),FALSE())</f>
        <v>-0.02</v>
      </c>
      <c r="X26" s="40" t="n">
        <f aca="false">VLOOKUP($A26,curvesettle,HLOOKUP(X$5,curvesettle,2,FALSE()),FALSE())</f>
        <v>0.37</v>
      </c>
      <c r="Y26" s="40" t="n">
        <f aca="false">VLOOKUP($A26,curvesettle,HLOOKUP(Y$5,curvesettle,2,FALSE()),FALSE())</f>
        <v>0.47</v>
      </c>
      <c r="Z26" s="44" t="e">
        <f aca="false">IF($AD26=0,0,bsd(Z$5,Z$4,$E26,$F26,$O26,$K26,$P26,0.1))</f>
        <v>#REF!</v>
      </c>
      <c r="AA26" s="44" t="e">
        <f aca="false">IF($AD26=0,0,bsd(AA$5,AA$4,$E26,$G26,$O26,$L26,$P26,0.1))</f>
        <v>#REF!</v>
      </c>
      <c r="AC26" s="9"/>
      <c r="AD26" s="9" t="e">
        <f aca="false">IF(#REF!=1,M26,IF(AE26&gt;0,A27-A26,0))</f>
        <v>#REF!</v>
      </c>
      <c r="AE26" s="48" t="e">
        <f aca="false">IF(A26&lt;=#REF!,A26,0)</f>
        <v>#REF!</v>
      </c>
      <c r="AG26" s="1" t="e">
        <f aca="false">AD26*B26</f>
        <v>#REF!</v>
      </c>
      <c r="AH26" s="33" t="e">
        <f aca="false">AD26*E26</f>
        <v>#REF!</v>
      </c>
      <c r="AI26" s="45" t="e">
        <f aca="false">$AD26*R26</f>
        <v>#REF!</v>
      </c>
      <c r="AJ26" s="45" t="e">
        <f aca="false">$AD26*T26</f>
        <v>#REF!</v>
      </c>
      <c r="AK26" s="45" t="e">
        <f aca="false">$AD26*V26</f>
        <v>#REF!</v>
      </c>
      <c r="AL26" s="45" t="e">
        <f aca="false">$AD26*X26</f>
        <v>#REF!</v>
      </c>
      <c r="AM26" s="45" t="e">
        <f aca="false">$AD26*Z26</f>
        <v>#REF!</v>
      </c>
      <c r="AO26" s="33"/>
      <c r="AP26" s="45" t="e">
        <f aca="false">$AD26*S26</f>
        <v>#REF!</v>
      </c>
      <c r="AQ26" s="45" t="e">
        <f aca="false">$AD26*U26</f>
        <v>#REF!</v>
      </c>
      <c r="AR26" s="45" t="e">
        <f aca="false">$AD26*W26</f>
        <v>#REF!</v>
      </c>
      <c r="AS26" s="45" t="e">
        <f aca="false">$AD26*Y26</f>
        <v>#REF!</v>
      </c>
      <c r="AT26" s="45" t="e">
        <f aca="false">$AD26*AA26</f>
        <v>#REF!</v>
      </c>
      <c r="AU26" s="46"/>
      <c r="AV26" s="45"/>
      <c r="AW26" s="46"/>
      <c r="AX26" s="47"/>
      <c r="AY26" s="47"/>
      <c r="AZ26" s="47"/>
    </row>
    <row r="27" customFormat="false" ht="12.75" hidden="false" customHeight="false" outlineLevel="0" collapsed="false">
      <c r="A27" s="48" t="n">
        <f aca="false">DATE(YEAR(A26),MONTH(A26)+1,1)</f>
        <v>37377</v>
      </c>
      <c r="B27" s="49"/>
      <c r="E27" s="46"/>
      <c r="F27" s="46"/>
      <c r="G27" s="46"/>
      <c r="H27" s="133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1"/>
      <c r="AD27" s="10"/>
      <c r="AE27" s="11"/>
      <c r="AF27" s="10"/>
    </row>
    <row r="28" customFormat="false" ht="12.75" hidden="false" customHeight="false" outlineLevel="0" collapsed="false">
      <c r="A28" s="51"/>
      <c r="B28" s="49"/>
      <c r="E28" s="46"/>
      <c r="F28" s="46"/>
      <c r="G28" s="46"/>
      <c r="H28" s="133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1"/>
      <c r="AD28" s="10"/>
      <c r="AE28" s="11"/>
      <c r="AF28" s="10"/>
    </row>
    <row r="29" customFormat="false" ht="12.75" hidden="false" customHeight="false" outlineLevel="0" collapsed="false">
      <c r="A29" s="51"/>
      <c r="B29" s="49"/>
      <c r="E29" s="46"/>
      <c r="F29" s="46"/>
      <c r="G29" s="46"/>
      <c r="H29" s="133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1"/>
      <c r="AD29" s="10"/>
      <c r="AE29" s="11"/>
      <c r="AF29" s="10"/>
    </row>
    <row r="30" customFormat="false" ht="12.75" hidden="false" customHeight="false" outlineLevel="0" collapsed="false">
      <c r="A30" s="51"/>
      <c r="B30" s="49"/>
      <c r="D30" s="1" t="n">
        <f aca="false">0.15*180*10000</f>
        <v>270000</v>
      </c>
      <c r="E30" s="46"/>
      <c r="F30" s="46"/>
      <c r="G30" s="46"/>
      <c r="H30" s="133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1"/>
      <c r="AD30" s="10"/>
      <c r="AE30" s="11"/>
      <c r="AF30" s="10"/>
    </row>
    <row r="31" customFormat="false" ht="12.75" hidden="false" customHeight="false" outlineLevel="0" collapsed="false">
      <c r="A31" s="51"/>
      <c r="B31" s="49"/>
      <c r="E31" s="46"/>
      <c r="F31" s="46"/>
      <c r="G31" s="46"/>
      <c r="H31" s="133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1"/>
      <c r="AD31" s="10"/>
      <c r="AE31" s="11"/>
      <c r="AF31" s="10"/>
    </row>
    <row r="32" customFormat="false" ht="12.75" hidden="false" customHeight="false" outlineLevel="0" collapsed="false">
      <c r="A32" s="51"/>
      <c r="B32" s="49"/>
      <c r="E32" s="46"/>
      <c r="F32" s="46"/>
      <c r="G32" s="46"/>
      <c r="H32" s="133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1"/>
      <c r="AD32" s="10"/>
      <c r="AE32" s="11"/>
      <c r="AF32" s="10"/>
    </row>
    <row r="33" customFormat="false" ht="12.75" hidden="false" customHeight="false" outlineLevel="0" collapsed="false">
      <c r="A33" s="51"/>
      <c r="B33" s="49"/>
      <c r="E33" s="46"/>
      <c r="F33" s="46"/>
      <c r="G33" s="46"/>
      <c r="H33" s="133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1"/>
      <c r="AD33" s="10"/>
      <c r="AE33" s="11"/>
      <c r="AF33" s="10"/>
    </row>
    <row r="34" customFormat="false" ht="12.75" hidden="false" customHeight="false" outlineLevel="0" collapsed="false">
      <c r="A34" s="51"/>
      <c r="B34" s="49"/>
      <c r="E34" s="46"/>
      <c r="F34" s="46"/>
      <c r="G34" s="46"/>
      <c r="H34" s="133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1"/>
      <c r="AD34" s="10"/>
      <c r="AE34" s="11"/>
      <c r="AF34" s="10"/>
    </row>
    <row r="35" customFormat="false" ht="12.75" hidden="false" customHeight="false" outlineLevel="0" collapsed="false">
      <c r="A35" s="51"/>
      <c r="B35" s="49"/>
      <c r="E35" s="46"/>
      <c r="F35" s="46"/>
      <c r="G35" s="46"/>
      <c r="H35" s="133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1"/>
      <c r="AD35" s="10"/>
      <c r="AE35" s="11"/>
      <c r="AF35" s="10"/>
    </row>
    <row r="36" customFormat="false" ht="12.75" hidden="false" customHeight="false" outlineLevel="0" collapsed="false">
      <c r="A36" s="51"/>
      <c r="B36" s="49"/>
      <c r="E36" s="46"/>
      <c r="F36" s="46"/>
      <c r="G36" s="46"/>
      <c r="H36" s="133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1"/>
      <c r="AD36" s="10"/>
      <c r="AE36" s="11"/>
      <c r="AF36" s="10"/>
    </row>
    <row r="37" customFormat="false" ht="12.75" hidden="false" customHeight="false" outlineLevel="0" collapsed="false">
      <c r="A37" s="51"/>
      <c r="B37" s="49"/>
      <c r="E37" s="46"/>
      <c r="F37" s="46"/>
      <c r="G37" s="46"/>
      <c r="H37" s="133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1"/>
      <c r="AD37" s="10"/>
      <c r="AE37" s="11"/>
      <c r="AF37" s="10"/>
    </row>
    <row r="38" customFormat="false" ht="12.75" hidden="false" customHeight="false" outlineLevel="0" collapsed="false">
      <c r="A38" s="52"/>
      <c r="E38" s="22"/>
      <c r="F38" s="22"/>
      <c r="G38" s="22"/>
      <c r="H38" s="133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1"/>
      <c r="AD38" s="10"/>
      <c r="AE38" s="11"/>
      <c r="AF38" s="10"/>
    </row>
    <row r="39" customFormat="false" ht="12.75" hidden="false" customHeight="false" outlineLevel="0" collapsed="false">
      <c r="A39" s="51"/>
      <c r="B39" s="49"/>
      <c r="E39" s="46"/>
      <c r="F39" s="46"/>
      <c r="G39" s="46"/>
      <c r="H39" s="133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1"/>
      <c r="AD39" s="10"/>
      <c r="AE39" s="11"/>
      <c r="AF39" s="10"/>
    </row>
    <row r="40" customFormat="false" ht="12.75" hidden="false" customHeight="false" outlineLevel="0" collapsed="false">
      <c r="B40" s="51"/>
      <c r="C40" s="54"/>
      <c r="D40" s="54"/>
      <c r="E40" s="55"/>
      <c r="F40" s="55"/>
      <c r="G40" s="55"/>
      <c r="H40" s="46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0"/>
      <c r="AA40" s="10"/>
      <c r="AB40" s="10"/>
      <c r="AC40" s="11"/>
      <c r="AD40" s="10"/>
      <c r="AE40" s="11"/>
      <c r="AF40" s="10"/>
    </row>
    <row r="41" customFormat="false" ht="12.75" hidden="false" customHeight="false" outlineLevel="0" collapsed="false">
      <c r="B41" s="51"/>
      <c r="C41" s="54"/>
      <c r="D41" s="54"/>
      <c r="E41" s="55"/>
      <c r="F41" s="55"/>
      <c r="G41" s="55"/>
      <c r="H41" s="46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0"/>
      <c r="AA41" s="10"/>
      <c r="AB41" s="10"/>
      <c r="AC41" s="11"/>
      <c r="AD41" s="10"/>
      <c r="AE41" s="11"/>
      <c r="AF41" s="10"/>
    </row>
    <row r="42" customFormat="false" ht="12.75" hidden="false" customHeight="false" outlineLevel="0" collapsed="false">
      <c r="B42" s="51"/>
      <c r="C42" s="54"/>
      <c r="D42" s="54"/>
      <c r="E42" s="55"/>
      <c r="F42" s="55"/>
      <c r="G42" s="55"/>
      <c r="H42" s="46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0"/>
      <c r="AA42" s="10"/>
      <c r="AB42" s="10"/>
      <c r="AC42" s="11"/>
      <c r="AD42" s="10"/>
      <c r="AE42" s="11"/>
      <c r="AF42" s="10"/>
    </row>
    <row r="43" customFormat="false" ht="12.75" hidden="false" customHeight="false" outlineLevel="0" collapsed="false">
      <c r="B43" s="51"/>
      <c r="C43" s="54"/>
      <c r="D43" s="54"/>
      <c r="E43" s="55"/>
      <c r="F43" s="55"/>
      <c r="G43" s="55"/>
      <c r="H43" s="46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0"/>
      <c r="AA43" s="10"/>
      <c r="AB43" s="10"/>
      <c r="AC43" s="11"/>
      <c r="AD43" s="10"/>
      <c r="AE43" s="11"/>
      <c r="AF43" s="10"/>
    </row>
    <row r="44" customFormat="false" ht="12.75" hidden="false" customHeight="false" outlineLevel="0" collapsed="false">
      <c r="B44" s="51"/>
      <c r="C44" s="54"/>
      <c r="D44" s="54"/>
      <c r="E44" s="55"/>
      <c r="F44" s="55"/>
      <c r="G44" s="55"/>
      <c r="H44" s="46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0"/>
      <c r="AA44" s="10"/>
      <c r="AB44" s="10"/>
      <c r="AC44" s="11"/>
      <c r="AD44" s="10"/>
      <c r="AE44" s="11"/>
      <c r="AF44" s="10"/>
    </row>
    <row r="45" customFormat="false" ht="12.75" hidden="false" customHeight="false" outlineLevel="0" collapsed="false">
      <c r="B45" s="51"/>
      <c r="C45" s="54"/>
      <c r="D45" s="54"/>
      <c r="E45" s="55"/>
      <c r="F45" s="55"/>
      <c r="G45" s="55"/>
      <c r="H45" s="46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0"/>
      <c r="AA45" s="10"/>
      <c r="AB45" s="10"/>
      <c r="AC45" s="11"/>
      <c r="AD45" s="10"/>
      <c r="AE45" s="11"/>
      <c r="AF45" s="10"/>
    </row>
    <row r="46" customFormat="false" ht="12.75" hidden="false" customHeight="false" outlineLevel="0" collapsed="false">
      <c r="B46" s="51"/>
      <c r="C46" s="54"/>
      <c r="D46" s="54"/>
      <c r="E46" s="55"/>
      <c r="F46" s="55"/>
      <c r="G46" s="55"/>
      <c r="H46" s="46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0"/>
      <c r="AA46" s="10"/>
      <c r="AB46" s="10"/>
      <c r="AC46" s="11"/>
      <c r="AD46" s="10"/>
      <c r="AE46" s="11"/>
      <c r="AF46" s="10"/>
    </row>
    <row r="47" customFormat="false" ht="12.75" hidden="false" customHeight="false" outlineLevel="0" collapsed="false">
      <c r="B47" s="51"/>
      <c r="C47" s="54"/>
      <c r="D47" s="54"/>
      <c r="E47" s="55"/>
      <c r="F47" s="55"/>
      <c r="G47" s="55"/>
      <c r="H47" s="46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0"/>
      <c r="AA47" s="10"/>
      <c r="AB47" s="10"/>
      <c r="AC47" s="11"/>
      <c r="AD47" s="10"/>
      <c r="AE47" s="11"/>
      <c r="AF47" s="10"/>
    </row>
    <row r="48" customFormat="false" ht="12.75" hidden="false" customHeight="false" outlineLevel="0" collapsed="false">
      <c r="B48" s="51"/>
      <c r="C48" s="54"/>
      <c r="D48" s="54"/>
      <c r="E48" s="55"/>
      <c r="F48" s="55"/>
      <c r="G48" s="55"/>
      <c r="H48" s="46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0"/>
      <c r="AA48" s="10"/>
      <c r="AB48" s="10"/>
      <c r="AC48" s="11"/>
      <c r="AD48" s="10"/>
      <c r="AE48" s="11"/>
      <c r="AF48" s="10"/>
    </row>
    <row r="49" customFormat="false" ht="12.75" hidden="false" customHeight="false" outlineLevel="0" collapsed="false">
      <c r="B49" s="51"/>
      <c r="C49" s="54"/>
      <c r="D49" s="54"/>
      <c r="E49" s="55"/>
      <c r="F49" s="55"/>
      <c r="G49" s="55"/>
      <c r="H49" s="46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0"/>
      <c r="AA49" s="10"/>
      <c r="AB49" s="10"/>
      <c r="AC49" s="11"/>
      <c r="AD49" s="10"/>
      <c r="AE49" s="11"/>
      <c r="AF49" s="10"/>
    </row>
    <row r="50" customFormat="false" ht="12.75" hidden="false" customHeight="false" outlineLevel="0" collapsed="false">
      <c r="B50" s="51"/>
      <c r="C50" s="54"/>
      <c r="D50" s="54"/>
      <c r="E50" s="55"/>
      <c r="F50" s="55"/>
      <c r="G50" s="55"/>
      <c r="H50" s="46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0"/>
      <c r="AA50" s="10"/>
      <c r="AB50" s="10"/>
      <c r="AC50" s="11"/>
      <c r="AD50" s="10"/>
      <c r="AE50" s="11"/>
      <c r="AF50" s="10"/>
    </row>
    <row r="51" customFormat="false" ht="12.75" hidden="false" customHeight="false" outlineLevel="0" collapsed="false">
      <c r="B51" s="51"/>
      <c r="C51" s="54"/>
      <c r="D51" s="54"/>
      <c r="E51" s="55"/>
      <c r="F51" s="55"/>
      <c r="G51" s="55"/>
      <c r="H51" s="46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0"/>
      <c r="AA51" s="10"/>
      <c r="AB51" s="10"/>
      <c r="AC51" s="11"/>
      <c r="AD51" s="10"/>
      <c r="AE51" s="11"/>
      <c r="AF51" s="10"/>
    </row>
    <row r="52" customFormat="false" ht="13.5" hidden="false" customHeight="false" outlineLevel="0" collapsed="false">
      <c r="B52" s="51"/>
      <c r="C52" s="56"/>
      <c r="D52" s="56"/>
      <c r="E52" s="55"/>
      <c r="F52" s="55"/>
      <c r="G52" s="55"/>
      <c r="H52" s="46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0"/>
      <c r="AA52" s="10"/>
      <c r="AB52" s="10"/>
      <c r="AC52" s="11"/>
      <c r="AD52" s="10"/>
      <c r="AE52" s="11"/>
      <c r="AF52" s="10"/>
    </row>
    <row r="53" customFormat="false" ht="12.75" hidden="false" customHeight="false" outlineLevel="0" collapsed="false">
      <c r="B53" s="51"/>
      <c r="C53" s="57"/>
      <c r="D53" s="57"/>
      <c r="E53" s="55"/>
      <c r="F53" s="55"/>
      <c r="G53" s="55"/>
      <c r="H53" s="46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0"/>
      <c r="AA53" s="10"/>
      <c r="AB53" s="10"/>
      <c r="AC53" s="11"/>
      <c r="AD53" s="10"/>
      <c r="AE53" s="11"/>
      <c r="AF53" s="10"/>
    </row>
    <row r="54" customFormat="false" ht="13.5" hidden="false" customHeight="false" outlineLevel="0" collapsed="false">
      <c r="B54" s="51"/>
      <c r="C54" s="58"/>
      <c r="D54" s="58"/>
      <c r="E54" s="55"/>
      <c r="F54" s="55"/>
      <c r="G54" s="55"/>
      <c r="H54" s="46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0"/>
      <c r="AA54" s="10"/>
      <c r="AB54" s="10"/>
      <c r="AC54" s="11"/>
      <c r="AD54" s="10"/>
      <c r="AE54" s="11"/>
      <c r="AF54" s="10"/>
    </row>
    <row r="55" customFormat="false" ht="13.5" hidden="false" customHeight="false" outlineLevel="0" collapsed="false">
      <c r="B55" s="51"/>
      <c r="C55" s="58"/>
      <c r="D55" s="58"/>
      <c r="E55" s="55"/>
      <c r="F55" s="55"/>
      <c r="G55" s="55"/>
      <c r="H55" s="46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0"/>
      <c r="AA55" s="10"/>
      <c r="AB55" s="10"/>
      <c r="AC55" s="11"/>
      <c r="AD55" s="10"/>
      <c r="AE55" s="11"/>
      <c r="AF55" s="10"/>
    </row>
    <row r="56" customFormat="false" ht="12.75" hidden="false" customHeight="false" outlineLevel="0" collapsed="false">
      <c r="B56" s="51"/>
      <c r="C56" s="59"/>
      <c r="D56" s="59"/>
      <c r="E56" s="55"/>
      <c r="F56" s="55"/>
      <c r="G56" s="55"/>
      <c r="H56" s="46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0"/>
      <c r="AA56" s="10"/>
      <c r="AB56" s="10"/>
      <c r="AC56" s="11"/>
      <c r="AD56" s="10"/>
      <c r="AE56" s="11"/>
      <c r="AF56" s="10"/>
    </row>
    <row r="57" customFormat="false" ht="12.75" hidden="false" customHeight="false" outlineLevel="0" collapsed="false">
      <c r="B57" s="51"/>
      <c r="C57" s="59"/>
      <c r="D57" s="59"/>
      <c r="E57" s="55"/>
      <c r="F57" s="55"/>
      <c r="G57" s="55"/>
      <c r="H57" s="46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0"/>
      <c r="AA57" s="10"/>
      <c r="AB57" s="10"/>
      <c r="AC57" s="11"/>
      <c r="AD57" s="10"/>
      <c r="AE57" s="11"/>
      <c r="AF57" s="10"/>
    </row>
    <row r="58" customFormat="false" ht="12.75" hidden="false" customHeight="false" outlineLevel="0" collapsed="false">
      <c r="B58" s="51"/>
      <c r="C58" s="59"/>
      <c r="D58" s="59"/>
      <c r="E58" s="55"/>
      <c r="F58" s="55"/>
      <c r="G58" s="55"/>
      <c r="H58" s="46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0"/>
      <c r="AA58" s="10"/>
      <c r="AB58" s="10"/>
      <c r="AC58" s="11"/>
      <c r="AD58" s="10"/>
      <c r="AE58" s="11"/>
      <c r="AF58" s="10"/>
    </row>
    <row r="59" customFormat="false" ht="12.75" hidden="false" customHeight="false" outlineLevel="0" collapsed="false">
      <c r="B59" s="51"/>
      <c r="C59" s="59"/>
      <c r="D59" s="59"/>
      <c r="E59" s="55"/>
      <c r="F59" s="55"/>
      <c r="G59" s="55"/>
      <c r="H59" s="46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0"/>
      <c r="AA59" s="10"/>
      <c r="AB59" s="10"/>
      <c r="AC59" s="11"/>
      <c r="AD59" s="10"/>
      <c r="AE59" s="11"/>
      <c r="AF59" s="10"/>
    </row>
    <row r="60" customFormat="false" ht="12.75" hidden="false" customHeight="false" outlineLevel="0" collapsed="false">
      <c r="B60" s="51"/>
      <c r="C60" s="59"/>
      <c r="D60" s="59"/>
      <c r="E60" s="55"/>
      <c r="F60" s="55"/>
      <c r="G60" s="55"/>
      <c r="H60" s="46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0"/>
      <c r="AA60" s="10"/>
      <c r="AB60" s="10"/>
      <c r="AC60" s="11"/>
      <c r="AD60" s="10"/>
      <c r="AE60" s="11"/>
      <c r="AF60" s="10"/>
    </row>
    <row r="61" customFormat="false" ht="12.75" hidden="false" customHeight="false" outlineLevel="0" collapsed="false">
      <c r="B61" s="51"/>
      <c r="C61" s="59"/>
      <c r="D61" s="59"/>
      <c r="E61" s="55"/>
      <c r="F61" s="55"/>
      <c r="G61" s="55"/>
      <c r="H61" s="46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0"/>
      <c r="AA61" s="10"/>
      <c r="AB61" s="10"/>
      <c r="AC61" s="11"/>
      <c r="AD61" s="10"/>
      <c r="AE61" s="11"/>
      <c r="AF61" s="10"/>
    </row>
    <row r="62" customFormat="false" ht="12.75" hidden="false" customHeight="false" outlineLevel="0" collapsed="false">
      <c r="B62" s="51"/>
      <c r="C62" s="59"/>
      <c r="D62" s="59"/>
      <c r="E62" s="55"/>
      <c r="F62" s="55"/>
      <c r="G62" s="55"/>
      <c r="H62" s="46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0"/>
      <c r="AA62" s="10"/>
      <c r="AB62" s="10"/>
      <c r="AC62" s="11"/>
      <c r="AD62" s="10"/>
      <c r="AE62" s="11"/>
      <c r="AF62" s="10"/>
    </row>
    <row r="63" customFormat="false" ht="12.75" hidden="false" customHeight="false" outlineLevel="0" collapsed="false">
      <c r="B63" s="51"/>
      <c r="C63" s="59"/>
      <c r="D63" s="59"/>
      <c r="E63" s="55"/>
      <c r="F63" s="55"/>
      <c r="G63" s="55"/>
      <c r="H63" s="46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0"/>
      <c r="AA63" s="10"/>
      <c r="AB63" s="10"/>
      <c r="AC63" s="11"/>
      <c r="AD63" s="10"/>
      <c r="AE63" s="11"/>
      <c r="AF63" s="10"/>
    </row>
    <row r="64" customFormat="false" ht="12.75" hidden="false" customHeight="false" outlineLevel="0" collapsed="false">
      <c r="B64" s="51"/>
      <c r="C64" s="59"/>
      <c r="D64" s="59"/>
      <c r="E64" s="55"/>
      <c r="F64" s="55"/>
      <c r="G64" s="55"/>
      <c r="H64" s="46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0"/>
      <c r="AA64" s="10"/>
      <c r="AB64" s="10"/>
      <c r="AC64" s="11"/>
      <c r="AD64" s="10"/>
      <c r="AE64" s="11"/>
      <c r="AF64" s="10"/>
    </row>
    <row r="65" customFormat="false" ht="12.75" hidden="false" customHeight="false" outlineLevel="0" collapsed="false">
      <c r="B65" s="51"/>
      <c r="C65" s="59"/>
      <c r="D65" s="59"/>
      <c r="E65" s="55"/>
      <c r="F65" s="55"/>
      <c r="G65" s="55"/>
      <c r="H65" s="46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0"/>
      <c r="AA65" s="10"/>
      <c r="AB65" s="10"/>
      <c r="AC65" s="11"/>
      <c r="AD65" s="10"/>
      <c r="AE65" s="11"/>
      <c r="AF65" s="10"/>
    </row>
    <row r="66" customFormat="false" ht="12.75" hidden="false" customHeight="false" outlineLevel="0" collapsed="false">
      <c r="B66" s="51"/>
      <c r="C66" s="59"/>
      <c r="D66" s="59"/>
      <c r="E66" s="55"/>
      <c r="F66" s="55"/>
      <c r="G66" s="55"/>
      <c r="H66" s="46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0"/>
      <c r="AA66" s="10"/>
      <c r="AB66" s="10"/>
      <c r="AC66" s="11"/>
      <c r="AD66" s="10"/>
      <c r="AE66" s="11"/>
      <c r="AF66" s="10"/>
    </row>
    <row r="67" customFormat="false" ht="12.75" hidden="false" customHeight="false" outlineLevel="0" collapsed="false">
      <c r="B67" s="51"/>
      <c r="C67" s="59"/>
      <c r="D67" s="59"/>
      <c r="E67" s="55"/>
      <c r="F67" s="55"/>
      <c r="G67" s="55"/>
      <c r="H67" s="46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0"/>
      <c r="AA67" s="10"/>
      <c r="AB67" s="10"/>
      <c r="AC67" s="11"/>
      <c r="AD67" s="10"/>
      <c r="AE67" s="11"/>
      <c r="AF67" s="10"/>
    </row>
    <row r="68" customFormat="false" ht="12.75" hidden="false" customHeight="false" outlineLevel="0" collapsed="false">
      <c r="B68" s="51"/>
      <c r="C68" s="59"/>
      <c r="D68" s="59"/>
      <c r="E68" s="55"/>
      <c r="F68" s="55"/>
      <c r="G68" s="55"/>
      <c r="H68" s="46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0"/>
      <c r="AA68" s="10"/>
      <c r="AB68" s="10"/>
      <c r="AC68" s="11"/>
      <c r="AD68" s="10"/>
      <c r="AE68" s="11"/>
      <c r="AF68" s="10"/>
    </row>
    <row r="69" customFormat="false" ht="12.75" hidden="false" customHeight="false" outlineLevel="0" collapsed="false">
      <c r="B69" s="51"/>
      <c r="C69" s="59"/>
      <c r="D69" s="59"/>
      <c r="E69" s="55"/>
      <c r="F69" s="55"/>
      <c r="G69" s="55"/>
      <c r="H69" s="46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0"/>
      <c r="AA69" s="10"/>
      <c r="AB69" s="10"/>
      <c r="AC69" s="11"/>
      <c r="AD69" s="10"/>
      <c r="AE69" s="11"/>
      <c r="AF69" s="10"/>
    </row>
    <row r="70" customFormat="false" ht="12.75" hidden="false" customHeight="false" outlineLevel="0" collapsed="false">
      <c r="B70" s="51"/>
      <c r="C70" s="59"/>
      <c r="D70" s="59"/>
      <c r="E70" s="55"/>
      <c r="F70" s="55"/>
      <c r="G70" s="55"/>
      <c r="H70" s="46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0"/>
      <c r="AA70" s="10"/>
      <c r="AB70" s="10"/>
      <c r="AC70" s="11"/>
      <c r="AD70" s="10"/>
      <c r="AE70" s="11"/>
      <c r="AF70" s="10"/>
    </row>
    <row r="71" customFormat="false" ht="12.75" hidden="false" customHeight="false" outlineLevel="0" collapsed="false">
      <c r="B71" s="51"/>
      <c r="C71" s="59"/>
      <c r="D71" s="59"/>
      <c r="E71" s="55"/>
      <c r="F71" s="55"/>
      <c r="G71" s="55"/>
      <c r="H71" s="46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0"/>
      <c r="AA71" s="10"/>
      <c r="AB71" s="10"/>
      <c r="AC71" s="11"/>
      <c r="AD71" s="10"/>
      <c r="AE71" s="11"/>
      <c r="AF71" s="10"/>
    </row>
    <row r="72" customFormat="false" ht="12.75" hidden="false" customHeight="false" outlineLevel="0" collapsed="false">
      <c r="B72" s="51"/>
      <c r="C72" s="59"/>
      <c r="D72" s="59"/>
      <c r="E72" s="55"/>
      <c r="F72" s="55"/>
      <c r="G72" s="55"/>
      <c r="H72" s="46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0"/>
      <c r="AA72" s="10"/>
      <c r="AB72" s="10"/>
      <c r="AC72" s="11"/>
      <c r="AD72" s="10"/>
      <c r="AE72" s="11"/>
      <c r="AF72" s="10"/>
    </row>
    <row r="73" customFormat="false" ht="12.75" hidden="false" customHeight="false" outlineLevel="0" collapsed="false">
      <c r="B73" s="51"/>
      <c r="C73" s="59"/>
      <c r="D73" s="59"/>
      <c r="E73" s="55"/>
      <c r="F73" s="55"/>
      <c r="G73" s="55"/>
      <c r="H73" s="46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0"/>
      <c r="AA73" s="10"/>
      <c r="AB73" s="10"/>
      <c r="AC73" s="11"/>
      <c r="AD73" s="10"/>
      <c r="AE73" s="11"/>
      <c r="AF73" s="10"/>
    </row>
    <row r="74" customFormat="false" ht="12.75" hidden="false" customHeight="false" outlineLevel="0" collapsed="false">
      <c r="B74" s="51"/>
      <c r="C74" s="59"/>
      <c r="D74" s="59"/>
      <c r="E74" s="55"/>
      <c r="F74" s="55"/>
      <c r="G74" s="55"/>
      <c r="H74" s="46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0"/>
      <c r="AA74" s="10"/>
      <c r="AB74" s="10"/>
      <c r="AC74" s="11"/>
      <c r="AD74" s="10"/>
      <c r="AE74" s="11"/>
      <c r="AF74" s="10"/>
    </row>
    <row r="75" customFormat="false" ht="12.75" hidden="false" customHeight="false" outlineLevel="0" collapsed="false">
      <c r="B75" s="51"/>
      <c r="C75" s="59"/>
      <c r="D75" s="59"/>
      <c r="E75" s="55"/>
      <c r="F75" s="55"/>
      <c r="G75" s="55"/>
      <c r="H75" s="46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0"/>
      <c r="AA75" s="10"/>
      <c r="AB75" s="10"/>
      <c r="AC75" s="11"/>
      <c r="AD75" s="10"/>
      <c r="AE75" s="11"/>
      <c r="AF75" s="10"/>
    </row>
    <row r="76" customFormat="false" ht="12.75" hidden="false" customHeight="false" outlineLevel="0" collapsed="false">
      <c r="B76" s="51"/>
      <c r="C76" s="59"/>
      <c r="D76" s="59"/>
      <c r="E76" s="55"/>
      <c r="F76" s="55"/>
      <c r="G76" s="55"/>
      <c r="H76" s="46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0"/>
      <c r="AA76" s="10"/>
      <c r="AB76" s="10"/>
      <c r="AC76" s="11"/>
      <c r="AD76" s="10"/>
      <c r="AE76" s="11"/>
      <c r="AF76" s="10"/>
    </row>
    <row r="77" customFormat="false" ht="12.75" hidden="false" customHeight="false" outlineLevel="0" collapsed="false">
      <c r="B77" s="51"/>
      <c r="C77" s="59"/>
      <c r="D77" s="59"/>
      <c r="E77" s="55"/>
      <c r="F77" s="55"/>
      <c r="G77" s="55"/>
      <c r="H77" s="46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0"/>
      <c r="AA77" s="10"/>
      <c r="AB77" s="10"/>
      <c r="AC77" s="11"/>
      <c r="AD77" s="10"/>
      <c r="AE77" s="11"/>
      <c r="AF77" s="10"/>
    </row>
    <row r="78" customFormat="false" ht="12.75" hidden="false" customHeight="false" outlineLevel="0" collapsed="false">
      <c r="B78" s="51"/>
      <c r="C78" s="59"/>
      <c r="D78" s="59"/>
      <c r="E78" s="55"/>
      <c r="F78" s="55"/>
      <c r="G78" s="55"/>
      <c r="H78" s="46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0"/>
      <c r="AA78" s="10"/>
      <c r="AB78" s="10"/>
      <c r="AC78" s="11"/>
      <c r="AD78" s="10"/>
      <c r="AE78" s="11"/>
      <c r="AF78" s="10"/>
    </row>
    <row r="79" customFormat="false" ht="12.75" hidden="false" customHeight="false" outlineLevel="0" collapsed="false">
      <c r="B79" s="51"/>
      <c r="C79" s="59"/>
      <c r="D79" s="59"/>
      <c r="E79" s="55"/>
      <c r="F79" s="55"/>
      <c r="G79" s="55"/>
      <c r="H79" s="46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0"/>
      <c r="AA79" s="10"/>
      <c r="AB79" s="10"/>
      <c r="AC79" s="11"/>
      <c r="AD79" s="10"/>
      <c r="AE79" s="11"/>
      <c r="AF79" s="10"/>
    </row>
    <row r="80" customFormat="false" ht="12.75" hidden="false" customHeight="false" outlineLevel="0" collapsed="false">
      <c r="B80" s="51"/>
      <c r="C80" s="59"/>
      <c r="D80" s="59"/>
      <c r="E80" s="55"/>
      <c r="F80" s="55"/>
      <c r="G80" s="55"/>
      <c r="H80" s="46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0"/>
      <c r="AA80" s="10"/>
      <c r="AB80" s="10"/>
      <c r="AC80" s="11"/>
      <c r="AD80" s="10"/>
      <c r="AE80" s="11"/>
      <c r="AF80" s="10"/>
    </row>
    <row r="81" customFormat="false" ht="12.75" hidden="false" customHeight="false" outlineLevel="0" collapsed="false">
      <c r="B81" s="51"/>
      <c r="C81" s="59"/>
      <c r="D81" s="59"/>
      <c r="E81" s="55"/>
      <c r="F81" s="55"/>
      <c r="G81" s="55"/>
      <c r="H81" s="46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0"/>
      <c r="AA81" s="10"/>
      <c r="AB81" s="10"/>
      <c r="AC81" s="11"/>
      <c r="AD81" s="10"/>
      <c r="AE81" s="11"/>
      <c r="AF81" s="10"/>
    </row>
    <row r="82" customFormat="false" ht="12.75" hidden="false" customHeight="false" outlineLevel="0" collapsed="false">
      <c r="B82" s="51"/>
      <c r="C82" s="59"/>
      <c r="D82" s="59"/>
      <c r="E82" s="55"/>
      <c r="F82" s="55"/>
      <c r="G82" s="55"/>
      <c r="H82" s="46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0"/>
      <c r="AA82" s="10"/>
      <c r="AB82" s="10"/>
      <c r="AC82" s="11"/>
      <c r="AD82" s="10"/>
      <c r="AE82" s="11"/>
      <c r="AF82" s="10"/>
    </row>
    <row r="83" customFormat="false" ht="12.75" hidden="false" customHeight="false" outlineLevel="0" collapsed="false">
      <c r="B83" s="51"/>
      <c r="C83" s="59"/>
      <c r="D83" s="59"/>
      <c r="E83" s="55"/>
      <c r="F83" s="55"/>
      <c r="G83" s="55"/>
      <c r="H83" s="46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0"/>
      <c r="AA83" s="10"/>
      <c r="AB83" s="10"/>
      <c r="AC83" s="11"/>
      <c r="AD83" s="10"/>
      <c r="AE83" s="11"/>
      <c r="AF83" s="10"/>
    </row>
    <row r="84" customFormat="false" ht="12.75" hidden="false" customHeight="false" outlineLevel="0" collapsed="false">
      <c r="B84" s="51"/>
      <c r="C84" s="59"/>
      <c r="D84" s="59"/>
      <c r="E84" s="55"/>
      <c r="F84" s="55"/>
      <c r="G84" s="55"/>
      <c r="H84" s="46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0"/>
      <c r="AA84" s="10"/>
      <c r="AB84" s="10"/>
      <c r="AC84" s="11"/>
      <c r="AD84" s="10"/>
      <c r="AE84" s="11"/>
      <c r="AF84" s="10"/>
    </row>
    <row r="85" customFormat="false" ht="12.75" hidden="false" customHeight="false" outlineLevel="0" collapsed="false">
      <c r="B85" s="51"/>
      <c r="C85" s="59"/>
      <c r="D85" s="59"/>
      <c r="E85" s="55"/>
      <c r="F85" s="55"/>
      <c r="G85" s="55"/>
      <c r="H85" s="46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0"/>
      <c r="AA85" s="10"/>
      <c r="AB85" s="10"/>
      <c r="AC85" s="11"/>
      <c r="AD85" s="10"/>
      <c r="AE85" s="11"/>
      <c r="AF85" s="10"/>
    </row>
    <row r="86" customFormat="false" ht="12.75" hidden="false" customHeight="false" outlineLevel="0" collapsed="false">
      <c r="B86" s="60"/>
      <c r="C86" s="59"/>
      <c r="D86" s="59"/>
      <c r="E86" s="55"/>
      <c r="F86" s="55"/>
      <c r="G86" s="55"/>
      <c r="H86" s="46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0"/>
      <c r="AA86" s="10"/>
      <c r="AB86" s="10"/>
      <c r="AC86" s="11"/>
      <c r="AD86" s="10"/>
      <c r="AE86" s="11"/>
      <c r="AF86" s="10"/>
    </row>
    <row r="87" customFormat="false" ht="12.75" hidden="false" customHeight="false" outlineLevel="0" collapsed="false">
      <c r="B87" s="60"/>
      <c r="C87" s="59"/>
      <c r="D87" s="59"/>
      <c r="E87" s="55"/>
      <c r="F87" s="55"/>
      <c r="G87" s="55"/>
      <c r="H87" s="46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0"/>
      <c r="AA87" s="10"/>
      <c r="AB87" s="10"/>
      <c r="AC87" s="11"/>
      <c r="AD87" s="10"/>
      <c r="AE87" s="11"/>
      <c r="AF87" s="10"/>
    </row>
    <row r="88" customFormat="false" ht="12.75" hidden="false" customHeight="false" outlineLevel="0" collapsed="false">
      <c r="B88" s="60"/>
      <c r="C88" s="59"/>
      <c r="D88" s="59"/>
      <c r="E88" s="55"/>
      <c r="F88" s="55"/>
      <c r="G88" s="55"/>
      <c r="H88" s="46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0"/>
      <c r="AA88" s="10"/>
      <c r="AB88" s="10"/>
      <c r="AC88" s="11"/>
      <c r="AD88" s="10"/>
      <c r="AE88" s="11"/>
      <c r="AF88" s="10"/>
    </row>
    <row r="89" customFormat="false" ht="12.75" hidden="false" customHeight="false" outlineLevel="0" collapsed="false">
      <c r="B89" s="60"/>
      <c r="C89" s="59"/>
      <c r="D89" s="59"/>
      <c r="E89" s="55"/>
      <c r="F89" s="55"/>
      <c r="G89" s="55"/>
      <c r="H89" s="46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0"/>
      <c r="AA89" s="10"/>
      <c r="AB89" s="10"/>
      <c r="AC89" s="11"/>
      <c r="AD89" s="10"/>
      <c r="AE89" s="11"/>
      <c r="AF89" s="10"/>
    </row>
    <row r="90" customFormat="false" ht="12.75" hidden="false" customHeight="false" outlineLevel="0" collapsed="false">
      <c r="B90" s="60"/>
      <c r="C90" s="59"/>
      <c r="D90" s="59"/>
      <c r="E90" s="55"/>
      <c r="F90" s="55"/>
      <c r="G90" s="55"/>
      <c r="H90" s="46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0"/>
      <c r="AA90" s="10"/>
      <c r="AB90" s="10"/>
      <c r="AC90" s="11"/>
      <c r="AD90" s="10"/>
      <c r="AE90" s="11"/>
      <c r="AF90" s="10"/>
    </row>
    <row r="91" customFormat="false" ht="12.75" hidden="false" customHeight="false" outlineLevel="0" collapsed="false">
      <c r="B91" s="60"/>
      <c r="C91" s="59"/>
      <c r="D91" s="59"/>
      <c r="E91" s="55"/>
      <c r="F91" s="55"/>
      <c r="G91" s="55"/>
      <c r="H91" s="46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0"/>
      <c r="AA91" s="10"/>
      <c r="AB91" s="10"/>
      <c r="AC91" s="11"/>
      <c r="AD91" s="10"/>
      <c r="AE91" s="11"/>
      <c r="AF91" s="10"/>
    </row>
    <row r="92" customFormat="false" ht="12.75" hidden="false" customHeight="false" outlineLevel="0" collapsed="false">
      <c r="B92" s="60"/>
      <c r="C92" s="59"/>
      <c r="D92" s="59"/>
      <c r="E92" s="55"/>
      <c r="F92" s="55"/>
      <c r="G92" s="55"/>
      <c r="H92" s="46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0"/>
      <c r="AA92" s="10"/>
      <c r="AB92" s="10"/>
      <c r="AC92" s="11"/>
      <c r="AD92" s="10"/>
      <c r="AE92" s="11"/>
      <c r="AF92" s="10"/>
    </row>
    <row r="93" customFormat="false" ht="12.75" hidden="false" customHeight="false" outlineLevel="0" collapsed="false">
      <c r="B93" s="60"/>
      <c r="C93" s="59"/>
      <c r="D93" s="59"/>
      <c r="E93" s="55"/>
      <c r="F93" s="55"/>
      <c r="G93" s="55"/>
      <c r="H93" s="46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0"/>
      <c r="AA93" s="10"/>
      <c r="AB93" s="10"/>
      <c r="AC93" s="11"/>
      <c r="AD93" s="10"/>
      <c r="AE93" s="11"/>
      <c r="AF93" s="10"/>
    </row>
    <row r="94" customFormat="false" ht="12.75" hidden="false" customHeight="false" outlineLevel="0" collapsed="false">
      <c r="B94" s="60"/>
      <c r="C94" s="59"/>
      <c r="D94" s="59"/>
      <c r="E94" s="55"/>
      <c r="F94" s="55"/>
      <c r="G94" s="55"/>
      <c r="H94" s="46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0"/>
      <c r="AA94" s="10"/>
      <c r="AB94" s="10"/>
      <c r="AC94" s="11"/>
      <c r="AD94" s="10"/>
      <c r="AE94" s="11"/>
      <c r="AF94" s="10"/>
    </row>
    <row r="95" customFormat="false" ht="12.75" hidden="false" customHeight="false" outlineLevel="0" collapsed="false">
      <c r="B95" s="60"/>
      <c r="C95" s="59"/>
      <c r="D95" s="59"/>
      <c r="E95" s="55"/>
      <c r="F95" s="55"/>
      <c r="G95" s="55"/>
      <c r="H95" s="46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0"/>
      <c r="AA95" s="10"/>
      <c r="AB95" s="10"/>
      <c r="AC95" s="11"/>
      <c r="AD95" s="10"/>
      <c r="AE95" s="11"/>
      <c r="AF95" s="10"/>
    </row>
    <row r="96" customFormat="false" ht="12.75" hidden="false" customHeight="false" outlineLevel="0" collapsed="false">
      <c r="B96" s="60"/>
      <c r="C96" s="59"/>
      <c r="D96" s="59"/>
      <c r="E96" s="55"/>
      <c r="F96" s="55"/>
      <c r="G96" s="55"/>
      <c r="H96" s="46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0"/>
      <c r="AA96" s="10"/>
      <c r="AB96" s="10"/>
      <c r="AC96" s="11"/>
      <c r="AD96" s="10"/>
      <c r="AE96" s="11"/>
      <c r="AF96" s="10"/>
    </row>
    <row r="97" customFormat="false" ht="12.75" hidden="false" customHeight="false" outlineLevel="0" collapsed="false">
      <c r="B97" s="60"/>
      <c r="C97" s="59"/>
      <c r="D97" s="59"/>
      <c r="E97" s="55"/>
      <c r="F97" s="55"/>
      <c r="G97" s="55"/>
      <c r="H97" s="46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0"/>
      <c r="AA97" s="10"/>
      <c r="AB97" s="10"/>
      <c r="AC97" s="11"/>
      <c r="AD97" s="10"/>
      <c r="AE97" s="11"/>
      <c r="AF97" s="10"/>
    </row>
    <row r="98" customFormat="false" ht="12.75" hidden="false" customHeight="false" outlineLevel="0" collapsed="false">
      <c r="B98" s="60"/>
      <c r="C98" s="59"/>
      <c r="D98" s="59"/>
      <c r="E98" s="55"/>
      <c r="F98" s="55"/>
      <c r="G98" s="55"/>
      <c r="H98" s="46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0"/>
      <c r="AA98" s="10"/>
      <c r="AB98" s="10"/>
      <c r="AC98" s="11"/>
      <c r="AD98" s="10"/>
      <c r="AE98" s="11"/>
      <c r="AF98" s="10"/>
    </row>
  </sheetData>
  <printOptions headings="false" gridLines="false" gridLinesSet="true" horizontalCentered="false" verticalCentered="false"/>
  <pageMargins left="0" right="0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1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8" activeCellId="0" sqref="A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6.7"/>
    <col collapsed="false" customWidth="true" hidden="false" outlineLevel="0" max="4" min="2" style="1" width="9.14"/>
    <col collapsed="false" customWidth="true" hidden="false" outlineLevel="0" max="5" min="5" style="1" width="10.13"/>
    <col collapsed="false" customWidth="true" hidden="false" outlineLevel="0" max="13" min="6" style="1" width="9.14"/>
    <col collapsed="false" customWidth="true" hidden="false" outlineLevel="0" max="14" min="14" style="1" width="10.13"/>
    <col collapsed="false" customWidth="true" hidden="false" outlineLevel="0" max="26" min="15" style="1" width="9.14"/>
  </cols>
  <sheetData>
    <row r="1" customFormat="false" ht="12.75" hidden="false" customHeight="false" outlineLevel="0" collapsed="false">
      <c r="A1" s="2"/>
      <c r="B1" s="3"/>
      <c r="C1" s="2"/>
      <c r="D1" s="2" t="s">
        <v>0</v>
      </c>
      <c r="E1" s="2"/>
      <c r="F1" s="2"/>
      <c r="H1" s="4"/>
      <c r="I1" s="4"/>
      <c r="J1" s="4"/>
      <c r="K1" s="4"/>
      <c r="L1" s="4"/>
      <c r="AI1" s="1"/>
      <c r="AJ1" s="1"/>
      <c r="AK1" s="1"/>
      <c r="AL1" s="1"/>
      <c r="AM1" s="1"/>
      <c r="AN1" s="1"/>
      <c r="AO1" s="1"/>
      <c r="AP1" s="1"/>
    </row>
    <row r="2" customFormat="false" ht="12.75" hidden="false" customHeight="false" outlineLevel="0" collapsed="false">
      <c r="A2" s="5"/>
      <c r="B2" s="3" t="s">
        <v>194</v>
      </c>
      <c r="C2" s="6" t="s">
        <v>195</v>
      </c>
      <c r="D2" s="7" t="n">
        <v>36892</v>
      </c>
      <c r="E2" s="2"/>
      <c r="F2" s="2"/>
      <c r="H2" s="8"/>
      <c r="I2" s="8"/>
      <c r="J2" s="8"/>
      <c r="K2" s="8"/>
      <c r="L2" s="8"/>
      <c r="O2" s="4"/>
      <c r="P2" s="10"/>
      <c r="Q2" s="11"/>
      <c r="R2" s="10"/>
      <c r="S2" s="11"/>
      <c r="T2" s="10"/>
      <c r="AI2" s="1"/>
      <c r="AJ2" s="1"/>
      <c r="AK2" s="1"/>
      <c r="AL2" s="1"/>
      <c r="AM2" s="1"/>
      <c r="AN2" s="1"/>
      <c r="AO2" s="1"/>
      <c r="AP2" s="1"/>
    </row>
    <row r="3" customFormat="false" ht="12.75" hidden="false" customHeight="false" outlineLevel="0" collapsed="false">
      <c r="A3" s="12" t="s">
        <v>6</v>
      </c>
      <c r="B3" s="2" t="n">
        <v>5.2</v>
      </c>
      <c r="C3" s="1" t="n">
        <v>5.1</v>
      </c>
      <c r="D3" s="2"/>
      <c r="E3" s="2" t="n">
        <f aca="false">B3-C3</f>
        <v>0.100000000000001</v>
      </c>
      <c r="F3" s="2"/>
      <c r="H3" s="14"/>
      <c r="I3" s="15"/>
      <c r="J3" s="15"/>
      <c r="K3" s="14"/>
      <c r="L3" s="14"/>
      <c r="O3" s="4"/>
      <c r="P3" s="10"/>
      <c r="Q3" s="11"/>
      <c r="R3" s="10"/>
      <c r="S3" s="11"/>
      <c r="T3" s="10"/>
      <c r="AI3" s="1"/>
      <c r="AJ3" s="1"/>
      <c r="AK3" s="1"/>
      <c r="AL3" s="1"/>
      <c r="AM3" s="1"/>
      <c r="AN3" s="1"/>
      <c r="AO3" s="1"/>
      <c r="AP3" s="1"/>
    </row>
    <row r="4" customFormat="false" ht="12.75" hidden="false" customHeight="false" outlineLevel="0" collapsed="false">
      <c r="A4" s="6"/>
      <c r="B4" s="16"/>
      <c r="C4" s="2"/>
      <c r="D4" s="2"/>
      <c r="E4" s="2"/>
      <c r="F4" s="2"/>
      <c r="H4" s="14"/>
      <c r="I4" s="14"/>
      <c r="J4" s="14"/>
      <c r="K4" s="14"/>
      <c r="L4" s="14"/>
      <c r="O4" s="4"/>
      <c r="P4" s="10"/>
      <c r="Q4" s="11"/>
      <c r="R4" s="10"/>
      <c r="S4" s="11"/>
      <c r="T4" s="10"/>
      <c r="AI4" s="1"/>
      <c r="AJ4" s="1"/>
      <c r="AK4" s="1"/>
      <c r="AL4" s="1"/>
      <c r="AM4" s="1"/>
      <c r="AN4" s="1"/>
      <c r="AO4" s="1"/>
      <c r="AP4" s="1"/>
    </row>
    <row r="5" customFormat="false" ht="12.75" hidden="false" customHeight="false" outlineLevel="0" collapsed="false">
      <c r="A5" s="2"/>
      <c r="B5" s="2" t="s">
        <v>7</v>
      </c>
      <c r="C5" s="2" t="s">
        <v>8</v>
      </c>
      <c r="D5" s="2"/>
      <c r="E5" s="2"/>
      <c r="F5" s="2"/>
      <c r="H5" s="4" t="s">
        <v>1</v>
      </c>
      <c r="I5" s="4" t="s">
        <v>2</v>
      </c>
      <c r="J5" s="4"/>
      <c r="K5" s="4"/>
      <c r="L5" s="4"/>
      <c r="O5" s="4"/>
      <c r="P5" s="10"/>
      <c r="Q5" s="11"/>
      <c r="R5" s="10"/>
      <c r="S5" s="11"/>
      <c r="T5" s="10"/>
      <c r="AI5" s="1"/>
      <c r="AJ5" s="1"/>
      <c r="AK5" s="1"/>
      <c r="AL5" s="1"/>
      <c r="AM5" s="1"/>
      <c r="AN5" s="1"/>
      <c r="AO5" s="1"/>
      <c r="AP5" s="1"/>
    </row>
    <row r="6" customFormat="false" ht="12.75" hidden="false" customHeight="false" outlineLevel="0" collapsed="false">
      <c r="A6" s="2" t="s">
        <v>9</v>
      </c>
      <c r="B6" s="13" t="n">
        <v>0.11</v>
      </c>
      <c r="C6" s="13"/>
      <c r="D6" s="2"/>
      <c r="E6" s="2"/>
      <c r="F6" s="2"/>
      <c r="H6" s="8" t="e">
        <f aca="false">SUM(N25:N55)/L22</f>
        <v>#NAME?</v>
      </c>
      <c r="I6" s="8" t="e">
        <f aca="false">SUM(O25:O55)/L22</f>
        <v>#NAME?</v>
      </c>
      <c r="J6" s="8"/>
      <c r="K6" s="8"/>
      <c r="L6" s="8"/>
      <c r="O6" s="4"/>
      <c r="P6" s="10"/>
      <c r="Q6" s="11"/>
      <c r="R6" s="10"/>
      <c r="S6" s="11"/>
      <c r="T6" s="10"/>
      <c r="AI6" s="1"/>
      <c r="AJ6" s="1"/>
      <c r="AK6" s="1"/>
      <c r="AL6" s="1"/>
      <c r="AM6" s="1"/>
      <c r="AN6" s="1"/>
      <c r="AO6" s="1"/>
      <c r="AP6" s="1"/>
    </row>
    <row r="7" customFormat="false" ht="12.75" hidden="false" customHeight="false" outlineLevel="0" collapsed="false">
      <c r="A7" s="2" t="s">
        <v>10</v>
      </c>
      <c r="B7" s="17" t="n">
        <v>1</v>
      </c>
      <c r="C7" s="17"/>
      <c r="D7" s="2"/>
      <c r="E7" s="2"/>
      <c r="F7" s="2"/>
      <c r="H7" s="14"/>
      <c r="I7" s="15"/>
      <c r="J7" s="15"/>
      <c r="K7" s="14"/>
      <c r="L7" s="14"/>
      <c r="O7" s="4"/>
      <c r="P7" s="10"/>
      <c r="Q7" s="11"/>
      <c r="R7" s="10"/>
      <c r="S7" s="11"/>
      <c r="T7" s="10"/>
      <c r="AI7" s="18"/>
      <c r="AJ7" s="18"/>
      <c r="AK7" s="1"/>
      <c r="AL7" s="1"/>
      <c r="AM7" s="1"/>
      <c r="AN7" s="1"/>
      <c r="AO7" s="1"/>
      <c r="AP7" s="1"/>
    </row>
    <row r="8" customFormat="false" ht="12.75" hidden="false" customHeight="false" outlineLevel="0" collapsed="false">
      <c r="A8" s="2" t="s">
        <v>11</v>
      </c>
      <c r="B8" s="19" t="n">
        <v>1.3</v>
      </c>
      <c r="C8" s="19" t="n">
        <v>1.12</v>
      </c>
      <c r="D8" s="2"/>
      <c r="E8" s="2"/>
      <c r="F8" s="2" t="n">
        <f aca="false">E3-B6</f>
        <v>-0.00999999999999947</v>
      </c>
      <c r="G8" s="2"/>
      <c r="O8" s="4"/>
      <c r="P8" s="10"/>
      <c r="Q8" s="11"/>
      <c r="R8" s="10"/>
      <c r="S8" s="11"/>
      <c r="T8" s="10"/>
      <c r="AI8" s="18"/>
      <c r="AJ8" s="18"/>
      <c r="AK8" s="1"/>
      <c r="AL8" s="1"/>
      <c r="AM8" s="1"/>
      <c r="AN8" s="1"/>
      <c r="AO8" s="1"/>
      <c r="AP8" s="1"/>
    </row>
    <row r="9" customFormat="false" ht="12.75" hidden="false" customHeight="false" outlineLevel="0" collapsed="false">
      <c r="A9" s="2" t="s">
        <v>193</v>
      </c>
      <c r="B9" s="20" t="n">
        <v>0.99</v>
      </c>
      <c r="C9" s="20"/>
      <c r="D9" s="2"/>
      <c r="E9" s="2"/>
      <c r="F9" s="2"/>
      <c r="G9" s="2"/>
      <c r="O9" s="4"/>
      <c r="P9" s="10"/>
      <c r="Q9" s="11"/>
      <c r="R9" s="10"/>
      <c r="S9" s="11"/>
      <c r="T9" s="10"/>
      <c r="AI9" s="18"/>
      <c r="AJ9" s="18"/>
      <c r="AK9" s="1"/>
      <c r="AL9" s="1"/>
      <c r="AM9" s="1"/>
      <c r="AN9" s="1"/>
      <c r="AO9" s="1"/>
      <c r="AP9" s="1"/>
    </row>
    <row r="10" customFormat="false" ht="12.75" hidden="false" customHeight="false" outlineLevel="0" collapsed="false">
      <c r="A10" s="1" t="s">
        <v>12</v>
      </c>
      <c r="B10" s="21" t="n">
        <v>36831</v>
      </c>
      <c r="C10" s="22"/>
      <c r="D10" s="2"/>
      <c r="E10" s="2"/>
      <c r="F10" s="2"/>
      <c r="G10" s="2"/>
      <c r="H10" s="1" t="n">
        <f aca="false">825*0.14*10000</f>
        <v>1155000</v>
      </c>
      <c r="O10" s="4"/>
      <c r="P10" s="10"/>
      <c r="Q10" s="11"/>
      <c r="R10" s="10"/>
      <c r="S10" s="11"/>
      <c r="T10" s="10"/>
      <c r="AI10" s="18"/>
      <c r="AJ10" s="18"/>
      <c r="AK10" s="1"/>
      <c r="AL10" s="1"/>
      <c r="AM10" s="1"/>
      <c r="AN10" s="1"/>
      <c r="AO10" s="1"/>
      <c r="AP10" s="1"/>
    </row>
    <row r="11" customFormat="false" ht="12.75" hidden="false" customHeight="false" outlineLevel="0" collapsed="false">
      <c r="A11" s="1" t="s">
        <v>13</v>
      </c>
      <c r="B11" s="21" t="n">
        <v>36860</v>
      </c>
      <c r="C11" s="23"/>
      <c r="D11" s="2"/>
      <c r="E11" s="2"/>
      <c r="F11" s="2"/>
      <c r="G11" s="2"/>
      <c r="O11" s="4"/>
      <c r="P11" s="10"/>
      <c r="Q11" s="11"/>
      <c r="R11" s="10"/>
      <c r="S11" s="11"/>
      <c r="T11" s="10"/>
      <c r="AI11" s="18"/>
      <c r="AJ11" s="18"/>
      <c r="AK11" s="1"/>
      <c r="AL11" s="1"/>
      <c r="AM11" s="1"/>
      <c r="AN11" s="1"/>
      <c r="AO11" s="1"/>
      <c r="AP11" s="1"/>
    </row>
    <row r="12" customFormat="false" ht="12.75" hidden="false" customHeight="false" outlineLevel="0" collapsed="false">
      <c r="A12" s="1" t="s">
        <v>14</v>
      </c>
      <c r="B12" s="21" t="n">
        <v>36830</v>
      </c>
      <c r="C12" s="24"/>
      <c r="D12" s="2"/>
      <c r="E12" s="2"/>
      <c r="F12" s="2"/>
      <c r="G12" s="2"/>
      <c r="H12" s="1" t="n">
        <f aca="false">880*-0.115*10000</f>
        <v>-1012000</v>
      </c>
      <c r="O12" s="4"/>
      <c r="P12" s="10"/>
      <c r="Q12" s="11"/>
      <c r="R12" s="10"/>
      <c r="S12" s="11"/>
      <c r="T12" s="10"/>
      <c r="AI12" s="18"/>
      <c r="AJ12" s="18"/>
      <c r="AK12" s="1"/>
      <c r="AL12" s="1"/>
      <c r="AM12" s="1"/>
      <c r="AN12" s="1"/>
      <c r="AO12" s="1"/>
      <c r="AP12" s="1"/>
    </row>
    <row r="13" customFormat="false" ht="12.75" hidden="false" customHeight="false" outlineLevel="0" collapsed="false">
      <c r="A13" s="25"/>
      <c r="B13" s="26"/>
      <c r="D13" s="2"/>
      <c r="E13" s="2"/>
      <c r="F13" s="2"/>
      <c r="G13" s="2"/>
      <c r="O13" s="4"/>
      <c r="P13" s="10"/>
      <c r="Q13" s="11"/>
      <c r="R13" s="10"/>
      <c r="S13" s="11"/>
      <c r="T13" s="10"/>
      <c r="AI13" s="18"/>
      <c r="AJ13" s="18"/>
      <c r="AK13" s="1"/>
      <c r="AL13" s="1"/>
      <c r="AM13" s="1"/>
      <c r="AN13" s="1"/>
      <c r="AO13" s="1"/>
      <c r="AP13" s="1"/>
    </row>
    <row r="14" customFormat="false" ht="12.75" hidden="false" customHeight="false" outlineLevel="0" collapsed="false">
      <c r="A14" s="2"/>
      <c r="B14" s="2"/>
      <c r="C14" s="2"/>
      <c r="D14" s="2"/>
      <c r="E14" s="2"/>
      <c r="F14" s="2"/>
      <c r="G14" s="2"/>
      <c r="O14" s="28"/>
      <c r="P14" s="10"/>
      <c r="Q14" s="11"/>
      <c r="R14" s="10"/>
      <c r="S14" s="11"/>
      <c r="T14" s="10"/>
      <c r="AI14" s="18"/>
      <c r="AJ14" s="18"/>
      <c r="AK14" s="1"/>
      <c r="AL14" s="1"/>
      <c r="AM14" s="1"/>
      <c r="AN14" s="1"/>
      <c r="AO14" s="1"/>
      <c r="AP14" s="1"/>
    </row>
    <row r="15" customFormat="false" ht="12.75" hidden="false" customHeight="false" outlineLevel="0" collapsed="false">
      <c r="G15" s="2"/>
      <c r="H15" s="14" t="n">
        <f aca="false">H12+H10</f>
        <v>143000</v>
      </c>
      <c r="I15" s="14"/>
      <c r="J15" s="14"/>
      <c r="K15" s="14"/>
      <c r="O15" s="28"/>
      <c r="P15" s="10"/>
      <c r="Q15" s="11"/>
      <c r="R15" s="10"/>
      <c r="S15" s="11"/>
      <c r="T15" s="10"/>
      <c r="AI15" s="18"/>
      <c r="AJ15" s="18"/>
      <c r="AK15" s="1"/>
      <c r="AL15" s="1"/>
      <c r="AM15" s="1"/>
      <c r="AN15" s="1"/>
      <c r="AO15" s="1"/>
      <c r="AP15" s="1"/>
    </row>
    <row r="16" customFormat="false" ht="12.75" hidden="false" customHeight="false" outlineLevel="0" collapsed="false">
      <c r="G16" s="2"/>
      <c r="O16" s="28"/>
      <c r="P16" s="10"/>
      <c r="Q16" s="11"/>
      <c r="R16" s="10"/>
      <c r="S16" s="11"/>
      <c r="T16" s="10"/>
      <c r="AI16" s="18"/>
      <c r="AJ16" s="18"/>
      <c r="AK16" s="1"/>
      <c r="AL16" s="1"/>
      <c r="AM16" s="1"/>
      <c r="AN16" s="1"/>
      <c r="AO16" s="1"/>
      <c r="AP16" s="1"/>
    </row>
    <row r="17" customFormat="false" ht="12.75" hidden="false" customHeight="false" outlineLevel="0" collapsed="false">
      <c r="G17" s="2"/>
      <c r="L17" s="29"/>
      <c r="M17" s="29"/>
      <c r="N17" s="28"/>
      <c r="O17" s="10"/>
      <c r="P17" s="10"/>
      <c r="Q17" s="11"/>
      <c r="R17" s="10"/>
      <c r="Y17" s="0"/>
      <c r="Z17" s="0"/>
      <c r="AG17" s="18"/>
      <c r="AH17" s="18"/>
      <c r="AI17" s="1"/>
      <c r="AJ17" s="1"/>
      <c r="AK17" s="1"/>
      <c r="AL17" s="1"/>
      <c r="AM17" s="1"/>
      <c r="AN17" s="1"/>
    </row>
    <row r="18" customFormat="false" ht="12.75" hidden="false" customHeight="false" outlineLevel="0" collapsed="false">
      <c r="G18" s="2"/>
      <c r="L18" s="29"/>
      <c r="M18" s="29"/>
      <c r="N18" s="28"/>
      <c r="O18" s="10"/>
      <c r="P18" s="10"/>
      <c r="Q18" s="11"/>
      <c r="R18" s="10"/>
      <c r="Y18" s="0"/>
      <c r="Z18" s="0"/>
      <c r="AG18" s="18"/>
      <c r="AH18" s="18"/>
      <c r="AI18" s="1"/>
      <c r="AJ18" s="1"/>
      <c r="AK18" s="1"/>
      <c r="AL18" s="1"/>
      <c r="AM18" s="1"/>
      <c r="AN18" s="1"/>
    </row>
    <row r="19" customFormat="false" ht="12.75" hidden="false" customHeight="false" outlineLevel="0" collapsed="false">
      <c r="G19" s="2"/>
      <c r="L19" s="29"/>
      <c r="M19" s="29"/>
      <c r="N19" s="28"/>
      <c r="O19" s="10"/>
      <c r="P19" s="10"/>
      <c r="Q19" s="11"/>
      <c r="R19" s="10"/>
      <c r="Y19" s="0"/>
      <c r="Z19" s="0"/>
      <c r="AG19" s="18"/>
      <c r="AH19" s="18"/>
      <c r="AI19" s="1"/>
      <c r="AJ19" s="1"/>
      <c r="AK19" s="1"/>
      <c r="AL19" s="1"/>
      <c r="AM19" s="1"/>
      <c r="AN19" s="1"/>
    </row>
    <row r="20" customFormat="false" ht="12.75" hidden="false" customHeight="false" outlineLevel="0" collapsed="false">
      <c r="H20" s="30"/>
      <c r="I20" s="31"/>
      <c r="J20" s="31"/>
      <c r="K20" s="31"/>
      <c r="L20" s="32"/>
      <c r="M20" s="32"/>
      <c r="N20" s="4" t="s">
        <v>7</v>
      </c>
      <c r="O20" s="4" t="s">
        <v>7</v>
      </c>
      <c r="P20" s="10"/>
      <c r="Q20" s="11"/>
      <c r="R20" s="10"/>
      <c r="U20" s="33"/>
      <c r="V20" s="33"/>
      <c r="W20" s="33"/>
      <c r="X20" s="33"/>
      <c r="Y20" s="33"/>
      <c r="Z20" s="33"/>
      <c r="AA20" s="33"/>
      <c r="AC20" s="33"/>
      <c r="AD20" s="33"/>
      <c r="AE20" s="33"/>
      <c r="AF20" s="33"/>
      <c r="AG20" s="33"/>
      <c r="AH20" s="33"/>
      <c r="AI20" s="1"/>
      <c r="AJ20" s="1"/>
      <c r="AK20" s="1"/>
      <c r="AL20" s="1"/>
      <c r="AM20" s="1"/>
      <c r="AN20" s="1"/>
    </row>
    <row r="21" customFormat="false" ht="12.75" hidden="false" customHeight="false" outlineLevel="0" collapsed="false">
      <c r="G21" s="4"/>
      <c r="N21" s="10" t="s">
        <v>15</v>
      </c>
      <c r="O21" s="10" t="s">
        <v>2</v>
      </c>
      <c r="P21" s="10"/>
      <c r="Q21" s="11"/>
      <c r="R21" s="10"/>
      <c r="Y21" s="0"/>
      <c r="Z21" s="0"/>
      <c r="AC21" s="1"/>
      <c r="AD21" s="1"/>
      <c r="AE21" s="1"/>
      <c r="AI21" s="1"/>
      <c r="AJ21" s="1"/>
      <c r="AK21" s="1"/>
      <c r="AL21" s="1"/>
      <c r="AM21" s="1"/>
      <c r="AN21" s="1"/>
    </row>
    <row r="22" customFormat="false" ht="12.75" hidden="false" customHeight="false" outlineLevel="0" collapsed="false">
      <c r="D22" s="34"/>
      <c r="E22" s="24"/>
      <c r="F22" s="34"/>
      <c r="G22" s="34"/>
      <c r="L22" s="32" t="n">
        <f aca="false">SUM(L25:L55)</f>
        <v>30</v>
      </c>
      <c r="M22" s="32"/>
      <c r="N22" s="10" t="n">
        <f aca="false">$B7</f>
        <v>1</v>
      </c>
      <c r="O22" s="10" t="n">
        <f aca="false">$B7</f>
        <v>1</v>
      </c>
      <c r="Q22" s="11"/>
      <c r="R22" s="35"/>
      <c r="Y22" s="0"/>
      <c r="Z22" s="0"/>
      <c r="AC22" s="1"/>
      <c r="AD22" s="1"/>
      <c r="AE22" s="1"/>
      <c r="AI22" s="4"/>
      <c r="AJ22" s="4"/>
      <c r="AK22" s="4"/>
      <c r="AL22" s="4"/>
      <c r="AM22" s="4"/>
      <c r="AN22" s="4"/>
    </row>
    <row r="23" customFormat="false" ht="13.5" hidden="false" customHeight="false" outlineLevel="0" collapsed="false">
      <c r="B23" s="36"/>
      <c r="C23" s="36"/>
      <c r="D23" s="36"/>
      <c r="E23" s="36"/>
      <c r="F23" s="36"/>
      <c r="G23" s="36"/>
      <c r="H23" s="10"/>
      <c r="I23" s="10"/>
      <c r="J23" s="10"/>
      <c r="K23" s="10"/>
      <c r="L23" s="10"/>
      <c r="M23" s="10"/>
      <c r="N23" s="1" t="n">
        <v>1</v>
      </c>
      <c r="O23" s="1" t="n">
        <v>2</v>
      </c>
      <c r="V23" s="23"/>
      <c r="W23" s="4"/>
      <c r="X23" s="4"/>
      <c r="Y23" s="4"/>
      <c r="Z23" s="4"/>
      <c r="AA23" s="4"/>
      <c r="AC23" s="23"/>
      <c r="AD23" s="4"/>
      <c r="AE23" s="4"/>
      <c r="AF23" s="4"/>
      <c r="AG23" s="4"/>
      <c r="AH23" s="4"/>
      <c r="AI23" s="10"/>
      <c r="AJ23" s="10"/>
      <c r="AK23" s="11"/>
      <c r="AL23" s="1"/>
      <c r="AM23" s="1"/>
      <c r="AN23" s="1"/>
    </row>
    <row r="24" customFormat="false" ht="14.25" hidden="false" customHeight="false" outlineLevel="0" collapsed="false">
      <c r="A24" s="37" t="s">
        <v>0</v>
      </c>
      <c r="B24" s="37" t="s">
        <v>194</v>
      </c>
      <c r="C24" s="37" t="s">
        <v>195</v>
      </c>
      <c r="D24" s="37" t="s">
        <v>9</v>
      </c>
      <c r="E24" s="37" t="s">
        <v>19</v>
      </c>
      <c r="F24" s="37" t="s">
        <v>20</v>
      </c>
      <c r="G24" s="1" t="s">
        <v>193</v>
      </c>
      <c r="H24" s="37" t="s">
        <v>21</v>
      </c>
      <c r="I24" s="38"/>
      <c r="J24" s="38"/>
      <c r="K24" s="38"/>
      <c r="L24" s="10"/>
      <c r="M24" s="10" t="s">
        <v>22</v>
      </c>
      <c r="N24" s="10"/>
      <c r="O24" s="10"/>
      <c r="V24" s="11"/>
      <c r="Y24" s="0"/>
      <c r="Z24" s="0"/>
      <c r="AC24" s="11"/>
      <c r="AD24" s="1"/>
      <c r="AE24" s="1"/>
      <c r="AI24" s="10"/>
      <c r="AJ24" s="10"/>
      <c r="AK24" s="11"/>
      <c r="AL24" s="10"/>
      <c r="AM24" s="1"/>
      <c r="AN24" s="11"/>
    </row>
    <row r="25" customFormat="false" ht="13.5" hidden="false" customHeight="false" outlineLevel="0" collapsed="false">
      <c r="A25" s="39" t="n">
        <v>1</v>
      </c>
      <c r="B25" s="40" t="n">
        <f aca="false">B$3</f>
        <v>5.2</v>
      </c>
      <c r="C25" s="40" t="n">
        <f aca="false">C$3</f>
        <v>5.1</v>
      </c>
      <c r="D25" s="41" t="n">
        <f aca="false">B$6</f>
        <v>0.11</v>
      </c>
      <c r="E25" s="4" t="n">
        <f aca="false">B$8</f>
        <v>1.3</v>
      </c>
      <c r="F25" s="4" t="n">
        <f aca="false">C$8</f>
        <v>1.12</v>
      </c>
      <c r="G25" s="191" t="n">
        <f aca="false">B$9</f>
        <v>0.99</v>
      </c>
      <c r="H25" s="4" t="n">
        <f aca="false">VLOOKUP(D2,STRADDLE,12,FALSE())</f>
        <v>0.068146567086238</v>
      </c>
      <c r="I25" s="42" t="n">
        <f aca="false">B10</f>
        <v>36831</v>
      </c>
      <c r="J25" s="42" t="n">
        <f aca="false">IF(K25=6,I25-1,IF(K25=7,I25-2,I25))</f>
        <v>36831</v>
      </c>
      <c r="K25" s="43" t="n">
        <f aca="false">WEEKDAY(B10,2)</f>
        <v>3</v>
      </c>
      <c r="L25" s="43" t="n">
        <f aca="false">IF(I25&gt;B$11,0,IF(M25&lt;1,0,1))</f>
        <v>1</v>
      </c>
      <c r="M25" s="43" t="n">
        <f aca="false">J25-B$12</f>
        <v>1</v>
      </c>
      <c r="N25" s="44" t="e">
        <f aca="false">IF($L25=0,0,SPRDOPT($B25,$C25,$D25,$H25,$E25,$F25,$G25,$M25,$B$7,0))</f>
        <v>#NAME?</v>
      </c>
      <c r="O25" s="44" t="e">
        <f aca="false">IF($L25=0,0,SPRDOPT($B25,$C25,$D25,$H25,$E25,$F25,$G25,$M25,$B$7,1))</f>
        <v>#NAME?</v>
      </c>
      <c r="Q25" s="9"/>
      <c r="R25" s="9"/>
      <c r="S25" s="39"/>
      <c r="V25" s="33"/>
      <c r="W25" s="45"/>
      <c r="X25" s="45"/>
      <c r="Y25" s="45"/>
      <c r="Z25" s="45"/>
      <c r="AA25" s="45"/>
      <c r="AC25" s="33"/>
      <c r="AD25" s="45"/>
      <c r="AE25" s="45"/>
      <c r="AF25" s="45"/>
      <c r="AG25" s="45"/>
      <c r="AH25" s="45"/>
      <c r="AI25" s="46"/>
      <c r="AJ25" s="45"/>
      <c r="AK25" s="46"/>
      <c r="AL25" s="47"/>
      <c r="AM25" s="47"/>
      <c r="AN25" s="47"/>
    </row>
    <row r="26" customFormat="false" ht="12.75" hidden="false" customHeight="false" outlineLevel="0" collapsed="false">
      <c r="A26" s="39" t="n">
        <f aca="false">A25+1</f>
        <v>2</v>
      </c>
      <c r="B26" s="40" t="n">
        <f aca="false">B$3</f>
        <v>5.2</v>
      </c>
      <c r="C26" s="40" t="n">
        <f aca="false">C$3</f>
        <v>5.1</v>
      </c>
      <c r="D26" s="41" t="n">
        <f aca="false">B$6</f>
        <v>0.11</v>
      </c>
      <c r="E26" s="4" t="n">
        <f aca="false">B$8</f>
        <v>1.3</v>
      </c>
      <c r="F26" s="4" t="n">
        <f aca="false">C$8</f>
        <v>1.12</v>
      </c>
      <c r="G26" s="191" t="n">
        <f aca="false">B$9</f>
        <v>0.99</v>
      </c>
      <c r="H26" s="4" t="n">
        <f aca="false">H25</f>
        <v>0.068146567086238</v>
      </c>
      <c r="I26" s="42" t="n">
        <f aca="false">I25+1</f>
        <v>36832</v>
      </c>
      <c r="J26" s="42" t="n">
        <f aca="false">IF(K26=6,I26-1,IF(K26=7,I26-2,I26))</f>
        <v>36832</v>
      </c>
      <c r="K26" s="43" t="n">
        <f aca="false">WEEKDAY(I26,2)</f>
        <v>4</v>
      </c>
      <c r="L26" s="43" t="n">
        <f aca="false">IF(I26&gt;B$11,0,IF(M26&lt;1,0,1))</f>
        <v>1</v>
      </c>
      <c r="M26" s="43" t="n">
        <f aca="false">J26-B$12</f>
        <v>2</v>
      </c>
      <c r="N26" s="44" t="e">
        <f aca="false">IF($L26=0,0,SPRDOPT($B26,$C26,$D26,$H26,$E26,$F26,$G26,$M26,$B$7,0))</f>
        <v>#NAME?</v>
      </c>
      <c r="O26" s="44" t="e">
        <f aca="false">IF($L26=0,0,SPRDOPT($B26,$C26,$D26,$H26,$E26,$F26,$G26,$M26,$B$7,1))</f>
        <v>#NAME?</v>
      </c>
      <c r="Q26" s="9"/>
      <c r="R26" s="9"/>
      <c r="S26" s="39"/>
      <c r="V26" s="33"/>
      <c r="W26" s="45"/>
      <c r="X26" s="45"/>
      <c r="Y26" s="45"/>
      <c r="Z26" s="45"/>
      <c r="AA26" s="45"/>
      <c r="AC26" s="33"/>
      <c r="AD26" s="45"/>
      <c r="AE26" s="45"/>
      <c r="AF26" s="45"/>
      <c r="AG26" s="45"/>
      <c r="AH26" s="45"/>
      <c r="AI26" s="46"/>
      <c r="AJ26" s="45"/>
      <c r="AK26" s="46"/>
      <c r="AL26" s="47"/>
      <c r="AM26" s="47"/>
      <c r="AN26" s="47"/>
    </row>
    <row r="27" customFormat="false" ht="12.75" hidden="false" customHeight="false" outlineLevel="0" collapsed="false">
      <c r="A27" s="39" t="n">
        <f aca="false">A26+1</f>
        <v>3</v>
      </c>
      <c r="B27" s="40" t="n">
        <f aca="false">B$3</f>
        <v>5.2</v>
      </c>
      <c r="C27" s="40" t="n">
        <f aca="false">C$3</f>
        <v>5.1</v>
      </c>
      <c r="D27" s="41" t="n">
        <f aca="false">B$6</f>
        <v>0.11</v>
      </c>
      <c r="E27" s="4" t="n">
        <f aca="false">B$8</f>
        <v>1.3</v>
      </c>
      <c r="F27" s="4" t="n">
        <f aca="false">C$8</f>
        <v>1.12</v>
      </c>
      <c r="G27" s="191" t="n">
        <f aca="false">B$9</f>
        <v>0.99</v>
      </c>
      <c r="H27" s="4" t="n">
        <f aca="false">H26</f>
        <v>0.068146567086238</v>
      </c>
      <c r="I27" s="42" t="n">
        <f aca="false">I26+1</f>
        <v>36833</v>
      </c>
      <c r="J27" s="42" t="n">
        <f aca="false">IF(K27=6,I27-1,IF(K27=7,I27-2,I27))</f>
        <v>36833</v>
      </c>
      <c r="K27" s="43" t="n">
        <f aca="false">WEEKDAY(I27,2)</f>
        <v>5</v>
      </c>
      <c r="L27" s="43" t="n">
        <f aca="false">IF(I27&gt;B$11,0,IF(M27&lt;1,0,1))</f>
        <v>1</v>
      </c>
      <c r="M27" s="43" t="n">
        <f aca="false">J27-B$12</f>
        <v>3</v>
      </c>
      <c r="N27" s="44" t="e">
        <f aca="false">IF($L27=0,0,SPRDOPT($B27,$C27,$D27,$H27,$E27,$F27,$G27,$M27,$B$7,0))</f>
        <v>#NAME?</v>
      </c>
      <c r="O27" s="44" t="e">
        <f aca="false">IF($L27=0,0,SPRDOPT($B27,$C27,$D27,$H27,$E27,$F27,$G27,$M27,$B$7,1))</f>
        <v>#NAME?</v>
      </c>
      <c r="Q27" s="9"/>
      <c r="R27" s="9"/>
      <c r="S27" s="39"/>
      <c r="V27" s="33"/>
      <c r="W27" s="45"/>
      <c r="X27" s="45"/>
      <c r="Y27" s="45"/>
      <c r="Z27" s="45"/>
      <c r="AA27" s="45"/>
      <c r="AC27" s="33"/>
      <c r="AD27" s="45"/>
      <c r="AE27" s="45"/>
      <c r="AF27" s="45"/>
      <c r="AG27" s="45"/>
      <c r="AH27" s="45"/>
      <c r="AI27" s="46"/>
      <c r="AJ27" s="45"/>
      <c r="AK27" s="46"/>
      <c r="AL27" s="47"/>
      <c r="AM27" s="47"/>
      <c r="AN27" s="47"/>
    </row>
    <row r="28" customFormat="false" ht="12.75" hidden="false" customHeight="false" outlineLevel="0" collapsed="false">
      <c r="A28" s="39" t="n">
        <f aca="false">A27+1</f>
        <v>4</v>
      </c>
      <c r="B28" s="40" t="n">
        <f aca="false">B$3</f>
        <v>5.2</v>
      </c>
      <c r="C28" s="40" t="n">
        <f aca="false">C$3</f>
        <v>5.1</v>
      </c>
      <c r="D28" s="41" t="n">
        <f aca="false">B$6</f>
        <v>0.11</v>
      </c>
      <c r="E28" s="4" t="n">
        <f aca="false">B$8</f>
        <v>1.3</v>
      </c>
      <c r="F28" s="4" t="n">
        <f aca="false">C$8</f>
        <v>1.12</v>
      </c>
      <c r="G28" s="191" t="n">
        <f aca="false">B$9</f>
        <v>0.99</v>
      </c>
      <c r="H28" s="4" t="n">
        <f aca="false">H27</f>
        <v>0.068146567086238</v>
      </c>
      <c r="I28" s="42" t="n">
        <f aca="false">I27+1</f>
        <v>36834</v>
      </c>
      <c r="J28" s="42" t="n">
        <f aca="false">IF(K28=6,I28-1,IF(K28=7,I28-2,I28))</f>
        <v>36833</v>
      </c>
      <c r="K28" s="43" t="n">
        <f aca="false">WEEKDAY(I28,2)</f>
        <v>6</v>
      </c>
      <c r="L28" s="43" t="n">
        <f aca="false">IF(I28&gt;B$11,0,IF(M28&lt;1,0,1))</f>
        <v>1</v>
      </c>
      <c r="M28" s="43" t="n">
        <f aca="false">J28-B$12</f>
        <v>3</v>
      </c>
      <c r="N28" s="44" t="e">
        <f aca="false">IF($L28=0,0,SPRDOPT($B28,$C28,$D28,$H28,$E28,$F28,$G28,$M28,$B$7,0))</f>
        <v>#NAME?</v>
      </c>
      <c r="O28" s="44" t="e">
        <f aca="false">IF($L28=0,0,SPRDOPT($B28,$C28,$D28,$H28,$E28,$F28,$G28,$M28,$B$7,1))</f>
        <v>#NAME?</v>
      </c>
      <c r="Q28" s="9"/>
      <c r="R28" s="9"/>
      <c r="S28" s="39"/>
      <c r="V28" s="33"/>
      <c r="W28" s="45"/>
      <c r="X28" s="45"/>
      <c r="Y28" s="45"/>
      <c r="Z28" s="45"/>
      <c r="AA28" s="45"/>
      <c r="AC28" s="33"/>
      <c r="AD28" s="45"/>
      <c r="AE28" s="45"/>
      <c r="AF28" s="45"/>
      <c r="AG28" s="45"/>
      <c r="AH28" s="45"/>
      <c r="AI28" s="46"/>
      <c r="AJ28" s="45"/>
      <c r="AK28" s="46"/>
      <c r="AL28" s="47"/>
      <c r="AM28" s="47"/>
      <c r="AN28" s="47"/>
    </row>
    <row r="29" customFormat="false" ht="12.75" hidden="false" customHeight="false" outlineLevel="0" collapsed="false">
      <c r="A29" s="39" t="n">
        <f aca="false">A28+1</f>
        <v>5</v>
      </c>
      <c r="B29" s="40" t="n">
        <f aca="false">B$3</f>
        <v>5.2</v>
      </c>
      <c r="C29" s="40" t="n">
        <f aca="false">C$3</f>
        <v>5.1</v>
      </c>
      <c r="D29" s="41" t="n">
        <f aca="false">B$6</f>
        <v>0.11</v>
      </c>
      <c r="E29" s="4" t="n">
        <f aca="false">B$8</f>
        <v>1.3</v>
      </c>
      <c r="F29" s="4" t="n">
        <f aca="false">C$8</f>
        <v>1.12</v>
      </c>
      <c r="G29" s="191" t="n">
        <f aca="false">B$9</f>
        <v>0.99</v>
      </c>
      <c r="H29" s="4" t="n">
        <f aca="false">H28</f>
        <v>0.068146567086238</v>
      </c>
      <c r="I29" s="42" t="n">
        <f aca="false">I28+1</f>
        <v>36835</v>
      </c>
      <c r="J29" s="42" t="n">
        <f aca="false">IF(K29=6,I29-1,IF(K29=7,I29-2,I29))</f>
        <v>36833</v>
      </c>
      <c r="K29" s="43" t="n">
        <f aca="false">WEEKDAY(I29,2)</f>
        <v>7</v>
      </c>
      <c r="L29" s="43" t="n">
        <f aca="false">IF(I29&gt;B$11,0,IF(M29&lt;1,0,1))</f>
        <v>1</v>
      </c>
      <c r="M29" s="43" t="n">
        <f aca="false">J29-B$12</f>
        <v>3</v>
      </c>
      <c r="N29" s="44" t="e">
        <f aca="false">IF($L29=0,0,SPRDOPT($B29,$C29,$D29,$H29,$E29,$F29,$G29,$M29,$B$7,0))</f>
        <v>#NAME?</v>
      </c>
      <c r="O29" s="44" t="e">
        <f aca="false">IF($L29=0,0,SPRDOPT($B29,$C29,$D29,$H29,$E29,$F29,$G29,$M29,$B$7,1))</f>
        <v>#NAME?</v>
      </c>
      <c r="Q29" s="9"/>
      <c r="R29" s="9"/>
      <c r="S29" s="39"/>
      <c r="V29" s="33"/>
      <c r="W29" s="45"/>
      <c r="X29" s="45"/>
      <c r="Y29" s="45"/>
      <c r="Z29" s="45"/>
      <c r="AA29" s="45"/>
      <c r="AC29" s="33"/>
      <c r="AD29" s="45"/>
      <c r="AE29" s="45"/>
      <c r="AF29" s="45"/>
      <c r="AG29" s="45"/>
      <c r="AH29" s="45"/>
      <c r="AI29" s="46"/>
      <c r="AJ29" s="45"/>
      <c r="AK29" s="46"/>
      <c r="AL29" s="47"/>
      <c r="AM29" s="47"/>
      <c r="AN29" s="47"/>
    </row>
    <row r="30" customFormat="false" ht="12.75" hidden="false" customHeight="false" outlineLevel="0" collapsed="false">
      <c r="A30" s="39" t="n">
        <f aca="false">A29+1</f>
        <v>6</v>
      </c>
      <c r="B30" s="40" t="n">
        <f aca="false">B$3</f>
        <v>5.2</v>
      </c>
      <c r="C30" s="40" t="n">
        <f aca="false">C$3</f>
        <v>5.1</v>
      </c>
      <c r="D30" s="41" t="n">
        <f aca="false">B$6</f>
        <v>0.11</v>
      </c>
      <c r="E30" s="4" t="n">
        <f aca="false">B$8</f>
        <v>1.3</v>
      </c>
      <c r="F30" s="4" t="n">
        <f aca="false">C$8</f>
        <v>1.12</v>
      </c>
      <c r="G30" s="191" t="n">
        <f aca="false">B$9</f>
        <v>0.99</v>
      </c>
      <c r="H30" s="4" t="n">
        <f aca="false">H29</f>
        <v>0.068146567086238</v>
      </c>
      <c r="I30" s="42" t="n">
        <f aca="false">I29+1</f>
        <v>36836</v>
      </c>
      <c r="J30" s="42" t="n">
        <f aca="false">IF(K30=6,I30-1,IF(K30=7,I30-2,I30))</f>
        <v>36836</v>
      </c>
      <c r="K30" s="43" t="n">
        <f aca="false">WEEKDAY(I30,2)</f>
        <v>1</v>
      </c>
      <c r="L30" s="43" t="n">
        <f aca="false">IF(I30&gt;B$11,0,IF(M30&lt;1,0,1))</f>
        <v>1</v>
      </c>
      <c r="M30" s="43" t="n">
        <f aca="false">J30-B$12</f>
        <v>6</v>
      </c>
      <c r="N30" s="44" t="e">
        <f aca="false">IF($L30=0,0,SPRDOPT($B30,$C30,$D30,$H30,$E30,$F30,$G30,$M30,$B$7,0))</f>
        <v>#NAME?</v>
      </c>
      <c r="O30" s="44" t="e">
        <f aca="false">IF($L30=0,0,SPRDOPT($B30,$C30,$D30,$H30,$E30,$F30,$G30,$M30,$B$7,1))</f>
        <v>#NAME?</v>
      </c>
      <c r="Q30" s="9"/>
      <c r="R30" s="9"/>
      <c r="S30" s="39"/>
      <c r="V30" s="33"/>
      <c r="W30" s="45"/>
      <c r="X30" s="45"/>
      <c r="Y30" s="45"/>
      <c r="Z30" s="45"/>
      <c r="AA30" s="45"/>
      <c r="AC30" s="33"/>
      <c r="AD30" s="45"/>
      <c r="AE30" s="45"/>
      <c r="AF30" s="45"/>
      <c r="AG30" s="45"/>
      <c r="AH30" s="45"/>
      <c r="AI30" s="46"/>
      <c r="AJ30" s="45"/>
      <c r="AK30" s="46"/>
      <c r="AL30" s="47"/>
      <c r="AM30" s="47"/>
      <c r="AN30" s="47"/>
    </row>
    <row r="31" customFormat="false" ht="12.75" hidden="false" customHeight="false" outlineLevel="0" collapsed="false">
      <c r="A31" s="39" t="n">
        <f aca="false">A30+1</f>
        <v>7</v>
      </c>
      <c r="B31" s="40" t="n">
        <f aca="false">B$3</f>
        <v>5.2</v>
      </c>
      <c r="C31" s="40" t="n">
        <f aca="false">C$3</f>
        <v>5.1</v>
      </c>
      <c r="D31" s="41" t="n">
        <f aca="false">B$6</f>
        <v>0.11</v>
      </c>
      <c r="E31" s="4" t="n">
        <f aca="false">B$8</f>
        <v>1.3</v>
      </c>
      <c r="F31" s="4" t="n">
        <f aca="false">C$8</f>
        <v>1.12</v>
      </c>
      <c r="G31" s="191" t="n">
        <f aca="false">B$9</f>
        <v>0.99</v>
      </c>
      <c r="H31" s="4" t="n">
        <f aca="false">H30</f>
        <v>0.068146567086238</v>
      </c>
      <c r="I31" s="42" t="n">
        <f aca="false">I30+1</f>
        <v>36837</v>
      </c>
      <c r="J31" s="42" t="n">
        <f aca="false">IF(K31=6,I31-1,IF(K31=7,I31-2,I31))</f>
        <v>36837</v>
      </c>
      <c r="K31" s="43" t="n">
        <f aca="false">WEEKDAY(I31,2)</f>
        <v>2</v>
      </c>
      <c r="L31" s="43" t="n">
        <f aca="false">IF(I31&gt;B$11,0,IF(M31&lt;1,0,1))</f>
        <v>1</v>
      </c>
      <c r="M31" s="43" t="n">
        <f aca="false">J31-B$12</f>
        <v>7</v>
      </c>
      <c r="N31" s="44" t="e">
        <f aca="false">IF($L31=0,0,SPRDOPT($B31,$C31,$D31,$H31,$E31,$F31,$G31,$M31,$B$7,0))</f>
        <v>#NAME?</v>
      </c>
      <c r="O31" s="44" t="e">
        <f aca="false">IF($L31=0,0,SPRDOPT($B31,$C31,$D31,$H31,$E31,$F31,$G31,$M31,$B$7,1))</f>
        <v>#NAME?</v>
      </c>
      <c r="Q31" s="9"/>
      <c r="R31" s="9"/>
      <c r="S31" s="39"/>
      <c r="V31" s="33"/>
      <c r="W31" s="45"/>
      <c r="X31" s="45"/>
      <c r="Y31" s="45"/>
      <c r="Z31" s="45"/>
      <c r="AA31" s="45"/>
      <c r="AC31" s="33"/>
      <c r="AD31" s="45"/>
      <c r="AE31" s="45"/>
      <c r="AF31" s="45"/>
      <c r="AG31" s="45"/>
      <c r="AH31" s="45"/>
      <c r="AI31" s="46"/>
      <c r="AJ31" s="45"/>
      <c r="AK31" s="46"/>
      <c r="AL31" s="47"/>
      <c r="AM31" s="47"/>
      <c r="AN31" s="47"/>
    </row>
    <row r="32" customFormat="false" ht="12.75" hidden="false" customHeight="false" outlineLevel="0" collapsed="false">
      <c r="A32" s="39" t="n">
        <f aca="false">A31+1</f>
        <v>8</v>
      </c>
      <c r="B32" s="40" t="n">
        <f aca="false">B$3</f>
        <v>5.2</v>
      </c>
      <c r="C32" s="40" t="n">
        <f aca="false">C$3</f>
        <v>5.1</v>
      </c>
      <c r="D32" s="41" t="n">
        <f aca="false">B$6</f>
        <v>0.11</v>
      </c>
      <c r="E32" s="4" t="n">
        <f aca="false">B$8</f>
        <v>1.3</v>
      </c>
      <c r="F32" s="4" t="n">
        <f aca="false">C$8</f>
        <v>1.12</v>
      </c>
      <c r="G32" s="191" t="n">
        <f aca="false">B$9</f>
        <v>0.99</v>
      </c>
      <c r="H32" s="4" t="n">
        <f aca="false">H31</f>
        <v>0.068146567086238</v>
      </c>
      <c r="I32" s="42" t="n">
        <f aca="false">I31+1</f>
        <v>36838</v>
      </c>
      <c r="J32" s="42" t="n">
        <f aca="false">IF(K32=6,I32-1,IF(K32=7,I32-2,I32))</f>
        <v>36838</v>
      </c>
      <c r="K32" s="43" t="n">
        <f aca="false">WEEKDAY(I32,2)</f>
        <v>3</v>
      </c>
      <c r="L32" s="43" t="n">
        <f aca="false">IF(I32&gt;B$11,0,IF(M32&lt;1,0,1))</f>
        <v>1</v>
      </c>
      <c r="M32" s="43" t="n">
        <f aca="false">J32-B$12</f>
        <v>8</v>
      </c>
      <c r="N32" s="44" t="e">
        <f aca="false">IF($L32=0,0,SPRDOPT($B32,$C32,$D32,$H32,$E32,$F32,$G32,$M32,$B$7,0))</f>
        <v>#NAME?</v>
      </c>
      <c r="O32" s="44" t="e">
        <f aca="false">IF($L32=0,0,SPRDOPT($B32,$C32,$D32,$H32,$E32,$F32,$G32,$M32,$B$7,1))</f>
        <v>#NAME?</v>
      </c>
      <c r="Q32" s="9"/>
      <c r="R32" s="9"/>
      <c r="S32" s="39"/>
      <c r="V32" s="33"/>
      <c r="W32" s="45"/>
      <c r="X32" s="45"/>
      <c r="Y32" s="45"/>
      <c r="Z32" s="45"/>
      <c r="AA32" s="45"/>
      <c r="AC32" s="33"/>
      <c r="AD32" s="45"/>
      <c r="AE32" s="45"/>
      <c r="AF32" s="45"/>
      <c r="AG32" s="45"/>
      <c r="AH32" s="45"/>
      <c r="AI32" s="46"/>
      <c r="AJ32" s="45"/>
      <c r="AK32" s="46"/>
      <c r="AL32" s="47"/>
      <c r="AM32" s="47"/>
      <c r="AN32" s="47"/>
    </row>
    <row r="33" customFormat="false" ht="12.75" hidden="false" customHeight="false" outlineLevel="0" collapsed="false">
      <c r="A33" s="39" t="n">
        <f aca="false">A32+1</f>
        <v>9</v>
      </c>
      <c r="B33" s="40" t="n">
        <f aca="false">B$3</f>
        <v>5.2</v>
      </c>
      <c r="C33" s="40" t="n">
        <f aca="false">C$3</f>
        <v>5.1</v>
      </c>
      <c r="D33" s="41" t="n">
        <f aca="false">B$6</f>
        <v>0.11</v>
      </c>
      <c r="E33" s="4" t="n">
        <f aca="false">B$8</f>
        <v>1.3</v>
      </c>
      <c r="F33" s="4" t="n">
        <f aca="false">C$8</f>
        <v>1.12</v>
      </c>
      <c r="G33" s="191" t="n">
        <f aca="false">B$9</f>
        <v>0.99</v>
      </c>
      <c r="H33" s="4" t="n">
        <f aca="false">H32</f>
        <v>0.068146567086238</v>
      </c>
      <c r="I33" s="42" t="n">
        <f aca="false">I32+1</f>
        <v>36839</v>
      </c>
      <c r="J33" s="42" t="n">
        <f aca="false">IF(K33=6,I33-1,IF(K33=7,I33-2,I33))</f>
        <v>36839</v>
      </c>
      <c r="K33" s="43" t="n">
        <f aca="false">WEEKDAY(I33,2)</f>
        <v>4</v>
      </c>
      <c r="L33" s="43" t="n">
        <f aca="false">IF(I33&gt;B$11,0,IF(M33&lt;1,0,1))</f>
        <v>1</v>
      </c>
      <c r="M33" s="43" t="n">
        <f aca="false">J33-B$12</f>
        <v>9</v>
      </c>
      <c r="N33" s="44" t="e">
        <f aca="false">IF($L33=0,0,SPRDOPT($B33,$C33,$D33,$H33,$E33,$F33,$G33,$M33,$B$7,0))</f>
        <v>#NAME?</v>
      </c>
      <c r="O33" s="44" t="e">
        <f aca="false">IF($L33=0,0,SPRDOPT($B33,$C33,$D33,$H33,$E33,$F33,$G33,$M33,$B$7,1))</f>
        <v>#NAME?</v>
      </c>
      <c r="Q33" s="9"/>
      <c r="R33" s="9"/>
      <c r="S33" s="39"/>
      <c r="V33" s="33"/>
      <c r="W33" s="45"/>
      <c r="X33" s="45"/>
      <c r="Y33" s="45"/>
      <c r="Z33" s="45"/>
      <c r="AA33" s="45"/>
      <c r="AC33" s="33"/>
      <c r="AD33" s="45"/>
      <c r="AE33" s="45"/>
      <c r="AF33" s="45"/>
      <c r="AG33" s="45"/>
      <c r="AH33" s="45"/>
      <c r="AI33" s="46"/>
      <c r="AJ33" s="45"/>
      <c r="AK33" s="46"/>
      <c r="AL33" s="47"/>
      <c r="AM33" s="47"/>
      <c r="AN33" s="47"/>
    </row>
    <row r="34" customFormat="false" ht="12.75" hidden="false" customHeight="false" outlineLevel="0" collapsed="false">
      <c r="A34" s="39" t="n">
        <f aca="false">A33+1</f>
        <v>10</v>
      </c>
      <c r="B34" s="40" t="n">
        <f aca="false">B$3</f>
        <v>5.2</v>
      </c>
      <c r="C34" s="40" t="n">
        <f aca="false">C$3</f>
        <v>5.1</v>
      </c>
      <c r="D34" s="41" t="n">
        <f aca="false">B$6</f>
        <v>0.11</v>
      </c>
      <c r="E34" s="4" t="n">
        <f aca="false">B$8</f>
        <v>1.3</v>
      </c>
      <c r="F34" s="4" t="n">
        <f aca="false">C$8</f>
        <v>1.12</v>
      </c>
      <c r="G34" s="191" t="n">
        <f aca="false">B$9</f>
        <v>0.99</v>
      </c>
      <c r="H34" s="4" t="n">
        <f aca="false">H33</f>
        <v>0.068146567086238</v>
      </c>
      <c r="I34" s="42" t="n">
        <f aca="false">I33+1</f>
        <v>36840</v>
      </c>
      <c r="J34" s="42" t="n">
        <f aca="false">IF(K34=6,I34-1,IF(K34=7,I34-2,I34))</f>
        <v>36840</v>
      </c>
      <c r="K34" s="43" t="n">
        <f aca="false">WEEKDAY(I34,2)</f>
        <v>5</v>
      </c>
      <c r="L34" s="43" t="n">
        <f aca="false">IF(I34&gt;B$11,0,IF(M34&lt;1,0,1))</f>
        <v>1</v>
      </c>
      <c r="M34" s="43" t="n">
        <f aca="false">J34-B$12</f>
        <v>10</v>
      </c>
      <c r="N34" s="44" t="e">
        <f aca="false">IF($L34=0,0,SPRDOPT($B34,$C34,$D34,$H34,$E34,$F34,$G34,$M34,$B$7,0))</f>
        <v>#NAME?</v>
      </c>
      <c r="O34" s="44" t="e">
        <f aca="false">IF($L34=0,0,SPRDOPT($B34,$C34,$D34,$H34,$E34,$F34,$G34,$M34,$B$7,1))</f>
        <v>#NAME?</v>
      </c>
      <c r="Q34" s="9"/>
      <c r="R34" s="9"/>
      <c r="S34" s="39"/>
      <c r="V34" s="33"/>
      <c r="W34" s="45"/>
      <c r="X34" s="45"/>
      <c r="Y34" s="45"/>
      <c r="Z34" s="45"/>
      <c r="AA34" s="45"/>
      <c r="AC34" s="33"/>
      <c r="AD34" s="45"/>
      <c r="AE34" s="45"/>
      <c r="AF34" s="45"/>
      <c r="AG34" s="45"/>
      <c r="AH34" s="45"/>
      <c r="AI34" s="46"/>
      <c r="AJ34" s="45"/>
      <c r="AK34" s="46"/>
      <c r="AL34" s="47"/>
      <c r="AM34" s="47"/>
      <c r="AN34" s="47"/>
    </row>
    <row r="35" customFormat="false" ht="12.75" hidden="false" customHeight="false" outlineLevel="0" collapsed="false">
      <c r="A35" s="39" t="n">
        <f aca="false">A34+1</f>
        <v>11</v>
      </c>
      <c r="B35" s="40" t="n">
        <f aca="false">B$3</f>
        <v>5.2</v>
      </c>
      <c r="C35" s="40" t="n">
        <f aca="false">C$3</f>
        <v>5.1</v>
      </c>
      <c r="D35" s="41" t="n">
        <f aca="false">B$6</f>
        <v>0.11</v>
      </c>
      <c r="E35" s="4" t="n">
        <f aca="false">B$8</f>
        <v>1.3</v>
      </c>
      <c r="F35" s="4" t="n">
        <f aca="false">C$8</f>
        <v>1.12</v>
      </c>
      <c r="G35" s="191" t="n">
        <f aca="false">B$9</f>
        <v>0.99</v>
      </c>
      <c r="H35" s="4" t="n">
        <f aca="false">H34</f>
        <v>0.068146567086238</v>
      </c>
      <c r="I35" s="42" t="n">
        <f aca="false">I34+1</f>
        <v>36841</v>
      </c>
      <c r="J35" s="42" t="n">
        <f aca="false">IF(K35=6,I35-1,IF(K35=7,I35-2,I35))</f>
        <v>36840</v>
      </c>
      <c r="K35" s="43" t="n">
        <f aca="false">WEEKDAY(I35,2)</f>
        <v>6</v>
      </c>
      <c r="L35" s="43" t="n">
        <f aca="false">IF(I35&gt;B$11,0,IF(M35&lt;1,0,1))</f>
        <v>1</v>
      </c>
      <c r="M35" s="43" t="n">
        <f aca="false">J35-B$12</f>
        <v>10</v>
      </c>
      <c r="N35" s="44" t="e">
        <f aca="false">IF($L35=0,0,SPRDOPT($B35,$C35,$D35,$H35,$E35,$F35,$G35,$M35,$B$7,0))</f>
        <v>#NAME?</v>
      </c>
      <c r="O35" s="44" t="e">
        <f aca="false">IF($L35=0,0,SPRDOPT($B35,$C35,$D35,$H35,$E35,$F35,$G35,$M35,$B$7,1))</f>
        <v>#NAME?</v>
      </c>
      <c r="Q35" s="9"/>
      <c r="R35" s="9"/>
      <c r="S35" s="39"/>
      <c r="V35" s="33"/>
      <c r="W35" s="45"/>
      <c r="X35" s="45"/>
      <c r="Y35" s="45"/>
      <c r="Z35" s="45"/>
      <c r="AA35" s="45"/>
      <c r="AC35" s="33"/>
      <c r="AD35" s="45"/>
      <c r="AE35" s="45"/>
      <c r="AF35" s="45"/>
      <c r="AG35" s="45"/>
      <c r="AH35" s="45"/>
      <c r="AI35" s="46"/>
      <c r="AJ35" s="45"/>
      <c r="AK35" s="46"/>
      <c r="AL35" s="47"/>
      <c r="AM35" s="47"/>
      <c r="AN35" s="47"/>
    </row>
    <row r="36" customFormat="false" ht="12.75" hidden="false" customHeight="false" outlineLevel="0" collapsed="false">
      <c r="A36" s="39" t="n">
        <f aca="false">A35+1</f>
        <v>12</v>
      </c>
      <c r="B36" s="40" t="n">
        <f aca="false">B$3</f>
        <v>5.2</v>
      </c>
      <c r="C36" s="40" t="n">
        <f aca="false">C$3</f>
        <v>5.1</v>
      </c>
      <c r="D36" s="41" t="n">
        <f aca="false">B$6</f>
        <v>0.11</v>
      </c>
      <c r="E36" s="4" t="n">
        <f aca="false">B$8</f>
        <v>1.3</v>
      </c>
      <c r="F36" s="4" t="n">
        <f aca="false">C$8</f>
        <v>1.12</v>
      </c>
      <c r="G36" s="191" t="n">
        <f aca="false">B$9</f>
        <v>0.99</v>
      </c>
      <c r="H36" s="4" t="n">
        <f aca="false">H35</f>
        <v>0.068146567086238</v>
      </c>
      <c r="I36" s="42" t="n">
        <f aca="false">I35+1</f>
        <v>36842</v>
      </c>
      <c r="J36" s="42" t="n">
        <f aca="false">IF(K36=6,I36-1,IF(K36=7,I36-2,I36))</f>
        <v>36840</v>
      </c>
      <c r="K36" s="43" t="n">
        <f aca="false">WEEKDAY(I36,2)</f>
        <v>7</v>
      </c>
      <c r="L36" s="43" t="n">
        <f aca="false">IF(I36&gt;B$11,0,IF(M36&lt;1,0,1))</f>
        <v>1</v>
      </c>
      <c r="M36" s="43" t="n">
        <f aca="false">J36-B$12</f>
        <v>10</v>
      </c>
      <c r="N36" s="44" t="e">
        <f aca="false">IF($L36=0,0,SPRDOPT($B36,$C36,$D36,$H36,$E36,$F36,$G36,$M36,$B$7,0))</f>
        <v>#NAME?</v>
      </c>
      <c r="O36" s="44" t="e">
        <f aca="false">IF($L36=0,0,SPRDOPT($B36,$C36,$D36,$H36,$E36,$F36,$G36,$M36,$B$7,1))</f>
        <v>#NAME?</v>
      </c>
      <c r="Q36" s="9"/>
      <c r="R36" s="9"/>
      <c r="S36" s="39"/>
      <c r="V36" s="33"/>
      <c r="W36" s="45"/>
      <c r="X36" s="45"/>
      <c r="Y36" s="45"/>
      <c r="Z36" s="45"/>
      <c r="AA36" s="45"/>
      <c r="AC36" s="33"/>
      <c r="AD36" s="45"/>
      <c r="AE36" s="45"/>
      <c r="AF36" s="45"/>
      <c r="AG36" s="45"/>
      <c r="AH36" s="45"/>
      <c r="AI36" s="46"/>
      <c r="AJ36" s="45"/>
      <c r="AK36" s="46"/>
      <c r="AL36" s="47"/>
      <c r="AM36" s="47"/>
      <c r="AN36" s="47"/>
    </row>
    <row r="37" customFormat="false" ht="12.75" hidden="false" customHeight="false" outlineLevel="0" collapsed="false">
      <c r="A37" s="39" t="n">
        <f aca="false">A36+1</f>
        <v>13</v>
      </c>
      <c r="B37" s="40" t="n">
        <f aca="false">B$3</f>
        <v>5.2</v>
      </c>
      <c r="C37" s="40" t="n">
        <f aca="false">C$3</f>
        <v>5.1</v>
      </c>
      <c r="D37" s="41" t="n">
        <f aca="false">B$6</f>
        <v>0.11</v>
      </c>
      <c r="E37" s="4" t="n">
        <f aca="false">B$8</f>
        <v>1.3</v>
      </c>
      <c r="F37" s="4" t="n">
        <f aca="false">C$8</f>
        <v>1.12</v>
      </c>
      <c r="G37" s="191" t="n">
        <f aca="false">B$9</f>
        <v>0.99</v>
      </c>
      <c r="H37" s="4" t="n">
        <f aca="false">H36</f>
        <v>0.068146567086238</v>
      </c>
      <c r="I37" s="42" t="n">
        <f aca="false">I36+1</f>
        <v>36843</v>
      </c>
      <c r="J37" s="42" t="n">
        <f aca="false">IF(K37=6,I37-1,IF(K37=7,I37-2,I37))</f>
        <v>36843</v>
      </c>
      <c r="K37" s="43" t="n">
        <f aca="false">WEEKDAY(I37,2)</f>
        <v>1</v>
      </c>
      <c r="L37" s="43" t="n">
        <f aca="false">IF(I37&gt;B$11,0,IF(M37&lt;1,0,1))</f>
        <v>1</v>
      </c>
      <c r="M37" s="43" t="n">
        <f aca="false">J37-B$12</f>
        <v>13</v>
      </c>
      <c r="N37" s="44" t="e">
        <f aca="false">IF($L37=0,0,SPRDOPT($B37,$C37,$D37,$H37,$E37,$F37,$G37,$M37,$B$7,0))</f>
        <v>#NAME?</v>
      </c>
      <c r="O37" s="44" t="e">
        <f aca="false">IF($L37=0,0,SPRDOPT($B37,$C37,$D37,$H37,$E37,$F37,$G37,$M37,$B$7,1))</f>
        <v>#NAME?</v>
      </c>
      <c r="Q37" s="9"/>
      <c r="R37" s="9"/>
      <c r="S37" s="39"/>
      <c r="V37" s="33"/>
      <c r="W37" s="45"/>
      <c r="X37" s="45"/>
      <c r="Y37" s="45"/>
      <c r="Z37" s="45"/>
      <c r="AA37" s="45"/>
      <c r="AC37" s="33"/>
      <c r="AD37" s="45"/>
      <c r="AE37" s="45"/>
      <c r="AF37" s="45"/>
      <c r="AG37" s="45"/>
      <c r="AH37" s="45"/>
      <c r="AI37" s="46"/>
      <c r="AJ37" s="45"/>
      <c r="AK37" s="46"/>
      <c r="AL37" s="47"/>
      <c r="AM37" s="47"/>
      <c r="AN37" s="47"/>
    </row>
    <row r="38" customFormat="false" ht="12.75" hidden="false" customHeight="false" outlineLevel="0" collapsed="false">
      <c r="A38" s="39" t="n">
        <f aca="false">A37+1</f>
        <v>14</v>
      </c>
      <c r="B38" s="40" t="n">
        <f aca="false">B$3</f>
        <v>5.2</v>
      </c>
      <c r="C38" s="40" t="n">
        <f aca="false">C$3</f>
        <v>5.1</v>
      </c>
      <c r="D38" s="41" t="n">
        <f aca="false">B$6</f>
        <v>0.11</v>
      </c>
      <c r="E38" s="4" t="n">
        <f aca="false">B$8</f>
        <v>1.3</v>
      </c>
      <c r="F38" s="4" t="n">
        <f aca="false">C$8</f>
        <v>1.12</v>
      </c>
      <c r="G38" s="191" t="n">
        <f aca="false">B$9</f>
        <v>0.99</v>
      </c>
      <c r="H38" s="4" t="n">
        <f aca="false">H37</f>
        <v>0.068146567086238</v>
      </c>
      <c r="I38" s="42" t="n">
        <f aca="false">I37+1</f>
        <v>36844</v>
      </c>
      <c r="J38" s="42" t="n">
        <f aca="false">IF(K38=6,I38-1,IF(K38=7,I38-2,I38))</f>
        <v>36844</v>
      </c>
      <c r="K38" s="43" t="n">
        <f aca="false">WEEKDAY(I38,2)</f>
        <v>2</v>
      </c>
      <c r="L38" s="43" t="n">
        <f aca="false">IF(I38&gt;B$11,0,IF(M38&lt;1,0,1))</f>
        <v>1</v>
      </c>
      <c r="M38" s="43" t="n">
        <f aca="false">J38-B$12</f>
        <v>14</v>
      </c>
      <c r="N38" s="44" t="e">
        <f aca="false">IF($L38=0,0,SPRDOPT($B38,$C38,$D38,$H38,$E38,$F38,$G38,$M38,$B$7,0))</f>
        <v>#NAME?</v>
      </c>
      <c r="O38" s="44" t="e">
        <f aca="false">IF($L38=0,0,SPRDOPT($B38,$C38,$D38,$H38,$E38,$F38,$G38,$M38,$B$7,1))</f>
        <v>#NAME?</v>
      </c>
      <c r="Q38" s="9"/>
      <c r="R38" s="9"/>
      <c r="S38" s="39"/>
      <c r="V38" s="33"/>
      <c r="W38" s="45"/>
      <c r="X38" s="45"/>
      <c r="Y38" s="45"/>
      <c r="Z38" s="45"/>
      <c r="AA38" s="45"/>
      <c r="AC38" s="33"/>
      <c r="AD38" s="45"/>
      <c r="AE38" s="45"/>
      <c r="AF38" s="45"/>
      <c r="AG38" s="45"/>
      <c r="AH38" s="45"/>
      <c r="AI38" s="46"/>
      <c r="AJ38" s="45"/>
      <c r="AK38" s="46"/>
      <c r="AL38" s="47"/>
      <c r="AM38" s="47"/>
      <c r="AN38" s="47"/>
    </row>
    <row r="39" customFormat="false" ht="12.75" hidden="false" customHeight="false" outlineLevel="0" collapsed="false">
      <c r="A39" s="39" t="n">
        <f aca="false">A38+1</f>
        <v>15</v>
      </c>
      <c r="B39" s="40" t="n">
        <f aca="false">B$3</f>
        <v>5.2</v>
      </c>
      <c r="C39" s="40" t="n">
        <f aca="false">C$3</f>
        <v>5.1</v>
      </c>
      <c r="D39" s="41" t="n">
        <f aca="false">B$6</f>
        <v>0.11</v>
      </c>
      <c r="E39" s="4" t="n">
        <f aca="false">B$8</f>
        <v>1.3</v>
      </c>
      <c r="F39" s="4" t="n">
        <f aca="false">C$8</f>
        <v>1.12</v>
      </c>
      <c r="G39" s="191" t="n">
        <f aca="false">B$9</f>
        <v>0.99</v>
      </c>
      <c r="H39" s="4" t="n">
        <f aca="false">H38</f>
        <v>0.068146567086238</v>
      </c>
      <c r="I39" s="42" t="n">
        <f aca="false">I38+1</f>
        <v>36845</v>
      </c>
      <c r="J39" s="42" t="n">
        <f aca="false">IF(K39=6,I39-1,IF(K39=7,I39-2,I39))</f>
        <v>36845</v>
      </c>
      <c r="K39" s="43" t="n">
        <f aca="false">WEEKDAY(I39,2)</f>
        <v>3</v>
      </c>
      <c r="L39" s="43" t="n">
        <f aca="false">IF(I39&gt;B$11,0,IF(M39&lt;1,0,1))</f>
        <v>1</v>
      </c>
      <c r="M39" s="43" t="n">
        <f aca="false">J39-B$12</f>
        <v>15</v>
      </c>
      <c r="N39" s="44" t="e">
        <f aca="false">IF($L39=0,0,SPRDOPT($B39,$C39,$D39,$H39,$E39,$F39,$G39,$M39,$B$7,0))</f>
        <v>#NAME?</v>
      </c>
      <c r="O39" s="44" t="e">
        <f aca="false">IF($L39=0,0,SPRDOPT($B39,$C39,$D39,$H39,$E39,$F39,$G39,$M39,$B$7,1))</f>
        <v>#NAME?</v>
      </c>
      <c r="Q39" s="9"/>
      <c r="R39" s="9"/>
      <c r="S39" s="39"/>
      <c r="V39" s="33"/>
      <c r="W39" s="45"/>
      <c r="X39" s="45"/>
      <c r="Y39" s="45"/>
      <c r="Z39" s="45"/>
      <c r="AA39" s="45"/>
      <c r="AC39" s="33"/>
      <c r="AD39" s="45"/>
      <c r="AE39" s="45"/>
      <c r="AF39" s="45"/>
      <c r="AG39" s="45"/>
      <c r="AH39" s="45"/>
      <c r="AI39" s="46"/>
      <c r="AJ39" s="45"/>
      <c r="AK39" s="46"/>
      <c r="AL39" s="47"/>
      <c r="AM39" s="47"/>
      <c r="AN39" s="47"/>
    </row>
    <row r="40" customFormat="false" ht="12.75" hidden="false" customHeight="false" outlineLevel="0" collapsed="false">
      <c r="A40" s="39" t="n">
        <f aca="false">A39+1</f>
        <v>16</v>
      </c>
      <c r="B40" s="40" t="n">
        <f aca="false">B$3</f>
        <v>5.2</v>
      </c>
      <c r="C40" s="40" t="n">
        <f aca="false">C$3</f>
        <v>5.1</v>
      </c>
      <c r="D40" s="41" t="n">
        <f aca="false">B$6</f>
        <v>0.11</v>
      </c>
      <c r="E40" s="4" t="n">
        <f aca="false">B$8</f>
        <v>1.3</v>
      </c>
      <c r="F40" s="4" t="n">
        <f aca="false">C$8</f>
        <v>1.12</v>
      </c>
      <c r="G40" s="191" t="n">
        <f aca="false">B$9</f>
        <v>0.99</v>
      </c>
      <c r="H40" s="4" t="n">
        <f aca="false">H39</f>
        <v>0.068146567086238</v>
      </c>
      <c r="I40" s="42" t="n">
        <f aca="false">I39+1</f>
        <v>36846</v>
      </c>
      <c r="J40" s="42" t="n">
        <f aca="false">IF(K40=6,I40-1,IF(K40=7,I40-2,I40))</f>
        <v>36846</v>
      </c>
      <c r="K40" s="43" t="n">
        <f aca="false">WEEKDAY(I40,2)</f>
        <v>4</v>
      </c>
      <c r="L40" s="43" t="n">
        <f aca="false">IF(I40&gt;B$11,0,IF(M40&lt;1,0,1))</f>
        <v>1</v>
      </c>
      <c r="M40" s="43" t="n">
        <f aca="false">J40-B$12</f>
        <v>16</v>
      </c>
      <c r="N40" s="44" t="e">
        <f aca="false">IF($L40=0,0,SPRDOPT($B40,$C40,$D40,$H40,$E40,$F40,$G40,$M40,$B$7,0))</f>
        <v>#NAME?</v>
      </c>
      <c r="O40" s="44" t="e">
        <f aca="false">IF($L40=0,0,SPRDOPT($B40,$C40,$D40,$H40,$E40,$F40,$G40,$M40,$B$7,1))</f>
        <v>#NAME?</v>
      </c>
      <c r="Q40" s="9"/>
      <c r="R40" s="9"/>
      <c r="S40" s="39"/>
      <c r="V40" s="33"/>
      <c r="W40" s="45"/>
      <c r="X40" s="45"/>
      <c r="Y40" s="45"/>
      <c r="Z40" s="45"/>
      <c r="AA40" s="45"/>
      <c r="AC40" s="33"/>
      <c r="AD40" s="45"/>
      <c r="AE40" s="45"/>
      <c r="AF40" s="45"/>
      <c r="AG40" s="45"/>
      <c r="AH40" s="45"/>
      <c r="AI40" s="46"/>
      <c r="AJ40" s="45"/>
      <c r="AK40" s="46"/>
      <c r="AL40" s="47"/>
      <c r="AM40" s="47"/>
      <c r="AN40" s="47"/>
    </row>
    <row r="41" customFormat="false" ht="12.75" hidden="false" customHeight="false" outlineLevel="0" collapsed="false">
      <c r="A41" s="39" t="n">
        <f aca="false">A40+1</f>
        <v>17</v>
      </c>
      <c r="B41" s="40" t="n">
        <f aca="false">B$3</f>
        <v>5.2</v>
      </c>
      <c r="C41" s="40" t="n">
        <f aca="false">C$3</f>
        <v>5.1</v>
      </c>
      <c r="D41" s="41" t="n">
        <f aca="false">B$6</f>
        <v>0.11</v>
      </c>
      <c r="E41" s="4" t="n">
        <f aca="false">B$8</f>
        <v>1.3</v>
      </c>
      <c r="F41" s="4" t="n">
        <f aca="false">C$8</f>
        <v>1.12</v>
      </c>
      <c r="G41" s="191" t="n">
        <f aca="false">B$9</f>
        <v>0.99</v>
      </c>
      <c r="H41" s="4" t="n">
        <f aca="false">H40</f>
        <v>0.068146567086238</v>
      </c>
      <c r="I41" s="42" t="n">
        <f aca="false">I40+1</f>
        <v>36847</v>
      </c>
      <c r="J41" s="42" t="n">
        <f aca="false">IF(K41=6,I41-1,IF(K41=7,I41-2,I41))</f>
        <v>36847</v>
      </c>
      <c r="K41" s="43" t="n">
        <f aca="false">WEEKDAY(I41,2)</f>
        <v>5</v>
      </c>
      <c r="L41" s="43" t="n">
        <f aca="false">IF(I41&gt;B$11,0,IF(M41&lt;1,0,1))</f>
        <v>1</v>
      </c>
      <c r="M41" s="43" t="n">
        <f aca="false">J41-B$12</f>
        <v>17</v>
      </c>
      <c r="N41" s="44" t="e">
        <f aca="false">IF($L41=0,0,SPRDOPT($B41,$C41,$D41,$H41,$E41,$F41,$G41,$M41,$B$7,0))</f>
        <v>#NAME?</v>
      </c>
      <c r="O41" s="44" t="e">
        <f aca="false">IF($L41=0,0,SPRDOPT($B41,$C41,$D41,$H41,$E41,$F41,$G41,$M41,$B$7,1))</f>
        <v>#NAME?</v>
      </c>
      <c r="Q41" s="9"/>
      <c r="R41" s="9"/>
      <c r="S41" s="39"/>
      <c r="V41" s="33"/>
      <c r="W41" s="45"/>
      <c r="X41" s="45"/>
      <c r="Y41" s="45"/>
      <c r="Z41" s="45"/>
      <c r="AA41" s="45"/>
      <c r="AC41" s="33"/>
      <c r="AD41" s="45"/>
      <c r="AE41" s="45"/>
      <c r="AF41" s="45"/>
      <c r="AG41" s="45"/>
      <c r="AH41" s="45"/>
      <c r="AI41" s="46"/>
      <c r="AJ41" s="45"/>
      <c r="AK41" s="46"/>
      <c r="AL41" s="47"/>
      <c r="AM41" s="47"/>
      <c r="AN41" s="47"/>
    </row>
    <row r="42" customFormat="false" ht="12.75" hidden="false" customHeight="false" outlineLevel="0" collapsed="false">
      <c r="A42" s="39" t="n">
        <f aca="false">A41+1</f>
        <v>18</v>
      </c>
      <c r="B42" s="40" t="n">
        <f aca="false">B$3</f>
        <v>5.2</v>
      </c>
      <c r="C42" s="40" t="n">
        <f aca="false">C$3</f>
        <v>5.1</v>
      </c>
      <c r="D42" s="41" t="n">
        <f aca="false">B$6</f>
        <v>0.11</v>
      </c>
      <c r="E42" s="4" t="n">
        <f aca="false">B$8</f>
        <v>1.3</v>
      </c>
      <c r="F42" s="4" t="n">
        <f aca="false">C$8</f>
        <v>1.12</v>
      </c>
      <c r="G42" s="191" t="n">
        <f aca="false">B$9</f>
        <v>0.99</v>
      </c>
      <c r="H42" s="4" t="n">
        <f aca="false">H41</f>
        <v>0.068146567086238</v>
      </c>
      <c r="I42" s="42" t="n">
        <f aca="false">I41+1</f>
        <v>36848</v>
      </c>
      <c r="J42" s="42" t="n">
        <f aca="false">IF(K42=6,I42-1,IF(K42=7,I42-2,I42))</f>
        <v>36847</v>
      </c>
      <c r="K42" s="43" t="n">
        <f aca="false">WEEKDAY(I42,2)</f>
        <v>6</v>
      </c>
      <c r="L42" s="43" t="n">
        <f aca="false">IF(I42&gt;B$11,0,IF(M42&lt;1,0,1))</f>
        <v>1</v>
      </c>
      <c r="M42" s="43" t="n">
        <f aca="false">J42-B$12</f>
        <v>17</v>
      </c>
      <c r="N42" s="44" t="e">
        <f aca="false">IF($L42=0,0,SPRDOPT($B42,$C42,$D42,$H42,$E42,$F42,$G42,$M42,$B$7,0))</f>
        <v>#NAME?</v>
      </c>
      <c r="O42" s="44" t="e">
        <f aca="false">IF($L42=0,0,SPRDOPT($B42,$C42,$D42,$H42,$E42,$F42,$G42,$M42,$B$7,1))</f>
        <v>#NAME?</v>
      </c>
      <c r="Q42" s="9"/>
      <c r="R42" s="9"/>
      <c r="S42" s="39"/>
      <c r="V42" s="33"/>
      <c r="W42" s="45"/>
      <c r="X42" s="45"/>
      <c r="Y42" s="45"/>
      <c r="Z42" s="45"/>
      <c r="AA42" s="45"/>
      <c r="AC42" s="33"/>
      <c r="AD42" s="45"/>
      <c r="AE42" s="45"/>
      <c r="AF42" s="45"/>
      <c r="AG42" s="45"/>
      <c r="AH42" s="45"/>
      <c r="AI42" s="46"/>
      <c r="AJ42" s="45"/>
      <c r="AK42" s="46"/>
      <c r="AL42" s="47"/>
      <c r="AM42" s="47"/>
      <c r="AN42" s="47"/>
    </row>
    <row r="43" customFormat="false" ht="12.75" hidden="false" customHeight="false" outlineLevel="0" collapsed="false">
      <c r="A43" s="39" t="n">
        <f aca="false">A42+1</f>
        <v>19</v>
      </c>
      <c r="B43" s="40" t="n">
        <f aca="false">B$3</f>
        <v>5.2</v>
      </c>
      <c r="C43" s="40" t="n">
        <f aca="false">C$3</f>
        <v>5.1</v>
      </c>
      <c r="D43" s="41" t="n">
        <f aca="false">B$6</f>
        <v>0.11</v>
      </c>
      <c r="E43" s="4" t="n">
        <f aca="false">B$8</f>
        <v>1.3</v>
      </c>
      <c r="F43" s="4" t="n">
        <f aca="false">C$8</f>
        <v>1.12</v>
      </c>
      <c r="G43" s="191" t="n">
        <f aca="false">B$9</f>
        <v>0.99</v>
      </c>
      <c r="H43" s="4" t="n">
        <f aca="false">H42</f>
        <v>0.068146567086238</v>
      </c>
      <c r="I43" s="42" t="n">
        <f aca="false">I42+1</f>
        <v>36849</v>
      </c>
      <c r="J43" s="42" t="n">
        <f aca="false">IF(K43=6,I43-1,IF(K43=7,I43-2,I43))</f>
        <v>36847</v>
      </c>
      <c r="K43" s="43" t="n">
        <f aca="false">WEEKDAY(I43,2)</f>
        <v>7</v>
      </c>
      <c r="L43" s="43" t="n">
        <f aca="false">IF(I43&gt;B$11,0,IF(M43&lt;1,0,1))</f>
        <v>1</v>
      </c>
      <c r="M43" s="43" t="n">
        <f aca="false">J43-B$12</f>
        <v>17</v>
      </c>
      <c r="N43" s="44" t="e">
        <f aca="false">IF($L43=0,0,SPRDOPT($B43,$C43,$D43,$H43,$E43,$F43,$G43,$M43,$B$7,0))</f>
        <v>#NAME?</v>
      </c>
      <c r="O43" s="44" t="e">
        <f aca="false">IF($L43=0,0,SPRDOPT($B43,$C43,$D43,$H43,$E43,$F43,$G43,$M43,$B$7,1))</f>
        <v>#NAME?</v>
      </c>
      <c r="Q43" s="9"/>
      <c r="R43" s="9"/>
      <c r="S43" s="39"/>
      <c r="V43" s="33"/>
      <c r="W43" s="45"/>
      <c r="X43" s="45"/>
      <c r="Y43" s="45"/>
      <c r="Z43" s="45"/>
      <c r="AA43" s="45"/>
      <c r="AC43" s="33"/>
      <c r="AD43" s="45"/>
      <c r="AE43" s="45"/>
      <c r="AF43" s="45"/>
      <c r="AG43" s="45"/>
      <c r="AH43" s="45"/>
      <c r="AI43" s="46"/>
      <c r="AJ43" s="45"/>
      <c r="AK43" s="46"/>
      <c r="AL43" s="47"/>
      <c r="AM43" s="47"/>
      <c r="AN43" s="47"/>
    </row>
    <row r="44" customFormat="false" ht="12.75" hidden="false" customHeight="false" outlineLevel="0" collapsed="false">
      <c r="A44" s="39" t="n">
        <f aca="false">A43+1</f>
        <v>20</v>
      </c>
      <c r="B44" s="40" t="n">
        <f aca="false">B$3</f>
        <v>5.2</v>
      </c>
      <c r="C44" s="40" t="n">
        <f aca="false">C$3</f>
        <v>5.1</v>
      </c>
      <c r="D44" s="41" t="n">
        <f aca="false">B$6</f>
        <v>0.11</v>
      </c>
      <c r="E44" s="4" t="n">
        <f aca="false">B$8</f>
        <v>1.3</v>
      </c>
      <c r="F44" s="4" t="n">
        <f aca="false">C$8</f>
        <v>1.12</v>
      </c>
      <c r="G44" s="191" t="n">
        <f aca="false">B$9</f>
        <v>0.99</v>
      </c>
      <c r="H44" s="4" t="n">
        <f aca="false">H43</f>
        <v>0.068146567086238</v>
      </c>
      <c r="I44" s="42" t="n">
        <f aca="false">I43+1</f>
        <v>36850</v>
      </c>
      <c r="J44" s="42" t="n">
        <f aca="false">IF(K44=6,I44-1,IF(K44=7,I44-2,I44))</f>
        <v>36850</v>
      </c>
      <c r="K44" s="43" t="n">
        <f aca="false">WEEKDAY(I44,2)</f>
        <v>1</v>
      </c>
      <c r="L44" s="43" t="n">
        <f aca="false">IF(I44&gt;B$11,0,IF(M44&lt;1,0,1))</f>
        <v>1</v>
      </c>
      <c r="M44" s="43" t="n">
        <f aca="false">J44-B$12</f>
        <v>20</v>
      </c>
      <c r="N44" s="44" t="e">
        <f aca="false">IF($L44=0,0,SPRDOPT($B44,$C44,$D44,$H44,$E44,$F44,$G44,$M44,$B$7,0))</f>
        <v>#NAME?</v>
      </c>
      <c r="O44" s="44" t="e">
        <f aca="false">IF($L44=0,0,SPRDOPT($B44,$C44,$D44,$H44,$E44,$F44,$G44,$M44,$B$7,1))</f>
        <v>#NAME?</v>
      </c>
      <c r="Q44" s="9"/>
      <c r="R44" s="9"/>
      <c r="S44" s="39"/>
      <c r="V44" s="33"/>
      <c r="W44" s="45"/>
      <c r="X44" s="45"/>
      <c r="Y44" s="45"/>
      <c r="Z44" s="45"/>
      <c r="AA44" s="45"/>
      <c r="AC44" s="33"/>
      <c r="AD44" s="45"/>
      <c r="AE44" s="45"/>
      <c r="AF44" s="45"/>
      <c r="AG44" s="45"/>
      <c r="AH44" s="45"/>
      <c r="AI44" s="46"/>
      <c r="AJ44" s="45"/>
      <c r="AK44" s="46"/>
      <c r="AL44" s="47"/>
      <c r="AM44" s="47"/>
      <c r="AN44" s="47"/>
    </row>
    <row r="45" customFormat="false" ht="12.75" hidden="false" customHeight="false" outlineLevel="0" collapsed="false">
      <c r="A45" s="39" t="n">
        <f aca="false">A44+1</f>
        <v>21</v>
      </c>
      <c r="B45" s="40" t="n">
        <f aca="false">B$3</f>
        <v>5.2</v>
      </c>
      <c r="C45" s="40" t="n">
        <f aca="false">C$3</f>
        <v>5.1</v>
      </c>
      <c r="D45" s="41" t="n">
        <f aca="false">B$6</f>
        <v>0.11</v>
      </c>
      <c r="E45" s="4" t="n">
        <f aca="false">B$8</f>
        <v>1.3</v>
      </c>
      <c r="F45" s="4" t="n">
        <f aca="false">C$8</f>
        <v>1.12</v>
      </c>
      <c r="G45" s="191" t="n">
        <f aca="false">B$9</f>
        <v>0.99</v>
      </c>
      <c r="H45" s="4" t="n">
        <f aca="false">H44</f>
        <v>0.068146567086238</v>
      </c>
      <c r="I45" s="42" t="n">
        <f aca="false">I44+1</f>
        <v>36851</v>
      </c>
      <c r="J45" s="42" t="n">
        <f aca="false">IF(K45=6,I45-1,IF(K45=7,I45-2,I45))</f>
        <v>36851</v>
      </c>
      <c r="K45" s="43" t="n">
        <f aca="false">WEEKDAY(I45,2)</f>
        <v>2</v>
      </c>
      <c r="L45" s="43" t="n">
        <f aca="false">IF(I45&gt;B$11,0,IF(M45&lt;1,0,1))</f>
        <v>1</v>
      </c>
      <c r="M45" s="43" t="n">
        <f aca="false">J45-B$12</f>
        <v>21</v>
      </c>
      <c r="N45" s="44" t="e">
        <f aca="false">IF($L45=0,0,SPRDOPT($B45,$C45,$D45,$H45,$E45,$F45,$G45,$M45,$B$7,0))</f>
        <v>#NAME?</v>
      </c>
      <c r="O45" s="44" t="e">
        <f aca="false">IF($L45=0,0,SPRDOPT($B45,$C45,$D45,$H45,$E45,$F45,$G45,$M45,$B$7,1))</f>
        <v>#NAME?</v>
      </c>
      <c r="Q45" s="9"/>
      <c r="R45" s="9"/>
      <c r="S45" s="39"/>
      <c r="V45" s="33"/>
      <c r="W45" s="45"/>
      <c r="X45" s="45"/>
      <c r="Y45" s="45"/>
      <c r="Z45" s="45"/>
      <c r="AA45" s="45"/>
      <c r="AC45" s="33"/>
      <c r="AD45" s="45"/>
      <c r="AE45" s="45"/>
      <c r="AF45" s="45"/>
      <c r="AG45" s="45"/>
      <c r="AH45" s="45"/>
      <c r="AI45" s="46"/>
      <c r="AJ45" s="45"/>
      <c r="AK45" s="46"/>
      <c r="AL45" s="47"/>
      <c r="AM45" s="47"/>
      <c r="AN45" s="47"/>
    </row>
    <row r="46" customFormat="false" ht="12.75" hidden="false" customHeight="false" outlineLevel="0" collapsed="false">
      <c r="A46" s="39" t="n">
        <f aca="false">A45+1</f>
        <v>22</v>
      </c>
      <c r="B46" s="40" t="n">
        <f aca="false">B$3</f>
        <v>5.2</v>
      </c>
      <c r="C46" s="40" t="n">
        <f aca="false">C$3</f>
        <v>5.1</v>
      </c>
      <c r="D46" s="41" t="n">
        <f aca="false">B$6</f>
        <v>0.11</v>
      </c>
      <c r="E46" s="4" t="n">
        <f aca="false">B$8</f>
        <v>1.3</v>
      </c>
      <c r="F46" s="4" t="n">
        <f aca="false">C$8</f>
        <v>1.12</v>
      </c>
      <c r="G46" s="191" t="n">
        <f aca="false">B$9</f>
        <v>0.99</v>
      </c>
      <c r="H46" s="4" t="n">
        <f aca="false">H45</f>
        <v>0.068146567086238</v>
      </c>
      <c r="I46" s="42" t="n">
        <f aca="false">I45+1</f>
        <v>36852</v>
      </c>
      <c r="J46" s="42" t="n">
        <f aca="false">IF(K46=6,I46-1,IF(K46=7,I46-2,I46))</f>
        <v>36852</v>
      </c>
      <c r="K46" s="43" t="n">
        <f aca="false">WEEKDAY(I46,2)</f>
        <v>3</v>
      </c>
      <c r="L46" s="43" t="n">
        <f aca="false">IF(I46&gt;B$11,0,IF(M46&lt;1,0,1))</f>
        <v>1</v>
      </c>
      <c r="M46" s="43" t="n">
        <f aca="false">J46-B$12</f>
        <v>22</v>
      </c>
      <c r="N46" s="44" t="e">
        <f aca="false">IF($L46=0,0,SPRDOPT($B46,$C46,$D46,$H46,$E46,$F46,$G46,$M46,$B$7,0))</f>
        <v>#NAME?</v>
      </c>
      <c r="O46" s="44" t="e">
        <f aca="false">IF($L46=0,0,SPRDOPT($B46,$C46,$D46,$H46,$E46,$F46,$G46,$M46,$B$7,1))</f>
        <v>#NAME?</v>
      </c>
      <c r="Q46" s="9"/>
      <c r="R46" s="9"/>
      <c r="S46" s="39"/>
      <c r="V46" s="33"/>
      <c r="W46" s="45"/>
      <c r="X46" s="45"/>
      <c r="Y46" s="45"/>
      <c r="Z46" s="45"/>
      <c r="AA46" s="45"/>
      <c r="AC46" s="33"/>
      <c r="AD46" s="45"/>
      <c r="AE46" s="45"/>
      <c r="AF46" s="45"/>
      <c r="AG46" s="45"/>
      <c r="AH46" s="45"/>
      <c r="AI46" s="46"/>
      <c r="AJ46" s="45"/>
      <c r="AK46" s="46"/>
      <c r="AL46" s="47"/>
      <c r="AM46" s="47"/>
      <c r="AN46" s="47"/>
    </row>
    <row r="47" customFormat="false" ht="12.75" hidden="false" customHeight="false" outlineLevel="0" collapsed="false">
      <c r="A47" s="39" t="n">
        <f aca="false">A46+1</f>
        <v>23</v>
      </c>
      <c r="B47" s="40" t="n">
        <f aca="false">B$3</f>
        <v>5.2</v>
      </c>
      <c r="C47" s="40" t="n">
        <f aca="false">C$3</f>
        <v>5.1</v>
      </c>
      <c r="D47" s="41" t="n">
        <f aca="false">B$6</f>
        <v>0.11</v>
      </c>
      <c r="E47" s="4" t="n">
        <f aca="false">B$8</f>
        <v>1.3</v>
      </c>
      <c r="F47" s="4" t="n">
        <f aca="false">C$8</f>
        <v>1.12</v>
      </c>
      <c r="G47" s="191" t="n">
        <f aca="false">B$9</f>
        <v>0.99</v>
      </c>
      <c r="H47" s="4" t="n">
        <f aca="false">H46</f>
        <v>0.068146567086238</v>
      </c>
      <c r="I47" s="42" t="n">
        <f aca="false">I46+1</f>
        <v>36853</v>
      </c>
      <c r="J47" s="42" t="n">
        <f aca="false">IF(K47=6,I47-1,IF(K47=7,I47-2,I47))</f>
        <v>36853</v>
      </c>
      <c r="K47" s="43" t="n">
        <f aca="false">WEEKDAY(I47,2)</f>
        <v>4</v>
      </c>
      <c r="L47" s="43" t="n">
        <f aca="false">IF(I47&gt;B$11,0,IF(M47&lt;1,0,1))</f>
        <v>1</v>
      </c>
      <c r="M47" s="43" t="n">
        <f aca="false">J47-B$12</f>
        <v>23</v>
      </c>
      <c r="N47" s="44" t="e">
        <f aca="false">IF($L47=0,0,SPRDOPT($B47,$C47,$D47,$H47,$E47,$F47,$G47,$M47,$B$7,0))</f>
        <v>#NAME?</v>
      </c>
      <c r="O47" s="44" t="e">
        <f aca="false">IF($L47=0,0,SPRDOPT($B47,$C47,$D47,$H47,$E47,$F47,$G47,$M47,$B$7,1))</f>
        <v>#NAME?</v>
      </c>
      <c r="Q47" s="9"/>
      <c r="R47" s="9"/>
      <c r="S47" s="39"/>
      <c r="V47" s="33"/>
      <c r="W47" s="45"/>
      <c r="X47" s="45"/>
      <c r="Y47" s="45"/>
      <c r="Z47" s="45"/>
      <c r="AA47" s="45"/>
      <c r="AC47" s="33"/>
      <c r="AD47" s="45"/>
      <c r="AE47" s="45"/>
      <c r="AF47" s="45"/>
      <c r="AG47" s="45"/>
      <c r="AH47" s="45"/>
      <c r="AI47" s="46"/>
      <c r="AJ47" s="45"/>
      <c r="AK47" s="46"/>
      <c r="AL47" s="47"/>
      <c r="AM47" s="47"/>
      <c r="AN47" s="47"/>
    </row>
    <row r="48" customFormat="false" ht="12.75" hidden="false" customHeight="false" outlineLevel="0" collapsed="false">
      <c r="A48" s="39" t="n">
        <f aca="false">A47+1</f>
        <v>24</v>
      </c>
      <c r="B48" s="40" t="n">
        <f aca="false">B$3</f>
        <v>5.2</v>
      </c>
      <c r="C48" s="40" t="n">
        <f aca="false">C$3</f>
        <v>5.1</v>
      </c>
      <c r="D48" s="41" t="n">
        <f aca="false">B$6</f>
        <v>0.11</v>
      </c>
      <c r="E48" s="4" t="n">
        <f aca="false">B$8</f>
        <v>1.3</v>
      </c>
      <c r="F48" s="4" t="n">
        <f aca="false">C$8</f>
        <v>1.12</v>
      </c>
      <c r="G48" s="191" t="n">
        <f aca="false">B$9</f>
        <v>0.99</v>
      </c>
      <c r="H48" s="4" t="n">
        <f aca="false">H47</f>
        <v>0.068146567086238</v>
      </c>
      <c r="I48" s="42" t="n">
        <f aca="false">I47+1</f>
        <v>36854</v>
      </c>
      <c r="J48" s="42" t="n">
        <f aca="false">IF(K48=6,I48-1,IF(K48=7,I48-2,I48))</f>
        <v>36854</v>
      </c>
      <c r="K48" s="43" t="n">
        <f aca="false">WEEKDAY(I48,2)</f>
        <v>5</v>
      </c>
      <c r="L48" s="43" t="n">
        <f aca="false">IF(I48&gt;B$11,0,IF(M48&lt;1,0,1))</f>
        <v>1</v>
      </c>
      <c r="M48" s="43" t="n">
        <f aca="false">J48-B$12</f>
        <v>24</v>
      </c>
      <c r="N48" s="44" t="e">
        <f aca="false">IF($L48=0,0,SPRDOPT($B48,$C48,$D48,$H48,$E48,$F48,$G48,$M48,$B$7,0))</f>
        <v>#NAME?</v>
      </c>
      <c r="O48" s="44" t="e">
        <f aca="false">IF($L48=0,0,SPRDOPT($B48,$C48,$D48,$H48,$E48,$F48,$G48,$M48,$B$7,1))</f>
        <v>#NAME?</v>
      </c>
      <c r="Q48" s="9"/>
      <c r="R48" s="9"/>
      <c r="S48" s="39"/>
      <c r="V48" s="33"/>
      <c r="W48" s="45"/>
      <c r="X48" s="45"/>
      <c r="Y48" s="45"/>
      <c r="Z48" s="45"/>
      <c r="AA48" s="45"/>
      <c r="AC48" s="33"/>
      <c r="AD48" s="45"/>
      <c r="AE48" s="45"/>
      <c r="AF48" s="45"/>
      <c r="AG48" s="45"/>
      <c r="AH48" s="45"/>
      <c r="AI48" s="46"/>
      <c r="AJ48" s="45"/>
      <c r="AK48" s="46"/>
      <c r="AL48" s="47"/>
      <c r="AM48" s="47"/>
      <c r="AN48" s="47"/>
    </row>
    <row r="49" customFormat="false" ht="12.75" hidden="false" customHeight="false" outlineLevel="0" collapsed="false">
      <c r="A49" s="39" t="n">
        <f aca="false">A48+1</f>
        <v>25</v>
      </c>
      <c r="B49" s="40" t="n">
        <f aca="false">B$3</f>
        <v>5.2</v>
      </c>
      <c r="C49" s="40" t="n">
        <f aca="false">C$3</f>
        <v>5.1</v>
      </c>
      <c r="D49" s="41" t="n">
        <f aca="false">B$6</f>
        <v>0.11</v>
      </c>
      <c r="E49" s="4" t="n">
        <f aca="false">B$8</f>
        <v>1.3</v>
      </c>
      <c r="F49" s="4" t="n">
        <f aca="false">C$8</f>
        <v>1.12</v>
      </c>
      <c r="G49" s="191" t="n">
        <f aca="false">B$9</f>
        <v>0.99</v>
      </c>
      <c r="H49" s="4" t="n">
        <f aca="false">H48</f>
        <v>0.068146567086238</v>
      </c>
      <c r="I49" s="42" t="n">
        <f aca="false">I48+1</f>
        <v>36855</v>
      </c>
      <c r="J49" s="42" t="n">
        <f aca="false">IF(K49=6,I49-1,IF(K49=7,I49-2,I49))</f>
        <v>36854</v>
      </c>
      <c r="K49" s="43" t="n">
        <f aca="false">WEEKDAY(I49,2)</f>
        <v>6</v>
      </c>
      <c r="L49" s="43" t="n">
        <f aca="false">IF(I49&gt;B$11,0,IF(M49&lt;1,0,1))</f>
        <v>1</v>
      </c>
      <c r="M49" s="43" t="n">
        <f aca="false">J49-B$12</f>
        <v>24</v>
      </c>
      <c r="N49" s="44" t="e">
        <f aca="false">IF($L49=0,0,SPRDOPT($B49,$C49,$D49,$H49,$E49,$F49,$G49,$M49,$B$7,0))</f>
        <v>#NAME?</v>
      </c>
      <c r="O49" s="44" t="e">
        <f aca="false">IF($L49=0,0,SPRDOPT($B49,$C49,$D49,$H49,$E49,$F49,$G49,$M49,$B$7,1))</f>
        <v>#NAME?</v>
      </c>
      <c r="Q49" s="9"/>
      <c r="R49" s="9"/>
      <c r="S49" s="39"/>
      <c r="V49" s="33"/>
      <c r="W49" s="45"/>
      <c r="X49" s="45"/>
      <c r="Y49" s="45"/>
      <c r="Z49" s="45"/>
      <c r="AA49" s="45"/>
      <c r="AC49" s="33"/>
      <c r="AD49" s="45"/>
      <c r="AE49" s="45"/>
      <c r="AF49" s="45"/>
      <c r="AG49" s="45"/>
      <c r="AH49" s="45"/>
      <c r="AI49" s="46"/>
      <c r="AJ49" s="45"/>
      <c r="AK49" s="46"/>
      <c r="AL49" s="47"/>
      <c r="AM49" s="47"/>
      <c r="AN49" s="47"/>
    </row>
    <row r="50" customFormat="false" ht="12.75" hidden="false" customHeight="false" outlineLevel="0" collapsed="false">
      <c r="A50" s="39" t="n">
        <f aca="false">A49+1</f>
        <v>26</v>
      </c>
      <c r="B50" s="40" t="n">
        <f aca="false">B$3</f>
        <v>5.2</v>
      </c>
      <c r="C50" s="40" t="n">
        <f aca="false">C$3</f>
        <v>5.1</v>
      </c>
      <c r="D50" s="41" t="n">
        <f aca="false">B$6</f>
        <v>0.11</v>
      </c>
      <c r="E50" s="4" t="n">
        <f aca="false">B$8</f>
        <v>1.3</v>
      </c>
      <c r="F50" s="4" t="n">
        <f aca="false">C$8</f>
        <v>1.12</v>
      </c>
      <c r="G50" s="191" t="n">
        <f aca="false">B$9</f>
        <v>0.99</v>
      </c>
      <c r="H50" s="4" t="n">
        <f aca="false">H49</f>
        <v>0.068146567086238</v>
      </c>
      <c r="I50" s="42" t="n">
        <f aca="false">I49+1</f>
        <v>36856</v>
      </c>
      <c r="J50" s="42" t="n">
        <f aca="false">IF(K50=6,I50-1,IF(K50=7,I50-2,I50))</f>
        <v>36854</v>
      </c>
      <c r="K50" s="43" t="n">
        <f aca="false">WEEKDAY(I50,2)</f>
        <v>7</v>
      </c>
      <c r="L50" s="43" t="n">
        <f aca="false">IF(I50&gt;B$11,0,IF(M50&lt;1,0,1))</f>
        <v>1</v>
      </c>
      <c r="M50" s="43" t="n">
        <f aca="false">J50-B$12</f>
        <v>24</v>
      </c>
      <c r="N50" s="44" t="e">
        <f aca="false">IF($L50=0,0,SPRDOPT($B50,$C50,$D50,$H50,$E50,$F50,$G50,$M50,$B$7,0))</f>
        <v>#NAME?</v>
      </c>
      <c r="O50" s="44" t="e">
        <f aca="false">IF($L50=0,0,SPRDOPT($B50,$C50,$D50,$H50,$E50,$F50,$G50,$M50,$B$7,1))</f>
        <v>#NAME?</v>
      </c>
      <c r="Q50" s="9"/>
      <c r="R50" s="9"/>
      <c r="S50" s="39"/>
      <c r="V50" s="33"/>
      <c r="W50" s="45"/>
      <c r="X50" s="45"/>
      <c r="Y50" s="45"/>
      <c r="Z50" s="45"/>
      <c r="AA50" s="45"/>
      <c r="AC50" s="33"/>
      <c r="AD50" s="45"/>
      <c r="AE50" s="45"/>
      <c r="AF50" s="45"/>
      <c r="AG50" s="45"/>
      <c r="AH50" s="45"/>
      <c r="AI50" s="46"/>
      <c r="AJ50" s="45"/>
      <c r="AK50" s="46"/>
      <c r="AL50" s="47"/>
      <c r="AM50" s="47"/>
      <c r="AN50" s="47"/>
    </row>
    <row r="51" customFormat="false" ht="12.75" hidden="false" customHeight="false" outlineLevel="0" collapsed="false">
      <c r="A51" s="39" t="n">
        <f aca="false">A50+1</f>
        <v>27</v>
      </c>
      <c r="B51" s="40" t="n">
        <f aca="false">B$3</f>
        <v>5.2</v>
      </c>
      <c r="C51" s="40" t="n">
        <f aca="false">C$3</f>
        <v>5.1</v>
      </c>
      <c r="D51" s="41" t="n">
        <f aca="false">B$6</f>
        <v>0.11</v>
      </c>
      <c r="E51" s="4" t="n">
        <f aca="false">B$8</f>
        <v>1.3</v>
      </c>
      <c r="F51" s="4" t="n">
        <f aca="false">C$8</f>
        <v>1.12</v>
      </c>
      <c r="G51" s="191" t="n">
        <f aca="false">B$9</f>
        <v>0.99</v>
      </c>
      <c r="H51" s="4" t="n">
        <f aca="false">H50</f>
        <v>0.068146567086238</v>
      </c>
      <c r="I51" s="42" t="n">
        <f aca="false">I50+1</f>
        <v>36857</v>
      </c>
      <c r="J51" s="42" t="n">
        <f aca="false">IF(K51=6,I51-1,IF(K51=7,I51-2,I51))</f>
        <v>36857</v>
      </c>
      <c r="K51" s="43" t="n">
        <f aca="false">WEEKDAY(I51,2)</f>
        <v>1</v>
      </c>
      <c r="L51" s="43" t="n">
        <f aca="false">IF(I51&gt;B$11,0,IF(M51&lt;1,0,1))</f>
        <v>1</v>
      </c>
      <c r="M51" s="43" t="n">
        <f aca="false">J51-B$12</f>
        <v>27</v>
      </c>
      <c r="N51" s="44" t="e">
        <f aca="false">IF($L51=0,0,SPRDOPT($B51,$C51,$D51,$H51,$E51,$F51,$G51,$M51,$B$7,0))</f>
        <v>#NAME?</v>
      </c>
      <c r="O51" s="44" t="e">
        <f aca="false">IF($L51=0,0,SPRDOPT($B51,$C51,$D51,$H51,$E51,$F51,$G51,$M51,$B$7,1))</f>
        <v>#NAME?</v>
      </c>
      <c r="Q51" s="9"/>
      <c r="R51" s="9"/>
      <c r="S51" s="39"/>
      <c r="V51" s="33"/>
      <c r="W51" s="45"/>
      <c r="X51" s="45"/>
      <c r="Y51" s="45"/>
      <c r="Z51" s="45"/>
      <c r="AA51" s="45"/>
      <c r="AC51" s="33"/>
      <c r="AD51" s="45"/>
      <c r="AE51" s="45"/>
      <c r="AF51" s="45"/>
      <c r="AG51" s="45"/>
      <c r="AH51" s="45"/>
      <c r="AI51" s="46"/>
      <c r="AJ51" s="45"/>
      <c r="AK51" s="46"/>
      <c r="AL51" s="47"/>
      <c r="AM51" s="47"/>
      <c r="AN51" s="47"/>
    </row>
    <row r="52" customFormat="false" ht="12.75" hidden="false" customHeight="false" outlineLevel="0" collapsed="false">
      <c r="A52" s="39" t="n">
        <f aca="false">A51+1</f>
        <v>28</v>
      </c>
      <c r="B52" s="40" t="n">
        <f aca="false">B$3</f>
        <v>5.2</v>
      </c>
      <c r="C52" s="40" t="n">
        <f aca="false">C$3</f>
        <v>5.1</v>
      </c>
      <c r="D52" s="41" t="n">
        <f aca="false">B$6</f>
        <v>0.11</v>
      </c>
      <c r="E52" s="4" t="n">
        <f aca="false">B$8</f>
        <v>1.3</v>
      </c>
      <c r="F52" s="4" t="n">
        <f aca="false">C$8</f>
        <v>1.12</v>
      </c>
      <c r="G52" s="191" t="n">
        <f aca="false">B$9</f>
        <v>0.99</v>
      </c>
      <c r="H52" s="4" t="n">
        <f aca="false">H51</f>
        <v>0.068146567086238</v>
      </c>
      <c r="I52" s="42" t="n">
        <f aca="false">I51+1</f>
        <v>36858</v>
      </c>
      <c r="J52" s="42" t="n">
        <f aca="false">IF(K52=6,I52-1,IF(K52=7,I52-2,I52))</f>
        <v>36858</v>
      </c>
      <c r="K52" s="43" t="n">
        <f aca="false">WEEKDAY(I52,2)</f>
        <v>2</v>
      </c>
      <c r="L52" s="43" t="n">
        <f aca="false">IF(I52&gt;B$11,0,IF(M52&lt;1,0,1))</f>
        <v>1</v>
      </c>
      <c r="M52" s="43" t="n">
        <f aca="false">J52-B$12</f>
        <v>28</v>
      </c>
      <c r="N52" s="44" t="e">
        <f aca="false">IF($L52=0,0,SPRDOPT($B52,$C52,$D52,$H52,$E52,$F52,$G52,$M52,$B$7,0))</f>
        <v>#NAME?</v>
      </c>
      <c r="O52" s="44" t="e">
        <f aca="false">IF($L52=0,0,SPRDOPT($B52,$C52,$D52,$H52,$E52,$F52,$G52,$M52,$B$7,1))</f>
        <v>#NAME?</v>
      </c>
      <c r="Q52" s="9"/>
      <c r="R52" s="9"/>
      <c r="S52" s="39"/>
      <c r="V52" s="33"/>
      <c r="W52" s="45"/>
      <c r="X52" s="45"/>
      <c r="Y52" s="45"/>
      <c r="Z52" s="45"/>
      <c r="AA52" s="45"/>
      <c r="AC52" s="33"/>
      <c r="AD52" s="45"/>
      <c r="AE52" s="45"/>
      <c r="AF52" s="45"/>
      <c r="AG52" s="45"/>
      <c r="AH52" s="45"/>
      <c r="AI52" s="46"/>
      <c r="AJ52" s="45"/>
      <c r="AK52" s="46"/>
      <c r="AL52" s="47"/>
      <c r="AM52" s="47"/>
      <c r="AN52" s="47"/>
    </row>
    <row r="53" customFormat="false" ht="12.75" hidden="false" customHeight="false" outlineLevel="0" collapsed="false">
      <c r="A53" s="39" t="n">
        <f aca="false">A52+1</f>
        <v>29</v>
      </c>
      <c r="B53" s="40" t="n">
        <f aca="false">B$3</f>
        <v>5.2</v>
      </c>
      <c r="C53" s="40" t="n">
        <f aca="false">C$3</f>
        <v>5.1</v>
      </c>
      <c r="D53" s="41" t="n">
        <f aca="false">B$6</f>
        <v>0.11</v>
      </c>
      <c r="E53" s="4" t="n">
        <f aca="false">B$8</f>
        <v>1.3</v>
      </c>
      <c r="F53" s="4" t="n">
        <f aca="false">C$8</f>
        <v>1.12</v>
      </c>
      <c r="G53" s="191" t="n">
        <f aca="false">B$9</f>
        <v>0.99</v>
      </c>
      <c r="H53" s="4" t="n">
        <f aca="false">H52</f>
        <v>0.068146567086238</v>
      </c>
      <c r="I53" s="42" t="n">
        <f aca="false">I52+1</f>
        <v>36859</v>
      </c>
      <c r="J53" s="42" t="n">
        <f aca="false">IF(K53=6,I53-1,IF(K53=7,I53-2,I53))</f>
        <v>36859</v>
      </c>
      <c r="K53" s="43" t="n">
        <f aca="false">WEEKDAY(I53,2)</f>
        <v>3</v>
      </c>
      <c r="L53" s="43" t="n">
        <f aca="false">IF(I53&gt;B$11,0,IF(M53&lt;1,0,1))</f>
        <v>1</v>
      </c>
      <c r="M53" s="43" t="n">
        <f aca="false">J53-B$12</f>
        <v>29</v>
      </c>
      <c r="N53" s="44" t="e">
        <f aca="false">IF($L53=0,0,SPRDOPT($B53,$C53,$D53,$H53,$E53,$F53,$G53,$M53,$B$7,0))</f>
        <v>#NAME?</v>
      </c>
      <c r="O53" s="44" t="e">
        <f aca="false">IF($L53=0,0,SPRDOPT($B53,$C53,$D53,$H53,$E53,$F53,$G53,$M53,$B$7,1))</f>
        <v>#NAME?</v>
      </c>
      <c r="Q53" s="9"/>
      <c r="R53" s="9"/>
      <c r="S53" s="39"/>
      <c r="V53" s="33"/>
      <c r="W53" s="45"/>
      <c r="X53" s="45"/>
      <c r="Y53" s="45"/>
      <c r="Z53" s="45"/>
      <c r="AA53" s="45"/>
      <c r="AC53" s="33"/>
      <c r="AD53" s="45"/>
      <c r="AE53" s="45"/>
      <c r="AF53" s="45"/>
      <c r="AG53" s="45"/>
      <c r="AH53" s="45"/>
      <c r="AI53" s="46"/>
      <c r="AJ53" s="45"/>
      <c r="AK53" s="46"/>
      <c r="AL53" s="47"/>
      <c r="AM53" s="47"/>
      <c r="AN53" s="47"/>
    </row>
    <row r="54" customFormat="false" ht="12.75" hidden="false" customHeight="false" outlineLevel="0" collapsed="false">
      <c r="A54" s="39" t="n">
        <f aca="false">A53+1</f>
        <v>30</v>
      </c>
      <c r="B54" s="40" t="n">
        <f aca="false">B$3</f>
        <v>5.2</v>
      </c>
      <c r="C54" s="40" t="n">
        <f aca="false">C$3</f>
        <v>5.1</v>
      </c>
      <c r="D54" s="41" t="n">
        <f aca="false">B$6</f>
        <v>0.11</v>
      </c>
      <c r="E54" s="4" t="n">
        <f aca="false">B$8</f>
        <v>1.3</v>
      </c>
      <c r="F54" s="4" t="n">
        <f aca="false">C$8</f>
        <v>1.12</v>
      </c>
      <c r="G54" s="191" t="n">
        <f aca="false">B$9</f>
        <v>0.99</v>
      </c>
      <c r="H54" s="4" t="n">
        <f aca="false">H53</f>
        <v>0.068146567086238</v>
      </c>
      <c r="I54" s="42" t="n">
        <f aca="false">I53+1</f>
        <v>36860</v>
      </c>
      <c r="J54" s="42" t="n">
        <f aca="false">IF(K54=6,I54-1,IF(K54=7,I54-2,I54))</f>
        <v>36860</v>
      </c>
      <c r="K54" s="43" t="n">
        <f aca="false">WEEKDAY(I54,2)</f>
        <v>4</v>
      </c>
      <c r="L54" s="43" t="n">
        <f aca="false">IF(I54&gt;B$11,0,IF(M54&lt;1,0,1))</f>
        <v>1</v>
      </c>
      <c r="M54" s="43" t="n">
        <f aca="false">J54-B$12</f>
        <v>30</v>
      </c>
      <c r="N54" s="44" t="e">
        <f aca="false">IF($L54=0,0,SPRDOPT($B54,$C54,$D54,$H54,$E54,$F54,$G54,$M54,$B$7,0))</f>
        <v>#NAME?</v>
      </c>
      <c r="O54" s="44" t="e">
        <f aca="false">IF($L54=0,0,SPRDOPT($B54,$C54,$D54,$H54,$E54,$F54,$G54,$M54,$B$7,1))</f>
        <v>#NAME?</v>
      </c>
      <c r="Q54" s="9"/>
      <c r="R54" s="9"/>
      <c r="S54" s="39"/>
      <c r="V54" s="33"/>
      <c r="W54" s="45"/>
      <c r="X54" s="45"/>
      <c r="Y54" s="45"/>
      <c r="Z54" s="45"/>
      <c r="AA54" s="45"/>
      <c r="AC54" s="33"/>
      <c r="AD54" s="45"/>
      <c r="AE54" s="45"/>
      <c r="AF54" s="45"/>
      <c r="AG54" s="45"/>
      <c r="AH54" s="45"/>
      <c r="AI54" s="46"/>
      <c r="AJ54" s="45"/>
      <c r="AK54" s="46"/>
      <c r="AL54" s="47"/>
      <c r="AM54" s="47"/>
      <c r="AN54" s="47"/>
    </row>
    <row r="55" customFormat="false" ht="12.75" hidden="false" customHeight="false" outlineLevel="0" collapsed="false">
      <c r="A55" s="39" t="n">
        <f aca="false">A54+1</f>
        <v>31</v>
      </c>
      <c r="B55" s="40" t="n">
        <f aca="false">B$3</f>
        <v>5.2</v>
      </c>
      <c r="C55" s="40" t="n">
        <f aca="false">C$3</f>
        <v>5.1</v>
      </c>
      <c r="D55" s="41" t="n">
        <f aca="false">B$6</f>
        <v>0.11</v>
      </c>
      <c r="E55" s="4" t="n">
        <f aca="false">B$8</f>
        <v>1.3</v>
      </c>
      <c r="F55" s="4" t="n">
        <f aca="false">C$8</f>
        <v>1.12</v>
      </c>
      <c r="G55" s="191" t="n">
        <f aca="false">B$9</f>
        <v>0.99</v>
      </c>
      <c r="H55" s="4" t="n">
        <f aca="false">H54</f>
        <v>0.068146567086238</v>
      </c>
      <c r="I55" s="42" t="n">
        <f aca="false">I54+1</f>
        <v>36861</v>
      </c>
      <c r="J55" s="42" t="n">
        <f aca="false">IF(K55=6,I55-1,IF(K55=7,I55-2,I55))</f>
        <v>36861</v>
      </c>
      <c r="K55" s="43" t="n">
        <f aca="false">WEEKDAY(I55,2)</f>
        <v>5</v>
      </c>
      <c r="L55" s="43" t="n">
        <f aca="false">IF(I55&gt;B$11,0,IF(M55&lt;1,0,1))</f>
        <v>0</v>
      </c>
      <c r="M55" s="43" t="n">
        <f aca="false">J55-B$12</f>
        <v>31</v>
      </c>
      <c r="N55" s="44" t="n">
        <f aca="false">IF($L55=0,0,SPRDOPT($B55,$C55,$D55,$H55,$E55,$F55,$G55,$M55,$B$7,0))</f>
        <v>0</v>
      </c>
      <c r="O55" s="44" t="n">
        <f aca="false">IF($L55=0,0,SPRDOPT($B55,$C55,$D55,$H55,$E55,$F55,$G55,$M55,$B$7,1))</f>
        <v>0</v>
      </c>
      <c r="Q55" s="9"/>
      <c r="R55" s="9"/>
      <c r="S55" s="39"/>
      <c r="V55" s="33"/>
      <c r="W55" s="45"/>
      <c r="X55" s="45"/>
      <c r="Y55" s="45"/>
      <c r="Z55" s="45"/>
      <c r="AA55" s="45"/>
      <c r="AC55" s="33"/>
      <c r="AD55" s="45"/>
      <c r="AE55" s="45"/>
      <c r="AF55" s="45"/>
      <c r="AG55" s="45"/>
      <c r="AH55" s="45"/>
      <c r="AI55" s="46"/>
      <c r="AJ55" s="45"/>
      <c r="AK55" s="46"/>
      <c r="AL55" s="47"/>
      <c r="AM55" s="47"/>
      <c r="AN55" s="47"/>
    </row>
    <row r="56" customFormat="false" ht="12.75" hidden="false" customHeight="false" outlineLevel="0" collapsed="false">
      <c r="A56" s="48" t="n">
        <f aca="false">DATE(YEAR(A55),MONTH(A55)+1,1)</f>
        <v>33</v>
      </c>
      <c r="B56" s="49"/>
      <c r="C56" s="50"/>
      <c r="E56" s="46"/>
      <c r="F56" s="46"/>
      <c r="G56" s="46"/>
      <c r="H56" s="10"/>
      <c r="I56" s="10"/>
      <c r="J56" s="10"/>
      <c r="K56" s="10"/>
      <c r="L56" s="10"/>
      <c r="M56" s="10"/>
      <c r="N56" s="10"/>
      <c r="O56" s="10"/>
      <c r="P56" s="10"/>
      <c r="Q56" s="11"/>
      <c r="R56" s="10"/>
      <c r="S56" s="11"/>
      <c r="T56" s="10"/>
    </row>
    <row r="57" customFormat="false" ht="12.75" hidden="false" customHeight="false" outlineLevel="0" collapsed="false">
      <c r="A57" s="51"/>
      <c r="B57" s="49"/>
      <c r="C57" s="50"/>
      <c r="E57" s="46"/>
      <c r="F57" s="46"/>
      <c r="G57" s="46"/>
      <c r="H57" s="10"/>
      <c r="I57" s="10"/>
      <c r="J57" s="10"/>
      <c r="K57" s="10"/>
      <c r="L57" s="10"/>
      <c r="M57" s="10"/>
      <c r="N57" s="10"/>
      <c r="O57" s="10"/>
      <c r="P57" s="10"/>
      <c r="Q57" s="11"/>
      <c r="R57" s="10"/>
      <c r="S57" s="11"/>
      <c r="T57" s="10"/>
    </row>
    <row r="58" customFormat="false" ht="12.75" hidden="false" customHeight="false" outlineLevel="0" collapsed="false">
      <c r="A58" s="51"/>
      <c r="B58" s="49"/>
      <c r="C58" s="50"/>
      <c r="E58" s="46"/>
      <c r="F58" s="46"/>
      <c r="G58" s="46"/>
      <c r="H58" s="10"/>
      <c r="I58" s="10"/>
      <c r="J58" s="10"/>
      <c r="K58" s="10"/>
      <c r="L58" s="10"/>
      <c r="M58" s="10"/>
      <c r="N58" s="10"/>
      <c r="O58" s="10"/>
      <c r="P58" s="10"/>
      <c r="Q58" s="11"/>
      <c r="R58" s="10"/>
      <c r="S58" s="11"/>
      <c r="T58" s="10"/>
    </row>
    <row r="59" customFormat="false" ht="12.75" hidden="false" customHeight="false" outlineLevel="0" collapsed="false">
      <c r="A59" s="51"/>
      <c r="B59" s="49"/>
      <c r="C59" s="50"/>
      <c r="E59" s="46"/>
      <c r="F59" s="46"/>
      <c r="G59" s="46"/>
      <c r="H59" s="10"/>
      <c r="I59" s="10"/>
      <c r="J59" s="10"/>
      <c r="K59" s="10"/>
      <c r="L59" s="10"/>
      <c r="M59" s="10"/>
      <c r="N59" s="10"/>
      <c r="O59" s="10"/>
      <c r="P59" s="10"/>
      <c r="Q59" s="11"/>
      <c r="R59" s="10"/>
      <c r="S59" s="11"/>
      <c r="T59" s="10"/>
    </row>
    <row r="60" customFormat="false" ht="12.75" hidden="false" customHeight="false" outlineLevel="0" collapsed="false">
      <c r="A60" s="51"/>
      <c r="B60" s="49"/>
      <c r="C60" s="50"/>
      <c r="E60" s="46"/>
      <c r="F60" s="46"/>
      <c r="G60" s="46"/>
      <c r="H60" s="10"/>
      <c r="I60" s="10"/>
      <c r="J60" s="10"/>
      <c r="K60" s="10"/>
      <c r="L60" s="10"/>
      <c r="M60" s="10"/>
      <c r="N60" s="10"/>
      <c r="O60" s="10"/>
      <c r="P60" s="10"/>
      <c r="Q60" s="11"/>
      <c r="R60" s="10"/>
      <c r="S60" s="11"/>
      <c r="T60" s="10"/>
    </row>
    <row r="61" customFormat="false" ht="12.75" hidden="false" customHeight="false" outlineLevel="0" collapsed="false">
      <c r="A61" s="51"/>
      <c r="B61" s="49"/>
      <c r="C61" s="50"/>
      <c r="E61" s="46"/>
      <c r="F61" s="46"/>
      <c r="G61" s="46"/>
      <c r="H61" s="10"/>
      <c r="I61" s="10"/>
      <c r="J61" s="10"/>
      <c r="K61" s="10"/>
      <c r="L61" s="10"/>
      <c r="M61" s="10"/>
      <c r="N61" s="10"/>
      <c r="O61" s="10"/>
      <c r="P61" s="10"/>
      <c r="Q61" s="11"/>
      <c r="R61" s="10"/>
      <c r="S61" s="11"/>
      <c r="T61" s="10"/>
    </row>
    <row r="62" customFormat="false" ht="12.75" hidden="false" customHeight="false" outlineLevel="0" collapsed="false">
      <c r="A62" s="51"/>
      <c r="B62" s="49"/>
      <c r="C62" s="50"/>
      <c r="E62" s="46"/>
      <c r="F62" s="46"/>
      <c r="G62" s="46"/>
      <c r="H62" s="10"/>
      <c r="I62" s="10"/>
      <c r="J62" s="10"/>
      <c r="K62" s="10"/>
      <c r="L62" s="10"/>
      <c r="M62" s="10"/>
      <c r="N62" s="10"/>
      <c r="O62" s="10"/>
      <c r="P62" s="10"/>
      <c r="Q62" s="11"/>
      <c r="R62" s="10"/>
      <c r="S62" s="11"/>
      <c r="T62" s="10"/>
    </row>
    <row r="63" customFormat="false" ht="12.75" hidden="false" customHeight="false" outlineLevel="0" collapsed="false">
      <c r="A63" s="51"/>
      <c r="B63" s="49"/>
      <c r="C63" s="50"/>
      <c r="E63" s="46"/>
      <c r="F63" s="46"/>
      <c r="G63" s="46"/>
      <c r="H63" s="10"/>
      <c r="I63" s="10"/>
      <c r="J63" s="10"/>
      <c r="K63" s="10"/>
      <c r="L63" s="10"/>
      <c r="M63" s="10"/>
      <c r="N63" s="10"/>
      <c r="O63" s="10"/>
      <c r="P63" s="10"/>
      <c r="Q63" s="11"/>
      <c r="R63" s="10"/>
      <c r="S63" s="11"/>
      <c r="T63" s="10"/>
    </row>
    <row r="64" customFormat="false" ht="12.75" hidden="false" customHeight="false" outlineLevel="0" collapsed="false">
      <c r="A64" s="51"/>
      <c r="B64" s="49"/>
      <c r="C64" s="50"/>
      <c r="E64" s="46"/>
      <c r="F64" s="46"/>
      <c r="G64" s="46"/>
      <c r="H64" s="10"/>
      <c r="I64" s="10"/>
      <c r="J64" s="10"/>
      <c r="K64" s="10"/>
      <c r="L64" s="10"/>
      <c r="M64" s="10"/>
      <c r="N64" s="10"/>
      <c r="O64" s="10"/>
      <c r="P64" s="10"/>
      <c r="Q64" s="11"/>
      <c r="R64" s="10"/>
      <c r="S64" s="11"/>
      <c r="T64" s="10"/>
    </row>
    <row r="65" customFormat="false" ht="12.75" hidden="false" customHeight="false" outlineLevel="0" collapsed="false">
      <c r="A65" s="51"/>
      <c r="B65" s="49"/>
      <c r="C65" s="50"/>
      <c r="E65" s="46"/>
      <c r="F65" s="46"/>
      <c r="G65" s="46"/>
      <c r="H65" s="10"/>
      <c r="I65" s="10"/>
      <c r="J65" s="10"/>
      <c r="K65" s="10"/>
      <c r="L65" s="10"/>
      <c r="M65" s="10"/>
      <c r="N65" s="10"/>
      <c r="O65" s="10"/>
      <c r="P65" s="10"/>
      <c r="Q65" s="11"/>
      <c r="R65" s="10"/>
      <c r="S65" s="11"/>
      <c r="T65" s="10"/>
    </row>
    <row r="66" customFormat="false" ht="12.75" hidden="false" customHeight="false" outlineLevel="0" collapsed="false">
      <c r="A66" s="51"/>
      <c r="B66" s="49"/>
      <c r="C66" s="50"/>
      <c r="E66" s="46"/>
      <c r="F66" s="46"/>
      <c r="G66" s="46"/>
      <c r="H66" s="10"/>
      <c r="I66" s="10"/>
      <c r="J66" s="10"/>
      <c r="K66" s="10"/>
      <c r="L66" s="10"/>
      <c r="M66" s="10"/>
      <c r="N66" s="10"/>
      <c r="O66" s="10"/>
      <c r="P66" s="10"/>
      <c r="Q66" s="11"/>
      <c r="R66" s="10"/>
      <c r="S66" s="11"/>
      <c r="T66" s="10"/>
    </row>
    <row r="67" customFormat="false" ht="12.75" hidden="false" customHeight="false" outlineLevel="0" collapsed="false">
      <c r="A67" s="52"/>
      <c r="E67" s="22"/>
      <c r="F67" s="22"/>
      <c r="G67" s="22"/>
      <c r="H67" s="10"/>
      <c r="I67" s="10"/>
      <c r="J67" s="10"/>
      <c r="K67" s="10"/>
      <c r="L67" s="10"/>
      <c r="M67" s="10"/>
      <c r="N67" s="10"/>
      <c r="O67" s="10"/>
      <c r="P67" s="10"/>
      <c r="Q67" s="11"/>
      <c r="R67" s="10"/>
      <c r="S67" s="11"/>
      <c r="T67" s="10"/>
    </row>
    <row r="68" customFormat="false" ht="12.75" hidden="false" customHeight="false" outlineLevel="0" collapsed="false">
      <c r="A68" s="51"/>
      <c r="B68" s="49"/>
      <c r="C68" s="50"/>
      <c r="E68" s="46"/>
      <c r="F68" s="46"/>
      <c r="G68" s="46"/>
      <c r="H68" s="10"/>
      <c r="I68" s="10"/>
      <c r="J68" s="10"/>
      <c r="K68" s="10"/>
      <c r="L68" s="10"/>
      <c r="M68" s="10"/>
      <c r="N68" s="10"/>
      <c r="O68" s="10"/>
      <c r="P68" s="10"/>
      <c r="Q68" s="11"/>
      <c r="R68" s="10"/>
      <c r="S68" s="11"/>
      <c r="T68" s="10"/>
    </row>
    <row r="69" customFormat="false" ht="12.75" hidden="false" customHeight="false" outlineLevel="0" collapsed="false">
      <c r="B69" s="51"/>
      <c r="C69" s="53"/>
      <c r="D69" s="54"/>
      <c r="E69" s="55"/>
      <c r="F69" s="55"/>
      <c r="G69" s="55"/>
      <c r="H69" s="55"/>
      <c r="I69" s="55"/>
      <c r="J69" s="55"/>
      <c r="K69" s="55"/>
      <c r="L69" s="10"/>
      <c r="M69" s="10"/>
      <c r="N69" s="10"/>
      <c r="O69" s="10"/>
      <c r="P69" s="10"/>
      <c r="Q69" s="11"/>
      <c r="R69" s="10"/>
      <c r="S69" s="11"/>
      <c r="T69" s="10"/>
    </row>
    <row r="70" customFormat="false" ht="12.75" hidden="false" customHeight="false" outlineLevel="0" collapsed="false">
      <c r="B70" s="51"/>
      <c r="C70" s="53"/>
      <c r="D70" s="54"/>
      <c r="E70" s="55"/>
      <c r="F70" s="55"/>
      <c r="G70" s="55"/>
      <c r="H70" s="55"/>
      <c r="I70" s="55"/>
      <c r="J70" s="55"/>
      <c r="K70" s="55"/>
      <c r="L70" s="10"/>
      <c r="M70" s="10"/>
      <c r="N70" s="10"/>
      <c r="O70" s="10"/>
      <c r="P70" s="10"/>
      <c r="Q70" s="11"/>
      <c r="R70" s="10"/>
      <c r="S70" s="11"/>
      <c r="T70" s="10"/>
    </row>
    <row r="71" customFormat="false" ht="12.75" hidden="false" customHeight="false" outlineLevel="0" collapsed="false">
      <c r="B71" s="51"/>
      <c r="C71" s="53"/>
      <c r="D71" s="54"/>
      <c r="E71" s="55"/>
      <c r="F71" s="55"/>
      <c r="G71" s="55"/>
      <c r="H71" s="55"/>
      <c r="I71" s="55"/>
      <c r="J71" s="55"/>
      <c r="K71" s="55"/>
      <c r="L71" s="10"/>
      <c r="M71" s="10"/>
      <c r="N71" s="10"/>
      <c r="O71" s="10"/>
      <c r="P71" s="10"/>
      <c r="Q71" s="11"/>
      <c r="R71" s="10"/>
      <c r="S71" s="11"/>
      <c r="T71" s="10"/>
    </row>
    <row r="72" customFormat="false" ht="12.75" hidden="false" customHeight="false" outlineLevel="0" collapsed="false">
      <c r="B72" s="51"/>
      <c r="C72" s="53"/>
      <c r="D72" s="54"/>
      <c r="E72" s="55"/>
      <c r="F72" s="55"/>
      <c r="G72" s="55"/>
      <c r="H72" s="55"/>
      <c r="I72" s="55"/>
      <c r="J72" s="55"/>
      <c r="K72" s="55"/>
      <c r="L72" s="10"/>
      <c r="M72" s="10"/>
      <c r="N72" s="10"/>
      <c r="O72" s="10"/>
      <c r="P72" s="10"/>
      <c r="Q72" s="11"/>
      <c r="R72" s="10"/>
      <c r="S72" s="11"/>
      <c r="T72" s="10"/>
    </row>
    <row r="73" customFormat="false" ht="12.75" hidden="false" customHeight="false" outlineLevel="0" collapsed="false">
      <c r="B73" s="51"/>
      <c r="C73" s="53"/>
      <c r="D73" s="54"/>
      <c r="E73" s="55"/>
      <c r="F73" s="55"/>
      <c r="G73" s="55"/>
      <c r="H73" s="55"/>
      <c r="I73" s="55"/>
      <c r="J73" s="55"/>
      <c r="K73" s="55"/>
      <c r="L73" s="10"/>
      <c r="M73" s="10"/>
      <c r="N73" s="10"/>
      <c r="O73" s="10"/>
      <c r="P73" s="10"/>
      <c r="Q73" s="11"/>
      <c r="R73" s="10"/>
      <c r="S73" s="11"/>
      <c r="T73" s="10"/>
    </row>
    <row r="74" customFormat="false" ht="12.75" hidden="false" customHeight="false" outlineLevel="0" collapsed="false">
      <c r="B74" s="51"/>
      <c r="C74" s="53"/>
      <c r="D74" s="54"/>
      <c r="E74" s="55"/>
      <c r="F74" s="55"/>
      <c r="G74" s="55"/>
      <c r="H74" s="55"/>
      <c r="I74" s="55"/>
      <c r="J74" s="55"/>
      <c r="K74" s="55"/>
      <c r="L74" s="10"/>
      <c r="M74" s="10"/>
      <c r="N74" s="10"/>
      <c r="O74" s="10"/>
      <c r="P74" s="10"/>
      <c r="Q74" s="11"/>
      <c r="R74" s="10"/>
      <c r="S74" s="11"/>
      <c r="T74" s="10"/>
    </row>
    <row r="75" customFormat="false" ht="12.75" hidden="false" customHeight="false" outlineLevel="0" collapsed="false">
      <c r="B75" s="51"/>
      <c r="C75" s="53"/>
      <c r="D75" s="54"/>
      <c r="E75" s="55"/>
      <c r="F75" s="55"/>
      <c r="G75" s="55"/>
      <c r="H75" s="55"/>
      <c r="I75" s="55"/>
      <c r="J75" s="55"/>
      <c r="K75" s="55"/>
      <c r="L75" s="10"/>
      <c r="M75" s="10"/>
      <c r="N75" s="10"/>
      <c r="O75" s="10"/>
      <c r="P75" s="10"/>
      <c r="Q75" s="11"/>
      <c r="R75" s="10"/>
      <c r="S75" s="11"/>
      <c r="T75" s="10"/>
    </row>
    <row r="76" customFormat="false" ht="12.75" hidden="false" customHeight="false" outlineLevel="0" collapsed="false">
      <c r="B76" s="51"/>
      <c r="C76" s="53"/>
      <c r="D76" s="54"/>
      <c r="E76" s="55"/>
      <c r="F76" s="55"/>
      <c r="G76" s="55"/>
      <c r="H76" s="55"/>
      <c r="I76" s="55"/>
      <c r="J76" s="55"/>
      <c r="K76" s="55"/>
      <c r="L76" s="10"/>
      <c r="M76" s="10"/>
      <c r="N76" s="10"/>
      <c r="O76" s="10"/>
      <c r="P76" s="10"/>
      <c r="Q76" s="11"/>
      <c r="R76" s="10"/>
      <c r="S76" s="11"/>
      <c r="T76" s="10"/>
    </row>
    <row r="77" customFormat="false" ht="12.75" hidden="false" customHeight="false" outlineLevel="0" collapsed="false">
      <c r="B77" s="51"/>
      <c r="C77" s="53"/>
      <c r="D77" s="54"/>
      <c r="E77" s="55"/>
      <c r="F77" s="55"/>
      <c r="G77" s="55"/>
      <c r="H77" s="55"/>
      <c r="I77" s="55"/>
      <c r="J77" s="55"/>
      <c r="K77" s="55"/>
      <c r="L77" s="10"/>
      <c r="M77" s="10"/>
      <c r="N77" s="10"/>
      <c r="O77" s="10"/>
      <c r="P77" s="10"/>
      <c r="Q77" s="11"/>
      <c r="R77" s="10"/>
      <c r="S77" s="11"/>
      <c r="T77" s="10"/>
    </row>
    <row r="78" customFormat="false" ht="12.75" hidden="false" customHeight="false" outlineLevel="0" collapsed="false">
      <c r="B78" s="51"/>
      <c r="C78" s="53"/>
      <c r="D78" s="54"/>
      <c r="E78" s="55"/>
      <c r="F78" s="55"/>
      <c r="G78" s="55"/>
      <c r="H78" s="55"/>
      <c r="I78" s="55"/>
      <c r="J78" s="55"/>
      <c r="K78" s="55"/>
      <c r="L78" s="10"/>
      <c r="M78" s="10"/>
      <c r="N78" s="10"/>
      <c r="O78" s="10"/>
      <c r="P78" s="10"/>
      <c r="Q78" s="11"/>
      <c r="R78" s="10"/>
      <c r="S78" s="11"/>
      <c r="T78" s="10"/>
    </row>
    <row r="79" customFormat="false" ht="12.75" hidden="false" customHeight="false" outlineLevel="0" collapsed="false">
      <c r="B79" s="51"/>
      <c r="C79" s="53"/>
      <c r="D79" s="54"/>
      <c r="E79" s="55"/>
      <c r="F79" s="55"/>
      <c r="G79" s="55"/>
      <c r="H79" s="55"/>
      <c r="I79" s="55"/>
      <c r="J79" s="55"/>
      <c r="K79" s="55"/>
      <c r="L79" s="10"/>
      <c r="M79" s="10"/>
      <c r="N79" s="10"/>
      <c r="O79" s="10"/>
      <c r="P79" s="10"/>
      <c r="Q79" s="11"/>
      <c r="R79" s="10"/>
      <c r="S79" s="11"/>
      <c r="T79" s="10"/>
    </row>
    <row r="80" customFormat="false" ht="12.75" hidden="false" customHeight="false" outlineLevel="0" collapsed="false">
      <c r="B80" s="51"/>
      <c r="C80" s="53"/>
      <c r="D80" s="54"/>
      <c r="E80" s="55"/>
      <c r="F80" s="55"/>
      <c r="G80" s="55"/>
      <c r="H80" s="55"/>
      <c r="I80" s="55"/>
      <c r="J80" s="55"/>
      <c r="K80" s="55"/>
      <c r="L80" s="10"/>
      <c r="M80" s="10"/>
      <c r="N80" s="10"/>
      <c r="O80" s="10"/>
      <c r="P80" s="10"/>
      <c r="Q80" s="11"/>
      <c r="R80" s="10"/>
      <c r="S80" s="11"/>
      <c r="T80" s="10"/>
    </row>
    <row r="81" customFormat="false" ht="13.5" hidden="false" customHeight="false" outlineLevel="0" collapsed="false">
      <c r="B81" s="51"/>
      <c r="C81" s="53"/>
      <c r="D81" s="56"/>
      <c r="E81" s="55"/>
      <c r="F81" s="55"/>
      <c r="G81" s="55"/>
      <c r="H81" s="10"/>
      <c r="I81" s="10"/>
      <c r="J81" s="10"/>
      <c r="K81" s="10"/>
      <c r="L81" s="10"/>
      <c r="M81" s="10"/>
      <c r="N81" s="10"/>
      <c r="O81" s="10"/>
      <c r="P81" s="10"/>
      <c r="Q81" s="11"/>
      <c r="R81" s="10"/>
      <c r="S81" s="11"/>
      <c r="T81" s="10"/>
    </row>
    <row r="82" customFormat="false" ht="12.75" hidden="false" customHeight="false" outlineLevel="0" collapsed="false">
      <c r="B82" s="51"/>
      <c r="C82" s="53"/>
      <c r="D82" s="57"/>
      <c r="E82" s="55"/>
      <c r="F82" s="55"/>
      <c r="G82" s="55"/>
      <c r="H82" s="10"/>
      <c r="I82" s="10"/>
      <c r="J82" s="10"/>
      <c r="K82" s="10"/>
      <c r="L82" s="10"/>
      <c r="M82" s="10"/>
      <c r="N82" s="10"/>
      <c r="O82" s="10"/>
      <c r="P82" s="10"/>
      <c r="Q82" s="11"/>
      <c r="R82" s="10"/>
      <c r="S82" s="11"/>
      <c r="T82" s="10"/>
    </row>
    <row r="83" customFormat="false" ht="13.5" hidden="false" customHeight="false" outlineLevel="0" collapsed="false">
      <c r="B83" s="51"/>
      <c r="C83" s="53"/>
      <c r="D83" s="58"/>
      <c r="E83" s="55"/>
      <c r="F83" s="55"/>
      <c r="G83" s="55"/>
      <c r="H83" s="10"/>
      <c r="I83" s="10"/>
      <c r="J83" s="10"/>
      <c r="K83" s="10"/>
      <c r="L83" s="10"/>
      <c r="M83" s="10"/>
      <c r="N83" s="10"/>
      <c r="O83" s="10"/>
      <c r="P83" s="10"/>
      <c r="Q83" s="11"/>
      <c r="R83" s="10"/>
      <c r="S83" s="11"/>
      <c r="T83" s="10"/>
    </row>
    <row r="84" customFormat="false" ht="13.5" hidden="false" customHeight="false" outlineLevel="0" collapsed="false">
      <c r="B84" s="51"/>
      <c r="C84" s="53"/>
      <c r="D84" s="58"/>
      <c r="E84" s="55"/>
      <c r="F84" s="55"/>
      <c r="G84" s="55"/>
      <c r="H84" s="10"/>
      <c r="I84" s="10"/>
      <c r="J84" s="10"/>
      <c r="K84" s="10"/>
      <c r="L84" s="10"/>
      <c r="M84" s="10"/>
      <c r="N84" s="10"/>
      <c r="O84" s="10"/>
      <c r="P84" s="10"/>
      <c r="Q84" s="11"/>
      <c r="R84" s="10"/>
      <c r="S84" s="11"/>
      <c r="T84" s="10"/>
    </row>
    <row r="85" customFormat="false" ht="12.75" hidden="false" customHeight="false" outlineLevel="0" collapsed="false">
      <c r="B85" s="51"/>
      <c r="C85" s="53"/>
      <c r="D85" s="59"/>
      <c r="E85" s="55"/>
      <c r="F85" s="55"/>
      <c r="G85" s="55"/>
      <c r="H85" s="10"/>
      <c r="I85" s="10"/>
      <c r="J85" s="10"/>
      <c r="K85" s="10"/>
      <c r="L85" s="10"/>
      <c r="M85" s="10"/>
      <c r="N85" s="10"/>
      <c r="O85" s="10"/>
      <c r="P85" s="10"/>
      <c r="Q85" s="11"/>
      <c r="R85" s="10"/>
      <c r="S85" s="11"/>
      <c r="T85" s="10"/>
    </row>
    <row r="86" customFormat="false" ht="12.75" hidden="false" customHeight="false" outlineLevel="0" collapsed="false">
      <c r="B86" s="51"/>
      <c r="C86" s="53"/>
      <c r="D86" s="59"/>
      <c r="E86" s="55"/>
      <c r="F86" s="55"/>
      <c r="G86" s="55"/>
      <c r="H86" s="10"/>
      <c r="I86" s="10"/>
      <c r="J86" s="10"/>
      <c r="K86" s="10"/>
      <c r="L86" s="10"/>
      <c r="M86" s="10"/>
      <c r="N86" s="10"/>
      <c r="O86" s="10"/>
      <c r="P86" s="10"/>
      <c r="Q86" s="11"/>
      <c r="R86" s="10"/>
      <c r="S86" s="11"/>
      <c r="T86" s="10"/>
    </row>
    <row r="87" customFormat="false" ht="12.75" hidden="false" customHeight="false" outlineLevel="0" collapsed="false">
      <c r="B87" s="51"/>
      <c r="C87" s="53"/>
      <c r="D87" s="59"/>
      <c r="E87" s="55"/>
      <c r="F87" s="55"/>
      <c r="G87" s="55"/>
      <c r="H87" s="10"/>
      <c r="I87" s="10"/>
      <c r="J87" s="10"/>
      <c r="K87" s="10"/>
      <c r="L87" s="10"/>
      <c r="M87" s="10"/>
      <c r="N87" s="10"/>
      <c r="O87" s="10"/>
      <c r="P87" s="10"/>
      <c r="Q87" s="11"/>
      <c r="R87" s="10"/>
      <c r="S87" s="11"/>
      <c r="T87" s="10"/>
    </row>
    <row r="88" customFormat="false" ht="12.75" hidden="false" customHeight="false" outlineLevel="0" collapsed="false">
      <c r="B88" s="51"/>
      <c r="C88" s="53"/>
      <c r="D88" s="59"/>
      <c r="E88" s="55"/>
      <c r="F88" s="55"/>
      <c r="G88" s="55"/>
      <c r="H88" s="10"/>
      <c r="I88" s="10"/>
      <c r="J88" s="10"/>
      <c r="K88" s="10"/>
      <c r="L88" s="10"/>
      <c r="M88" s="10"/>
      <c r="N88" s="10"/>
      <c r="O88" s="10"/>
      <c r="P88" s="10"/>
      <c r="Q88" s="11"/>
      <c r="R88" s="10"/>
      <c r="S88" s="11"/>
      <c r="T88" s="10"/>
    </row>
    <row r="89" customFormat="false" ht="12.75" hidden="false" customHeight="false" outlineLevel="0" collapsed="false">
      <c r="B89" s="51"/>
      <c r="C89" s="53"/>
      <c r="D89" s="59"/>
      <c r="E89" s="55"/>
      <c r="F89" s="55"/>
      <c r="G89" s="55"/>
      <c r="H89" s="10"/>
      <c r="I89" s="10"/>
      <c r="J89" s="10"/>
      <c r="K89" s="10"/>
      <c r="L89" s="10"/>
      <c r="M89" s="10"/>
      <c r="N89" s="10"/>
      <c r="O89" s="10"/>
      <c r="P89" s="10"/>
      <c r="Q89" s="11"/>
      <c r="R89" s="10"/>
      <c r="S89" s="11"/>
      <c r="T89" s="10"/>
    </row>
    <row r="90" customFormat="false" ht="12.75" hidden="false" customHeight="false" outlineLevel="0" collapsed="false">
      <c r="B90" s="51"/>
      <c r="C90" s="53"/>
      <c r="D90" s="59"/>
      <c r="E90" s="55"/>
      <c r="F90" s="55"/>
      <c r="G90" s="55"/>
      <c r="L90" s="10"/>
      <c r="M90" s="10"/>
      <c r="N90" s="10"/>
      <c r="O90" s="10"/>
      <c r="P90" s="10"/>
      <c r="Q90" s="11"/>
      <c r="R90" s="10"/>
      <c r="S90" s="11"/>
      <c r="T90" s="10"/>
    </row>
    <row r="91" customFormat="false" ht="12.75" hidden="false" customHeight="false" outlineLevel="0" collapsed="false">
      <c r="B91" s="51"/>
      <c r="C91" s="53"/>
      <c r="D91" s="59"/>
      <c r="E91" s="55"/>
      <c r="F91" s="55"/>
      <c r="G91" s="55"/>
      <c r="H91" s="10"/>
      <c r="I91" s="10"/>
      <c r="J91" s="10"/>
      <c r="K91" s="10"/>
      <c r="L91" s="10"/>
      <c r="M91" s="10"/>
      <c r="N91" s="10"/>
      <c r="O91" s="10"/>
      <c r="P91" s="10"/>
      <c r="Q91" s="11"/>
      <c r="R91" s="10"/>
      <c r="S91" s="11"/>
      <c r="T91" s="10"/>
    </row>
    <row r="92" customFormat="false" ht="12.75" hidden="false" customHeight="false" outlineLevel="0" collapsed="false">
      <c r="B92" s="51"/>
      <c r="C92" s="53"/>
      <c r="D92" s="59"/>
      <c r="E92" s="55"/>
      <c r="F92" s="55"/>
      <c r="G92" s="55"/>
      <c r="H92" s="10"/>
      <c r="I92" s="10"/>
      <c r="J92" s="10"/>
      <c r="K92" s="10"/>
      <c r="L92" s="10"/>
      <c r="M92" s="10"/>
      <c r="N92" s="10"/>
      <c r="O92" s="10"/>
      <c r="P92" s="10"/>
      <c r="Q92" s="11"/>
      <c r="R92" s="10"/>
      <c r="S92" s="11"/>
      <c r="T92" s="10"/>
    </row>
    <row r="93" customFormat="false" ht="12.75" hidden="false" customHeight="false" outlineLevel="0" collapsed="false">
      <c r="B93" s="51"/>
      <c r="C93" s="53"/>
      <c r="D93" s="59"/>
      <c r="E93" s="55"/>
      <c r="F93" s="55"/>
      <c r="G93" s="55"/>
      <c r="H93" s="10"/>
      <c r="I93" s="10"/>
      <c r="J93" s="10"/>
      <c r="K93" s="10"/>
      <c r="L93" s="10"/>
      <c r="M93" s="10"/>
      <c r="N93" s="10"/>
      <c r="O93" s="10"/>
      <c r="P93" s="10"/>
      <c r="Q93" s="11"/>
      <c r="R93" s="10"/>
      <c r="S93" s="11"/>
      <c r="T93" s="10"/>
    </row>
    <row r="94" customFormat="false" ht="12.75" hidden="false" customHeight="false" outlineLevel="0" collapsed="false">
      <c r="B94" s="51"/>
      <c r="C94" s="53"/>
      <c r="D94" s="59"/>
      <c r="E94" s="55"/>
      <c r="F94" s="55"/>
      <c r="G94" s="55"/>
      <c r="H94" s="10"/>
      <c r="I94" s="10"/>
      <c r="J94" s="10"/>
      <c r="K94" s="10"/>
      <c r="L94" s="10"/>
      <c r="M94" s="10"/>
      <c r="N94" s="10"/>
      <c r="O94" s="10"/>
      <c r="P94" s="10"/>
      <c r="Q94" s="11"/>
      <c r="R94" s="10"/>
      <c r="S94" s="11"/>
      <c r="T94" s="10"/>
    </row>
    <row r="95" customFormat="false" ht="12.75" hidden="false" customHeight="false" outlineLevel="0" collapsed="false">
      <c r="B95" s="51"/>
      <c r="C95" s="53"/>
      <c r="D95" s="59"/>
      <c r="E95" s="55"/>
      <c r="F95" s="55"/>
      <c r="G95" s="55"/>
      <c r="H95" s="10"/>
      <c r="I95" s="10"/>
      <c r="J95" s="10"/>
      <c r="K95" s="10"/>
      <c r="L95" s="10"/>
      <c r="M95" s="10"/>
      <c r="N95" s="10"/>
      <c r="O95" s="10"/>
      <c r="P95" s="10"/>
      <c r="Q95" s="11"/>
      <c r="R95" s="10"/>
      <c r="S95" s="11"/>
      <c r="T95" s="10"/>
    </row>
    <row r="96" customFormat="false" ht="12.75" hidden="false" customHeight="false" outlineLevel="0" collapsed="false">
      <c r="B96" s="51"/>
      <c r="C96" s="53"/>
      <c r="D96" s="59"/>
      <c r="E96" s="55"/>
      <c r="F96" s="55"/>
      <c r="G96" s="55"/>
      <c r="H96" s="10"/>
      <c r="I96" s="10"/>
      <c r="J96" s="10"/>
      <c r="K96" s="10"/>
      <c r="L96" s="10"/>
      <c r="M96" s="10"/>
      <c r="N96" s="10"/>
      <c r="O96" s="10"/>
      <c r="P96" s="10"/>
      <c r="Q96" s="11"/>
      <c r="R96" s="10"/>
      <c r="S96" s="11"/>
      <c r="T96" s="10"/>
    </row>
    <row r="97" customFormat="false" ht="12.75" hidden="false" customHeight="false" outlineLevel="0" collapsed="false">
      <c r="B97" s="51"/>
      <c r="C97" s="53"/>
      <c r="D97" s="59"/>
      <c r="E97" s="55"/>
      <c r="F97" s="55"/>
      <c r="G97" s="55"/>
      <c r="H97" s="10"/>
      <c r="I97" s="10"/>
      <c r="J97" s="10"/>
      <c r="K97" s="10"/>
      <c r="L97" s="10"/>
      <c r="M97" s="10"/>
      <c r="N97" s="10"/>
      <c r="O97" s="10"/>
      <c r="P97" s="10"/>
      <c r="Q97" s="11"/>
      <c r="R97" s="10"/>
      <c r="S97" s="11"/>
      <c r="T97" s="10"/>
    </row>
    <row r="98" customFormat="false" ht="12.75" hidden="false" customHeight="false" outlineLevel="0" collapsed="false">
      <c r="B98" s="51"/>
      <c r="C98" s="53"/>
      <c r="D98" s="59"/>
      <c r="E98" s="55"/>
      <c r="F98" s="55"/>
      <c r="G98" s="55"/>
      <c r="H98" s="10"/>
      <c r="I98" s="10"/>
      <c r="J98" s="10"/>
      <c r="K98" s="10"/>
      <c r="L98" s="10"/>
      <c r="M98" s="10"/>
      <c r="N98" s="10"/>
      <c r="O98" s="10"/>
      <c r="P98" s="10"/>
      <c r="Q98" s="11"/>
      <c r="R98" s="10"/>
      <c r="S98" s="11"/>
      <c r="T98" s="10"/>
    </row>
    <row r="99" customFormat="false" ht="12.75" hidden="false" customHeight="false" outlineLevel="0" collapsed="false">
      <c r="B99" s="51"/>
      <c r="C99" s="53"/>
      <c r="D99" s="59"/>
      <c r="E99" s="55"/>
      <c r="F99" s="55"/>
      <c r="G99" s="55"/>
      <c r="H99" s="10"/>
      <c r="I99" s="10"/>
      <c r="J99" s="10"/>
      <c r="K99" s="10"/>
      <c r="L99" s="10"/>
      <c r="M99" s="10"/>
      <c r="N99" s="10"/>
      <c r="O99" s="10"/>
      <c r="P99" s="10"/>
      <c r="Q99" s="11"/>
      <c r="R99" s="10"/>
      <c r="S99" s="11"/>
      <c r="T99" s="10"/>
    </row>
    <row r="100" customFormat="false" ht="12.75" hidden="false" customHeight="false" outlineLevel="0" collapsed="false">
      <c r="B100" s="51"/>
      <c r="C100" s="53"/>
      <c r="D100" s="59"/>
      <c r="E100" s="55"/>
      <c r="F100" s="55"/>
      <c r="G100" s="55"/>
      <c r="H100" s="10"/>
      <c r="I100" s="10"/>
      <c r="J100" s="10"/>
      <c r="K100" s="10"/>
      <c r="L100" s="10"/>
      <c r="M100" s="10"/>
      <c r="N100" s="10"/>
      <c r="O100" s="10"/>
      <c r="P100" s="10"/>
      <c r="Q100" s="11"/>
      <c r="R100" s="10"/>
      <c r="S100" s="11"/>
      <c r="T100" s="10"/>
    </row>
    <row r="101" customFormat="false" ht="12.75" hidden="false" customHeight="false" outlineLevel="0" collapsed="false">
      <c r="B101" s="51"/>
      <c r="C101" s="53"/>
      <c r="D101" s="59"/>
      <c r="E101" s="55"/>
      <c r="F101" s="55"/>
      <c r="G101" s="55"/>
      <c r="H101" s="10"/>
      <c r="I101" s="10"/>
      <c r="J101" s="10"/>
      <c r="K101" s="10"/>
      <c r="L101" s="10"/>
      <c r="M101" s="10"/>
      <c r="N101" s="10"/>
      <c r="O101" s="10"/>
      <c r="P101" s="10"/>
      <c r="Q101" s="11"/>
      <c r="R101" s="10"/>
      <c r="S101" s="11"/>
      <c r="T101" s="10"/>
    </row>
    <row r="102" customFormat="false" ht="12.75" hidden="false" customHeight="false" outlineLevel="0" collapsed="false">
      <c r="B102" s="51"/>
      <c r="C102" s="53"/>
      <c r="D102" s="59"/>
      <c r="E102" s="55"/>
      <c r="F102" s="55"/>
      <c r="G102" s="55"/>
      <c r="H102" s="10"/>
      <c r="I102" s="10"/>
      <c r="J102" s="10"/>
      <c r="K102" s="10"/>
      <c r="L102" s="10"/>
      <c r="M102" s="10"/>
      <c r="N102" s="10"/>
      <c r="O102" s="10"/>
      <c r="P102" s="10"/>
      <c r="Q102" s="11"/>
      <c r="R102" s="10"/>
      <c r="S102" s="11"/>
      <c r="T102" s="10"/>
    </row>
    <row r="103" customFormat="false" ht="12.75" hidden="false" customHeight="false" outlineLevel="0" collapsed="false">
      <c r="B103" s="51"/>
      <c r="C103" s="53"/>
      <c r="D103" s="59"/>
      <c r="E103" s="55"/>
      <c r="F103" s="55"/>
      <c r="G103" s="55"/>
      <c r="H103" s="10"/>
      <c r="I103" s="10"/>
      <c r="J103" s="10"/>
      <c r="K103" s="10"/>
      <c r="L103" s="10"/>
      <c r="M103" s="10"/>
      <c r="N103" s="10"/>
      <c r="O103" s="10"/>
      <c r="P103" s="10"/>
      <c r="Q103" s="11"/>
      <c r="R103" s="10"/>
      <c r="S103" s="11"/>
      <c r="T103" s="10"/>
    </row>
    <row r="104" customFormat="false" ht="12.75" hidden="false" customHeight="false" outlineLevel="0" collapsed="false">
      <c r="B104" s="51"/>
      <c r="C104" s="53"/>
      <c r="D104" s="59"/>
      <c r="E104" s="55"/>
      <c r="F104" s="55"/>
      <c r="G104" s="55"/>
      <c r="H104" s="10"/>
      <c r="I104" s="10"/>
      <c r="J104" s="10"/>
      <c r="K104" s="10"/>
      <c r="L104" s="10"/>
      <c r="M104" s="10"/>
      <c r="N104" s="10"/>
      <c r="O104" s="10"/>
      <c r="P104" s="10"/>
      <c r="Q104" s="11"/>
      <c r="R104" s="10"/>
      <c r="S104" s="11"/>
      <c r="T104" s="10"/>
    </row>
    <row r="105" customFormat="false" ht="12.75" hidden="false" customHeight="false" outlineLevel="0" collapsed="false">
      <c r="B105" s="51"/>
      <c r="C105" s="53"/>
      <c r="D105" s="59"/>
      <c r="E105" s="55"/>
      <c r="F105" s="55"/>
      <c r="G105" s="55"/>
      <c r="H105" s="10"/>
      <c r="I105" s="10"/>
      <c r="J105" s="10"/>
      <c r="K105" s="10"/>
      <c r="L105" s="10"/>
      <c r="M105" s="10"/>
      <c r="N105" s="10"/>
      <c r="O105" s="10"/>
      <c r="P105" s="10"/>
      <c r="Q105" s="11"/>
      <c r="R105" s="10"/>
      <c r="S105" s="11"/>
      <c r="T105" s="10"/>
    </row>
    <row r="106" customFormat="false" ht="12.75" hidden="false" customHeight="false" outlineLevel="0" collapsed="false">
      <c r="B106" s="51"/>
      <c r="C106" s="53"/>
      <c r="D106" s="59"/>
      <c r="E106" s="55"/>
      <c r="F106" s="55"/>
      <c r="G106" s="55"/>
      <c r="H106" s="10"/>
      <c r="I106" s="10"/>
      <c r="J106" s="10"/>
      <c r="K106" s="10"/>
      <c r="L106" s="10"/>
      <c r="M106" s="10"/>
      <c r="N106" s="10"/>
      <c r="O106" s="10"/>
      <c r="P106" s="10"/>
      <c r="Q106" s="11"/>
      <c r="R106" s="10"/>
      <c r="S106" s="11"/>
      <c r="T106" s="10"/>
    </row>
    <row r="107" customFormat="false" ht="12.75" hidden="false" customHeight="false" outlineLevel="0" collapsed="false">
      <c r="B107" s="51"/>
      <c r="C107" s="53"/>
      <c r="D107" s="59"/>
      <c r="E107" s="55"/>
      <c r="F107" s="55"/>
      <c r="G107" s="55"/>
      <c r="H107" s="10"/>
      <c r="I107" s="10"/>
      <c r="J107" s="10"/>
      <c r="K107" s="10"/>
      <c r="L107" s="10"/>
      <c r="M107" s="10"/>
      <c r="N107" s="10"/>
      <c r="O107" s="10"/>
      <c r="P107" s="10"/>
      <c r="Q107" s="11"/>
      <c r="R107" s="10"/>
      <c r="S107" s="11"/>
      <c r="T107" s="10"/>
    </row>
    <row r="108" customFormat="false" ht="12.75" hidden="false" customHeight="false" outlineLevel="0" collapsed="false">
      <c r="B108" s="51"/>
      <c r="C108" s="53"/>
      <c r="D108" s="59"/>
      <c r="E108" s="55"/>
      <c r="F108" s="55"/>
      <c r="G108" s="55"/>
      <c r="H108" s="10"/>
      <c r="I108" s="10"/>
      <c r="J108" s="10"/>
      <c r="K108" s="10"/>
      <c r="L108" s="10"/>
      <c r="M108" s="10"/>
      <c r="N108" s="10"/>
      <c r="O108" s="10"/>
      <c r="P108" s="10"/>
      <c r="Q108" s="11"/>
      <c r="R108" s="10"/>
      <c r="S108" s="11"/>
      <c r="T108" s="10"/>
    </row>
    <row r="109" customFormat="false" ht="12.75" hidden="false" customHeight="false" outlineLevel="0" collapsed="false">
      <c r="B109" s="51"/>
      <c r="C109" s="53"/>
      <c r="D109" s="59"/>
      <c r="E109" s="55"/>
      <c r="F109" s="55"/>
      <c r="G109" s="55"/>
      <c r="H109" s="10"/>
      <c r="I109" s="10"/>
      <c r="J109" s="10"/>
      <c r="K109" s="10"/>
      <c r="L109" s="10"/>
      <c r="M109" s="10"/>
      <c r="N109" s="10"/>
      <c r="O109" s="10"/>
      <c r="P109" s="10"/>
      <c r="Q109" s="11"/>
      <c r="R109" s="10"/>
      <c r="S109" s="11"/>
      <c r="T109" s="10"/>
    </row>
    <row r="110" customFormat="false" ht="12.75" hidden="false" customHeight="false" outlineLevel="0" collapsed="false">
      <c r="B110" s="51"/>
      <c r="C110" s="53"/>
      <c r="D110" s="59"/>
      <c r="E110" s="55"/>
      <c r="F110" s="55"/>
      <c r="G110" s="55"/>
      <c r="H110" s="10"/>
      <c r="I110" s="10"/>
      <c r="J110" s="10"/>
      <c r="K110" s="10"/>
      <c r="L110" s="10"/>
      <c r="M110" s="10"/>
      <c r="N110" s="10"/>
      <c r="O110" s="10"/>
      <c r="P110" s="10"/>
      <c r="Q110" s="11"/>
      <c r="R110" s="10"/>
      <c r="S110" s="11"/>
      <c r="T110" s="10"/>
    </row>
    <row r="111" customFormat="false" ht="12.75" hidden="false" customHeight="false" outlineLevel="0" collapsed="false">
      <c r="B111" s="51"/>
      <c r="C111" s="53"/>
      <c r="D111" s="59"/>
      <c r="E111" s="55"/>
      <c r="F111" s="55"/>
      <c r="G111" s="55"/>
      <c r="H111" s="10"/>
      <c r="I111" s="10"/>
      <c r="J111" s="10"/>
      <c r="K111" s="10"/>
      <c r="L111" s="10"/>
      <c r="M111" s="10"/>
      <c r="N111" s="10"/>
      <c r="O111" s="10"/>
      <c r="P111" s="10"/>
      <c r="Q111" s="11"/>
      <c r="R111" s="10"/>
      <c r="S111" s="11"/>
      <c r="T111" s="10"/>
    </row>
    <row r="112" customFormat="false" ht="12.75" hidden="false" customHeight="false" outlineLevel="0" collapsed="false">
      <c r="B112" s="51"/>
      <c r="C112" s="53"/>
      <c r="D112" s="59"/>
      <c r="E112" s="55"/>
      <c r="F112" s="55"/>
      <c r="G112" s="55"/>
      <c r="H112" s="10"/>
      <c r="I112" s="10"/>
      <c r="J112" s="10"/>
      <c r="K112" s="10"/>
      <c r="L112" s="10"/>
      <c r="M112" s="10"/>
      <c r="N112" s="10"/>
      <c r="O112" s="10"/>
      <c r="P112" s="10"/>
      <c r="Q112" s="11"/>
      <c r="R112" s="10"/>
      <c r="S112" s="11"/>
      <c r="T112" s="10"/>
    </row>
    <row r="113" customFormat="false" ht="12.75" hidden="false" customHeight="false" outlineLevel="0" collapsed="false">
      <c r="B113" s="51"/>
      <c r="C113" s="53"/>
      <c r="D113" s="59"/>
      <c r="E113" s="55"/>
      <c r="F113" s="55"/>
      <c r="G113" s="55"/>
      <c r="H113" s="10"/>
      <c r="I113" s="10"/>
      <c r="J113" s="10"/>
      <c r="K113" s="10"/>
      <c r="L113" s="10"/>
      <c r="M113" s="10"/>
      <c r="N113" s="10"/>
      <c r="O113" s="10"/>
      <c r="P113" s="10"/>
      <c r="Q113" s="11"/>
      <c r="R113" s="10"/>
      <c r="S113" s="11"/>
      <c r="T113" s="10"/>
    </row>
    <row r="114" customFormat="false" ht="12.75" hidden="false" customHeight="false" outlineLevel="0" collapsed="false">
      <c r="B114" s="51"/>
      <c r="C114" s="53"/>
      <c r="D114" s="59"/>
      <c r="E114" s="55"/>
      <c r="F114" s="55"/>
      <c r="G114" s="55"/>
      <c r="H114" s="10"/>
      <c r="I114" s="10"/>
      <c r="J114" s="10"/>
      <c r="K114" s="10"/>
      <c r="L114" s="10"/>
      <c r="M114" s="10"/>
      <c r="N114" s="10"/>
      <c r="O114" s="10"/>
      <c r="P114" s="10"/>
      <c r="Q114" s="11"/>
      <c r="R114" s="10"/>
      <c r="S114" s="11"/>
      <c r="T114" s="10"/>
    </row>
    <row r="115" customFormat="false" ht="12.75" hidden="false" customHeight="false" outlineLevel="0" collapsed="false">
      <c r="B115" s="60"/>
      <c r="C115" s="59"/>
      <c r="D115" s="59"/>
      <c r="E115" s="55"/>
      <c r="F115" s="55"/>
      <c r="G115" s="55"/>
      <c r="H115" s="10"/>
      <c r="I115" s="10"/>
      <c r="J115" s="10"/>
      <c r="K115" s="10"/>
      <c r="L115" s="10"/>
      <c r="M115" s="10"/>
      <c r="N115" s="10"/>
      <c r="O115" s="10"/>
      <c r="P115" s="10"/>
      <c r="Q115" s="11"/>
      <c r="R115" s="10"/>
      <c r="S115" s="11"/>
      <c r="T115" s="10"/>
    </row>
    <row r="116" customFormat="false" ht="12.75" hidden="false" customHeight="false" outlineLevel="0" collapsed="false">
      <c r="B116" s="60"/>
      <c r="C116" s="59"/>
      <c r="D116" s="59"/>
      <c r="E116" s="55"/>
      <c r="F116" s="55"/>
      <c r="G116" s="55"/>
      <c r="H116" s="10"/>
      <c r="I116" s="10"/>
      <c r="J116" s="10"/>
      <c r="K116" s="10"/>
      <c r="L116" s="10"/>
      <c r="M116" s="10"/>
      <c r="N116" s="10"/>
      <c r="O116" s="10"/>
      <c r="P116" s="10"/>
      <c r="Q116" s="11"/>
      <c r="R116" s="10"/>
      <c r="S116" s="11"/>
      <c r="T116" s="10"/>
    </row>
    <row r="117" customFormat="false" ht="12.75" hidden="false" customHeight="false" outlineLevel="0" collapsed="false">
      <c r="B117" s="60"/>
      <c r="C117" s="59"/>
      <c r="D117" s="59"/>
      <c r="E117" s="55"/>
      <c r="F117" s="55"/>
      <c r="G117" s="55"/>
      <c r="H117" s="10"/>
      <c r="I117" s="10"/>
      <c r="J117" s="10"/>
      <c r="K117" s="10"/>
      <c r="L117" s="10"/>
      <c r="M117" s="10"/>
      <c r="N117" s="10"/>
      <c r="O117" s="10"/>
      <c r="P117" s="10"/>
      <c r="Q117" s="11"/>
      <c r="R117" s="10"/>
      <c r="S117" s="11"/>
      <c r="T117" s="10"/>
    </row>
    <row r="118" customFormat="false" ht="12.75" hidden="false" customHeight="false" outlineLevel="0" collapsed="false">
      <c r="B118" s="60"/>
      <c r="C118" s="59"/>
      <c r="D118" s="59"/>
      <c r="E118" s="55"/>
      <c r="F118" s="55"/>
      <c r="G118" s="55"/>
      <c r="H118" s="10"/>
      <c r="I118" s="10"/>
      <c r="J118" s="10"/>
      <c r="K118" s="10"/>
      <c r="L118" s="10"/>
      <c r="M118" s="10"/>
      <c r="N118" s="10"/>
      <c r="O118" s="10"/>
      <c r="P118" s="10"/>
      <c r="Q118" s="11"/>
      <c r="R118" s="10"/>
      <c r="S118" s="11"/>
      <c r="T118" s="10"/>
    </row>
    <row r="119" customFormat="false" ht="12.75" hidden="false" customHeight="false" outlineLevel="0" collapsed="false">
      <c r="B119" s="60"/>
      <c r="C119" s="59"/>
      <c r="D119" s="59"/>
      <c r="E119" s="55"/>
      <c r="F119" s="55"/>
      <c r="G119" s="55"/>
      <c r="H119" s="10"/>
      <c r="I119" s="10"/>
      <c r="J119" s="10"/>
      <c r="K119" s="10"/>
      <c r="L119" s="10"/>
      <c r="M119" s="10"/>
      <c r="N119" s="10"/>
      <c r="O119" s="10"/>
      <c r="P119" s="10"/>
      <c r="Q119" s="11"/>
      <c r="R119" s="10"/>
      <c r="S119" s="11"/>
      <c r="T119" s="10"/>
    </row>
    <row r="120" customFormat="false" ht="12.75" hidden="false" customHeight="false" outlineLevel="0" collapsed="false">
      <c r="B120" s="60"/>
      <c r="C120" s="59"/>
      <c r="D120" s="59"/>
      <c r="E120" s="55"/>
      <c r="F120" s="55"/>
      <c r="G120" s="55"/>
      <c r="H120" s="10"/>
      <c r="I120" s="10"/>
      <c r="J120" s="10"/>
      <c r="K120" s="10"/>
      <c r="L120" s="10"/>
      <c r="M120" s="10"/>
      <c r="N120" s="10"/>
      <c r="O120" s="10"/>
      <c r="P120" s="10"/>
      <c r="Q120" s="11"/>
      <c r="R120" s="10"/>
      <c r="S120" s="11"/>
      <c r="T120" s="10"/>
    </row>
    <row r="121" customFormat="false" ht="12.75" hidden="false" customHeight="false" outlineLevel="0" collapsed="false">
      <c r="B121" s="60"/>
      <c r="C121" s="59"/>
      <c r="D121" s="59"/>
      <c r="E121" s="55"/>
      <c r="F121" s="55"/>
      <c r="G121" s="55"/>
      <c r="H121" s="10"/>
      <c r="I121" s="10"/>
      <c r="J121" s="10"/>
      <c r="K121" s="10"/>
      <c r="L121" s="10"/>
      <c r="M121" s="10"/>
      <c r="N121" s="10"/>
      <c r="O121" s="10"/>
      <c r="P121" s="10"/>
      <c r="Q121" s="11"/>
      <c r="R121" s="10"/>
      <c r="S121" s="11"/>
      <c r="T121" s="10"/>
    </row>
    <row r="122" customFormat="false" ht="12.75" hidden="false" customHeight="false" outlineLevel="0" collapsed="false">
      <c r="B122" s="60"/>
      <c r="C122" s="59"/>
      <c r="D122" s="59"/>
      <c r="E122" s="55"/>
      <c r="F122" s="55"/>
      <c r="G122" s="55"/>
      <c r="H122" s="10"/>
      <c r="I122" s="10"/>
      <c r="J122" s="10"/>
      <c r="K122" s="10"/>
      <c r="L122" s="10"/>
      <c r="M122" s="10"/>
      <c r="N122" s="10"/>
      <c r="O122" s="10"/>
      <c r="P122" s="10"/>
      <c r="Q122" s="11"/>
      <c r="R122" s="10"/>
      <c r="S122" s="11"/>
      <c r="T122" s="10"/>
    </row>
    <row r="123" customFormat="false" ht="12.75" hidden="false" customHeight="false" outlineLevel="0" collapsed="false">
      <c r="B123" s="60"/>
      <c r="C123" s="59"/>
      <c r="D123" s="59"/>
      <c r="E123" s="55"/>
      <c r="F123" s="55"/>
      <c r="G123" s="55"/>
      <c r="H123" s="10"/>
      <c r="I123" s="10"/>
      <c r="J123" s="10"/>
      <c r="K123" s="10"/>
      <c r="L123" s="10"/>
      <c r="M123" s="10"/>
      <c r="N123" s="10"/>
      <c r="O123" s="10"/>
      <c r="P123" s="10"/>
      <c r="Q123" s="11"/>
      <c r="R123" s="10"/>
      <c r="S123" s="11"/>
      <c r="T123" s="10"/>
    </row>
    <row r="124" customFormat="false" ht="12.75" hidden="false" customHeight="false" outlineLevel="0" collapsed="false">
      <c r="B124" s="60"/>
      <c r="C124" s="59"/>
      <c r="D124" s="59"/>
      <c r="E124" s="55"/>
      <c r="F124" s="55"/>
      <c r="G124" s="55"/>
      <c r="H124" s="10"/>
      <c r="I124" s="10"/>
      <c r="J124" s="10"/>
      <c r="K124" s="10"/>
      <c r="L124" s="10"/>
      <c r="M124" s="10"/>
      <c r="N124" s="10"/>
      <c r="O124" s="10"/>
      <c r="P124" s="10"/>
      <c r="Q124" s="11"/>
      <c r="R124" s="10"/>
      <c r="S124" s="11"/>
      <c r="T124" s="10"/>
    </row>
    <row r="125" customFormat="false" ht="12.75" hidden="false" customHeight="false" outlineLevel="0" collapsed="false">
      <c r="B125" s="60"/>
      <c r="C125" s="59"/>
      <c r="D125" s="59"/>
      <c r="E125" s="55"/>
      <c r="F125" s="55"/>
      <c r="G125" s="55"/>
      <c r="H125" s="10"/>
      <c r="I125" s="10"/>
      <c r="J125" s="10"/>
      <c r="K125" s="10"/>
      <c r="L125" s="10"/>
      <c r="M125" s="10"/>
      <c r="N125" s="10"/>
      <c r="O125" s="10"/>
      <c r="P125" s="10"/>
      <c r="Q125" s="11"/>
      <c r="R125" s="10"/>
      <c r="S125" s="11"/>
      <c r="T125" s="10"/>
    </row>
    <row r="126" customFormat="false" ht="12.75" hidden="false" customHeight="false" outlineLevel="0" collapsed="false">
      <c r="B126" s="60"/>
      <c r="C126" s="59"/>
      <c r="D126" s="59"/>
      <c r="E126" s="55"/>
      <c r="F126" s="55"/>
      <c r="G126" s="55"/>
      <c r="H126" s="10"/>
      <c r="I126" s="10"/>
      <c r="J126" s="10"/>
      <c r="K126" s="10"/>
      <c r="L126" s="10"/>
      <c r="M126" s="10"/>
      <c r="N126" s="10"/>
      <c r="O126" s="10"/>
      <c r="P126" s="10"/>
      <c r="Q126" s="11"/>
      <c r="R126" s="10"/>
      <c r="S126" s="11"/>
      <c r="T126" s="10"/>
    </row>
    <row r="127" customFormat="false" ht="12.75" hidden="false" customHeight="false" outlineLevel="0" collapsed="false">
      <c r="B127" s="60"/>
      <c r="C127" s="59"/>
      <c r="D127" s="59"/>
      <c r="E127" s="55"/>
      <c r="F127" s="55"/>
      <c r="G127" s="55"/>
      <c r="H127" s="10"/>
      <c r="I127" s="10"/>
      <c r="J127" s="10"/>
      <c r="K127" s="10"/>
      <c r="L127" s="10"/>
      <c r="M127" s="10"/>
      <c r="N127" s="10"/>
      <c r="O127" s="10"/>
      <c r="P127" s="10"/>
      <c r="Q127" s="11"/>
      <c r="R127" s="10"/>
      <c r="S127" s="11"/>
      <c r="T127" s="1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B5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17" topLeftCell="C18" activePane="bottomRight" state="frozen"/>
      <selection pane="topLeft" activeCell="A1" activeCellId="0" sqref="A1"/>
      <selection pane="topRight" activeCell="C1" activeCellId="0" sqref="C1"/>
      <selection pane="bottomLeft" activeCell="A18" activeCellId="0" sqref="A18"/>
      <selection pane="bottomRight" activeCell="E9" activeCellId="0" sqref="E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9.7"/>
    <col collapsed="false" customWidth="true" hidden="false" outlineLevel="0" max="3" min="2" style="2" width="8.7"/>
    <col collapsed="false" customWidth="true" hidden="false" outlineLevel="0" max="4" min="4" style="2" width="12.7"/>
    <col collapsed="false" customWidth="true" hidden="false" outlineLevel="0" max="5" min="5" style="2" width="8.7"/>
    <col collapsed="false" customWidth="true" hidden="false" outlineLevel="0" max="10" min="6" style="2" width="12.7"/>
    <col collapsed="false" customWidth="true" hidden="false" outlineLevel="0" max="11" min="11" style="2" width="7.7"/>
    <col collapsed="false" customWidth="true" hidden="false" outlineLevel="0" max="12" min="12" style="2" width="11.99"/>
    <col collapsed="false" customWidth="true" hidden="false" outlineLevel="0" max="22" min="13" style="2" width="12.7"/>
    <col collapsed="false" customWidth="true" hidden="false" outlineLevel="0" max="23" min="23" style="2" width="8.7"/>
    <col collapsed="false" customWidth="true" hidden="false" outlineLevel="0" max="25" min="24" style="2" width="10.71"/>
    <col collapsed="false" customWidth="true" hidden="false" outlineLevel="0" max="26" min="26" style="2" width="8.7"/>
    <col collapsed="false" customWidth="true" hidden="false" outlineLevel="0" max="27" min="27" style="2" width="11.99"/>
    <col collapsed="false" customWidth="true" hidden="false" outlineLevel="0" max="54" min="28" style="2" width="9.14"/>
  </cols>
  <sheetData>
    <row r="1" customFormat="false" ht="12.75" hidden="false" customHeight="false" outlineLevel="0" collapsed="false">
      <c r="A1" s="61" t="s">
        <v>25</v>
      </c>
      <c r="C1" s="2" t="s">
        <v>26</v>
      </c>
      <c r="D1" s="61"/>
      <c r="E1" s="62" t="s">
        <v>27</v>
      </c>
      <c r="F1" s="62" t="s">
        <v>28</v>
      </c>
      <c r="G1" s="63" t="s">
        <v>29</v>
      </c>
      <c r="H1" s="62" t="s">
        <v>30</v>
      </c>
      <c r="I1" s="64" t="s">
        <v>31</v>
      </c>
      <c r="J1" s="64" t="s">
        <v>32</v>
      </c>
      <c r="X1" s="65"/>
      <c r="Y1" s="61" t="s">
        <v>33</v>
      </c>
      <c r="Z1" s="66"/>
      <c r="AA1" s="66"/>
      <c r="AB1" s="66"/>
    </row>
    <row r="2" customFormat="false" ht="12.75" hidden="false" customHeight="false" outlineLevel="0" collapsed="false">
      <c r="A2" s="61"/>
      <c r="D2" s="62" t="s">
        <v>34</v>
      </c>
      <c r="E2" s="64" t="s">
        <v>35</v>
      </c>
      <c r="F2" s="64" t="s">
        <v>36</v>
      </c>
      <c r="G2" s="64" t="s">
        <v>36</v>
      </c>
      <c r="H2" s="64" t="s">
        <v>37</v>
      </c>
      <c r="I2" s="64" t="s">
        <v>38</v>
      </c>
      <c r="J2" s="67"/>
      <c r="W2" s="68" t="n">
        <v>1.5</v>
      </c>
      <c r="Z2" s="62"/>
      <c r="AA2" s="62"/>
      <c r="AB2" s="62"/>
    </row>
    <row r="3" customFormat="false" ht="12.75" hidden="false" customHeight="false" outlineLevel="0" collapsed="false">
      <c r="A3" s="61" t="s">
        <v>39</v>
      </c>
      <c r="C3" s="2" t="s">
        <v>40</v>
      </c>
      <c r="D3" s="69" t="s">
        <v>41</v>
      </c>
      <c r="E3" s="70" t="n">
        <v>36861</v>
      </c>
      <c r="F3" s="70" t="n">
        <v>36923</v>
      </c>
      <c r="G3" s="70" t="n">
        <v>36982</v>
      </c>
      <c r="H3" s="70" t="n">
        <v>36892</v>
      </c>
      <c r="I3" s="64" t="s">
        <v>42</v>
      </c>
      <c r="K3" s="2" t="s">
        <v>43</v>
      </c>
      <c r="L3" s="67" t="s">
        <v>44</v>
      </c>
      <c r="W3" s="68"/>
      <c r="Z3" s="62"/>
      <c r="AA3" s="62"/>
      <c r="AB3" s="62"/>
    </row>
    <row r="4" customFormat="false" ht="13.5" hidden="false" customHeight="false" outlineLevel="0" collapsed="false">
      <c r="A4" s="61" t="s">
        <v>45</v>
      </c>
      <c r="B4" s="16" t="n">
        <f aca="false">AVERAGE(F18:F19)</f>
        <v>5.3329</v>
      </c>
      <c r="C4" s="16" t="n">
        <f aca="false">D18</f>
        <v>5.295</v>
      </c>
      <c r="D4" s="69" t="s">
        <v>46</v>
      </c>
      <c r="E4" s="70" t="n">
        <v>36861</v>
      </c>
      <c r="F4" s="70" t="n">
        <v>36951</v>
      </c>
      <c r="G4" s="70" t="n">
        <v>37043</v>
      </c>
      <c r="H4" s="70" t="n">
        <v>37956</v>
      </c>
      <c r="I4" s="64" t="s">
        <v>47</v>
      </c>
      <c r="K4" s="0"/>
      <c r="L4" s="0"/>
      <c r="M4" s="0"/>
      <c r="N4" s="0"/>
      <c r="O4" s="0"/>
      <c r="W4" s="68"/>
      <c r="Z4" s="62"/>
      <c r="AA4" s="62"/>
      <c r="AB4" s="62"/>
    </row>
    <row r="5" customFormat="false" ht="13.5" hidden="false" customHeight="false" outlineLevel="0" collapsed="false">
      <c r="A5" s="61" t="s">
        <v>48</v>
      </c>
      <c r="B5" s="16" t="n">
        <f aca="false">AVERAGE(F20:F24)</f>
        <v>5.12898285714286</v>
      </c>
      <c r="C5" s="16" t="n">
        <f aca="false">AVERAGE(D19:D23)</f>
        <v>5.2682</v>
      </c>
      <c r="D5" s="69" t="s">
        <v>49</v>
      </c>
      <c r="E5" s="71" t="n">
        <f aca="false">'opt calc'!$B9</f>
        <v>5.5268</v>
      </c>
      <c r="F5" s="71" t="n">
        <f aca="false">'opt calc'!$D9</f>
        <v>5.02774915254237</v>
      </c>
      <c r="G5" s="71" t="n">
        <f aca="false">'opt calc'!$F9</f>
        <v>4.49208791208791</v>
      </c>
      <c r="H5" s="71" t="n">
        <f aca="false">'opt calc'!$H9</f>
        <v>3.98001265492498</v>
      </c>
      <c r="I5" s="64" t="s">
        <v>37</v>
      </c>
      <c r="K5" s="2" t="s">
        <v>45</v>
      </c>
      <c r="L5" s="72" t="n">
        <v>5.24</v>
      </c>
      <c r="M5" s="73" t="n">
        <f aca="false">D18</f>
        <v>5.295</v>
      </c>
      <c r="N5" s="73" t="n">
        <f aca="false">IF(L5&gt;0,O5,0)</f>
        <v>-0.0549999999999997</v>
      </c>
      <c r="O5" s="73" t="n">
        <f aca="false">L5-M5</f>
        <v>-0.0549999999999997</v>
      </c>
      <c r="W5" s="68"/>
      <c r="Z5" s="62"/>
      <c r="AA5" s="62"/>
      <c r="AB5" s="62"/>
    </row>
    <row r="6" customFormat="false" ht="13.5" hidden="false" customHeight="false" outlineLevel="0" collapsed="false">
      <c r="A6" s="2" t="s">
        <v>50</v>
      </c>
      <c r="B6" s="16" t="n">
        <f aca="false">AVERAGE(F26:F32)</f>
        <v>4.44436734693878</v>
      </c>
      <c r="C6" s="16" t="n">
        <f aca="false">AVERAGE(D24:D30)</f>
        <v>4.41928571428571</v>
      </c>
      <c r="D6" s="62" t="s">
        <v>51</v>
      </c>
      <c r="E6" s="74" t="n">
        <f aca="false">'opt calc'!$B11</f>
        <v>1.86</v>
      </c>
      <c r="F6" s="74" t="n">
        <f aca="false">'opt calc'!$D11</f>
        <v>-0.0225</v>
      </c>
      <c r="G6" s="74" t="n">
        <f aca="false">'opt calc'!$F11</f>
        <v>-0.0199999999999996</v>
      </c>
      <c r="H6" s="74" t="n">
        <f aca="false">'opt calc'!$H11</f>
        <v>-0.408908675799087</v>
      </c>
      <c r="I6" s="64" t="s">
        <v>52</v>
      </c>
      <c r="K6" s="2" t="s">
        <v>48</v>
      </c>
      <c r="L6" s="72" t="n">
        <v>5.3</v>
      </c>
      <c r="M6" s="73" t="n">
        <f aca="false">C5</f>
        <v>5.2682</v>
      </c>
      <c r="N6" s="73" t="n">
        <f aca="false">IF(L6&gt;0,O6,0)</f>
        <v>0.0317999999999996</v>
      </c>
      <c r="O6" s="73" t="n">
        <f aca="false">L6-M6</f>
        <v>0.0317999999999996</v>
      </c>
      <c r="W6" s="68"/>
      <c r="Z6" s="62"/>
      <c r="AA6" s="62"/>
      <c r="AB6" s="62"/>
    </row>
    <row r="7" customFormat="false" ht="13.5" hidden="false" customHeight="false" outlineLevel="0" collapsed="false">
      <c r="A7" s="2" t="s">
        <v>53</v>
      </c>
      <c r="B7" s="16" t="n">
        <f aca="false">AVERAGE(F33:F37)</f>
        <v>4.0956</v>
      </c>
      <c r="C7" s="16" t="n">
        <f aca="false">AVERAGE(D31:D35)</f>
        <v>4.384</v>
      </c>
      <c r="D7" s="16" t="s">
        <v>54</v>
      </c>
      <c r="E7" s="75" t="n">
        <v>0</v>
      </c>
      <c r="F7" s="75" t="n">
        <v>0</v>
      </c>
      <c r="G7" s="75" t="n">
        <v>0</v>
      </c>
      <c r="H7" s="75" t="n">
        <v>0</v>
      </c>
      <c r="I7" s="64" t="s">
        <v>55</v>
      </c>
      <c r="K7" s="61" t="s">
        <v>56</v>
      </c>
      <c r="L7" s="72" t="n">
        <v>4.44</v>
      </c>
      <c r="M7" s="73" t="n">
        <f aca="false">C6</f>
        <v>4.41928571428571</v>
      </c>
      <c r="N7" s="73" t="n">
        <f aca="false">IF(L7&gt;0,O7,0)</f>
        <v>0.0207142857142859</v>
      </c>
      <c r="O7" s="73" t="n">
        <f aca="false">L7-M7</f>
        <v>0.0207142857142859</v>
      </c>
      <c r="W7" s="68"/>
      <c r="Z7" s="62"/>
      <c r="AA7" s="62"/>
      <c r="AB7" s="62"/>
    </row>
    <row r="8" customFormat="false" ht="12.75" hidden="false" customHeight="false" outlineLevel="0" collapsed="false">
      <c r="A8" s="61" t="s">
        <v>57</v>
      </c>
      <c r="B8" s="16" t="n">
        <f aca="false">AVERAGE(F22:F33)</f>
        <v>4.56363333333333</v>
      </c>
      <c r="C8" s="16" t="n">
        <f aca="false">AVERAGE(D21:D32)</f>
        <v>4.61766666666667</v>
      </c>
      <c r="D8" s="2" t="s">
        <v>11</v>
      </c>
      <c r="E8" s="76" t="n">
        <v>0</v>
      </c>
      <c r="F8" s="76" t="n">
        <v>0</v>
      </c>
      <c r="G8" s="76" t="n">
        <v>0</v>
      </c>
      <c r="H8" s="76" t="n">
        <v>0</v>
      </c>
      <c r="I8" s="64" t="s">
        <v>58</v>
      </c>
      <c r="K8" s="61" t="s">
        <v>59</v>
      </c>
      <c r="L8" s="72" t="n">
        <f aca="false">L7-0.035</f>
        <v>4.405</v>
      </c>
      <c r="M8" s="73" t="n">
        <f aca="false">C7</f>
        <v>4.384</v>
      </c>
      <c r="N8" s="73" t="n">
        <f aca="false">IF(L8&gt;0,O8,0)</f>
        <v>0.0209999999999999</v>
      </c>
      <c r="O8" s="73" t="n">
        <f aca="false">L8-M8</f>
        <v>0.0209999999999999</v>
      </c>
      <c r="W8" s="68"/>
      <c r="Z8" s="62"/>
      <c r="AA8" s="62"/>
      <c r="AB8" s="62"/>
    </row>
    <row r="9" customFormat="false" ht="12.75" hidden="false" customHeight="false" outlineLevel="0" collapsed="false">
      <c r="A9" s="61" t="s">
        <v>60</v>
      </c>
      <c r="B9" s="16" t="n">
        <f aca="false">AVERAGE(F35:F46)</f>
        <v>3.77933333333333</v>
      </c>
      <c r="C9" s="16" t="n">
        <f aca="false">AVERAGE(D33:D44)</f>
        <v>3.88366666666667</v>
      </c>
      <c r="D9" s="2" t="s">
        <v>61</v>
      </c>
      <c r="E9" s="77" t="n">
        <v>1</v>
      </c>
      <c r="F9" s="77" t="n">
        <v>1</v>
      </c>
      <c r="G9" s="77" t="n">
        <v>1</v>
      </c>
      <c r="H9" s="77" t="n">
        <v>1</v>
      </c>
      <c r="I9" s="64" t="s">
        <v>35</v>
      </c>
      <c r="K9" s="61" t="s">
        <v>62</v>
      </c>
      <c r="L9" s="72" t="n">
        <f aca="false">C9</f>
        <v>3.88366666666667</v>
      </c>
      <c r="M9" s="73" t="n">
        <f aca="false">C9</f>
        <v>3.88366666666667</v>
      </c>
      <c r="N9" s="73" t="n">
        <f aca="false">IF(L9&gt;0,O9,0)</f>
        <v>0</v>
      </c>
      <c r="O9" s="73" t="n">
        <f aca="false">L9-M9</f>
        <v>0</v>
      </c>
      <c r="W9" s="68"/>
      <c r="Z9" s="62"/>
      <c r="AA9" s="62"/>
      <c r="AB9" s="62"/>
    </row>
    <row r="10" customFormat="false" ht="12.75" hidden="false" customHeight="false" outlineLevel="0" collapsed="false">
      <c r="A10" s="61" t="s">
        <v>63</v>
      </c>
      <c r="B10" s="16" t="n">
        <f aca="false">AVERAGE(F47:F58)</f>
        <v>3.384</v>
      </c>
      <c r="C10" s="16" t="n">
        <f aca="false">AVERAGE(D45:D56)</f>
        <v>3.41583333333333</v>
      </c>
      <c r="D10" s="2" t="s">
        <v>10</v>
      </c>
      <c r="E10" s="77" t="n">
        <v>1</v>
      </c>
      <c r="F10" s="77" t="n">
        <v>2</v>
      </c>
      <c r="G10" s="77" t="n">
        <v>2</v>
      </c>
      <c r="H10" s="77" t="n">
        <v>2</v>
      </c>
      <c r="I10" s="64" t="s">
        <v>64</v>
      </c>
      <c r="K10" s="61" t="s">
        <v>65</v>
      </c>
      <c r="L10" s="72" t="n">
        <f aca="false">C10</f>
        <v>3.41583333333333</v>
      </c>
      <c r="M10" s="73" t="n">
        <f aca="false">C10</f>
        <v>3.41583333333333</v>
      </c>
      <c r="N10" s="73" t="n">
        <f aca="false">IF(L10&gt;0,O10,0)</f>
        <v>0</v>
      </c>
      <c r="O10" s="73" t="n">
        <f aca="false">L10-M10</f>
        <v>0</v>
      </c>
      <c r="W10" s="68"/>
      <c r="Z10" s="62"/>
      <c r="AA10" s="62"/>
      <c r="AB10" s="62"/>
    </row>
    <row r="11" customFormat="false" ht="13.5" hidden="false" customHeight="false" outlineLevel="0" collapsed="false">
      <c r="A11" s="61" t="s">
        <v>66</v>
      </c>
      <c r="B11" s="16" t="n">
        <f aca="false">AVERAGE(F59:F70)</f>
        <v>3.21733333333333</v>
      </c>
      <c r="C11" s="16" t="n">
        <f aca="false">AVERAGE(D57:D68)</f>
        <v>3.23083333333333</v>
      </c>
      <c r="D11" s="2" t="s">
        <v>9</v>
      </c>
      <c r="E11" s="78" t="n">
        <v>12</v>
      </c>
      <c r="F11" s="78" t="n">
        <v>3.75</v>
      </c>
      <c r="G11" s="78" t="n">
        <v>3.5</v>
      </c>
      <c r="H11" s="78" t="n">
        <v>3</v>
      </c>
      <c r="I11" s="64" t="s">
        <v>67</v>
      </c>
      <c r="K11" s="61" t="s">
        <v>68</v>
      </c>
      <c r="L11" s="72" t="n">
        <f aca="false">C11</f>
        <v>3.23083333333333</v>
      </c>
      <c r="M11" s="73" t="n">
        <f aca="false">C11</f>
        <v>3.23083333333333</v>
      </c>
      <c r="N11" s="73" t="n">
        <f aca="false">IF(L11&gt;0,O11,0)</f>
        <v>0</v>
      </c>
      <c r="O11" s="73" t="n">
        <f aca="false">L11-M11</f>
        <v>0</v>
      </c>
      <c r="W11" s="68"/>
      <c r="Z11" s="62"/>
      <c r="AA11" s="62"/>
      <c r="AB11" s="62"/>
    </row>
    <row r="12" customFormat="false" ht="13.5" hidden="false" customHeight="false" outlineLevel="0" collapsed="false">
      <c r="A12" s="61"/>
      <c r="B12" s="16"/>
      <c r="C12" s="16"/>
      <c r="D12" s="2" t="s">
        <v>1</v>
      </c>
      <c r="E12" s="16" t="e">
        <f aca="false">'opt calc'!$B21</f>
        <v>#VALUE!</v>
      </c>
      <c r="F12" s="16" t="e">
        <f aca="false">'opt calc'!$D21</f>
        <v>#VALUE!</v>
      </c>
      <c r="G12" s="16" t="e">
        <f aca="false">'opt calc'!$F21</f>
        <v>#VALUE!</v>
      </c>
      <c r="H12" s="16" t="e">
        <f aca="false">'opt calc'!$H21</f>
        <v>#VALUE!</v>
      </c>
      <c r="I12" s="64" t="s">
        <v>69</v>
      </c>
      <c r="K12" s="61"/>
      <c r="L12" s="79"/>
      <c r="M12" s="73"/>
      <c r="N12" s="73"/>
      <c r="O12" s="73"/>
      <c r="W12" s="68"/>
      <c r="Z12" s="62"/>
      <c r="AA12" s="62"/>
      <c r="AB12" s="62"/>
    </row>
    <row r="13" customFormat="false" ht="12.75" hidden="false" customHeight="false" outlineLevel="0" collapsed="false">
      <c r="A13" s="61"/>
      <c r="B13" s="16"/>
      <c r="C13" s="16"/>
      <c r="D13" s="2" t="s">
        <v>2</v>
      </c>
      <c r="E13" s="80" t="e">
        <f aca="false">'opt calc'!$B22</f>
        <v>#VALUE!</v>
      </c>
      <c r="F13" s="80" t="e">
        <f aca="false">'opt calc'!$D22</f>
        <v>#VALUE!</v>
      </c>
      <c r="G13" s="80" t="e">
        <f aca="false">'opt calc'!$F22</f>
        <v>#VALUE!</v>
      </c>
      <c r="H13" s="80" t="e">
        <f aca="false">'opt calc'!$H22</f>
        <v>#VALUE!</v>
      </c>
      <c r="I13" s="64" t="s">
        <v>70</v>
      </c>
      <c r="K13" s="61"/>
      <c r="L13" s="79"/>
      <c r="M13" s="73"/>
      <c r="N13" s="73"/>
      <c r="O13" s="73"/>
      <c r="W13" s="68"/>
      <c r="Z13" s="62"/>
      <c r="AA13" s="62"/>
      <c r="AB13" s="62"/>
    </row>
    <row r="14" customFormat="false" ht="12.75" hidden="false" customHeight="false" outlineLevel="0" collapsed="false">
      <c r="A14" s="61"/>
      <c r="B14" s="16" t="n">
        <f aca="false">29.9/4.78</f>
        <v>6.25523012552301</v>
      </c>
      <c r="C14" s="16"/>
      <c r="D14" s="2" t="s">
        <v>4</v>
      </c>
      <c r="E14" s="16" t="e">
        <f aca="false">'opt calc'!$B23</f>
        <v>#VALUE!</v>
      </c>
      <c r="F14" s="16" t="e">
        <f aca="false">'opt calc'!$D23</f>
        <v>#VALUE!</v>
      </c>
      <c r="G14" s="16" t="e">
        <f aca="false">'opt calc'!$F23</f>
        <v>#VALUE!</v>
      </c>
      <c r="H14" s="16" t="e">
        <f aca="false">'opt calc'!$H23</f>
        <v>#VALUE!</v>
      </c>
      <c r="I14" s="64" t="s">
        <v>71</v>
      </c>
      <c r="J14" s="64" t="s">
        <v>64</v>
      </c>
      <c r="K14" s="61" t="n">
        <f aca="false">SQRT(255)</f>
        <v>15.9687194226713</v>
      </c>
      <c r="L14" s="79" t="n">
        <f aca="false">(I18/K14)*F18</f>
        <v>0.157507933693737</v>
      </c>
      <c r="M14" s="73"/>
      <c r="N14" s="73"/>
      <c r="O14" s="73"/>
      <c r="W14" s="68"/>
      <c r="Z14" s="62"/>
      <c r="AA14" s="62"/>
      <c r="AB14" s="62"/>
    </row>
    <row r="15" customFormat="false" ht="12.75" hidden="false" customHeight="false" outlineLevel="0" collapsed="false">
      <c r="A15" s="61"/>
      <c r="B15" s="16"/>
      <c r="C15" s="16"/>
      <c r="E15" s="16" t="e">
        <f aca="false">E12-F12</f>
        <v>#VALUE!</v>
      </c>
      <c r="F15" s="81"/>
      <c r="G15" s="16" t="e">
        <f aca="false">G12-H12</f>
        <v>#VALUE!</v>
      </c>
      <c r="H15" s="82"/>
      <c r="I15" s="64" t="s">
        <v>72</v>
      </c>
      <c r="J15" s="64" t="s">
        <v>73</v>
      </c>
      <c r="K15" s="61"/>
      <c r="L15" s="79"/>
      <c r="M15" s="73"/>
      <c r="N15" s="73"/>
      <c r="O15" s="73"/>
      <c r="W15" s="68"/>
      <c r="Z15" s="62"/>
      <c r="AA15" s="62"/>
      <c r="AB15" s="62"/>
    </row>
    <row r="16" customFormat="false" ht="12.75" hidden="false" customHeight="false" outlineLevel="0" collapsed="false">
      <c r="A16" s="83"/>
      <c r="B16" s="83"/>
      <c r="E16" s="2" t="e">
        <f aca="false">E12-(F12*2)</f>
        <v>#VALUE!</v>
      </c>
      <c r="G16" s="84" t="s">
        <v>74</v>
      </c>
      <c r="H16" s="85"/>
      <c r="I16" s="64" t="s">
        <v>35</v>
      </c>
      <c r="J16" s="64" t="s">
        <v>75</v>
      </c>
      <c r="O16" s="2" t="s">
        <v>42</v>
      </c>
      <c r="W16" s="86" t="n">
        <f aca="false">W2</f>
        <v>1.5</v>
      </c>
      <c r="Z16" s="62"/>
      <c r="AA16" s="62"/>
      <c r="AB16" s="62"/>
    </row>
    <row r="17" customFormat="false" ht="13.5" hidden="false" customHeight="false" outlineLevel="0" collapsed="false">
      <c r="A17" s="87"/>
      <c r="B17" s="88" t="s">
        <v>0</v>
      </c>
      <c r="C17" s="88" t="s">
        <v>76</v>
      </c>
      <c r="D17" s="88" t="s">
        <v>74</v>
      </c>
      <c r="E17" s="88" t="s">
        <v>77</v>
      </c>
      <c r="F17" s="88" t="s">
        <v>78</v>
      </c>
      <c r="G17" s="88" t="s">
        <v>79</v>
      </c>
      <c r="H17" s="89" t="s">
        <v>80</v>
      </c>
      <c r="I17" s="88" t="s">
        <v>79</v>
      </c>
      <c r="J17" s="61" t="s">
        <v>81</v>
      </c>
      <c r="L17" s="88" t="s">
        <v>82</v>
      </c>
      <c r="M17" s="65" t="s">
        <v>83</v>
      </c>
      <c r="O17" s="2" t="s">
        <v>51</v>
      </c>
      <c r="P17" s="2" t="s">
        <v>43</v>
      </c>
      <c r="Q17" s="2" t="s">
        <v>16</v>
      </c>
      <c r="S17" s="2" t="s">
        <v>11</v>
      </c>
      <c r="T17" s="2" t="s">
        <v>81</v>
      </c>
      <c r="Z17" s="62"/>
      <c r="AA17" s="62"/>
    </row>
    <row r="18" customFormat="false" ht="12.75" hidden="false" customHeight="false" outlineLevel="0" collapsed="false">
      <c r="A18" s="83" t="n">
        <v>1</v>
      </c>
      <c r="B18" s="90" t="n">
        <v>36800</v>
      </c>
      <c r="C18" s="83" t="n">
        <f aca="false">IF(TSETTLE="SETTLE",Z18,AA18)</f>
        <v>5.31</v>
      </c>
      <c r="D18" s="83" t="n">
        <f aca="false">VLOOKUP($B18,curvesettle,2,FALSE())</f>
        <v>5.295</v>
      </c>
      <c r="E18" s="91" t="n">
        <f aca="false">N$5</f>
        <v>-0.0549999999999997</v>
      </c>
      <c r="F18" s="83" t="n">
        <f aca="false">IF(C$1="settle",D18,IF(C$1="EOL",D18+E18,IF(C18=0,D18,C18)))</f>
        <v>5.24</v>
      </c>
      <c r="G18" s="92" t="n">
        <f aca="false">VLOOKUP($B18,curvesettle,3,FALSE())</f>
        <v>0.48</v>
      </c>
      <c r="H18" s="92" t="n">
        <v>0</v>
      </c>
      <c r="I18" s="92" t="n">
        <f aca="false">G18+H18</f>
        <v>0.48</v>
      </c>
      <c r="J18" s="93" t="e">
        <f aca="true">bsd(1,3,$F18,$F18,$L18-TODAY(),$I18,$M18,W18/2)</f>
        <v>#VALUE!</v>
      </c>
      <c r="K18" s="2" t="n">
        <f aca="false">A18</f>
        <v>1</v>
      </c>
      <c r="L18" s="94" t="n">
        <f aca="false">VLOOKUP(B18,expiration,3,FALSE())</f>
        <v>36795</v>
      </c>
      <c r="M18" s="65" t="n">
        <f aca="false">VLOOKUP($B18,curvesettle,4,FALSE())</f>
        <v>0.067720515824946</v>
      </c>
      <c r="O18" s="40" t="n">
        <f aca="false">VLOOKUP(B18,curvesettle,HLOOKUP($O$16,curvesettle,2,FALSE()))</f>
        <v>-0.6625</v>
      </c>
      <c r="P18" s="2" t="n">
        <v>-0.015</v>
      </c>
      <c r="Q18" s="16" t="n">
        <f aca="false">P18+O18+F18</f>
        <v>4.5625</v>
      </c>
      <c r="R18" s="16" t="n">
        <v>2.87</v>
      </c>
      <c r="S18" s="92" t="n">
        <v>-0.01</v>
      </c>
      <c r="T18" s="93" t="e">
        <f aca="true">bsd(1,3,$Q18,$R18,$L18-TODAY()+1,$I18+S18,$M18,AD18/2)</f>
        <v>#VALUE!</v>
      </c>
      <c r="U18" s="93" t="e">
        <f aca="true">bsd(1,3,$Q18,$R18,$L18-TODAY()+1,$I18,$M18,AE18/2)</f>
        <v>#VALUE!</v>
      </c>
      <c r="V18" s="93" t="e">
        <f aca="true">bsd(2,3,$Q18,$Q18,$L18-TODAY()+1,$I18,$M18,AF18/2)</f>
        <v>#VALUE!</v>
      </c>
      <c r="Z18" s="83" t="n">
        <f aca="false">DDE("TWINDDE","RSFRecord","NGc1 cls")</f>
        <v>5.295</v>
      </c>
      <c r="AA18" s="83" t="n">
        <f aca="false">DDE("TWINDDE","RSFRecord","NGc1 LAST")</f>
        <v>5.31</v>
      </c>
    </row>
    <row r="19" customFormat="false" ht="12.75" hidden="false" customHeight="false" outlineLevel="0" collapsed="false">
      <c r="A19" s="83" t="n">
        <f aca="false">A18+1</f>
        <v>2</v>
      </c>
      <c r="B19" s="90" t="n">
        <v>36831</v>
      </c>
      <c r="C19" s="83" t="n">
        <f aca="false">IF(TSETTLE="SETTLE",Z19,AA19)</f>
        <v>5.455</v>
      </c>
      <c r="D19" s="83" t="n">
        <f aca="false">VLOOKUP($B19,curvesettle,2,FALSE())</f>
        <v>5.394</v>
      </c>
      <c r="E19" s="91" t="n">
        <f aca="false">N$6</f>
        <v>0.0317999999999996</v>
      </c>
      <c r="F19" s="83" t="n">
        <f aca="false">IF(C$1="settle",D19,IF(C$1="EOL",D19+E19,IF(C19=0,D19,C19)))</f>
        <v>5.4258</v>
      </c>
      <c r="G19" s="92" t="n">
        <f aca="false">VLOOKUP($B19,curvesettle,3,FALSE())</f>
        <v>0.52</v>
      </c>
      <c r="H19" s="92" t="n">
        <v>0</v>
      </c>
      <c r="I19" s="92" t="n">
        <f aca="false">G19+H19</f>
        <v>0.52</v>
      </c>
      <c r="J19" s="93" t="e">
        <f aca="true">bsd(1,3,$F19,$F19,$L19-TODAY(),$I19,$M19,W19/2)</f>
        <v>#VALUE!</v>
      </c>
      <c r="K19" s="2" t="n">
        <f aca="false">A19</f>
        <v>2</v>
      </c>
      <c r="L19" s="94" t="n">
        <f aca="false">VLOOKUP(B19,expiration,3,FALSE())</f>
        <v>36825</v>
      </c>
      <c r="M19" s="65" t="n">
        <f aca="false">VLOOKUP($B19,curvesettle,4,FALSE())</f>
        <v>0.068087889350767</v>
      </c>
      <c r="O19" s="40" t="n">
        <f aca="false">VLOOKUP(B19,curvesettle,HLOOKUP($O$16,curvesettle,2,FALSE()))</f>
        <v>-0.295</v>
      </c>
      <c r="P19" s="2" t="n">
        <v>-0.015</v>
      </c>
      <c r="Q19" s="16" t="n">
        <f aca="false">P19+O19+F19</f>
        <v>5.1158</v>
      </c>
      <c r="R19" s="16" t="n">
        <v>2.87</v>
      </c>
      <c r="S19" s="92" t="n">
        <v>-0.01</v>
      </c>
      <c r="T19" s="93" t="e">
        <f aca="true">bsd(1,3,$Q19,$R19,$L19-TODAY()+1,$I19+S19,$M19,AD19/2)</f>
        <v>#VALUE!</v>
      </c>
      <c r="U19" s="93" t="e">
        <f aca="true">bsd(1,3,$Q19,$R19,$L19-TODAY()+1,$I19,$M19,AE19/2)</f>
        <v>#VALUE!</v>
      </c>
      <c r="Z19" s="83" t="n">
        <f aca="false">DDE("TWINDDE","RSFRecord","NGc2 cls")</f>
        <v>5.3</v>
      </c>
      <c r="AA19" s="83" t="n">
        <f aca="false">DDE("TWINDDE","RSFRecord","NGc2 LAST")</f>
        <v>5.455</v>
      </c>
    </row>
    <row r="20" customFormat="false" ht="12.75" hidden="false" customHeight="false" outlineLevel="0" collapsed="false">
      <c r="A20" s="83" t="n">
        <f aca="false">A19+1</f>
        <v>3</v>
      </c>
      <c r="B20" s="90" t="n">
        <v>36861</v>
      </c>
      <c r="C20" s="83" t="n">
        <f aca="false">IF(TSETTLE="SETTLE",Z20,AA20)</f>
        <v>5.52</v>
      </c>
      <c r="D20" s="83" t="n">
        <f aca="false">VLOOKUP($B20,curvesettle,2,FALSE())</f>
        <v>5.495</v>
      </c>
      <c r="E20" s="91" t="n">
        <f aca="false">N$6</f>
        <v>0.0317999999999996</v>
      </c>
      <c r="F20" s="83" t="n">
        <f aca="false">IF(C$1="settle",D20,IF(C$1="EOL",D20+E20,IF(C20=0,D20,C20)))</f>
        <v>5.5268</v>
      </c>
      <c r="G20" s="92" t="n">
        <f aca="false">VLOOKUP($B20,curvesettle,3,FALSE())</f>
        <v>0.5725</v>
      </c>
      <c r="H20" s="92" t="n">
        <v>0</v>
      </c>
      <c r="I20" s="92" t="n">
        <f aca="false">G20+H20</f>
        <v>0.5725</v>
      </c>
      <c r="J20" s="93" t="e">
        <f aca="true">bsd(1,3,$F20,$F20,$L20-TODAY(),$I20,$M20,W20/2)</f>
        <v>#VALUE!</v>
      </c>
      <c r="K20" s="2" t="n">
        <f aca="false">A20</f>
        <v>3</v>
      </c>
      <c r="L20" s="94" t="n">
        <f aca="false">VLOOKUP(B20,expiration,3,FALSE())</f>
        <v>36857</v>
      </c>
      <c r="M20" s="65" t="n">
        <f aca="false">VLOOKUP($B20,curvesettle,4,FALSE())</f>
        <v>0.068102551581873</v>
      </c>
      <c r="O20" s="40" t="n">
        <f aca="false">VLOOKUP(B20,curvesettle,HLOOKUP($O$16,curvesettle,2,FALSE()))</f>
        <v>-0.22</v>
      </c>
      <c r="P20" s="2" t="n">
        <v>-0.015</v>
      </c>
      <c r="Q20" s="16" t="n">
        <f aca="false">P20+O20+F20</f>
        <v>5.2918</v>
      </c>
      <c r="R20" s="16" t="n">
        <v>2.88</v>
      </c>
      <c r="S20" s="92" t="n">
        <v>-0.01</v>
      </c>
      <c r="T20" s="93" t="e">
        <f aca="true">bsd(1,3,$Q20,$R20,$L20-TODAY()+1,$I20+S20,$M20,AD20/2)</f>
        <v>#VALUE!</v>
      </c>
      <c r="U20" s="93" t="e">
        <f aca="true">bsd(1,3,$Q20,$R20,$L20-TODAY()+1,$I20,$M20,AE20/2)</f>
        <v>#VALUE!</v>
      </c>
      <c r="Z20" s="83" t="n">
        <f aca="false">DDE("TWINDDE","RSFRecord","NGc3 cls")</f>
        <v>5.4</v>
      </c>
      <c r="AA20" s="83" t="n">
        <f aca="false">DDE("TWINDDE","RSFRecord","NGc3 LAST")</f>
        <v>5.52</v>
      </c>
    </row>
    <row r="21" customFormat="false" ht="12.75" hidden="false" customHeight="false" outlineLevel="0" collapsed="false">
      <c r="A21" s="83" t="n">
        <f aca="false">A20+1</f>
        <v>4</v>
      </c>
      <c r="B21" s="90" t="n">
        <v>36892</v>
      </c>
      <c r="C21" s="83" t="n">
        <f aca="false">IF(TSETTLE="SETTLE",Z21,AA21)</f>
        <v>5.251</v>
      </c>
      <c r="D21" s="83" t="n">
        <f aca="false">VLOOKUP($B21,curvesettle,2,FALSE())</f>
        <v>5.445</v>
      </c>
      <c r="E21" s="91" t="n">
        <f aca="false">N$6</f>
        <v>0.0317999999999996</v>
      </c>
      <c r="F21" s="83" t="n">
        <f aca="false">IF(C$1="settle",D21,IF(C$1="EOL",D21+E21,IF(C21=0,D21,C21)))</f>
        <v>5.4768</v>
      </c>
      <c r="G21" s="92" t="n">
        <f aca="false">VLOOKUP($B21,curvesettle,3,FALSE())</f>
        <v>0.6075</v>
      </c>
      <c r="H21" s="92" t="n">
        <v>0</v>
      </c>
      <c r="I21" s="92" t="n">
        <f aca="false">G21+H21</f>
        <v>0.6075</v>
      </c>
      <c r="J21" s="93" t="e">
        <f aca="true">bsd(1,3,$F21,$F21,$L21-TODAY(),$I21,$M21,W21/2)</f>
        <v>#VALUE!</v>
      </c>
      <c r="K21" s="2" t="n">
        <f aca="false">A21</f>
        <v>4</v>
      </c>
      <c r="L21" s="94" t="n">
        <f aca="false">VLOOKUP(B21,expiration,3,FALSE())</f>
        <v>36886</v>
      </c>
      <c r="M21" s="65" t="n">
        <f aca="false">VLOOKUP($B21,curvesettle,4,FALSE())</f>
        <v>0.068146567086238</v>
      </c>
      <c r="O21" s="40" t="n">
        <f aca="false">VLOOKUP(B21,curvesettle,HLOOKUP($O$16,curvesettle,2,FALSE()))</f>
        <v>-0.2175</v>
      </c>
      <c r="P21" s="2" t="n">
        <v>-0.015</v>
      </c>
      <c r="Q21" s="16" t="n">
        <f aca="false">P21+O21+F21</f>
        <v>5.2443</v>
      </c>
      <c r="R21" s="16" t="n">
        <v>2.88</v>
      </c>
      <c r="S21" s="92" t="n">
        <v>-0.03</v>
      </c>
      <c r="T21" s="93" t="e">
        <f aca="true">bsd(1,3,$Q21,$R21,$L21-TODAY()+1,$I21+S21,$M21,AD21/2)</f>
        <v>#VALUE!</v>
      </c>
      <c r="U21" s="93" t="e">
        <f aca="true">bsd(1,3,$Q21,$R21,$L21-TODAY()+1,$I21,$M21,AE21/2)</f>
        <v>#VALUE!</v>
      </c>
      <c r="Z21" s="83" t="n">
        <f aca="false">DDE("TWINDDE","RSFRecord","NGc4 cls")</f>
        <v>5.355</v>
      </c>
      <c r="AA21" s="83" t="n">
        <f aca="false">DDE("TWINDDE","RSFRecord","NGc4 LAST")</f>
        <v>5.251</v>
      </c>
    </row>
    <row r="22" customFormat="false" ht="12.75" hidden="false" customHeight="false" outlineLevel="0" collapsed="false">
      <c r="A22" s="83" t="n">
        <f aca="false">A21+1</f>
        <v>5</v>
      </c>
      <c r="B22" s="90" t="n">
        <v>36923</v>
      </c>
      <c r="C22" s="83" t="n">
        <f aca="false">IF(TSETTLE="SETTLE",Z22,AA22)</f>
        <v>5.175</v>
      </c>
      <c r="D22" s="83" t="n">
        <f aca="false">VLOOKUP($B22,curvesettle,2,FALSE())</f>
        <v>5.152</v>
      </c>
      <c r="E22" s="91" t="n">
        <f aca="false">N$6</f>
        <v>0.0317999999999996</v>
      </c>
      <c r="F22" s="83" t="n">
        <f aca="false">IF(C$1="settle",D22,IF(C$1="EOL",D22+E22,IF(C22=0,D22,C22)))</f>
        <v>5.1838</v>
      </c>
      <c r="G22" s="92" t="n">
        <f aca="false">VLOOKUP($B22,curvesettle,3,FALSE())</f>
        <v>0.5975</v>
      </c>
      <c r="H22" s="92" t="n">
        <v>0</v>
      </c>
      <c r="I22" s="92" t="n">
        <f aca="false">G22+H22</f>
        <v>0.5975</v>
      </c>
      <c r="J22" s="93" t="e">
        <f aca="true">bsd(1,3,$F22,$F22,$L22-TODAY(),$I22,$M22,W22/2)</f>
        <v>#VALUE!</v>
      </c>
      <c r="K22" s="2" t="n">
        <f aca="false">A22</f>
        <v>5</v>
      </c>
      <c r="L22" s="94" t="n">
        <f aca="false">VLOOKUP(B22,expiration,3,FALSE())</f>
        <v>36917</v>
      </c>
      <c r="M22" s="65" t="n">
        <f aca="false">VLOOKUP($B22,curvesettle,4,FALSE())</f>
        <v>0.068214589689939</v>
      </c>
      <c r="O22" s="40" t="n">
        <f aca="false">VLOOKUP(B22,curvesettle,HLOOKUP($O$16,curvesettle,2,FALSE()))</f>
        <v>-0.2225</v>
      </c>
      <c r="P22" s="2" t="n">
        <v>-0.015</v>
      </c>
      <c r="Q22" s="16" t="n">
        <f aca="false">P22+O22+F22</f>
        <v>4.9463</v>
      </c>
      <c r="R22" s="16" t="n">
        <v>2.88</v>
      </c>
      <c r="S22" s="92" t="n">
        <v>-0.03</v>
      </c>
      <c r="T22" s="93" t="e">
        <f aca="true">bsd(1,3,$Q22,$R22,$L22-TODAY()+1,$I22+S22,$M22,AD22/2)</f>
        <v>#VALUE!</v>
      </c>
      <c r="U22" s="93" t="e">
        <f aca="true">bsd(1,3,$Q22,$R22,$L22-TODAY()+1,$I22,$M22,AE22/2)</f>
        <v>#VALUE!</v>
      </c>
      <c r="Z22" s="83" t="n">
        <f aca="false">DDE("TWINDDE","RSFRecord","NGc5 cls")</f>
        <v>5.075</v>
      </c>
      <c r="AA22" s="83" t="n">
        <f aca="false">DDE("TWINDDE","RSFRecord","NGc5 LAST")</f>
        <v>5.175</v>
      </c>
    </row>
    <row r="23" customFormat="false" ht="12.75" hidden="false" customHeight="false" outlineLevel="0" collapsed="false">
      <c r="A23" s="83" t="n">
        <f aca="false">A22+1</f>
        <v>6</v>
      </c>
      <c r="B23" s="90" t="n">
        <v>36951</v>
      </c>
      <c r="C23" s="83" t="n">
        <f aca="false">IF(TSETTLE="SETTLE",Z23,AA23)</f>
        <v>0</v>
      </c>
      <c r="D23" s="83" t="n">
        <f aca="false">VLOOKUP($B23,curvesettle,2,FALSE())</f>
        <v>4.855</v>
      </c>
      <c r="E23" s="91" t="n">
        <f aca="false">N$6</f>
        <v>0.0317999999999996</v>
      </c>
      <c r="F23" s="83" t="n">
        <f aca="false">IF(C$1="settle",D23,IF(C$1="EOL",D23+E23,IF(C23=0,D23,C23)))</f>
        <v>4.8868</v>
      </c>
      <c r="G23" s="92" t="n">
        <f aca="false">VLOOKUP($B23,curvesettle,3,FALSE())</f>
        <v>0.5375</v>
      </c>
      <c r="H23" s="92" t="n">
        <v>0</v>
      </c>
      <c r="I23" s="92" t="n">
        <f aca="false">G23+H23</f>
        <v>0.5375</v>
      </c>
      <c r="J23" s="93" t="e">
        <f aca="true">bsd(1,3,$F23,$F23,$L23-TODAY(),$I23,$M23,W23/2)</f>
        <v>#VALUE!</v>
      </c>
      <c r="K23" s="2" t="n">
        <f aca="false">A23</f>
        <v>6</v>
      </c>
      <c r="L23" s="94" t="n">
        <f aca="false">VLOOKUP(B23,expiration,3,FALSE())</f>
        <v>36945</v>
      </c>
      <c r="M23" s="65" t="n">
        <f aca="false">VLOOKUP($B23,curvesettle,4,FALSE())</f>
        <v>0.068276029462339</v>
      </c>
      <c r="O23" s="40" t="n">
        <f aca="false">VLOOKUP(B23,curvesettle,HLOOKUP($O$16,curvesettle,2,FALSE()))</f>
        <v>-0.295</v>
      </c>
      <c r="Q23" s="16" t="n">
        <f aca="false">P23+O23+F23</f>
        <v>4.5918</v>
      </c>
      <c r="R23" s="16" t="n">
        <v>3</v>
      </c>
      <c r="S23" s="92" t="n">
        <v>-0.01</v>
      </c>
      <c r="T23" s="93" t="e">
        <f aca="true">bsd(1,3,$Q23,$R23,$L23-TODAY()+1,$I23+S23,$M23,AD23/2)</f>
        <v>#VALUE!</v>
      </c>
      <c r="U23" s="93" t="e">
        <f aca="true">bsd(1,3,$Q23,$R23,$L23-TODAY()+1,$I23,$M23,AE23/2)</f>
        <v>#VALUE!</v>
      </c>
      <c r="Z23" s="83" t="n">
        <f aca="false">DDE("TWINDDE","RSFRecord","NGc6 cls")</f>
        <v>4.785</v>
      </c>
      <c r="AA23" s="83" t="n">
        <f aca="false">DDE("TWINDDE","RSFRecord","NGc6 LAST")</f>
        <v>0</v>
      </c>
    </row>
    <row r="24" customFormat="false" ht="12.75" hidden="false" customHeight="false" outlineLevel="0" collapsed="false">
      <c r="A24" s="83" t="n">
        <f aca="false">A23+1</f>
        <v>7</v>
      </c>
      <c r="B24" s="90" t="n">
        <v>36982</v>
      </c>
      <c r="C24" s="83" t="n">
        <f aca="false">IF(TSETTLE="SETTLE",Z24,AA24)</f>
        <v>4.56</v>
      </c>
      <c r="D24" s="83" t="n">
        <f aca="false">VLOOKUP($B24,curvesettle,2,FALSE())</f>
        <v>4.55</v>
      </c>
      <c r="E24" s="91" t="n">
        <f aca="false">N$7</f>
        <v>0.0207142857142859</v>
      </c>
      <c r="F24" s="83" t="n">
        <f aca="false">IF(C$1="settle",D24,IF(C$1="EOL",D24+E24,IF(C24=0,D24,C24)))</f>
        <v>4.57071428571429</v>
      </c>
      <c r="G24" s="92" t="n">
        <f aca="false">VLOOKUP($B24,curvesettle,3,FALSE())</f>
        <v>0.435</v>
      </c>
      <c r="H24" s="92" t="n">
        <v>0</v>
      </c>
      <c r="I24" s="92" t="n">
        <f aca="false">G24+H24</f>
        <v>0.435</v>
      </c>
      <c r="J24" s="93" t="e">
        <f aca="true">bsd(1,3,$F24,$F24,$L24-TODAY(),$I24,$M24,W24/2)</f>
        <v>#VALUE!</v>
      </c>
      <c r="K24" s="2" t="n">
        <f aca="false">A24</f>
        <v>7</v>
      </c>
      <c r="L24" s="94" t="n">
        <f aca="false">VLOOKUP(B24,expiration,3,FALSE())</f>
        <v>36977</v>
      </c>
      <c r="M24" s="65" t="n">
        <f aca="false">VLOOKUP($B24,curvesettle,4,FALSE())</f>
        <v>0.068254674043478</v>
      </c>
      <c r="O24" s="40" t="n">
        <f aca="false">VLOOKUP(B24,curvesettle,HLOOKUP($O$16,curvesettle,2,FALSE()))</f>
        <v>-0.3</v>
      </c>
      <c r="Q24" s="16" t="n">
        <f aca="false">P24+O24+F24</f>
        <v>4.27071428571429</v>
      </c>
      <c r="R24" s="16" t="n">
        <v>3</v>
      </c>
      <c r="S24" s="92" t="n">
        <v>-0.01</v>
      </c>
      <c r="T24" s="93" t="e">
        <f aca="true">bsd(1,3,$Q24,$R24,$L24-TODAY()+1,$I24+S24,$M24,AD24/2)</f>
        <v>#VALUE!</v>
      </c>
      <c r="U24" s="93" t="e">
        <f aca="true">bsd(1,3,$Q24,$R24,$L24-TODAY()+1,$I24,$M24,AE24/2)</f>
        <v>#VALUE!</v>
      </c>
      <c r="Z24" s="83" t="n">
        <f aca="false">DDE("TWINDDE","RSFRecord","NGc7 cls")</f>
        <v>4.485</v>
      </c>
      <c r="AA24" s="83" t="n">
        <f aca="false">DDE("TWINDDE","RSFRecord","NGc7 LAST")</f>
        <v>4.56</v>
      </c>
    </row>
    <row r="25" customFormat="false" ht="12.75" hidden="false" customHeight="false" outlineLevel="0" collapsed="false">
      <c r="A25" s="83" t="n">
        <f aca="false">A24+1</f>
        <v>8</v>
      </c>
      <c r="B25" s="90" t="n">
        <v>37012</v>
      </c>
      <c r="C25" s="83" t="n">
        <f aca="false">IF(TSETTLE="SETTLE",Z25,AA25)</f>
        <v>0</v>
      </c>
      <c r="D25" s="83" t="n">
        <f aca="false">VLOOKUP($B25,curvesettle,2,FALSE())</f>
        <v>4.445</v>
      </c>
      <c r="E25" s="91" t="n">
        <f aca="false">N$7</f>
        <v>0.0207142857142859</v>
      </c>
      <c r="F25" s="83" t="n">
        <f aca="false">IF(C$1="settle",D25,IF(C$1="EOL",D25+E25,IF(C25=0,D25,C25)))</f>
        <v>4.46571428571429</v>
      </c>
      <c r="G25" s="92" t="n">
        <f aca="false">VLOOKUP($B25,curvesettle,3,FALSE())</f>
        <v>0.3975</v>
      </c>
      <c r="H25" s="92" t="n">
        <v>0</v>
      </c>
      <c r="I25" s="92" t="n">
        <f aca="false">G25+H25</f>
        <v>0.3975</v>
      </c>
      <c r="J25" s="93" t="e">
        <f aca="true">bsd(1,3,$F25,$F25,$L25-TODAY(),$I25,$M25,W25/2)</f>
        <v>#VALUE!</v>
      </c>
      <c r="K25" s="2" t="n">
        <f aca="false">A25</f>
        <v>8</v>
      </c>
      <c r="L25" s="94" t="n">
        <f aca="false">VLOOKUP(B25,expiration,3,FALSE())</f>
        <v>37006</v>
      </c>
      <c r="M25" s="65" t="n">
        <f aca="false">VLOOKUP($B25,curvesettle,4,FALSE())</f>
        <v>0.068096132754615</v>
      </c>
      <c r="O25" s="40" t="n">
        <f aca="false">VLOOKUP(B25,curvesettle,HLOOKUP($O$16,curvesettle,2,FALSE()))</f>
        <v>-0.3</v>
      </c>
      <c r="Q25" s="16" t="n">
        <f aca="false">P25+O25+F25</f>
        <v>4.16571428571429</v>
      </c>
      <c r="R25" s="16" t="n">
        <v>3</v>
      </c>
      <c r="S25" s="92" t="n">
        <v>-0.01</v>
      </c>
      <c r="T25" s="93" t="e">
        <f aca="true">bsd(1,3,$Q25,$R25,$L25-TODAY()+1,$I25+S25,$M25,AD25/2)</f>
        <v>#VALUE!</v>
      </c>
      <c r="U25" s="93" t="e">
        <f aca="true">bsd(1,3,$Q25,$R25,$L25-TODAY()+1,$I25,$M25,AE25/2)</f>
        <v>#VALUE!</v>
      </c>
      <c r="Z25" s="83" t="n">
        <f aca="false">DDE("TWINDDE","RSFRecord","NGc8 cls")</f>
        <v>4.38</v>
      </c>
      <c r="AA25" s="83" t="n">
        <f aca="false">DDE("TWINDDE","RSFRecord","NGc8 LAST")</f>
        <v>0</v>
      </c>
    </row>
    <row r="26" customFormat="false" ht="12.75" hidden="false" customHeight="false" outlineLevel="0" collapsed="false">
      <c r="A26" s="83" t="n">
        <f aca="false">A25+1</f>
        <v>9</v>
      </c>
      <c r="B26" s="90" t="n">
        <v>37043</v>
      </c>
      <c r="C26" s="83" t="n">
        <f aca="false">IF(TSETTLE="SETTLE",Z26,AA26)</f>
        <v>0</v>
      </c>
      <c r="D26" s="83" t="n">
        <f aca="false">VLOOKUP($B26,curvesettle,2,FALSE())</f>
        <v>4.42</v>
      </c>
      <c r="E26" s="91" t="n">
        <f aca="false">N$7</f>
        <v>0.0207142857142859</v>
      </c>
      <c r="F26" s="83" t="n">
        <f aca="false">IF(C$1="settle",D26,IF(C$1="EOL",D26+E26,IF(C26=0,D26,C26)))</f>
        <v>4.44071428571429</v>
      </c>
      <c r="G26" s="92" t="n">
        <f aca="false">VLOOKUP($B26,curvesettle,3,FALSE())</f>
        <v>0.3925</v>
      </c>
      <c r="H26" s="92" t="n">
        <v>0</v>
      </c>
      <c r="I26" s="92" t="n">
        <f aca="false">G26+H26</f>
        <v>0.3925</v>
      </c>
      <c r="J26" s="93" t="e">
        <f aca="true">bsd(1,3,$F26,$F26,$L26-TODAY(),$I26,$M26,W26/2)</f>
        <v>#VALUE!</v>
      </c>
      <c r="K26" s="2" t="n">
        <f aca="false">A26</f>
        <v>9</v>
      </c>
      <c r="L26" s="94" t="n">
        <f aca="false">VLOOKUP(B26,expiration,3,FALSE())</f>
        <v>37036</v>
      </c>
      <c r="M26" s="65" t="n">
        <f aca="false">VLOOKUP($B26,curvesettle,4,FALSE())</f>
        <v>0.067932306764864</v>
      </c>
      <c r="O26" s="40" t="n">
        <f aca="false">VLOOKUP(B26,curvesettle,HLOOKUP($O$16,curvesettle,2,FALSE()))</f>
        <v>-0.3</v>
      </c>
      <c r="Q26" s="16" t="n">
        <f aca="false">P26+O26+F26</f>
        <v>4.14071428571429</v>
      </c>
      <c r="R26" s="16" t="n">
        <v>3</v>
      </c>
      <c r="S26" s="92" t="n">
        <v>-0.01</v>
      </c>
      <c r="T26" s="93" t="e">
        <f aca="true">bsd(1,3,$Q26,$R26,$L26-TODAY()+1,$I26+S26,$M26,AD26/2)</f>
        <v>#VALUE!</v>
      </c>
      <c r="U26" s="93" t="e">
        <f aca="true">bsd(1,3,$Q26,$R26,$L26-TODAY()+1,$I26,$M26,AE26/2)</f>
        <v>#VALUE!</v>
      </c>
      <c r="Z26" s="83" t="n">
        <f aca="false">DDE("TWINDDE","RSFRecord","NGc9 cls")</f>
        <v>4.36</v>
      </c>
      <c r="AA26" s="83" t="n">
        <f aca="false">DDE("TWINDDE","RSFRecord","NGc9 LAST")</f>
        <v>0</v>
      </c>
    </row>
    <row r="27" customFormat="false" ht="12.75" hidden="false" customHeight="false" outlineLevel="0" collapsed="false">
      <c r="A27" s="83" t="n">
        <f aca="false">A26+1</f>
        <v>10</v>
      </c>
      <c r="B27" s="90" t="n">
        <v>37073</v>
      </c>
      <c r="C27" s="83" t="n">
        <f aca="false">IF(TSETTLE="SETTLE",Z27,AA27)</f>
        <v>0</v>
      </c>
      <c r="D27" s="83" t="n">
        <f aca="false">VLOOKUP($B27,curvesettle,2,FALSE())</f>
        <v>4.4</v>
      </c>
      <c r="E27" s="91" t="n">
        <f aca="false">N$7</f>
        <v>0.0207142857142859</v>
      </c>
      <c r="F27" s="83" t="n">
        <f aca="false">IF(C$1="settle",D27,IF(C$1="EOL",D27+E27,IF(C27=0,D27,C27)))</f>
        <v>4.42071428571429</v>
      </c>
      <c r="G27" s="92" t="n">
        <f aca="false">VLOOKUP($B27,curvesettle,3,FALSE())</f>
        <v>0.3925</v>
      </c>
      <c r="H27" s="92" t="n">
        <v>0</v>
      </c>
      <c r="I27" s="92" t="n">
        <f aca="false">G27+H27</f>
        <v>0.3925</v>
      </c>
      <c r="J27" s="93" t="e">
        <f aca="true">bsd(1,3,$F27,$F27,$L27-TODAY(),$I27,$M27,W27/2)</f>
        <v>#VALUE!</v>
      </c>
      <c r="K27" s="2" t="n">
        <f aca="false">A27</f>
        <v>10</v>
      </c>
      <c r="L27" s="94" t="n">
        <f aca="false">VLOOKUP(B27,expiration,3,FALSE())</f>
        <v>37068</v>
      </c>
      <c r="M27" s="65" t="n">
        <f aca="false">VLOOKUP($B27,curvesettle,4,FALSE())</f>
        <v>0.067795554865608</v>
      </c>
      <c r="O27" s="40" t="n">
        <f aca="false">VLOOKUP(B27,curvesettle,HLOOKUP($O$16,curvesettle,2,FALSE()))</f>
        <v>-0.3</v>
      </c>
      <c r="Q27" s="16" t="n">
        <f aca="false">P27+O27+F27</f>
        <v>4.12071428571429</v>
      </c>
      <c r="R27" s="16" t="n">
        <v>3</v>
      </c>
      <c r="S27" s="92" t="n">
        <v>-0.01</v>
      </c>
      <c r="T27" s="93" t="e">
        <f aca="true">bsd(1,3,$Q27,$R27,$L27-TODAY()+1,$I27+S27,$M27,AD27/2)</f>
        <v>#VALUE!</v>
      </c>
      <c r="U27" s="93" t="e">
        <f aca="true">bsd(1,3,$Q27,$R27,$L27-TODAY()+1,$I27,$M27,AE27/2)</f>
        <v>#VALUE!</v>
      </c>
      <c r="Z27" s="83" t="n">
        <f aca="false">DDE("TWINDDE","RSFRecord","NGc10 cls")</f>
        <v>4.34</v>
      </c>
      <c r="AA27" s="83" t="n">
        <f aca="false">DDE("TWINDDE","RSFRecord","NGc10 LAST")</f>
        <v>0</v>
      </c>
    </row>
    <row r="28" customFormat="false" ht="12.75" hidden="false" customHeight="false" outlineLevel="0" collapsed="false">
      <c r="A28" s="83" t="n">
        <f aca="false">A27+1</f>
        <v>11</v>
      </c>
      <c r="B28" s="90" t="n">
        <v>37104</v>
      </c>
      <c r="C28" s="83" t="n">
        <f aca="false">IF(TSETTLE="SETTLE",Z28,AA28)</f>
        <v>0</v>
      </c>
      <c r="D28" s="83" t="n">
        <f aca="false">VLOOKUP($B28,curvesettle,2,FALSE())</f>
        <v>4.39</v>
      </c>
      <c r="E28" s="91" t="n">
        <f aca="false">N$7</f>
        <v>0.0207142857142859</v>
      </c>
      <c r="F28" s="83" t="n">
        <f aca="false">IF(C$1="settle",D28,IF(C$1="EOL",D28+E28,IF(C28=0,D28,C28)))</f>
        <v>4.41071428571429</v>
      </c>
      <c r="G28" s="92" t="n">
        <f aca="false">VLOOKUP($B28,curvesettle,3,FALSE())</f>
        <v>0.3925</v>
      </c>
      <c r="H28" s="92" t="n">
        <v>0</v>
      </c>
      <c r="I28" s="92" t="n">
        <f aca="false">G28+H28</f>
        <v>0.3925</v>
      </c>
      <c r="J28" s="93" t="e">
        <f aca="true">bsd(1,3,$F28,$F28,$L28-TODAY(),$I28,$M28,W28/2)</f>
        <v>#VALUE!</v>
      </c>
      <c r="K28" s="2" t="n">
        <f aca="false">A28</f>
        <v>11</v>
      </c>
      <c r="L28" s="94" t="n">
        <f aca="false">VLOOKUP(B28,expiration,3,FALSE())</f>
        <v>37098</v>
      </c>
      <c r="M28" s="65" t="n">
        <f aca="false">VLOOKUP($B28,curvesettle,4,FALSE())</f>
        <v>0.067695044006758</v>
      </c>
      <c r="O28" s="40" t="n">
        <f aca="false">VLOOKUP(B28,curvesettle,HLOOKUP($O$16,curvesettle,2,FALSE()))</f>
        <v>-0.3</v>
      </c>
      <c r="Q28" s="16" t="n">
        <f aca="false">P28+O28+F28</f>
        <v>4.11071428571429</v>
      </c>
      <c r="R28" s="16" t="n">
        <v>3</v>
      </c>
      <c r="S28" s="92" t="n">
        <v>-0.01</v>
      </c>
      <c r="T28" s="93" t="e">
        <f aca="true">bsd(1,3,$Q28,$R28,$L28-TODAY()+1,$I28+S28,$M28,AD28/2)</f>
        <v>#VALUE!</v>
      </c>
      <c r="U28" s="93" t="e">
        <f aca="true">bsd(1,3,$Q28,$R28,$L28-TODAY()+1,$I28,$M28,AE28/2)</f>
        <v>#VALUE!</v>
      </c>
      <c r="Z28" s="83" t="n">
        <f aca="false">DDE("TWINDDE","RSFRecord","NGc11 cls")</f>
        <v>4.335</v>
      </c>
      <c r="AA28" s="83" t="n">
        <f aca="false">DDE("TWINDDE","RSFRecord","NGc11 LAST")</f>
        <v>0</v>
      </c>
    </row>
    <row r="29" customFormat="false" ht="12.75" hidden="false" customHeight="false" outlineLevel="0" collapsed="false">
      <c r="A29" s="83" t="n">
        <f aca="false">A28+1</f>
        <v>12</v>
      </c>
      <c r="B29" s="90" t="n">
        <v>37135</v>
      </c>
      <c r="C29" s="83" t="n">
        <f aca="false">IF(TSETTLE="SETTLE",Z29,AA29)</f>
        <v>0</v>
      </c>
      <c r="D29" s="83" t="n">
        <f aca="false">VLOOKUP($B29,curvesettle,2,FALSE())</f>
        <v>4.37</v>
      </c>
      <c r="E29" s="91" t="n">
        <f aca="false">N$7</f>
        <v>0.0207142857142859</v>
      </c>
      <c r="F29" s="83" t="n">
        <f aca="false">IF(C$1="settle",D29,IF(C$1="EOL",D29+E29,IF(C29=0,D29,C29)))</f>
        <v>4.39071428571429</v>
      </c>
      <c r="G29" s="92" t="n">
        <f aca="false">VLOOKUP($B29,curvesettle,3,FALSE())</f>
        <v>0.395</v>
      </c>
      <c r="H29" s="92" t="n">
        <v>0</v>
      </c>
      <c r="I29" s="92" t="n">
        <f aca="false">G29+H29</f>
        <v>0.395</v>
      </c>
      <c r="J29" s="93" t="e">
        <f aca="true">bsd(1,3,$F29,$F29,$L29-TODAY(),$I29,$M29,W29/2)</f>
        <v>#VALUE!</v>
      </c>
      <c r="K29" s="2" t="n">
        <f aca="false">A29</f>
        <v>12</v>
      </c>
      <c r="L29" s="94" t="n">
        <f aca="false">VLOOKUP(B29,expiration,3,FALSE())</f>
        <v>37131</v>
      </c>
      <c r="M29" s="65" t="n">
        <f aca="false">VLOOKUP($B29,curvesettle,4,FALSE())</f>
        <v>0.067594533151252</v>
      </c>
      <c r="O29" s="40" t="n">
        <f aca="false">VLOOKUP(B29,curvesettle,HLOOKUP($O$16,curvesettle,2,FALSE()))</f>
        <v>-0.3</v>
      </c>
      <c r="Z29" s="83" t="n">
        <f aca="false">DDE("TWINDDE","RSFRecord","NGc12 cls")</f>
        <v>4.32</v>
      </c>
      <c r="AA29" s="83" t="n">
        <f aca="false">DDE("TWINDDE","RSFRecord","NGc12 LAST")</f>
        <v>0</v>
      </c>
    </row>
    <row r="30" customFormat="false" ht="12.75" hidden="false" customHeight="false" outlineLevel="0" collapsed="false">
      <c r="A30" s="83" t="n">
        <f aca="false">A29+1</f>
        <v>13</v>
      </c>
      <c r="B30" s="90" t="n">
        <v>37165</v>
      </c>
      <c r="C30" s="83" t="n">
        <f aca="false">IF(TSETTLE="SETTLE",Z30,AA30)</f>
        <v>0</v>
      </c>
      <c r="D30" s="83" t="n">
        <f aca="false">VLOOKUP($B30,curvesettle,2,FALSE())</f>
        <v>4.36</v>
      </c>
      <c r="E30" s="91" t="n">
        <f aca="false">N$7</f>
        <v>0.0207142857142859</v>
      </c>
      <c r="F30" s="83" t="n">
        <f aca="false">IF(C$1="settle",D30,IF(C$1="EOL",D30+E30,IF(C30=0,D30,C30)))</f>
        <v>4.38071428571429</v>
      </c>
      <c r="G30" s="92" t="n">
        <f aca="false">VLOOKUP($B30,curvesettle,3,FALSE())</f>
        <v>0.4025</v>
      </c>
      <c r="H30" s="92" t="n">
        <v>0</v>
      </c>
      <c r="I30" s="92" t="n">
        <f aca="false">G30+H30</f>
        <v>0.4025</v>
      </c>
      <c r="J30" s="93" t="e">
        <f aca="true">bsd(1,3,$F30,$F30,$L30-TODAY(),$I30,$M30,W30/2)</f>
        <v>#VALUE!</v>
      </c>
      <c r="K30" s="2" t="n">
        <f aca="false">A30</f>
        <v>13</v>
      </c>
      <c r="L30" s="94" t="n">
        <f aca="false">VLOOKUP(B30,expiration,3,FALSE())</f>
        <v>37159</v>
      </c>
      <c r="M30" s="65" t="n">
        <f aca="false">VLOOKUP($B30,curvesettle,4,FALSE())</f>
        <v>0.067509261584356</v>
      </c>
      <c r="O30" s="40" t="n">
        <f aca="false">VLOOKUP(B30,curvesettle,HLOOKUP($O$16,curvesettle,2,FALSE()))</f>
        <v>-0.3</v>
      </c>
      <c r="Z30" s="83" t="n">
        <f aca="false">DDE("TWINDDE","RSFRecord","NGc13 cls")</f>
        <v>4.31</v>
      </c>
      <c r="AA30" s="83" t="n">
        <f aca="false">DDE("TWINDDE","RSFRecord","NGc13 LAST")</f>
        <v>0</v>
      </c>
    </row>
    <row r="31" customFormat="false" ht="12.75" hidden="false" customHeight="false" outlineLevel="0" collapsed="false">
      <c r="A31" s="83" t="n">
        <f aca="false">A30+1</f>
        <v>14</v>
      </c>
      <c r="B31" s="90" t="n">
        <v>37196</v>
      </c>
      <c r="C31" s="83" t="n">
        <f aca="false">IF(TSETTLE="SETTLE",Z31,AA31)</f>
        <v>0</v>
      </c>
      <c r="D31" s="83" t="n">
        <f aca="false">VLOOKUP($B31,curvesettle,2,FALSE())</f>
        <v>4.465</v>
      </c>
      <c r="E31" s="91" t="n">
        <f aca="false">N$8</f>
        <v>0.0209999999999999</v>
      </c>
      <c r="F31" s="83" t="n">
        <f aca="false">IF(C$1="settle",D31,IF(C$1="EOL",D31+E31,IF(C31=0,D31,C31)))</f>
        <v>4.486</v>
      </c>
      <c r="G31" s="92" t="n">
        <f aca="false">VLOOKUP($B31,curvesettle,3,FALSE())</f>
        <v>0.4075</v>
      </c>
      <c r="H31" s="92" t="n">
        <v>0</v>
      </c>
      <c r="I31" s="92" t="n">
        <f aca="false">G31+H31</f>
        <v>0.4075</v>
      </c>
      <c r="J31" s="93" t="e">
        <f aca="true">bsd(1,3,$F31,$F31,$L31-TODAY(),$I31,$M31,W31/2)</f>
        <v>#VALUE!</v>
      </c>
      <c r="K31" s="2" t="n">
        <f aca="false">A31</f>
        <v>14</v>
      </c>
      <c r="L31" s="94" t="n">
        <f aca="false">VLOOKUP(B31,expiration,3,FALSE())</f>
        <v>37190</v>
      </c>
      <c r="M31" s="65" t="n">
        <f aca="false">VLOOKUP($B31,curvesettle,4,FALSE())</f>
        <v>0.067440746905213</v>
      </c>
      <c r="O31" s="40" t="n">
        <f aca="false">VLOOKUP(B31,curvesettle,HLOOKUP($O$16,curvesettle,2,FALSE()))</f>
        <v>-0.2675</v>
      </c>
      <c r="Z31" s="83" t="n">
        <f aca="false">DDE("TWINDDE","RSFRecord","NGc14 cls")</f>
        <v>4.415</v>
      </c>
      <c r="AA31" s="83" t="n">
        <f aca="false">DDE("TWINDDE","RSFRecord","NGc14 LAST")</f>
        <v>0</v>
      </c>
    </row>
    <row r="32" customFormat="false" ht="12.75" hidden="false" customHeight="false" outlineLevel="0" collapsed="false">
      <c r="A32" s="83" t="n">
        <f aca="false">A31+1</f>
        <v>15</v>
      </c>
      <c r="B32" s="90" t="n">
        <v>37226</v>
      </c>
      <c r="C32" s="83" t="n">
        <f aca="false">IF(TSETTLE="SETTLE",Z32,AA32)</f>
        <v>0</v>
      </c>
      <c r="D32" s="83" t="n">
        <f aca="false">VLOOKUP($B32,curvesettle,2,FALSE())</f>
        <v>4.56</v>
      </c>
      <c r="E32" s="91" t="n">
        <f aca="false">N$8</f>
        <v>0.0209999999999999</v>
      </c>
      <c r="F32" s="83" t="n">
        <f aca="false">IF(C$1="settle",D32,IF(C$1="EOL",D32+E32,IF(C32=0,D32,C32)))</f>
        <v>4.581</v>
      </c>
      <c r="G32" s="92" t="n">
        <f aca="false">VLOOKUP($B32,curvesettle,3,FALSE())</f>
        <v>0.4125</v>
      </c>
      <c r="H32" s="92" t="n">
        <v>0</v>
      </c>
      <c r="I32" s="92" t="n">
        <f aca="false">G32+H32</f>
        <v>0.4125</v>
      </c>
      <c r="J32" s="93" t="e">
        <f aca="true">bsd(1,3,$F32,$F32,$L32-TODAY(),$I32,$M32,W32/2)</f>
        <v>#VALUE!</v>
      </c>
      <c r="K32" s="2" t="n">
        <f aca="false">A32</f>
        <v>15</v>
      </c>
      <c r="L32" s="94" t="n">
        <f aca="false">VLOOKUP(B32,expiration,3,FALSE())</f>
        <v>37222</v>
      </c>
      <c r="M32" s="65" t="n">
        <f aca="false">VLOOKUP($B32,curvesettle,4,FALSE())</f>
        <v>0.06737444237849</v>
      </c>
      <c r="O32" s="40" t="n">
        <f aca="false">VLOOKUP(B32,curvesettle,HLOOKUP($O$16,curvesettle,2,FALSE()))</f>
        <v>-0.2675</v>
      </c>
      <c r="Z32" s="83" t="n">
        <f aca="false">DDE("TWINDDE","RSFRecord","NGc15 cls")</f>
        <v>4.51</v>
      </c>
      <c r="AA32" s="83" t="n">
        <f aca="false">DDE("TWINDDE","RSFRecord","NGc15 LAST")</f>
        <v>0</v>
      </c>
    </row>
    <row r="33" customFormat="false" ht="12.75" hidden="false" customHeight="false" outlineLevel="0" collapsed="false">
      <c r="A33" s="83" t="n">
        <f aca="false">A32+1</f>
        <v>16</v>
      </c>
      <c r="B33" s="90" t="n">
        <v>37257</v>
      </c>
      <c r="C33" s="83" t="n">
        <f aca="false">IF(TSETTLE="SETTLE",Z33,AA33)</f>
        <v>0</v>
      </c>
      <c r="D33" s="83" t="n">
        <f aca="false">VLOOKUP($B33,curvesettle,2,FALSE())</f>
        <v>4.525</v>
      </c>
      <c r="E33" s="91" t="n">
        <f aca="false">N$8</f>
        <v>0.0209999999999999</v>
      </c>
      <c r="F33" s="83" t="n">
        <f aca="false">IF(C$1="settle",D33,IF(C$1="EOL",D33+E33,IF(C33=0,D33,C33)))</f>
        <v>4.546</v>
      </c>
      <c r="G33" s="92" t="n">
        <f aca="false">VLOOKUP($B33,curvesettle,3,FALSE())</f>
        <v>0.4175</v>
      </c>
      <c r="H33" s="92" t="n">
        <v>0</v>
      </c>
      <c r="I33" s="92" t="n">
        <f aca="false">G33+H33</f>
        <v>0.4175</v>
      </c>
      <c r="J33" s="93" t="e">
        <f aca="true">bsd(1,3,$F33,$F33,$L33-TODAY(),$I33,$M33,W33/2)</f>
        <v>#VALUE!</v>
      </c>
      <c r="K33" s="2" t="n">
        <f aca="false">A33</f>
        <v>16</v>
      </c>
      <c r="L33" s="94" t="n">
        <f aca="false">VLOOKUP(B33,expiration,3,FALSE())</f>
        <v>37251</v>
      </c>
      <c r="M33" s="65" t="n">
        <f aca="false">VLOOKUP($B33,curvesettle,4,FALSE())</f>
        <v>0.067333198956693</v>
      </c>
      <c r="O33" s="40" t="n">
        <f aca="false">VLOOKUP(B33,curvesettle,HLOOKUP($O$16,curvesettle,2,FALSE()))</f>
        <v>-0.2675</v>
      </c>
      <c r="Z33" s="83" t="n">
        <f aca="false">DDE("TWINDDE","RSFRecord","NGc16 cls")</f>
        <v>4.48</v>
      </c>
      <c r="AA33" s="83" t="n">
        <f aca="false">DDE("TWINDDE","RSFRecord","NGc16 LAST")</f>
        <v>0</v>
      </c>
    </row>
    <row r="34" customFormat="false" ht="12.75" hidden="false" customHeight="false" outlineLevel="0" collapsed="false">
      <c r="A34" s="83" t="n">
        <f aca="false">A33+1</f>
        <v>17</v>
      </c>
      <c r="B34" s="90" t="n">
        <v>37288</v>
      </c>
      <c r="C34" s="83" t="n">
        <f aca="false">IF(TSETTLE="SETTLE",Z34,AA34)</f>
        <v>0</v>
      </c>
      <c r="D34" s="83" t="n">
        <f aca="false">VLOOKUP($B34,curvesettle,2,FALSE())</f>
        <v>4.3</v>
      </c>
      <c r="E34" s="91" t="n">
        <f aca="false">N$8</f>
        <v>0.0209999999999999</v>
      </c>
      <c r="F34" s="83" t="n">
        <f aca="false">IF(C$1="settle",D34,IF(C$1="EOL",D34+E34,IF(C34=0,D34,C34)))</f>
        <v>4.321</v>
      </c>
      <c r="G34" s="92" t="n">
        <f aca="false">VLOOKUP($B34,curvesettle,3,FALSE())</f>
        <v>0.4075</v>
      </c>
      <c r="H34" s="92" t="n">
        <v>0</v>
      </c>
      <c r="I34" s="92" t="n">
        <f aca="false">G34+H34</f>
        <v>0.4075</v>
      </c>
      <c r="J34" s="93" t="e">
        <f aca="true">bsd(1,3,$F34,$F34,$L34-TODAY(),$I34,$M34,W34/2)</f>
        <v>#VALUE!</v>
      </c>
      <c r="K34" s="2" t="n">
        <f aca="false">A34</f>
        <v>17</v>
      </c>
      <c r="L34" s="94" t="n">
        <f aca="false">VLOOKUP(B34,expiration,3,FALSE())</f>
        <v>37284</v>
      </c>
      <c r="M34" s="65" t="n">
        <f aca="false">VLOOKUP($B34,curvesettle,4,FALSE())</f>
        <v>0.067329715733591</v>
      </c>
      <c r="O34" s="40" t="n">
        <f aca="false">VLOOKUP(B34,curvesettle,HLOOKUP($O$16,curvesettle,2,FALSE()))</f>
        <v>-0.2675</v>
      </c>
      <c r="Z34" s="83" t="n">
        <f aca="false">DDE("TWINDDE","RSFRecord","NGc17 cls")</f>
        <v>4.26</v>
      </c>
      <c r="AA34" s="83" t="n">
        <f aca="false">DDE("TWINDDE","RSFRecord","NGc17 LAST")</f>
        <v>0</v>
      </c>
    </row>
    <row r="35" customFormat="false" ht="12.75" hidden="false" customHeight="false" outlineLevel="0" collapsed="false">
      <c r="A35" s="83" t="n">
        <f aca="false">A34+1</f>
        <v>18</v>
      </c>
      <c r="B35" s="90" t="n">
        <v>37316</v>
      </c>
      <c r="C35" s="83" t="n">
        <f aca="false">IF(TSETTLE="SETTLE",Z35,AA35)</f>
        <v>0</v>
      </c>
      <c r="D35" s="83" t="n">
        <f aca="false">VLOOKUP($B35,curvesettle,2,FALSE())</f>
        <v>4.07</v>
      </c>
      <c r="E35" s="91" t="n">
        <f aca="false">N$8</f>
        <v>0.0209999999999999</v>
      </c>
      <c r="F35" s="83" t="n">
        <f aca="false">IF(C$1="settle",D35,IF(C$1="EOL",D35+E35,IF(C35=0,D35,C35)))</f>
        <v>4.091</v>
      </c>
      <c r="G35" s="92" t="n">
        <f aca="false">VLOOKUP($B35,curvesettle,3,FALSE())</f>
        <v>0.3675</v>
      </c>
      <c r="H35" s="92" t="n">
        <v>0</v>
      </c>
      <c r="I35" s="92" t="n">
        <f aca="false">G35+H35</f>
        <v>0.3675</v>
      </c>
      <c r="J35" s="93" t="e">
        <f aca="true">bsd(1,3,$F35,$F35,$L35-TODAY(),$I35,$M35,W35/2)</f>
        <v>#VALUE!</v>
      </c>
      <c r="K35" s="2" t="n">
        <f aca="false">A35</f>
        <v>18</v>
      </c>
      <c r="L35" s="94" t="n">
        <f aca="false">VLOOKUP(B35,expiration,3,FALSE())</f>
        <v>37312</v>
      </c>
      <c r="M35" s="65" t="n">
        <f aca="false">VLOOKUP($B35,curvesettle,4,FALSE())</f>
        <v>0.067326569596599</v>
      </c>
      <c r="O35" s="40" t="n">
        <f aca="false">VLOOKUP(B35,curvesettle,HLOOKUP($O$16,curvesettle,2,FALSE()))</f>
        <v>-0.2675</v>
      </c>
      <c r="Z35" s="83" t="n">
        <f aca="false">DDE("TWINDDE","RSFRecord","NGc18 cls")</f>
        <v>4.04</v>
      </c>
      <c r="AA35" s="83" t="n">
        <f aca="false">DDE("TWINDDE","RSFRecord","NGc18 LAST")</f>
        <v>0</v>
      </c>
    </row>
    <row r="36" customFormat="false" ht="12.75" hidden="false" customHeight="false" outlineLevel="0" collapsed="false">
      <c r="A36" s="83" t="n">
        <f aca="false">A35+1</f>
        <v>19</v>
      </c>
      <c r="B36" s="90" t="n">
        <v>37347</v>
      </c>
      <c r="C36" s="83" t="n">
        <f aca="false">IF(TSETTLE="SETTLE",Z36,AA36)</f>
        <v>0</v>
      </c>
      <c r="D36" s="83" t="n">
        <f aca="false">VLOOKUP($B36,curvesettle,2,FALSE())</f>
        <v>3.81</v>
      </c>
      <c r="E36" s="91" t="n">
        <f aca="false">N$9</f>
        <v>0</v>
      </c>
      <c r="F36" s="83" t="n">
        <f aca="false">IF(C$1="settle",D36,IF(C$1="EOL",D36+E36,IF(C36=0,D36,C36)))</f>
        <v>3.81</v>
      </c>
      <c r="G36" s="92" t="n">
        <f aca="false">VLOOKUP($B36,curvesettle,3,FALSE())</f>
        <v>0.3075</v>
      </c>
      <c r="H36" s="92" t="n">
        <v>0</v>
      </c>
      <c r="I36" s="92" t="n">
        <f aca="false">G36+H36</f>
        <v>0.3075</v>
      </c>
      <c r="J36" s="93" t="e">
        <f aca="true">bsd(1,3,$F36,$F36,$L36-TODAY(),$I36,$M36,W36/2)</f>
        <v>#VALUE!</v>
      </c>
      <c r="K36" s="2" t="n">
        <f aca="false">A36</f>
        <v>19</v>
      </c>
      <c r="L36" s="94" t="n">
        <f aca="false">VLOOKUP(B36,expiration,3,FALSE())</f>
        <v>37340</v>
      </c>
      <c r="M36" s="65" t="n">
        <f aca="false">VLOOKUP($B36,curvesettle,4,FALSE())</f>
        <v>0.067312742785332</v>
      </c>
      <c r="O36" s="40" t="n">
        <f aca="false">VLOOKUP(B36,curvesettle,HLOOKUP($O$16,curvesettle,2,FALSE()))</f>
        <v>-0.21</v>
      </c>
      <c r="Z36" s="83" t="n">
        <f aca="false">DDE("TWINDDE","RSFRecord","NGc19 cls")</f>
        <v>3.79</v>
      </c>
      <c r="AA36" s="83" t="n">
        <f aca="false">DDE("TWINDDE","RSFRecord","NGc19 LAST")</f>
        <v>0</v>
      </c>
    </row>
    <row r="37" customFormat="false" ht="12.75" hidden="false" customHeight="false" outlineLevel="0" collapsed="false">
      <c r="A37" s="83" t="n">
        <f aca="false">A36+1</f>
        <v>20</v>
      </c>
      <c r="B37" s="90" t="n">
        <v>37377</v>
      </c>
      <c r="C37" s="83" t="n">
        <f aca="false">IF(TSETTLE="SETTLE",Z37,AA37)</f>
        <v>0</v>
      </c>
      <c r="D37" s="83" t="n">
        <f aca="false">VLOOKUP($B37,curvesettle,2,FALSE())</f>
        <v>3.71</v>
      </c>
      <c r="E37" s="91" t="n">
        <f aca="false">N$9</f>
        <v>0</v>
      </c>
      <c r="F37" s="83" t="n">
        <f aca="false">IF(C$1="settle",D37,IF(C$1="EOL",D37+E37,IF(C37=0,D37,C37)))</f>
        <v>3.71</v>
      </c>
      <c r="G37" s="92" t="n">
        <f aca="false">VLOOKUP($B37,curvesettle,3,FALSE())</f>
        <v>0.2925</v>
      </c>
      <c r="H37" s="92" t="n">
        <v>0</v>
      </c>
      <c r="I37" s="92" t="n">
        <f aca="false">G37+H37</f>
        <v>0.2925</v>
      </c>
      <c r="J37" s="93" t="e">
        <f aca="true">bsd(1,3,$F37,$F37,$L37-TODAY(),$I37,$M37,W37/2)</f>
        <v>#VALUE!</v>
      </c>
      <c r="K37" s="2" t="n">
        <f aca="false">A37</f>
        <v>20</v>
      </c>
      <c r="L37" s="94" t="n">
        <f aca="false">VLOOKUP(B37,expiration,3,FALSE())</f>
        <v>37371</v>
      </c>
      <c r="M37" s="65" t="n">
        <f aca="false">VLOOKUP($B37,curvesettle,4,FALSE())</f>
        <v>0.067283554328081</v>
      </c>
      <c r="O37" s="40" t="n">
        <f aca="false">VLOOKUP(B37,curvesettle,HLOOKUP($O$16,curvesettle,2,FALSE()))</f>
        <v>-0.21</v>
      </c>
      <c r="Z37" s="83" t="n">
        <f aca="false">DDE("TWINDDE","RSFRecord","NGc20 cls")</f>
        <v>3.69</v>
      </c>
      <c r="AA37" s="83" t="n">
        <f aca="false">DDE("TWINDDE","RSFRecord","NGc20 LAST")</f>
        <v>0</v>
      </c>
    </row>
    <row r="38" customFormat="false" ht="12.75" hidden="false" customHeight="false" outlineLevel="0" collapsed="false">
      <c r="A38" s="83" t="n">
        <f aca="false">A37+1</f>
        <v>21</v>
      </c>
      <c r="B38" s="90" t="n">
        <v>37408</v>
      </c>
      <c r="C38" s="83" t="n">
        <f aca="false">IF(TSETTLE="SETTLE",Z38,AA38)</f>
        <v>0</v>
      </c>
      <c r="D38" s="83" t="n">
        <f aca="false">VLOOKUP($B38,curvesettle,2,FALSE())</f>
        <v>3.69</v>
      </c>
      <c r="E38" s="91" t="n">
        <f aca="false">N$9</f>
        <v>0</v>
      </c>
      <c r="F38" s="83" t="n">
        <f aca="false">IF(C$1="settle",D38,IF(C$1="EOL",D38+E38,IF(C38=0,D38,C38)))</f>
        <v>3.69</v>
      </c>
      <c r="G38" s="92" t="n">
        <f aca="false">VLOOKUP($B38,curvesettle,3,FALSE())</f>
        <v>0.29</v>
      </c>
      <c r="H38" s="92" t="n">
        <v>0</v>
      </c>
      <c r="I38" s="92" t="n">
        <f aca="false">G38+H38</f>
        <v>0.29</v>
      </c>
      <c r="J38" s="93" t="e">
        <f aca="true">bsd(1,3,$F38,$F38,$L38-TODAY(),$I38,$M38,W38/2)</f>
        <v>#VALUE!</v>
      </c>
      <c r="K38" s="2" t="n">
        <f aca="false">A38</f>
        <v>21</v>
      </c>
      <c r="L38" s="94" t="n">
        <f aca="false">VLOOKUP(B38,expiration,3,FALSE())</f>
        <v>37404</v>
      </c>
      <c r="M38" s="65" t="n">
        <f aca="false">VLOOKUP($B38,curvesettle,4,FALSE())</f>
        <v>0.067253392922551</v>
      </c>
      <c r="O38" s="40" t="n">
        <f aca="false">VLOOKUP(B38,curvesettle,HLOOKUP($O$16,curvesettle,2,FALSE()))</f>
        <v>-0.21</v>
      </c>
      <c r="Z38" s="83" t="n">
        <f aca="false">DDE("TWINDDE","RSFRecord","NGc21 cls")</f>
        <v>3.67</v>
      </c>
      <c r="AA38" s="83" t="n">
        <f aca="false">DDE("TWINDDE","RSFRecord","NGc21 LAST")</f>
        <v>0</v>
      </c>
    </row>
    <row r="39" customFormat="false" ht="12.75" hidden="false" customHeight="false" outlineLevel="0" collapsed="false">
      <c r="A39" s="83" t="n">
        <f aca="false">A38+1</f>
        <v>22</v>
      </c>
      <c r="B39" s="90" t="n">
        <v>37438</v>
      </c>
      <c r="C39" s="83" t="n">
        <f aca="false">IF(TSETTLE="SETTLE",Z39,AA39)</f>
        <v>0</v>
      </c>
      <c r="D39" s="83" t="n">
        <f aca="false">VLOOKUP($B39,curvesettle,2,FALSE())</f>
        <v>3.7</v>
      </c>
      <c r="E39" s="91" t="n">
        <f aca="false">N$9</f>
        <v>0</v>
      </c>
      <c r="F39" s="83" t="n">
        <f aca="false">IF(C$1="settle",D39,IF(C$1="EOL",D39+E39,IF(C39=0,D39,C39)))</f>
        <v>3.7</v>
      </c>
      <c r="G39" s="92" t="n">
        <f aca="false">VLOOKUP($B39,curvesettle,3,FALSE())</f>
        <v>0.29</v>
      </c>
      <c r="H39" s="92" t="n">
        <v>0</v>
      </c>
      <c r="I39" s="92" t="n">
        <f aca="false">G39+H39</f>
        <v>0.29</v>
      </c>
      <c r="J39" s="93" t="e">
        <f aca="true">bsd(1,3,$F39,$F39,$L39-TODAY(),$I39,$M39,W39/2)</f>
        <v>#VALUE!</v>
      </c>
      <c r="K39" s="2" t="n">
        <f aca="false">A39</f>
        <v>22</v>
      </c>
      <c r="L39" s="94" t="n">
        <f aca="false">VLOOKUP(B39,expiration,3,FALSE())</f>
        <v>37432</v>
      </c>
      <c r="M39" s="65" t="n">
        <f aca="false">VLOOKUP($B39,curvesettle,4,FALSE())</f>
        <v>0.067230480386273</v>
      </c>
      <c r="O39" s="40" t="n">
        <f aca="false">VLOOKUP(B39,curvesettle,HLOOKUP($O$16,curvesettle,2,FALSE()))</f>
        <v>-0.21</v>
      </c>
      <c r="Z39" s="83" t="n">
        <f aca="false">DDE("TWINDDE","RSFRecord","NGc22 cls")</f>
        <v>3.675</v>
      </c>
      <c r="AA39" s="83" t="n">
        <f aca="false">DDE("TWINDDE","RSFRecord","NGc22 LAST")</f>
        <v>0</v>
      </c>
      <c r="AB39" s="69"/>
    </row>
    <row r="40" customFormat="false" ht="12.75" hidden="false" customHeight="false" outlineLevel="0" collapsed="false">
      <c r="A40" s="83" t="n">
        <f aca="false">A39+1</f>
        <v>23</v>
      </c>
      <c r="B40" s="90" t="n">
        <v>37469</v>
      </c>
      <c r="C40" s="83" t="n">
        <f aca="false">IF(TSETTLE="SETTLE",Z40,AA40)</f>
        <v>0</v>
      </c>
      <c r="D40" s="83" t="n">
        <f aca="false">VLOOKUP($B40,curvesettle,2,FALSE())</f>
        <v>3.71</v>
      </c>
      <c r="E40" s="91" t="n">
        <f aca="false">N$9</f>
        <v>0</v>
      </c>
      <c r="F40" s="83" t="n">
        <f aca="false">IF(C$1="settle",D40,IF(C$1="EOL",D40+E40,IF(C40=0,D40,C40)))</f>
        <v>3.71</v>
      </c>
      <c r="G40" s="92" t="n">
        <f aca="false">VLOOKUP($B40,curvesettle,3,FALSE())</f>
        <v>0.29</v>
      </c>
      <c r="H40" s="92" t="n">
        <v>0</v>
      </c>
      <c r="I40" s="92" t="n">
        <f aca="false">G40+H40</f>
        <v>0.29</v>
      </c>
      <c r="J40" s="93" t="e">
        <f aca="true">bsd(1,3,$F40,$F40,$L40-TODAY(),$I40,$M40,W40/2)</f>
        <v>#VALUE!</v>
      </c>
      <c r="K40" s="2" t="n">
        <f aca="false">A40</f>
        <v>23</v>
      </c>
      <c r="L40" s="94" t="n">
        <f aca="false">VLOOKUP(B40,expiration,3,FALSE())</f>
        <v>37463</v>
      </c>
      <c r="M40" s="65" t="n">
        <f aca="false">VLOOKUP($B40,curvesettle,4,FALSE())</f>
        <v>0.067217129309422</v>
      </c>
      <c r="O40" s="40" t="n">
        <f aca="false">VLOOKUP(B40,curvesettle,HLOOKUP($O$16,curvesettle,2,FALSE()))</f>
        <v>-0.21</v>
      </c>
      <c r="Z40" s="83" t="n">
        <f aca="false">DDE("TWINDDE","RSFRecord","NGc23 cls")</f>
        <v>3.68</v>
      </c>
      <c r="AA40" s="83" t="n">
        <f aca="false">DDE("TWINDDE","RSFRecord","NGc23 LAST")</f>
        <v>0</v>
      </c>
      <c r="AB40" s="69"/>
    </row>
    <row r="41" customFormat="false" ht="12.75" hidden="false" customHeight="false" outlineLevel="0" collapsed="false">
      <c r="A41" s="83" t="n">
        <f aca="false">A40+1</f>
        <v>24</v>
      </c>
      <c r="B41" s="90" t="n">
        <v>37500</v>
      </c>
      <c r="C41" s="83" t="n">
        <f aca="false">IF(TSETTLE="SETTLE",Z41,AA41)</f>
        <v>0</v>
      </c>
      <c r="D41" s="83" t="n">
        <f aca="false">VLOOKUP($B41,curvesettle,2,FALSE())</f>
        <v>3.705</v>
      </c>
      <c r="E41" s="91" t="n">
        <f aca="false">N$9</f>
        <v>0</v>
      </c>
      <c r="F41" s="83" t="n">
        <f aca="false">IF(C$1="settle",D41,IF(C$1="EOL",D41+E41,IF(C41=0,D41,C41)))</f>
        <v>3.705</v>
      </c>
      <c r="G41" s="92" t="n">
        <f aca="false">VLOOKUP($B41,curvesettle,3,FALSE())</f>
        <v>0.29</v>
      </c>
      <c r="H41" s="92" t="n">
        <v>0</v>
      </c>
      <c r="I41" s="92" t="n">
        <f aca="false">G41+H41</f>
        <v>0.29</v>
      </c>
      <c r="J41" s="93" t="e">
        <f aca="true">bsd(1,3,$F41,$F41,$L41-TODAY(),$I41,$M41,W41/2)</f>
        <v>#VALUE!</v>
      </c>
      <c r="K41" s="2" t="n">
        <f aca="false">A41</f>
        <v>24</v>
      </c>
      <c r="L41" s="94" t="n">
        <f aca="false">VLOOKUP(B41,expiration,3,FALSE())</f>
        <v>37495</v>
      </c>
      <c r="M41" s="65" t="n">
        <f aca="false">VLOOKUP($B41,curvesettle,4,FALSE())</f>
        <v>0.06720377823263</v>
      </c>
      <c r="Z41" s="83" t="n">
        <f aca="false">DDE("TWINDDE","RSFRecord","NGc24 cls")</f>
        <v>3.675</v>
      </c>
      <c r="AA41" s="83" t="n">
        <f aca="false">DDE("TWINDDE","RSFRecord","NGc24 LAST")</f>
        <v>0</v>
      </c>
      <c r="AB41" s="69"/>
    </row>
    <row r="42" customFormat="false" ht="12.75" hidden="false" customHeight="false" outlineLevel="0" collapsed="false">
      <c r="A42" s="83" t="n">
        <f aca="false">A41+1</f>
        <v>25</v>
      </c>
      <c r="B42" s="90" t="n">
        <v>37530</v>
      </c>
      <c r="C42" s="83" t="n">
        <f aca="false">IF(TSETTLE="SETTLE",Z42,AA42)</f>
        <v>0</v>
      </c>
      <c r="D42" s="83" t="n">
        <f aca="false">VLOOKUP($B42,curvesettle,2,FALSE())</f>
        <v>3.708</v>
      </c>
      <c r="E42" s="91" t="n">
        <f aca="false">N$9</f>
        <v>0</v>
      </c>
      <c r="F42" s="83" t="n">
        <f aca="false">IF(C$1="settle",D42,IF(C$1="EOL",D42+E42,IF(C42=0,D42,C42)))</f>
        <v>3.708</v>
      </c>
      <c r="G42" s="92" t="n">
        <f aca="false">VLOOKUP($B42,curvesettle,3,FALSE())</f>
        <v>0.295</v>
      </c>
      <c r="H42" s="92" t="n">
        <v>0</v>
      </c>
      <c r="I42" s="92" t="n">
        <f aca="false">G42+H42</f>
        <v>0.295</v>
      </c>
      <c r="J42" s="93" t="e">
        <f aca="true">bsd(1,3,$F42,$F42,$L42-TODAY(),$I42,$M42,W42/2)</f>
        <v>#VALUE!</v>
      </c>
      <c r="K42" s="2" t="n">
        <f aca="false">A42</f>
        <v>25</v>
      </c>
      <c r="L42" s="94" t="n">
        <f aca="false">VLOOKUP(B42,expiration,3,FALSE())</f>
        <v>37524</v>
      </c>
      <c r="M42" s="65" t="n">
        <f aca="false">VLOOKUP($B42,curvesettle,4,FALSE())</f>
        <v>0.067194524564304</v>
      </c>
      <c r="Z42" s="83" t="n">
        <f aca="false">DDE("TWINDDE","RSFRecord","NGc25 cls")</f>
        <v>3.678</v>
      </c>
      <c r="AA42" s="83" t="n">
        <f aca="false">DDE("TWINDDE","RSFRecord","NGc25 LAST")</f>
        <v>0</v>
      </c>
      <c r="AB42" s="69"/>
    </row>
    <row r="43" customFormat="false" ht="12.75" hidden="false" customHeight="false" outlineLevel="0" collapsed="false">
      <c r="A43" s="83" t="n">
        <f aca="false">A42+1</f>
        <v>26</v>
      </c>
      <c r="B43" s="90" t="n">
        <v>37561</v>
      </c>
      <c r="C43" s="83" t="n">
        <f aca="false">IF(TSETTLE="SETTLE",Z43,AA43)</f>
        <v>0</v>
      </c>
      <c r="D43" s="83" t="n">
        <f aca="false">VLOOKUP($B43,curvesettle,2,FALSE())</f>
        <v>3.8</v>
      </c>
      <c r="E43" s="91" t="n">
        <f aca="false">N$9</f>
        <v>0</v>
      </c>
      <c r="F43" s="83" t="n">
        <f aca="false">IF(C$1="settle",D43,IF(C$1="EOL",D43+E43,IF(C43=0,D43,C43)))</f>
        <v>3.8</v>
      </c>
      <c r="G43" s="92" t="n">
        <f aca="false">VLOOKUP($B43,curvesettle,3,FALSE())</f>
        <v>0.2975</v>
      </c>
      <c r="H43" s="92" t="n">
        <v>0</v>
      </c>
      <c r="I43" s="92" t="n">
        <f aca="false">G43+H43</f>
        <v>0.2975</v>
      </c>
      <c r="J43" s="93" t="e">
        <f aca="true">bsd(1,3,$F43,$F43,$L43-TODAY(),$I43,$M43,W43/2)</f>
        <v>#VALUE!</v>
      </c>
      <c r="K43" s="2" t="n">
        <f aca="false">A43</f>
        <v>26</v>
      </c>
      <c r="L43" s="94" t="n">
        <f aca="false">VLOOKUP(B43,expiration,3,FALSE())</f>
        <v>37557</v>
      </c>
      <c r="M43" s="65" t="n">
        <f aca="false">VLOOKUP($B43,curvesettle,4,FALSE())</f>
        <v>0.067190222129849</v>
      </c>
      <c r="Z43" s="83" t="n">
        <f aca="false">DDE("TWINDDE","RSFRecord","NGc26 cls")</f>
        <v>3.77</v>
      </c>
      <c r="AA43" s="83" t="n">
        <f aca="false">DDE("TWINDDE","RSFRecord","NGc26 LAST")</f>
        <v>0</v>
      </c>
      <c r="AB43" s="69"/>
    </row>
    <row r="44" customFormat="false" ht="12.75" hidden="false" customHeight="false" outlineLevel="0" collapsed="false">
      <c r="A44" s="83" t="n">
        <f aca="false">A43+1</f>
        <v>27</v>
      </c>
      <c r="B44" s="90" t="n">
        <v>37591</v>
      </c>
      <c r="C44" s="83" t="n">
        <f aca="false">IF(TSETTLE="SETTLE",Z44,AA44)</f>
        <v>0</v>
      </c>
      <c r="D44" s="83" t="n">
        <f aca="false">VLOOKUP($B44,curvesettle,2,FALSE())</f>
        <v>3.876</v>
      </c>
      <c r="E44" s="91" t="n">
        <f aca="false">N$9</f>
        <v>0</v>
      </c>
      <c r="F44" s="83" t="n">
        <f aca="false">IF(C$1="settle",D44,IF(C$1="EOL",D44+E44,IF(C44=0,D44,C44)))</f>
        <v>3.876</v>
      </c>
      <c r="G44" s="92" t="n">
        <f aca="false">VLOOKUP($B44,curvesettle,3,FALSE())</f>
        <v>0.3</v>
      </c>
      <c r="H44" s="92" t="n">
        <v>0</v>
      </c>
      <c r="I44" s="92" t="n">
        <f aca="false">G44+H44</f>
        <v>0.3</v>
      </c>
      <c r="J44" s="93" t="e">
        <f aca="true">bsd(1,3,$F44,$F44,$L44-TODAY(),$I44,$M44,W44/2)</f>
        <v>#VALUE!</v>
      </c>
      <c r="K44" s="2" t="n">
        <f aca="false">A44</f>
        <v>27</v>
      </c>
      <c r="L44" s="94" t="n">
        <f aca="false">VLOOKUP(B44,expiration,3,FALSE())</f>
        <v>37585</v>
      </c>
      <c r="M44" s="65" t="n">
        <f aca="false">VLOOKUP($B44,curvesettle,4,FALSE())</f>
        <v>0.067186058483608</v>
      </c>
      <c r="W44" s="93"/>
      <c r="X44" s="94"/>
      <c r="Y44" s="62"/>
      <c r="Z44" s="83" t="n">
        <f aca="false">DDE("TWINDDE","RSFRecord","NGc27 cls")</f>
        <v>3.846</v>
      </c>
      <c r="AA44" s="83" t="n">
        <f aca="false">DDE("TWINDDE","RSFRecord","NGc27 LAST")</f>
        <v>0</v>
      </c>
      <c r="AB44" s="69"/>
    </row>
    <row r="45" customFormat="false" ht="12.75" hidden="false" customHeight="false" outlineLevel="0" collapsed="false">
      <c r="A45" s="83" t="n">
        <f aca="false">A44+1</f>
        <v>28</v>
      </c>
      <c r="B45" s="90" t="n">
        <v>37622</v>
      </c>
      <c r="C45" s="83" t="n">
        <f aca="false">IF(TSETTLE="SETTLE",Z45,AA45)</f>
        <v>0</v>
      </c>
      <c r="D45" s="83" t="n">
        <f aca="false">VLOOKUP($B45,curvesettle,2,FALSE())</f>
        <v>3.857</v>
      </c>
      <c r="E45" s="91" t="n">
        <f aca="false">N$10</f>
        <v>0</v>
      </c>
      <c r="F45" s="83" t="n">
        <f aca="false">IF(C$1="settle",D45,IF(C$1="EOL",D45+E45,IF(C45=0,D45,C45)))</f>
        <v>3.857</v>
      </c>
      <c r="G45" s="92" t="n">
        <f aca="false">VLOOKUP($B45,curvesettle,3,FALSE())</f>
        <v>0.29</v>
      </c>
      <c r="H45" s="92" t="n">
        <v>0</v>
      </c>
      <c r="I45" s="92" t="n">
        <f aca="false">G45+H45</f>
        <v>0.29</v>
      </c>
      <c r="J45" s="93" t="e">
        <f aca="true">bsd(1,3,$F45,$F45,$L45-TODAY(),$I45,$M45,W45/2)</f>
        <v>#VALUE!</v>
      </c>
      <c r="K45" s="2" t="n">
        <f aca="false">A45</f>
        <v>28</v>
      </c>
      <c r="L45" s="94" t="n">
        <f aca="false">VLOOKUP(B45,expiration,3,FALSE())</f>
        <v>37616</v>
      </c>
      <c r="M45" s="65" t="n">
        <f aca="false">VLOOKUP($B45,curvesettle,4,FALSE())</f>
        <v>0.067193160128611</v>
      </c>
      <c r="W45" s="93"/>
      <c r="X45" s="94"/>
      <c r="Y45" s="62"/>
      <c r="Z45" s="83" t="n">
        <f aca="false">DDE("TWINDDE","RSFRecord","NGc28 cls")</f>
        <v>3.827</v>
      </c>
      <c r="AA45" s="83" t="n">
        <f aca="false">DDE("TWINDDE","RSFRecord","NGc28 LAST")</f>
        <v>0</v>
      </c>
      <c r="AB45" s="69"/>
    </row>
    <row r="46" customFormat="false" ht="12.75" hidden="false" customHeight="false" outlineLevel="0" collapsed="false">
      <c r="A46" s="83" t="n">
        <f aca="false">A45+1</f>
        <v>29</v>
      </c>
      <c r="B46" s="90" t="n">
        <v>37653</v>
      </c>
      <c r="C46" s="83" t="n">
        <f aca="false">IF(TSETTLE="SETTLE",Z46,AA46)</f>
        <v>0</v>
      </c>
      <c r="D46" s="83" t="n">
        <f aca="false">VLOOKUP($B46,curvesettle,2,FALSE())</f>
        <v>3.695</v>
      </c>
      <c r="E46" s="91" t="n">
        <f aca="false">N$10</f>
        <v>0</v>
      </c>
      <c r="F46" s="83" t="n">
        <f aca="false">IF(C$1="settle",D46,IF(C$1="EOL",D46+E46,IF(C46=0,D46,C46)))</f>
        <v>3.695</v>
      </c>
      <c r="G46" s="92" t="n">
        <f aca="false">VLOOKUP($B46,curvesettle,3,FALSE())</f>
        <v>0.2875</v>
      </c>
      <c r="H46" s="92" t="n">
        <v>0</v>
      </c>
      <c r="I46" s="92" t="n">
        <f aca="false">G46+H46</f>
        <v>0.2875</v>
      </c>
      <c r="J46" s="93" t="e">
        <f aca="true">bsd(1,3,$F46,$F46,$L46-TODAY(),$I46,$M46,W46/2)</f>
        <v>#VALUE!</v>
      </c>
      <c r="K46" s="2" t="n">
        <f aca="false">A46</f>
        <v>29</v>
      </c>
      <c r="L46" s="94" t="n">
        <f aca="false">VLOOKUP(B46,expiration,3,FALSE())</f>
        <v>37649</v>
      </c>
      <c r="M46" s="65" t="n">
        <f aca="false">VLOOKUP($B46,curvesettle,4,FALSE())</f>
        <v>0.067214109584478</v>
      </c>
      <c r="W46" s="93"/>
      <c r="X46" s="94"/>
      <c r="Y46" s="62"/>
      <c r="Z46" s="83" t="n">
        <f aca="false">DDE("TWINDDE","RSFRecord","NGc29 cls")</f>
        <v>3.667</v>
      </c>
      <c r="AA46" s="83" t="n">
        <f aca="false">DDE("TWINDDE","RSFRecord","NGc29 LAST")</f>
        <v>0</v>
      </c>
      <c r="AB46" s="69"/>
    </row>
    <row r="47" customFormat="false" ht="12.75" hidden="false" customHeight="false" outlineLevel="0" collapsed="false">
      <c r="A47" s="83" t="n">
        <f aca="false">A46+1</f>
        <v>30</v>
      </c>
      <c r="B47" s="90" t="n">
        <v>37681</v>
      </c>
      <c r="C47" s="83" t="n">
        <f aca="false">IF(TSETTLE="SETTLE",Z47,AA47)</f>
        <v>0</v>
      </c>
      <c r="D47" s="83" t="n">
        <f aca="false">VLOOKUP($B47,curvesettle,2,FALSE())</f>
        <v>3.512</v>
      </c>
      <c r="E47" s="91" t="n">
        <f aca="false">N$10</f>
        <v>0</v>
      </c>
      <c r="F47" s="83" t="n">
        <f aca="false">IF(C$1="settle",D47,IF(C$1="EOL",D47+E47,IF(C47=0,D47,C47)))</f>
        <v>3.512</v>
      </c>
      <c r="G47" s="92" t="n">
        <f aca="false">VLOOKUP($B47,curvesettle,3,FALSE())</f>
        <v>0.2775</v>
      </c>
      <c r="H47" s="92" t="n">
        <v>0</v>
      </c>
      <c r="I47" s="92" t="n">
        <f aca="false">G47+H47</f>
        <v>0.2775</v>
      </c>
      <c r="J47" s="93" t="e">
        <f aca="true">bsd(1,3,$F47,$F47,$L47-TODAY(),$I47,$M47,W47/2)</f>
        <v>#VALUE!</v>
      </c>
      <c r="K47" s="2" t="n">
        <f aca="false">A47</f>
        <v>30</v>
      </c>
      <c r="L47" s="94" t="n">
        <f aca="false">VLOOKUP(B47,expiration,3,FALSE())</f>
        <v>37677</v>
      </c>
      <c r="M47" s="65" t="n">
        <f aca="false">VLOOKUP($B47,curvesettle,4,FALSE())</f>
        <v>0.067233031673773</v>
      </c>
      <c r="W47" s="93"/>
      <c r="X47" s="94"/>
      <c r="Y47" s="62"/>
      <c r="Z47" s="83" t="n">
        <f aca="false">DDE("TWINDDE","RSFRecord","NGc30 cls")</f>
        <v>3.487</v>
      </c>
      <c r="AA47" s="83" t="n">
        <f aca="false">DDE("TWINDDE","RSFRecord","NGc30 LAST")</f>
        <v>0</v>
      </c>
      <c r="AB47" s="69"/>
    </row>
    <row r="48" customFormat="false" ht="12.75" hidden="false" customHeight="false" outlineLevel="0" collapsed="false">
      <c r="A48" s="83" t="n">
        <f aca="false">A47+1</f>
        <v>31</v>
      </c>
      <c r="B48" s="90" t="n">
        <v>37712</v>
      </c>
      <c r="C48" s="83" t="n">
        <f aca="false">IF(TSETTLE="SETTLE",Z48,AA48)</f>
        <v>0</v>
      </c>
      <c r="D48" s="83" t="n">
        <f aca="false">VLOOKUP($B48,curvesettle,2,FALSE())</f>
        <v>3.322</v>
      </c>
      <c r="E48" s="91" t="n">
        <f aca="false">N$10</f>
        <v>0</v>
      </c>
      <c r="F48" s="83" t="n">
        <f aca="false">IF(C$1="settle",D48,IF(C$1="EOL",D48+E48,IF(C48=0,D48,C48)))</f>
        <v>3.322</v>
      </c>
      <c r="G48" s="92" t="n">
        <f aca="false">VLOOKUP($B48,curvesettle,3,FALSE())</f>
        <v>0.265</v>
      </c>
      <c r="H48" s="92" t="n">
        <v>0</v>
      </c>
      <c r="I48" s="92" t="n">
        <f aca="false">G48+H48</f>
        <v>0.265</v>
      </c>
      <c r="J48" s="93" t="e">
        <f aca="true">bsd(1,3,$F48,$F48,$L48-TODAY(),$I48,$M48,W48/2)</f>
        <v>#VALUE!</v>
      </c>
      <c r="K48" s="2" t="n">
        <f aca="false">A48</f>
        <v>31</v>
      </c>
      <c r="L48" s="94" t="n">
        <f aca="false">VLOOKUP(B48,expiration,3,FALSE())</f>
        <v>37706</v>
      </c>
      <c r="M48" s="65" t="n">
        <f aca="false">VLOOKUP($B48,curvesettle,4,FALSE())</f>
        <v>0.06724692996423</v>
      </c>
      <c r="W48" s="93"/>
      <c r="X48" s="94"/>
      <c r="Y48" s="62"/>
      <c r="Z48" s="83" t="n">
        <f aca="false">DDE("TWINDDE","RSFRecord","NGc31 cls")</f>
        <v>3.299</v>
      </c>
      <c r="AA48" s="83" t="n">
        <f aca="false">DDE("TWINDDE","RSFRecord","NGc31 LAST")</f>
        <v>0</v>
      </c>
      <c r="AB48" s="69"/>
    </row>
    <row r="49" customFormat="false" ht="12.75" hidden="false" customHeight="false" outlineLevel="0" collapsed="false">
      <c r="A49" s="83" t="n">
        <f aca="false">A48+1</f>
        <v>32</v>
      </c>
      <c r="B49" s="90" t="n">
        <v>37742</v>
      </c>
      <c r="C49" s="83" t="n">
        <f aca="false">IF(TSETTLE="SETTLE",Z49,AA49)</f>
        <v>0</v>
      </c>
      <c r="D49" s="83" t="n">
        <f aca="false">VLOOKUP($B49,curvesettle,2,FALSE())</f>
        <v>3.272</v>
      </c>
      <c r="E49" s="91" t="n">
        <f aca="false">N$10</f>
        <v>0</v>
      </c>
      <c r="F49" s="83" t="n">
        <f aca="false">IF(C$1="settle",D49,IF(C$1="EOL",D49+E49,IF(C49=0,D49,C49)))</f>
        <v>3.272</v>
      </c>
      <c r="G49" s="92" t="n">
        <f aca="false">VLOOKUP($B49,curvesettle,3,FALSE())</f>
        <v>0.26</v>
      </c>
      <c r="H49" s="92" t="n">
        <v>0</v>
      </c>
      <c r="I49" s="92" t="n">
        <f aca="false">G49+H49</f>
        <v>0.26</v>
      </c>
      <c r="J49" s="61"/>
      <c r="K49" s="2" t="n">
        <f aca="false">A49</f>
        <v>32</v>
      </c>
      <c r="L49" s="94" t="n">
        <f aca="false">VLOOKUP(B49,expiration,3,FALSE())</f>
        <v>37736</v>
      </c>
      <c r="M49" s="65" t="n">
        <f aca="false">VLOOKUP($B49,curvesettle,4,FALSE())</f>
        <v>0.067250744147623</v>
      </c>
      <c r="W49" s="93"/>
      <c r="X49" s="94"/>
      <c r="Y49" s="62"/>
      <c r="Z49" s="83" t="n">
        <f aca="false">DDE("TWINDDE","RSFRecord","NGc32 cls")</f>
        <v>3.249</v>
      </c>
      <c r="AA49" s="83" t="n">
        <f aca="false">DDE("TWINDDE","RSFRecord","NGc32 LAST")</f>
        <v>0</v>
      </c>
      <c r="AB49" s="69"/>
    </row>
    <row r="50" customFormat="false" ht="12.75" hidden="false" customHeight="false" outlineLevel="0" collapsed="false">
      <c r="A50" s="83" t="n">
        <f aca="false">A49+1</f>
        <v>33</v>
      </c>
      <c r="B50" s="90" t="n">
        <v>37773</v>
      </c>
      <c r="C50" s="83" t="n">
        <f aca="false">IF(TSETTLE="SETTLE",Z50,AA50)</f>
        <v>0</v>
      </c>
      <c r="D50" s="83" t="n">
        <f aca="false">VLOOKUP($B50,curvesettle,2,FALSE())</f>
        <v>3.28</v>
      </c>
      <c r="E50" s="91" t="n">
        <f aca="false">N$10</f>
        <v>0</v>
      </c>
      <c r="F50" s="83" t="n">
        <f aca="false">IF(C$1="settle",D50,IF(C$1="EOL",D50+E50,IF(C50=0,D50,C50)))</f>
        <v>3.28</v>
      </c>
      <c r="G50" s="92" t="n">
        <f aca="false">VLOOKUP($B50,curvesettle,3,FALSE())</f>
        <v>0.2575</v>
      </c>
      <c r="H50" s="92" t="n">
        <v>0</v>
      </c>
      <c r="I50" s="92" t="n">
        <f aca="false">G50+H50</f>
        <v>0.2575</v>
      </c>
      <c r="J50" s="61"/>
      <c r="K50" s="2" t="n">
        <f aca="false">A50</f>
        <v>33</v>
      </c>
      <c r="L50" s="94" t="n">
        <f aca="false">VLOOKUP(B50,expiration,3,FALSE())</f>
        <v>37768</v>
      </c>
      <c r="M50" s="65" t="n">
        <f aca="false">VLOOKUP($B50,curvesettle,4,FALSE())</f>
        <v>0.067254685470467</v>
      </c>
      <c r="W50" s="93"/>
      <c r="X50" s="94"/>
      <c r="Y50" s="62"/>
      <c r="Z50" s="83" t="n">
        <f aca="false">DDE("TWINDDE","RSFRecord","NGc33 cls")</f>
        <v>3.261</v>
      </c>
      <c r="AA50" s="83" t="n">
        <f aca="false">DDE("TWINDDE","RSFRecord","NGc33 LAST")</f>
        <v>0</v>
      </c>
      <c r="AB50" s="69"/>
    </row>
    <row r="51" customFormat="false" ht="12.75" hidden="false" customHeight="false" outlineLevel="0" collapsed="false">
      <c r="A51" s="83" t="n">
        <f aca="false">A50+1</f>
        <v>34</v>
      </c>
      <c r="B51" s="90" t="n">
        <v>37803</v>
      </c>
      <c r="C51" s="83" t="n">
        <f aca="false">IF(TSETTLE="SETTLE",Z51,AA51)</f>
        <v>0</v>
      </c>
      <c r="D51" s="83" t="n">
        <f aca="false">VLOOKUP($B51,curvesettle,2,FALSE())</f>
        <v>3.288</v>
      </c>
      <c r="E51" s="91" t="n">
        <f aca="false">N$10</f>
        <v>0</v>
      </c>
      <c r="F51" s="83" t="n">
        <f aca="false">IF(C$1="settle",D51,IF(C$1="EOL",D51+E51,IF(C51=0,D51,C51)))</f>
        <v>3.288</v>
      </c>
      <c r="G51" s="92" t="n">
        <f aca="false">VLOOKUP($B51,curvesettle,3,FALSE())</f>
        <v>0.2575</v>
      </c>
      <c r="H51" s="92" t="n">
        <v>0</v>
      </c>
      <c r="I51" s="92" t="n">
        <f aca="false">G51+H51</f>
        <v>0.2575</v>
      </c>
      <c r="J51" s="61"/>
      <c r="K51" s="2" t="n">
        <f aca="false">A51</f>
        <v>34</v>
      </c>
      <c r="L51" s="94" t="n">
        <f aca="false">VLOOKUP(B51,expiration,3,FALSE())</f>
        <v>37797</v>
      </c>
      <c r="M51" s="65" t="n">
        <f aca="false">VLOOKUP($B51,curvesettle,4,FALSE())</f>
        <v>0.067261441631244</v>
      </c>
      <c r="W51" s="93"/>
      <c r="X51" s="94"/>
      <c r="Y51" s="62"/>
      <c r="Z51" s="83" t="n">
        <f aca="false">DDE("TWINDDE","RSFRecord","NGc34 cls")</f>
        <v>3.272</v>
      </c>
      <c r="AA51" s="83" t="n">
        <f aca="false">DDE("TWINDDE","RSFRecord","NGc34 LAST")</f>
        <v>0</v>
      </c>
      <c r="AB51" s="69"/>
    </row>
    <row r="52" customFormat="false" ht="12.75" hidden="false" customHeight="false" outlineLevel="0" collapsed="false">
      <c r="A52" s="83" t="n">
        <f aca="false">A51+1</f>
        <v>35</v>
      </c>
      <c r="B52" s="90" t="n">
        <v>37834</v>
      </c>
      <c r="C52" s="83" t="n">
        <f aca="false">IF(TSETTLE="SETTLE",Z52,AA52)</f>
        <v>0</v>
      </c>
      <c r="D52" s="83" t="n">
        <f aca="false">VLOOKUP($B52,curvesettle,2,FALSE())</f>
        <v>3.295</v>
      </c>
      <c r="E52" s="91" t="n">
        <f aca="false">N$10</f>
        <v>0</v>
      </c>
      <c r="F52" s="83" t="n">
        <f aca="false">IF(C$1="settle",D52,IF(C$1="EOL",D52+E52,IF(C52=0,D52,C52)))</f>
        <v>3.295</v>
      </c>
      <c r="G52" s="92" t="n">
        <f aca="false">VLOOKUP($B52,curvesettle,3,FALSE())</f>
        <v>0.2575</v>
      </c>
      <c r="H52" s="92" t="n">
        <v>0</v>
      </c>
      <c r="I52" s="92" t="n">
        <f aca="false">G52+H52</f>
        <v>0.2575</v>
      </c>
      <c r="J52" s="61"/>
      <c r="K52" s="2" t="n">
        <f aca="false">A52</f>
        <v>35</v>
      </c>
      <c r="L52" s="94" t="n">
        <f aca="false">VLOOKUP(B52,expiration,3,FALSE())</f>
        <v>37830</v>
      </c>
      <c r="M52" s="65" t="n">
        <f aca="false">VLOOKUP($B52,curvesettle,4,FALSE())</f>
        <v>0.067272650985246</v>
      </c>
      <c r="W52" s="93"/>
      <c r="X52" s="94"/>
      <c r="Y52" s="62"/>
      <c r="Z52" s="83" t="n">
        <f aca="false">DDE("TWINDDE","RSFRecord","NGc35 cls")</f>
        <v>3.279</v>
      </c>
      <c r="AA52" s="83" t="n">
        <f aca="false">DDE("TWINDDE","RSFRecord","NGc35 LAST")</f>
        <v>0</v>
      </c>
      <c r="AB52" s="69"/>
    </row>
    <row r="53" customFormat="false" ht="12.75" hidden="false" customHeight="false" outlineLevel="0" collapsed="false">
      <c r="A53" s="83" t="n">
        <f aca="false">A52+1</f>
        <v>36</v>
      </c>
      <c r="B53" s="90" t="n">
        <v>37865</v>
      </c>
      <c r="C53" s="83"/>
      <c r="D53" s="83" t="n">
        <f aca="false">VLOOKUP($B53,curvesettle,2,FALSE())</f>
        <v>3.285</v>
      </c>
      <c r="E53" s="91" t="n">
        <f aca="false">N$10</f>
        <v>0</v>
      </c>
      <c r="F53" s="83" t="n">
        <f aca="false">IF(C$1="settle",D53,IF(C$1="EOL",D53+E53,IF(C53=0,D53,C53)))</f>
        <v>3.285</v>
      </c>
      <c r="G53" s="92" t="n">
        <f aca="false">VLOOKUP($B53,curvesettle,3,FALSE())</f>
        <v>0.2575</v>
      </c>
      <c r="H53" s="92" t="n">
        <v>0</v>
      </c>
      <c r="I53" s="92" t="n">
        <f aca="false">G53+H53</f>
        <v>0.2575</v>
      </c>
      <c r="J53" s="61"/>
      <c r="K53" s="2" t="n">
        <f aca="false">A53</f>
        <v>36</v>
      </c>
      <c r="L53" s="94" t="n">
        <f aca="false">VLOOKUP(B53,expiration,3,FALSE())</f>
        <v>37859</v>
      </c>
      <c r="M53" s="65" t="n">
        <f aca="false">VLOOKUP($B53,curvesettle,4,FALSE())</f>
        <v>0.06728386033929</v>
      </c>
      <c r="W53" s="93"/>
      <c r="X53" s="94"/>
      <c r="Y53" s="62"/>
      <c r="Z53" s="83" t="n">
        <f aca="false">DDE("TWINDDE","RSFRecord","NGc36 cls")</f>
        <v>3.269</v>
      </c>
      <c r="AA53" s="83" t="n">
        <f aca="false">DDE("TWINDDE","RSFRecord","NGc36 LAST")</f>
        <v>0</v>
      </c>
      <c r="AB53" s="69"/>
    </row>
    <row r="54" customFormat="false" ht="12.75" hidden="false" customHeight="false" outlineLevel="0" collapsed="false">
      <c r="A54" s="83" t="n">
        <f aca="false">A53+1</f>
        <v>37</v>
      </c>
      <c r="B54" s="90" t="n">
        <v>37895</v>
      </c>
      <c r="C54" s="83"/>
      <c r="D54" s="83" t="n">
        <f aca="false">VLOOKUP($B54,curvesettle,2,FALSE())</f>
        <v>3.308</v>
      </c>
      <c r="E54" s="91" t="n">
        <f aca="false">N$10</f>
        <v>0</v>
      </c>
      <c r="F54" s="83" t="n">
        <f aca="false">IF(C$1="settle",D54,IF(C$1="EOL",D54+E54,IF(C54=0,D54,C54)))</f>
        <v>3.308</v>
      </c>
      <c r="G54" s="92" t="n">
        <f aca="false">VLOOKUP($B54,curvesettle,3,FALSE())</f>
        <v>0.2575</v>
      </c>
      <c r="H54" s="92" t="n">
        <v>0</v>
      </c>
      <c r="I54" s="92" t="n">
        <f aca="false">G54+H54</f>
        <v>0.2575</v>
      </c>
      <c r="J54" s="61"/>
      <c r="K54" s="2" t="n">
        <f aca="false">A54</f>
        <v>37</v>
      </c>
      <c r="L54" s="94" t="n">
        <f aca="false">VLOOKUP(B54,expiration,3,FALSE())</f>
        <v>37889</v>
      </c>
      <c r="M54" s="65" t="n">
        <f aca="false">VLOOKUP($B54,curvesettle,4,FALSE())</f>
        <v>0.067297346203373</v>
      </c>
      <c r="W54" s="93"/>
      <c r="X54" s="94"/>
      <c r="Y54" s="62"/>
      <c r="Z54" s="62"/>
      <c r="AA54" s="95"/>
      <c r="AB54" s="69"/>
    </row>
    <row r="55" customFormat="false" ht="12.75" hidden="false" customHeight="false" outlineLevel="0" collapsed="false">
      <c r="A55" s="83" t="n">
        <f aca="false">A54+1</f>
        <v>38</v>
      </c>
      <c r="B55" s="90" t="n">
        <v>37926</v>
      </c>
      <c r="C55" s="83"/>
      <c r="D55" s="83" t="n">
        <f aca="false">VLOOKUP($B55,curvesettle,2,FALSE())</f>
        <v>3.4</v>
      </c>
      <c r="E55" s="91" t="n">
        <f aca="false">N$10</f>
        <v>0</v>
      </c>
      <c r="F55" s="83" t="n">
        <f aca="false">IF(C$1="settle",D55,IF(C$1="EOL",D55+E55,IF(C55=0,D55,C55)))</f>
        <v>3.4</v>
      </c>
      <c r="G55" s="92" t="n">
        <f aca="false">VLOOKUP($B55,curvesettle,3,FALSE())</f>
        <v>0.2675</v>
      </c>
      <c r="H55" s="92" t="n">
        <v>0</v>
      </c>
      <c r="I55" s="92" t="n">
        <f aca="false">G55+H55</f>
        <v>0.2675</v>
      </c>
      <c r="J55" s="61"/>
      <c r="K55" s="2" t="n">
        <f aca="false">A55</f>
        <v>38</v>
      </c>
      <c r="L55" s="94" t="n">
        <f aca="false">VLOOKUP(B55,expiration,3,FALSE())</f>
        <v>37922</v>
      </c>
      <c r="M55" s="65" t="n">
        <f aca="false">VLOOKUP($B55,curvesettle,4,FALSE())</f>
        <v>0.067314594931672</v>
      </c>
      <c r="W55" s="93"/>
      <c r="X55" s="94"/>
      <c r="Y55" s="62"/>
      <c r="Z55" s="62"/>
      <c r="AA55" s="95"/>
      <c r="AB55" s="69"/>
    </row>
    <row r="56" customFormat="false" ht="12.75" hidden="false" customHeight="false" outlineLevel="0" collapsed="false">
      <c r="A56" s="83" t="n">
        <f aca="false">A55+1</f>
        <v>39</v>
      </c>
      <c r="B56" s="90" t="n">
        <v>37956</v>
      </c>
      <c r="C56" s="83"/>
      <c r="D56" s="83" t="n">
        <f aca="false">VLOOKUP($B56,curvesettle,2,FALSE())</f>
        <v>3.476</v>
      </c>
      <c r="E56" s="91" t="n">
        <f aca="false">N$10</f>
        <v>0</v>
      </c>
      <c r="F56" s="83" t="n">
        <f aca="false">IF(C$1="settle",D56,IF(C$1="EOL",D56+E56,IF(C56=0,D56,C56)))</f>
        <v>3.476</v>
      </c>
      <c r="G56" s="92" t="n">
        <f aca="false">VLOOKUP($B56,curvesettle,3,FALSE())</f>
        <v>0.2725</v>
      </c>
      <c r="H56" s="92" t="n">
        <v>0</v>
      </c>
      <c r="I56" s="92" t="n">
        <f aca="false">G56+H56</f>
        <v>0.2725</v>
      </c>
      <c r="J56" s="61"/>
      <c r="K56" s="2" t="n">
        <f aca="false">A56</f>
        <v>39</v>
      </c>
      <c r="L56" s="94" t="n">
        <f aca="false">VLOOKUP(B56,expiration,3,FALSE())</f>
        <v>37949</v>
      </c>
      <c r="M56" s="65" t="n">
        <f aca="false">VLOOKUP($B56,curvesettle,4,FALSE())</f>
        <v>0.067331287249473</v>
      </c>
      <c r="W56" s="93"/>
      <c r="X56" s="94"/>
      <c r="Y56" s="62"/>
      <c r="Z56" s="62"/>
      <c r="AA56" s="95"/>
      <c r="AB56" s="69"/>
    </row>
    <row r="57" customFormat="false" ht="12.75" hidden="false" customHeight="false" outlineLevel="0" collapsed="false">
      <c r="A57" s="83" t="n">
        <f aca="false">A56+1</f>
        <v>40</v>
      </c>
      <c r="B57" s="90" t="n">
        <v>37987</v>
      </c>
      <c r="C57" s="83"/>
      <c r="D57" s="83" t="n">
        <f aca="false">VLOOKUP($B57,curvesettle,2,FALSE())</f>
        <v>3.664</v>
      </c>
      <c r="E57" s="91" t="n">
        <f aca="false">N$11</f>
        <v>0</v>
      </c>
      <c r="F57" s="83" t="n">
        <f aca="false">IF(C$1="settle",D57,IF(C$1="EOL",D57+E57,IF(C57=0,D57,C57)))</f>
        <v>3.664</v>
      </c>
      <c r="G57" s="92" t="n">
        <f aca="false">VLOOKUP($B57,curvesettle,3,FALSE())</f>
        <v>0.29</v>
      </c>
      <c r="H57" s="92" t="n">
        <v>0</v>
      </c>
      <c r="I57" s="92" t="n">
        <f aca="false">G57+H57</f>
        <v>0.29</v>
      </c>
      <c r="J57" s="61"/>
      <c r="K57" s="2" t="n">
        <f aca="false">A57</f>
        <v>40</v>
      </c>
      <c r="L57" s="94" t="n">
        <f aca="false">VLOOKUP(B57,expiration,3,FALSE())</f>
        <v>37981</v>
      </c>
      <c r="M57" s="65" t="n">
        <f aca="false">VLOOKUP($B57,curvesettle,4,FALSE())</f>
        <v>0.067357274878613</v>
      </c>
      <c r="W57" s="93"/>
      <c r="X57" s="94"/>
      <c r="Y57" s="62"/>
      <c r="Z57" s="62"/>
      <c r="AA57" s="95"/>
      <c r="AB57" s="69"/>
    </row>
    <row r="58" customFormat="false" ht="12.75" hidden="false" customHeight="false" outlineLevel="0" collapsed="false">
      <c r="A58" s="83" t="n">
        <f aca="false">A57+1</f>
        <v>41</v>
      </c>
      <c r="B58" s="90" t="n">
        <v>38018</v>
      </c>
      <c r="C58" s="83"/>
      <c r="D58" s="83" t="n">
        <f aca="false">VLOOKUP($B58,curvesettle,2,FALSE())</f>
        <v>3.506</v>
      </c>
      <c r="E58" s="91" t="n">
        <f aca="false">N$11</f>
        <v>0</v>
      </c>
      <c r="F58" s="83" t="n">
        <f aca="false">IF(C$1="settle",D58,IF(C$1="EOL",D58+E58,IF(C58=0,D58,C58)))</f>
        <v>3.506</v>
      </c>
      <c r="G58" s="92" t="n">
        <f aca="false">VLOOKUP($B58,curvesettle,3,FALSE())</f>
        <v>0.2775</v>
      </c>
      <c r="H58" s="92" t="n">
        <v>0</v>
      </c>
      <c r="I58" s="92" t="n">
        <f aca="false">G58+H58</f>
        <v>0.2775</v>
      </c>
      <c r="J58" s="61"/>
      <c r="K58" s="2" t="n">
        <f aca="false">A58</f>
        <v>41</v>
      </c>
      <c r="L58" s="94" t="n">
        <f aca="false">VLOOKUP(B58,expiration,3,FALSE())</f>
        <v>38013</v>
      </c>
      <c r="M58" s="65" t="n">
        <f aca="false">VLOOKUP($B58,curvesettle,4,FALSE())</f>
        <v>0.067392584002109</v>
      </c>
      <c r="W58" s="93"/>
      <c r="X58" s="94"/>
      <c r="Y58" s="62"/>
      <c r="Z58" s="62"/>
      <c r="AA58" s="95"/>
      <c r="AB58" s="69"/>
    </row>
    <row r="59" customFormat="false" ht="12.75" hidden="false" customHeight="false" outlineLevel="0" collapsed="false">
      <c r="A59" s="83" t="n">
        <f aca="false">A58+1</f>
        <v>42</v>
      </c>
      <c r="B59" s="90" t="n">
        <v>38047</v>
      </c>
      <c r="C59" s="83"/>
      <c r="D59" s="83" t="n">
        <f aca="false">VLOOKUP($B59,curvesettle,2,FALSE())</f>
        <v>3.326</v>
      </c>
      <c r="E59" s="91" t="n">
        <f aca="false">N$11</f>
        <v>0</v>
      </c>
      <c r="F59" s="83" t="n">
        <f aca="false">IF(C$1="settle",D59,IF(C$1="EOL",D59+E59,IF(C59=0,D59,C59)))</f>
        <v>3.326</v>
      </c>
      <c r="G59" s="92" t="n">
        <f aca="false">VLOOKUP($B59,curvesettle,3,FALSE())</f>
        <v>0.2775</v>
      </c>
      <c r="H59" s="92" t="n">
        <v>0</v>
      </c>
      <c r="I59" s="92" t="n">
        <f aca="false">G59+H59</f>
        <v>0.2775</v>
      </c>
      <c r="J59" s="61"/>
      <c r="K59" s="2" t="n">
        <f aca="false">A59</f>
        <v>42</v>
      </c>
      <c r="L59" s="94" t="n">
        <f aca="false">VLOOKUP(B59,expiration,3,FALSE())</f>
        <v>38041</v>
      </c>
      <c r="M59" s="65" t="n">
        <f aca="false">VLOOKUP($B59,curvesettle,4,FALSE())</f>
        <v>0.067425615118011</v>
      </c>
      <c r="W59" s="93"/>
      <c r="X59" s="94"/>
      <c r="Y59" s="62"/>
      <c r="Z59" s="62"/>
      <c r="AA59" s="95"/>
      <c r="AB59" s="69"/>
    </row>
    <row r="60" customFormat="false" ht="12.75" hidden="false" customHeight="false" outlineLevel="0" collapsed="false">
      <c r="A60" s="83" t="n">
        <f aca="false">A59+1</f>
        <v>43</v>
      </c>
      <c r="B60" s="90" t="n">
        <f aca="false">DATE(YEAR(B59),MONTH(B59)+1,1)</f>
        <v>38078</v>
      </c>
      <c r="C60" s="83"/>
      <c r="D60" s="83" t="n">
        <f aca="false">VLOOKUP($B60,curvesettle,2,FALSE())</f>
        <v>3.139</v>
      </c>
      <c r="E60" s="91" t="n">
        <f aca="false">N$11</f>
        <v>0</v>
      </c>
      <c r="F60" s="83" t="n">
        <f aca="false">IF(C$1="settle",D60,IF(C$1="EOL",D60+E60,IF(C60=0,D60,C60)))</f>
        <v>3.139</v>
      </c>
      <c r="G60" s="92" t="n">
        <f aca="false">VLOOKUP($B60,curvesettle,3,FALSE())</f>
        <v>0.2575</v>
      </c>
      <c r="H60" s="92" t="n">
        <v>0</v>
      </c>
      <c r="I60" s="92" t="n">
        <f aca="false">G60+H60</f>
        <v>0.2575</v>
      </c>
      <c r="J60" s="61"/>
      <c r="K60" s="2" t="n">
        <f aca="false">A60</f>
        <v>43</v>
      </c>
      <c r="L60" s="94" t="n">
        <f aca="false">VLOOKUP(B60,expiration,3,FALSE())</f>
        <v>38072</v>
      </c>
      <c r="M60" s="65" t="n">
        <f aca="false">VLOOKUP($B60,curvesettle,4,FALSE())</f>
        <v>0.067454837668858</v>
      </c>
      <c r="W60" s="93"/>
      <c r="X60" s="94"/>
      <c r="Y60" s="62"/>
      <c r="Z60" s="62"/>
      <c r="AA60" s="95"/>
      <c r="AB60" s="69"/>
    </row>
    <row r="61" customFormat="false" ht="12.75" hidden="false" customHeight="false" outlineLevel="0" collapsed="false">
      <c r="A61" s="83" t="n">
        <f aca="false">A60+1</f>
        <v>44</v>
      </c>
      <c r="B61" s="90" t="n">
        <f aca="false">DATE(YEAR(B60),MONTH(B60)+1,1)</f>
        <v>38108</v>
      </c>
      <c r="C61" s="83"/>
      <c r="D61" s="83" t="n">
        <f aca="false">VLOOKUP($B61,curvesettle,2,FALSE())</f>
        <v>3.09</v>
      </c>
      <c r="E61" s="91" t="n">
        <f aca="false">N$11</f>
        <v>0</v>
      </c>
      <c r="F61" s="83" t="n">
        <f aca="false">IF(C$1="settle",D61,IF(C$1="EOL",D61+E61,IF(C61=0,D61,C61)))</f>
        <v>3.09</v>
      </c>
      <c r="G61" s="92" t="n">
        <f aca="false">VLOOKUP($B61,curvesettle,3,FALSE())</f>
        <v>0.2575</v>
      </c>
      <c r="H61" s="92" t="n">
        <v>0</v>
      </c>
      <c r="I61" s="92" t="n">
        <f aca="false">G61+H61</f>
        <v>0.2575</v>
      </c>
      <c r="J61" s="61"/>
      <c r="K61" s="2" t="n">
        <f aca="false">A61</f>
        <v>44</v>
      </c>
      <c r="L61" s="94" t="n">
        <f aca="false">VLOOKUP(B61,expiration,3,FALSE())</f>
        <v>38104</v>
      </c>
      <c r="M61" s="65" t="n">
        <f aca="false">VLOOKUP($B61,curvesettle,4,FALSE())</f>
        <v>0.067476834642469</v>
      </c>
      <c r="W61" s="93"/>
      <c r="X61" s="94"/>
      <c r="Y61" s="62"/>
      <c r="Z61" s="62"/>
      <c r="AA61" s="95"/>
      <c r="AB61" s="69"/>
    </row>
    <row r="62" customFormat="false" ht="12.75" hidden="false" customHeight="false" outlineLevel="0" collapsed="false">
      <c r="A62" s="83" t="n">
        <f aca="false">A61+1</f>
        <v>45</v>
      </c>
      <c r="B62" s="90" t="n">
        <f aca="false">DATE(YEAR(B61),MONTH(B61)+1,1)</f>
        <v>38139</v>
      </c>
      <c r="C62" s="83"/>
      <c r="D62" s="83" t="n">
        <f aca="false">VLOOKUP($B62,curvesettle,2,FALSE())</f>
        <v>3.099</v>
      </c>
      <c r="E62" s="91" t="n">
        <f aca="false">N$11</f>
        <v>0</v>
      </c>
      <c r="F62" s="83" t="n">
        <f aca="false">IF(C$1="settle",D62,IF(C$1="EOL",D62+E62,IF(C62=0,D62,C62)))</f>
        <v>3.099</v>
      </c>
      <c r="G62" s="92" t="n">
        <f aca="false">VLOOKUP($B62,curvesettle,3,FALSE())</f>
        <v>0.2575</v>
      </c>
      <c r="H62" s="92" t="n">
        <v>0</v>
      </c>
      <c r="I62" s="92" t="n">
        <f aca="false">G62+H62</f>
        <v>0.2575</v>
      </c>
      <c r="J62" s="61"/>
      <c r="K62" s="2" t="n">
        <f aca="false">A62</f>
        <v>45</v>
      </c>
      <c r="L62" s="94" t="n">
        <f aca="false">VLOOKUP(B62,expiration,3,FALSE())</f>
        <v>38132</v>
      </c>
      <c r="M62" s="65" t="n">
        <f aca="false">VLOOKUP($B62,curvesettle,4,FALSE())</f>
        <v>0.067499564848703</v>
      </c>
      <c r="W62" s="93"/>
      <c r="X62" s="94"/>
      <c r="Y62" s="62"/>
      <c r="Z62" s="62"/>
      <c r="AA62" s="95"/>
      <c r="AB62" s="69"/>
    </row>
    <row r="63" customFormat="false" ht="12.75" hidden="false" customHeight="false" outlineLevel="0" collapsed="false">
      <c r="A63" s="83" t="n">
        <f aca="false">A62+1</f>
        <v>46</v>
      </c>
      <c r="B63" s="90" t="n">
        <f aca="false">DATE(YEAR(B62),MONTH(B62)+1,1)</f>
        <v>38169</v>
      </c>
      <c r="C63" s="83"/>
      <c r="D63" s="83" t="n">
        <f aca="false">VLOOKUP($B63,curvesettle,2,FALSE())</f>
        <v>3.107</v>
      </c>
      <c r="E63" s="91" t="n">
        <f aca="false">N$11</f>
        <v>0</v>
      </c>
      <c r="F63" s="83" t="n">
        <f aca="false">IF(C$1="settle",D63,IF(C$1="EOL",D63+E63,IF(C63=0,D63,C63)))</f>
        <v>3.107</v>
      </c>
      <c r="G63" s="92" t="n">
        <f aca="false">VLOOKUP($B63,curvesettle,3,FALSE())</f>
        <v>0.255</v>
      </c>
      <c r="H63" s="92" t="n">
        <v>0</v>
      </c>
      <c r="I63" s="92" t="n">
        <f aca="false">G63+H63</f>
        <v>0.255</v>
      </c>
      <c r="J63" s="61"/>
      <c r="K63" s="2" t="n">
        <f aca="false">A63</f>
        <v>46</v>
      </c>
      <c r="L63" s="94" t="n">
        <f aca="false">VLOOKUP(B63,expiration,3,FALSE())</f>
        <v>38163</v>
      </c>
      <c r="M63" s="65" t="n">
        <f aca="false">VLOOKUP($B63,curvesettle,4,FALSE())</f>
        <v>0.06753426580475</v>
      </c>
      <c r="W63" s="93"/>
      <c r="X63" s="94"/>
      <c r="Y63" s="62"/>
      <c r="Z63" s="62"/>
      <c r="AA63" s="95"/>
      <c r="AB63" s="69"/>
    </row>
    <row r="64" customFormat="false" ht="12.75" hidden="false" customHeight="false" outlineLevel="0" collapsed="false">
      <c r="A64" s="83" t="n">
        <f aca="false">A63+1</f>
        <v>47</v>
      </c>
      <c r="B64" s="90" t="n">
        <f aca="false">DATE(YEAR(B63),MONTH(B63)+1,1)</f>
        <v>38200</v>
      </c>
      <c r="C64" s="83"/>
      <c r="D64" s="83" t="n">
        <f aca="false">VLOOKUP($B64,curvesettle,2,FALSE())</f>
        <v>3.114</v>
      </c>
      <c r="E64" s="91" t="n">
        <f aca="false">N$11</f>
        <v>0</v>
      </c>
      <c r="F64" s="83" t="n">
        <f aca="false">IF(C$1="settle",D64,IF(C$1="EOL",D64+E64,IF(C64=0,D64,C64)))</f>
        <v>3.114</v>
      </c>
      <c r="G64" s="92" t="n">
        <f aca="false">VLOOKUP($B64,curvesettle,3,FALSE())</f>
        <v>0.255</v>
      </c>
      <c r="H64" s="92" t="n">
        <v>0</v>
      </c>
      <c r="I64" s="92" t="n">
        <f aca="false">G64+H64</f>
        <v>0.255</v>
      </c>
      <c r="J64" s="61"/>
      <c r="K64" s="2" t="n">
        <f aca="false">A64</f>
        <v>47</v>
      </c>
      <c r="L64" s="94" t="n">
        <f aca="false">VLOOKUP(B64,expiration,3,FALSE())</f>
        <v>38195</v>
      </c>
      <c r="M64" s="65" t="n">
        <f aca="false">VLOOKUP($B64,curvesettle,4,FALSE())</f>
        <v>0.067585126257915</v>
      </c>
      <c r="W64" s="93"/>
      <c r="X64" s="94"/>
      <c r="Y64" s="62"/>
      <c r="Z64" s="62"/>
      <c r="AA64" s="95"/>
      <c r="AB64" s="69"/>
    </row>
    <row r="65" customFormat="false" ht="12.75" hidden="false" customHeight="false" outlineLevel="0" collapsed="false">
      <c r="A65" s="83" t="n">
        <f aca="false">A64+1</f>
        <v>48</v>
      </c>
      <c r="B65" s="90" t="n">
        <f aca="false">DATE(YEAR(B64),MONTH(B64)+1,1)</f>
        <v>38231</v>
      </c>
      <c r="C65" s="0"/>
      <c r="D65" s="83" t="n">
        <f aca="false">VLOOKUP($B65,curvesettle,2,FALSE())</f>
        <v>3.103</v>
      </c>
      <c r="E65" s="91" t="n">
        <f aca="false">N$11</f>
        <v>0</v>
      </c>
      <c r="F65" s="83" t="n">
        <f aca="false">IF(C$1="settle",D65,IF(C$1="EOL",D65+E65,IF(C65=0,D65,C65)))</f>
        <v>3.103</v>
      </c>
      <c r="G65" s="92" t="n">
        <f aca="false">VLOOKUP($B65,curvesettle,3,FALSE())</f>
        <v>0.255</v>
      </c>
      <c r="H65" s="92" t="n">
        <v>0</v>
      </c>
      <c r="I65" s="92" t="n">
        <f aca="false">G65+H65</f>
        <v>0.255</v>
      </c>
      <c r="J65" s="61"/>
      <c r="K65" s="2" t="n">
        <f aca="false">A65</f>
        <v>48</v>
      </c>
      <c r="L65" s="94" t="n">
        <f aca="false">VLOOKUP(B65,expiration,3,FALSE())</f>
        <v>38225</v>
      </c>
      <c r="M65" s="65" t="n">
        <f aca="false">VLOOKUP($B65,curvesettle,4,FALSE())</f>
        <v>0.067635986711935</v>
      </c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</row>
    <row r="66" customFormat="false" ht="12.75" hidden="false" customHeight="false" outlineLevel="0" collapsed="false">
      <c r="A66" s="83" t="n">
        <f aca="false">A65+1</f>
        <v>49</v>
      </c>
      <c r="B66" s="90" t="n">
        <f aca="false">DATE(YEAR(B65),MONTH(B65)+1,1)</f>
        <v>38261</v>
      </c>
      <c r="C66" s="0"/>
      <c r="D66" s="83" t="n">
        <f aca="false">VLOOKUP($B66,curvesettle,2,FALSE())</f>
        <v>3.125</v>
      </c>
      <c r="E66" s="91" t="n">
        <f aca="false">N$11</f>
        <v>0</v>
      </c>
      <c r="F66" s="83" t="n">
        <f aca="false">IF(C$1="settle",D66,IF(C$1="EOL",D66+E66,IF(C66=0,D66,C66)))</f>
        <v>3.125</v>
      </c>
      <c r="G66" s="92" t="n">
        <f aca="false">VLOOKUP($B66,curvesettle,3,FALSE())</f>
        <v>0.255</v>
      </c>
      <c r="H66" s="92" t="n">
        <v>0</v>
      </c>
      <c r="I66" s="92" t="n">
        <f aca="false">G66+H66</f>
        <v>0.255</v>
      </c>
      <c r="J66" s="61"/>
      <c r="K66" s="2" t="n">
        <f aca="false">A66</f>
        <v>49</v>
      </c>
      <c r="L66" s="94" t="n">
        <f aca="false">VLOOKUP(B66,expiration,3,FALSE())</f>
        <v>38257</v>
      </c>
      <c r="M66" s="65" t="n">
        <f aca="false">VLOOKUP($B66,curvesettle,4,FALSE())</f>
        <v>0.067685206506965</v>
      </c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</row>
    <row r="67" customFormat="false" ht="12.75" hidden="false" customHeight="false" outlineLevel="0" collapsed="false">
      <c r="A67" s="83" t="n">
        <f aca="false">A66+1</f>
        <v>50</v>
      </c>
      <c r="B67" s="90" t="n">
        <f aca="false">DATE(YEAR(B66),MONTH(B66)+1,1)</f>
        <v>38292</v>
      </c>
      <c r="C67" s="0"/>
      <c r="D67" s="83" t="n">
        <f aca="false">VLOOKUP($B67,curvesettle,2,FALSE())</f>
        <v>3.212</v>
      </c>
      <c r="E67" s="91" t="n">
        <f aca="false">N$11</f>
        <v>0</v>
      </c>
      <c r="F67" s="83" t="n">
        <f aca="false">IF(C$1="settle",D67,IF(C$1="EOL",D67+E67,IF(C67=0,D67,C67)))</f>
        <v>3.212</v>
      </c>
      <c r="G67" s="92" t="n">
        <f aca="false">VLOOKUP($B67,curvesettle,3,FALSE())</f>
        <v>0.2575</v>
      </c>
      <c r="H67" s="92" t="n">
        <v>0</v>
      </c>
      <c r="I67" s="92" t="n">
        <f aca="false">G67+H67</f>
        <v>0.2575</v>
      </c>
      <c r="J67" s="61"/>
      <c r="K67" s="2" t="n">
        <f aca="false">A67</f>
        <v>50</v>
      </c>
      <c r="L67" s="94" t="n">
        <f aca="false">VLOOKUP(B67,expiration,3,FALSE())</f>
        <v>38286</v>
      </c>
      <c r="M67" s="65" t="n">
        <f aca="false">VLOOKUP($B67,curvesettle,4,FALSE())</f>
        <v>0.067736066962671</v>
      </c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</row>
    <row r="68" customFormat="false" ht="12.75" hidden="false" customHeight="false" outlineLevel="0" collapsed="false">
      <c r="A68" s="83" t="n">
        <f aca="false">A67+1</f>
        <v>51</v>
      </c>
      <c r="B68" s="90" t="n">
        <f aca="false">DATE(YEAR(B67),MONTH(B67)+1,1)</f>
        <v>38322</v>
      </c>
      <c r="C68" s="0"/>
      <c r="D68" s="83" t="n">
        <f aca="false">VLOOKUP($B68,curvesettle,2,FALSE())</f>
        <v>3.285</v>
      </c>
      <c r="E68" s="91" t="n">
        <f aca="false">N$11</f>
        <v>0</v>
      </c>
      <c r="F68" s="83" t="n">
        <f aca="false">IF(C$1="settle",D68,IF(C$1="EOL",D68+E68,IF(C68=0,D68,C68)))</f>
        <v>3.285</v>
      </c>
      <c r="G68" s="92" t="n">
        <f aca="false">VLOOKUP($B68,curvesettle,3,FALSE())</f>
        <v>0.26</v>
      </c>
      <c r="H68" s="92" t="n">
        <v>0</v>
      </c>
      <c r="I68" s="92" t="n">
        <f aca="false">G68+H68</f>
        <v>0.26</v>
      </c>
      <c r="J68" s="61"/>
      <c r="K68" s="2" t="n">
        <f aca="false">A68</f>
        <v>51</v>
      </c>
      <c r="L68" s="94" t="n">
        <f aca="false">VLOOKUP(B68,expiration,3,FALSE())</f>
        <v>38315</v>
      </c>
      <c r="M68" s="65" t="n">
        <f aca="false">VLOOKUP($B68,curvesettle,4,FALSE())</f>
        <v>0.067785286759331</v>
      </c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</row>
    <row r="69" customFormat="false" ht="12.75" hidden="false" customHeight="false" outlineLevel="0" collapsed="false">
      <c r="A69" s="83" t="n">
        <f aca="false">A68+1</f>
        <v>52</v>
      </c>
      <c r="B69" s="90" t="n">
        <f aca="false">DATE(YEAR(B68),MONTH(B68)+1,1)</f>
        <v>38353</v>
      </c>
      <c r="C69" s="0"/>
      <c r="D69" s="83" t="n">
        <f aca="false">VLOOKUP($B69,curvesettle,2,FALSE())</f>
        <v>3.581</v>
      </c>
      <c r="E69" s="91" t="n">
        <f aca="false">N$11</f>
        <v>0</v>
      </c>
      <c r="F69" s="83" t="n">
        <f aca="false">IF(C$1="settle",D69,IF(C$1="EOL",D69+E69,IF(C69=0,D69,C69)))</f>
        <v>3.581</v>
      </c>
      <c r="G69" s="92" t="n">
        <f aca="false">VLOOKUP($B69,curvesettle,3,FALSE())</f>
        <v>0.265</v>
      </c>
      <c r="H69" s="92" t="n">
        <v>0</v>
      </c>
      <c r="I69" s="92" t="n">
        <f aca="false">G69+H69</f>
        <v>0.265</v>
      </c>
      <c r="J69" s="61"/>
      <c r="K69" s="2" t="n">
        <f aca="false">A69</f>
        <v>52</v>
      </c>
      <c r="L69" s="94" t="n">
        <f aca="false">VLOOKUP(B69,expiration,3,FALSE())</f>
        <v>38348</v>
      </c>
      <c r="M69" s="65" t="n">
        <f aca="false">VLOOKUP($B69,curvesettle,4,FALSE())</f>
        <v>0.067836147216722</v>
      </c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</row>
    <row r="70" customFormat="false" ht="12.75" hidden="false" customHeight="false" outlineLevel="0" collapsed="false">
      <c r="A70" s="83" t="n">
        <f aca="false">A69+1</f>
        <v>53</v>
      </c>
      <c r="B70" s="90" t="n">
        <f aca="false">DATE(YEAR(B69),MONTH(B69)+1,1)</f>
        <v>38384</v>
      </c>
      <c r="C70" s="0"/>
      <c r="D70" s="83" t="n">
        <f aca="false">VLOOKUP($B70,curvesettle,2,FALSE())</f>
        <v>3.427</v>
      </c>
      <c r="E70" s="91" t="n">
        <f aca="false">N$11</f>
        <v>0</v>
      </c>
      <c r="F70" s="83" t="n">
        <f aca="false">IF(C$1="settle",D70,IF(C$1="EOL",D70+E70,IF(C70=0,D70,C70)))</f>
        <v>3.427</v>
      </c>
      <c r="G70" s="92" t="n">
        <f aca="false">VLOOKUP($B70,curvesettle,3,FALSE())</f>
        <v>0.2525</v>
      </c>
      <c r="H70" s="92" t="n">
        <v>0</v>
      </c>
      <c r="I70" s="92" t="n">
        <f aca="false">G70+H70</f>
        <v>0.2525</v>
      </c>
      <c r="J70" s="61"/>
      <c r="K70" s="2" t="n">
        <f aca="false">A70</f>
        <v>53</v>
      </c>
      <c r="L70" s="94" t="n">
        <f aca="false">VLOOKUP(B70,expiration,3,FALSE())</f>
        <v>38378</v>
      </c>
      <c r="M70" s="65" t="n">
        <f aca="false">VLOOKUP($B70,curvesettle,4,FALSE())</f>
        <v>0.06788700767497</v>
      </c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</row>
    <row r="71" customFormat="false" ht="12.75" hidden="false" customHeight="false" outlineLevel="0" collapsed="false">
      <c r="A71" s="83" t="n">
        <f aca="false">A70+1</f>
        <v>54</v>
      </c>
      <c r="B71" s="90" t="n">
        <f aca="false">DATE(YEAR(B70),MONTH(B70)+1,1)</f>
        <v>38412</v>
      </c>
      <c r="C71" s="0"/>
      <c r="D71" s="83" t="n">
        <f aca="false">VLOOKUP($B71,curvesettle,2,FALSE())</f>
        <v>3.25</v>
      </c>
      <c r="E71" s="91" t="n">
        <f aca="false">N$11</f>
        <v>0</v>
      </c>
      <c r="F71" s="83" t="n">
        <f aca="false">IF(C$1="settle",D71,IF(C$1="EOL",D71+E71,IF(C71=0,D71,C71)))</f>
        <v>3.25</v>
      </c>
      <c r="G71" s="92" t="n">
        <f aca="false">VLOOKUP($B71,curvesettle,3,FALSE())</f>
        <v>0.2475</v>
      </c>
      <c r="H71" s="92" t="n">
        <v>0</v>
      </c>
      <c r="I71" s="92" t="n">
        <f aca="false">G71+H71</f>
        <v>0.2475</v>
      </c>
      <c r="J71" s="61"/>
      <c r="K71" s="2" t="n">
        <f aca="false">A71</f>
        <v>54</v>
      </c>
      <c r="L71" s="94" t="n">
        <f aca="false">VLOOKUP(B71,expiration,3,FALSE())</f>
        <v>38406</v>
      </c>
      <c r="M71" s="65" t="n">
        <f aca="false">VLOOKUP($B71,curvesettle,4,FALSE())</f>
        <v>0.067932946154122</v>
      </c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</row>
    <row r="72" customFormat="false" ht="12.75" hidden="false" customHeight="false" outlineLevel="0" collapsed="false">
      <c r="A72" s="83" t="n">
        <f aca="false">A71+1</f>
        <v>55</v>
      </c>
      <c r="B72" s="90" t="n">
        <f aca="false">DATE(YEAR(B71),MONTH(B71)+1,1)</f>
        <v>38443</v>
      </c>
      <c r="C72" s="0"/>
      <c r="D72" s="83" t="n">
        <f aca="false">VLOOKUP($B72,curvesettle,2,FALSE())</f>
        <v>3.066</v>
      </c>
      <c r="E72" s="91" t="n">
        <f aca="false">N$11</f>
        <v>0</v>
      </c>
      <c r="F72" s="83" t="n">
        <f aca="false">IF(C$1="settle",D72,IF(C$1="EOL",D72+E72,IF(C72=0,D72,C72)))</f>
        <v>3.066</v>
      </c>
      <c r="G72" s="92" t="n">
        <f aca="false">VLOOKUP($B72,curvesettle,3,FALSE())</f>
        <v>0.235</v>
      </c>
      <c r="H72" s="92" t="n">
        <v>0</v>
      </c>
      <c r="I72" s="92" t="n">
        <f aca="false">G72+H72</f>
        <v>0.235</v>
      </c>
      <c r="J72" s="61"/>
      <c r="K72" s="2" t="n">
        <f aca="false">A72</f>
        <v>55</v>
      </c>
      <c r="L72" s="94" t="n">
        <f aca="false">VLOOKUP(B72,expiration,3,FALSE())</f>
        <v>38439</v>
      </c>
      <c r="M72" s="65" t="n">
        <f aca="false">VLOOKUP($B72,curvesettle,4,FALSE())</f>
        <v>0.067983806614</v>
      </c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</row>
    <row r="73" customFormat="false" ht="12.75" hidden="false" customHeight="false" outlineLevel="0" collapsed="false">
      <c r="A73" s="83" t="n">
        <f aca="false">A72+1</f>
        <v>56</v>
      </c>
      <c r="B73" s="90" t="n">
        <f aca="false">DATE(YEAR(B72),MONTH(B72)+1,1)</f>
        <v>38473</v>
      </c>
      <c r="C73" s="0"/>
      <c r="D73" s="83" t="n">
        <f aca="false">VLOOKUP($B73,curvesettle,2,FALSE())</f>
        <v>3.018</v>
      </c>
      <c r="E73" s="91" t="n">
        <f aca="false">N$11</f>
        <v>0</v>
      </c>
      <c r="F73" s="83" t="n">
        <f aca="false">IF(C$1="settle",D73,IF(C$1="EOL",D73+E73,IF(C73=0,D73,C73)))</f>
        <v>3.018</v>
      </c>
      <c r="G73" s="92" t="n">
        <f aca="false">VLOOKUP($B73,curvesettle,3,FALSE())</f>
        <v>0.235</v>
      </c>
      <c r="H73" s="92" t="n">
        <v>0</v>
      </c>
      <c r="I73" s="92" t="n">
        <f aca="false">G73+H73</f>
        <v>0.235</v>
      </c>
      <c r="J73" s="61"/>
      <c r="K73" s="2" t="n">
        <f aca="false">A73</f>
        <v>56</v>
      </c>
      <c r="L73" s="94" t="n">
        <f aca="false">VLOOKUP(B73,expiration,3,FALSE())</f>
        <v>38468</v>
      </c>
      <c r="M73" s="65" t="n">
        <f aca="false">VLOOKUP($B73,curvesettle,4,FALSE())</f>
        <v>0.068033026414695</v>
      </c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</row>
    <row r="74" customFormat="false" ht="12.75" hidden="false" customHeight="false" outlineLevel="0" collapsed="false">
      <c r="A74" s="83" t="n">
        <f aca="false">A73+1</f>
        <v>57</v>
      </c>
      <c r="B74" s="90" t="n">
        <f aca="false">DATE(YEAR(B73),MONTH(B73)+1,1)</f>
        <v>38504</v>
      </c>
      <c r="C74" s="0"/>
      <c r="D74" s="83" t="n">
        <f aca="false">VLOOKUP($B74,curvesettle,2,FALSE())</f>
        <v>3.028</v>
      </c>
      <c r="E74" s="91" t="n">
        <f aca="false">N$11</f>
        <v>0</v>
      </c>
      <c r="F74" s="83" t="n">
        <f aca="false">IF(C$1="settle",D74,IF(C$1="EOL",D74+E74,IF(C74=0,D74,C74)))</f>
        <v>3.028</v>
      </c>
      <c r="G74" s="92" t="n">
        <f aca="false">VLOOKUP($B74,curvesettle,3,FALSE())</f>
        <v>0.2325</v>
      </c>
      <c r="H74" s="92" t="n">
        <v>0</v>
      </c>
      <c r="I74" s="92" t="n">
        <f aca="false">G74+H74</f>
        <v>0.2325</v>
      </c>
      <c r="J74" s="61"/>
      <c r="K74" s="2" t="n">
        <f aca="false">A74</f>
        <v>57</v>
      </c>
      <c r="L74" s="94" t="n">
        <f aca="false">VLOOKUP(B74,expiration,3,FALSE())</f>
        <v>38497</v>
      </c>
      <c r="M74" s="65" t="n">
        <f aca="false">VLOOKUP($B74,curvesettle,4,FALSE())</f>
        <v>0.068083886876256</v>
      </c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</row>
    <row r="75" customFormat="false" ht="12.75" hidden="false" customHeight="false" outlineLevel="0" collapsed="false">
      <c r="A75" s="83" t="n">
        <f aca="false">A74+1</f>
        <v>58</v>
      </c>
      <c r="B75" s="90" t="n">
        <f aca="false">DATE(YEAR(B74),MONTH(B74)+1,1)</f>
        <v>38534</v>
      </c>
      <c r="C75" s="0"/>
      <c r="D75" s="83" t="n">
        <f aca="false">VLOOKUP($B75,curvesettle,2,FALSE())</f>
        <v>3.036</v>
      </c>
      <c r="E75" s="91" t="n">
        <f aca="false">N$11</f>
        <v>0</v>
      </c>
      <c r="F75" s="83" t="n">
        <f aca="false">IF(C$1="settle",D75,IF(C$1="EOL",D75+E75,IF(C75=0,D75,C75)))</f>
        <v>3.036</v>
      </c>
      <c r="G75" s="92" t="n">
        <f aca="false">VLOOKUP($B75,curvesettle,3,FALSE())</f>
        <v>0.2325</v>
      </c>
      <c r="H75" s="92" t="n">
        <v>0</v>
      </c>
      <c r="I75" s="92" t="n">
        <f aca="false">G75+H75</f>
        <v>0.2325</v>
      </c>
      <c r="J75" s="61"/>
      <c r="K75" s="2" t="n">
        <f aca="false">A75</f>
        <v>58</v>
      </c>
      <c r="L75" s="94" t="n">
        <f aca="false">VLOOKUP(B75,expiration,3,FALSE())</f>
        <v>38530</v>
      </c>
      <c r="M75" s="65" t="n">
        <f aca="false">VLOOKUP($B75,curvesettle,4,FALSE())</f>
        <v>0.068133106678583</v>
      </c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</row>
    <row r="76" customFormat="false" ht="12.75" hidden="false" customHeight="false" outlineLevel="0" collapsed="false">
      <c r="A76" s="83" t="n">
        <f aca="false">A75+1</f>
        <v>59</v>
      </c>
      <c r="B76" s="90" t="n">
        <f aca="false">DATE(YEAR(B75),MONTH(B75)+1,1)</f>
        <v>38565</v>
      </c>
      <c r="C76" s="0"/>
      <c r="D76" s="83" t="n">
        <f aca="false">VLOOKUP($B76,curvesettle,2,FALSE())</f>
        <v>3.043</v>
      </c>
      <c r="E76" s="91" t="n">
        <f aca="false">N$11</f>
        <v>0</v>
      </c>
      <c r="F76" s="83" t="n">
        <f aca="false">IF(C$1="settle",D76,IF(C$1="EOL",D76+E76,IF(C76=0,D76,C76)))</f>
        <v>3.043</v>
      </c>
      <c r="G76" s="92" t="n">
        <f aca="false">VLOOKUP($B76,curvesettle,3,FALSE())</f>
        <v>0.2325</v>
      </c>
      <c r="H76" s="92" t="n">
        <v>0</v>
      </c>
      <c r="I76" s="92" t="n">
        <f aca="false">G76+H76</f>
        <v>0.2325</v>
      </c>
      <c r="J76" s="61"/>
      <c r="K76" s="2" t="n">
        <f aca="false">A76</f>
        <v>59</v>
      </c>
      <c r="L76" s="94" t="n">
        <f aca="false">VLOOKUP(B76,expiration,3,FALSE())</f>
        <v>38559</v>
      </c>
      <c r="M76" s="65" t="n">
        <f aca="false">VLOOKUP($B76,curvesettle,4,FALSE())</f>
        <v>0.068183967141829</v>
      </c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</row>
    <row r="77" customFormat="false" ht="12.75" hidden="false" customHeight="false" outlineLevel="0" collapsed="false">
      <c r="A77" s="83" t="n">
        <f aca="false">A76+1</f>
        <v>60</v>
      </c>
      <c r="B77" s="90" t="n">
        <f aca="false">DATE(YEAR(B76),MONTH(B76)+1,1)</f>
        <v>38596</v>
      </c>
      <c r="C77" s="0"/>
      <c r="D77" s="83" t="n">
        <f aca="false">VLOOKUP($B77,curvesettle,2,FALSE())</f>
        <v>3.031</v>
      </c>
      <c r="E77" s="91" t="n">
        <f aca="false">N$11</f>
        <v>0</v>
      </c>
      <c r="F77" s="83" t="n">
        <f aca="false">IF(C$1="settle",D77,IF(C$1="EOL",D77+E77,IF(C77=0,D77,C77)))</f>
        <v>3.031</v>
      </c>
      <c r="G77" s="92" t="n">
        <f aca="false">VLOOKUP($B77,curvesettle,3,FALSE())</f>
        <v>0.2325</v>
      </c>
      <c r="H77" s="92" t="n">
        <v>0</v>
      </c>
      <c r="I77" s="92" t="n">
        <f aca="false">G77+H77</f>
        <v>0.2325</v>
      </c>
      <c r="J77" s="61"/>
      <c r="K77" s="2" t="n">
        <f aca="false">A77</f>
        <v>60</v>
      </c>
      <c r="L77" s="94" t="n">
        <f aca="false">VLOOKUP(B77,expiration,3,FALSE())</f>
        <v>38590</v>
      </c>
      <c r="M77" s="65" t="n">
        <f aca="false">VLOOKUP($B77,curvesettle,4,FALSE())</f>
        <v>0.068234827605931</v>
      </c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</row>
    <row r="78" customFormat="false" ht="12.75" hidden="false" customHeight="false" outlineLevel="0" collapsed="false">
      <c r="A78" s="83" t="n">
        <f aca="false">A77+1</f>
        <v>61</v>
      </c>
      <c r="B78" s="90" t="n">
        <f aca="false">DATE(YEAR(B77),MONTH(B77)+1,1)</f>
        <v>38626</v>
      </c>
      <c r="C78" s="0"/>
      <c r="D78" s="83" t="n">
        <f aca="false">VLOOKUP($B78,curvesettle,2,FALSE())</f>
        <v>3.052</v>
      </c>
      <c r="E78" s="91" t="n">
        <f aca="false">N$11</f>
        <v>0</v>
      </c>
      <c r="F78" s="83" t="n">
        <f aca="false">IF(C$1="settle",D78,IF(C$1="EOL",D78+E78,IF(C78=0,D78,C78)))</f>
        <v>3.052</v>
      </c>
      <c r="G78" s="92" t="n">
        <f aca="false">VLOOKUP($B78,curvesettle,3,FALSE())</f>
        <v>0.2325</v>
      </c>
      <c r="H78" s="92" t="n">
        <v>0</v>
      </c>
      <c r="I78" s="92" t="n">
        <f aca="false">G78+H78</f>
        <v>0.2325</v>
      </c>
      <c r="J78" s="61"/>
      <c r="K78" s="2" t="n">
        <f aca="false">A78</f>
        <v>61</v>
      </c>
      <c r="L78" s="94" t="n">
        <f aca="false">VLOOKUP(B78,expiration,3,FALSE())</f>
        <v>38622</v>
      </c>
      <c r="M78" s="65" t="n">
        <f aca="false">VLOOKUP($B78,curvesettle,4,FALSE())</f>
        <v>0.068284220896026</v>
      </c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</row>
    <row r="79" customFormat="false" ht="12.75" hidden="false" customHeight="false" outlineLevel="0" collapsed="false">
      <c r="A79" s="83" t="n">
        <f aca="false">A78+1</f>
        <v>62</v>
      </c>
      <c r="B79" s="90" t="n">
        <f aca="false">DATE(YEAR(B78),MONTH(B78)+1,1)</f>
        <v>38657</v>
      </c>
      <c r="C79" s="0"/>
      <c r="D79" s="83" t="n">
        <f aca="false">VLOOKUP($B79,curvesettle,2,FALSE())</f>
        <v>3.134</v>
      </c>
      <c r="E79" s="91" t="n">
        <f aca="false">N$11</f>
        <v>0</v>
      </c>
      <c r="F79" s="83" t="n">
        <f aca="false">IF(C$1="settle",D79,IF(C$1="EOL",D79+E79,IF(C79=0,D79,C79)))</f>
        <v>3.134</v>
      </c>
      <c r="G79" s="92" t="n">
        <f aca="false">VLOOKUP($B79,curvesettle,3,FALSE())</f>
        <v>0.2325</v>
      </c>
      <c r="H79" s="92" t="n">
        <v>0</v>
      </c>
      <c r="I79" s="92" t="n">
        <f aca="false">G79+H79</f>
        <v>0.2325</v>
      </c>
      <c r="J79" s="61"/>
      <c r="K79" s="2" t="n">
        <f aca="false">A79</f>
        <v>62</v>
      </c>
      <c r="L79" s="94" t="n">
        <f aca="false">VLOOKUP(B79,expiration,3,FALSE())</f>
        <v>38651</v>
      </c>
      <c r="M79" s="65" t="n">
        <f aca="false">VLOOKUP($B79,curvesettle,4,FALSE())</f>
        <v>0.068335570274971</v>
      </c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</row>
    <row r="80" customFormat="false" ht="12.75" hidden="false" customHeight="false" outlineLevel="0" collapsed="false">
      <c r="A80" s="83" t="n">
        <f aca="false">A79+1</f>
        <v>63</v>
      </c>
      <c r="B80" s="90" t="n">
        <f aca="false">DATE(YEAR(B79),MONTH(B79)+1,1)</f>
        <v>38687</v>
      </c>
      <c r="C80" s="0"/>
      <c r="D80" s="83" t="n">
        <f aca="false">VLOOKUP($B80,curvesettle,2,FALSE())</f>
        <v>3.204</v>
      </c>
      <c r="E80" s="91" t="n">
        <f aca="false">N$11</f>
        <v>0</v>
      </c>
      <c r="F80" s="83" t="n">
        <f aca="false">IF(C$1="settle",D80,IF(C$1="EOL",D80+E80,IF(C80=0,D80,C80)))</f>
        <v>3.204</v>
      </c>
      <c r="G80" s="92" t="n">
        <f aca="false">VLOOKUP($B80,curvesettle,3,FALSE())</f>
        <v>0.235</v>
      </c>
      <c r="H80" s="92" t="n">
        <v>0</v>
      </c>
      <c r="I80" s="92" t="n">
        <f aca="false">G80+H80</f>
        <v>0.235</v>
      </c>
      <c r="J80" s="61"/>
      <c r="K80" s="2" t="n">
        <f aca="false">A80</f>
        <v>63</v>
      </c>
      <c r="L80" s="94" t="n">
        <f aca="false">VLOOKUP(B80,expiration,3,FALSE())</f>
        <v>38681</v>
      </c>
      <c r="M80" s="65" t="n">
        <f aca="false">VLOOKUP($B80,curvesettle,4,FALSE())</f>
        <v>0.068385263223168</v>
      </c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</row>
    <row r="81" customFormat="false" ht="12.75" hidden="false" customHeight="false" outlineLevel="0" collapsed="false">
      <c r="A81" s="83" t="n">
        <f aca="false">A80+1</f>
        <v>64</v>
      </c>
      <c r="B81" s="90" t="n">
        <f aca="false">DATE(YEAR(B80),MONTH(B80)+1,1)</f>
        <v>38718</v>
      </c>
      <c r="C81" s="0"/>
      <c r="D81" s="83" t="n">
        <f aca="false">VLOOKUP($B81,curvesettle,2,FALSE())</f>
        <v>3.558</v>
      </c>
      <c r="E81" s="91" t="n">
        <f aca="false">N$11</f>
        <v>0</v>
      </c>
      <c r="F81" s="83" t="n">
        <f aca="false">IF(C$1="settle",D81,IF(C$1="EOL",D81+E81,IF(C81=0,D81,C81)))</f>
        <v>3.558</v>
      </c>
      <c r="G81" s="92" t="n">
        <f aca="false">VLOOKUP($B81,curvesettle,3,FALSE())</f>
        <v>0.235</v>
      </c>
      <c r="H81" s="92" t="n">
        <v>0</v>
      </c>
      <c r="I81" s="92" t="n">
        <f aca="false">G81+H81</f>
        <v>0.235</v>
      </c>
      <c r="J81" s="61"/>
      <c r="K81" s="2" t="n">
        <f aca="false">A81</f>
        <v>64</v>
      </c>
      <c r="L81" s="94" t="n">
        <f aca="false">VLOOKUP(B81,expiration,3,FALSE())</f>
        <v>38713</v>
      </c>
      <c r="M81" s="65" t="n">
        <f aca="false">VLOOKUP($B81,curvesettle,4,FALSE())</f>
        <v>0.06843661260383</v>
      </c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</row>
    <row r="82" customFormat="false" ht="12.75" hidden="false" customHeight="false" outlineLevel="0" collapsed="false">
      <c r="A82" s="83" t="n">
        <f aca="false">A81+1</f>
        <v>65</v>
      </c>
      <c r="B82" s="90" t="n">
        <f aca="false">DATE(YEAR(B81),MONTH(B81)+1,1)</f>
        <v>38749</v>
      </c>
      <c r="C82" s="0"/>
      <c r="D82" s="83" t="n">
        <f aca="false">VLOOKUP($B82,curvesettle,2,FALSE())</f>
        <v>3.408</v>
      </c>
      <c r="E82" s="91" t="n">
        <f aca="false">N$11</f>
        <v>0</v>
      </c>
      <c r="F82" s="83" t="n">
        <f aca="false">IF(C$1="settle",D82,IF(C$1="EOL",D82+E82,IF(C82=0,D82,C82)))</f>
        <v>3.408</v>
      </c>
      <c r="G82" s="92" t="n">
        <f aca="false">VLOOKUP($B82,curvesettle,3,FALSE())</f>
        <v>0.2325</v>
      </c>
      <c r="H82" s="92" t="n">
        <v>0</v>
      </c>
      <c r="I82" s="92" t="n">
        <f aca="false">G82+H82</f>
        <v>0.2325</v>
      </c>
      <c r="J82" s="61"/>
      <c r="K82" s="2" t="n">
        <f aca="false">A82</f>
        <v>65</v>
      </c>
      <c r="L82" s="94" t="n">
        <f aca="false">VLOOKUP(B82,expiration,3,FALSE())</f>
        <v>38743</v>
      </c>
      <c r="M82" s="65" t="n">
        <f aca="false">VLOOKUP($B82,curvesettle,4,FALSE())</f>
        <v>0.068487961985365</v>
      </c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</row>
    <row r="83" customFormat="false" ht="12.75" hidden="false" customHeight="false" outlineLevel="0" collapsed="false">
      <c r="A83" s="83" t="n">
        <f aca="false">A82+1</f>
        <v>66</v>
      </c>
      <c r="B83" s="90" t="n">
        <f aca="false">DATE(YEAR(B82),MONTH(B82)+1,1)</f>
        <v>38777</v>
      </c>
      <c r="C83" s="0"/>
      <c r="D83" s="83" t="n">
        <f aca="false">VLOOKUP($B83,curvesettle,2,FALSE())</f>
        <v>3.234</v>
      </c>
      <c r="E83" s="91" t="n">
        <f aca="false">N$11</f>
        <v>0</v>
      </c>
      <c r="F83" s="83" t="n">
        <f aca="false">IF(C$1="settle",D83,IF(C$1="EOL",D83+E83,IF(C83=0,D83,C83)))</f>
        <v>3.234</v>
      </c>
      <c r="G83" s="92" t="n">
        <f aca="false">VLOOKUP($B83,curvesettle,3,FALSE())</f>
        <v>0.23</v>
      </c>
      <c r="H83" s="92" t="n">
        <v>0</v>
      </c>
      <c r="I83" s="92" t="n">
        <f aca="false">G83+H83</f>
        <v>0.23</v>
      </c>
      <c r="J83" s="61"/>
      <c r="K83" s="2" t="n">
        <f aca="false">A83</f>
        <v>66</v>
      </c>
      <c r="L83" s="94" t="n">
        <f aca="false">VLOOKUP(B83,expiration,3,FALSE())</f>
        <v>38771</v>
      </c>
      <c r="M83" s="65" t="n">
        <f aca="false">VLOOKUP($B83,curvesettle,4,FALSE())</f>
        <v>0.068534342072662</v>
      </c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</row>
    <row r="84" customFormat="false" ht="12.75" hidden="false" customHeight="false" outlineLevel="0" collapsed="false">
      <c r="A84" s="83" t="n">
        <f aca="false">A83+1</f>
        <v>67</v>
      </c>
      <c r="B84" s="90" t="n">
        <f aca="false">DATE(YEAR(B83),MONTH(B83)+1,1)</f>
        <v>38808</v>
      </c>
      <c r="C84" s="0"/>
      <c r="D84" s="83" t="n">
        <f aca="false">VLOOKUP($B84,curvesettle,2,FALSE())</f>
        <v>3.053</v>
      </c>
      <c r="E84" s="91" t="n">
        <f aca="false">N$11</f>
        <v>0</v>
      </c>
      <c r="F84" s="83" t="n">
        <f aca="false">IF(C$1="settle",D84,IF(C$1="EOL",D84+E84,IF(C84=0,D84,C84)))</f>
        <v>3.053</v>
      </c>
      <c r="G84" s="92" t="n">
        <f aca="false">VLOOKUP($B84,curvesettle,3,FALSE())</f>
        <v>0.23</v>
      </c>
      <c r="H84" s="92" t="n">
        <v>0</v>
      </c>
      <c r="I84" s="92" t="n">
        <f aca="false">G84+H84</f>
        <v>0.23</v>
      </c>
      <c r="J84" s="61"/>
      <c r="K84" s="2" t="n">
        <f aca="false">A84</f>
        <v>67</v>
      </c>
      <c r="L84" s="94" t="n">
        <f aca="false">VLOOKUP(B84,expiration,3,FALSE())</f>
        <v>38804</v>
      </c>
      <c r="M84" s="65" t="n">
        <f aca="false">VLOOKUP($B84,curvesettle,4,FALSE())</f>
        <v>0.068585691455857</v>
      </c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</row>
    <row r="85" customFormat="false" ht="12.75" hidden="false" customHeight="false" outlineLevel="0" collapsed="false">
      <c r="A85" s="83" t="n">
        <f aca="false">A84+1</f>
        <v>68</v>
      </c>
      <c r="B85" s="90" t="n">
        <f aca="false">DATE(YEAR(B84),MONTH(B84)+1,1)</f>
        <v>38838</v>
      </c>
      <c r="C85" s="0"/>
      <c r="D85" s="83" t="n">
        <f aca="false">VLOOKUP($B85,curvesettle,2,FALSE())</f>
        <v>3.006</v>
      </c>
      <c r="E85" s="91" t="n">
        <f aca="false">N$11</f>
        <v>0</v>
      </c>
      <c r="F85" s="83" t="n">
        <f aca="false">IF(C$1="settle",D85,IF(C$1="EOL",D85+E85,IF(C85=0,D85,C85)))</f>
        <v>3.006</v>
      </c>
      <c r="G85" s="92" t="n">
        <f aca="false">VLOOKUP($B85,curvesettle,3,FALSE())</f>
        <v>0.2275</v>
      </c>
      <c r="H85" s="92" t="n">
        <v>0</v>
      </c>
      <c r="I85" s="92" t="n">
        <f aca="false">G85+H85</f>
        <v>0.2275</v>
      </c>
      <c r="J85" s="61"/>
      <c r="K85" s="2" t="n">
        <f aca="false">A85</f>
        <v>68</v>
      </c>
      <c r="L85" s="94" t="n">
        <f aca="false">VLOOKUP(B85,expiration,3,FALSE())</f>
        <v>38832</v>
      </c>
      <c r="M85" s="65" t="n">
        <f aca="false">VLOOKUP($B85,curvesettle,4,FALSE())</f>
        <v>0.068635384408167</v>
      </c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</row>
    <row r="86" customFormat="false" ht="12.75" hidden="false" customHeight="false" outlineLevel="0" collapsed="false">
      <c r="A86" s="83" t="n">
        <f aca="false">A85+1</f>
        <v>69</v>
      </c>
      <c r="B86" s="90" t="n">
        <f aca="false">DATE(YEAR(B85),MONTH(B85)+1,1)</f>
        <v>38869</v>
      </c>
      <c r="C86" s="0"/>
      <c r="D86" s="83" t="n">
        <f aca="false">VLOOKUP($B86,curvesettle,2,FALSE())</f>
        <v>3.017</v>
      </c>
      <c r="E86" s="91" t="n">
        <f aca="false">N$11</f>
        <v>0</v>
      </c>
      <c r="F86" s="83" t="n">
        <f aca="false">IF(C$1="settle",D86,IF(C$1="EOL",D86+E86,IF(C86=0,D86,C86)))</f>
        <v>3.017</v>
      </c>
      <c r="G86" s="92" t="n">
        <f aca="false">VLOOKUP($B86,curvesettle,3,FALSE())</f>
        <v>0.2275</v>
      </c>
      <c r="H86" s="92" t="n">
        <v>0</v>
      </c>
      <c r="I86" s="92" t="n">
        <f aca="false">G86+H86</f>
        <v>0.2275</v>
      </c>
      <c r="J86" s="61"/>
      <c r="K86" s="2" t="n">
        <f aca="false">A86</f>
        <v>69</v>
      </c>
      <c r="L86" s="94" t="n">
        <f aca="false">VLOOKUP(B86,expiration,3,FALSE())</f>
        <v>38862</v>
      </c>
      <c r="M86" s="65" t="n">
        <f aca="false">VLOOKUP($B86,curvesettle,4,FALSE())</f>
        <v>0.068686733793079</v>
      </c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</row>
    <row r="87" customFormat="false" ht="12.75" hidden="false" customHeight="false" outlineLevel="0" collapsed="false">
      <c r="A87" s="83" t="n">
        <f aca="false">A86+1</f>
        <v>70</v>
      </c>
      <c r="B87" s="90" t="n">
        <f aca="false">DATE(YEAR(B86),MONTH(B86)+1,1)</f>
        <v>38899</v>
      </c>
      <c r="C87" s="0"/>
      <c r="D87" s="83" t="n">
        <f aca="false">VLOOKUP($B87,curvesettle,2,FALSE())</f>
        <v>3.025</v>
      </c>
      <c r="E87" s="91" t="n">
        <f aca="false">N$11</f>
        <v>0</v>
      </c>
      <c r="F87" s="83" t="n">
        <f aca="false">IF(C$1="settle",D87,IF(C$1="EOL",D87+E87,IF(C87=0,D87,C87)))</f>
        <v>3.025</v>
      </c>
      <c r="G87" s="92" t="n">
        <f aca="false">VLOOKUP($B87,curvesettle,3,FALSE())</f>
        <v>0.2275</v>
      </c>
      <c r="H87" s="92" t="n">
        <v>0</v>
      </c>
      <c r="I87" s="92" t="n">
        <f aca="false">G87+H87</f>
        <v>0.2275</v>
      </c>
      <c r="J87" s="61"/>
      <c r="K87" s="2" t="n">
        <f aca="false">A87</f>
        <v>70</v>
      </c>
      <c r="L87" s="94" t="n">
        <f aca="false">VLOOKUP(B87,expiration,3,FALSE())</f>
        <v>38895</v>
      </c>
      <c r="M87" s="65" t="n">
        <f aca="false">VLOOKUP($B87,curvesettle,4,FALSE())</f>
        <v>0.06873642674705</v>
      </c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</row>
    <row r="88" customFormat="false" ht="12.75" hidden="false" customHeight="false" outlineLevel="0" collapsed="false">
      <c r="A88" s="83" t="n">
        <f aca="false">A87+1</f>
        <v>71</v>
      </c>
      <c r="B88" s="90" t="n">
        <f aca="false">DATE(YEAR(B87),MONTH(B87)+1,1)</f>
        <v>38930</v>
      </c>
      <c r="C88" s="0"/>
      <c r="D88" s="83" t="n">
        <f aca="false">VLOOKUP($B88,curvesettle,2,FALSE())</f>
        <v>3.032</v>
      </c>
      <c r="E88" s="91" t="n">
        <f aca="false">N$11</f>
        <v>0</v>
      </c>
      <c r="F88" s="83" t="n">
        <f aca="false">IF(C$1="settle",D88,IF(C$1="EOL",D88+E88,IF(C88=0,D88,C88)))</f>
        <v>3.032</v>
      </c>
      <c r="G88" s="92" t="n">
        <f aca="false">VLOOKUP($B88,curvesettle,3,FALSE())</f>
        <v>0.2275</v>
      </c>
      <c r="H88" s="92" t="n">
        <v>0</v>
      </c>
      <c r="I88" s="92" t="n">
        <f aca="false">G88+H88</f>
        <v>0.2275</v>
      </c>
      <c r="J88" s="61"/>
      <c r="K88" s="2" t="n">
        <f aca="false">A88</f>
        <v>71</v>
      </c>
      <c r="L88" s="94" t="n">
        <f aca="false">VLOOKUP(B88,expiration,3,FALSE())</f>
        <v>38924</v>
      </c>
      <c r="M88" s="65" t="n">
        <f aca="false">VLOOKUP($B88,curvesettle,4,FALSE())</f>
        <v>0.068787776133678</v>
      </c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</row>
    <row r="89" customFormat="false" ht="12.75" hidden="false" customHeight="false" outlineLevel="0" collapsed="false">
      <c r="A89" s="83" t="n">
        <f aca="false">A88+1</f>
        <v>72</v>
      </c>
      <c r="B89" s="90" t="n">
        <f aca="false">DATE(YEAR(B88),MONTH(B88)+1,1)</f>
        <v>38961</v>
      </c>
      <c r="C89" s="0"/>
      <c r="D89" s="83" t="n">
        <f aca="false">VLOOKUP($B89,curvesettle,2,FALSE())</f>
        <v>3.019</v>
      </c>
      <c r="E89" s="91" t="n">
        <f aca="false">N$11</f>
        <v>0</v>
      </c>
      <c r="F89" s="83" t="n">
        <f aca="false">IF(C$1="settle",D89,IF(C$1="EOL",D89+E89,IF(C89=0,D89,C89)))</f>
        <v>3.019</v>
      </c>
      <c r="G89" s="92" t="n">
        <f aca="false">VLOOKUP($B89,curvesettle,3,FALSE())</f>
        <v>0.2275</v>
      </c>
      <c r="H89" s="92" t="n">
        <v>0</v>
      </c>
      <c r="I89" s="92" t="n">
        <f aca="false">G89+H89</f>
        <v>0.2275</v>
      </c>
      <c r="J89" s="61"/>
      <c r="K89" s="2" t="n">
        <f aca="false">A89</f>
        <v>72</v>
      </c>
      <c r="L89" s="94" t="n">
        <f aca="false">VLOOKUP(B89,expiration,3,FALSE())</f>
        <v>38957</v>
      </c>
      <c r="M89" s="65" t="n">
        <f aca="false">VLOOKUP($B89,curvesettle,4,FALSE())</f>
        <v>0.068839125521179</v>
      </c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</row>
    <row r="90" customFormat="false" ht="12.75" hidden="false" customHeight="false" outlineLevel="0" collapsed="false">
      <c r="A90" s="83" t="n">
        <f aca="false">A89+1</f>
        <v>73</v>
      </c>
      <c r="B90" s="90" t="n">
        <f aca="false">DATE(YEAR(B89),MONTH(B89)+1,1)</f>
        <v>38991</v>
      </c>
      <c r="C90" s="0"/>
      <c r="D90" s="83" t="n">
        <f aca="false">VLOOKUP($B90,curvesettle,2,FALSE())</f>
        <v>3.039</v>
      </c>
      <c r="E90" s="91" t="n">
        <f aca="false">N$11</f>
        <v>0</v>
      </c>
      <c r="F90" s="83" t="n">
        <f aca="false">IF(C$1="settle",D90,IF(C$1="EOL",D90+E90,IF(C90=0,D90,C90)))</f>
        <v>3.039</v>
      </c>
      <c r="G90" s="92" t="n">
        <f aca="false">VLOOKUP($B90,curvesettle,3,FALSE())</f>
        <v>0.2275</v>
      </c>
      <c r="H90" s="92" t="n">
        <v>0</v>
      </c>
      <c r="I90" s="92" t="n">
        <f aca="false">G90+H90</f>
        <v>0.2275</v>
      </c>
      <c r="J90" s="61"/>
      <c r="K90" s="2" t="n">
        <f aca="false">A90</f>
        <v>73</v>
      </c>
      <c r="L90" s="94" t="n">
        <f aca="false">VLOOKUP(B90,expiration,3,FALSE())</f>
        <v>38986</v>
      </c>
      <c r="M90" s="65" t="n">
        <f aca="false">VLOOKUP($B90,curvesettle,4,FALSE())</f>
        <v>0.068888818477656</v>
      </c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</row>
    <row r="91" customFormat="false" ht="12.75" hidden="false" customHeight="false" outlineLevel="0" collapsed="false">
      <c r="A91" s="83" t="n">
        <f aca="false">A90+1</f>
        <v>74</v>
      </c>
      <c r="B91" s="90" t="n">
        <f aca="false">DATE(YEAR(B90),MONTH(B90)+1,1)</f>
        <v>39022</v>
      </c>
      <c r="C91" s="0"/>
      <c r="D91" s="83" t="n">
        <f aca="false">VLOOKUP($B91,curvesettle,2,FALSE())</f>
        <v>3.116</v>
      </c>
      <c r="E91" s="91" t="n">
        <f aca="false">N$11</f>
        <v>0</v>
      </c>
      <c r="F91" s="83" t="n">
        <f aca="false">IF(C$1="settle",D91,IF(C$1="EOL",D91+E91,IF(C91=0,D91,C91)))</f>
        <v>3.116</v>
      </c>
      <c r="G91" s="92" t="n">
        <f aca="false">VLOOKUP($B91,curvesettle,3,FALSE())</f>
        <v>0.23</v>
      </c>
      <c r="H91" s="92" t="n">
        <v>0</v>
      </c>
      <c r="I91" s="92" t="n">
        <f aca="false">G91+H91</f>
        <v>0.23</v>
      </c>
      <c r="J91" s="61"/>
      <c r="K91" s="2" t="n">
        <f aca="false">A91</f>
        <v>74</v>
      </c>
      <c r="L91" s="94" t="n">
        <f aca="false">VLOOKUP(B91,expiration,3,FALSE())</f>
        <v>39016</v>
      </c>
      <c r="M91" s="65" t="n">
        <f aca="false">VLOOKUP($B91,curvesettle,4,FALSE())</f>
        <v>0.068940167866873</v>
      </c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</row>
    <row r="92" customFormat="false" ht="12.75" hidden="false" customHeight="false" outlineLevel="0" collapsed="false">
      <c r="A92" s="83" t="n">
        <f aca="false">A91+1</f>
        <v>75</v>
      </c>
      <c r="B92" s="90" t="n">
        <f aca="false">DATE(YEAR(B91),MONTH(B91)+1,1)</f>
        <v>39052</v>
      </c>
      <c r="C92" s="0"/>
      <c r="D92" s="83" t="n">
        <f aca="false">VLOOKUP($B92,curvesettle,2,FALSE())</f>
        <v>3.183</v>
      </c>
      <c r="E92" s="91" t="n">
        <f aca="false">N$11</f>
        <v>0</v>
      </c>
      <c r="F92" s="83" t="n">
        <f aca="false">IF(C$1="settle",D92,IF(C$1="EOL",D92+E92,IF(C92=0,D92,C92)))</f>
        <v>3.183</v>
      </c>
      <c r="G92" s="92" t="n">
        <f aca="false">VLOOKUP($B92,curvesettle,3,FALSE())</f>
        <v>0.24</v>
      </c>
      <c r="H92" s="92" t="n">
        <v>0</v>
      </c>
      <c r="I92" s="92" t="n">
        <f aca="false">G92+H92</f>
        <v>0.24</v>
      </c>
      <c r="J92" s="61"/>
      <c r="K92" s="2" t="n">
        <f aca="false">A92</f>
        <v>75</v>
      </c>
      <c r="L92" s="94" t="n">
        <f aca="false">VLOOKUP(B92,expiration,3,FALSE())</f>
        <v>39048</v>
      </c>
      <c r="M92" s="65" t="n">
        <f aca="false">VLOOKUP($B92,curvesettle,4,FALSE())</f>
        <v>0.068989860825011</v>
      </c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</row>
    <row r="93" customFormat="false" ht="12.75" hidden="false" customHeight="false" outlineLevel="0" collapsed="false">
      <c r="A93" s="83" t="n">
        <f aca="false">A92+1</f>
        <v>76</v>
      </c>
      <c r="B93" s="90" t="n">
        <f aca="false">DATE(YEAR(B92),MONTH(B92)+1,1)</f>
        <v>39083</v>
      </c>
      <c r="C93" s="0"/>
      <c r="D93" s="83" t="n">
        <f aca="false">VLOOKUP($B93,curvesettle,2,FALSE())</f>
        <v>3.565</v>
      </c>
      <c r="E93" s="91" t="n">
        <f aca="false">N$11</f>
        <v>0</v>
      </c>
      <c r="F93" s="83" t="n">
        <f aca="false">IF(C$1="settle",D93,IF(C$1="EOL",D93+E93,IF(C93=0,D93,C93)))</f>
        <v>3.565</v>
      </c>
      <c r="G93" s="92" t="n">
        <f aca="false">VLOOKUP($B93,curvesettle,3,FALSE())</f>
        <v>0.245</v>
      </c>
      <c r="H93" s="92" t="n">
        <v>0</v>
      </c>
      <c r="I93" s="92" t="n">
        <f aca="false">G93+H93</f>
        <v>0.245</v>
      </c>
      <c r="J93" s="61"/>
      <c r="K93" s="2" t="n">
        <f aca="false">A93</f>
        <v>76</v>
      </c>
      <c r="L93" s="94" t="n">
        <f aca="false">VLOOKUP(B93,expiration,3,FALSE())</f>
        <v>39077</v>
      </c>
      <c r="M93" s="65" t="n">
        <f aca="false">VLOOKUP($B93,curvesettle,4,FALSE())</f>
        <v>0.069041210215945</v>
      </c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</row>
    <row r="94" customFormat="false" ht="12.75" hidden="false" customHeight="false" outlineLevel="0" collapsed="false">
      <c r="A94" s="83" t="n">
        <f aca="false">A93+1</f>
        <v>77</v>
      </c>
      <c r="B94" s="90" t="n">
        <f aca="false">DATE(YEAR(B93),MONTH(B93)+1,1)</f>
        <v>39114</v>
      </c>
      <c r="C94" s="0"/>
      <c r="D94" s="83" t="n">
        <f aca="false">VLOOKUP($B94,curvesettle,2,FALSE())</f>
        <v>3.419</v>
      </c>
      <c r="E94" s="91" t="n">
        <f aca="false">N$11</f>
        <v>0</v>
      </c>
      <c r="F94" s="83" t="n">
        <f aca="false">IF(C$1="settle",D94,IF(C$1="EOL",D94+E94,IF(C94=0,D94,C94)))</f>
        <v>3.419</v>
      </c>
      <c r="G94" s="92" t="n">
        <f aca="false">VLOOKUP($B94,curvesettle,3,FALSE())</f>
        <v>0.23</v>
      </c>
      <c r="H94" s="92" t="n">
        <v>0</v>
      </c>
      <c r="I94" s="92" t="n">
        <f aca="false">G94+H94</f>
        <v>0.23</v>
      </c>
      <c r="J94" s="61"/>
      <c r="K94" s="2" t="n">
        <f aca="false">A94</f>
        <v>77</v>
      </c>
      <c r="L94" s="94" t="n">
        <f aca="false">VLOOKUP(B94,expiration,3,FALSE())</f>
        <v>39108</v>
      </c>
      <c r="M94" s="65" t="n">
        <f aca="false">VLOOKUP($B94,curvesettle,4,FALSE())</f>
        <v>0.069092559607751</v>
      </c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</row>
    <row r="95" customFormat="false" ht="12.75" hidden="false" customHeight="false" outlineLevel="0" collapsed="false">
      <c r="A95" s="83" t="n">
        <f aca="false">A94+1</f>
        <v>78</v>
      </c>
      <c r="B95" s="90" t="n">
        <f aca="false">DATE(YEAR(B94),MONTH(B94)+1,1)</f>
        <v>39142</v>
      </c>
      <c r="C95" s="0"/>
      <c r="D95" s="83" t="n">
        <f aca="false">VLOOKUP($B95,curvesettle,2,FALSE())</f>
        <v>3.248</v>
      </c>
      <c r="E95" s="91" t="n">
        <f aca="false">N$11</f>
        <v>0</v>
      </c>
      <c r="F95" s="83" t="n">
        <f aca="false">IF(C$1="settle",D95,IF(C$1="EOL",D95+E95,IF(C95=0,D95,C95)))</f>
        <v>3.248</v>
      </c>
      <c r="G95" s="92" t="n">
        <f aca="false">VLOOKUP($B95,curvesettle,3,FALSE())</f>
        <v>0.22</v>
      </c>
      <c r="H95" s="92" t="n">
        <v>0</v>
      </c>
      <c r="I95" s="92" t="n">
        <f aca="false">G95+H95</f>
        <v>0.22</v>
      </c>
      <c r="J95" s="61"/>
      <c r="K95" s="2" t="n">
        <f aca="false">A95</f>
        <v>78</v>
      </c>
      <c r="L95" s="94" t="n">
        <f aca="false">VLOOKUP(B95,expiration,3,FALSE())</f>
        <v>39136</v>
      </c>
      <c r="M95" s="65" t="n">
        <f aca="false">VLOOKUP($B95,curvesettle,4,FALSE())</f>
        <v>0.069138939704325</v>
      </c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</row>
    <row r="96" customFormat="false" ht="12.75" hidden="false" customHeight="false" outlineLevel="0" collapsed="false">
      <c r="A96" s="83" t="n">
        <f aca="false">A95+1</f>
        <v>79</v>
      </c>
      <c r="B96" s="90" t="n">
        <f aca="false">DATE(YEAR(B95),MONTH(B95)+1,1)</f>
        <v>39173</v>
      </c>
      <c r="C96" s="0"/>
      <c r="D96" s="83" t="n">
        <f aca="false">VLOOKUP($B96,curvesettle,2,FALSE())</f>
        <v>3.07</v>
      </c>
      <c r="E96" s="91" t="n">
        <f aca="false">N$11</f>
        <v>0</v>
      </c>
      <c r="F96" s="83" t="n">
        <f aca="false">IF(C$1="settle",D96,IF(C$1="EOL",D96+E96,IF(C96=0,D96,C96)))</f>
        <v>3.07</v>
      </c>
      <c r="G96" s="92" t="n">
        <f aca="false">VLOOKUP($B96,curvesettle,3,FALSE())</f>
        <v>0.22</v>
      </c>
      <c r="H96" s="92" t="n">
        <v>0</v>
      </c>
      <c r="I96" s="92" t="n">
        <f aca="false">G96+H96</f>
        <v>0.22</v>
      </c>
      <c r="J96" s="61"/>
      <c r="K96" s="2" t="n">
        <f aca="false">A96</f>
        <v>79</v>
      </c>
      <c r="L96" s="94" t="n">
        <f aca="false">VLOOKUP(B96,expiration,3,FALSE())</f>
        <v>39168</v>
      </c>
      <c r="M96" s="65" t="n">
        <f aca="false">VLOOKUP($B96,curvesettle,4,FALSE())</f>
        <v>0.069190289097792</v>
      </c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</row>
    <row r="97" customFormat="false" ht="12.75" hidden="false" customHeight="false" outlineLevel="0" collapsed="false">
      <c r="A97" s="83" t="n">
        <f aca="false">A96+1</f>
        <v>80</v>
      </c>
      <c r="B97" s="90" t="n">
        <f aca="false">DATE(YEAR(B96),MONTH(B96)+1,1)</f>
        <v>39203</v>
      </c>
      <c r="C97" s="0"/>
      <c r="D97" s="83" t="n">
        <f aca="false">VLOOKUP($B97,curvesettle,2,FALSE())</f>
        <v>3.024</v>
      </c>
      <c r="E97" s="91" t="n">
        <f aca="false">N$11</f>
        <v>0</v>
      </c>
      <c r="F97" s="83" t="n">
        <f aca="false">IF(C$1="settle",D97,IF(C$1="EOL",D97+E97,IF(C97=0,D97,C97)))</f>
        <v>3.024</v>
      </c>
      <c r="G97" s="92" t="n">
        <f aca="false">VLOOKUP($B97,curvesettle,3,FALSE())</f>
        <v>0.22</v>
      </c>
      <c r="H97" s="92" t="n">
        <v>0</v>
      </c>
      <c r="I97" s="92" t="n">
        <f aca="false">G97+H97</f>
        <v>0.22</v>
      </c>
      <c r="J97" s="61"/>
      <c r="K97" s="2" t="n">
        <f aca="false">A97</f>
        <v>80</v>
      </c>
      <c r="L97" s="94" t="n">
        <f aca="false">VLOOKUP(B97,expiration,3,FALSE())</f>
        <v>39197</v>
      </c>
      <c r="M97" s="65" t="n">
        <f aca="false">VLOOKUP($B97,curvesettle,4,FALSE())</f>
        <v>0.069239982060041</v>
      </c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</row>
    <row r="98" customFormat="false" ht="12.75" hidden="false" customHeight="false" outlineLevel="0" collapsed="false">
      <c r="A98" s="83" t="n">
        <f aca="false">A97+1</f>
        <v>81</v>
      </c>
      <c r="B98" s="90" t="n">
        <f aca="false">DATE(YEAR(B97),MONTH(B97)+1,1)</f>
        <v>39234</v>
      </c>
      <c r="C98" s="0"/>
      <c r="D98" s="83" t="n">
        <f aca="false">VLOOKUP($B98,curvesettle,2,FALSE())</f>
        <v>3.036</v>
      </c>
      <c r="E98" s="91" t="n">
        <f aca="false">N$11</f>
        <v>0</v>
      </c>
      <c r="F98" s="83" t="n">
        <f aca="false">IF(C$1="settle",D98,IF(C$1="EOL",D98+E98,IF(C98=0,D98,C98)))</f>
        <v>3.036</v>
      </c>
      <c r="G98" s="92" t="n">
        <f aca="false">VLOOKUP($B98,curvesettle,3,FALSE())</f>
        <v>0.21</v>
      </c>
      <c r="H98" s="92" t="n">
        <v>0</v>
      </c>
      <c r="I98" s="92" t="n">
        <f aca="false">G98+H98</f>
        <v>0.21</v>
      </c>
      <c r="J98" s="61"/>
      <c r="K98" s="2" t="n">
        <f aca="false">A98</f>
        <v>81</v>
      </c>
      <c r="L98" s="94" t="n">
        <f aca="false">VLOOKUP(B98,expiration,3,FALSE())</f>
        <v>39227</v>
      </c>
      <c r="M98" s="65" t="n">
        <f aca="false">VLOOKUP($B98,curvesettle,4,FALSE())</f>
        <v>0.069291331455223</v>
      </c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</row>
    <row r="99" customFormat="false" ht="12.75" hidden="false" customHeight="false" outlineLevel="0" collapsed="false">
      <c r="A99" s="83" t="n">
        <f aca="false">A98+1</f>
        <v>82</v>
      </c>
      <c r="B99" s="90" t="n">
        <f aca="false">DATE(YEAR(B98),MONTH(B98)+1,1)</f>
        <v>39264</v>
      </c>
      <c r="C99" s="0"/>
      <c r="D99" s="83" t="n">
        <f aca="false">VLOOKUP($B99,curvesettle,2,FALSE())</f>
        <v>3.044</v>
      </c>
      <c r="E99" s="91" t="n">
        <f aca="false">N$11</f>
        <v>0</v>
      </c>
      <c r="F99" s="83" t="n">
        <f aca="false">IF(C$1="settle",D99,IF(C$1="EOL",D99+E99,IF(C99=0,D99,C99)))</f>
        <v>3.044</v>
      </c>
      <c r="G99" s="92" t="n">
        <f aca="false">VLOOKUP($B99,curvesettle,3,FALSE())</f>
        <v>0.21</v>
      </c>
      <c r="H99" s="92" t="n">
        <v>0</v>
      </c>
      <c r="I99" s="92" t="n">
        <f aca="false">G99+H99</f>
        <v>0.21</v>
      </c>
      <c r="J99" s="61"/>
      <c r="K99" s="2" t="n">
        <f aca="false">A99</f>
        <v>82</v>
      </c>
      <c r="L99" s="94" t="n">
        <f aca="false">VLOOKUP(B99,expiration,3,FALSE())</f>
        <v>39259</v>
      </c>
      <c r="M99" s="65" t="n">
        <f aca="false">VLOOKUP($B99,curvesettle,4,FALSE())</f>
        <v>0.069341024419133</v>
      </c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</row>
    <row r="100" customFormat="false" ht="12.75" hidden="false" customHeight="false" outlineLevel="0" collapsed="false">
      <c r="A100" s="83" t="n">
        <f aca="false">A99+1</f>
        <v>83</v>
      </c>
      <c r="B100" s="90" t="n">
        <f aca="false">DATE(YEAR(B99),MONTH(B99)+1,1)</f>
        <v>39295</v>
      </c>
      <c r="C100" s="0"/>
      <c r="D100" s="83" t="n">
        <f aca="false">VLOOKUP($B100,curvesettle,2,FALSE())</f>
        <v>3.051</v>
      </c>
      <c r="E100" s="91" t="n">
        <f aca="false">N$11</f>
        <v>0</v>
      </c>
      <c r="F100" s="83" t="n">
        <f aca="false">IF(C$1="settle",D100,IF(C$1="EOL",D100+E100,IF(C100=0,D100,C100)))</f>
        <v>3.051</v>
      </c>
      <c r="G100" s="92" t="n">
        <f aca="false">VLOOKUP($B100,curvesettle,3,FALSE())</f>
        <v>0.21</v>
      </c>
      <c r="H100" s="92" t="n">
        <v>0</v>
      </c>
      <c r="I100" s="92" t="n">
        <f aca="false">G100+H100</f>
        <v>0.21</v>
      </c>
      <c r="J100" s="61"/>
      <c r="K100" s="2" t="n">
        <f aca="false">A100</f>
        <v>83</v>
      </c>
      <c r="L100" s="94" t="n">
        <f aca="false">VLOOKUP(B100,expiration,3,FALSE())</f>
        <v>39289</v>
      </c>
      <c r="M100" s="65" t="n">
        <f aca="false">VLOOKUP($B100,curvesettle,4,FALSE())</f>
        <v>0.069392373816032</v>
      </c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</row>
    <row r="101" customFormat="false" ht="12.75" hidden="false" customHeight="false" outlineLevel="0" collapsed="false">
      <c r="A101" s="83" t="n">
        <f aca="false">A100+1</f>
        <v>84</v>
      </c>
      <c r="B101" s="90" t="n">
        <f aca="false">DATE(YEAR(B100),MONTH(B100)+1,1)</f>
        <v>39326</v>
      </c>
      <c r="C101" s="0"/>
      <c r="D101" s="83" t="n">
        <f aca="false">VLOOKUP($B101,curvesettle,2,FALSE())</f>
        <v>3.037</v>
      </c>
      <c r="E101" s="91" t="n">
        <f aca="false">N$11</f>
        <v>0</v>
      </c>
      <c r="F101" s="83" t="n">
        <f aca="false">IF(C$1="settle",D101,IF(C$1="EOL",D101+E101,IF(C101=0,D101,C101)))</f>
        <v>3.037</v>
      </c>
      <c r="G101" s="92" t="n">
        <f aca="false">VLOOKUP($B101,curvesettle,3,FALSE())</f>
        <v>0.21</v>
      </c>
      <c r="H101" s="92" t="n">
        <v>0</v>
      </c>
      <c r="I101" s="92" t="n">
        <f aca="false">G101+H101</f>
        <v>0.21</v>
      </c>
      <c r="J101" s="61"/>
      <c r="K101" s="2" t="n">
        <f aca="false">A101</f>
        <v>84</v>
      </c>
      <c r="L101" s="94" t="n">
        <f aca="false">VLOOKUP(B101,expiration,3,FALSE())</f>
        <v>39322</v>
      </c>
      <c r="M101" s="65" t="n">
        <f aca="false">VLOOKUP($B101,curvesettle,4,FALSE())</f>
        <v>0.069443723213803</v>
      </c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</row>
    <row r="102" customFormat="false" ht="12.75" hidden="false" customHeight="false" outlineLevel="0" collapsed="false">
      <c r="A102" s="83" t="n">
        <f aca="false">A101+1</f>
        <v>85</v>
      </c>
      <c r="B102" s="90" t="n">
        <f aca="false">DATE(YEAR(B101),MONTH(B101)+1,1)</f>
        <v>39356</v>
      </c>
      <c r="C102" s="0"/>
      <c r="D102" s="83" t="n">
        <f aca="false">VLOOKUP($B102,curvesettle,2,FALSE())</f>
        <v>3.056</v>
      </c>
      <c r="E102" s="91" t="n">
        <f aca="false">N$11</f>
        <v>0</v>
      </c>
      <c r="F102" s="83" t="n">
        <f aca="false">IF(C$1="settle",D102,IF(C$1="EOL",D102+E102,IF(C102=0,D102,C102)))</f>
        <v>3.056</v>
      </c>
      <c r="G102" s="92" t="n">
        <f aca="false">VLOOKUP($B102,curvesettle,3,FALSE())</f>
        <v>0.2</v>
      </c>
      <c r="H102" s="92" t="n">
        <v>0</v>
      </c>
      <c r="I102" s="92" t="n">
        <f aca="false">G102+H102</f>
        <v>0.2</v>
      </c>
      <c r="J102" s="61"/>
      <c r="K102" s="2" t="n">
        <f aca="false">A102</f>
        <v>85</v>
      </c>
      <c r="L102" s="94" t="n">
        <f aca="false">VLOOKUP(B102,expiration,3,FALSE())</f>
        <v>39350</v>
      </c>
      <c r="M102" s="65" t="n">
        <f aca="false">VLOOKUP($B102,curvesettle,4,FALSE())</f>
        <v>0.069488464519514</v>
      </c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</row>
    <row r="103" customFormat="false" ht="12.75" hidden="false" customHeight="false" outlineLevel="0" collapsed="false">
      <c r="A103" s="83" t="n">
        <f aca="false">A102+1</f>
        <v>86</v>
      </c>
      <c r="B103" s="90" t="n">
        <f aca="false">DATE(YEAR(B102),MONTH(B102)+1,1)</f>
        <v>39387</v>
      </c>
      <c r="C103" s="0"/>
      <c r="D103" s="83" t="n">
        <f aca="false">VLOOKUP($B103,curvesettle,2,FALSE())</f>
        <v>3.128</v>
      </c>
      <c r="E103" s="91" t="n">
        <f aca="false">N$11</f>
        <v>0</v>
      </c>
      <c r="F103" s="83" t="n">
        <f aca="false">IF(C$1="settle",D103,IF(C$1="EOL",D103+E103,IF(C103=0,D103,C103)))</f>
        <v>3.128</v>
      </c>
      <c r="G103" s="92" t="n">
        <f aca="false">VLOOKUP($B103,curvesettle,3,FALSE())</f>
        <v>0.2</v>
      </c>
      <c r="H103" s="92" t="n">
        <v>0</v>
      </c>
      <c r="I103" s="92" t="n">
        <f aca="false">G103+H103</f>
        <v>0.2</v>
      </c>
      <c r="J103" s="61"/>
      <c r="K103" s="2" t="n">
        <f aca="false">A103</f>
        <v>86</v>
      </c>
      <c r="L103" s="94" t="n">
        <f aca="false">VLOOKUP(B103,expiration,3,FALSE())</f>
        <v>39381</v>
      </c>
      <c r="M103" s="65" t="n">
        <f aca="false">VLOOKUP($B103,curvesettle,4,FALSE())</f>
        <v>0.069525859238557</v>
      </c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</row>
    <row r="104" customFormat="false" ht="12.75" hidden="false" customHeight="false" outlineLevel="0" collapsed="false">
      <c r="A104" s="83" t="n">
        <f aca="false">A103+1</f>
        <v>87</v>
      </c>
      <c r="B104" s="90" t="n">
        <f aca="false">DATE(YEAR(B103),MONTH(B103)+1,1)</f>
        <v>39417</v>
      </c>
      <c r="C104" s="0"/>
      <c r="D104" s="83" t="n">
        <f aca="false">VLOOKUP($B104,curvesettle,2,FALSE())</f>
        <v>3.192</v>
      </c>
      <c r="E104" s="91" t="n">
        <f aca="false">N$11</f>
        <v>0</v>
      </c>
      <c r="F104" s="83" t="n">
        <f aca="false">IF(C$1="settle",D104,IF(C$1="EOL",D104+E104,IF(C104=0,D104,C104)))</f>
        <v>3.192</v>
      </c>
      <c r="G104" s="92" t="n">
        <f aca="false">VLOOKUP($B104,curvesettle,3,FALSE())</f>
        <v>0.2</v>
      </c>
      <c r="H104" s="92" t="n">
        <v>0</v>
      </c>
      <c r="I104" s="92" t="n">
        <f aca="false">G104+H104</f>
        <v>0.2</v>
      </c>
      <c r="J104" s="61"/>
      <c r="K104" s="2" t="n">
        <f aca="false">A104</f>
        <v>87</v>
      </c>
      <c r="L104" s="94" t="n">
        <f aca="false">VLOOKUP(B104,expiration,3,FALSE())</f>
        <v>39413</v>
      </c>
      <c r="M104" s="65" t="n">
        <f aca="false">VLOOKUP($B104,curvesettle,4,FALSE())</f>
        <v>0.069562047676781</v>
      </c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</row>
    <row r="105" customFormat="false" ht="12.75" hidden="false" customHeight="false" outlineLevel="0" collapsed="false">
      <c r="A105" s="83" t="n">
        <f aca="false">A104+1</f>
        <v>88</v>
      </c>
      <c r="B105" s="90" t="n">
        <f aca="false">DATE(YEAR(B104),MONTH(B104)+1,1)</f>
        <v>39448</v>
      </c>
      <c r="C105" s="0"/>
      <c r="D105" s="83" t="n">
        <f aca="false">VLOOKUP($B105,curvesettle,2,FALSE())</f>
        <v>3.587</v>
      </c>
      <c r="E105" s="91" t="n">
        <f aca="false">N$11</f>
        <v>0</v>
      </c>
      <c r="F105" s="83" t="n">
        <f aca="false">IF(C$1="settle",D105,IF(C$1="EOL",D105+E105,IF(C105=0,D105,C105)))</f>
        <v>3.587</v>
      </c>
      <c r="G105" s="92" t="n">
        <f aca="false">VLOOKUP($B105,curvesettle,3,FALSE())</f>
        <v>0.2</v>
      </c>
      <c r="H105" s="92" t="n">
        <v>0</v>
      </c>
      <c r="I105" s="92" t="n">
        <f aca="false">G105+H105</f>
        <v>0.2</v>
      </c>
      <c r="J105" s="61"/>
      <c r="K105" s="2" t="n">
        <f aca="false">A105</f>
        <v>88</v>
      </c>
      <c r="L105" s="94" t="n">
        <f aca="false">VLOOKUP(B105,expiration,3,FALSE())</f>
        <v>39442</v>
      </c>
      <c r="M105" s="65" t="n">
        <f aca="false">VLOOKUP($B105,curvesettle,4,FALSE())</f>
        <v>0.069599442396734</v>
      </c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</row>
    <row r="106" customFormat="false" ht="12.75" hidden="false" customHeight="false" outlineLevel="0" collapsed="false">
      <c r="A106" s="83" t="n">
        <f aca="false">A105+1</f>
        <v>89</v>
      </c>
      <c r="B106" s="90" t="n">
        <f aca="false">DATE(YEAR(B105),MONTH(B105)+1,1)</f>
        <v>39479</v>
      </c>
      <c r="C106" s="0"/>
      <c r="D106" s="83" t="n">
        <f aca="false">VLOOKUP($B106,curvesettle,2,FALSE())</f>
        <v>3.445</v>
      </c>
      <c r="E106" s="91" t="n">
        <f aca="false">N$11</f>
        <v>0</v>
      </c>
      <c r="F106" s="83" t="n">
        <f aca="false">IF(C$1="settle",D106,IF(C$1="EOL",D106+E106,IF(C106=0,D106,C106)))</f>
        <v>3.445</v>
      </c>
      <c r="G106" s="92" t="n">
        <f aca="false">VLOOKUP($B106,curvesettle,3,FALSE())</f>
        <v>0.2</v>
      </c>
      <c r="H106" s="92" t="n">
        <v>0</v>
      </c>
      <c r="I106" s="92" t="n">
        <f aca="false">G106+H106</f>
        <v>0.2</v>
      </c>
      <c r="J106" s="61"/>
      <c r="K106" s="2" t="n">
        <f aca="false">A106</f>
        <v>89</v>
      </c>
      <c r="L106" s="94" t="n">
        <f aca="false">VLOOKUP(B106,expiration,3,FALSE())</f>
        <v>39475</v>
      </c>
      <c r="M106" s="65" t="n">
        <f aca="false">VLOOKUP($B106,curvesettle,4,FALSE())</f>
        <v>0.069636837117149</v>
      </c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</row>
    <row r="107" customFormat="false" ht="12.75" hidden="false" customHeight="false" outlineLevel="0" collapsed="false">
      <c r="A107" s="83" t="n">
        <f aca="false">A106+1</f>
        <v>90</v>
      </c>
      <c r="B107" s="90" t="n">
        <f aca="false">DATE(YEAR(B106),MONTH(B106)+1,1)</f>
        <v>39508</v>
      </c>
      <c r="C107" s="0"/>
      <c r="D107" s="83" t="n">
        <f aca="false">VLOOKUP($B107,curvesettle,2,FALSE())</f>
        <v>3.277</v>
      </c>
      <c r="E107" s="91" t="n">
        <f aca="false">N$11</f>
        <v>0</v>
      </c>
      <c r="F107" s="83" t="n">
        <f aca="false">IF(C$1="settle",D107,IF(C$1="EOL",D107+E107,IF(C107=0,D107,C107)))</f>
        <v>3.277</v>
      </c>
      <c r="G107" s="92" t="n">
        <f aca="false">VLOOKUP($B107,curvesettle,3,FALSE())</f>
        <v>0.2</v>
      </c>
      <c r="H107" s="92" t="n">
        <v>0</v>
      </c>
      <c r="I107" s="92" t="n">
        <f aca="false">G107+H107</f>
        <v>0.2</v>
      </c>
      <c r="J107" s="61"/>
      <c r="K107" s="2" t="n">
        <f aca="false">A107</f>
        <v>90</v>
      </c>
      <c r="L107" s="94" t="n">
        <f aca="false">VLOOKUP(B107,expiration,3,FALSE())</f>
        <v>39504</v>
      </c>
      <c r="M107" s="65" t="n">
        <f aca="false">VLOOKUP($B107,curvesettle,4,FALSE())</f>
        <v>0.069671819275376</v>
      </c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</row>
    <row r="108" customFormat="false" ht="12.75" hidden="false" customHeight="false" outlineLevel="0" collapsed="false">
      <c r="A108" s="83" t="n">
        <f aca="false">A107+1</f>
        <v>91</v>
      </c>
      <c r="B108" s="90" t="n">
        <f aca="false">DATE(YEAR(B107),MONTH(B107)+1,1)</f>
        <v>39539</v>
      </c>
      <c r="C108" s="0"/>
      <c r="D108" s="83" t="n">
        <f aca="false">VLOOKUP($B108,curvesettle,2,FALSE())</f>
        <v>3.102</v>
      </c>
      <c r="E108" s="91" t="n">
        <f aca="false">N$11</f>
        <v>0</v>
      </c>
      <c r="F108" s="83" t="n">
        <f aca="false">IF(C$1="settle",D108,IF(C$1="EOL",D108+E108,IF(C108=0,D108,C108)))</f>
        <v>3.102</v>
      </c>
      <c r="G108" s="92" t="n">
        <f aca="false">VLOOKUP($B108,curvesettle,3,FALSE())</f>
        <v>0.2</v>
      </c>
      <c r="H108" s="92" t="n">
        <v>0</v>
      </c>
      <c r="I108" s="92" t="n">
        <f aca="false">G108+H108</f>
        <v>0.2</v>
      </c>
      <c r="J108" s="61"/>
      <c r="K108" s="2" t="n">
        <f aca="false">A108</f>
        <v>91</v>
      </c>
      <c r="L108" s="94" t="n">
        <f aca="false">VLOOKUP(B108,expiration,3,FALSE())</f>
        <v>39533</v>
      </c>
      <c r="M108" s="65" t="n">
        <f aca="false">VLOOKUP($B108,curvesettle,4,FALSE())</f>
        <v>0.069709213996687</v>
      </c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</row>
    <row r="109" customFormat="false" ht="12.75" hidden="false" customHeight="false" outlineLevel="0" collapsed="false">
      <c r="A109" s="83" t="n">
        <f aca="false">A108+1</f>
        <v>92</v>
      </c>
      <c r="B109" s="90" t="n">
        <f aca="false">DATE(YEAR(B108),MONTH(B108)+1,1)</f>
        <v>39569</v>
      </c>
      <c r="C109" s="0"/>
      <c r="D109" s="83" t="n">
        <f aca="false">VLOOKUP($B109,curvesettle,2,FALSE())</f>
        <v>3.057</v>
      </c>
      <c r="E109" s="91" t="n">
        <f aca="false">N$11</f>
        <v>0</v>
      </c>
      <c r="F109" s="83" t="n">
        <f aca="false">IF(C$1="settle",D109,IF(C$1="EOL",D109+E109,IF(C109=0,D109,C109)))</f>
        <v>3.057</v>
      </c>
      <c r="G109" s="92" t="n">
        <f aca="false">VLOOKUP($B109,curvesettle,3,FALSE())</f>
        <v>0.2</v>
      </c>
      <c r="H109" s="92" t="n">
        <v>0</v>
      </c>
      <c r="I109" s="92" t="n">
        <f aca="false">G109+H109</f>
        <v>0.2</v>
      </c>
      <c r="J109" s="61"/>
      <c r="K109" s="2" t="n">
        <f aca="false">A109</f>
        <v>92</v>
      </c>
      <c r="L109" s="94" t="n">
        <f aca="false">VLOOKUP(B109,expiration,3,FALSE())</f>
        <v>39563</v>
      </c>
      <c r="M109" s="65" t="n">
        <f aca="false">VLOOKUP($B109,curvesettle,4,FALSE())</f>
        <v>0.069745402437105</v>
      </c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</row>
    <row r="110" customFormat="false" ht="12.75" hidden="false" customHeight="false" outlineLevel="0" collapsed="false">
      <c r="A110" s="83" t="n">
        <f aca="false">A109+1</f>
        <v>93</v>
      </c>
      <c r="B110" s="90" t="n">
        <f aca="false">DATE(YEAR(B109),MONTH(B109)+1,1)</f>
        <v>39600</v>
      </c>
      <c r="C110" s="0"/>
      <c r="D110" s="83" t="n">
        <f aca="false">VLOOKUP($B110,curvesettle,2,FALSE())</f>
        <v>3.07</v>
      </c>
      <c r="E110" s="91" t="n">
        <f aca="false">N$11</f>
        <v>0</v>
      </c>
      <c r="F110" s="83" t="n">
        <f aca="false">IF(C$1="settle",D110,IF(C$1="EOL",D110+E110,IF(C110=0,D110,C110)))</f>
        <v>3.07</v>
      </c>
      <c r="G110" s="92" t="n">
        <f aca="false">VLOOKUP($B110,curvesettle,3,FALSE())</f>
        <v>0.2</v>
      </c>
      <c r="H110" s="92" t="n">
        <v>0</v>
      </c>
      <c r="I110" s="92" t="n">
        <f aca="false">G110+H110</f>
        <v>0.2</v>
      </c>
      <c r="J110" s="61"/>
      <c r="K110" s="2" t="n">
        <f aca="false">A110</f>
        <v>93</v>
      </c>
      <c r="L110" s="94" t="n">
        <f aca="false">VLOOKUP(B110,expiration,3,FALSE())</f>
        <v>39595</v>
      </c>
      <c r="M110" s="65" t="n">
        <f aca="false">VLOOKUP($B110,curvesettle,4,FALSE())</f>
        <v>0.069782797159325</v>
      </c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</row>
    <row r="111" customFormat="false" ht="12.75" hidden="false" customHeight="false" outlineLevel="0" collapsed="false">
      <c r="A111" s="83" t="n">
        <f aca="false">A110+1</f>
        <v>94</v>
      </c>
      <c r="B111" s="90" t="n">
        <f aca="false">DATE(YEAR(B110),MONTH(B110)+1,1)</f>
        <v>39630</v>
      </c>
      <c r="C111" s="0"/>
      <c r="D111" s="83" t="n">
        <f aca="false">VLOOKUP($B111,curvesettle,2,FALSE())</f>
        <v>3.078</v>
      </c>
      <c r="E111" s="91" t="n">
        <f aca="false">N$11</f>
        <v>0</v>
      </c>
      <c r="F111" s="83" t="n">
        <f aca="false">IF(C$1="settle",D111,IF(C$1="EOL",D111+E111,IF(C111=0,D111,C111)))</f>
        <v>3.078</v>
      </c>
      <c r="G111" s="92" t="n">
        <f aca="false">VLOOKUP($B111,curvesettle,3,FALSE())</f>
        <v>0.18</v>
      </c>
      <c r="H111" s="92" t="n">
        <v>0</v>
      </c>
      <c r="I111" s="92" t="n">
        <f aca="false">G111+H111</f>
        <v>0.18</v>
      </c>
      <c r="J111" s="61"/>
      <c r="K111" s="2" t="n">
        <f aca="false">A111</f>
        <v>94</v>
      </c>
      <c r="L111" s="94" t="n">
        <f aca="false">VLOOKUP(B111,expiration,3,FALSE())</f>
        <v>39624</v>
      </c>
      <c r="M111" s="65" t="n">
        <f aca="false">VLOOKUP($B111,curvesettle,4,FALSE())</f>
        <v>0.069818985600624</v>
      </c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</row>
    <row r="112" customFormat="false" ht="12.75" hidden="false" customHeight="false" outlineLevel="0" collapsed="false">
      <c r="A112" s="83" t="n">
        <f aca="false">A111+1</f>
        <v>95</v>
      </c>
      <c r="B112" s="90" t="n">
        <f aca="false">DATE(YEAR(B111),MONTH(B111)+1,1)</f>
        <v>39661</v>
      </c>
      <c r="C112" s="0"/>
      <c r="D112" s="83" t="n">
        <f aca="false">VLOOKUP($B112,curvesettle,2,FALSE())</f>
        <v>3.085</v>
      </c>
      <c r="E112" s="91" t="n">
        <f aca="false">N$11</f>
        <v>0</v>
      </c>
      <c r="F112" s="83" t="n">
        <f aca="false">IF(C$1="settle",D112,IF(C$1="EOL",D112+E112,IF(C112=0,D112,C112)))</f>
        <v>3.085</v>
      </c>
      <c r="G112" s="92" t="n">
        <f aca="false">VLOOKUP($B112,curvesettle,3,FALSE())</f>
        <v>0.18</v>
      </c>
      <c r="H112" s="92" t="n">
        <v>0</v>
      </c>
      <c r="I112" s="92" t="n">
        <f aca="false">G112+H112</f>
        <v>0.18</v>
      </c>
      <c r="J112" s="61"/>
      <c r="K112" s="2" t="n">
        <f aca="false">A112</f>
        <v>95</v>
      </c>
      <c r="L112" s="94" t="n">
        <f aca="false">VLOOKUP(B112,expiration,3,FALSE())</f>
        <v>39657</v>
      </c>
      <c r="M112" s="65" t="n">
        <f aca="false">VLOOKUP($B112,curvesettle,4,FALSE())</f>
        <v>0.069856380323754</v>
      </c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</row>
    <row r="113" customFormat="false" ht="12.75" hidden="false" customHeight="false" outlineLevel="0" collapsed="false">
      <c r="A113" s="83" t="n">
        <f aca="false">A112+1</f>
        <v>96</v>
      </c>
      <c r="B113" s="90" t="n">
        <f aca="false">DATE(YEAR(B112),MONTH(B112)+1,1)</f>
        <v>39692</v>
      </c>
      <c r="C113" s="0"/>
      <c r="D113" s="83" t="n">
        <f aca="false">VLOOKUP($B113,curvesettle,2,FALSE())</f>
        <v>3.07</v>
      </c>
      <c r="E113" s="91" t="n">
        <f aca="false">N$11</f>
        <v>0</v>
      </c>
      <c r="F113" s="83" t="n">
        <f aca="false">IF(C$1="settle",D113,IF(C$1="EOL",D113+E113,IF(C113=0,D113,C113)))</f>
        <v>3.07</v>
      </c>
      <c r="G113" s="92" t="n">
        <f aca="false">VLOOKUP($B113,curvesettle,3,FALSE())</f>
        <v>0.18</v>
      </c>
      <c r="H113" s="92" t="n">
        <v>0</v>
      </c>
      <c r="I113" s="92" t="n">
        <f aca="false">G113+H113</f>
        <v>0.18</v>
      </c>
      <c r="J113" s="61"/>
      <c r="K113" s="2" t="n">
        <f aca="false">A113</f>
        <v>96</v>
      </c>
      <c r="L113" s="94" t="n">
        <f aca="false">VLOOKUP(B113,expiration,3,FALSE())</f>
        <v>39686</v>
      </c>
      <c r="M113" s="65" t="n">
        <f aca="false">VLOOKUP($B113,curvesettle,4,FALSE())</f>
        <v>0.069893775047348</v>
      </c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</row>
    <row r="114" customFormat="false" ht="12.75" hidden="false" customHeight="false" outlineLevel="0" collapsed="false">
      <c r="A114" s="83" t="n">
        <f aca="false">A113+1</f>
        <v>97</v>
      </c>
      <c r="B114" s="90" t="n">
        <f aca="false">DATE(YEAR(B113),MONTH(B113)+1,1)</f>
        <v>39722</v>
      </c>
      <c r="C114" s="0"/>
      <c r="D114" s="83" t="n">
        <f aca="false">VLOOKUP($B114,curvesettle,2,FALSE())</f>
        <v>3.088</v>
      </c>
      <c r="E114" s="91" t="n">
        <f aca="false">N$11</f>
        <v>0</v>
      </c>
      <c r="F114" s="83" t="n">
        <f aca="false">IF(C$1="settle",D114,IF(C$1="EOL",D114+E114,IF(C114=0,D114,C114)))</f>
        <v>3.088</v>
      </c>
      <c r="G114" s="92" t="n">
        <f aca="false">VLOOKUP($B114,curvesettle,3,FALSE())</f>
        <v>0.18</v>
      </c>
      <c r="H114" s="92" t="n">
        <v>0</v>
      </c>
      <c r="I114" s="92" t="n">
        <f aca="false">G114+H114</f>
        <v>0.18</v>
      </c>
      <c r="J114" s="61"/>
      <c r="K114" s="2" t="n">
        <f aca="false">A114</f>
        <v>97</v>
      </c>
      <c r="L114" s="94" t="n">
        <f aca="false">VLOOKUP(B114,expiration,3,FALSE())</f>
        <v>39716</v>
      </c>
      <c r="M114" s="65" t="n">
        <f aca="false">VLOOKUP($B114,curvesettle,4,FALSE())</f>
        <v>0.069929963489975</v>
      </c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</row>
    <row r="115" customFormat="false" ht="12.75" hidden="false" customHeight="false" outlineLevel="0" collapsed="false">
      <c r="A115" s="83" t="n">
        <f aca="false">A114+1</f>
        <v>98</v>
      </c>
      <c r="B115" s="90" t="n">
        <f aca="false">DATE(YEAR(B114),MONTH(B114)+1,1)</f>
        <v>39753</v>
      </c>
      <c r="C115" s="0"/>
      <c r="D115" s="83" t="n">
        <f aca="false">VLOOKUP($B115,curvesettle,2,FALSE())</f>
        <v>3.155</v>
      </c>
      <c r="E115" s="91" t="n">
        <f aca="false">N$11</f>
        <v>0</v>
      </c>
      <c r="F115" s="83" t="n">
        <f aca="false">IF(C$1="settle",D115,IF(C$1="EOL",D115+E115,IF(C115=0,D115,C115)))</f>
        <v>3.155</v>
      </c>
      <c r="G115" s="92" t="n">
        <f aca="false">VLOOKUP($B115,curvesettle,3,FALSE())</f>
        <v>0.18</v>
      </c>
      <c r="H115" s="92" t="n">
        <v>0</v>
      </c>
      <c r="I115" s="92" t="n">
        <f aca="false">G115+H115</f>
        <v>0.18</v>
      </c>
      <c r="J115" s="61"/>
      <c r="K115" s="2" t="n">
        <f aca="false">A115</f>
        <v>98</v>
      </c>
      <c r="L115" s="94" t="n">
        <f aca="false">VLOOKUP(B115,expiration,3,FALSE())</f>
        <v>39749</v>
      </c>
      <c r="M115" s="65" t="n">
        <f aca="false">VLOOKUP($B115,curvesettle,4,FALSE())</f>
        <v>0.069967358214477</v>
      </c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</row>
    <row r="116" customFormat="false" ht="12.75" hidden="false" customHeight="false" outlineLevel="0" collapsed="false">
      <c r="A116" s="83" t="n">
        <f aca="false">A115+1</f>
        <v>99</v>
      </c>
      <c r="B116" s="90" t="n">
        <f aca="false">DATE(YEAR(B115),MONTH(B115)+1,1)</f>
        <v>39783</v>
      </c>
      <c r="C116" s="0"/>
      <c r="D116" s="83" t="n">
        <f aca="false">VLOOKUP($B116,curvesettle,2,FALSE())</f>
        <v>3.216</v>
      </c>
      <c r="E116" s="91" t="n">
        <f aca="false">N$11</f>
        <v>0</v>
      </c>
      <c r="F116" s="83" t="n">
        <f aca="false">IF(C$1="settle",D116,IF(C$1="EOL",D116+E116,IF(C116=0,D116,C116)))</f>
        <v>3.216</v>
      </c>
      <c r="G116" s="92" t="n">
        <f aca="false">VLOOKUP($B116,curvesettle,3,FALSE())</f>
        <v>0.18</v>
      </c>
      <c r="H116" s="92" t="n">
        <v>0</v>
      </c>
      <c r="I116" s="92" t="n">
        <f aca="false">G116+H116</f>
        <v>0.18</v>
      </c>
      <c r="J116" s="61"/>
      <c r="K116" s="2" t="n">
        <f aca="false">A116</f>
        <v>99</v>
      </c>
      <c r="L116" s="94" t="n">
        <f aca="false">VLOOKUP(B116,expiration,3,FALSE())</f>
        <v>39776</v>
      </c>
      <c r="M116" s="65" t="n">
        <f aca="false">VLOOKUP($B116,curvesettle,4,FALSE())</f>
        <v>0.070003546657985</v>
      </c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</row>
    <row r="117" customFormat="false" ht="12.75" hidden="false" customHeight="false" outlineLevel="0" collapsed="false">
      <c r="A117" s="83" t="n">
        <f aca="false">A116+1</f>
        <v>100</v>
      </c>
      <c r="B117" s="90" t="n">
        <f aca="false">DATE(YEAR(B116),MONTH(B116)+1,1)</f>
        <v>39814</v>
      </c>
      <c r="C117" s="0"/>
      <c r="D117" s="83" t="n">
        <f aca="false">VLOOKUP($B117,curvesettle,2,FALSE())</f>
        <v>3.619</v>
      </c>
      <c r="E117" s="91" t="n">
        <f aca="false">N$11</f>
        <v>0</v>
      </c>
      <c r="F117" s="83" t="n">
        <f aca="false">IF(C$1="settle",D117,IF(C$1="EOL",D117+E117,IF(C117=0,D117,C117)))</f>
        <v>3.619</v>
      </c>
      <c r="G117" s="92" t="n">
        <f aca="false">VLOOKUP($B117,curvesettle,3,FALSE())</f>
        <v>0.18</v>
      </c>
      <c r="H117" s="92" t="n">
        <v>0</v>
      </c>
      <c r="I117" s="92" t="n">
        <f aca="false">G117+H117</f>
        <v>0.18</v>
      </c>
      <c r="J117" s="61"/>
      <c r="K117" s="2" t="n">
        <f aca="false">A117</f>
        <v>100</v>
      </c>
      <c r="L117" s="94" t="n">
        <f aca="false">VLOOKUP(B117,expiration,3,FALSE())</f>
        <v>39808</v>
      </c>
      <c r="M117" s="65" t="n">
        <f aca="false">VLOOKUP($B117,curvesettle,4,FALSE())</f>
        <v>0.070040941383398</v>
      </c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</row>
    <row r="118" customFormat="false" ht="12.75" hidden="false" customHeight="false" outlineLevel="0" collapsed="false">
      <c r="A118" s="83" t="n">
        <f aca="false">A117+1</f>
        <v>101</v>
      </c>
      <c r="B118" s="90" t="n">
        <f aca="false">DATE(YEAR(B117),MONTH(B117)+1,1)</f>
        <v>39845</v>
      </c>
      <c r="C118" s="0"/>
      <c r="D118" s="83" t="n">
        <f aca="false">VLOOKUP($B118,curvesettle,2,FALSE())</f>
        <v>3.481</v>
      </c>
      <c r="E118" s="91" t="n">
        <f aca="false">N$11</f>
        <v>0</v>
      </c>
      <c r="F118" s="83" t="n">
        <f aca="false">IF(C$1="settle",D118,IF(C$1="EOL",D118+E118,IF(C118=0,D118,C118)))</f>
        <v>3.481</v>
      </c>
      <c r="G118" s="92" t="n">
        <f aca="false">VLOOKUP($B118,curvesettle,3,FALSE())</f>
        <v>0.18</v>
      </c>
      <c r="H118" s="92" t="n">
        <v>0</v>
      </c>
      <c r="I118" s="92" t="n">
        <f aca="false">G118+H118</f>
        <v>0.18</v>
      </c>
      <c r="J118" s="61"/>
      <c r="K118" s="2" t="n">
        <f aca="false">A118</f>
        <v>101</v>
      </c>
      <c r="L118" s="94" t="n">
        <f aca="false">VLOOKUP(B118,expiration,3,FALSE())</f>
        <v>39840</v>
      </c>
      <c r="M118" s="65" t="n">
        <f aca="false">VLOOKUP($B118,curvesettle,4,FALSE())</f>
        <v>0.070078336109273</v>
      </c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</row>
    <row r="119" customFormat="false" ht="12.75" hidden="false" customHeight="false" outlineLevel="0" collapsed="false">
      <c r="A119" s="83" t="n">
        <f aca="false">A118+1</f>
        <v>102</v>
      </c>
      <c r="B119" s="90" t="n">
        <f aca="false">DATE(YEAR(B118),MONTH(B118)+1,1)</f>
        <v>39873</v>
      </c>
      <c r="C119" s="0"/>
      <c r="D119" s="83" t="n">
        <f aca="false">VLOOKUP($B119,curvesettle,2,FALSE())</f>
        <v>3.316</v>
      </c>
      <c r="E119" s="91" t="n">
        <f aca="false">N$11</f>
        <v>0</v>
      </c>
      <c r="F119" s="83" t="n">
        <f aca="false">IF(C$1="settle",D119,IF(C$1="EOL",D119+E119,IF(C119=0,D119,C119)))</f>
        <v>3.316</v>
      </c>
      <c r="G119" s="92" t="n">
        <f aca="false">VLOOKUP($B119,curvesettle,3,FALSE())</f>
        <v>0.17</v>
      </c>
      <c r="H119" s="92" t="n">
        <v>0</v>
      </c>
      <c r="I119" s="92" t="n">
        <f aca="false">G119+H119</f>
        <v>0.17</v>
      </c>
      <c r="J119" s="61"/>
      <c r="K119" s="2" t="n">
        <f aca="false">A119</f>
        <v>102</v>
      </c>
      <c r="L119" s="94" t="n">
        <f aca="false">VLOOKUP(B119,expiration,3,FALSE())</f>
        <v>39868</v>
      </c>
      <c r="M119" s="65" t="n">
        <f aca="false">VLOOKUP($B119,curvesettle,4,FALSE())</f>
        <v>0.070112111991106</v>
      </c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</row>
    <row r="120" customFormat="false" ht="12.75" hidden="false" customHeight="false" outlineLevel="0" collapsed="false">
      <c r="A120" s="83" t="n">
        <f aca="false">A119+1</f>
        <v>103</v>
      </c>
      <c r="B120" s="90" t="n">
        <f aca="false">DATE(YEAR(B119),MONTH(B119)+1,1)</f>
        <v>39904</v>
      </c>
      <c r="C120" s="0"/>
      <c r="D120" s="83" t="n">
        <f aca="false">VLOOKUP($B120,curvesettle,2,FALSE())</f>
        <v>3.144</v>
      </c>
      <c r="E120" s="91" t="n">
        <f aca="false">N$11</f>
        <v>0</v>
      </c>
      <c r="F120" s="83" t="n">
        <f aca="false">IF(C$1="settle",D120,IF(C$1="EOL",D120+E120,IF(C120=0,D120,C120)))</f>
        <v>3.144</v>
      </c>
      <c r="G120" s="92" t="n">
        <f aca="false">VLOOKUP($B120,curvesettle,3,FALSE())</f>
        <v>0.17</v>
      </c>
      <c r="H120" s="92" t="n">
        <v>0</v>
      </c>
      <c r="I120" s="92" t="n">
        <f aca="false">G120+H120</f>
        <v>0.17</v>
      </c>
      <c r="J120" s="61"/>
      <c r="K120" s="2" t="n">
        <f aca="false">A120</f>
        <v>103</v>
      </c>
      <c r="L120" s="94" t="n">
        <f aca="false">VLOOKUP(B120,expiration,3,FALSE())</f>
        <v>39898</v>
      </c>
      <c r="M120" s="65" t="n">
        <f aca="false">VLOOKUP($B120,curvesettle,4,FALSE())</f>
        <v>0.070149506717861</v>
      </c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</row>
    <row r="121" customFormat="false" ht="12.75" hidden="false" customHeight="false" outlineLevel="0" collapsed="false">
      <c r="A121" s="83" t="n">
        <f aca="false">A120+1</f>
        <v>104</v>
      </c>
      <c r="B121" s="90" t="n">
        <f aca="false">DATE(YEAR(B120),MONTH(B120)+1,1)</f>
        <v>39934</v>
      </c>
      <c r="C121" s="0"/>
      <c r="D121" s="83" t="n">
        <f aca="false">VLOOKUP($B121,curvesettle,2,FALSE())</f>
        <v>3.1</v>
      </c>
      <c r="E121" s="91" t="n">
        <f aca="false">N$11</f>
        <v>0</v>
      </c>
      <c r="F121" s="83" t="n">
        <f aca="false">IF(C$1="settle",D121,IF(C$1="EOL",D121+E121,IF(C121=0,D121,C121)))</f>
        <v>3.1</v>
      </c>
      <c r="G121" s="92" t="n">
        <f aca="false">VLOOKUP($B121,curvesettle,3,FALSE())</f>
        <v>0.17</v>
      </c>
      <c r="H121" s="92" t="n">
        <v>0</v>
      </c>
      <c r="I121" s="92" t="n">
        <f aca="false">G121+H121</f>
        <v>0.17</v>
      </c>
      <c r="J121" s="61"/>
      <c r="K121" s="2" t="n">
        <f aca="false">A121</f>
        <v>104</v>
      </c>
      <c r="L121" s="94" t="n">
        <f aca="false">VLOOKUP(B121,expiration,3,FALSE())</f>
        <v>39930</v>
      </c>
      <c r="M121" s="65" t="n">
        <f aca="false">VLOOKUP($B121,curvesettle,4,FALSE())</f>
        <v>0.070185695163548</v>
      </c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</row>
    <row r="122" customFormat="false" ht="12.75" hidden="false" customHeight="false" outlineLevel="0" collapsed="false">
      <c r="A122" s="83" t="n">
        <f aca="false">A121+1</f>
        <v>105</v>
      </c>
      <c r="B122" s="90" t="n">
        <f aca="false">DATE(YEAR(B121),MONTH(B121)+1,1)</f>
        <v>39965</v>
      </c>
      <c r="C122" s="0"/>
      <c r="D122" s="83" t="n">
        <f aca="false">VLOOKUP($B122,curvesettle,2,FALSE())</f>
        <v>3.114</v>
      </c>
      <c r="E122" s="91" t="n">
        <f aca="false">N$11</f>
        <v>0</v>
      </c>
      <c r="F122" s="83" t="n">
        <f aca="false">IF(C$1="settle",D122,IF(C$1="EOL",D122+E122,IF(C122=0,D122,C122)))</f>
        <v>3.114</v>
      </c>
      <c r="G122" s="92" t="n">
        <f aca="false">VLOOKUP($B122,curvesettle,3,FALSE())</f>
        <v>0.17</v>
      </c>
      <c r="H122" s="92" t="n">
        <v>0</v>
      </c>
      <c r="I122" s="92" t="n">
        <f aca="false">G122+H122</f>
        <v>0.17</v>
      </c>
      <c r="J122" s="61"/>
      <c r="K122" s="2" t="n">
        <f aca="false">A122</f>
        <v>105</v>
      </c>
      <c r="L122" s="94" t="n">
        <f aca="false">VLOOKUP(B122,expiration,3,FALSE())</f>
        <v>39959</v>
      </c>
      <c r="M122" s="65" t="n">
        <f aca="false">VLOOKUP($B122,curvesettle,4,FALSE())</f>
        <v>0.070223089891212</v>
      </c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</row>
    <row r="123" customFormat="false" ht="12.75" hidden="false" customHeight="false" outlineLevel="0" collapsed="false">
      <c r="A123" s="83" t="n">
        <f aca="false">A122+1</f>
        <v>106</v>
      </c>
      <c r="B123" s="90" t="n">
        <f aca="false">DATE(YEAR(B122),MONTH(B122)+1,1)</f>
        <v>39995</v>
      </c>
      <c r="C123" s="0"/>
      <c r="D123" s="83" t="n">
        <f aca="false">VLOOKUP($B123,curvesettle,2,FALSE())</f>
        <v>3.122</v>
      </c>
      <c r="E123" s="91" t="n">
        <f aca="false">N$11</f>
        <v>0</v>
      </c>
      <c r="F123" s="83" t="n">
        <f aca="false">IF(C$1="settle",D123,IF(C$1="EOL",D123+E123,IF(C123=0,D123,C123)))</f>
        <v>3.122</v>
      </c>
      <c r="G123" s="92" t="n">
        <f aca="false">VLOOKUP($B123,curvesettle,3,FALSE())</f>
        <v>0.17</v>
      </c>
      <c r="H123" s="92" t="n">
        <v>0</v>
      </c>
      <c r="I123" s="92" t="n">
        <f aca="false">G123+H123</f>
        <v>0.17</v>
      </c>
      <c r="J123" s="61"/>
      <c r="K123" s="2" t="n">
        <f aca="false">A123</f>
        <v>106</v>
      </c>
      <c r="L123" s="94" t="n">
        <f aca="false">VLOOKUP(B123,expiration,3,FALSE())</f>
        <v>39989</v>
      </c>
      <c r="M123" s="65" t="n">
        <f aca="false">VLOOKUP($B123,curvesettle,4,FALSE())</f>
        <v>0.07025927833778</v>
      </c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</row>
    <row r="124" customFormat="false" ht="12.75" hidden="false" customHeight="false" outlineLevel="0" collapsed="false">
      <c r="A124" s="83" t="n">
        <f aca="false">A123+1</f>
        <v>107</v>
      </c>
      <c r="B124" s="90" t="n">
        <f aca="false">DATE(YEAR(B123),MONTH(B123)+1,1)</f>
        <v>40026</v>
      </c>
      <c r="C124" s="0"/>
      <c r="D124" s="83" t="n">
        <f aca="false">VLOOKUP($B124,curvesettle,2,FALSE())</f>
        <v>3.129</v>
      </c>
      <c r="E124" s="91" t="n">
        <f aca="false">N$11</f>
        <v>0</v>
      </c>
      <c r="F124" s="83" t="n">
        <f aca="false">IF(C$1="settle",D124,IF(C$1="EOL",D124+E124,IF(C124=0,D124,C124)))</f>
        <v>3.129</v>
      </c>
      <c r="G124" s="92" t="n">
        <f aca="false">VLOOKUP($B124,curvesettle,3,FALSE())</f>
        <v>0.17</v>
      </c>
      <c r="H124" s="92" t="n">
        <v>0</v>
      </c>
      <c r="I124" s="92" t="n">
        <f aca="false">G124+H124</f>
        <v>0.17</v>
      </c>
      <c r="J124" s="61"/>
      <c r="K124" s="2" t="n">
        <f aca="false">A124</f>
        <v>107</v>
      </c>
      <c r="L124" s="94" t="n">
        <f aca="false">VLOOKUP(B124,expiration,3,FALSE())</f>
        <v>40022</v>
      </c>
      <c r="M124" s="65" t="n">
        <f aca="false">VLOOKUP($B124,curvesettle,4,FALSE())</f>
        <v>0.070296673066354</v>
      </c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</row>
    <row r="125" customFormat="false" ht="12.75" hidden="false" customHeight="false" outlineLevel="0" collapsed="false">
      <c r="A125" s="83" t="n">
        <f aca="false">A124+1</f>
        <v>108</v>
      </c>
      <c r="B125" s="90" t="n">
        <f aca="false">DATE(YEAR(B124),MONTH(B124)+1,1)</f>
        <v>40057</v>
      </c>
      <c r="C125" s="0"/>
      <c r="D125" s="83" t="n">
        <f aca="false">VLOOKUP($B125,curvesettle,2,FALSE())</f>
        <v>3.113</v>
      </c>
      <c r="E125" s="91" t="n">
        <f aca="false">N$11</f>
        <v>0</v>
      </c>
      <c r="F125" s="83" t="n">
        <f aca="false">IF(C$1="settle",D125,IF(C$1="EOL",D125+E125,IF(C125=0,D125,C125)))</f>
        <v>3.113</v>
      </c>
      <c r="G125" s="92" t="n">
        <f aca="false">VLOOKUP($B125,curvesettle,3,FALSE())</f>
        <v>0.17</v>
      </c>
      <c r="H125" s="92" t="n">
        <v>0</v>
      </c>
      <c r="I125" s="92" t="n">
        <f aca="false">G125+H125</f>
        <v>0.17</v>
      </c>
      <c r="J125" s="61"/>
      <c r="K125" s="2" t="n">
        <f aca="false">A125</f>
        <v>108</v>
      </c>
      <c r="L125" s="94" t="n">
        <f aca="false">VLOOKUP(B125,expiration,3,FALSE())</f>
        <v>40051</v>
      </c>
      <c r="M125" s="65" t="n">
        <f aca="false">VLOOKUP($B125,curvesettle,4,FALSE())</f>
        <v>0.070334067795391</v>
      </c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</row>
    <row r="126" customFormat="false" ht="12.75" hidden="false" customHeight="false" outlineLevel="0" collapsed="false">
      <c r="A126" s="83" t="n">
        <f aca="false">A125+1</f>
        <v>109</v>
      </c>
      <c r="B126" s="90" t="n">
        <f aca="false">DATE(YEAR(B125),MONTH(B125)+1,1)</f>
        <v>40087</v>
      </c>
      <c r="C126" s="0"/>
      <c r="D126" s="83" t="n">
        <f aca="false">VLOOKUP($B126,curvesettle,2,FALSE())</f>
        <v>3.13</v>
      </c>
      <c r="E126" s="91" t="n">
        <f aca="false">N$11</f>
        <v>0</v>
      </c>
      <c r="F126" s="83" t="n">
        <f aca="false">IF(C$1="settle",D126,IF(C$1="EOL",D126+E126,IF(C126=0,D126,C126)))</f>
        <v>3.13</v>
      </c>
      <c r="G126" s="92" t="n">
        <f aca="false">VLOOKUP($B126,curvesettle,3,FALSE())</f>
        <v>0.17</v>
      </c>
      <c r="H126" s="92" t="n">
        <v>0</v>
      </c>
      <c r="I126" s="92" t="n">
        <f aca="false">G126+H126</f>
        <v>0.17</v>
      </c>
      <c r="J126" s="61"/>
      <c r="K126" s="2" t="n">
        <f aca="false">A126</f>
        <v>109</v>
      </c>
      <c r="L126" s="94" t="n">
        <f aca="false">VLOOKUP(B126,expiration,3,FALSE())</f>
        <v>40081</v>
      </c>
      <c r="M126" s="65" t="n">
        <f aca="false">VLOOKUP($B126,curvesettle,4,FALSE())</f>
        <v>0.070370256243286</v>
      </c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</row>
    <row r="127" customFormat="false" ht="12.75" hidden="false" customHeight="false" outlineLevel="0" collapsed="false">
      <c r="A127" s="83" t="n">
        <f aca="false">A126+1</f>
        <v>110</v>
      </c>
      <c r="B127" s="90" t="n">
        <f aca="false">DATE(YEAR(B126),MONTH(B126)+1,1)</f>
        <v>40118</v>
      </c>
      <c r="C127" s="0"/>
      <c r="D127" s="83" t="n">
        <f aca="false">VLOOKUP($B127,curvesettle,2,FALSE())</f>
        <v>3.192</v>
      </c>
      <c r="E127" s="91" t="n">
        <f aca="false">N$11</f>
        <v>0</v>
      </c>
      <c r="F127" s="83" t="n">
        <f aca="false">IF(C$1="settle",D127,IF(C$1="EOL",D127+E127,IF(C127=0,D127,C127)))</f>
        <v>3.192</v>
      </c>
      <c r="G127" s="92" t="n">
        <f aca="false">VLOOKUP($B127,curvesettle,3,FALSE())</f>
        <v>0.17</v>
      </c>
      <c r="H127" s="92" t="n">
        <v>0</v>
      </c>
      <c r="I127" s="92" t="n">
        <f aca="false">G127+H127</f>
        <v>0.17</v>
      </c>
      <c r="J127" s="61"/>
      <c r="K127" s="2" t="n">
        <f aca="false">A127</f>
        <v>110</v>
      </c>
      <c r="L127" s="94" t="n">
        <f aca="false">VLOOKUP(B127,expiration,3,FALSE())</f>
        <v>40113</v>
      </c>
      <c r="M127" s="65" t="n">
        <f aca="false">VLOOKUP($B127,curvesettle,4,FALSE())</f>
        <v>0.070407650973233</v>
      </c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</row>
    <row r="128" customFormat="false" ht="12.75" hidden="false" customHeight="false" outlineLevel="0" collapsed="false">
      <c r="A128" s="83" t="n">
        <f aca="false">A127+1</f>
        <v>111</v>
      </c>
      <c r="B128" s="90" t="n">
        <f aca="false">DATE(YEAR(B127),MONTH(B127)+1,1)</f>
        <v>40148</v>
      </c>
      <c r="C128" s="0"/>
      <c r="D128" s="83" t="n">
        <f aca="false">VLOOKUP($B128,curvesettle,2,FALSE())</f>
        <v>3.25</v>
      </c>
      <c r="E128" s="91" t="n">
        <f aca="false">N$11</f>
        <v>0</v>
      </c>
      <c r="F128" s="83" t="n">
        <f aca="false">IF(C$1="settle",D128,IF(C$1="EOL",D128+E128,IF(C128=0,D128,C128)))</f>
        <v>3.25</v>
      </c>
      <c r="G128" s="92" t="n">
        <f aca="false">VLOOKUP($B128,curvesettle,3,FALSE())</f>
        <v>0.17</v>
      </c>
      <c r="H128" s="92" t="n">
        <v>0</v>
      </c>
      <c r="I128" s="92" t="n">
        <f aca="false">G128+H128</f>
        <v>0.17</v>
      </c>
      <c r="J128" s="61"/>
      <c r="K128" s="2" t="n">
        <f aca="false">A128</f>
        <v>111</v>
      </c>
      <c r="L128" s="94" t="n">
        <f aca="false">VLOOKUP(B128,expiration,3,FALSE())</f>
        <v>40141</v>
      </c>
      <c r="M128" s="65" t="n">
        <f aca="false">VLOOKUP($B128,curvesettle,4,FALSE())</f>
        <v>0.070443839422008</v>
      </c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</row>
    <row r="129" customFormat="false" ht="12.75" hidden="false" customHeight="false" outlineLevel="0" collapsed="false">
      <c r="A129" s="83" t="n">
        <f aca="false">A128+1</f>
        <v>112</v>
      </c>
      <c r="B129" s="90" t="n">
        <f aca="false">DATE(YEAR(B128),MONTH(B128)+1,1)</f>
        <v>40179</v>
      </c>
      <c r="C129" s="0"/>
      <c r="D129" s="83" t="n">
        <f aca="false">VLOOKUP($B129,curvesettle,2,FALSE())</f>
        <v>3.661</v>
      </c>
      <c r="E129" s="91" t="n">
        <f aca="false">N$11</f>
        <v>0</v>
      </c>
      <c r="F129" s="83" t="n">
        <f aca="false">IF(C$1="settle",D129,IF(C$1="EOL",D129+E129,IF(C129=0,D129,C129)))</f>
        <v>3.661</v>
      </c>
      <c r="G129" s="92" t="n">
        <f aca="false">VLOOKUP($B129,curvesettle,3,FALSE())</f>
        <v>0.17</v>
      </c>
      <c r="H129" s="92" t="n">
        <v>0</v>
      </c>
      <c r="I129" s="92" t="n">
        <f aca="false">G129+H129</f>
        <v>0.17</v>
      </c>
      <c r="J129" s="61"/>
      <c r="K129" s="2" t="n">
        <f aca="false">A129</f>
        <v>112</v>
      </c>
      <c r="L129" s="94" t="n">
        <f aca="false">VLOOKUP(B129,expiration,3,FALSE())</f>
        <v>40175</v>
      </c>
      <c r="M129" s="65" t="n">
        <f aca="false">VLOOKUP($B129,curvesettle,4,FALSE())</f>
        <v>0.070481234152864</v>
      </c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</row>
    <row r="130" customFormat="false" ht="12.75" hidden="false" customHeight="false" outlineLevel="0" collapsed="false">
      <c r="A130" s="83" t="n">
        <f aca="false">A129+1</f>
        <v>113</v>
      </c>
      <c r="B130" s="90" t="n">
        <f aca="false">DATE(YEAR(B129),MONTH(B129)+1,1)</f>
        <v>40210</v>
      </c>
      <c r="C130" s="0"/>
      <c r="D130" s="83" t="n">
        <f aca="false">VLOOKUP($B130,curvesettle,2,FALSE())</f>
        <v>3.527</v>
      </c>
      <c r="E130" s="91" t="n">
        <f aca="false">N$11</f>
        <v>0</v>
      </c>
      <c r="F130" s="83" t="n">
        <f aca="false">IF(C$1="settle",D130,IF(C$1="EOL",D130+E130,IF(C130=0,D130,C130)))</f>
        <v>3.527</v>
      </c>
      <c r="G130" s="92" t="n">
        <f aca="false">VLOOKUP($B130,curvesettle,3,FALSE())</f>
        <v>0.17</v>
      </c>
      <c r="H130" s="92" t="n">
        <v>0</v>
      </c>
      <c r="I130" s="92" t="n">
        <f aca="false">G130+H130</f>
        <v>0.17</v>
      </c>
      <c r="J130" s="61"/>
      <c r="K130" s="2" t="n">
        <f aca="false">A130</f>
        <v>113</v>
      </c>
      <c r="L130" s="94" t="n">
        <f aca="false">VLOOKUP(B130,expiration,3,FALSE())</f>
        <v>40204</v>
      </c>
      <c r="M130" s="65" t="n">
        <f aca="false">VLOOKUP($B130,curvesettle,4,FALSE())</f>
        <v>0.070518628884183</v>
      </c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</row>
    <row r="131" customFormat="false" ht="12.75" hidden="false" customHeight="false" outlineLevel="0" collapsed="false">
      <c r="A131" s="83" t="n">
        <f aca="false">A130+1</f>
        <v>114</v>
      </c>
      <c r="B131" s="90" t="n">
        <f aca="false">DATE(YEAR(B130),MONTH(B130)+1,1)</f>
        <v>40238</v>
      </c>
      <c r="C131" s="0"/>
      <c r="D131" s="83" t="n">
        <f aca="false">VLOOKUP($B131,curvesettle,2,FALSE())</f>
        <v>3.365</v>
      </c>
      <c r="E131" s="91" t="n">
        <f aca="false">N$11</f>
        <v>0</v>
      </c>
      <c r="F131" s="83" t="n">
        <f aca="false">IF(C$1="settle",D131,IF(C$1="EOL",D131+E131,IF(C131=0,D131,C131)))</f>
        <v>3.365</v>
      </c>
      <c r="G131" s="92" t="n">
        <f aca="false">VLOOKUP($B131,curvesettle,3,FALSE())</f>
        <v>0.16</v>
      </c>
      <c r="H131" s="92" t="n">
        <v>0</v>
      </c>
      <c r="I131" s="92" t="n">
        <f aca="false">G131+H131</f>
        <v>0.16</v>
      </c>
      <c r="J131" s="61"/>
      <c r="K131" s="2" t="n">
        <f aca="false">A131</f>
        <v>114</v>
      </c>
      <c r="L131" s="94" t="n">
        <f aca="false">VLOOKUP(B131,expiration,3,FALSE())</f>
        <v>40232</v>
      </c>
      <c r="M131" s="65" t="n">
        <f aca="false">VLOOKUP($B131,curvesettle,4,FALSE())</f>
        <v>0.070552404770932</v>
      </c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</row>
    <row r="132" customFormat="false" ht="12.75" hidden="false" customHeight="false" outlineLevel="0" collapsed="false">
      <c r="A132" s="83" t="n">
        <f aca="false">A131+1</f>
        <v>115</v>
      </c>
      <c r="B132" s="90" t="n">
        <f aca="false">DATE(YEAR(B131),MONTH(B131)+1,1)</f>
        <v>40269</v>
      </c>
      <c r="C132" s="0"/>
      <c r="D132" s="83" t="n">
        <f aca="false">VLOOKUP($B132,curvesettle,2,FALSE())</f>
        <v>3.196</v>
      </c>
      <c r="E132" s="91" t="n">
        <f aca="false">N$11</f>
        <v>0</v>
      </c>
      <c r="F132" s="83" t="n">
        <f aca="false">IF(C$1="settle",D132,IF(C$1="EOL",D132+E132,IF(C132=0,D132,C132)))</f>
        <v>3.196</v>
      </c>
      <c r="G132" s="92" t="n">
        <f aca="false">VLOOKUP($B132,curvesettle,3,FALSE())</f>
        <v>0.16</v>
      </c>
      <c r="H132" s="92" t="n">
        <v>0</v>
      </c>
      <c r="I132" s="92" t="n">
        <f aca="false">G132+H132</f>
        <v>0.16</v>
      </c>
      <c r="J132" s="61"/>
      <c r="K132" s="2" t="n">
        <f aca="false">A132</f>
        <v>115</v>
      </c>
      <c r="L132" s="94" t="n">
        <f aca="false">VLOOKUP(B132,expiration,3,FALSE())</f>
        <v>40263</v>
      </c>
      <c r="M132" s="65" t="n">
        <f aca="false">VLOOKUP($B132,curvesettle,4,FALSE())</f>
        <v>0.070589799503131</v>
      </c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</row>
    <row r="133" customFormat="false" ht="12.75" hidden="false" customHeight="false" outlineLevel="0" collapsed="false">
      <c r="A133" s="83" t="n">
        <f aca="false">A132+1</f>
        <v>116</v>
      </c>
      <c r="B133" s="90" t="n">
        <f aca="false">DATE(YEAR(B132),MONTH(B132)+1,1)</f>
        <v>40299</v>
      </c>
      <c r="C133" s="0"/>
      <c r="D133" s="83" t="n">
        <f aca="false">VLOOKUP($B133,curvesettle,2,FALSE())</f>
        <v>3.153</v>
      </c>
      <c r="E133" s="91" t="n">
        <f aca="false">N$11</f>
        <v>0</v>
      </c>
      <c r="F133" s="83" t="n">
        <f aca="false">IF(C$1="settle",D133,IF(C$1="EOL",D133+E133,IF(C133=0,D133,C133)))</f>
        <v>3.153</v>
      </c>
      <c r="G133" s="92" t="n">
        <f aca="false">VLOOKUP($B133,curvesettle,3,FALSE())</f>
        <v>0.16</v>
      </c>
      <c r="H133" s="92" t="n">
        <v>0</v>
      </c>
      <c r="I133" s="92" t="n">
        <f aca="false">G133+H133</f>
        <v>0.16</v>
      </c>
      <c r="J133" s="61"/>
      <c r="K133" s="2" t="n">
        <f aca="false">A133</f>
        <v>116</v>
      </c>
      <c r="L133" s="94" t="n">
        <f aca="false">VLOOKUP(B133,expiration,3,FALSE())</f>
        <v>40295</v>
      </c>
      <c r="M133" s="65" t="n">
        <f aca="false">VLOOKUP($B133,curvesettle,4,FALSE())</f>
        <v>0.070625987954085</v>
      </c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</row>
    <row r="134" customFormat="false" ht="12.75" hidden="false" customHeight="false" outlineLevel="0" collapsed="false">
      <c r="A134" s="83" t="n">
        <f aca="false">A133+1</f>
        <v>117</v>
      </c>
      <c r="B134" s="90" t="n">
        <f aca="false">DATE(YEAR(B133),MONTH(B133)+1,1)</f>
        <v>40330</v>
      </c>
      <c r="C134" s="0"/>
      <c r="D134" s="83" t="n">
        <f aca="false">VLOOKUP($B134,curvesettle,2,FALSE())</f>
        <v>3.168</v>
      </c>
      <c r="E134" s="91" t="n">
        <f aca="false">N$11</f>
        <v>0</v>
      </c>
      <c r="F134" s="83" t="n">
        <f aca="false">IF(C$1="settle",D134,IF(C$1="EOL",D134+E134,IF(C134=0,D134,C134)))</f>
        <v>3.168</v>
      </c>
      <c r="G134" s="92" t="n">
        <f aca="false">VLOOKUP($B134,curvesettle,3,FALSE())</f>
        <v>0.16</v>
      </c>
      <c r="H134" s="92" t="n">
        <v>0</v>
      </c>
      <c r="I134" s="92" t="n">
        <f aca="false">G134+H134</f>
        <v>0.16</v>
      </c>
      <c r="J134" s="61"/>
      <c r="K134" s="2" t="n">
        <f aca="false">A134</f>
        <v>117</v>
      </c>
      <c r="L134" s="94" t="n">
        <f aca="false">VLOOKUP(B134,expiration,3,FALSE())</f>
        <v>40323</v>
      </c>
      <c r="M134" s="65" t="n">
        <f aca="false">VLOOKUP($B134,curvesettle,4,FALSE())</f>
        <v>0.070663382687193</v>
      </c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</row>
    <row r="135" customFormat="false" ht="12.75" hidden="false" customHeight="false" outlineLevel="0" collapsed="false">
      <c r="A135" s="83" t="n">
        <f aca="false">A134+1</f>
        <v>118</v>
      </c>
      <c r="B135" s="90" t="n">
        <f aca="false">DATE(YEAR(B134),MONTH(B134)+1,1)</f>
        <v>40360</v>
      </c>
      <c r="C135" s="0"/>
      <c r="D135" s="83" t="n">
        <f aca="false">VLOOKUP($B135,curvesettle,2,FALSE())</f>
        <v>3.176</v>
      </c>
      <c r="E135" s="91" t="n">
        <f aca="false">N$11</f>
        <v>0</v>
      </c>
      <c r="F135" s="83" t="n">
        <f aca="false">IF(C$1="settle",D135,IF(C$1="EOL",D135+E135,IF(C135=0,D135,C135)))</f>
        <v>3.176</v>
      </c>
      <c r="G135" s="92" t="n">
        <f aca="false">VLOOKUP($B135,curvesettle,3,FALSE())</f>
        <v>0.16</v>
      </c>
      <c r="H135" s="92" t="n">
        <v>0</v>
      </c>
      <c r="I135" s="92" t="n">
        <f aca="false">G135+H135</f>
        <v>0.16</v>
      </c>
      <c r="J135" s="61"/>
      <c r="K135" s="2" t="n">
        <f aca="false">A135</f>
        <v>118</v>
      </c>
      <c r="L135" s="94" t="n">
        <f aca="false">VLOOKUP(B135,expiration,3,FALSE())</f>
        <v>40354</v>
      </c>
      <c r="M135" s="65" t="n">
        <f aca="false">VLOOKUP($B135,curvesettle,4,FALSE())</f>
        <v>0.070699571139027</v>
      </c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</row>
    <row r="136" customFormat="false" ht="12.75" hidden="false" customHeight="false" outlineLevel="0" collapsed="false">
      <c r="A136" s="83" t="n">
        <f aca="false">A135+1</f>
        <v>119</v>
      </c>
      <c r="B136" s="90" t="n">
        <f aca="false">DATE(YEAR(B135),MONTH(B135)+1,1)</f>
        <v>40391</v>
      </c>
      <c r="C136" s="0"/>
      <c r="D136" s="83" t="n">
        <f aca="false">VLOOKUP($B136,curvesettle,2,FALSE())</f>
        <v>3.183</v>
      </c>
      <c r="E136" s="91" t="n">
        <f aca="false">N$11</f>
        <v>0</v>
      </c>
      <c r="F136" s="83" t="n">
        <f aca="false">IF(C$1="settle",D136,IF(C$1="EOL",D136+E136,IF(C136=0,D136,C136)))</f>
        <v>3.183</v>
      </c>
      <c r="G136" s="92" t="n">
        <f aca="false">VLOOKUP($B136,curvesettle,3,FALSE())</f>
        <v>0.16</v>
      </c>
      <c r="H136" s="92" t="n">
        <v>0</v>
      </c>
      <c r="I136" s="92" t="n">
        <f aca="false">G136+H136</f>
        <v>0.16</v>
      </c>
      <c r="J136" s="61"/>
      <c r="K136" s="2" t="n">
        <f aca="false">A136</f>
        <v>119</v>
      </c>
      <c r="L136" s="94" t="n">
        <f aca="false">VLOOKUP(B136,expiration,3,FALSE())</f>
        <v>40386</v>
      </c>
      <c r="M136" s="65" t="n">
        <f aca="false">VLOOKUP($B136,curvesettle,4,FALSE())</f>
        <v>0.070736965873045</v>
      </c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</row>
    <row r="137" customFormat="false" ht="12.75" hidden="false" customHeight="false" outlineLevel="0" collapsed="false">
      <c r="A137" s="83" t="n">
        <f aca="false">A136+1</f>
        <v>120</v>
      </c>
      <c r="B137" s="90" t="n">
        <f aca="false">DATE(YEAR(B136),MONTH(B136)+1,1)</f>
        <v>40422</v>
      </c>
      <c r="C137" s="0"/>
      <c r="D137" s="83" t="n">
        <f aca="false">VLOOKUP($B137,curvesettle,2,FALSE())</f>
        <v>3.166</v>
      </c>
      <c r="E137" s="91" t="n">
        <f aca="false">N$11</f>
        <v>0</v>
      </c>
      <c r="F137" s="83" t="n">
        <f aca="false">IF(C$1="settle",D137,IF(C$1="EOL",D137+E137,IF(C137=0,D137,C137)))</f>
        <v>3.166</v>
      </c>
      <c r="G137" s="92" t="n">
        <f aca="false">VLOOKUP($B137,curvesettle,3,FALSE())</f>
        <v>0.16</v>
      </c>
      <c r="H137" s="92" t="n">
        <v>0</v>
      </c>
      <c r="I137" s="92" t="n">
        <f aca="false">G137+H137</f>
        <v>0.16</v>
      </c>
      <c r="J137" s="61"/>
      <c r="K137" s="2" t="n">
        <f aca="false">A137</f>
        <v>120</v>
      </c>
      <c r="L137" s="94" t="n">
        <f aca="false">VLOOKUP(B137,expiration,3,FALSE())</f>
        <v>40416</v>
      </c>
      <c r="M137" s="65" t="n">
        <f aca="false">VLOOKUP($B137,curvesettle,4,FALSE())</f>
        <v>0.070774360607525</v>
      </c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</row>
    <row r="138" customFormat="false" ht="12.75" hidden="false" customHeight="false" outlineLevel="0" collapsed="false">
      <c r="A138" s="0"/>
      <c r="B138" s="0"/>
      <c r="C138" s="0"/>
      <c r="D138" s="0"/>
      <c r="E138" s="0"/>
      <c r="F138" s="0"/>
      <c r="G138" s="0"/>
      <c r="H138" s="92" t="n">
        <v>0</v>
      </c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</row>
    <row r="139" customFormat="false" ht="12.75" hidden="false" customHeight="false" outlineLevel="0" collapsed="false">
      <c r="A139" s="0"/>
      <c r="B139" s="0"/>
      <c r="C139" s="0"/>
      <c r="D139" s="0"/>
      <c r="E139" s="0"/>
      <c r="F139" s="0"/>
      <c r="G139" s="0"/>
      <c r="H139" s="92" t="n">
        <v>0</v>
      </c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</row>
    <row r="140" customFormat="false" ht="12.75" hidden="false" customHeight="false" outlineLevel="0" collapsed="false">
      <c r="A140" s="0"/>
      <c r="B140" s="0"/>
      <c r="C140" s="0"/>
      <c r="D140" s="0"/>
      <c r="E140" s="0"/>
      <c r="F140" s="0"/>
      <c r="G140" s="0"/>
      <c r="H140" s="92" t="n">
        <v>0</v>
      </c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</row>
    <row r="141" customFormat="false" ht="12.75" hidden="false" customHeight="false" outlineLevel="0" collapsed="false">
      <c r="A141" s="0"/>
      <c r="B141" s="0"/>
      <c r="C141" s="0"/>
      <c r="D141" s="0"/>
      <c r="E141" s="0"/>
      <c r="F141" s="0"/>
      <c r="G141" s="0"/>
      <c r="H141" s="92" t="n">
        <v>0</v>
      </c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</row>
    <row r="142" customFormat="false" ht="12.75" hidden="false" customHeight="false" outlineLevel="0" collapsed="false">
      <c r="A142" s="0"/>
      <c r="B142" s="0"/>
      <c r="C142" s="0"/>
      <c r="D142" s="0"/>
      <c r="E142" s="0"/>
      <c r="F142" s="0"/>
      <c r="G142" s="0"/>
      <c r="H142" s="92" t="n">
        <v>0</v>
      </c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</row>
    <row r="143" customFormat="false" ht="12.75" hidden="false" customHeight="false" outlineLevel="0" collapsed="false">
      <c r="A143" s="0"/>
      <c r="B143" s="0"/>
      <c r="C143" s="0"/>
      <c r="D143" s="0"/>
      <c r="E143" s="0"/>
      <c r="F143" s="0"/>
      <c r="G143" s="0"/>
      <c r="H143" s="92" t="n">
        <v>0</v>
      </c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</row>
    <row r="144" customFormat="false" ht="12.75" hidden="false" customHeight="false" outlineLevel="0" collapsed="false">
      <c r="A144" s="0"/>
      <c r="B144" s="0"/>
      <c r="C144" s="0"/>
      <c r="D144" s="0"/>
      <c r="E144" s="0"/>
      <c r="F144" s="0"/>
      <c r="G144" s="0"/>
      <c r="H144" s="92" t="n">
        <v>0</v>
      </c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</row>
    <row r="145" customFormat="false" ht="12.75" hidden="false" customHeight="false" outlineLevel="0" collapsed="false">
      <c r="A145" s="0"/>
      <c r="B145" s="0"/>
      <c r="C145" s="0"/>
      <c r="D145" s="0"/>
      <c r="E145" s="0"/>
      <c r="F145" s="0"/>
      <c r="G145" s="0"/>
      <c r="H145" s="92" t="n">
        <v>0</v>
      </c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</row>
    <row r="146" customFormat="false" ht="12.75" hidden="false" customHeight="false" outlineLevel="0" collapsed="false">
      <c r="A146" s="0"/>
      <c r="B146" s="0"/>
      <c r="C146" s="0"/>
      <c r="D146" s="0"/>
      <c r="E146" s="0"/>
      <c r="F146" s="0"/>
      <c r="G146" s="0"/>
      <c r="H146" s="92" t="n">
        <v>0</v>
      </c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</row>
    <row r="147" customFormat="false" ht="12.75" hidden="false" customHeight="false" outlineLevel="0" collapsed="false">
      <c r="A147" s="0"/>
      <c r="B147" s="0"/>
      <c r="C147" s="0"/>
      <c r="D147" s="0"/>
      <c r="E147" s="0"/>
      <c r="F147" s="0"/>
      <c r="G147" s="0"/>
      <c r="H147" s="92" t="n">
        <v>0</v>
      </c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</row>
    <row r="148" customFormat="false" ht="12.75" hidden="false" customHeight="false" outlineLevel="0" collapsed="false">
      <c r="A148" s="0"/>
      <c r="B148" s="0"/>
      <c r="C148" s="0"/>
      <c r="D148" s="0"/>
      <c r="E148" s="0"/>
      <c r="F148" s="0"/>
      <c r="G148" s="0"/>
      <c r="H148" s="92" t="n">
        <v>0</v>
      </c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</row>
    <row r="149" customFormat="false" ht="12.75" hidden="false" customHeight="false" outlineLevel="0" collapsed="false">
      <c r="A149" s="0"/>
      <c r="B149" s="0"/>
      <c r="C149" s="0"/>
      <c r="D149" s="0"/>
      <c r="E149" s="0"/>
      <c r="F149" s="0"/>
      <c r="G149" s="0"/>
      <c r="H149" s="92" t="n">
        <v>0</v>
      </c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</row>
    <row r="150" customFormat="false" ht="12.75" hidden="false" customHeight="false" outlineLevel="0" collapsed="false">
      <c r="A150" s="0"/>
      <c r="B150" s="0"/>
      <c r="C150" s="0"/>
      <c r="D150" s="0"/>
      <c r="E150" s="0"/>
      <c r="F150" s="0"/>
      <c r="G150" s="0"/>
      <c r="H150" s="92" t="n">
        <v>0</v>
      </c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</row>
    <row r="151" customFormat="false" ht="12.75" hidden="false" customHeight="false" outlineLevel="0" collapsed="false">
      <c r="A151" s="0"/>
      <c r="B151" s="0"/>
      <c r="C151" s="0"/>
      <c r="D151" s="0"/>
      <c r="E151" s="0"/>
      <c r="F151" s="0"/>
      <c r="G151" s="0"/>
      <c r="H151" s="92" t="n">
        <v>0</v>
      </c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</row>
    <row r="152" customFormat="false" ht="12.75" hidden="false" customHeight="false" outlineLevel="0" collapsed="false">
      <c r="A152" s="0"/>
      <c r="B152" s="0"/>
      <c r="C152" s="0"/>
      <c r="D152" s="0"/>
      <c r="E152" s="0"/>
      <c r="F152" s="0"/>
      <c r="G152" s="0"/>
      <c r="H152" s="92" t="n">
        <v>0</v>
      </c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</row>
    <row r="153" customFormat="false" ht="12.75" hidden="false" customHeight="false" outlineLevel="0" collapsed="false">
      <c r="A153" s="0"/>
      <c r="B153" s="0"/>
      <c r="C153" s="0"/>
      <c r="D153" s="0"/>
      <c r="E153" s="0"/>
      <c r="F153" s="0"/>
      <c r="G153" s="0"/>
      <c r="H153" s="92" t="n">
        <v>0</v>
      </c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</row>
    <row r="154" customFormat="false" ht="12.75" hidden="false" customHeight="false" outlineLevel="0" collapsed="false">
      <c r="A154" s="0"/>
      <c r="B154" s="0"/>
      <c r="C154" s="0"/>
      <c r="D154" s="0"/>
      <c r="E154" s="0"/>
      <c r="F154" s="0"/>
      <c r="G154" s="0"/>
      <c r="H154" s="92" t="n">
        <v>0</v>
      </c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</row>
    <row r="155" customFormat="false" ht="12.75" hidden="false" customHeight="false" outlineLevel="0" collapsed="false">
      <c r="A155" s="0"/>
      <c r="B155" s="0"/>
      <c r="C155" s="0"/>
      <c r="D155" s="0"/>
      <c r="E155" s="0"/>
      <c r="F155" s="0"/>
      <c r="G155" s="0"/>
      <c r="H155" s="92" t="n">
        <v>0</v>
      </c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</row>
    <row r="156" customFormat="false" ht="12.75" hidden="false" customHeight="false" outlineLevel="0" collapsed="false">
      <c r="A156" s="0"/>
      <c r="B156" s="0"/>
      <c r="C156" s="0"/>
      <c r="D156" s="0"/>
      <c r="E156" s="0"/>
      <c r="F156" s="0"/>
      <c r="G156" s="0"/>
      <c r="H156" s="92" t="n">
        <v>0</v>
      </c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</row>
    <row r="157" customFormat="false" ht="12.75" hidden="false" customHeight="false" outlineLevel="0" collapsed="false">
      <c r="A157" s="0"/>
      <c r="B157" s="0"/>
      <c r="C157" s="0"/>
      <c r="D157" s="0"/>
      <c r="E157" s="0"/>
      <c r="F157" s="0"/>
      <c r="G157" s="0"/>
      <c r="H157" s="92" t="n">
        <v>0</v>
      </c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</row>
    <row r="158" customFormat="false" ht="12.75" hidden="false" customHeight="false" outlineLevel="0" collapsed="false">
      <c r="A158" s="0"/>
      <c r="B158" s="0"/>
      <c r="C158" s="0"/>
      <c r="D158" s="0"/>
      <c r="E158" s="0"/>
      <c r="F158" s="0"/>
      <c r="G158" s="0"/>
      <c r="H158" s="92" t="n">
        <v>0</v>
      </c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</row>
    <row r="159" customFormat="false" ht="12.75" hidden="false" customHeight="false" outlineLevel="0" collapsed="false">
      <c r="A159" s="0"/>
      <c r="B159" s="0"/>
      <c r="C159" s="0"/>
      <c r="D159" s="0"/>
      <c r="E159" s="0"/>
      <c r="F159" s="0"/>
      <c r="G159" s="0"/>
      <c r="H159" s="92" t="n">
        <v>0</v>
      </c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</row>
    <row r="160" customFormat="false" ht="12.75" hidden="false" customHeight="false" outlineLevel="0" collapsed="false">
      <c r="A160" s="0"/>
      <c r="B160" s="0"/>
      <c r="C160" s="0"/>
      <c r="D160" s="0"/>
      <c r="E160" s="0"/>
      <c r="F160" s="0"/>
      <c r="G160" s="0"/>
      <c r="H160" s="92" t="n">
        <v>0</v>
      </c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</row>
    <row r="161" customFormat="false" ht="12.75" hidden="false" customHeight="false" outlineLevel="0" collapsed="false">
      <c r="A161" s="0"/>
      <c r="B161" s="0"/>
      <c r="C161" s="0"/>
      <c r="D161" s="0"/>
      <c r="E161" s="0"/>
      <c r="F161" s="0"/>
      <c r="G161" s="0"/>
      <c r="H161" s="92" t="n">
        <v>0</v>
      </c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</row>
    <row r="162" customFormat="false" ht="12.75" hidden="false" customHeight="false" outlineLevel="0" collapsed="false">
      <c r="A162" s="0"/>
      <c r="B162" s="0"/>
      <c r="C162" s="0"/>
      <c r="D162" s="0"/>
      <c r="E162" s="0"/>
      <c r="F162" s="0"/>
      <c r="G162" s="0"/>
      <c r="H162" s="92" t="n">
        <v>0</v>
      </c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</row>
    <row r="163" customFormat="false" ht="12.75" hidden="false" customHeight="false" outlineLevel="0" collapsed="false">
      <c r="A163" s="0"/>
      <c r="B163" s="0"/>
      <c r="C163" s="0"/>
      <c r="D163" s="0"/>
      <c r="E163" s="0"/>
      <c r="F163" s="0"/>
      <c r="G163" s="0"/>
      <c r="H163" s="92" t="n">
        <v>0</v>
      </c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</row>
    <row r="164" customFormat="false" ht="12.75" hidden="false" customHeight="false" outlineLevel="0" collapsed="false">
      <c r="A164" s="0"/>
      <c r="B164" s="0"/>
      <c r="C164" s="0"/>
      <c r="D164" s="0"/>
      <c r="E164" s="0"/>
      <c r="F164" s="0"/>
      <c r="G164" s="0"/>
      <c r="H164" s="92" t="n">
        <v>0</v>
      </c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</row>
    <row r="165" customFormat="false" ht="12.75" hidden="false" customHeight="false" outlineLevel="0" collapsed="false">
      <c r="A165" s="0"/>
      <c r="B165" s="0"/>
      <c r="C165" s="0"/>
      <c r="D165" s="0"/>
      <c r="E165" s="0"/>
      <c r="F165" s="0"/>
      <c r="G165" s="0"/>
      <c r="H165" s="92" t="n">
        <v>0</v>
      </c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</row>
    <row r="166" customFormat="false" ht="12.75" hidden="false" customHeight="false" outlineLevel="0" collapsed="false">
      <c r="A166" s="0"/>
      <c r="B166" s="0"/>
      <c r="C166" s="0"/>
      <c r="D166" s="0"/>
      <c r="E166" s="0"/>
      <c r="F166" s="0"/>
      <c r="G166" s="0"/>
      <c r="H166" s="92" t="n">
        <v>0</v>
      </c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</row>
    <row r="167" customFormat="false" ht="12.75" hidden="false" customHeight="false" outlineLevel="0" collapsed="false">
      <c r="A167" s="0"/>
      <c r="B167" s="0"/>
      <c r="C167" s="0"/>
      <c r="D167" s="0"/>
      <c r="E167" s="0"/>
      <c r="F167" s="0"/>
      <c r="G167" s="0"/>
      <c r="H167" s="92" t="n">
        <v>0</v>
      </c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</row>
    <row r="168" customFormat="false" ht="12.75" hidden="false" customHeight="false" outlineLevel="0" collapsed="false">
      <c r="A168" s="0"/>
      <c r="B168" s="0"/>
      <c r="C168" s="0"/>
      <c r="D168" s="0"/>
      <c r="E168" s="0"/>
      <c r="F168" s="0"/>
      <c r="G168" s="0"/>
      <c r="H168" s="92" t="n">
        <v>0</v>
      </c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</row>
    <row r="169" customFormat="false" ht="12.75" hidden="false" customHeight="false" outlineLevel="0" collapsed="false">
      <c r="A169" s="0"/>
      <c r="B169" s="0"/>
      <c r="C169" s="0"/>
      <c r="D169" s="0"/>
      <c r="E169" s="0"/>
      <c r="F169" s="0"/>
      <c r="G169" s="0"/>
      <c r="H169" s="92" t="n">
        <v>0</v>
      </c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</row>
    <row r="170" customFormat="false" ht="12.75" hidden="false" customHeight="false" outlineLevel="0" collapsed="false">
      <c r="A170" s="0"/>
      <c r="B170" s="0"/>
      <c r="C170" s="0"/>
      <c r="D170" s="0"/>
      <c r="E170" s="0"/>
      <c r="F170" s="0"/>
      <c r="G170" s="0"/>
      <c r="H170" s="92" t="n">
        <v>0</v>
      </c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</row>
    <row r="171" customFormat="false" ht="12.75" hidden="false" customHeight="false" outlineLevel="0" collapsed="false">
      <c r="A171" s="0"/>
      <c r="B171" s="0"/>
      <c r="C171" s="0"/>
      <c r="D171" s="0"/>
      <c r="E171" s="0"/>
      <c r="F171" s="0"/>
      <c r="G171" s="0"/>
      <c r="H171" s="92" t="n">
        <v>0</v>
      </c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</row>
    <row r="172" customFormat="false" ht="12.75" hidden="false" customHeight="false" outlineLevel="0" collapsed="false">
      <c r="A172" s="0"/>
      <c r="B172" s="0"/>
      <c r="C172" s="0"/>
      <c r="D172" s="0"/>
      <c r="E172" s="0"/>
      <c r="F172" s="0"/>
      <c r="G172" s="0"/>
      <c r="H172" s="92" t="n">
        <v>0</v>
      </c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</row>
    <row r="173" customFormat="false" ht="12.75" hidden="false" customHeight="false" outlineLevel="0" collapsed="false">
      <c r="A173" s="0"/>
      <c r="B173" s="0"/>
      <c r="C173" s="0"/>
      <c r="D173" s="0"/>
      <c r="E173" s="0"/>
      <c r="F173" s="0"/>
      <c r="G173" s="0"/>
      <c r="H173" s="92" t="n">
        <v>0</v>
      </c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</row>
    <row r="174" customFormat="false" ht="12.75" hidden="false" customHeight="false" outlineLevel="0" collapsed="false">
      <c r="A174" s="0"/>
      <c r="B174" s="0"/>
      <c r="C174" s="0"/>
      <c r="D174" s="0"/>
      <c r="E174" s="0"/>
      <c r="F174" s="0"/>
      <c r="G174" s="0"/>
      <c r="H174" s="92" t="n">
        <v>0</v>
      </c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</row>
    <row r="175" customFormat="false" ht="12.75" hidden="false" customHeight="false" outlineLevel="0" collapsed="false">
      <c r="A175" s="0"/>
      <c r="B175" s="0"/>
      <c r="C175" s="0"/>
      <c r="D175" s="0"/>
      <c r="E175" s="0"/>
      <c r="F175" s="0"/>
      <c r="G175" s="0"/>
      <c r="H175" s="92" t="n">
        <v>0</v>
      </c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</row>
    <row r="176" customFormat="false" ht="12.75" hidden="false" customHeight="false" outlineLevel="0" collapsed="false">
      <c r="A176" s="0"/>
      <c r="B176" s="0"/>
      <c r="C176" s="0"/>
      <c r="D176" s="0"/>
      <c r="E176" s="0"/>
      <c r="F176" s="0"/>
      <c r="G176" s="0"/>
      <c r="H176" s="92" t="n">
        <v>0</v>
      </c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</row>
    <row r="177" customFormat="false" ht="12.75" hidden="false" customHeight="false" outlineLevel="0" collapsed="false">
      <c r="A177" s="0"/>
      <c r="B177" s="0"/>
      <c r="C177" s="0"/>
      <c r="D177" s="0"/>
      <c r="E177" s="0"/>
      <c r="F177" s="0"/>
      <c r="G177" s="0"/>
      <c r="H177" s="92" t="n">
        <v>0</v>
      </c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</row>
    <row r="178" customFormat="false" ht="12.75" hidden="false" customHeight="false" outlineLevel="0" collapsed="false">
      <c r="A178" s="0"/>
      <c r="B178" s="0"/>
      <c r="C178" s="0"/>
      <c r="D178" s="0"/>
      <c r="E178" s="0"/>
      <c r="F178" s="0"/>
      <c r="G178" s="0"/>
      <c r="H178" s="92" t="n">
        <v>0</v>
      </c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</row>
    <row r="179" customFormat="false" ht="12.75" hidden="false" customHeight="false" outlineLevel="0" collapsed="false">
      <c r="A179" s="0"/>
      <c r="B179" s="0"/>
      <c r="C179" s="0"/>
      <c r="D179" s="0"/>
      <c r="E179" s="0"/>
      <c r="F179" s="0"/>
      <c r="G179" s="0"/>
      <c r="H179" s="92" t="n">
        <v>0</v>
      </c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</row>
    <row r="180" customFormat="false" ht="12.75" hidden="false" customHeight="false" outlineLevel="0" collapsed="false">
      <c r="A180" s="0"/>
      <c r="B180" s="0"/>
      <c r="C180" s="0"/>
      <c r="D180" s="0"/>
      <c r="E180" s="0"/>
      <c r="F180" s="0"/>
      <c r="G180" s="0"/>
      <c r="H180" s="92" t="n">
        <v>0</v>
      </c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</row>
    <row r="181" customFormat="false" ht="12.75" hidden="false" customHeight="false" outlineLevel="0" collapsed="false">
      <c r="A181" s="0"/>
      <c r="B181" s="0"/>
      <c r="C181" s="0"/>
      <c r="D181" s="0"/>
      <c r="E181" s="0"/>
      <c r="F181" s="0"/>
      <c r="G181" s="0"/>
      <c r="H181" s="92" t="n">
        <v>0</v>
      </c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</row>
    <row r="182" customFormat="false" ht="12.75" hidden="false" customHeight="false" outlineLevel="0" collapsed="false">
      <c r="A182" s="0"/>
      <c r="B182" s="0"/>
      <c r="C182" s="0"/>
      <c r="D182" s="0"/>
      <c r="E182" s="0"/>
      <c r="F182" s="0"/>
      <c r="G182" s="0"/>
      <c r="H182" s="92" t="n">
        <v>0</v>
      </c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</row>
    <row r="183" customFormat="false" ht="12.75" hidden="false" customHeight="false" outlineLevel="0" collapsed="false">
      <c r="A183" s="0"/>
      <c r="B183" s="0"/>
      <c r="C183" s="0"/>
      <c r="D183" s="0"/>
      <c r="E183" s="0"/>
      <c r="F183" s="0"/>
      <c r="G183" s="0"/>
      <c r="H183" s="92" t="n">
        <v>0</v>
      </c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</row>
    <row r="184" customFormat="false" ht="12.75" hidden="false" customHeight="false" outlineLevel="0" collapsed="false">
      <c r="A184" s="0"/>
      <c r="B184" s="0"/>
      <c r="C184" s="0"/>
      <c r="D184" s="0"/>
      <c r="E184" s="0"/>
      <c r="F184" s="0"/>
      <c r="G184" s="0"/>
      <c r="H184" s="92" t="n">
        <v>0</v>
      </c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</row>
    <row r="185" customFormat="false" ht="12.75" hidden="false" customHeight="false" outlineLevel="0" collapsed="false">
      <c r="A185" s="0"/>
      <c r="B185" s="0"/>
      <c r="C185" s="0"/>
      <c r="D185" s="0"/>
      <c r="E185" s="0"/>
      <c r="F185" s="0"/>
      <c r="G185" s="0"/>
      <c r="H185" s="92" t="n">
        <v>0</v>
      </c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</row>
    <row r="186" customFormat="false" ht="12.75" hidden="false" customHeight="false" outlineLevel="0" collapsed="false">
      <c r="A186" s="0"/>
      <c r="B186" s="0"/>
      <c r="C186" s="0"/>
      <c r="D186" s="0"/>
      <c r="E186" s="0"/>
      <c r="F186" s="0"/>
      <c r="G186" s="0"/>
      <c r="H186" s="92" t="n">
        <v>0</v>
      </c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</row>
    <row r="187" customFormat="false" ht="12.75" hidden="false" customHeight="false" outlineLevel="0" collapsed="false">
      <c r="A187" s="0"/>
      <c r="B187" s="0"/>
      <c r="C187" s="0"/>
      <c r="D187" s="0"/>
      <c r="E187" s="0"/>
      <c r="F187" s="0"/>
      <c r="G187" s="0"/>
      <c r="H187" s="92" t="n">
        <v>0</v>
      </c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</row>
    <row r="188" customFormat="false" ht="12.75" hidden="false" customHeight="false" outlineLevel="0" collapsed="false">
      <c r="A188" s="0"/>
      <c r="B188" s="0"/>
      <c r="C188" s="0"/>
      <c r="D188" s="0"/>
      <c r="E188" s="0"/>
      <c r="F188" s="0"/>
      <c r="G188" s="0"/>
      <c r="H188" s="92" t="n">
        <v>0</v>
      </c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</row>
    <row r="189" customFormat="false" ht="12.75" hidden="false" customHeight="false" outlineLevel="0" collapsed="false">
      <c r="A189" s="0"/>
      <c r="B189" s="0"/>
      <c r="C189" s="0"/>
      <c r="D189" s="0"/>
      <c r="E189" s="0"/>
      <c r="F189" s="0"/>
      <c r="G189" s="0"/>
      <c r="H189" s="92" t="n">
        <v>0</v>
      </c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</row>
    <row r="190" customFormat="false" ht="12.75" hidden="false" customHeight="false" outlineLevel="0" collapsed="false">
      <c r="A190" s="0"/>
      <c r="B190" s="0"/>
      <c r="C190" s="0"/>
      <c r="D190" s="0"/>
      <c r="E190" s="0"/>
      <c r="F190" s="0"/>
      <c r="G190" s="0"/>
      <c r="H190" s="92" t="n">
        <v>0</v>
      </c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</row>
    <row r="191" customFormat="false" ht="12.75" hidden="false" customHeight="false" outlineLevel="0" collapsed="false">
      <c r="A191" s="0"/>
      <c r="B191" s="0"/>
      <c r="C191" s="0"/>
      <c r="D191" s="0"/>
      <c r="E191" s="0"/>
      <c r="F191" s="0"/>
      <c r="G191" s="0"/>
      <c r="H191" s="92" t="n">
        <v>0</v>
      </c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</row>
    <row r="192" customFormat="false" ht="12.75" hidden="false" customHeight="false" outlineLevel="0" collapsed="false">
      <c r="A192" s="0"/>
      <c r="B192" s="0"/>
      <c r="C192" s="0"/>
      <c r="D192" s="0"/>
      <c r="E192" s="0"/>
      <c r="F192" s="0"/>
      <c r="G192" s="0"/>
      <c r="H192" s="92" t="n">
        <v>0</v>
      </c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</row>
    <row r="193" customFormat="false" ht="12.75" hidden="false" customHeight="false" outlineLevel="0" collapsed="false">
      <c r="A193" s="0"/>
      <c r="B193" s="0"/>
      <c r="C193" s="0"/>
      <c r="D193" s="0"/>
      <c r="E193" s="0"/>
      <c r="F193" s="0"/>
      <c r="G193" s="0"/>
      <c r="H193" s="92" t="n">
        <v>0</v>
      </c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</row>
    <row r="194" customFormat="false" ht="12.75" hidden="false" customHeight="false" outlineLevel="0" collapsed="false">
      <c r="A194" s="0"/>
      <c r="B194" s="0"/>
      <c r="C194" s="0"/>
      <c r="D194" s="0"/>
      <c r="E194" s="0"/>
      <c r="F194" s="0"/>
      <c r="G194" s="0"/>
      <c r="H194" s="92" t="n">
        <v>0</v>
      </c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</row>
    <row r="195" customFormat="false" ht="12.75" hidden="false" customHeight="false" outlineLevel="0" collapsed="false">
      <c r="A195" s="0"/>
      <c r="B195" s="0"/>
      <c r="C195" s="0"/>
      <c r="D195" s="0"/>
      <c r="E195" s="0"/>
      <c r="F195" s="0"/>
      <c r="G195" s="0"/>
      <c r="H195" s="92" t="n">
        <v>0</v>
      </c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</row>
    <row r="196" customFormat="false" ht="12.75" hidden="false" customHeight="false" outlineLevel="0" collapsed="false">
      <c r="A196" s="0"/>
      <c r="B196" s="0"/>
      <c r="C196" s="0"/>
      <c r="D196" s="0"/>
      <c r="E196" s="0"/>
      <c r="F196" s="0"/>
      <c r="G196" s="0"/>
      <c r="H196" s="92" t="n">
        <v>0</v>
      </c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</row>
    <row r="197" customFormat="false" ht="12.75" hidden="false" customHeight="false" outlineLevel="0" collapsed="false">
      <c r="A197" s="0"/>
      <c r="B197" s="0"/>
      <c r="C197" s="0"/>
      <c r="D197" s="0"/>
      <c r="E197" s="0"/>
      <c r="F197" s="0"/>
      <c r="G197" s="0"/>
      <c r="H197" s="92" t="n">
        <v>0</v>
      </c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</row>
    <row r="198" customFormat="false" ht="12.75" hidden="false" customHeight="false" outlineLevel="0" collapsed="false">
      <c r="A198" s="0"/>
      <c r="B198" s="0"/>
      <c r="C198" s="0"/>
      <c r="D198" s="0"/>
      <c r="E198" s="0"/>
      <c r="F198" s="0"/>
      <c r="G198" s="0"/>
      <c r="H198" s="92" t="n">
        <v>0</v>
      </c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</row>
    <row r="199" customFormat="false" ht="12.75" hidden="false" customHeight="false" outlineLevel="0" collapsed="false">
      <c r="A199" s="0"/>
      <c r="B199" s="0"/>
      <c r="C199" s="0"/>
      <c r="D199" s="0"/>
      <c r="E199" s="0"/>
      <c r="F199" s="0"/>
      <c r="G199" s="0"/>
      <c r="H199" s="92" t="n">
        <v>0</v>
      </c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</row>
    <row r="200" customFormat="false" ht="12.75" hidden="false" customHeight="false" outlineLevel="0" collapsed="false">
      <c r="A200" s="0"/>
      <c r="B200" s="0"/>
      <c r="C200" s="0"/>
      <c r="D200" s="0"/>
      <c r="E200" s="0"/>
      <c r="F200" s="0"/>
      <c r="G200" s="0"/>
      <c r="H200" s="92" t="n">
        <v>0</v>
      </c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</row>
    <row r="201" customFormat="false" ht="12.75" hidden="false" customHeight="false" outlineLevel="0" collapsed="false">
      <c r="A201" s="0"/>
      <c r="B201" s="0"/>
      <c r="C201" s="0"/>
      <c r="D201" s="0"/>
      <c r="E201" s="0"/>
      <c r="F201" s="0"/>
      <c r="G201" s="0"/>
      <c r="H201" s="92" t="n">
        <v>0</v>
      </c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</row>
    <row r="202" customFormat="false" ht="12.75" hidden="false" customHeight="false" outlineLevel="0" collapsed="false">
      <c r="A202" s="0"/>
      <c r="B202" s="0"/>
      <c r="C202" s="0"/>
      <c r="D202" s="0"/>
      <c r="E202" s="0"/>
      <c r="F202" s="0"/>
      <c r="G202" s="0"/>
      <c r="H202" s="92" t="n">
        <v>0</v>
      </c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</row>
    <row r="203" customFormat="false" ht="12.75" hidden="false" customHeight="false" outlineLevel="0" collapsed="false">
      <c r="A203" s="0"/>
      <c r="B203" s="0"/>
      <c r="C203" s="0"/>
      <c r="D203" s="0"/>
      <c r="E203" s="0"/>
      <c r="F203" s="0"/>
      <c r="G203" s="0"/>
      <c r="H203" s="92" t="n">
        <v>0</v>
      </c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</row>
    <row r="204" customFormat="false" ht="12.75" hidden="false" customHeight="false" outlineLevel="0" collapsed="false">
      <c r="A204" s="0"/>
      <c r="B204" s="0"/>
      <c r="C204" s="0"/>
      <c r="D204" s="0"/>
      <c r="E204" s="0"/>
      <c r="F204" s="0"/>
      <c r="G204" s="0"/>
      <c r="H204" s="92" t="n">
        <v>0</v>
      </c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</row>
    <row r="205" customFormat="false" ht="12.75" hidden="false" customHeight="false" outlineLevel="0" collapsed="false">
      <c r="A205" s="0"/>
      <c r="B205" s="0"/>
      <c r="C205" s="0"/>
      <c r="D205" s="0"/>
      <c r="E205" s="0"/>
      <c r="F205" s="0"/>
      <c r="G205" s="0"/>
      <c r="H205" s="92" t="n">
        <v>0</v>
      </c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</row>
    <row r="206" customFormat="false" ht="12.75" hidden="false" customHeight="false" outlineLevel="0" collapsed="false">
      <c r="A206" s="0"/>
      <c r="B206" s="0"/>
      <c r="C206" s="0"/>
      <c r="D206" s="0"/>
      <c r="E206" s="0"/>
      <c r="F206" s="0"/>
      <c r="G206" s="0"/>
      <c r="H206" s="92" t="n">
        <v>0</v>
      </c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</row>
    <row r="207" customFormat="false" ht="12.75" hidden="false" customHeight="false" outlineLevel="0" collapsed="false">
      <c r="A207" s="0"/>
      <c r="B207" s="0"/>
      <c r="C207" s="0"/>
      <c r="D207" s="0"/>
      <c r="E207" s="0"/>
      <c r="F207" s="0"/>
      <c r="G207" s="0"/>
      <c r="H207" s="92" t="n">
        <v>0</v>
      </c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</row>
    <row r="208" customFormat="false" ht="12.75" hidden="false" customHeight="false" outlineLevel="0" collapsed="false">
      <c r="A208" s="0"/>
      <c r="B208" s="0"/>
      <c r="C208" s="0"/>
      <c r="D208" s="0"/>
      <c r="E208" s="0"/>
      <c r="F208" s="0"/>
      <c r="G208" s="0"/>
      <c r="H208" s="92" t="n">
        <v>0</v>
      </c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</row>
    <row r="209" customFormat="false" ht="12.75" hidden="false" customHeight="false" outlineLevel="0" collapsed="false">
      <c r="A209" s="0"/>
      <c r="B209" s="0"/>
      <c r="C209" s="0"/>
      <c r="D209" s="0"/>
      <c r="E209" s="0"/>
      <c r="F209" s="0"/>
      <c r="G209" s="0"/>
      <c r="H209" s="92" t="n">
        <v>0</v>
      </c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</row>
    <row r="210" customFormat="false" ht="12.75" hidden="false" customHeight="false" outlineLevel="0" collapsed="false">
      <c r="A210" s="0"/>
      <c r="B210" s="0"/>
      <c r="C210" s="0"/>
      <c r="D210" s="0"/>
      <c r="E210" s="0"/>
      <c r="F210" s="0"/>
      <c r="G210" s="0"/>
      <c r="H210" s="92" t="n">
        <v>0</v>
      </c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</row>
    <row r="211" customFormat="false" ht="12.75" hidden="false" customHeight="false" outlineLevel="0" collapsed="false">
      <c r="A211" s="0"/>
      <c r="B211" s="0"/>
      <c r="C211" s="0"/>
      <c r="D211" s="0"/>
      <c r="E211" s="0"/>
      <c r="F211" s="0"/>
      <c r="G211" s="0"/>
      <c r="H211" s="92" t="n">
        <v>0</v>
      </c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</row>
    <row r="212" customFormat="false" ht="12.75" hidden="false" customHeight="false" outlineLevel="0" collapsed="false">
      <c r="A212" s="0"/>
      <c r="B212" s="0"/>
      <c r="C212" s="0"/>
      <c r="D212" s="0"/>
      <c r="E212" s="0"/>
      <c r="F212" s="0"/>
      <c r="G212" s="0"/>
      <c r="H212" s="92" t="n">
        <v>0</v>
      </c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</row>
    <row r="213" customFormat="false" ht="12.75" hidden="false" customHeight="false" outlineLevel="0" collapsed="false">
      <c r="A213" s="0"/>
      <c r="B213" s="0"/>
      <c r="C213" s="0"/>
      <c r="D213" s="0"/>
      <c r="E213" s="0"/>
      <c r="F213" s="0"/>
      <c r="G213" s="0"/>
      <c r="H213" s="92" t="n">
        <v>0</v>
      </c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</row>
    <row r="214" customFormat="false" ht="12.75" hidden="false" customHeight="false" outlineLevel="0" collapsed="false">
      <c r="A214" s="0"/>
      <c r="B214" s="0"/>
      <c r="C214" s="0"/>
      <c r="D214" s="0"/>
      <c r="E214" s="0"/>
      <c r="F214" s="0"/>
      <c r="G214" s="0"/>
      <c r="H214" s="92" t="n">
        <v>0</v>
      </c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</row>
    <row r="215" customFormat="false" ht="12.75" hidden="false" customHeight="false" outlineLevel="0" collapsed="false">
      <c r="A215" s="0"/>
      <c r="B215" s="0"/>
      <c r="C215" s="0"/>
      <c r="D215" s="0"/>
      <c r="E215" s="0"/>
      <c r="F215" s="0"/>
      <c r="G215" s="0"/>
      <c r="H215" s="92" t="n">
        <v>0</v>
      </c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</row>
    <row r="216" customFormat="false" ht="12.75" hidden="false" customHeight="false" outlineLevel="0" collapsed="false">
      <c r="A216" s="0"/>
      <c r="B216" s="0"/>
      <c r="C216" s="0"/>
      <c r="D216" s="0"/>
      <c r="E216" s="0"/>
      <c r="F216" s="0"/>
      <c r="G216" s="0"/>
      <c r="H216" s="92" t="n">
        <v>0</v>
      </c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</row>
    <row r="217" customFormat="false" ht="12.75" hidden="false" customHeight="false" outlineLevel="0" collapsed="false">
      <c r="A217" s="0"/>
      <c r="B217" s="0"/>
      <c r="C217" s="0"/>
      <c r="D217" s="0"/>
      <c r="E217" s="0"/>
      <c r="F217" s="0"/>
      <c r="G217" s="0"/>
      <c r="H217" s="92" t="n">
        <v>0</v>
      </c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</row>
    <row r="218" customFormat="false" ht="12.75" hidden="false" customHeight="false" outlineLevel="0" collapsed="false">
      <c r="A218" s="0"/>
      <c r="B218" s="0"/>
      <c r="C218" s="0"/>
      <c r="D218" s="0"/>
      <c r="E218" s="0"/>
      <c r="F218" s="0"/>
      <c r="G218" s="0"/>
      <c r="H218" s="92" t="n">
        <v>0</v>
      </c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</row>
    <row r="219" customFormat="false" ht="12.75" hidden="false" customHeight="false" outlineLevel="0" collapsed="false">
      <c r="A219" s="0"/>
      <c r="B219" s="0"/>
      <c r="C219" s="0"/>
      <c r="D219" s="0"/>
      <c r="E219" s="0"/>
      <c r="F219" s="0"/>
      <c r="G219" s="0"/>
      <c r="H219" s="92" t="n">
        <v>0</v>
      </c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</row>
    <row r="220" customFormat="false" ht="12.75" hidden="false" customHeight="false" outlineLevel="0" collapsed="false">
      <c r="A220" s="0"/>
      <c r="B220" s="0"/>
      <c r="C220" s="0"/>
      <c r="D220" s="0"/>
      <c r="E220" s="0"/>
      <c r="F220" s="0"/>
      <c r="G220" s="0"/>
      <c r="H220" s="92" t="n">
        <v>0</v>
      </c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</row>
    <row r="221" customFormat="false" ht="12.75" hidden="false" customHeight="false" outlineLevel="0" collapsed="false">
      <c r="A221" s="0"/>
      <c r="B221" s="0"/>
      <c r="C221" s="0"/>
      <c r="D221" s="0"/>
      <c r="E221" s="0"/>
      <c r="F221" s="0"/>
      <c r="G221" s="0"/>
      <c r="H221" s="92" t="n">
        <v>0</v>
      </c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</row>
    <row r="222" customFormat="false" ht="12.75" hidden="false" customHeight="false" outlineLevel="0" collapsed="false">
      <c r="A222" s="0"/>
      <c r="B222" s="0"/>
      <c r="C222" s="0"/>
      <c r="D222" s="0"/>
      <c r="E222" s="0"/>
      <c r="F222" s="0"/>
      <c r="G222" s="0"/>
      <c r="H222" s="92" t="n">
        <v>0</v>
      </c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</row>
    <row r="223" customFormat="false" ht="12.75" hidden="false" customHeight="false" outlineLevel="0" collapsed="false">
      <c r="A223" s="0"/>
      <c r="B223" s="0"/>
      <c r="C223" s="0"/>
      <c r="D223" s="0"/>
      <c r="E223" s="0"/>
      <c r="F223" s="0"/>
      <c r="G223" s="0"/>
      <c r="H223" s="92" t="n">
        <v>0</v>
      </c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</row>
    <row r="224" customFormat="false" ht="12.75" hidden="false" customHeight="false" outlineLevel="0" collapsed="false">
      <c r="A224" s="0"/>
      <c r="B224" s="0"/>
      <c r="C224" s="0"/>
      <c r="D224" s="0"/>
      <c r="E224" s="0"/>
      <c r="F224" s="0"/>
      <c r="G224" s="0"/>
      <c r="H224" s="92" t="n">
        <v>0</v>
      </c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</row>
    <row r="225" customFormat="false" ht="12.75" hidden="false" customHeight="false" outlineLevel="0" collapsed="false">
      <c r="A225" s="0"/>
      <c r="B225" s="0"/>
      <c r="C225" s="0"/>
      <c r="D225" s="0"/>
      <c r="E225" s="0"/>
      <c r="F225" s="0"/>
      <c r="G225" s="0"/>
      <c r="H225" s="92" t="n">
        <v>0</v>
      </c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</row>
    <row r="226" customFormat="false" ht="12.75" hidden="false" customHeight="false" outlineLevel="0" collapsed="false">
      <c r="A226" s="0"/>
      <c r="B226" s="0"/>
      <c r="C226" s="0"/>
      <c r="D226" s="0"/>
      <c r="E226" s="0"/>
      <c r="F226" s="0"/>
      <c r="G226" s="0"/>
      <c r="H226" s="92" t="n">
        <v>0</v>
      </c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</row>
    <row r="227" customFormat="false" ht="12.75" hidden="false" customHeight="false" outlineLevel="0" collapsed="false">
      <c r="A227" s="0"/>
      <c r="B227" s="0"/>
      <c r="C227" s="0"/>
      <c r="D227" s="0"/>
      <c r="E227" s="0"/>
      <c r="F227" s="0"/>
      <c r="G227" s="0"/>
      <c r="H227" s="92" t="n">
        <v>0</v>
      </c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</row>
    <row r="228" customFormat="false" ht="12.75" hidden="false" customHeight="false" outlineLevel="0" collapsed="false">
      <c r="A228" s="0"/>
      <c r="B228" s="0"/>
      <c r="C228" s="0"/>
      <c r="D228" s="0"/>
      <c r="E228" s="0"/>
      <c r="F228" s="0"/>
      <c r="G228" s="0"/>
      <c r="H228" s="92" t="n">
        <v>0</v>
      </c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</row>
    <row r="229" customFormat="false" ht="12.75" hidden="false" customHeight="false" outlineLevel="0" collapsed="false">
      <c r="A229" s="0"/>
      <c r="B229" s="0"/>
      <c r="C229" s="0"/>
      <c r="D229" s="0"/>
      <c r="E229" s="0"/>
      <c r="F229" s="0"/>
      <c r="G229" s="0"/>
      <c r="H229" s="92" t="n">
        <v>0</v>
      </c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</row>
    <row r="230" customFormat="false" ht="12.75" hidden="false" customHeight="false" outlineLevel="0" collapsed="false">
      <c r="A230" s="0"/>
      <c r="B230" s="0"/>
      <c r="C230" s="0"/>
      <c r="D230" s="0"/>
      <c r="E230" s="0"/>
      <c r="F230" s="0"/>
      <c r="G230" s="0"/>
      <c r="H230" s="92" t="n">
        <v>0</v>
      </c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</row>
    <row r="231" customFormat="false" ht="12.75" hidden="false" customHeight="false" outlineLevel="0" collapsed="false">
      <c r="A231" s="0"/>
      <c r="B231" s="0"/>
      <c r="C231" s="0"/>
      <c r="D231" s="0"/>
      <c r="E231" s="0"/>
      <c r="F231" s="0"/>
      <c r="G231" s="0"/>
      <c r="H231" s="92" t="n">
        <v>0</v>
      </c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</row>
    <row r="232" customFormat="false" ht="12.75" hidden="false" customHeight="false" outlineLevel="0" collapsed="false">
      <c r="A232" s="0"/>
      <c r="B232" s="0"/>
      <c r="C232" s="0"/>
      <c r="D232" s="0"/>
      <c r="E232" s="0"/>
      <c r="F232" s="0"/>
      <c r="G232" s="0"/>
      <c r="H232" s="92" t="n">
        <v>0</v>
      </c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</row>
    <row r="233" customFormat="false" ht="12.75" hidden="false" customHeight="false" outlineLevel="0" collapsed="false">
      <c r="A233" s="0"/>
      <c r="B233" s="0"/>
      <c r="C233" s="0"/>
      <c r="D233" s="0"/>
      <c r="E233" s="0"/>
      <c r="F233" s="0"/>
      <c r="G233" s="0"/>
      <c r="H233" s="92" t="n">
        <v>0</v>
      </c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</row>
    <row r="234" customFormat="false" ht="12.75" hidden="false" customHeight="false" outlineLevel="0" collapsed="false">
      <c r="A234" s="0"/>
      <c r="B234" s="0"/>
      <c r="C234" s="0"/>
      <c r="D234" s="0"/>
      <c r="E234" s="0"/>
      <c r="F234" s="0"/>
      <c r="G234" s="0"/>
      <c r="H234" s="92" t="n">
        <v>0</v>
      </c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</row>
    <row r="235" customFormat="false" ht="12.75" hidden="false" customHeight="false" outlineLevel="0" collapsed="false">
      <c r="A235" s="0"/>
      <c r="B235" s="0"/>
      <c r="C235" s="0"/>
      <c r="D235" s="0"/>
      <c r="E235" s="0"/>
      <c r="F235" s="0"/>
      <c r="G235" s="0"/>
      <c r="H235" s="92" t="n">
        <v>0</v>
      </c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</row>
    <row r="236" customFormat="false" ht="12.75" hidden="false" customHeight="false" outlineLevel="0" collapsed="false">
      <c r="A236" s="0"/>
      <c r="B236" s="0"/>
      <c r="C236" s="0"/>
      <c r="D236" s="0"/>
      <c r="E236" s="0"/>
      <c r="F236" s="0"/>
      <c r="G236" s="0"/>
      <c r="H236" s="92" t="n">
        <v>0</v>
      </c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</row>
    <row r="237" customFormat="false" ht="12.75" hidden="false" customHeight="false" outlineLevel="0" collapsed="false">
      <c r="A237" s="0"/>
      <c r="B237" s="0"/>
      <c r="C237" s="0"/>
      <c r="D237" s="0"/>
      <c r="E237" s="0"/>
      <c r="F237" s="0"/>
      <c r="G237" s="0"/>
      <c r="H237" s="92" t="n">
        <v>0</v>
      </c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</row>
    <row r="238" customFormat="false" ht="12.75" hidden="false" customHeight="false" outlineLevel="0" collapsed="false">
      <c r="A238" s="0"/>
      <c r="B238" s="0"/>
      <c r="C238" s="0"/>
      <c r="D238" s="0"/>
      <c r="E238" s="0"/>
      <c r="F238" s="0"/>
      <c r="G238" s="0"/>
      <c r="H238" s="92" t="n">
        <v>0</v>
      </c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</row>
    <row r="239" customFormat="false" ht="12.75" hidden="false" customHeight="false" outlineLevel="0" collapsed="false">
      <c r="A239" s="0"/>
      <c r="B239" s="0"/>
      <c r="C239" s="0"/>
      <c r="D239" s="0"/>
      <c r="E239" s="0"/>
      <c r="F239" s="0"/>
      <c r="G239" s="0"/>
      <c r="H239" s="92" t="n">
        <v>0</v>
      </c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</row>
    <row r="240" customFormat="false" ht="12.75" hidden="false" customHeight="false" outlineLevel="0" collapsed="false">
      <c r="A240" s="0"/>
      <c r="B240" s="0"/>
      <c r="C240" s="0"/>
      <c r="D240" s="0"/>
      <c r="E240" s="0"/>
      <c r="F240" s="0"/>
      <c r="G240" s="0"/>
      <c r="H240" s="92" t="n">
        <v>0</v>
      </c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</row>
    <row r="241" customFormat="false" ht="12.75" hidden="false" customHeight="false" outlineLevel="0" collapsed="false">
      <c r="A241" s="0"/>
      <c r="B241" s="0"/>
      <c r="C241" s="0"/>
      <c r="D241" s="0"/>
      <c r="E241" s="0"/>
      <c r="F241" s="0"/>
      <c r="G241" s="0"/>
      <c r="H241" s="92" t="n">
        <v>0</v>
      </c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</row>
    <row r="242" customFormat="false" ht="12.75" hidden="false" customHeight="false" outlineLevel="0" collapsed="false">
      <c r="A242" s="0"/>
      <c r="B242" s="0"/>
      <c r="C242" s="0"/>
      <c r="D242" s="0"/>
      <c r="E242" s="0"/>
      <c r="F242" s="0"/>
      <c r="G242" s="0"/>
      <c r="H242" s="92" t="n">
        <v>0</v>
      </c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</row>
    <row r="243" customFormat="false" ht="12.75" hidden="false" customHeight="false" outlineLevel="0" collapsed="false">
      <c r="A243" s="0"/>
      <c r="B243" s="0"/>
      <c r="C243" s="0"/>
      <c r="D243" s="0"/>
      <c r="E243" s="0"/>
      <c r="F243" s="0"/>
      <c r="G243" s="0"/>
      <c r="H243" s="92" t="n">
        <v>0</v>
      </c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</row>
    <row r="244" customFormat="false" ht="12.75" hidden="false" customHeight="false" outlineLevel="0" collapsed="false">
      <c r="A244" s="0"/>
      <c r="B244" s="0"/>
      <c r="C244" s="0"/>
      <c r="D244" s="0"/>
      <c r="E244" s="0"/>
      <c r="F244" s="0"/>
      <c r="G244" s="0"/>
      <c r="H244" s="92" t="n">
        <v>0</v>
      </c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</row>
    <row r="245" customFormat="false" ht="12.75" hidden="false" customHeight="false" outlineLevel="0" collapsed="false">
      <c r="A245" s="0"/>
      <c r="B245" s="0"/>
      <c r="C245" s="0"/>
      <c r="D245" s="0"/>
      <c r="E245" s="0"/>
      <c r="F245" s="0"/>
      <c r="G245" s="0"/>
      <c r="H245" s="92" t="n">
        <v>0</v>
      </c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</row>
    <row r="246" customFormat="false" ht="12.75" hidden="false" customHeight="false" outlineLevel="0" collapsed="false">
      <c r="A246" s="0"/>
      <c r="B246" s="0"/>
      <c r="C246" s="0"/>
      <c r="D246" s="0"/>
      <c r="E246" s="0"/>
      <c r="F246" s="0"/>
      <c r="G246" s="0"/>
      <c r="H246" s="92" t="n">
        <v>0</v>
      </c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</row>
    <row r="247" customFormat="false" ht="12.75" hidden="false" customHeight="false" outlineLevel="0" collapsed="false">
      <c r="A247" s="0"/>
      <c r="B247" s="0"/>
      <c r="C247" s="0"/>
      <c r="D247" s="0"/>
      <c r="E247" s="0"/>
      <c r="F247" s="0"/>
      <c r="G247" s="0"/>
      <c r="H247" s="92" t="n">
        <v>0</v>
      </c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</row>
    <row r="248" customFormat="false" ht="12.75" hidden="false" customHeight="false" outlineLevel="0" collapsed="false">
      <c r="A248" s="0"/>
      <c r="B248" s="0"/>
      <c r="C248" s="0"/>
      <c r="D248" s="0"/>
      <c r="E248" s="0"/>
      <c r="F248" s="0"/>
      <c r="G248" s="0"/>
      <c r="H248" s="92" t="n">
        <v>0</v>
      </c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</row>
    <row r="249" customFormat="false" ht="12.75" hidden="false" customHeight="false" outlineLevel="0" collapsed="false">
      <c r="A249" s="0"/>
      <c r="B249" s="0"/>
      <c r="C249" s="0"/>
      <c r="D249" s="0"/>
      <c r="E249" s="0"/>
      <c r="F249" s="0"/>
      <c r="G249" s="0"/>
      <c r="H249" s="92" t="n">
        <v>0</v>
      </c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</row>
    <row r="250" customFormat="false" ht="12.75" hidden="false" customHeight="false" outlineLevel="0" collapsed="false">
      <c r="A250" s="0"/>
      <c r="B250" s="0"/>
      <c r="C250" s="0"/>
      <c r="D250" s="0"/>
      <c r="E250" s="0"/>
      <c r="F250" s="0"/>
      <c r="G250" s="0"/>
      <c r="H250" s="92" t="n">
        <v>0</v>
      </c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</row>
    <row r="251" customFormat="false" ht="12.75" hidden="false" customHeight="false" outlineLevel="0" collapsed="false">
      <c r="A251" s="0"/>
      <c r="B251" s="0"/>
      <c r="C251" s="0"/>
      <c r="D251" s="0"/>
      <c r="E251" s="0"/>
      <c r="F251" s="0"/>
      <c r="G251" s="0"/>
      <c r="H251" s="92" t="n">
        <v>0</v>
      </c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</row>
    <row r="252" customFormat="false" ht="12.75" hidden="false" customHeight="false" outlineLevel="0" collapsed="false">
      <c r="A252" s="0"/>
      <c r="B252" s="0"/>
      <c r="C252" s="0"/>
      <c r="D252" s="0"/>
      <c r="E252" s="0"/>
      <c r="F252" s="0"/>
      <c r="G252" s="0"/>
      <c r="H252" s="92" t="n">
        <v>0</v>
      </c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</row>
    <row r="253" customFormat="false" ht="12.75" hidden="false" customHeight="false" outlineLevel="0" collapsed="false">
      <c r="A253" s="0"/>
      <c r="B253" s="0"/>
      <c r="C253" s="0"/>
      <c r="D253" s="0"/>
      <c r="E253" s="0"/>
      <c r="F253" s="0"/>
      <c r="G253" s="0"/>
      <c r="H253" s="92" t="n">
        <v>0</v>
      </c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</row>
    <row r="254" customFormat="false" ht="12.75" hidden="false" customHeight="false" outlineLevel="0" collapsed="false">
      <c r="A254" s="0"/>
      <c r="B254" s="0"/>
      <c r="C254" s="0"/>
      <c r="D254" s="0"/>
      <c r="E254" s="0"/>
      <c r="F254" s="0"/>
      <c r="G254" s="0"/>
      <c r="H254" s="92" t="n">
        <v>0</v>
      </c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</row>
    <row r="255" customFormat="false" ht="12.75" hidden="false" customHeight="false" outlineLevel="0" collapsed="false">
      <c r="A255" s="0"/>
      <c r="B255" s="0"/>
      <c r="C255" s="0"/>
      <c r="D255" s="0"/>
      <c r="E255" s="0"/>
      <c r="F255" s="0"/>
      <c r="G255" s="0"/>
      <c r="H255" s="92" t="n">
        <v>0</v>
      </c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</row>
    <row r="256" customFormat="false" ht="12.75" hidden="false" customHeight="false" outlineLevel="0" collapsed="false">
      <c r="A256" s="0"/>
      <c r="B256" s="0"/>
      <c r="C256" s="0"/>
      <c r="D256" s="0"/>
      <c r="E256" s="0"/>
      <c r="F256" s="0"/>
      <c r="G256" s="0"/>
      <c r="H256" s="92" t="n">
        <v>0</v>
      </c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</row>
    <row r="257" customFormat="false" ht="12.75" hidden="false" customHeight="false" outlineLevel="0" collapsed="false">
      <c r="A257" s="0"/>
      <c r="B257" s="0"/>
      <c r="C257" s="0"/>
      <c r="D257" s="0"/>
      <c r="E257" s="0"/>
      <c r="F257" s="0"/>
      <c r="G257" s="0"/>
      <c r="H257" s="92" t="n">
        <v>0</v>
      </c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</row>
    <row r="258" customFormat="false" ht="12.75" hidden="false" customHeight="false" outlineLevel="0" collapsed="false">
      <c r="A258" s="0"/>
      <c r="B258" s="0"/>
      <c r="C258" s="0"/>
      <c r="D258" s="0"/>
      <c r="E258" s="0"/>
      <c r="F258" s="0"/>
      <c r="G258" s="0"/>
      <c r="H258" s="92" t="n">
        <v>0</v>
      </c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</row>
    <row r="259" customFormat="false" ht="12.75" hidden="false" customHeight="false" outlineLevel="0" collapsed="false">
      <c r="A259" s="0"/>
      <c r="B259" s="0"/>
      <c r="C259" s="0"/>
      <c r="D259" s="0"/>
      <c r="E259" s="0"/>
      <c r="F259" s="0"/>
      <c r="G259" s="0"/>
      <c r="H259" s="92" t="n">
        <v>0</v>
      </c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</row>
    <row r="260" customFormat="false" ht="12.75" hidden="false" customHeight="false" outlineLevel="0" collapsed="false">
      <c r="A260" s="0"/>
      <c r="B260" s="0"/>
      <c r="C260" s="0"/>
      <c r="D260" s="0"/>
      <c r="E260" s="0"/>
      <c r="F260" s="0"/>
      <c r="G260" s="0"/>
      <c r="H260" s="92" t="n">
        <v>0</v>
      </c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</row>
    <row r="261" customFormat="false" ht="12.75" hidden="false" customHeight="false" outlineLevel="0" collapsed="false">
      <c r="A261" s="0"/>
      <c r="B261" s="0"/>
      <c r="C261" s="0"/>
      <c r="D261" s="0"/>
      <c r="E261" s="0"/>
      <c r="F261" s="0"/>
      <c r="G261" s="0"/>
      <c r="H261" s="92" t="n">
        <v>0</v>
      </c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</row>
    <row r="262" customFormat="false" ht="12.75" hidden="false" customHeight="false" outlineLevel="0" collapsed="false">
      <c r="A262" s="0"/>
      <c r="B262" s="0"/>
      <c r="C262" s="0"/>
      <c r="D262" s="0"/>
      <c r="E262" s="0"/>
      <c r="F262" s="0"/>
      <c r="G262" s="0"/>
      <c r="H262" s="92" t="n">
        <v>0</v>
      </c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</row>
    <row r="263" customFormat="false" ht="12.75" hidden="false" customHeight="false" outlineLevel="0" collapsed="false">
      <c r="A263" s="0"/>
      <c r="B263" s="0"/>
      <c r="C263" s="0"/>
      <c r="D263" s="0"/>
      <c r="E263" s="0"/>
      <c r="F263" s="0"/>
      <c r="G263" s="0"/>
      <c r="H263" s="92" t="n">
        <v>0</v>
      </c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</row>
    <row r="264" customFormat="false" ht="12.75" hidden="false" customHeight="false" outlineLevel="0" collapsed="false">
      <c r="A264" s="0"/>
      <c r="B264" s="0"/>
      <c r="C264" s="0"/>
      <c r="D264" s="0"/>
      <c r="E264" s="0"/>
      <c r="F264" s="0"/>
      <c r="G264" s="0"/>
      <c r="H264" s="92" t="n">
        <v>0</v>
      </c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</row>
    <row r="265" customFormat="false" ht="12.75" hidden="false" customHeight="false" outlineLevel="0" collapsed="false">
      <c r="A265" s="0"/>
      <c r="B265" s="0"/>
      <c r="C265" s="0"/>
      <c r="D265" s="0"/>
      <c r="E265" s="0"/>
      <c r="F265" s="0"/>
      <c r="G265" s="0"/>
      <c r="H265" s="92" t="n">
        <v>0</v>
      </c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</row>
    <row r="266" customFormat="false" ht="12.75" hidden="false" customHeight="false" outlineLevel="0" collapsed="false">
      <c r="A266" s="0"/>
      <c r="B266" s="0"/>
      <c r="C266" s="0"/>
      <c r="D266" s="0"/>
      <c r="E266" s="0"/>
      <c r="F266" s="0"/>
      <c r="G266" s="0"/>
      <c r="H266" s="92" t="n">
        <v>0</v>
      </c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</row>
    <row r="267" customFormat="false" ht="12.75" hidden="false" customHeight="false" outlineLevel="0" collapsed="false">
      <c r="A267" s="0"/>
      <c r="B267" s="0"/>
      <c r="C267" s="0"/>
      <c r="D267" s="0"/>
      <c r="E267" s="0"/>
      <c r="F267" s="0"/>
      <c r="G267" s="0"/>
      <c r="H267" s="92" t="n">
        <v>0</v>
      </c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</row>
    <row r="268" customFormat="false" ht="12.75" hidden="false" customHeight="false" outlineLevel="0" collapsed="false">
      <c r="A268" s="0"/>
      <c r="B268" s="0"/>
      <c r="C268" s="0"/>
      <c r="D268" s="0"/>
      <c r="E268" s="0"/>
      <c r="F268" s="0"/>
      <c r="G268" s="0"/>
      <c r="H268" s="92" t="n">
        <v>0</v>
      </c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</row>
    <row r="269" customFormat="false" ht="12.75" hidden="false" customHeight="false" outlineLevel="0" collapsed="false">
      <c r="A269" s="0"/>
      <c r="B269" s="0"/>
      <c r="C269" s="0"/>
      <c r="D269" s="0"/>
      <c r="E269" s="0"/>
      <c r="F269" s="0"/>
      <c r="G269" s="0"/>
      <c r="H269" s="92" t="n">
        <v>0</v>
      </c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</row>
    <row r="270" customFormat="false" ht="12.75" hidden="false" customHeight="false" outlineLevel="0" collapsed="false">
      <c r="A270" s="0"/>
      <c r="B270" s="0"/>
      <c r="C270" s="0"/>
      <c r="D270" s="0"/>
      <c r="E270" s="0"/>
      <c r="F270" s="0"/>
      <c r="G270" s="0"/>
      <c r="H270" s="92" t="n">
        <v>0</v>
      </c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</row>
    <row r="271" customFormat="false" ht="12.75" hidden="false" customHeight="false" outlineLevel="0" collapsed="false">
      <c r="A271" s="0"/>
      <c r="B271" s="0"/>
      <c r="C271" s="0"/>
      <c r="D271" s="0"/>
      <c r="E271" s="0"/>
      <c r="F271" s="0"/>
      <c r="G271" s="0"/>
      <c r="H271" s="92" t="n">
        <v>0</v>
      </c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</row>
    <row r="272" customFormat="false" ht="12.75" hidden="false" customHeight="false" outlineLevel="0" collapsed="false">
      <c r="A272" s="0"/>
      <c r="B272" s="0"/>
      <c r="C272" s="0"/>
      <c r="D272" s="0"/>
      <c r="E272" s="0"/>
      <c r="F272" s="0"/>
      <c r="G272" s="0"/>
      <c r="H272" s="92" t="n">
        <v>0</v>
      </c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</row>
    <row r="273" customFormat="false" ht="12.75" hidden="false" customHeight="false" outlineLevel="0" collapsed="false">
      <c r="A273" s="0"/>
      <c r="B273" s="0"/>
      <c r="C273" s="0"/>
      <c r="D273" s="0"/>
      <c r="E273" s="0"/>
      <c r="F273" s="0"/>
      <c r="G273" s="0"/>
      <c r="H273" s="92" t="n">
        <v>0</v>
      </c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</row>
    <row r="274" customFormat="false" ht="12.75" hidden="false" customHeight="false" outlineLevel="0" collapsed="false">
      <c r="A274" s="0"/>
      <c r="B274" s="0"/>
      <c r="C274" s="0"/>
      <c r="D274" s="0"/>
      <c r="E274" s="0"/>
      <c r="F274" s="0"/>
      <c r="G274" s="0"/>
      <c r="H274" s="92" t="n">
        <v>0</v>
      </c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</row>
    <row r="275" customFormat="false" ht="12.75" hidden="false" customHeight="false" outlineLevel="0" collapsed="false">
      <c r="A275" s="0"/>
      <c r="B275" s="0"/>
      <c r="C275" s="0"/>
      <c r="D275" s="0"/>
      <c r="E275" s="0"/>
      <c r="F275" s="0"/>
      <c r="G275" s="0"/>
      <c r="H275" s="92" t="n">
        <v>0</v>
      </c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</row>
    <row r="276" customFormat="false" ht="12.75" hidden="false" customHeight="false" outlineLevel="0" collapsed="false">
      <c r="A276" s="0"/>
      <c r="B276" s="0"/>
      <c r="C276" s="0"/>
      <c r="D276" s="0"/>
      <c r="E276" s="0"/>
      <c r="F276" s="0"/>
      <c r="G276" s="0"/>
      <c r="H276" s="92" t="n">
        <v>0</v>
      </c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</row>
    <row r="277" customFormat="false" ht="12.75" hidden="false" customHeight="false" outlineLevel="0" collapsed="false">
      <c r="A277" s="0"/>
      <c r="B277" s="0"/>
      <c r="C277" s="0"/>
      <c r="D277" s="0"/>
      <c r="E277" s="0"/>
      <c r="F277" s="0"/>
      <c r="G277" s="0"/>
      <c r="H277" s="92" t="n">
        <v>0</v>
      </c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</row>
    <row r="278" customFormat="false" ht="12.75" hidden="false" customHeight="false" outlineLevel="0" collapsed="false">
      <c r="A278" s="0"/>
      <c r="B278" s="0"/>
      <c r="C278" s="0"/>
      <c r="D278" s="0"/>
      <c r="E278" s="0"/>
      <c r="F278" s="0"/>
      <c r="G278" s="0"/>
      <c r="H278" s="92" t="n">
        <v>0</v>
      </c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</row>
    <row r="279" customFormat="false" ht="12.75" hidden="false" customHeight="false" outlineLevel="0" collapsed="false">
      <c r="A279" s="0"/>
      <c r="B279" s="0"/>
      <c r="C279" s="0"/>
      <c r="D279" s="0"/>
      <c r="E279" s="0"/>
      <c r="F279" s="0"/>
      <c r="G279" s="0"/>
      <c r="H279" s="92" t="n">
        <v>0</v>
      </c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</row>
    <row r="280" customFormat="false" ht="12.75" hidden="false" customHeight="false" outlineLevel="0" collapsed="false">
      <c r="A280" s="0"/>
      <c r="B280" s="0"/>
      <c r="C280" s="0"/>
      <c r="D280" s="0"/>
      <c r="E280" s="0"/>
      <c r="F280" s="0"/>
      <c r="G280" s="0"/>
      <c r="H280" s="92" t="n">
        <v>0</v>
      </c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</row>
    <row r="281" customFormat="false" ht="12.75" hidden="false" customHeight="false" outlineLevel="0" collapsed="false">
      <c r="A281" s="0"/>
      <c r="B281" s="0"/>
      <c r="C281" s="0"/>
      <c r="D281" s="0"/>
      <c r="E281" s="0"/>
      <c r="F281" s="0"/>
      <c r="G281" s="0"/>
      <c r="H281" s="92" t="n">
        <v>0</v>
      </c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</row>
    <row r="282" customFormat="false" ht="12.75" hidden="false" customHeight="false" outlineLevel="0" collapsed="false">
      <c r="A282" s="0"/>
      <c r="B282" s="0"/>
      <c r="C282" s="0"/>
      <c r="D282" s="0"/>
      <c r="E282" s="0"/>
      <c r="F282" s="0"/>
      <c r="G282" s="0"/>
      <c r="H282" s="92" t="n">
        <v>0</v>
      </c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</row>
    <row r="283" customFormat="false" ht="12.75" hidden="false" customHeight="false" outlineLevel="0" collapsed="false">
      <c r="A283" s="0"/>
      <c r="B283" s="0"/>
      <c r="C283" s="0"/>
      <c r="D283" s="0"/>
      <c r="E283" s="0"/>
      <c r="F283" s="0"/>
      <c r="G283" s="0"/>
      <c r="H283" s="92" t="n">
        <v>0</v>
      </c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</row>
    <row r="284" customFormat="false" ht="12.75" hidden="false" customHeight="false" outlineLevel="0" collapsed="false">
      <c r="A284" s="0"/>
      <c r="B284" s="0"/>
      <c r="C284" s="0"/>
      <c r="D284" s="0"/>
      <c r="E284" s="0"/>
      <c r="F284" s="0"/>
      <c r="G284" s="0"/>
      <c r="H284" s="92" t="n">
        <v>0</v>
      </c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</row>
    <row r="285" customFormat="false" ht="12.75" hidden="false" customHeight="false" outlineLevel="0" collapsed="false">
      <c r="A285" s="0"/>
      <c r="B285" s="0"/>
      <c r="C285" s="0"/>
      <c r="D285" s="0"/>
      <c r="E285" s="0"/>
      <c r="F285" s="0"/>
      <c r="G285" s="0"/>
      <c r="H285" s="92" t="n">
        <v>0</v>
      </c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</row>
    <row r="286" customFormat="false" ht="12.75" hidden="false" customHeight="false" outlineLevel="0" collapsed="false">
      <c r="A286" s="0"/>
      <c r="B286" s="0"/>
      <c r="C286" s="0"/>
      <c r="D286" s="0"/>
      <c r="E286" s="0"/>
      <c r="F286" s="0"/>
      <c r="G286" s="0"/>
      <c r="H286" s="92" t="n">
        <v>0</v>
      </c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</row>
    <row r="287" customFormat="false" ht="12.75" hidden="false" customHeight="false" outlineLevel="0" collapsed="false">
      <c r="A287" s="0"/>
      <c r="B287" s="0"/>
      <c r="C287" s="0"/>
      <c r="D287" s="0"/>
      <c r="E287" s="0"/>
      <c r="F287" s="0"/>
      <c r="G287" s="0"/>
      <c r="H287" s="92" t="n">
        <v>0</v>
      </c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</row>
    <row r="288" customFormat="false" ht="12.75" hidden="false" customHeight="false" outlineLevel="0" collapsed="false">
      <c r="A288" s="0"/>
      <c r="B288" s="0"/>
      <c r="C288" s="0"/>
      <c r="D288" s="0"/>
      <c r="E288" s="0"/>
      <c r="F288" s="0"/>
      <c r="G288" s="0"/>
      <c r="H288" s="92" t="n">
        <v>0</v>
      </c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</row>
    <row r="289" customFormat="false" ht="12.75" hidden="false" customHeight="false" outlineLevel="0" collapsed="false">
      <c r="A289" s="0"/>
      <c r="B289" s="0"/>
      <c r="C289" s="0"/>
      <c r="D289" s="0"/>
      <c r="E289" s="0"/>
      <c r="F289" s="0"/>
      <c r="G289" s="0"/>
      <c r="H289" s="92" t="n">
        <v>0</v>
      </c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</row>
    <row r="290" customFormat="false" ht="12.75" hidden="false" customHeight="false" outlineLevel="0" collapsed="false">
      <c r="A290" s="0"/>
      <c r="B290" s="0"/>
      <c r="C290" s="0"/>
      <c r="D290" s="0"/>
      <c r="E290" s="0"/>
      <c r="F290" s="0"/>
      <c r="G290" s="0"/>
      <c r="H290" s="92" t="n">
        <v>0</v>
      </c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</row>
    <row r="291" customFormat="false" ht="12.75" hidden="false" customHeight="false" outlineLevel="0" collapsed="false">
      <c r="A291" s="0"/>
      <c r="B291" s="0"/>
      <c r="C291" s="0"/>
      <c r="D291" s="0"/>
      <c r="E291" s="0"/>
      <c r="F291" s="0"/>
      <c r="G291" s="0"/>
      <c r="H291" s="92" t="n">
        <v>0</v>
      </c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</row>
    <row r="292" customFormat="false" ht="12.75" hidden="false" customHeight="false" outlineLevel="0" collapsed="false">
      <c r="A292" s="0"/>
      <c r="B292" s="0"/>
      <c r="C292" s="0"/>
      <c r="D292" s="0"/>
      <c r="E292" s="0"/>
      <c r="F292" s="0"/>
      <c r="G292" s="0"/>
      <c r="H292" s="92" t="n">
        <v>0</v>
      </c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</row>
    <row r="293" customFormat="false" ht="12.75" hidden="false" customHeight="false" outlineLevel="0" collapsed="false">
      <c r="A293" s="0"/>
      <c r="B293" s="0"/>
      <c r="C293" s="0"/>
      <c r="D293" s="0"/>
      <c r="E293" s="0"/>
      <c r="F293" s="0"/>
      <c r="G293" s="0"/>
      <c r="H293" s="92" t="n">
        <v>0</v>
      </c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</row>
    <row r="294" customFormat="false" ht="12.75" hidden="false" customHeight="false" outlineLevel="0" collapsed="false">
      <c r="A294" s="0"/>
      <c r="B294" s="0"/>
      <c r="C294" s="0"/>
      <c r="D294" s="0"/>
      <c r="E294" s="0"/>
      <c r="F294" s="0"/>
      <c r="G294" s="0"/>
      <c r="H294" s="92" t="n">
        <v>0</v>
      </c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</row>
    <row r="295" customFormat="false" ht="12.75" hidden="false" customHeight="false" outlineLevel="0" collapsed="false">
      <c r="A295" s="0"/>
      <c r="B295" s="0"/>
      <c r="C295" s="0"/>
      <c r="D295" s="0"/>
      <c r="E295" s="0"/>
      <c r="F295" s="0"/>
      <c r="G295" s="0"/>
      <c r="H295" s="92" t="n">
        <v>0</v>
      </c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</row>
    <row r="296" customFormat="false" ht="12.75" hidden="false" customHeight="false" outlineLevel="0" collapsed="false">
      <c r="A296" s="0"/>
      <c r="B296" s="0"/>
      <c r="C296" s="0"/>
      <c r="D296" s="0"/>
      <c r="E296" s="0"/>
      <c r="F296" s="0"/>
      <c r="G296" s="0"/>
      <c r="H296" s="92" t="n">
        <v>0</v>
      </c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</row>
    <row r="297" customFormat="false" ht="12.75" hidden="false" customHeight="false" outlineLevel="0" collapsed="false">
      <c r="A297" s="0"/>
      <c r="B297" s="0"/>
      <c r="C297" s="0"/>
      <c r="D297" s="0"/>
      <c r="E297" s="0"/>
      <c r="F297" s="0"/>
      <c r="G297" s="0"/>
      <c r="H297" s="92" t="n">
        <v>0</v>
      </c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</row>
    <row r="298" customFormat="false" ht="12.75" hidden="false" customHeight="false" outlineLevel="0" collapsed="false">
      <c r="A298" s="0"/>
      <c r="B298" s="0"/>
      <c r="C298" s="0"/>
      <c r="D298" s="0"/>
      <c r="E298" s="0"/>
      <c r="F298" s="0"/>
      <c r="G298" s="0"/>
      <c r="H298" s="92" t="n">
        <v>0</v>
      </c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</row>
    <row r="299" customFormat="false" ht="12.75" hidden="false" customHeight="false" outlineLevel="0" collapsed="false">
      <c r="A299" s="0"/>
      <c r="B299" s="0"/>
      <c r="C299" s="0"/>
      <c r="D299" s="0"/>
      <c r="E299" s="0"/>
      <c r="F299" s="0"/>
      <c r="G299" s="0"/>
      <c r="H299" s="92" t="n">
        <v>0</v>
      </c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</row>
    <row r="300" customFormat="false" ht="12.75" hidden="false" customHeight="false" outlineLevel="0" collapsed="false">
      <c r="A300" s="0"/>
      <c r="B300" s="0"/>
      <c r="C300" s="0"/>
      <c r="D300" s="0"/>
      <c r="E300" s="0"/>
      <c r="F300" s="0"/>
      <c r="G300" s="0"/>
      <c r="H300" s="92" t="n">
        <v>0</v>
      </c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</row>
    <row r="301" customFormat="false" ht="12.75" hidden="false" customHeight="false" outlineLevel="0" collapsed="false">
      <c r="A301" s="0"/>
      <c r="B301" s="0"/>
      <c r="C301" s="0"/>
      <c r="D301" s="0"/>
      <c r="E301" s="0"/>
      <c r="F301" s="0"/>
      <c r="G301" s="0"/>
      <c r="H301" s="92" t="n">
        <v>0</v>
      </c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</row>
    <row r="302" customFormat="false" ht="12.75" hidden="false" customHeight="false" outlineLevel="0" collapsed="false">
      <c r="A302" s="0"/>
      <c r="B302" s="0"/>
      <c r="C302" s="0"/>
      <c r="D302" s="0"/>
      <c r="E302" s="0"/>
      <c r="F302" s="0"/>
      <c r="G302" s="0"/>
      <c r="H302" s="92" t="n">
        <v>0</v>
      </c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</row>
    <row r="303" customFormat="false" ht="12.75" hidden="false" customHeight="false" outlineLevel="0" collapsed="false">
      <c r="A303" s="0"/>
      <c r="B303" s="0"/>
      <c r="C303" s="0"/>
      <c r="D303" s="0"/>
      <c r="E303" s="0"/>
      <c r="F303" s="0"/>
      <c r="G303" s="0"/>
      <c r="H303" s="92" t="n">
        <v>0</v>
      </c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</row>
    <row r="304" customFormat="false" ht="12.75" hidden="false" customHeight="false" outlineLevel="0" collapsed="false">
      <c r="A304" s="0"/>
      <c r="B304" s="0"/>
      <c r="C304" s="0"/>
      <c r="D304" s="0"/>
      <c r="E304" s="0"/>
      <c r="F304" s="0"/>
      <c r="G304" s="0"/>
      <c r="H304" s="92" t="n">
        <v>0</v>
      </c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</row>
    <row r="305" customFormat="false" ht="12.75" hidden="false" customHeight="false" outlineLevel="0" collapsed="false">
      <c r="A305" s="0"/>
      <c r="B305" s="0"/>
      <c r="C305" s="0"/>
      <c r="D305" s="0"/>
      <c r="E305" s="0"/>
      <c r="F305" s="0"/>
      <c r="G305" s="0"/>
      <c r="H305" s="92" t="n">
        <v>0</v>
      </c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</row>
    <row r="306" customFormat="false" ht="12.75" hidden="false" customHeight="false" outlineLevel="0" collapsed="false">
      <c r="A306" s="0"/>
      <c r="B306" s="0"/>
      <c r="C306" s="0"/>
      <c r="D306" s="0"/>
      <c r="E306" s="0"/>
      <c r="F306" s="0"/>
      <c r="G306" s="0"/>
      <c r="H306" s="92" t="n">
        <v>0</v>
      </c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</row>
    <row r="307" customFormat="false" ht="12.75" hidden="false" customHeight="false" outlineLevel="0" collapsed="false">
      <c r="A307" s="0"/>
      <c r="B307" s="0"/>
      <c r="C307" s="0"/>
      <c r="D307" s="0"/>
      <c r="E307" s="0"/>
      <c r="F307" s="0"/>
      <c r="G307" s="0"/>
      <c r="H307" s="92" t="n">
        <v>0</v>
      </c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</row>
    <row r="308" customFormat="false" ht="12.75" hidden="false" customHeight="false" outlineLevel="0" collapsed="false">
      <c r="A308" s="0"/>
      <c r="B308" s="0"/>
      <c r="C308" s="0"/>
      <c r="D308" s="0"/>
      <c r="E308" s="0"/>
      <c r="F308" s="0"/>
      <c r="G308" s="0"/>
      <c r="H308" s="92" t="n">
        <v>0</v>
      </c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</row>
    <row r="309" customFormat="false" ht="12.75" hidden="false" customHeight="false" outlineLevel="0" collapsed="false">
      <c r="A309" s="0"/>
      <c r="B309" s="0"/>
      <c r="C309" s="0"/>
      <c r="D309" s="0"/>
      <c r="E309" s="0"/>
      <c r="F309" s="0"/>
      <c r="G309" s="0"/>
      <c r="H309" s="92" t="n">
        <v>0</v>
      </c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</row>
    <row r="310" customFormat="false" ht="12.75" hidden="false" customHeight="false" outlineLevel="0" collapsed="false">
      <c r="A310" s="0"/>
      <c r="B310" s="0"/>
      <c r="C310" s="0"/>
      <c r="D310" s="0"/>
      <c r="E310" s="0"/>
      <c r="F310" s="0"/>
      <c r="G310" s="0"/>
      <c r="H310" s="92" t="n">
        <v>0</v>
      </c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</row>
    <row r="311" customFormat="false" ht="12.75" hidden="false" customHeight="false" outlineLevel="0" collapsed="false">
      <c r="A311" s="0"/>
      <c r="B311" s="0"/>
      <c r="C311" s="0"/>
      <c r="D311" s="0"/>
      <c r="E311" s="0"/>
      <c r="F311" s="0"/>
      <c r="G311" s="0"/>
      <c r="H311" s="92" t="n">
        <v>0</v>
      </c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</row>
    <row r="312" customFormat="false" ht="12.75" hidden="false" customHeight="false" outlineLevel="0" collapsed="false">
      <c r="A312" s="0"/>
      <c r="B312" s="0"/>
      <c r="C312" s="0"/>
      <c r="D312" s="0"/>
      <c r="E312" s="0"/>
      <c r="F312" s="0"/>
      <c r="G312" s="0"/>
      <c r="H312" s="92" t="n">
        <v>0</v>
      </c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</row>
    <row r="313" customFormat="false" ht="12.75" hidden="false" customHeight="false" outlineLevel="0" collapsed="false">
      <c r="A313" s="0"/>
      <c r="B313" s="0"/>
      <c r="C313" s="0"/>
      <c r="D313" s="0"/>
      <c r="E313" s="0"/>
      <c r="F313" s="0"/>
      <c r="G313" s="0"/>
      <c r="H313" s="92" t="n">
        <v>0</v>
      </c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</row>
    <row r="314" customFormat="false" ht="12.75" hidden="false" customHeight="false" outlineLevel="0" collapsed="false">
      <c r="A314" s="0"/>
      <c r="B314" s="0"/>
      <c r="C314" s="0"/>
      <c r="D314" s="0"/>
      <c r="E314" s="0"/>
      <c r="F314" s="0"/>
      <c r="G314" s="0"/>
      <c r="H314" s="92" t="n">
        <v>0</v>
      </c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</row>
    <row r="315" customFormat="false" ht="12.75" hidden="false" customHeight="false" outlineLevel="0" collapsed="false">
      <c r="A315" s="0"/>
      <c r="B315" s="0"/>
      <c r="C315" s="0"/>
      <c r="D315" s="0"/>
      <c r="E315" s="0"/>
      <c r="F315" s="0"/>
      <c r="G315" s="0"/>
      <c r="H315" s="92" t="n">
        <v>0</v>
      </c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</row>
    <row r="316" customFormat="false" ht="12.75" hidden="false" customHeight="false" outlineLevel="0" collapsed="false">
      <c r="A316" s="0"/>
      <c r="B316" s="0"/>
      <c r="C316" s="0"/>
      <c r="D316" s="0"/>
      <c r="E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</row>
    <row r="317" customFormat="false" ht="12.75" hidden="false" customHeight="false" outlineLevel="0" collapsed="false">
      <c r="A317" s="0"/>
      <c r="B317" s="0"/>
      <c r="C317" s="0"/>
      <c r="D317" s="0"/>
      <c r="E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</row>
    <row r="318" customFormat="false" ht="12.75" hidden="false" customHeight="false" outlineLevel="0" collapsed="false">
      <c r="A318" s="0"/>
      <c r="B318" s="0"/>
      <c r="C318" s="0"/>
      <c r="D318" s="0"/>
      <c r="E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</row>
    <row r="319" customFormat="false" ht="12.75" hidden="false" customHeight="false" outlineLevel="0" collapsed="false">
      <c r="A319" s="0"/>
      <c r="B319" s="0"/>
      <c r="C319" s="0"/>
      <c r="D319" s="0"/>
      <c r="E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</row>
    <row r="320" customFormat="false" ht="12.75" hidden="false" customHeight="false" outlineLevel="0" collapsed="false">
      <c r="A320" s="0"/>
      <c r="B320" s="0"/>
      <c r="C320" s="0"/>
      <c r="D320" s="0"/>
      <c r="E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</row>
    <row r="321" customFormat="false" ht="12.75" hidden="false" customHeight="false" outlineLevel="0" collapsed="false">
      <c r="A321" s="0"/>
      <c r="B321" s="0"/>
      <c r="C321" s="0"/>
      <c r="D321" s="0"/>
      <c r="E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</row>
    <row r="322" customFormat="false" ht="12.75" hidden="false" customHeight="false" outlineLevel="0" collapsed="false">
      <c r="A322" s="0"/>
      <c r="B322" s="0"/>
      <c r="C322" s="0"/>
      <c r="D322" s="0"/>
      <c r="E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</row>
    <row r="323" customFormat="false" ht="12.75" hidden="false" customHeight="false" outlineLevel="0" collapsed="false">
      <c r="A323" s="0"/>
      <c r="B323" s="0"/>
      <c r="C323" s="0"/>
      <c r="D323" s="0"/>
      <c r="E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</row>
    <row r="324" customFormat="false" ht="12.75" hidden="false" customHeight="false" outlineLevel="0" collapsed="false">
      <c r="A324" s="0"/>
      <c r="B324" s="0"/>
      <c r="C324" s="0"/>
      <c r="D324" s="0"/>
      <c r="E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</row>
    <row r="325" customFormat="false" ht="12.75" hidden="false" customHeight="false" outlineLevel="0" collapsed="false">
      <c r="A325" s="0"/>
      <c r="B325" s="0"/>
      <c r="C325" s="0"/>
      <c r="D325" s="0"/>
      <c r="E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</row>
    <row r="326" customFormat="false" ht="12.75" hidden="false" customHeight="false" outlineLevel="0" collapsed="false">
      <c r="A326" s="0"/>
      <c r="B326" s="0"/>
      <c r="C326" s="0"/>
      <c r="D326" s="0"/>
      <c r="E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</row>
    <row r="327" customFormat="false" ht="12.75" hidden="false" customHeight="false" outlineLevel="0" collapsed="false">
      <c r="A327" s="0"/>
      <c r="B327" s="0"/>
      <c r="C327" s="0"/>
      <c r="D327" s="0"/>
      <c r="E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</row>
    <row r="328" customFormat="false" ht="12.75" hidden="false" customHeight="false" outlineLevel="0" collapsed="false">
      <c r="A328" s="0"/>
      <c r="B328" s="0"/>
      <c r="C328" s="0"/>
      <c r="D328" s="0"/>
      <c r="E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</row>
    <row r="329" customFormat="false" ht="12.75" hidden="false" customHeight="false" outlineLevel="0" collapsed="false">
      <c r="A329" s="0"/>
      <c r="B329" s="0"/>
      <c r="C329" s="0"/>
      <c r="D329" s="0"/>
      <c r="E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</row>
    <row r="330" customFormat="false" ht="12.75" hidden="false" customHeight="false" outlineLevel="0" collapsed="false">
      <c r="A330" s="0"/>
      <c r="B330" s="0"/>
      <c r="C330" s="0"/>
      <c r="D330" s="0"/>
      <c r="E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</row>
    <row r="331" customFormat="false" ht="12.75" hidden="false" customHeight="false" outlineLevel="0" collapsed="false">
      <c r="A331" s="0"/>
      <c r="B331" s="0"/>
      <c r="C331" s="0"/>
      <c r="D331" s="0"/>
      <c r="E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</row>
    <row r="332" customFormat="false" ht="12.75" hidden="false" customHeight="false" outlineLevel="0" collapsed="false">
      <c r="A332" s="0"/>
      <c r="B332" s="0"/>
      <c r="C332" s="0"/>
      <c r="D332" s="0"/>
      <c r="E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</row>
    <row r="333" customFormat="false" ht="12.75" hidden="false" customHeight="false" outlineLevel="0" collapsed="false">
      <c r="A333" s="0"/>
      <c r="B333" s="0"/>
      <c r="C333" s="0"/>
      <c r="D333" s="0"/>
      <c r="E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</row>
    <row r="334" customFormat="false" ht="12.75" hidden="false" customHeight="false" outlineLevel="0" collapsed="false">
      <c r="A334" s="0"/>
      <c r="B334" s="0"/>
      <c r="C334" s="0"/>
      <c r="D334" s="0"/>
      <c r="E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</row>
    <row r="335" customFormat="false" ht="12.75" hidden="false" customHeight="false" outlineLevel="0" collapsed="false">
      <c r="A335" s="0"/>
      <c r="B335" s="0"/>
      <c r="C335" s="0"/>
      <c r="D335" s="0"/>
      <c r="E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</row>
    <row r="336" customFormat="false" ht="12.75" hidden="false" customHeight="false" outlineLevel="0" collapsed="false">
      <c r="A336" s="0"/>
      <c r="B336" s="0"/>
      <c r="C336" s="0"/>
      <c r="D336" s="0"/>
      <c r="E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</row>
    <row r="337" customFormat="false" ht="12.75" hidden="false" customHeight="false" outlineLevel="0" collapsed="false">
      <c r="A337" s="0"/>
      <c r="B337" s="0"/>
      <c r="C337" s="0"/>
      <c r="D337" s="0"/>
      <c r="E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</row>
    <row r="338" customFormat="false" ht="12.75" hidden="false" customHeight="false" outlineLevel="0" collapsed="false">
      <c r="A338" s="0"/>
      <c r="B338" s="0"/>
      <c r="C338" s="0"/>
      <c r="D338" s="0"/>
      <c r="E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</row>
    <row r="339" customFormat="false" ht="12.75" hidden="false" customHeight="false" outlineLevel="0" collapsed="false">
      <c r="A339" s="0"/>
      <c r="B339" s="0"/>
      <c r="C339" s="0"/>
      <c r="D339" s="0"/>
      <c r="E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</row>
    <row r="340" customFormat="false" ht="12.75" hidden="false" customHeight="false" outlineLevel="0" collapsed="false">
      <c r="A340" s="0"/>
      <c r="B340" s="0"/>
      <c r="C340" s="0"/>
      <c r="D340" s="0"/>
      <c r="E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</row>
    <row r="341" customFormat="false" ht="12.75" hidden="false" customHeight="false" outlineLevel="0" collapsed="false">
      <c r="A341" s="0"/>
      <c r="B341" s="0"/>
      <c r="C341" s="0"/>
      <c r="D341" s="0"/>
      <c r="E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</row>
    <row r="342" customFormat="false" ht="12.75" hidden="false" customHeight="false" outlineLevel="0" collapsed="false">
      <c r="A342" s="0"/>
      <c r="B342" s="0"/>
      <c r="C342" s="0"/>
      <c r="D342" s="0"/>
      <c r="E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</row>
    <row r="343" customFormat="false" ht="12.75" hidden="false" customHeight="false" outlineLevel="0" collapsed="false">
      <c r="A343" s="0"/>
      <c r="B343" s="0"/>
      <c r="C343" s="0"/>
      <c r="D343" s="0"/>
      <c r="E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</row>
    <row r="344" customFormat="false" ht="12.75" hidden="false" customHeight="false" outlineLevel="0" collapsed="false">
      <c r="A344" s="0"/>
      <c r="B344" s="0"/>
      <c r="C344" s="0"/>
      <c r="D344" s="0"/>
      <c r="E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</row>
    <row r="345" customFormat="false" ht="12.75" hidden="false" customHeight="false" outlineLevel="0" collapsed="false">
      <c r="A345" s="0"/>
      <c r="B345" s="0"/>
      <c r="C345" s="0"/>
      <c r="D345" s="0"/>
      <c r="E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</row>
    <row r="346" customFormat="false" ht="12.75" hidden="false" customHeight="false" outlineLevel="0" collapsed="false">
      <c r="A346" s="0"/>
      <c r="B346" s="0"/>
      <c r="C346" s="0"/>
      <c r="D346" s="0"/>
      <c r="E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</row>
    <row r="347" customFormat="false" ht="12.75" hidden="false" customHeight="false" outlineLevel="0" collapsed="false">
      <c r="A347" s="0"/>
      <c r="B347" s="0"/>
      <c r="C347" s="0"/>
      <c r="D347" s="0"/>
      <c r="E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</row>
    <row r="348" customFormat="false" ht="12.75" hidden="false" customHeight="false" outlineLevel="0" collapsed="false">
      <c r="A348" s="0"/>
      <c r="B348" s="0"/>
      <c r="C348" s="0"/>
      <c r="D348" s="0"/>
      <c r="E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</row>
    <row r="349" customFormat="false" ht="12.75" hidden="false" customHeight="false" outlineLevel="0" collapsed="false">
      <c r="A349" s="0"/>
      <c r="B349" s="0"/>
      <c r="C349" s="0"/>
      <c r="D349" s="0"/>
      <c r="E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</row>
    <row r="350" customFormat="false" ht="12.75" hidden="false" customHeight="false" outlineLevel="0" collapsed="false">
      <c r="A350" s="0"/>
      <c r="B350" s="0"/>
      <c r="C350" s="0"/>
      <c r="D350" s="0"/>
      <c r="E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</row>
    <row r="351" customFormat="false" ht="12.75" hidden="false" customHeight="false" outlineLevel="0" collapsed="false">
      <c r="A351" s="0"/>
      <c r="B351" s="0"/>
      <c r="C351" s="0"/>
      <c r="D351" s="0"/>
      <c r="E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</row>
    <row r="352" customFormat="false" ht="12.75" hidden="false" customHeight="false" outlineLevel="0" collapsed="false">
      <c r="A352" s="0"/>
      <c r="B352" s="0"/>
      <c r="C352" s="0"/>
      <c r="D352" s="0"/>
      <c r="E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</row>
    <row r="353" customFormat="false" ht="12.75" hidden="false" customHeight="false" outlineLevel="0" collapsed="false">
      <c r="A353" s="0"/>
      <c r="B353" s="0"/>
      <c r="C353" s="0"/>
      <c r="D353" s="0"/>
      <c r="E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</row>
    <row r="354" customFormat="false" ht="12.75" hidden="false" customHeight="false" outlineLevel="0" collapsed="false">
      <c r="A354" s="0"/>
      <c r="B354" s="0"/>
      <c r="C354" s="0"/>
      <c r="D354" s="0"/>
      <c r="E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</row>
    <row r="355" customFormat="false" ht="12.75" hidden="false" customHeight="false" outlineLevel="0" collapsed="false">
      <c r="A355" s="0"/>
      <c r="B355" s="0"/>
      <c r="C355" s="0"/>
      <c r="D355" s="0"/>
      <c r="E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</row>
    <row r="356" customFormat="false" ht="12.75" hidden="false" customHeight="false" outlineLevel="0" collapsed="false">
      <c r="A356" s="0"/>
      <c r="B356" s="0"/>
      <c r="C356" s="0"/>
      <c r="D356" s="0"/>
      <c r="E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</row>
    <row r="357" customFormat="false" ht="12.75" hidden="false" customHeight="false" outlineLevel="0" collapsed="false">
      <c r="A357" s="0"/>
      <c r="B357" s="0"/>
      <c r="C357" s="0"/>
      <c r="D357" s="0"/>
      <c r="E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</row>
    <row r="358" customFormat="false" ht="12.75" hidden="false" customHeight="false" outlineLevel="0" collapsed="false">
      <c r="A358" s="0"/>
      <c r="B358" s="0"/>
      <c r="C358" s="0"/>
      <c r="D358" s="0"/>
      <c r="E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</row>
    <row r="359" customFormat="false" ht="12.75" hidden="false" customHeight="false" outlineLevel="0" collapsed="false">
      <c r="A359" s="0"/>
      <c r="B359" s="0"/>
      <c r="C359" s="0"/>
      <c r="D359" s="0"/>
      <c r="E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</row>
    <row r="360" customFormat="false" ht="12.75" hidden="false" customHeight="false" outlineLevel="0" collapsed="false">
      <c r="A360" s="0"/>
      <c r="B360" s="0"/>
      <c r="C360" s="0"/>
      <c r="D360" s="0"/>
      <c r="E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</row>
    <row r="361" customFormat="false" ht="12.75" hidden="false" customHeight="false" outlineLevel="0" collapsed="false">
      <c r="A361" s="0"/>
      <c r="B361" s="0"/>
      <c r="C361" s="0"/>
      <c r="D361" s="0"/>
      <c r="E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</row>
    <row r="362" customFormat="false" ht="12.75" hidden="false" customHeight="false" outlineLevel="0" collapsed="false">
      <c r="A362" s="0"/>
      <c r="B362" s="0"/>
      <c r="C362" s="0"/>
      <c r="D362" s="0"/>
      <c r="E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</row>
    <row r="363" customFormat="false" ht="12.75" hidden="false" customHeight="false" outlineLevel="0" collapsed="false">
      <c r="A363" s="0"/>
      <c r="B363" s="0"/>
      <c r="C363" s="0"/>
      <c r="D363" s="0"/>
      <c r="E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</row>
    <row r="364" customFormat="false" ht="12.75" hidden="false" customHeight="false" outlineLevel="0" collapsed="false">
      <c r="A364" s="0"/>
      <c r="B364" s="0"/>
      <c r="C364" s="0"/>
      <c r="D364" s="0"/>
      <c r="E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</row>
    <row r="365" customFormat="false" ht="12.75" hidden="false" customHeight="false" outlineLevel="0" collapsed="false">
      <c r="A365" s="0"/>
      <c r="B365" s="0"/>
      <c r="C365" s="0"/>
      <c r="D365" s="0"/>
      <c r="E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</row>
    <row r="366" customFormat="false" ht="12.75" hidden="false" customHeight="false" outlineLevel="0" collapsed="false">
      <c r="A366" s="0"/>
      <c r="B366" s="0"/>
      <c r="C366" s="0"/>
      <c r="D366" s="0"/>
      <c r="E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</row>
    <row r="367" customFormat="false" ht="12.75" hidden="false" customHeight="false" outlineLevel="0" collapsed="false">
      <c r="A367" s="0"/>
      <c r="B367" s="0"/>
      <c r="C367" s="0"/>
      <c r="D367" s="0"/>
      <c r="E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</row>
    <row r="368" customFormat="false" ht="12.75" hidden="false" customHeight="false" outlineLevel="0" collapsed="false">
      <c r="A368" s="0"/>
      <c r="B368" s="0"/>
      <c r="C368" s="0"/>
      <c r="D368" s="0"/>
      <c r="E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</row>
    <row r="369" customFormat="false" ht="12.75" hidden="false" customHeight="false" outlineLevel="0" collapsed="false">
      <c r="A369" s="0"/>
      <c r="B369" s="0"/>
      <c r="C369" s="0"/>
      <c r="D369" s="0"/>
      <c r="E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</row>
    <row r="370" customFormat="false" ht="12.75" hidden="false" customHeight="false" outlineLevel="0" collapsed="false">
      <c r="A370" s="0"/>
      <c r="B370" s="0"/>
      <c r="C370" s="0"/>
      <c r="D370" s="0"/>
      <c r="E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</row>
    <row r="371" customFormat="false" ht="12.75" hidden="false" customHeight="false" outlineLevel="0" collapsed="false">
      <c r="A371" s="0"/>
      <c r="B371" s="0"/>
      <c r="C371" s="0"/>
      <c r="D371" s="0"/>
      <c r="E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</row>
    <row r="372" customFormat="false" ht="12.75" hidden="false" customHeight="false" outlineLevel="0" collapsed="false">
      <c r="A372" s="0"/>
      <c r="B372" s="0"/>
      <c r="C372" s="0"/>
      <c r="D372" s="0"/>
      <c r="E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</row>
    <row r="373" customFormat="false" ht="12.75" hidden="false" customHeight="false" outlineLevel="0" collapsed="false">
      <c r="A373" s="0"/>
      <c r="B373" s="0"/>
      <c r="C373" s="0"/>
      <c r="D373" s="0"/>
      <c r="E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</row>
    <row r="374" customFormat="false" ht="12.75" hidden="false" customHeight="false" outlineLevel="0" collapsed="false">
      <c r="A374" s="0"/>
      <c r="B374" s="0"/>
      <c r="C374" s="0"/>
      <c r="D374" s="0"/>
      <c r="E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</row>
    <row r="375" customFormat="false" ht="12.75" hidden="false" customHeight="false" outlineLevel="0" collapsed="false">
      <c r="A375" s="0"/>
      <c r="B375" s="0"/>
      <c r="C375" s="0"/>
      <c r="D375" s="0"/>
      <c r="E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</row>
    <row r="376" customFormat="false" ht="12.75" hidden="false" customHeight="false" outlineLevel="0" collapsed="false">
      <c r="A376" s="0"/>
      <c r="B376" s="0"/>
      <c r="C376" s="0"/>
      <c r="D376" s="0"/>
      <c r="E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</row>
    <row r="377" customFormat="false" ht="12.75" hidden="false" customHeight="false" outlineLevel="0" collapsed="false">
      <c r="A377" s="0"/>
      <c r="B377" s="0"/>
      <c r="C377" s="0"/>
      <c r="D377" s="0"/>
      <c r="E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</row>
    <row r="378" customFormat="false" ht="12.75" hidden="false" customHeight="false" outlineLevel="0" collapsed="false">
      <c r="A378" s="0"/>
      <c r="B378" s="0"/>
      <c r="C378" s="0"/>
      <c r="D378" s="0"/>
      <c r="E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</row>
    <row r="379" customFormat="false" ht="12.75" hidden="false" customHeight="false" outlineLevel="0" collapsed="false">
      <c r="A379" s="0"/>
      <c r="B379" s="0"/>
      <c r="C379" s="0"/>
      <c r="D379" s="0"/>
      <c r="E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</row>
    <row r="380" customFormat="false" ht="12.75" hidden="false" customHeight="false" outlineLevel="0" collapsed="false">
      <c r="A380" s="0"/>
      <c r="B380" s="0"/>
      <c r="C380" s="0"/>
      <c r="D380" s="0"/>
      <c r="E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</row>
    <row r="381" customFormat="false" ht="12.75" hidden="false" customHeight="false" outlineLevel="0" collapsed="false">
      <c r="A381" s="0"/>
      <c r="B381" s="0"/>
      <c r="C381" s="0"/>
      <c r="D381" s="0"/>
      <c r="E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</row>
    <row r="382" customFormat="false" ht="12.75" hidden="false" customHeight="false" outlineLevel="0" collapsed="false">
      <c r="A382" s="0"/>
      <c r="B382" s="0"/>
      <c r="C382" s="0"/>
      <c r="D382" s="0"/>
      <c r="E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</row>
    <row r="383" customFormat="false" ht="12.75" hidden="false" customHeight="false" outlineLevel="0" collapsed="false">
      <c r="A383" s="0"/>
      <c r="B383" s="0"/>
      <c r="C383" s="0"/>
      <c r="D383" s="0"/>
      <c r="E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</row>
    <row r="384" customFormat="false" ht="12.75" hidden="false" customHeight="false" outlineLevel="0" collapsed="false">
      <c r="A384" s="0"/>
      <c r="B384" s="0"/>
      <c r="C384" s="0"/>
      <c r="D384" s="0"/>
      <c r="E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</row>
    <row r="385" customFormat="false" ht="12.75" hidden="false" customHeight="false" outlineLevel="0" collapsed="false">
      <c r="A385" s="0"/>
      <c r="B385" s="0"/>
      <c r="C385" s="0"/>
      <c r="D385" s="0"/>
      <c r="E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</row>
    <row r="386" customFormat="false" ht="12.75" hidden="false" customHeight="false" outlineLevel="0" collapsed="false">
      <c r="A386" s="0"/>
      <c r="B386" s="0"/>
      <c r="C386" s="0"/>
      <c r="D386" s="0"/>
      <c r="E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</row>
    <row r="387" customFormat="false" ht="12.75" hidden="false" customHeight="false" outlineLevel="0" collapsed="false">
      <c r="A387" s="0"/>
      <c r="B387" s="0"/>
      <c r="C387" s="0"/>
      <c r="D387" s="0"/>
      <c r="E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</row>
    <row r="388" customFormat="false" ht="12.75" hidden="false" customHeight="false" outlineLevel="0" collapsed="false">
      <c r="A388" s="0"/>
      <c r="B388" s="0"/>
      <c r="C388" s="0"/>
      <c r="D388" s="0"/>
      <c r="E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</row>
    <row r="389" customFormat="false" ht="12.75" hidden="false" customHeight="false" outlineLevel="0" collapsed="false">
      <c r="A389" s="0"/>
      <c r="B389" s="0"/>
      <c r="C389" s="0"/>
      <c r="D389" s="0"/>
      <c r="E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</row>
    <row r="390" customFormat="false" ht="12.75" hidden="false" customHeight="false" outlineLevel="0" collapsed="false">
      <c r="A390" s="0"/>
      <c r="B390" s="0"/>
      <c r="C390" s="0"/>
      <c r="D390" s="0"/>
      <c r="E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</row>
    <row r="391" customFormat="false" ht="12.75" hidden="false" customHeight="false" outlineLevel="0" collapsed="false">
      <c r="A391" s="0"/>
      <c r="B391" s="0"/>
      <c r="C391" s="0"/>
      <c r="D391" s="0"/>
      <c r="E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</row>
    <row r="392" customFormat="false" ht="12.75" hidden="false" customHeight="false" outlineLevel="0" collapsed="false">
      <c r="A392" s="0"/>
      <c r="B392" s="0"/>
      <c r="C392" s="0"/>
      <c r="D392" s="0"/>
      <c r="E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</row>
    <row r="393" customFormat="false" ht="12.75" hidden="false" customHeight="false" outlineLevel="0" collapsed="false">
      <c r="A393" s="0"/>
      <c r="B393" s="0"/>
      <c r="C393" s="0"/>
      <c r="D393" s="0"/>
      <c r="E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</row>
    <row r="394" customFormat="false" ht="12.75" hidden="false" customHeight="false" outlineLevel="0" collapsed="false">
      <c r="A394" s="0"/>
      <c r="B394" s="0"/>
      <c r="C394" s="0"/>
      <c r="D394" s="0"/>
      <c r="E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</row>
    <row r="395" customFormat="false" ht="12.75" hidden="false" customHeight="false" outlineLevel="0" collapsed="false">
      <c r="A395" s="0"/>
      <c r="B395" s="0"/>
      <c r="C395" s="0"/>
      <c r="D395" s="0"/>
      <c r="E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</row>
    <row r="396" customFormat="false" ht="12.75" hidden="false" customHeight="false" outlineLevel="0" collapsed="false">
      <c r="A396" s="0"/>
      <c r="B396" s="0"/>
      <c r="C396" s="0"/>
      <c r="D396" s="0"/>
      <c r="E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</row>
    <row r="397" customFormat="false" ht="12.75" hidden="false" customHeight="false" outlineLevel="0" collapsed="false">
      <c r="A397" s="0"/>
      <c r="B397" s="0"/>
      <c r="C397" s="0"/>
      <c r="D397" s="0"/>
      <c r="E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</row>
    <row r="398" customFormat="false" ht="12.75" hidden="false" customHeight="false" outlineLevel="0" collapsed="false">
      <c r="A398" s="0"/>
      <c r="B398" s="0"/>
      <c r="C398" s="0"/>
      <c r="D398" s="0"/>
      <c r="E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</row>
    <row r="399" customFormat="false" ht="12.75" hidden="false" customHeight="false" outlineLevel="0" collapsed="false">
      <c r="A399" s="0"/>
      <c r="B399" s="0"/>
      <c r="C399" s="0"/>
      <c r="D399" s="0"/>
      <c r="E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</row>
    <row r="400" customFormat="false" ht="12.75" hidden="false" customHeight="false" outlineLevel="0" collapsed="false">
      <c r="A400" s="0"/>
      <c r="B400" s="0"/>
      <c r="C400" s="0"/>
      <c r="D400" s="0"/>
      <c r="E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</row>
    <row r="401" customFormat="false" ht="12.75" hidden="false" customHeight="false" outlineLevel="0" collapsed="false">
      <c r="A401" s="0"/>
      <c r="B401" s="0"/>
      <c r="C401" s="0"/>
      <c r="D401" s="0"/>
      <c r="E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</row>
    <row r="402" customFormat="false" ht="12.75" hidden="false" customHeight="false" outlineLevel="0" collapsed="false">
      <c r="A402" s="0"/>
      <c r="B402" s="0"/>
      <c r="C402" s="0"/>
      <c r="D402" s="0"/>
      <c r="E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</row>
    <row r="403" customFormat="false" ht="12.75" hidden="false" customHeight="false" outlineLevel="0" collapsed="false">
      <c r="A403" s="0"/>
      <c r="B403" s="0"/>
      <c r="C403" s="0"/>
      <c r="D403" s="0"/>
      <c r="E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</row>
    <row r="404" customFormat="false" ht="12.75" hidden="false" customHeight="false" outlineLevel="0" collapsed="false">
      <c r="A404" s="0"/>
      <c r="B404" s="0"/>
      <c r="C404" s="0"/>
      <c r="D404" s="0"/>
      <c r="E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</row>
    <row r="405" customFormat="false" ht="12.75" hidden="false" customHeight="false" outlineLevel="0" collapsed="false">
      <c r="A405" s="0"/>
      <c r="B405" s="0"/>
      <c r="C405" s="0"/>
      <c r="D405" s="0"/>
      <c r="E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</row>
    <row r="406" customFormat="false" ht="12.75" hidden="false" customHeight="false" outlineLevel="0" collapsed="false">
      <c r="A406" s="0"/>
      <c r="B406" s="0"/>
      <c r="C406" s="0"/>
      <c r="D406" s="0"/>
      <c r="E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</row>
    <row r="407" customFormat="false" ht="12.75" hidden="false" customHeight="false" outlineLevel="0" collapsed="false">
      <c r="A407" s="0"/>
      <c r="B407" s="0"/>
      <c r="C407" s="0"/>
      <c r="D407" s="0"/>
      <c r="E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</row>
    <row r="408" customFormat="false" ht="12.75" hidden="false" customHeight="false" outlineLevel="0" collapsed="false">
      <c r="A408" s="0"/>
      <c r="B408" s="0"/>
      <c r="C408" s="0"/>
      <c r="D408" s="0"/>
      <c r="E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</row>
    <row r="409" customFormat="false" ht="12.75" hidden="false" customHeight="false" outlineLevel="0" collapsed="false">
      <c r="A409" s="0"/>
      <c r="B409" s="0"/>
      <c r="C409" s="0"/>
      <c r="D409" s="0"/>
      <c r="E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</row>
    <row r="410" customFormat="false" ht="12.75" hidden="false" customHeight="false" outlineLevel="0" collapsed="false">
      <c r="A410" s="0"/>
      <c r="B410" s="0"/>
      <c r="C410" s="0"/>
      <c r="D410" s="0"/>
      <c r="E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</row>
    <row r="411" customFormat="false" ht="12.75" hidden="false" customHeight="false" outlineLevel="0" collapsed="false">
      <c r="A411" s="0"/>
      <c r="B411" s="0"/>
      <c r="C411" s="0"/>
      <c r="D411" s="0"/>
      <c r="E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</row>
    <row r="412" customFormat="false" ht="12.75" hidden="false" customHeight="false" outlineLevel="0" collapsed="false">
      <c r="A412" s="0"/>
      <c r="B412" s="0"/>
      <c r="C412" s="0"/>
      <c r="D412" s="0"/>
      <c r="E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</row>
    <row r="413" customFormat="false" ht="12.75" hidden="false" customHeight="false" outlineLevel="0" collapsed="false">
      <c r="A413" s="0"/>
      <c r="B413" s="0"/>
      <c r="C413" s="0"/>
      <c r="D413" s="0"/>
      <c r="E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</row>
    <row r="414" customFormat="false" ht="12.75" hidden="false" customHeight="false" outlineLevel="0" collapsed="false">
      <c r="A414" s="0"/>
      <c r="B414" s="0"/>
      <c r="C414" s="0"/>
      <c r="D414" s="0"/>
      <c r="E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</row>
    <row r="415" customFormat="false" ht="12.75" hidden="false" customHeight="false" outlineLevel="0" collapsed="false">
      <c r="A415" s="0"/>
      <c r="B415" s="0"/>
      <c r="C415" s="0"/>
      <c r="D415" s="0"/>
      <c r="E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</row>
    <row r="416" customFormat="false" ht="12.75" hidden="false" customHeight="false" outlineLevel="0" collapsed="false">
      <c r="A416" s="0"/>
      <c r="B416" s="0"/>
      <c r="C416" s="0"/>
      <c r="D416" s="0"/>
      <c r="E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</row>
    <row r="417" customFormat="false" ht="12.75" hidden="false" customHeight="false" outlineLevel="0" collapsed="false">
      <c r="A417" s="0"/>
      <c r="B417" s="0"/>
      <c r="C417" s="0"/>
      <c r="D417" s="0"/>
      <c r="E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</row>
    <row r="418" customFormat="false" ht="12.75" hidden="false" customHeight="false" outlineLevel="0" collapsed="false">
      <c r="A418" s="0"/>
      <c r="B418" s="0"/>
      <c r="C418" s="0"/>
      <c r="D418" s="0"/>
      <c r="E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</row>
    <row r="419" customFormat="false" ht="12.75" hidden="false" customHeight="false" outlineLevel="0" collapsed="false">
      <c r="A419" s="0"/>
      <c r="B419" s="0"/>
      <c r="C419" s="0"/>
      <c r="D419" s="0"/>
      <c r="E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</row>
    <row r="420" customFormat="false" ht="12.75" hidden="false" customHeight="false" outlineLevel="0" collapsed="false">
      <c r="A420" s="0"/>
      <c r="B420" s="0"/>
      <c r="C420" s="0"/>
      <c r="D420" s="0"/>
      <c r="E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</row>
    <row r="421" customFormat="false" ht="12.75" hidden="false" customHeight="false" outlineLevel="0" collapsed="false">
      <c r="A421" s="0"/>
      <c r="B421" s="0"/>
      <c r="C421" s="0"/>
      <c r="D421" s="0"/>
      <c r="E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</row>
    <row r="422" customFormat="false" ht="12.75" hidden="false" customHeight="false" outlineLevel="0" collapsed="false">
      <c r="A422" s="0"/>
      <c r="B422" s="0"/>
      <c r="C422" s="0"/>
      <c r="D422" s="0"/>
      <c r="E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</row>
    <row r="423" customFormat="false" ht="12.75" hidden="false" customHeight="false" outlineLevel="0" collapsed="false">
      <c r="A423" s="0"/>
      <c r="B423" s="0"/>
      <c r="C423" s="0"/>
      <c r="D423" s="0"/>
      <c r="E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</row>
    <row r="424" customFormat="false" ht="12.75" hidden="false" customHeight="false" outlineLevel="0" collapsed="false">
      <c r="A424" s="0"/>
      <c r="B424" s="0"/>
      <c r="C424" s="0"/>
      <c r="D424" s="0"/>
      <c r="E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</row>
    <row r="425" customFormat="false" ht="12.75" hidden="false" customHeight="false" outlineLevel="0" collapsed="false">
      <c r="A425" s="0"/>
      <c r="B425" s="0"/>
      <c r="C425" s="0"/>
      <c r="D425" s="0"/>
      <c r="E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</row>
    <row r="426" customFormat="false" ht="12.75" hidden="false" customHeight="false" outlineLevel="0" collapsed="false">
      <c r="A426" s="0"/>
      <c r="B426" s="0"/>
      <c r="C426" s="0"/>
      <c r="D426" s="0"/>
      <c r="E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</row>
    <row r="427" customFormat="false" ht="12.75" hidden="false" customHeight="false" outlineLevel="0" collapsed="false">
      <c r="A427" s="0"/>
      <c r="B427" s="0"/>
      <c r="C427" s="0"/>
      <c r="D427" s="0"/>
      <c r="E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</row>
    <row r="428" customFormat="false" ht="12.75" hidden="false" customHeight="false" outlineLevel="0" collapsed="false">
      <c r="A428" s="0"/>
      <c r="B428" s="0"/>
      <c r="C428" s="0"/>
      <c r="D428" s="0"/>
      <c r="E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</row>
    <row r="429" customFormat="false" ht="12.75" hidden="false" customHeight="false" outlineLevel="0" collapsed="false">
      <c r="A429" s="0"/>
      <c r="B429" s="0"/>
      <c r="C429" s="0"/>
      <c r="D429" s="0"/>
      <c r="E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</row>
    <row r="430" customFormat="false" ht="12.75" hidden="false" customHeight="false" outlineLevel="0" collapsed="false">
      <c r="A430" s="0"/>
      <c r="B430" s="0"/>
      <c r="C430" s="0"/>
      <c r="D430" s="0"/>
      <c r="E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</row>
    <row r="431" customFormat="false" ht="12.75" hidden="false" customHeight="false" outlineLevel="0" collapsed="false">
      <c r="A431" s="0"/>
      <c r="B431" s="0"/>
      <c r="C431" s="0"/>
      <c r="D431" s="0"/>
      <c r="E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</row>
    <row r="432" customFormat="false" ht="12.75" hidden="false" customHeight="false" outlineLevel="0" collapsed="false">
      <c r="A432" s="0"/>
      <c r="B432" s="0"/>
      <c r="C432" s="0"/>
      <c r="D432" s="0"/>
      <c r="E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</row>
    <row r="433" customFormat="false" ht="12.75" hidden="false" customHeight="false" outlineLevel="0" collapsed="false">
      <c r="A433" s="0"/>
      <c r="B433" s="0"/>
      <c r="C433" s="0"/>
      <c r="D433" s="0"/>
      <c r="E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</row>
    <row r="434" customFormat="false" ht="12.75" hidden="false" customHeight="false" outlineLevel="0" collapsed="false">
      <c r="A434" s="0"/>
      <c r="B434" s="0"/>
      <c r="C434" s="0"/>
      <c r="D434" s="0"/>
      <c r="E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</row>
    <row r="435" customFormat="false" ht="12.75" hidden="false" customHeight="false" outlineLevel="0" collapsed="false">
      <c r="A435" s="0"/>
      <c r="B435" s="0"/>
      <c r="C435" s="0"/>
      <c r="D435" s="0"/>
      <c r="E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</row>
    <row r="436" customFormat="false" ht="12.75" hidden="false" customHeight="false" outlineLevel="0" collapsed="false">
      <c r="A436" s="0"/>
      <c r="B436" s="0"/>
      <c r="C436" s="0"/>
      <c r="D436" s="0"/>
      <c r="E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</row>
    <row r="437" customFormat="false" ht="12.75" hidden="false" customHeight="false" outlineLevel="0" collapsed="false">
      <c r="A437" s="0"/>
      <c r="B437" s="0"/>
      <c r="C437" s="0"/>
      <c r="D437" s="0"/>
      <c r="E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</row>
    <row r="438" customFormat="false" ht="12.75" hidden="false" customHeight="false" outlineLevel="0" collapsed="false">
      <c r="A438" s="0"/>
      <c r="B438" s="0"/>
      <c r="C438" s="0"/>
      <c r="D438" s="0"/>
      <c r="E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</row>
    <row r="439" customFormat="false" ht="12.75" hidden="false" customHeight="false" outlineLevel="0" collapsed="false">
      <c r="A439" s="0"/>
      <c r="B439" s="0"/>
      <c r="C439" s="0"/>
      <c r="D439" s="0"/>
      <c r="E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</row>
    <row r="440" customFormat="false" ht="12.75" hidden="false" customHeight="false" outlineLevel="0" collapsed="false">
      <c r="A440" s="0"/>
      <c r="B440" s="0"/>
      <c r="C440" s="0"/>
      <c r="D440" s="0"/>
      <c r="E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</row>
    <row r="441" customFormat="false" ht="12.75" hidden="false" customHeight="false" outlineLevel="0" collapsed="false">
      <c r="A441" s="0"/>
      <c r="B441" s="0"/>
      <c r="C441" s="0"/>
      <c r="D441" s="0"/>
      <c r="E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</row>
    <row r="442" customFormat="false" ht="12.75" hidden="false" customHeight="false" outlineLevel="0" collapsed="false">
      <c r="A442" s="0"/>
      <c r="B442" s="0"/>
      <c r="C442" s="0"/>
      <c r="D442" s="0"/>
      <c r="E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</row>
    <row r="443" customFormat="false" ht="12.75" hidden="false" customHeight="false" outlineLevel="0" collapsed="false">
      <c r="A443" s="0"/>
      <c r="B443" s="0"/>
      <c r="C443" s="0"/>
      <c r="D443" s="0"/>
      <c r="E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</row>
    <row r="444" customFormat="false" ht="12.75" hidden="false" customHeight="false" outlineLevel="0" collapsed="false">
      <c r="A444" s="0"/>
      <c r="B444" s="0"/>
      <c r="C444" s="0"/>
      <c r="D444" s="0"/>
      <c r="E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</row>
    <row r="445" customFormat="false" ht="12.75" hidden="false" customHeight="false" outlineLevel="0" collapsed="false">
      <c r="A445" s="0"/>
      <c r="B445" s="0"/>
      <c r="C445" s="0"/>
      <c r="D445" s="0"/>
      <c r="E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</row>
    <row r="446" customFormat="false" ht="12.75" hidden="false" customHeight="false" outlineLevel="0" collapsed="false">
      <c r="A446" s="0"/>
      <c r="B446" s="0"/>
      <c r="C446" s="0"/>
      <c r="D446" s="0"/>
      <c r="E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</row>
    <row r="447" customFormat="false" ht="12.75" hidden="false" customHeight="false" outlineLevel="0" collapsed="false">
      <c r="A447" s="0"/>
      <c r="B447" s="0"/>
      <c r="C447" s="0"/>
      <c r="D447" s="0"/>
      <c r="E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</row>
    <row r="448" customFormat="false" ht="12.75" hidden="false" customHeight="false" outlineLevel="0" collapsed="false">
      <c r="A448" s="0"/>
      <c r="B448" s="0"/>
      <c r="C448" s="0"/>
      <c r="D448" s="0"/>
      <c r="E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</row>
    <row r="449" customFormat="false" ht="12.75" hidden="false" customHeight="false" outlineLevel="0" collapsed="false">
      <c r="A449" s="0"/>
      <c r="B449" s="0"/>
      <c r="C449" s="0"/>
      <c r="D449" s="0"/>
      <c r="E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</row>
    <row r="450" customFormat="false" ht="12.75" hidden="false" customHeight="false" outlineLevel="0" collapsed="false">
      <c r="A450" s="0"/>
      <c r="B450" s="0"/>
      <c r="C450" s="0"/>
      <c r="D450" s="0"/>
      <c r="E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</row>
    <row r="451" customFormat="false" ht="12.75" hidden="false" customHeight="false" outlineLevel="0" collapsed="false">
      <c r="A451" s="0"/>
      <c r="B451" s="0"/>
      <c r="C451" s="0"/>
      <c r="D451" s="0"/>
      <c r="E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</row>
    <row r="452" customFormat="false" ht="12.75" hidden="false" customHeight="false" outlineLevel="0" collapsed="false">
      <c r="A452" s="0"/>
      <c r="B452" s="0"/>
      <c r="C452" s="0"/>
      <c r="D452" s="0"/>
      <c r="E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</row>
    <row r="453" customFormat="false" ht="12.75" hidden="false" customHeight="false" outlineLevel="0" collapsed="false">
      <c r="A453" s="0"/>
      <c r="B453" s="0"/>
      <c r="C453" s="0"/>
      <c r="D453" s="0"/>
      <c r="E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</row>
    <row r="454" customFormat="false" ht="12.75" hidden="false" customHeight="false" outlineLevel="0" collapsed="false">
      <c r="A454" s="0"/>
      <c r="B454" s="0"/>
      <c r="C454" s="0"/>
      <c r="D454" s="0"/>
      <c r="E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</row>
    <row r="455" customFormat="false" ht="12.75" hidden="false" customHeight="false" outlineLevel="0" collapsed="false">
      <c r="A455" s="0"/>
      <c r="B455" s="0"/>
      <c r="C455" s="0"/>
      <c r="D455" s="0"/>
      <c r="E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</row>
    <row r="456" customFormat="false" ht="12.75" hidden="false" customHeight="false" outlineLevel="0" collapsed="false">
      <c r="A456" s="0"/>
      <c r="B456" s="0"/>
      <c r="C456" s="0"/>
      <c r="D456" s="0"/>
      <c r="E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</row>
    <row r="457" customFormat="false" ht="12.75" hidden="false" customHeight="false" outlineLevel="0" collapsed="false">
      <c r="A457" s="0"/>
      <c r="B457" s="0"/>
      <c r="C457" s="0"/>
      <c r="D457" s="0"/>
      <c r="E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</row>
    <row r="458" customFormat="false" ht="12.75" hidden="false" customHeight="false" outlineLevel="0" collapsed="false">
      <c r="A458" s="0"/>
      <c r="B458" s="0"/>
      <c r="C458" s="0"/>
      <c r="D458" s="0"/>
      <c r="E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</row>
    <row r="459" customFormat="false" ht="12.75" hidden="false" customHeight="false" outlineLevel="0" collapsed="false">
      <c r="A459" s="0"/>
      <c r="B459" s="0"/>
      <c r="C459" s="0"/>
      <c r="D459" s="0"/>
      <c r="E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</row>
    <row r="460" customFormat="false" ht="12.75" hidden="false" customHeight="false" outlineLevel="0" collapsed="false">
      <c r="A460" s="0"/>
      <c r="B460" s="0"/>
      <c r="C460" s="0"/>
      <c r="D460" s="0"/>
      <c r="E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</row>
    <row r="461" customFormat="false" ht="12.75" hidden="false" customHeight="false" outlineLevel="0" collapsed="false">
      <c r="A461" s="0"/>
      <c r="B461" s="0"/>
      <c r="C461" s="0"/>
      <c r="D461" s="0"/>
      <c r="E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</row>
    <row r="462" customFormat="false" ht="12.75" hidden="false" customHeight="false" outlineLevel="0" collapsed="false">
      <c r="A462" s="0"/>
      <c r="B462" s="0"/>
      <c r="C462" s="0"/>
      <c r="D462" s="0"/>
      <c r="E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</row>
    <row r="463" customFormat="false" ht="12.75" hidden="false" customHeight="false" outlineLevel="0" collapsed="false">
      <c r="A463" s="0"/>
      <c r="B463" s="0"/>
      <c r="C463" s="0"/>
      <c r="D463" s="0"/>
      <c r="E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</row>
    <row r="464" customFormat="false" ht="12.75" hidden="false" customHeight="false" outlineLevel="0" collapsed="false">
      <c r="A464" s="0"/>
      <c r="B464" s="0"/>
      <c r="C464" s="0"/>
      <c r="D464" s="0"/>
      <c r="E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</row>
    <row r="465" customFormat="false" ht="12.75" hidden="false" customHeight="false" outlineLevel="0" collapsed="false">
      <c r="A465" s="0"/>
      <c r="B465" s="0"/>
      <c r="C465" s="0"/>
      <c r="D465" s="0"/>
      <c r="E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</row>
    <row r="466" customFormat="false" ht="12.75" hidden="false" customHeight="false" outlineLevel="0" collapsed="false">
      <c r="A466" s="0"/>
      <c r="B466" s="0"/>
      <c r="C466" s="0"/>
      <c r="D466" s="0"/>
      <c r="E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</row>
    <row r="467" customFormat="false" ht="12.75" hidden="false" customHeight="false" outlineLevel="0" collapsed="false">
      <c r="A467" s="0"/>
      <c r="B467" s="0"/>
      <c r="C467" s="0"/>
      <c r="D467" s="0"/>
      <c r="E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</row>
    <row r="468" customFormat="false" ht="12.75" hidden="false" customHeight="false" outlineLevel="0" collapsed="false">
      <c r="A468" s="0"/>
      <c r="B468" s="0"/>
      <c r="C468" s="0"/>
      <c r="D468" s="0"/>
      <c r="E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</row>
    <row r="469" customFormat="false" ht="12.75" hidden="false" customHeight="false" outlineLevel="0" collapsed="false">
      <c r="A469" s="0"/>
      <c r="B469" s="0"/>
      <c r="C469" s="0"/>
      <c r="D469" s="0"/>
      <c r="E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</row>
    <row r="470" customFormat="false" ht="12.75" hidden="false" customHeight="false" outlineLevel="0" collapsed="false">
      <c r="A470" s="0"/>
      <c r="B470" s="0"/>
      <c r="C470" s="0"/>
      <c r="D470" s="0"/>
      <c r="E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</row>
    <row r="471" customFormat="false" ht="12.75" hidden="false" customHeight="false" outlineLevel="0" collapsed="false">
      <c r="A471" s="0"/>
      <c r="B471" s="0"/>
      <c r="C471" s="0"/>
      <c r="D471" s="0"/>
      <c r="E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</row>
    <row r="472" customFormat="false" ht="12.75" hidden="false" customHeight="false" outlineLevel="0" collapsed="false">
      <c r="A472" s="0"/>
      <c r="B472" s="0"/>
      <c r="C472" s="0"/>
      <c r="D472" s="0"/>
      <c r="E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</row>
    <row r="473" customFormat="false" ht="12.75" hidden="false" customHeight="false" outlineLevel="0" collapsed="false">
      <c r="A473" s="0"/>
      <c r="B473" s="0"/>
      <c r="C473" s="0"/>
      <c r="D473" s="0"/>
      <c r="E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</row>
    <row r="474" customFormat="false" ht="12.75" hidden="false" customHeight="false" outlineLevel="0" collapsed="false">
      <c r="A474" s="0"/>
      <c r="B474" s="0"/>
      <c r="C474" s="0"/>
      <c r="D474" s="0"/>
      <c r="E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</row>
    <row r="475" customFormat="false" ht="12.75" hidden="false" customHeight="false" outlineLevel="0" collapsed="false">
      <c r="A475" s="0"/>
      <c r="B475" s="0"/>
      <c r="C475" s="0"/>
      <c r="D475" s="0"/>
      <c r="E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</row>
    <row r="476" customFormat="false" ht="12.75" hidden="false" customHeight="false" outlineLevel="0" collapsed="false">
      <c r="A476" s="0"/>
      <c r="B476" s="0"/>
      <c r="C476" s="0"/>
      <c r="D476" s="0"/>
      <c r="E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</row>
    <row r="477" customFormat="false" ht="12.75" hidden="false" customHeight="false" outlineLevel="0" collapsed="false">
      <c r="A477" s="0"/>
      <c r="B477" s="0"/>
      <c r="C477" s="0"/>
      <c r="D477" s="0"/>
      <c r="E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</row>
    <row r="478" customFormat="false" ht="12.75" hidden="false" customHeight="false" outlineLevel="0" collapsed="false">
      <c r="A478" s="0"/>
      <c r="B478" s="0"/>
      <c r="C478" s="0"/>
      <c r="D478" s="0"/>
      <c r="E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</row>
    <row r="479" customFormat="false" ht="12.75" hidden="false" customHeight="false" outlineLevel="0" collapsed="false">
      <c r="A479" s="0"/>
      <c r="B479" s="0"/>
      <c r="C479" s="0"/>
      <c r="D479" s="0"/>
      <c r="E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</row>
    <row r="480" customFormat="false" ht="12.75" hidden="false" customHeight="false" outlineLevel="0" collapsed="false">
      <c r="A480" s="0"/>
      <c r="B480" s="0"/>
      <c r="C480" s="0"/>
      <c r="D480" s="0"/>
      <c r="E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</row>
    <row r="481" customFormat="false" ht="12.75" hidden="false" customHeight="false" outlineLevel="0" collapsed="false">
      <c r="A481" s="0"/>
      <c r="B481" s="0"/>
      <c r="C481" s="0"/>
      <c r="D481" s="0"/>
      <c r="E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</row>
    <row r="482" customFormat="false" ht="12.75" hidden="false" customHeight="false" outlineLevel="0" collapsed="false">
      <c r="A482" s="0"/>
      <c r="B482" s="0"/>
      <c r="C482" s="0"/>
      <c r="D482" s="0"/>
      <c r="E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</row>
    <row r="483" customFormat="false" ht="12.75" hidden="false" customHeight="false" outlineLevel="0" collapsed="false">
      <c r="A483" s="0"/>
      <c r="B483" s="0"/>
      <c r="C483" s="0"/>
      <c r="D483" s="0"/>
      <c r="E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</row>
    <row r="484" customFormat="false" ht="12.75" hidden="false" customHeight="false" outlineLevel="0" collapsed="false">
      <c r="A484" s="0"/>
      <c r="B484" s="0"/>
      <c r="C484" s="0"/>
      <c r="D484" s="0"/>
      <c r="E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</row>
    <row r="485" customFormat="false" ht="12.75" hidden="false" customHeight="false" outlineLevel="0" collapsed="false">
      <c r="A485" s="0"/>
      <c r="B485" s="0"/>
      <c r="C485" s="0"/>
      <c r="D485" s="0"/>
      <c r="E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</row>
    <row r="486" customFormat="false" ht="12.75" hidden="false" customHeight="false" outlineLevel="0" collapsed="false">
      <c r="A486" s="0"/>
      <c r="B486" s="0"/>
      <c r="C486" s="0"/>
      <c r="D486" s="0"/>
      <c r="E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</row>
    <row r="487" customFormat="false" ht="12.75" hidden="false" customHeight="false" outlineLevel="0" collapsed="false">
      <c r="A487" s="0"/>
      <c r="B487" s="0"/>
      <c r="C487" s="0"/>
      <c r="D487" s="0"/>
      <c r="E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</row>
    <row r="488" customFormat="false" ht="12.75" hidden="false" customHeight="false" outlineLevel="0" collapsed="false">
      <c r="A488" s="0"/>
      <c r="B488" s="0"/>
      <c r="C488" s="0"/>
      <c r="D488" s="0"/>
      <c r="E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</row>
    <row r="489" customFormat="false" ht="12.75" hidden="false" customHeight="false" outlineLevel="0" collapsed="false">
      <c r="A489" s="0"/>
      <c r="B489" s="0"/>
      <c r="C489" s="0"/>
      <c r="D489" s="0"/>
      <c r="E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</row>
    <row r="490" customFormat="false" ht="12.75" hidden="false" customHeight="false" outlineLevel="0" collapsed="false">
      <c r="A490" s="0"/>
      <c r="B490" s="0"/>
      <c r="C490" s="0"/>
      <c r="D490" s="0"/>
      <c r="E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</row>
    <row r="491" customFormat="false" ht="12.75" hidden="false" customHeight="false" outlineLevel="0" collapsed="false">
      <c r="A491" s="0"/>
      <c r="B491" s="0"/>
      <c r="C491" s="0"/>
      <c r="D491" s="0"/>
      <c r="E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</row>
    <row r="492" customFormat="false" ht="12.75" hidden="false" customHeight="false" outlineLevel="0" collapsed="false">
      <c r="A492" s="0"/>
      <c r="B492" s="0"/>
      <c r="C492" s="0"/>
      <c r="D492" s="0"/>
      <c r="E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</row>
    <row r="493" customFormat="false" ht="12.75" hidden="false" customHeight="false" outlineLevel="0" collapsed="false">
      <c r="A493" s="0"/>
      <c r="B493" s="0"/>
      <c r="C493" s="0"/>
      <c r="D493" s="0"/>
      <c r="E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</row>
    <row r="494" customFormat="false" ht="12.75" hidden="false" customHeight="false" outlineLevel="0" collapsed="false">
      <c r="A494" s="0"/>
      <c r="B494" s="0"/>
      <c r="C494" s="0"/>
      <c r="D494" s="0"/>
      <c r="E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</row>
    <row r="495" customFormat="false" ht="12.75" hidden="false" customHeight="false" outlineLevel="0" collapsed="false">
      <c r="A495" s="0"/>
      <c r="B495" s="0"/>
      <c r="C495" s="0"/>
      <c r="D495" s="0"/>
      <c r="E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</row>
    <row r="496" customFormat="false" ht="12.75" hidden="false" customHeight="false" outlineLevel="0" collapsed="false">
      <c r="A496" s="0"/>
      <c r="B496" s="0"/>
      <c r="C496" s="0"/>
      <c r="D496" s="0"/>
      <c r="E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</row>
    <row r="497" customFormat="false" ht="12.75" hidden="false" customHeight="false" outlineLevel="0" collapsed="false">
      <c r="A497" s="0"/>
      <c r="B497" s="0"/>
      <c r="C497" s="0"/>
      <c r="D497" s="0"/>
      <c r="E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</row>
    <row r="498" customFormat="false" ht="12.75" hidden="false" customHeight="false" outlineLevel="0" collapsed="false">
      <c r="A498" s="0"/>
      <c r="B498" s="0"/>
      <c r="C498" s="0"/>
      <c r="D498" s="0"/>
      <c r="E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</row>
    <row r="499" customFormat="false" ht="12.75" hidden="false" customHeight="false" outlineLevel="0" collapsed="false">
      <c r="A499" s="0"/>
      <c r="B499" s="0"/>
      <c r="C499" s="0"/>
      <c r="D499" s="0"/>
      <c r="E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</row>
    <row r="500" customFormat="false" ht="12.75" hidden="false" customHeight="false" outlineLevel="0" collapsed="false">
      <c r="A500" s="0"/>
      <c r="B500" s="0"/>
      <c r="C500" s="0"/>
      <c r="D500" s="0"/>
      <c r="E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</row>
    <row r="501" customFormat="false" ht="12.75" hidden="false" customHeight="false" outlineLevel="0" collapsed="false">
      <c r="A501" s="0"/>
      <c r="B501" s="0"/>
      <c r="C501" s="0"/>
      <c r="D501" s="0"/>
      <c r="E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</row>
    <row r="502" customFormat="false" ht="12.75" hidden="false" customHeight="false" outlineLevel="0" collapsed="false">
      <c r="A502" s="0"/>
      <c r="B502" s="0"/>
      <c r="C502" s="0"/>
      <c r="D502" s="0"/>
      <c r="E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</row>
    <row r="503" customFormat="false" ht="12.75" hidden="false" customHeight="false" outlineLevel="0" collapsed="false">
      <c r="A503" s="0"/>
      <c r="B503" s="0"/>
      <c r="C503" s="0"/>
      <c r="D503" s="0"/>
      <c r="E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</row>
    <row r="504" customFormat="false" ht="12.75" hidden="false" customHeight="false" outlineLevel="0" collapsed="false">
      <c r="A504" s="0"/>
      <c r="B504" s="0"/>
      <c r="C504" s="0"/>
      <c r="D504" s="0"/>
      <c r="E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</row>
    <row r="505" customFormat="false" ht="12.75" hidden="false" customHeight="false" outlineLevel="0" collapsed="false">
      <c r="A505" s="0"/>
      <c r="B505" s="0"/>
      <c r="C505" s="0"/>
      <c r="D505" s="0"/>
      <c r="E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</row>
    <row r="506" customFormat="false" ht="12.75" hidden="false" customHeight="false" outlineLevel="0" collapsed="false">
      <c r="A506" s="0"/>
      <c r="B506" s="0"/>
      <c r="C506" s="0"/>
      <c r="D506" s="0"/>
      <c r="E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</row>
    <row r="507" customFormat="false" ht="12.75" hidden="false" customHeight="false" outlineLevel="0" collapsed="false">
      <c r="A507" s="0"/>
      <c r="B507" s="0"/>
      <c r="C507" s="0"/>
      <c r="D507" s="0"/>
      <c r="E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</row>
    <row r="508" customFormat="false" ht="12.75" hidden="false" customHeight="false" outlineLevel="0" collapsed="false">
      <c r="A508" s="0"/>
      <c r="B508" s="0"/>
      <c r="C508" s="0"/>
      <c r="D508" s="0"/>
      <c r="E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</row>
    <row r="509" customFormat="false" ht="12.75" hidden="false" customHeight="false" outlineLevel="0" collapsed="false">
      <c r="A509" s="0"/>
      <c r="B509" s="0"/>
      <c r="C509" s="0"/>
      <c r="D509" s="0"/>
      <c r="E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</row>
    <row r="510" customFormat="false" ht="12.75" hidden="false" customHeight="false" outlineLevel="0" collapsed="false">
      <c r="A510" s="0"/>
      <c r="B510" s="0"/>
      <c r="C510" s="0"/>
      <c r="D510" s="0"/>
      <c r="E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</row>
    <row r="511" customFormat="false" ht="12.75" hidden="false" customHeight="false" outlineLevel="0" collapsed="false">
      <c r="A511" s="0"/>
      <c r="B511" s="0"/>
      <c r="C511" s="0"/>
      <c r="D511" s="0"/>
      <c r="E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</row>
    <row r="512" customFormat="false" ht="12.75" hidden="false" customHeight="false" outlineLevel="0" collapsed="false">
      <c r="A512" s="0"/>
      <c r="B512" s="0"/>
      <c r="C512" s="0"/>
      <c r="D512" s="0"/>
      <c r="E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</row>
    <row r="513" customFormat="false" ht="12.75" hidden="false" customHeight="false" outlineLevel="0" collapsed="false">
      <c r="A513" s="96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</row>
    <row r="514" customFormat="false" ht="12.75" hidden="false" customHeight="false" outlineLevel="0" collapsed="false">
      <c r="A514" s="96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</row>
    <row r="515" customFormat="false" ht="12.75" hidden="false" customHeight="false" outlineLevel="0" collapsed="false">
      <c r="A515" s="96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</row>
    <row r="516" customFormat="false" ht="12.75" hidden="false" customHeight="false" outlineLevel="0" collapsed="false">
      <c r="A516" s="96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</row>
    <row r="517" customFormat="false" ht="12.75" hidden="false" customHeight="false" outlineLevel="0" collapsed="false">
      <c r="A517" s="96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</row>
    <row r="518" customFormat="false" ht="12.75" hidden="false" customHeight="false" outlineLevel="0" collapsed="false">
      <c r="A518" s="96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</row>
    <row r="519" customFormat="false" ht="12.75" hidden="false" customHeight="false" outlineLevel="0" collapsed="false">
      <c r="A519" s="96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</row>
    <row r="520" customFormat="false" ht="12.75" hidden="false" customHeight="false" outlineLevel="0" collapsed="false">
      <c r="A520" s="96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</row>
    <row r="521" customFormat="false" ht="12.75" hidden="false" customHeight="false" outlineLevel="0" collapsed="false">
      <c r="A521" s="96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</row>
    <row r="522" customFormat="false" ht="12.75" hidden="false" customHeight="false" outlineLevel="0" collapsed="false">
      <c r="A522" s="96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</row>
    <row r="523" customFormat="false" ht="12.75" hidden="false" customHeight="false" outlineLevel="0" collapsed="false">
      <c r="A523" s="97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3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5" topLeftCell="D6" activePane="bottomRight" state="frozen"/>
      <selection pane="topLeft" activeCell="A1" activeCellId="0" sqref="A1"/>
      <selection pane="topRight" activeCell="D1" activeCellId="0" sqref="D1"/>
      <selection pane="bottomLeft" activeCell="A6" activeCellId="0" sqref="A6"/>
      <selection pane="bottomRight" activeCell="D3" activeCellId="0" sqref="D3:BL36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192" width="9.14"/>
    <col collapsed="false" customWidth="true" hidden="false" outlineLevel="0" max="3" min="3" style="193" width="11.56"/>
    <col collapsed="false" customWidth="true" hidden="false" outlineLevel="0" max="5" min="4" style="194" width="9.14"/>
    <col collapsed="false" customWidth="true" hidden="false" outlineLevel="0" max="6" min="6" style="194" width="11.42"/>
    <col collapsed="false" customWidth="true" hidden="false" outlineLevel="0" max="7" min="7" style="194" width="10.56"/>
    <col collapsed="false" customWidth="true" hidden="false" outlineLevel="0" max="9" min="8" style="194" width="9.14"/>
    <col collapsed="false" customWidth="true" hidden="false" outlineLevel="0" max="10" min="10" style="194" width="13.14"/>
    <col collapsed="false" customWidth="true" hidden="false" outlineLevel="0" max="11" min="11" style="194" width="12.99"/>
    <col collapsed="false" customWidth="true" hidden="false" outlineLevel="0" max="12" min="12" style="194" width="10.28"/>
    <col collapsed="false" customWidth="true" hidden="false" outlineLevel="0" max="13" min="13" style="194" width="9.7"/>
    <col collapsed="false" customWidth="true" hidden="false" outlineLevel="0" max="14" min="14" style="194" width="11.85"/>
    <col collapsed="false" customWidth="true" hidden="false" outlineLevel="0" max="15" min="15" style="194" width="10.13"/>
    <col collapsed="false" customWidth="true" hidden="false" outlineLevel="0" max="16" min="16" style="192" width="11.28"/>
    <col collapsed="false" customWidth="true" hidden="false" outlineLevel="0" max="17" min="17" style="192" width="11.13"/>
    <col collapsed="false" customWidth="true" hidden="false" outlineLevel="0" max="18" min="18" style="192" width="8.99"/>
    <col collapsed="false" customWidth="true" hidden="false" outlineLevel="0" max="19" min="19" style="192" width="11.28"/>
    <col collapsed="false" customWidth="true" hidden="false" outlineLevel="0" max="20" min="20" style="192" width="9.41"/>
    <col collapsed="false" customWidth="true" hidden="false" outlineLevel="0" max="21" min="21" style="192" width="14.28"/>
    <col collapsed="false" customWidth="true" hidden="false" outlineLevel="0" max="22" min="22" style="192" width="10.85"/>
    <col collapsed="false" customWidth="true" hidden="false" outlineLevel="0" max="23" min="23" style="192" width="9.14"/>
    <col collapsed="false" customWidth="true" hidden="false" outlineLevel="0" max="24" min="24" style="192" width="13.14"/>
    <col collapsed="false" customWidth="true" hidden="false" outlineLevel="0" max="101" min="25" style="192" width="9.14"/>
  </cols>
  <sheetData>
    <row r="1" customFormat="false" ht="12.75" hidden="false" customHeight="false" outlineLevel="0" collapsed="false">
      <c r="D1" s="194" t="str">
        <f aca="false">D3</f>
        <v>NG</v>
      </c>
      <c r="E1" s="194" t="str">
        <f aca="false">E3</f>
        <v>NG</v>
      </c>
      <c r="F1" s="194" t="str">
        <f aca="false">F3</f>
        <v>INTNS</v>
      </c>
      <c r="G1" s="194" t="str">
        <f aca="false">G3</f>
        <v>IF-ANR/OK</v>
      </c>
      <c r="H1" s="194" t="str">
        <f aca="false">H3</f>
        <v>IF-NGPL/MIDCON</v>
      </c>
      <c r="I1" s="194" t="str">
        <f aca="false">I3</f>
        <v>IF-NNG/DEMARCAT</v>
      </c>
      <c r="J1" s="194" t="str">
        <f aca="false">J3</f>
        <v>IF-NNG/TOK</v>
      </c>
      <c r="K1" s="194" t="str">
        <f aca="false">K3</f>
        <v>IF-NNG/VENT</v>
      </c>
      <c r="L1" s="194" t="str">
        <f aca="false">L3</f>
        <v>IF-NGPL/LA</v>
      </c>
      <c r="M1" s="194" t="str">
        <f aca="false">M3</f>
        <v>IF-NORAM/EAST</v>
      </c>
      <c r="N1" s="194" t="str">
        <f aca="false">N3</f>
        <v>IF-ONG/OKLAHOMA</v>
      </c>
      <c r="O1" s="194" t="str">
        <f aca="false">O3</f>
        <v>IF-PAN/TX/OK</v>
      </c>
      <c r="P1" s="194" t="str">
        <f aca="false">P3</f>
        <v>IF-WNG/TOK</v>
      </c>
      <c r="Q1" s="194" t="str">
        <f aca="false">Q3</f>
        <v>IF-TRUNKL/FLDZN</v>
      </c>
      <c r="R1" s="194" t="str">
        <f aca="false">R3</f>
        <v>IF-TRUNKL/LA</v>
      </c>
      <c r="S1" s="194" t="str">
        <f aca="false">S3</f>
        <v>MICH_CG-GD</v>
      </c>
      <c r="T1" s="194" t="str">
        <f aca="false">T3</f>
        <v>ML7/CG</v>
      </c>
      <c r="U1" s="194" t="str">
        <f aca="false">U3</f>
        <v>NGI/CHI. GATE</v>
      </c>
      <c r="V1" s="194" t="str">
        <f aca="false">V3</f>
        <v>NGI-PGE/CG</v>
      </c>
      <c r="W1" s="194" t="str">
        <f aca="false">W3</f>
        <v>IF-CGT/APPALAC</v>
      </c>
      <c r="X1" s="194" t="str">
        <f aca="false">X3</f>
        <v>IF-CNG/APPALACH</v>
      </c>
      <c r="Y1" s="194" t="str">
        <f aca="false">Y3</f>
        <v>IF-COLGULF/LA</v>
      </c>
      <c r="Z1" s="194" t="str">
        <f aca="false">Z3</f>
        <v>IF-FGT/Z1</v>
      </c>
      <c r="AA1" s="194" t="str">
        <f aca="false">AA3</f>
        <v>IF-FGT/Z2</v>
      </c>
      <c r="AB1" s="194" t="str">
        <f aca="false">AB3</f>
        <v>IF-FGT/Z3</v>
      </c>
      <c r="AC1" s="194" t="str">
        <f aca="false">AC3</f>
        <v>IF-HEHUB</v>
      </c>
      <c r="AD1" s="194" t="str">
        <f aca="false">AD3</f>
        <v>IF-SONAT/LA</v>
      </c>
      <c r="AE1" s="194" t="str">
        <f aca="false">AE3</f>
        <v>IF-TENN/LA</v>
      </c>
      <c r="AF1" s="194" t="str">
        <f aca="false">AF3</f>
        <v>IF-TETCO/ELA</v>
      </c>
      <c r="AG1" s="194" t="str">
        <f aca="false">AG3</f>
        <v>IF-TETCO/WLA</v>
      </c>
      <c r="AH1" s="194" t="str">
        <f aca="false">AH3</f>
        <v>IF-TGT/Z1</v>
      </c>
      <c r="AI1" s="194" t="str">
        <f aca="false">AI3</f>
        <v>IF-TRANSCO/Z1</v>
      </c>
      <c r="AJ1" s="194" t="str">
        <f aca="false">AJ3</f>
        <v>IF-TRUNKL/TX</v>
      </c>
      <c r="AK1" s="194" t="str">
        <f aca="false">AK3</f>
        <v>IF-TRANSCO/Z2</v>
      </c>
      <c r="AL1" s="194" t="str">
        <f aca="false">AL3</f>
        <v>IF-TRANSCO/Z3</v>
      </c>
      <c r="AM1" s="194" t="str">
        <f aca="false">AM3</f>
        <v>IF-TRANSCO/Z6</v>
      </c>
      <c r="AN1" s="194" t="str">
        <f aca="false">AN3</f>
        <v>IF-HPL/SHPCHAN</v>
      </c>
      <c r="AO1" s="194" t="str">
        <f aca="false">AO3</f>
        <v>IF-CIG/RKYMTN</v>
      </c>
      <c r="AP1" s="194" t="str">
        <f aca="false">AP3</f>
        <v>IF-ELPO/PERMIAN</v>
      </c>
      <c r="AQ1" s="194" t="str">
        <f aca="false">AQ3</f>
        <v>IF-ELPO/SJ</v>
      </c>
      <c r="AR1" s="194" t="str">
        <f aca="false">AR3</f>
        <v>IF-NTHWST/CANBR</v>
      </c>
      <c r="AS1" s="194" t="str">
        <f aca="false">AS3</f>
        <v>IF-NWPL_ROCKY_M</v>
      </c>
      <c r="AT1" s="194" t="str">
        <f aca="false">AT3</f>
        <v>IF-QUESTAR</v>
      </c>
      <c r="AU1" s="194" t="str">
        <f aca="false">AU3</f>
        <v>NGI-SOCAL</v>
      </c>
      <c r="AV1" s="194" t="str">
        <f aca="false">AV3</f>
        <v>DJ/BASIN/CIG</v>
      </c>
      <c r="AW1" s="194" t="str">
        <f aca="false">AW3</f>
        <v>IF-VALERO/TX</v>
      </c>
      <c r="AX1" s="194" t="str">
        <f aca="false">AX3</f>
        <v>IF-WAHA-TX</v>
      </c>
      <c r="AY1" s="194" t="str">
        <f aca="false">AY3</f>
        <v>IF-TETCO/STX</v>
      </c>
      <c r="AZ1" s="194" t="str">
        <f aca="false">AZ3</f>
        <v>IF-ANR/LA</v>
      </c>
      <c r="BA1" s="194" t="str">
        <f aca="false">BA3</f>
        <v>IF-TENN/TX</v>
      </c>
      <c r="BB1" s="194" t="str">
        <f aca="false">BB3</f>
        <v>IF-TGT/ZSL</v>
      </c>
      <c r="BC1" s="194" t="str">
        <f aca="false">BC3</f>
        <v>IF-NGPLTXOK</v>
      </c>
      <c r="BD1" s="194" t="str">
        <f aca="false">BD3</f>
        <v>IF-KATY</v>
      </c>
      <c r="BE1" s="194" t="str">
        <f aca="false">BE3</f>
        <v>IF-TENN/LA_OFF</v>
      </c>
      <c r="BF1" s="194" t="str">
        <f aca="false">BF3</f>
        <v>NGI-MALIN</v>
      </c>
      <c r="BG1" s="194" t="str">
        <f aca="false">BG3</f>
        <v>GDM-DAWN</v>
      </c>
      <c r="BH1" s="194" t="str">
        <f aca="false">BH3</f>
        <v>ANR/ML7-GDM</v>
      </c>
      <c r="BI1" s="194" t="str">
        <f aca="false">BI3</f>
        <v>MICH/CONS</v>
      </c>
      <c r="BJ1" s="194" t="str">
        <f aca="false">BJ3</f>
        <v>IF-TETCO/M3</v>
      </c>
    </row>
    <row r="2" customFormat="false" ht="12.75" hidden="false" customHeight="false" outlineLevel="0" collapsed="false">
      <c r="D2" s="194" t="n">
        <v>2</v>
      </c>
      <c r="E2" s="194" t="n">
        <f aca="false">D2+1</f>
        <v>3</v>
      </c>
      <c r="F2" s="194" t="n">
        <f aca="false">E2+1</f>
        <v>4</v>
      </c>
      <c r="G2" s="194" t="n">
        <f aca="false">F2+1</f>
        <v>5</v>
      </c>
      <c r="H2" s="194" t="n">
        <f aca="false">G2+1</f>
        <v>6</v>
      </c>
      <c r="I2" s="194" t="n">
        <f aca="false">H2+1</f>
        <v>7</v>
      </c>
      <c r="J2" s="194" t="n">
        <f aca="false">I2+1</f>
        <v>8</v>
      </c>
      <c r="K2" s="194" t="n">
        <f aca="false">J2+1</f>
        <v>9</v>
      </c>
      <c r="L2" s="194" t="n">
        <f aca="false">K2+1</f>
        <v>10</v>
      </c>
      <c r="M2" s="194" t="n">
        <f aca="false">L2+1</f>
        <v>11</v>
      </c>
      <c r="N2" s="194" t="n">
        <f aca="false">M2+1</f>
        <v>12</v>
      </c>
      <c r="O2" s="194" t="n">
        <f aca="false">N2+1</f>
        <v>13</v>
      </c>
      <c r="P2" s="194" t="n">
        <f aca="false">O2+1</f>
        <v>14</v>
      </c>
      <c r="Q2" s="194" t="n">
        <f aca="false">P2+1</f>
        <v>15</v>
      </c>
      <c r="R2" s="194" t="n">
        <f aca="false">Q2+1</f>
        <v>16</v>
      </c>
      <c r="S2" s="194" t="n">
        <f aca="false">R2+1</f>
        <v>17</v>
      </c>
      <c r="T2" s="194" t="n">
        <f aca="false">S2+1</f>
        <v>18</v>
      </c>
      <c r="U2" s="194" t="n">
        <f aca="false">T2+1</f>
        <v>19</v>
      </c>
      <c r="V2" s="194" t="n">
        <f aca="false">U2+1</f>
        <v>20</v>
      </c>
      <c r="W2" s="194" t="n">
        <f aca="false">V2+1</f>
        <v>21</v>
      </c>
      <c r="X2" s="194" t="n">
        <f aca="false">W2+1</f>
        <v>22</v>
      </c>
      <c r="Y2" s="194" t="n">
        <f aca="false">X2+1</f>
        <v>23</v>
      </c>
      <c r="Z2" s="194" t="n">
        <f aca="false">Y2+1</f>
        <v>24</v>
      </c>
      <c r="AA2" s="194" t="n">
        <f aca="false">Z2+1</f>
        <v>25</v>
      </c>
      <c r="AB2" s="194" t="n">
        <f aca="false">AA2+1</f>
        <v>26</v>
      </c>
      <c r="AC2" s="194" t="n">
        <f aca="false">AB2+1</f>
        <v>27</v>
      </c>
      <c r="AD2" s="194" t="n">
        <f aca="false">AC2+1</f>
        <v>28</v>
      </c>
      <c r="AE2" s="194" t="n">
        <f aca="false">AD2+1</f>
        <v>29</v>
      </c>
      <c r="AF2" s="194" t="n">
        <f aca="false">AE2+1</f>
        <v>30</v>
      </c>
      <c r="AG2" s="194" t="n">
        <f aca="false">AF2+1</f>
        <v>31</v>
      </c>
      <c r="AH2" s="194" t="n">
        <f aca="false">AG2+1</f>
        <v>32</v>
      </c>
      <c r="AI2" s="194" t="n">
        <f aca="false">AH2+1</f>
        <v>33</v>
      </c>
      <c r="AJ2" s="194" t="n">
        <f aca="false">AI2+1</f>
        <v>34</v>
      </c>
      <c r="AK2" s="194" t="n">
        <f aca="false">AJ2+1</f>
        <v>35</v>
      </c>
      <c r="AL2" s="194" t="n">
        <f aca="false">AK2+1</f>
        <v>36</v>
      </c>
      <c r="AM2" s="194" t="n">
        <f aca="false">AL2+1</f>
        <v>37</v>
      </c>
      <c r="AN2" s="194" t="n">
        <f aca="false">AM2+1</f>
        <v>38</v>
      </c>
      <c r="AO2" s="194" t="n">
        <f aca="false">AN2+1</f>
        <v>39</v>
      </c>
      <c r="AP2" s="194" t="n">
        <f aca="false">AO2+1</f>
        <v>40</v>
      </c>
      <c r="AQ2" s="194" t="n">
        <f aca="false">AP2+1</f>
        <v>41</v>
      </c>
      <c r="AR2" s="194" t="n">
        <f aca="false">AQ2+1</f>
        <v>42</v>
      </c>
      <c r="AS2" s="194" t="n">
        <f aca="false">AR2+1</f>
        <v>43</v>
      </c>
      <c r="AT2" s="194" t="n">
        <f aca="false">AS2+1</f>
        <v>44</v>
      </c>
      <c r="AU2" s="194" t="n">
        <f aca="false">AT2+1</f>
        <v>45</v>
      </c>
      <c r="AV2" s="194" t="n">
        <f aca="false">AU2+1</f>
        <v>46</v>
      </c>
      <c r="AW2" s="194" t="n">
        <f aca="false">AV2+1</f>
        <v>47</v>
      </c>
      <c r="AX2" s="194" t="n">
        <f aca="false">AW2+1</f>
        <v>48</v>
      </c>
      <c r="AY2" s="194" t="n">
        <f aca="false">AX2+1</f>
        <v>49</v>
      </c>
      <c r="AZ2" s="194" t="n">
        <f aca="false">AY2+1</f>
        <v>50</v>
      </c>
      <c r="BA2" s="194" t="n">
        <f aca="false">AZ2+1</f>
        <v>51</v>
      </c>
      <c r="BB2" s="194" t="n">
        <f aca="false">BA2+1</f>
        <v>52</v>
      </c>
      <c r="BC2" s="194" t="n">
        <f aca="false">BB2+1</f>
        <v>53</v>
      </c>
      <c r="BD2" s="194" t="n">
        <f aca="false">BC2+1</f>
        <v>54</v>
      </c>
      <c r="BE2" s="194" t="n">
        <f aca="false">BD2+1</f>
        <v>55</v>
      </c>
      <c r="BF2" s="194" t="n">
        <f aca="false">BE2+1</f>
        <v>56</v>
      </c>
      <c r="BG2" s="194" t="n">
        <f aca="false">BF2+1</f>
        <v>57</v>
      </c>
      <c r="BH2" s="194" t="n">
        <f aca="false">BG2+1</f>
        <v>58</v>
      </c>
      <c r="BI2" s="194" t="n">
        <f aca="false">BH2+1</f>
        <v>59</v>
      </c>
      <c r="BJ2" s="194" t="n">
        <f aca="false">BI2+1</f>
        <v>60</v>
      </c>
    </row>
    <row r="3" customFormat="false" ht="12.75" hidden="false" customHeight="false" outlineLevel="0" collapsed="false">
      <c r="C3" s="195" t="s">
        <v>220</v>
      </c>
      <c r="D3" s="194" t="s">
        <v>221</v>
      </c>
      <c r="E3" s="194" t="s">
        <v>221</v>
      </c>
      <c r="F3" s="194" t="s">
        <v>222</v>
      </c>
      <c r="G3" s="194" t="s">
        <v>73</v>
      </c>
      <c r="H3" s="194" t="s">
        <v>96</v>
      </c>
      <c r="I3" s="194" t="s">
        <v>98</v>
      </c>
      <c r="J3" s="194" t="s">
        <v>99</v>
      </c>
      <c r="K3" s="194" t="s">
        <v>67</v>
      </c>
      <c r="L3" s="194" t="s">
        <v>95</v>
      </c>
      <c r="M3" s="194" t="s">
        <v>32</v>
      </c>
      <c r="N3" s="194" t="s">
        <v>101</v>
      </c>
      <c r="O3" s="194" t="s">
        <v>47</v>
      </c>
      <c r="P3" s="192" t="s">
        <v>113</v>
      </c>
      <c r="Q3" s="192" t="s">
        <v>110</v>
      </c>
      <c r="R3" s="192" t="s">
        <v>89</v>
      </c>
      <c r="S3" s="192" t="s">
        <v>58</v>
      </c>
      <c r="T3" s="192" t="s">
        <v>114</v>
      </c>
      <c r="U3" s="192" t="s">
        <v>52</v>
      </c>
      <c r="V3" s="192" t="s">
        <v>115</v>
      </c>
      <c r="W3" s="196" t="s">
        <v>38</v>
      </c>
      <c r="X3" s="196" t="s">
        <v>87</v>
      </c>
      <c r="Y3" s="196" t="s">
        <v>88</v>
      </c>
      <c r="Z3" s="196" t="s">
        <v>90</v>
      </c>
      <c r="AA3" s="196" t="s">
        <v>91</v>
      </c>
      <c r="AB3" s="196" t="s">
        <v>92</v>
      </c>
      <c r="AC3" s="196" t="s">
        <v>93</v>
      </c>
      <c r="AD3" s="196" t="s">
        <v>86</v>
      </c>
      <c r="AE3" s="196" t="s">
        <v>71</v>
      </c>
      <c r="AF3" s="196" t="s">
        <v>70</v>
      </c>
      <c r="AG3" s="197" t="s">
        <v>105</v>
      </c>
      <c r="AH3" s="196" t="s">
        <v>36</v>
      </c>
      <c r="AI3" s="198" t="s">
        <v>107</v>
      </c>
      <c r="AJ3" s="198" t="s">
        <v>111</v>
      </c>
      <c r="AK3" s="199" t="s">
        <v>108</v>
      </c>
      <c r="AL3" s="192" t="s">
        <v>109</v>
      </c>
      <c r="AM3" s="192" t="s">
        <v>35</v>
      </c>
      <c r="AN3" s="192" t="s">
        <v>31</v>
      </c>
      <c r="AO3" s="192" t="s">
        <v>69</v>
      </c>
      <c r="AP3" s="192" t="s">
        <v>64</v>
      </c>
      <c r="AQ3" s="192" t="s">
        <v>42</v>
      </c>
      <c r="AR3" s="192" t="s">
        <v>100</v>
      </c>
      <c r="AS3" s="192" t="s">
        <v>37</v>
      </c>
      <c r="AT3" s="192" t="s">
        <v>102</v>
      </c>
      <c r="AU3" s="192" t="s">
        <v>75</v>
      </c>
      <c r="AV3" s="192" t="s">
        <v>84</v>
      </c>
      <c r="AW3" s="192" t="s">
        <v>112</v>
      </c>
      <c r="AX3" s="192" t="s">
        <v>72</v>
      </c>
      <c r="AY3" s="192" t="s">
        <v>55</v>
      </c>
      <c r="AZ3" s="192" t="s">
        <v>85</v>
      </c>
      <c r="BA3" s="192" t="s">
        <v>104</v>
      </c>
      <c r="BB3" s="192" t="s">
        <v>106</v>
      </c>
      <c r="BC3" s="192" t="s">
        <v>97</v>
      </c>
      <c r="BD3" s="192" t="s">
        <v>94</v>
      </c>
      <c r="BE3" s="192" t="s">
        <v>103</v>
      </c>
      <c r="BF3" s="192" t="s">
        <v>116</v>
      </c>
      <c r="BG3" s="192" t="s">
        <v>223</v>
      </c>
      <c r="BH3" s="192" t="s">
        <v>224</v>
      </c>
      <c r="BI3" s="192" t="s">
        <v>225</v>
      </c>
      <c r="BJ3" s="192" t="s">
        <v>117</v>
      </c>
    </row>
    <row r="4" customFormat="false" ht="12.75" hidden="false" customHeight="false" outlineLevel="0" collapsed="false">
      <c r="C4" s="195" t="s">
        <v>226</v>
      </c>
      <c r="D4" s="194" t="s">
        <v>227</v>
      </c>
      <c r="E4" s="194" t="s">
        <v>228</v>
      </c>
      <c r="F4" s="194" t="s">
        <v>229</v>
      </c>
      <c r="G4" s="194" t="s">
        <v>227</v>
      </c>
      <c r="H4" s="194" t="s">
        <v>227</v>
      </c>
      <c r="I4" s="194" t="s">
        <v>227</v>
      </c>
      <c r="J4" s="194" t="s">
        <v>227</v>
      </c>
      <c r="K4" s="194" t="s">
        <v>227</v>
      </c>
      <c r="L4" s="194" t="s">
        <v>227</v>
      </c>
      <c r="M4" s="194" t="s">
        <v>227</v>
      </c>
      <c r="N4" s="194" t="s">
        <v>227</v>
      </c>
      <c r="O4" s="194" t="s">
        <v>227</v>
      </c>
      <c r="P4" s="192" t="s">
        <v>227</v>
      </c>
      <c r="Q4" s="192" t="s">
        <v>227</v>
      </c>
      <c r="R4" s="192" t="s">
        <v>227</v>
      </c>
      <c r="S4" s="192" t="s">
        <v>227</v>
      </c>
      <c r="T4" s="192" t="s">
        <v>227</v>
      </c>
      <c r="U4" s="192" t="s">
        <v>227</v>
      </c>
      <c r="V4" s="192" t="s">
        <v>227</v>
      </c>
      <c r="W4" s="196" t="s">
        <v>227</v>
      </c>
      <c r="X4" s="196" t="s">
        <v>227</v>
      </c>
      <c r="Y4" s="196" t="s">
        <v>227</v>
      </c>
      <c r="Z4" s="196" t="s">
        <v>227</v>
      </c>
      <c r="AA4" s="196" t="s">
        <v>227</v>
      </c>
      <c r="AB4" s="196" t="s">
        <v>227</v>
      </c>
      <c r="AC4" s="196" t="s">
        <v>227</v>
      </c>
      <c r="AD4" s="196" t="s">
        <v>227</v>
      </c>
      <c r="AE4" s="196" t="s">
        <v>227</v>
      </c>
      <c r="AF4" s="196" t="s">
        <v>227</v>
      </c>
      <c r="AG4" s="197" t="s">
        <v>227</v>
      </c>
      <c r="AH4" s="196" t="s">
        <v>227</v>
      </c>
      <c r="AI4" s="198" t="s">
        <v>227</v>
      </c>
      <c r="AJ4" s="198" t="s">
        <v>227</v>
      </c>
      <c r="AK4" s="199" t="s">
        <v>227</v>
      </c>
      <c r="AL4" s="192" t="s">
        <v>227</v>
      </c>
      <c r="AM4" s="192" t="s">
        <v>227</v>
      </c>
      <c r="AN4" s="192" t="s">
        <v>227</v>
      </c>
      <c r="AO4" s="192" t="s">
        <v>227</v>
      </c>
      <c r="AP4" s="192" t="s">
        <v>227</v>
      </c>
      <c r="AQ4" s="192" t="s">
        <v>227</v>
      </c>
      <c r="AR4" s="192" t="s">
        <v>227</v>
      </c>
      <c r="AS4" s="192" t="s">
        <v>227</v>
      </c>
      <c r="AT4" s="192" t="s">
        <v>227</v>
      </c>
      <c r="AU4" s="192" t="s">
        <v>227</v>
      </c>
      <c r="AV4" s="192" t="s">
        <v>227</v>
      </c>
      <c r="AW4" s="192" t="s">
        <v>227</v>
      </c>
      <c r="AX4" s="192" t="s">
        <v>227</v>
      </c>
      <c r="AY4" s="192" t="s">
        <v>227</v>
      </c>
      <c r="AZ4" s="192" t="s">
        <v>227</v>
      </c>
      <c r="BA4" s="192" t="s">
        <v>227</v>
      </c>
      <c r="BB4" s="192" t="s">
        <v>227</v>
      </c>
      <c r="BC4" s="192" t="s">
        <v>227</v>
      </c>
      <c r="BD4" s="192" t="s">
        <v>227</v>
      </c>
      <c r="BE4" s="192" t="s">
        <v>227</v>
      </c>
      <c r="BF4" s="192" t="s">
        <v>227</v>
      </c>
      <c r="BG4" s="192" t="s">
        <v>227</v>
      </c>
      <c r="BH4" s="192" t="s">
        <v>227</v>
      </c>
      <c r="BI4" s="192" t="s">
        <v>227</v>
      </c>
      <c r="BJ4" s="192" t="s">
        <v>227</v>
      </c>
    </row>
    <row r="5" customFormat="false" ht="12.75" hidden="false" customHeight="false" outlineLevel="0" collapsed="false">
      <c r="C5" s="195" t="s">
        <v>230</v>
      </c>
      <c r="D5" s="194" t="s">
        <v>231</v>
      </c>
      <c r="E5" s="194" t="s">
        <v>231</v>
      </c>
      <c r="F5" s="194" t="s">
        <v>232</v>
      </c>
      <c r="G5" s="194" t="s">
        <v>233</v>
      </c>
      <c r="H5" s="194" t="s">
        <v>233</v>
      </c>
      <c r="I5" s="194" t="s">
        <v>233</v>
      </c>
      <c r="J5" s="194" t="s">
        <v>233</v>
      </c>
      <c r="K5" s="194" t="s">
        <v>233</v>
      </c>
      <c r="L5" s="194" t="s">
        <v>233</v>
      </c>
      <c r="M5" s="194" t="s">
        <v>233</v>
      </c>
      <c r="N5" s="194" t="s">
        <v>233</v>
      </c>
      <c r="O5" s="194" t="s">
        <v>233</v>
      </c>
      <c r="P5" s="192" t="s">
        <v>233</v>
      </c>
      <c r="Q5" s="192" t="s">
        <v>233</v>
      </c>
      <c r="R5" s="192" t="s">
        <v>233</v>
      </c>
      <c r="S5" s="192" t="s">
        <v>233</v>
      </c>
      <c r="T5" s="192" t="s">
        <v>233</v>
      </c>
      <c r="U5" s="192" t="s">
        <v>233</v>
      </c>
      <c r="V5" s="192" t="s">
        <v>233</v>
      </c>
      <c r="W5" s="196" t="s">
        <v>233</v>
      </c>
      <c r="X5" s="196" t="s">
        <v>233</v>
      </c>
      <c r="Y5" s="196" t="s">
        <v>233</v>
      </c>
      <c r="Z5" s="196" t="s">
        <v>233</v>
      </c>
      <c r="AA5" s="196" t="s">
        <v>233</v>
      </c>
      <c r="AB5" s="196" t="s">
        <v>233</v>
      </c>
      <c r="AC5" s="196" t="s">
        <v>233</v>
      </c>
      <c r="AD5" s="196" t="s">
        <v>233</v>
      </c>
      <c r="AE5" s="196" t="s">
        <v>233</v>
      </c>
      <c r="AF5" s="196" t="s">
        <v>233</v>
      </c>
      <c r="AG5" s="197" t="s">
        <v>233</v>
      </c>
      <c r="AH5" s="196" t="s">
        <v>233</v>
      </c>
      <c r="AI5" s="198" t="s">
        <v>233</v>
      </c>
      <c r="AJ5" s="198" t="s">
        <v>233</v>
      </c>
      <c r="AK5" s="199" t="s">
        <v>233</v>
      </c>
      <c r="AL5" s="192" t="s">
        <v>233</v>
      </c>
      <c r="AM5" s="192" t="s">
        <v>233</v>
      </c>
      <c r="AN5" s="192" t="s">
        <v>233</v>
      </c>
      <c r="AO5" s="192" t="s">
        <v>233</v>
      </c>
      <c r="AP5" s="192" t="s">
        <v>233</v>
      </c>
      <c r="AQ5" s="192" t="s">
        <v>233</v>
      </c>
      <c r="AR5" s="192" t="s">
        <v>233</v>
      </c>
      <c r="AS5" s="192" t="s">
        <v>233</v>
      </c>
      <c r="AT5" s="192" t="s">
        <v>233</v>
      </c>
      <c r="AU5" s="192" t="s">
        <v>233</v>
      </c>
      <c r="AV5" s="192" t="s">
        <v>233</v>
      </c>
      <c r="AW5" s="192" t="s">
        <v>233</v>
      </c>
      <c r="AX5" s="192" t="s">
        <v>233</v>
      </c>
      <c r="AY5" s="192" t="s">
        <v>233</v>
      </c>
      <c r="AZ5" s="192" t="s">
        <v>233</v>
      </c>
      <c r="BA5" s="192" t="s">
        <v>233</v>
      </c>
      <c r="BB5" s="192" t="s">
        <v>233</v>
      </c>
      <c r="BC5" s="192" t="s">
        <v>233</v>
      </c>
      <c r="BD5" s="192" t="s">
        <v>233</v>
      </c>
      <c r="BE5" s="192" t="s">
        <v>233</v>
      </c>
      <c r="BF5" s="192" t="s">
        <v>233</v>
      </c>
      <c r="BG5" s="192" t="s">
        <v>233</v>
      </c>
      <c r="BH5" s="192" t="s">
        <v>233</v>
      </c>
      <c r="BI5" s="192" t="s">
        <v>233</v>
      </c>
      <c r="BJ5" s="192" t="s">
        <v>233</v>
      </c>
    </row>
    <row r="6" customFormat="false" ht="12.75" hidden="false" customHeight="false" outlineLevel="0" collapsed="false">
      <c r="A6" s="194" t="e">
        <f aca="false">#REF!-B6</f>
        <v>#REF!</v>
      </c>
      <c r="B6" s="194" t="n">
        <v>4.354</v>
      </c>
      <c r="C6" s="200" t="n">
        <v>36800</v>
      </c>
      <c r="D6" s="194" t="n">
        <v>5.295</v>
      </c>
      <c r="E6" s="194" t="n">
        <v>0.48</v>
      </c>
      <c r="F6" s="194" t="n">
        <v>0.067720515824946</v>
      </c>
      <c r="G6" s="194" t="n">
        <v>-0.115</v>
      </c>
      <c r="H6" s="194" t="n">
        <v>-0.1375</v>
      </c>
      <c r="I6" s="194" t="n">
        <v>-0.0525</v>
      </c>
      <c r="J6" s="194" t="n">
        <v>-0.145</v>
      </c>
      <c r="K6" s="194" t="n">
        <v>-0.0575</v>
      </c>
      <c r="L6" s="194" t="n">
        <v>-0.06</v>
      </c>
      <c r="M6" s="194" t="n">
        <v>-0.0975</v>
      </c>
      <c r="N6" s="194" t="n">
        <v>-0.105</v>
      </c>
      <c r="O6" s="194" t="n">
        <v>-0.115</v>
      </c>
      <c r="P6" s="192" t="n">
        <v>-0.115</v>
      </c>
      <c r="Q6" s="192" t="n">
        <v>-0.1</v>
      </c>
      <c r="R6" s="192" t="n">
        <v>-0.08</v>
      </c>
      <c r="S6" s="192" t="n">
        <v>0.215</v>
      </c>
      <c r="T6" s="192" t="n">
        <v>0.215</v>
      </c>
      <c r="U6" s="192" t="n">
        <v>0.115</v>
      </c>
      <c r="V6" s="192" t="n">
        <v>0.8475</v>
      </c>
      <c r="W6" s="196" t="n">
        <v>0.245</v>
      </c>
      <c r="X6" s="196" t="n">
        <v>0.305</v>
      </c>
      <c r="Y6" s="196" t="n">
        <v>-0.03</v>
      </c>
      <c r="Z6" s="196" t="n">
        <v>-0.03</v>
      </c>
      <c r="AA6" s="196" t="n">
        <v>0</v>
      </c>
      <c r="AB6" s="196" t="n">
        <v>-0.0325</v>
      </c>
      <c r="AC6" s="196" t="n">
        <v>-0.0025</v>
      </c>
      <c r="AD6" s="196" t="n">
        <v>-0.025</v>
      </c>
      <c r="AE6" s="196" t="n">
        <v>-0.0775</v>
      </c>
      <c r="AF6" s="196" t="n">
        <v>-0.065</v>
      </c>
      <c r="AG6" s="197" t="n">
        <v>-0.0825</v>
      </c>
      <c r="AH6" s="196" t="n">
        <v>-0.02</v>
      </c>
      <c r="AI6" s="198" t="n">
        <v>-0.07</v>
      </c>
      <c r="AJ6" s="198" t="n">
        <v>-0.12</v>
      </c>
      <c r="AK6" s="199" t="n">
        <v>-0.04</v>
      </c>
      <c r="AL6" s="192" t="n">
        <v>0</v>
      </c>
      <c r="AM6" s="192" t="n">
        <v>0.48</v>
      </c>
      <c r="AN6" s="192" t="n">
        <v>-0.0025</v>
      </c>
      <c r="AO6" s="192" t="n">
        <v>-0.835</v>
      </c>
      <c r="AP6" s="192" t="n">
        <v>-0.16</v>
      </c>
      <c r="AQ6" s="192" t="n">
        <v>-0.6625</v>
      </c>
      <c r="AR6" s="192" t="n">
        <v>-0.43</v>
      </c>
      <c r="AS6" s="192" t="n">
        <v>-0.7775</v>
      </c>
      <c r="AT6" s="192" t="n">
        <v>-0.865</v>
      </c>
      <c r="AU6" s="192" t="n">
        <v>0.6975</v>
      </c>
      <c r="AV6" s="192" t="n">
        <v>-0.835</v>
      </c>
      <c r="AW6" s="192" t="n">
        <v>-0.155</v>
      </c>
      <c r="AX6" s="192" t="n">
        <v>-0.05</v>
      </c>
      <c r="AY6" s="192" t="n">
        <v>-0.155</v>
      </c>
      <c r="AZ6" s="192" t="n">
        <v>-0.08</v>
      </c>
      <c r="BA6" s="192" t="n">
        <v>-0.13</v>
      </c>
      <c r="BB6" s="192" t="n">
        <v>-0.03</v>
      </c>
      <c r="BC6" s="192" t="n">
        <v>-0.07</v>
      </c>
      <c r="BD6" s="192" t="n">
        <v>-0.0275</v>
      </c>
      <c r="BE6" s="192" t="n">
        <v>-0.085</v>
      </c>
      <c r="BF6" s="192" t="n">
        <v>0.35</v>
      </c>
      <c r="BG6" s="192" t="n">
        <v>0.27</v>
      </c>
      <c r="BH6" s="192" t="n">
        <v>0.24</v>
      </c>
      <c r="BI6" s="192" t="n">
        <v>0.215</v>
      </c>
      <c r="BJ6" s="192" t="n">
        <v>0.41</v>
      </c>
    </row>
    <row r="7" customFormat="false" ht="12.75" hidden="false" customHeight="false" outlineLevel="0" collapsed="false">
      <c r="A7" s="194" t="e">
        <f aca="false">#REF!-B7</f>
        <v>#REF!</v>
      </c>
      <c r="B7" s="194" t="n">
        <v>4.34</v>
      </c>
      <c r="C7" s="200" t="n">
        <v>36831</v>
      </c>
      <c r="D7" s="194" t="n">
        <v>5.394</v>
      </c>
      <c r="E7" s="194" t="n">
        <v>0.52</v>
      </c>
      <c r="F7" s="194" t="n">
        <v>0.068087889350767</v>
      </c>
      <c r="G7" s="194" t="n">
        <v>-0.13</v>
      </c>
      <c r="H7" s="194" t="n">
        <v>-0.1525</v>
      </c>
      <c r="I7" s="194" t="n">
        <v>-0.0325</v>
      </c>
      <c r="J7" s="194" t="n">
        <v>-0.15</v>
      </c>
      <c r="K7" s="194" t="n">
        <v>0.0025</v>
      </c>
      <c r="L7" s="194" t="n">
        <v>-0.06</v>
      </c>
      <c r="M7" s="194" t="n">
        <v>-0.11</v>
      </c>
      <c r="N7" s="194" t="n">
        <v>-0.12</v>
      </c>
      <c r="O7" s="194" t="n">
        <v>-0.13</v>
      </c>
      <c r="P7" s="192" t="n">
        <v>-0.13</v>
      </c>
      <c r="Q7" s="192" t="n">
        <v>-0.1025</v>
      </c>
      <c r="R7" s="192" t="n">
        <v>-0.06</v>
      </c>
      <c r="S7" s="192" t="n">
        <v>0.2525</v>
      </c>
      <c r="T7" s="192" t="n">
        <v>0.2525</v>
      </c>
      <c r="U7" s="192" t="n">
        <v>0.125</v>
      </c>
      <c r="V7" s="192" t="n">
        <v>0.75</v>
      </c>
      <c r="W7" s="196" t="n">
        <v>0.36</v>
      </c>
      <c r="X7" s="196" t="n">
        <v>0.48</v>
      </c>
      <c r="Y7" s="196" t="n">
        <v>-0.0275</v>
      </c>
      <c r="Z7" s="196" t="n">
        <v>-0.0425</v>
      </c>
      <c r="AA7" s="196" t="n">
        <v>-0.01</v>
      </c>
      <c r="AB7" s="196" t="n">
        <v>-0.04</v>
      </c>
      <c r="AC7" s="196" t="n">
        <v>0.0025</v>
      </c>
      <c r="AD7" s="196" t="n">
        <v>-0.0175</v>
      </c>
      <c r="AE7" s="196" t="n">
        <v>-0.06</v>
      </c>
      <c r="AF7" s="196" t="n">
        <v>-0.05</v>
      </c>
      <c r="AG7" s="197" t="n">
        <v>-0.0675</v>
      </c>
      <c r="AH7" s="196" t="n">
        <v>-0.0225</v>
      </c>
      <c r="AI7" s="198" t="n">
        <v>-0.0775</v>
      </c>
      <c r="AJ7" s="198" t="n">
        <v>-0.145</v>
      </c>
      <c r="AK7" s="199" t="n">
        <v>-0.02</v>
      </c>
      <c r="AL7" s="192" t="n">
        <v>0.015</v>
      </c>
      <c r="AM7" s="192" t="n">
        <v>0.89</v>
      </c>
      <c r="AN7" s="192" t="n">
        <v>-0.0275</v>
      </c>
      <c r="AO7" s="192" t="n">
        <v>-0.505</v>
      </c>
      <c r="AP7" s="192" t="n">
        <v>-0.1575</v>
      </c>
      <c r="AQ7" s="192" t="n">
        <v>-0.295</v>
      </c>
      <c r="AR7" s="192" t="n">
        <v>-0.225</v>
      </c>
      <c r="AS7" s="192" t="n">
        <v>-0.44</v>
      </c>
      <c r="AT7" s="192" t="n">
        <v>-0.505</v>
      </c>
      <c r="AU7" s="192" t="n">
        <v>0.55</v>
      </c>
      <c r="AV7" s="192" t="n">
        <v>-0.505</v>
      </c>
      <c r="AW7" s="192" t="n">
        <v>-0.135</v>
      </c>
      <c r="AX7" s="192" t="n">
        <v>-0.1125</v>
      </c>
      <c r="AY7" s="192" t="n">
        <v>-0.135</v>
      </c>
      <c r="AZ7" s="192" t="n">
        <v>-0.07</v>
      </c>
      <c r="BA7" s="192" t="n">
        <v>-0.115</v>
      </c>
      <c r="BB7" s="192" t="n">
        <v>-0.0275</v>
      </c>
      <c r="BC7" s="192" t="n">
        <v>-0.095</v>
      </c>
      <c r="BD7" s="192" t="n">
        <v>-0.0575</v>
      </c>
      <c r="BE7" s="192" t="n">
        <v>-0.06</v>
      </c>
      <c r="BF7" s="192" t="n">
        <v>0.18</v>
      </c>
      <c r="BG7" s="192" t="n">
        <v>0.335</v>
      </c>
      <c r="BH7" s="192" t="n">
        <v>0.2975</v>
      </c>
      <c r="BI7" s="192" t="n">
        <v>0.2525</v>
      </c>
      <c r="BJ7" s="192" t="n">
        <v>0.76</v>
      </c>
    </row>
    <row r="8" customFormat="false" ht="12.75" hidden="false" customHeight="false" outlineLevel="0" collapsed="false">
      <c r="A8" s="194" t="e">
        <f aca="false">#REF!-B8</f>
        <v>#REF!</v>
      </c>
      <c r="B8" s="194" t="n">
        <v>4.32</v>
      </c>
      <c r="C8" s="200" t="n">
        <v>36861</v>
      </c>
      <c r="D8" s="194" t="n">
        <v>5.495</v>
      </c>
      <c r="E8" s="194" t="n">
        <v>0.5725</v>
      </c>
      <c r="F8" s="194" t="n">
        <v>0.068102551581873</v>
      </c>
      <c r="G8" s="194" t="n">
        <v>-0.14</v>
      </c>
      <c r="H8" s="194" t="n">
        <v>-0.1625</v>
      </c>
      <c r="I8" s="194" t="n">
        <v>-0.0125</v>
      </c>
      <c r="J8" s="194" t="n">
        <v>-0.16</v>
      </c>
      <c r="K8" s="194" t="n">
        <v>0.0225</v>
      </c>
      <c r="L8" s="194" t="n">
        <v>-0.06</v>
      </c>
      <c r="M8" s="194" t="n">
        <v>-0.12</v>
      </c>
      <c r="N8" s="194" t="n">
        <v>-0.13</v>
      </c>
      <c r="O8" s="194" t="n">
        <v>-0.14</v>
      </c>
      <c r="P8" s="192" t="n">
        <v>-0.14</v>
      </c>
      <c r="Q8" s="192" t="n">
        <v>-0.10625</v>
      </c>
      <c r="R8" s="192" t="n">
        <v>-0.06</v>
      </c>
      <c r="S8" s="192" t="n">
        <v>0.255</v>
      </c>
      <c r="T8" s="192" t="n">
        <v>0.255</v>
      </c>
      <c r="U8" s="192" t="n">
        <v>0.1475</v>
      </c>
      <c r="V8" s="192" t="n">
        <v>0.47</v>
      </c>
      <c r="W8" s="196" t="n">
        <v>0.39</v>
      </c>
      <c r="X8" s="196" t="n">
        <v>0.55</v>
      </c>
      <c r="Y8" s="196" t="n">
        <v>-0.0275</v>
      </c>
      <c r="Z8" s="196" t="n">
        <v>-0.0425</v>
      </c>
      <c r="AA8" s="196" t="n">
        <v>-0.01</v>
      </c>
      <c r="AB8" s="196" t="n">
        <v>-0.04</v>
      </c>
      <c r="AC8" s="196" t="n">
        <v>0.0025</v>
      </c>
      <c r="AD8" s="196" t="n">
        <v>-0.0175</v>
      </c>
      <c r="AE8" s="196" t="n">
        <v>-0.06</v>
      </c>
      <c r="AF8" s="196" t="n">
        <v>-0.05</v>
      </c>
      <c r="AG8" s="197" t="n">
        <v>-0.0675</v>
      </c>
      <c r="AH8" s="196" t="n">
        <v>-0.0225</v>
      </c>
      <c r="AI8" s="198" t="n">
        <v>-0.0775</v>
      </c>
      <c r="AJ8" s="198" t="n">
        <v>-0.1525</v>
      </c>
      <c r="AK8" s="199" t="n">
        <v>-0.02</v>
      </c>
      <c r="AL8" s="192" t="n">
        <v>0.015</v>
      </c>
      <c r="AM8" s="192" t="n">
        <v>1.86</v>
      </c>
      <c r="AN8" s="192" t="n">
        <v>-0.06</v>
      </c>
      <c r="AO8" s="192" t="n">
        <v>-0.365</v>
      </c>
      <c r="AP8" s="192" t="n">
        <v>-0.1525</v>
      </c>
      <c r="AQ8" s="192" t="n">
        <v>-0.22</v>
      </c>
      <c r="AR8" s="192" t="n">
        <v>0.485</v>
      </c>
      <c r="AS8" s="192" t="n">
        <v>-0.3</v>
      </c>
      <c r="AT8" s="192" t="n">
        <v>-0.365</v>
      </c>
      <c r="AU8" s="192" t="n">
        <v>0.27</v>
      </c>
      <c r="AV8" s="192" t="n">
        <v>-0.365</v>
      </c>
      <c r="AW8" s="192" t="n">
        <v>-0.165</v>
      </c>
      <c r="AX8" s="192" t="n">
        <v>-0.09</v>
      </c>
      <c r="AY8" s="192" t="n">
        <v>-0.165</v>
      </c>
      <c r="AZ8" s="192" t="n">
        <v>-0.07</v>
      </c>
      <c r="BA8" s="192" t="n">
        <v>-0.1475</v>
      </c>
      <c r="BB8" s="192" t="n">
        <v>-0.0275</v>
      </c>
      <c r="BC8" s="192" t="n">
        <v>-0.1025</v>
      </c>
      <c r="BD8" s="192" t="n">
        <v>-0.095</v>
      </c>
      <c r="BE8" s="192" t="n">
        <v>-0.06</v>
      </c>
      <c r="BF8" s="192" t="n">
        <v>0.1575</v>
      </c>
      <c r="BG8" s="192" t="n">
        <v>0.3</v>
      </c>
      <c r="BH8" s="192" t="n">
        <v>0.3</v>
      </c>
      <c r="BI8" s="192" t="n">
        <v>0.255</v>
      </c>
      <c r="BJ8" s="192" t="n">
        <v>1.08</v>
      </c>
    </row>
    <row r="9" customFormat="false" ht="12.75" hidden="false" customHeight="false" outlineLevel="0" collapsed="false">
      <c r="A9" s="194" t="e">
        <f aca="false">#REF!-B9</f>
        <v>#REF!</v>
      </c>
      <c r="B9" s="194" t="n">
        <v>4.335</v>
      </c>
      <c r="C9" s="200" t="n">
        <v>36892</v>
      </c>
      <c r="D9" s="194" t="n">
        <v>5.445</v>
      </c>
      <c r="E9" s="194" t="n">
        <v>0.6075</v>
      </c>
      <c r="F9" s="194" t="n">
        <v>0.068146567086238</v>
      </c>
      <c r="G9" s="194" t="n">
        <v>-0.1475</v>
      </c>
      <c r="H9" s="194" t="n">
        <v>-0.17</v>
      </c>
      <c r="I9" s="194" t="n">
        <v>0</v>
      </c>
      <c r="J9" s="194" t="n">
        <v>-0.1675</v>
      </c>
      <c r="K9" s="194" t="n">
        <v>0.035</v>
      </c>
      <c r="L9" s="194" t="n">
        <v>-0.06</v>
      </c>
      <c r="M9" s="194" t="n">
        <v>-0.1275</v>
      </c>
      <c r="N9" s="194" t="n">
        <v>-0.1375</v>
      </c>
      <c r="O9" s="194" t="n">
        <v>-0.1475</v>
      </c>
      <c r="P9" s="192" t="n">
        <v>-0.1475</v>
      </c>
      <c r="Q9" s="192" t="n">
        <v>-0.11</v>
      </c>
      <c r="R9" s="192" t="n">
        <v>-0.06</v>
      </c>
      <c r="S9" s="192" t="n">
        <v>0.305</v>
      </c>
      <c r="T9" s="192" t="n">
        <v>0.305</v>
      </c>
      <c r="U9" s="192" t="n">
        <v>0.1825</v>
      </c>
      <c r="V9" s="192" t="n">
        <v>0.37</v>
      </c>
      <c r="W9" s="196" t="n">
        <v>0.39</v>
      </c>
      <c r="X9" s="196" t="n">
        <v>0.6</v>
      </c>
      <c r="Y9" s="196" t="n">
        <v>-0.0275</v>
      </c>
      <c r="Z9" s="196" t="n">
        <v>-0.0425</v>
      </c>
      <c r="AA9" s="196" t="n">
        <v>-0.01</v>
      </c>
      <c r="AB9" s="196" t="n">
        <v>-0.04</v>
      </c>
      <c r="AC9" s="196" t="n">
        <v>0.0025</v>
      </c>
      <c r="AD9" s="196" t="n">
        <v>-0.0175</v>
      </c>
      <c r="AE9" s="196" t="n">
        <v>-0.06</v>
      </c>
      <c r="AF9" s="196" t="n">
        <v>-0.05</v>
      </c>
      <c r="AG9" s="197" t="n">
        <v>-0.0675</v>
      </c>
      <c r="AH9" s="196" t="n">
        <v>-0.0225</v>
      </c>
      <c r="AI9" s="198" t="n">
        <v>-0.0775</v>
      </c>
      <c r="AJ9" s="198" t="n">
        <v>-0.16</v>
      </c>
      <c r="AK9" s="199" t="n">
        <v>-0.02</v>
      </c>
      <c r="AL9" s="192" t="n">
        <v>0.015</v>
      </c>
      <c r="AM9" s="192" t="n">
        <v>2.61</v>
      </c>
      <c r="AN9" s="192" t="n">
        <v>-0.065</v>
      </c>
      <c r="AO9" s="192" t="n">
        <v>-0.375</v>
      </c>
      <c r="AP9" s="192" t="n">
        <v>-0.1525</v>
      </c>
      <c r="AQ9" s="192" t="n">
        <v>-0.2175</v>
      </c>
      <c r="AR9" s="192" t="n">
        <v>0.485</v>
      </c>
      <c r="AS9" s="192" t="n">
        <v>-0.31</v>
      </c>
      <c r="AT9" s="192" t="n">
        <v>-0.375</v>
      </c>
      <c r="AU9" s="192" t="n">
        <v>0.17</v>
      </c>
      <c r="AV9" s="192" t="n">
        <v>-0.375</v>
      </c>
      <c r="AW9" s="192" t="n">
        <v>-0.15</v>
      </c>
      <c r="AX9" s="192" t="n">
        <v>-0.09</v>
      </c>
      <c r="AY9" s="192" t="n">
        <v>-0.15</v>
      </c>
      <c r="AZ9" s="192" t="n">
        <v>-0.07</v>
      </c>
      <c r="BA9" s="192" t="n">
        <v>-0.1525</v>
      </c>
      <c r="BB9" s="192" t="n">
        <v>-0.0275</v>
      </c>
      <c r="BC9" s="192" t="n">
        <v>-0.11</v>
      </c>
      <c r="BD9" s="192" t="n">
        <v>-0.1</v>
      </c>
      <c r="BE9" s="192" t="n">
        <v>-0.06</v>
      </c>
      <c r="BF9" s="192" t="n">
        <v>0.15</v>
      </c>
      <c r="BG9" s="192" t="n">
        <v>0.35</v>
      </c>
      <c r="BH9" s="192" t="n">
        <v>0.35</v>
      </c>
      <c r="BI9" s="192" t="n">
        <v>0.305</v>
      </c>
      <c r="BJ9" s="192" t="n">
        <v>1.32</v>
      </c>
    </row>
    <row r="10" customFormat="false" ht="12.75" hidden="false" customHeight="false" outlineLevel="0" collapsed="false">
      <c r="A10" s="194" t="e">
        <f aca="false">#REF!-B10</f>
        <v>#REF!</v>
      </c>
      <c r="B10" s="194" t="n">
        <v>4.434</v>
      </c>
      <c r="C10" s="200" t="n">
        <v>36923</v>
      </c>
      <c r="D10" s="194" t="n">
        <v>5.152</v>
      </c>
      <c r="E10" s="194" t="n">
        <v>0.5975</v>
      </c>
      <c r="F10" s="194" t="n">
        <v>0.068214589689939</v>
      </c>
      <c r="G10" s="194" t="n">
        <v>-0.1325</v>
      </c>
      <c r="H10" s="194" t="n">
        <v>-0.155</v>
      </c>
      <c r="I10" s="194" t="n">
        <v>0.005</v>
      </c>
      <c r="J10" s="194" t="n">
        <v>-0.1525</v>
      </c>
      <c r="K10" s="194" t="n">
        <v>0.04</v>
      </c>
      <c r="L10" s="194" t="n">
        <v>-0.06</v>
      </c>
      <c r="M10" s="194" t="n">
        <v>-0.1125</v>
      </c>
      <c r="N10" s="194" t="n">
        <v>-0.1225</v>
      </c>
      <c r="O10" s="194" t="n">
        <v>-0.1325</v>
      </c>
      <c r="P10" s="192" t="n">
        <v>-0.1325</v>
      </c>
      <c r="Q10" s="192" t="n">
        <v>-0.10125</v>
      </c>
      <c r="R10" s="192" t="n">
        <v>-0.06</v>
      </c>
      <c r="S10" s="192" t="n">
        <v>0.3325</v>
      </c>
      <c r="T10" s="192" t="n">
        <v>0.3325</v>
      </c>
      <c r="U10" s="192" t="n">
        <v>0.195</v>
      </c>
      <c r="V10" s="192" t="n">
        <v>0.325</v>
      </c>
      <c r="W10" s="196" t="n">
        <v>0.39</v>
      </c>
      <c r="X10" s="196" t="n">
        <v>0.6</v>
      </c>
      <c r="Y10" s="196" t="n">
        <v>-0.0275</v>
      </c>
      <c r="Z10" s="196" t="n">
        <v>-0.0425</v>
      </c>
      <c r="AA10" s="196" t="n">
        <v>-0.01</v>
      </c>
      <c r="AB10" s="196" t="n">
        <v>-0.04</v>
      </c>
      <c r="AC10" s="196" t="n">
        <v>0.0025</v>
      </c>
      <c r="AD10" s="196" t="n">
        <v>-0.0175</v>
      </c>
      <c r="AE10" s="196" t="n">
        <v>-0.06</v>
      </c>
      <c r="AF10" s="196" t="n">
        <v>-0.05</v>
      </c>
      <c r="AG10" s="197" t="n">
        <v>-0.0675</v>
      </c>
      <c r="AH10" s="196" t="n">
        <v>-0.0225</v>
      </c>
      <c r="AI10" s="198" t="n">
        <v>-0.0775</v>
      </c>
      <c r="AJ10" s="198" t="n">
        <v>-0.1425</v>
      </c>
      <c r="AK10" s="199" t="n">
        <v>-0.02</v>
      </c>
      <c r="AL10" s="192" t="n">
        <v>0.015</v>
      </c>
      <c r="AM10" s="192" t="n">
        <v>2.6</v>
      </c>
      <c r="AN10" s="192" t="n">
        <v>-0.0475</v>
      </c>
      <c r="AO10" s="192" t="n">
        <v>-0.395</v>
      </c>
      <c r="AP10" s="192" t="n">
        <v>-0.1525</v>
      </c>
      <c r="AQ10" s="192" t="n">
        <v>-0.2225</v>
      </c>
      <c r="AR10" s="192" t="n">
        <v>0.3</v>
      </c>
      <c r="AS10" s="192" t="n">
        <v>-0.33</v>
      </c>
      <c r="AT10" s="192" t="n">
        <v>-0.395</v>
      </c>
      <c r="AU10" s="192" t="n">
        <v>0.125</v>
      </c>
      <c r="AV10" s="192" t="n">
        <v>-0.395</v>
      </c>
      <c r="AW10" s="192" t="n">
        <v>-0.1525</v>
      </c>
      <c r="AX10" s="192" t="n">
        <v>-0.09</v>
      </c>
      <c r="AY10" s="192" t="n">
        <v>-0.1525</v>
      </c>
      <c r="AZ10" s="192" t="n">
        <v>-0.07</v>
      </c>
      <c r="BA10" s="192" t="n">
        <v>-0.135</v>
      </c>
      <c r="BB10" s="192" t="n">
        <v>-0.0275</v>
      </c>
      <c r="BC10" s="192" t="n">
        <v>-0.0925</v>
      </c>
      <c r="BD10" s="192" t="n">
        <v>-0.0825</v>
      </c>
      <c r="BE10" s="192" t="n">
        <v>-0.06</v>
      </c>
      <c r="BF10" s="192" t="n">
        <v>0.18</v>
      </c>
      <c r="BG10" s="192" t="n">
        <v>0.395</v>
      </c>
      <c r="BH10" s="192" t="n">
        <v>0.3775</v>
      </c>
      <c r="BI10" s="192" t="n">
        <v>0.3325</v>
      </c>
      <c r="BJ10" s="192" t="n">
        <v>1.32</v>
      </c>
    </row>
    <row r="11" customFormat="false" ht="12.75" hidden="false" customHeight="false" outlineLevel="0" collapsed="false">
      <c r="A11" s="194" t="e">
        <f aca="false">#REF!-B11</f>
        <v>#REF!</v>
      </c>
      <c r="B11" s="194" t="n">
        <v>4.533</v>
      </c>
      <c r="C11" s="200" t="n">
        <v>36951</v>
      </c>
      <c r="D11" s="194" t="n">
        <v>4.855</v>
      </c>
      <c r="E11" s="194" t="n">
        <v>0.5375</v>
      </c>
      <c r="F11" s="194" t="n">
        <v>0.068276029462339</v>
      </c>
      <c r="G11" s="194" t="n">
        <v>-0.125</v>
      </c>
      <c r="H11" s="194" t="n">
        <v>-0.1475</v>
      </c>
      <c r="I11" s="194" t="n">
        <v>0.0025</v>
      </c>
      <c r="J11" s="194" t="n">
        <v>-0.145</v>
      </c>
      <c r="K11" s="194" t="n">
        <v>0.0375</v>
      </c>
      <c r="L11" s="194" t="n">
        <v>-0.06</v>
      </c>
      <c r="M11" s="194" t="n">
        <v>-0.105</v>
      </c>
      <c r="N11" s="194" t="n">
        <v>-0.115</v>
      </c>
      <c r="O11" s="194" t="n">
        <v>-0.125</v>
      </c>
      <c r="P11" s="192" t="n">
        <v>-0.125</v>
      </c>
      <c r="Q11" s="192" t="n">
        <v>-0.0925</v>
      </c>
      <c r="R11" s="192" t="n">
        <v>-0.06</v>
      </c>
      <c r="S11" s="192" t="n">
        <v>0.33</v>
      </c>
      <c r="T11" s="192" t="n">
        <v>0.33</v>
      </c>
      <c r="U11" s="192" t="n">
        <v>0.1875</v>
      </c>
      <c r="V11" s="192" t="n">
        <v>0.285</v>
      </c>
      <c r="W11" s="196" t="n">
        <v>0.37</v>
      </c>
      <c r="X11" s="196" t="n">
        <v>0.52</v>
      </c>
      <c r="Y11" s="196" t="n">
        <v>-0.0275</v>
      </c>
      <c r="Z11" s="196" t="n">
        <v>-0.0425</v>
      </c>
      <c r="AA11" s="196" t="n">
        <v>-0.01</v>
      </c>
      <c r="AB11" s="196" t="n">
        <v>-0.04</v>
      </c>
      <c r="AC11" s="196" t="n">
        <v>0.0025</v>
      </c>
      <c r="AD11" s="196" t="n">
        <v>-0.0175</v>
      </c>
      <c r="AE11" s="196" t="n">
        <v>-0.06</v>
      </c>
      <c r="AF11" s="196" t="n">
        <v>-0.05</v>
      </c>
      <c r="AG11" s="197" t="n">
        <v>-0.0675</v>
      </c>
      <c r="AH11" s="196" t="n">
        <v>-0.0225</v>
      </c>
      <c r="AI11" s="198" t="n">
        <v>-0.0775</v>
      </c>
      <c r="AJ11" s="198" t="n">
        <v>-0.125</v>
      </c>
      <c r="AK11" s="199" t="n">
        <v>-0.02</v>
      </c>
      <c r="AL11" s="192" t="n">
        <v>0.015</v>
      </c>
      <c r="AM11" s="192" t="n">
        <v>1.34</v>
      </c>
      <c r="AN11" s="192" t="n">
        <v>-0.03</v>
      </c>
      <c r="AO11" s="192" t="n">
        <v>-0.415</v>
      </c>
      <c r="AP11" s="192" t="n">
        <v>-0.155</v>
      </c>
      <c r="AQ11" s="192" t="n">
        <v>-0.295</v>
      </c>
      <c r="AR11" s="192" t="n">
        <v>-0.07</v>
      </c>
      <c r="AS11" s="192" t="n">
        <v>-0.35</v>
      </c>
      <c r="AT11" s="192" t="n">
        <v>-0.415</v>
      </c>
      <c r="AU11" s="192" t="n">
        <v>0.085</v>
      </c>
      <c r="AV11" s="192" t="n">
        <v>-0.415</v>
      </c>
      <c r="AW11" s="192" t="n">
        <v>-0.1325</v>
      </c>
      <c r="AX11" s="192" t="n">
        <v>-0.1125</v>
      </c>
      <c r="AY11" s="192" t="n">
        <v>-0.1325</v>
      </c>
      <c r="AZ11" s="192" t="n">
        <v>-0.07</v>
      </c>
      <c r="BA11" s="192" t="n">
        <v>-0.12</v>
      </c>
      <c r="BB11" s="192" t="n">
        <v>-0.0275</v>
      </c>
      <c r="BC11" s="192" t="n">
        <v>-0.075</v>
      </c>
      <c r="BD11" s="192" t="n">
        <v>-0.0625</v>
      </c>
      <c r="BE11" s="192" t="n">
        <v>-0.06</v>
      </c>
      <c r="BF11" s="192" t="n">
        <v>0.18</v>
      </c>
      <c r="BG11" s="192" t="n">
        <v>0.395</v>
      </c>
      <c r="BH11" s="192" t="n">
        <v>0.375</v>
      </c>
      <c r="BI11" s="192" t="n">
        <v>0.33</v>
      </c>
      <c r="BJ11" s="192" t="n">
        <v>0.97</v>
      </c>
    </row>
    <row r="12" customFormat="false" ht="12.75" hidden="false" customHeight="false" outlineLevel="0" collapsed="false">
      <c r="A12" s="194" t="e">
        <f aca="false">#REF!-B12</f>
        <v>#REF!</v>
      </c>
      <c r="B12" s="194" t="n">
        <v>4.541</v>
      </c>
      <c r="C12" s="200" t="n">
        <v>36982</v>
      </c>
      <c r="D12" s="194" t="n">
        <v>4.55</v>
      </c>
      <c r="E12" s="194" t="n">
        <v>0.435</v>
      </c>
      <c r="F12" s="194" t="n">
        <v>0.068254674043478</v>
      </c>
      <c r="G12" s="194" t="n">
        <v>-0.14</v>
      </c>
      <c r="H12" s="194" t="n">
        <v>-0.16</v>
      </c>
      <c r="I12" s="194" t="n">
        <v>-0.0975</v>
      </c>
      <c r="J12" s="194" t="n">
        <v>-0.13</v>
      </c>
      <c r="K12" s="194" t="n">
        <v>-0.1025</v>
      </c>
      <c r="L12" s="194" t="n">
        <v>-0.06</v>
      </c>
      <c r="M12" s="194" t="n">
        <v>-0.085</v>
      </c>
      <c r="N12" s="194" t="n">
        <v>-0.11</v>
      </c>
      <c r="O12" s="194" t="n">
        <v>-0.14</v>
      </c>
      <c r="P12" s="192" t="n">
        <v>-0.14</v>
      </c>
      <c r="Q12" s="192" t="n">
        <v>-0.1</v>
      </c>
      <c r="R12" s="192" t="n">
        <v>-0.0675</v>
      </c>
      <c r="S12" s="192" t="n">
        <v>0.17</v>
      </c>
      <c r="T12" s="192" t="n">
        <v>0.17</v>
      </c>
      <c r="U12" s="192" t="n">
        <v>0.0725</v>
      </c>
      <c r="V12" s="192" t="n">
        <v>-0.025</v>
      </c>
      <c r="W12" s="196" t="n">
        <v>0.21</v>
      </c>
      <c r="X12" s="196" t="n">
        <v>0.24</v>
      </c>
      <c r="Y12" s="196" t="n">
        <v>-0.025</v>
      </c>
      <c r="Z12" s="196" t="n">
        <v>-0.0325</v>
      </c>
      <c r="AA12" s="196" t="n">
        <v>0.005</v>
      </c>
      <c r="AB12" s="196" t="n">
        <v>-0.0225</v>
      </c>
      <c r="AC12" s="196" t="n">
        <v>0.005</v>
      </c>
      <c r="AD12" s="196" t="n">
        <v>-0.01</v>
      </c>
      <c r="AE12" s="196" t="n">
        <v>-0.06</v>
      </c>
      <c r="AF12" s="196" t="n">
        <v>-0.0525</v>
      </c>
      <c r="AG12" s="197" t="n">
        <v>-0.0675</v>
      </c>
      <c r="AH12" s="196" t="n">
        <v>-0.02</v>
      </c>
      <c r="AI12" s="198" t="n">
        <v>-0.078</v>
      </c>
      <c r="AJ12" s="198" t="n">
        <v>-0.1325</v>
      </c>
      <c r="AK12" s="199" t="n">
        <v>-0.0275</v>
      </c>
      <c r="AL12" s="192" t="n">
        <v>0.0075</v>
      </c>
      <c r="AM12" s="192" t="n">
        <v>0.52</v>
      </c>
      <c r="AN12" s="192" t="n">
        <v>0.0125</v>
      </c>
      <c r="AO12" s="192" t="n">
        <v>-0.6025</v>
      </c>
      <c r="AP12" s="192" t="n">
        <v>-0.1375</v>
      </c>
      <c r="AQ12" s="192" t="n">
        <v>-0.3</v>
      </c>
      <c r="AR12" s="192" t="n">
        <v>-0.35</v>
      </c>
      <c r="AS12" s="192" t="n">
        <v>-0.5375</v>
      </c>
      <c r="AT12" s="192" t="n">
        <v>-0.6025</v>
      </c>
      <c r="AU12" s="192" t="n">
        <v>-0.055</v>
      </c>
      <c r="AV12" s="192" t="n">
        <v>-0.6025</v>
      </c>
      <c r="AW12" s="192" t="n">
        <v>-0.12</v>
      </c>
      <c r="AX12" s="192" t="n">
        <v>-0.065</v>
      </c>
      <c r="AY12" s="192" t="n">
        <v>-0.12</v>
      </c>
      <c r="AZ12" s="192" t="n">
        <v>-0.0675</v>
      </c>
      <c r="BA12" s="192" t="n">
        <v>-0.105</v>
      </c>
      <c r="BB12" s="192" t="n">
        <v>-0.025</v>
      </c>
      <c r="BC12" s="192" t="n">
        <v>-0.0725</v>
      </c>
      <c r="BD12" s="192" t="n">
        <v>-0.0225</v>
      </c>
      <c r="BE12" s="192" t="n">
        <v>-0.06</v>
      </c>
      <c r="BF12" s="192" t="n">
        <v>0.12</v>
      </c>
      <c r="BG12" s="192" t="n">
        <v>0.1725</v>
      </c>
      <c r="BH12" s="192" t="n">
        <v>0.195</v>
      </c>
      <c r="BI12" s="192" t="n">
        <v>0.17</v>
      </c>
      <c r="BJ12" s="192" t="n">
        <v>0.3975</v>
      </c>
    </row>
    <row r="13" customFormat="false" ht="12.75" hidden="false" customHeight="false" outlineLevel="0" collapsed="false">
      <c r="A13" s="194" t="e">
        <f aca="false">#REF!-B13</f>
        <v>#REF!</v>
      </c>
      <c r="B13" s="194" t="n">
        <v>4.321</v>
      </c>
      <c r="C13" s="200" t="n">
        <v>37012</v>
      </c>
      <c r="D13" s="194" t="n">
        <v>4.445</v>
      </c>
      <c r="E13" s="194" t="n">
        <v>0.3975</v>
      </c>
      <c r="F13" s="194" t="n">
        <v>0.068096132754615</v>
      </c>
      <c r="G13" s="194" t="n">
        <v>-0.135</v>
      </c>
      <c r="H13" s="194" t="n">
        <v>-0.155</v>
      </c>
      <c r="I13" s="194" t="n">
        <v>-0.0925</v>
      </c>
      <c r="J13" s="194" t="n">
        <v>-0.13</v>
      </c>
      <c r="K13" s="194" t="n">
        <v>-0.0975</v>
      </c>
      <c r="L13" s="194" t="n">
        <v>-0.06</v>
      </c>
      <c r="M13" s="194" t="n">
        <v>-0.08</v>
      </c>
      <c r="N13" s="194" t="n">
        <v>-0.105</v>
      </c>
      <c r="O13" s="194" t="n">
        <v>-0.135</v>
      </c>
      <c r="P13" s="192" t="n">
        <v>-0.135</v>
      </c>
      <c r="Q13" s="192" t="n">
        <v>-0.1</v>
      </c>
      <c r="R13" s="192" t="n">
        <v>-0.0675</v>
      </c>
      <c r="S13" s="192" t="n">
        <v>0.1575</v>
      </c>
      <c r="T13" s="192" t="n">
        <v>0.1575</v>
      </c>
      <c r="U13" s="192" t="n">
        <v>0.06</v>
      </c>
      <c r="V13" s="192" t="n">
        <v>-0.01</v>
      </c>
      <c r="W13" s="196" t="n">
        <v>0.2</v>
      </c>
      <c r="X13" s="196" t="n">
        <v>0.23</v>
      </c>
      <c r="Y13" s="196" t="n">
        <v>-0.025</v>
      </c>
      <c r="Z13" s="196" t="n">
        <v>-0.03275</v>
      </c>
      <c r="AA13" s="196" t="n">
        <v>0.00475</v>
      </c>
      <c r="AB13" s="196" t="n">
        <v>-0.02275</v>
      </c>
      <c r="AC13" s="196" t="n">
        <v>0.005</v>
      </c>
      <c r="AD13" s="196" t="n">
        <v>-0.01</v>
      </c>
      <c r="AE13" s="196" t="n">
        <v>-0.06</v>
      </c>
      <c r="AF13" s="196" t="n">
        <v>-0.0525</v>
      </c>
      <c r="AG13" s="197" t="n">
        <v>-0.0675</v>
      </c>
      <c r="AH13" s="196" t="n">
        <v>-0.02</v>
      </c>
      <c r="AI13" s="198" t="n">
        <v>-0.078</v>
      </c>
      <c r="AJ13" s="198" t="n">
        <v>-0.1325</v>
      </c>
      <c r="AK13" s="199" t="n">
        <v>-0.0275</v>
      </c>
      <c r="AL13" s="192" t="n">
        <v>0.0075</v>
      </c>
      <c r="AM13" s="192" t="n">
        <v>0.405</v>
      </c>
      <c r="AN13" s="192" t="n">
        <v>0.015</v>
      </c>
      <c r="AO13" s="192" t="n">
        <v>-0.6025</v>
      </c>
      <c r="AP13" s="192" t="n">
        <v>-0.1375</v>
      </c>
      <c r="AQ13" s="192" t="n">
        <v>-0.3</v>
      </c>
      <c r="AR13" s="192" t="n">
        <v>-0.35</v>
      </c>
      <c r="AS13" s="192" t="n">
        <v>-0.5375</v>
      </c>
      <c r="AT13" s="192" t="n">
        <v>-0.6025</v>
      </c>
      <c r="AU13" s="192" t="n">
        <v>-0.04</v>
      </c>
      <c r="AV13" s="192" t="n">
        <v>-0.6025</v>
      </c>
      <c r="AW13" s="192" t="n">
        <v>-0.1175</v>
      </c>
      <c r="AX13" s="192" t="n">
        <v>-0.065</v>
      </c>
      <c r="AY13" s="192" t="n">
        <v>-0.1175</v>
      </c>
      <c r="AZ13" s="192" t="n">
        <v>-0.0675</v>
      </c>
      <c r="BA13" s="192" t="n">
        <v>-0.0975</v>
      </c>
      <c r="BB13" s="192" t="n">
        <v>-0.025</v>
      </c>
      <c r="BC13" s="192" t="n">
        <v>-0.0725</v>
      </c>
      <c r="BD13" s="192" t="n">
        <v>-0.02</v>
      </c>
      <c r="BE13" s="192" t="n">
        <v>-0.06</v>
      </c>
      <c r="BF13" s="192" t="n">
        <v>0.12</v>
      </c>
      <c r="BG13" s="192" t="n">
        <v>0.1725</v>
      </c>
      <c r="BH13" s="192" t="n">
        <v>0.1825</v>
      </c>
      <c r="BI13" s="192" t="n">
        <v>0.1575</v>
      </c>
      <c r="BJ13" s="192" t="n">
        <v>0.335</v>
      </c>
    </row>
    <row r="14" customFormat="false" ht="12.75" hidden="false" customHeight="false" outlineLevel="0" collapsed="false">
      <c r="A14" s="194" t="e">
        <f aca="false">#REF!-B14</f>
        <v>#REF!</v>
      </c>
      <c r="B14" s="194" t="n">
        <v>4.101</v>
      </c>
      <c r="C14" s="200" t="n">
        <v>37043</v>
      </c>
      <c r="D14" s="194" t="n">
        <v>4.42</v>
      </c>
      <c r="E14" s="194" t="n">
        <v>0.3925</v>
      </c>
      <c r="F14" s="194" t="n">
        <v>0.067932306764864</v>
      </c>
      <c r="G14" s="194" t="n">
        <v>-0.13</v>
      </c>
      <c r="H14" s="194" t="n">
        <v>-0.15</v>
      </c>
      <c r="I14" s="194" t="n">
        <v>-0.0875</v>
      </c>
      <c r="J14" s="194" t="n">
        <v>-0.13</v>
      </c>
      <c r="K14" s="194" t="n">
        <v>-0.0925</v>
      </c>
      <c r="L14" s="194" t="n">
        <v>-0.06</v>
      </c>
      <c r="M14" s="194" t="n">
        <v>-0.075</v>
      </c>
      <c r="N14" s="194" t="n">
        <v>-0.1</v>
      </c>
      <c r="O14" s="194" t="n">
        <v>-0.13</v>
      </c>
      <c r="P14" s="192" t="n">
        <v>-0.13</v>
      </c>
      <c r="Q14" s="192" t="n">
        <v>-0.1</v>
      </c>
      <c r="R14" s="192" t="n">
        <v>-0.0675</v>
      </c>
      <c r="S14" s="192" t="n">
        <v>0.1525</v>
      </c>
      <c r="T14" s="192" t="n">
        <v>0.1525</v>
      </c>
      <c r="U14" s="192" t="n">
        <v>0.0575</v>
      </c>
      <c r="V14" s="192" t="n">
        <v>0.15</v>
      </c>
      <c r="W14" s="196" t="n">
        <v>0.2</v>
      </c>
      <c r="X14" s="196" t="n">
        <v>0.23</v>
      </c>
      <c r="Y14" s="196" t="n">
        <v>-0.025</v>
      </c>
      <c r="Z14" s="196" t="n">
        <v>-0.03275</v>
      </c>
      <c r="AA14" s="196" t="n">
        <v>0.00475</v>
      </c>
      <c r="AB14" s="196" t="n">
        <v>-0.02275</v>
      </c>
      <c r="AC14" s="196" t="n">
        <v>0.005</v>
      </c>
      <c r="AD14" s="196" t="n">
        <v>-0.01</v>
      </c>
      <c r="AE14" s="196" t="n">
        <v>-0.06</v>
      </c>
      <c r="AF14" s="196" t="n">
        <v>-0.0525</v>
      </c>
      <c r="AG14" s="197" t="n">
        <v>-0.0675</v>
      </c>
      <c r="AH14" s="196" t="n">
        <v>-0.02</v>
      </c>
      <c r="AI14" s="198" t="n">
        <v>-0.094</v>
      </c>
      <c r="AJ14" s="198" t="n">
        <v>-0.1325</v>
      </c>
      <c r="AK14" s="199" t="n">
        <v>-0.0275</v>
      </c>
      <c r="AL14" s="192" t="n">
        <v>0.0075</v>
      </c>
      <c r="AM14" s="192" t="n">
        <v>0.395</v>
      </c>
      <c r="AN14" s="192" t="n">
        <v>0.025</v>
      </c>
      <c r="AO14" s="192" t="n">
        <v>-0.6025</v>
      </c>
      <c r="AP14" s="192" t="n">
        <v>-0.1375</v>
      </c>
      <c r="AQ14" s="192" t="n">
        <v>-0.3</v>
      </c>
      <c r="AR14" s="192" t="n">
        <v>-0.35</v>
      </c>
      <c r="AS14" s="192" t="n">
        <v>-0.5375</v>
      </c>
      <c r="AT14" s="192" t="n">
        <v>-0.6025</v>
      </c>
      <c r="AU14" s="192" t="n">
        <v>0.12</v>
      </c>
      <c r="AV14" s="192" t="n">
        <v>-0.6025</v>
      </c>
      <c r="AW14" s="192" t="n">
        <v>-0.11</v>
      </c>
      <c r="AX14" s="192" t="n">
        <v>-0.065</v>
      </c>
      <c r="AY14" s="192" t="n">
        <v>-0.11</v>
      </c>
      <c r="AZ14" s="192" t="n">
        <v>-0.0675</v>
      </c>
      <c r="BA14" s="192" t="n">
        <v>-0.095</v>
      </c>
      <c r="BB14" s="192" t="n">
        <v>-0.025</v>
      </c>
      <c r="BC14" s="192" t="n">
        <v>-0.0725</v>
      </c>
      <c r="BD14" s="192" t="n">
        <v>-0.01</v>
      </c>
      <c r="BE14" s="192" t="n">
        <v>-0.06</v>
      </c>
      <c r="BF14" s="192" t="n">
        <v>0.12</v>
      </c>
      <c r="BG14" s="192" t="n">
        <v>0.1725</v>
      </c>
      <c r="BH14" s="192" t="n">
        <v>0.1775</v>
      </c>
      <c r="BI14" s="192" t="n">
        <v>0.1525</v>
      </c>
      <c r="BJ14" s="192" t="n">
        <v>0.335</v>
      </c>
    </row>
    <row r="15" customFormat="false" ht="12.75" hidden="false" customHeight="false" outlineLevel="0" collapsed="false">
      <c r="A15" s="194" t="e">
        <f aca="false">#REF!-B15</f>
        <v>#REF!</v>
      </c>
      <c r="B15" s="194" t="n">
        <v>3.861</v>
      </c>
      <c r="C15" s="200" t="n">
        <v>37073</v>
      </c>
      <c r="D15" s="194" t="n">
        <v>4.4</v>
      </c>
      <c r="E15" s="194" t="n">
        <v>0.3925</v>
      </c>
      <c r="F15" s="194" t="n">
        <v>0.067795554865608</v>
      </c>
      <c r="G15" s="194" t="n">
        <v>-0.13</v>
      </c>
      <c r="H15" s="194" t="n">
        <v>-0.15</v>
      </c>
      <c r="I15" s="194" t="n">
        <v>-0.0875</v>
      </c>
      <c r="J15" s="194" t="n">
        <v>-0.13</v>
      </c>
      <c r="K15" s="194" t="n">
        <v>-0.0925</v>
      </c>
      <c r="L15" s="194" t="n">
        <v>-0.06</v>
      </c>
      <c r="M15" s="194" t="n">
        <v>-0.075</v>
      </c>
      <c r="N15" s="194" t="n">
        <v>-0.1</v>
      </c>
      <c r="O15" s="194" t="n">
        <v>-0.13</v>
      </c>
      <c r="P15" s="192" t="n">
        <v>-0.13</v>
      </c>
      <c r="Q15" s="192" t="n">
        <v>-0.1</v>
      </c>
      <c r="R15" s="192" t="n">
        <v>-0.0675</v>
      </c>
      <c r="S15" s="192" t="n">
        <v>0.145</v>
      </c>
      <c r="T15" s="192" t="n">
        <v>0.145</v>
      </c>
      <c r="U15" s="192" t="n">
        <v>0.0475</v>
      </c>
      <c r="V15" s="192" t="n">
        <v>0.6225</v>
      </c>
      <c r="W15" s="196" t="n">
        <v>0.2</v>
      </c>
      <c r="X15" s="196" t="n">
        <v>0.2425</v>
      </c>
      <c r="Y15" s="196" t="n">
        <v>-0.025</v>
      </c>
      <c r="Z15" s="196" t="n">
        <v>-0.03275</v>
      </c>
      <c r="AA15" s="196" t="n">
        <v>0.00475</v>
      </c>
      <c r="AB15" s="196" t="n">
        <v>-0.02275</v>
      </c>
      <c r="AC15" s="196" t="n">
        <v>0.005</v>
      </c>
      <c r="AD15" s="196" t="n">
        <v>-0.01</v>
      </c>
      <c r="AE15" s="196" t="n">
        <v>-0.06</v>
      </c>
      <c r="AF15" s="196" t="n">
        <v>-0.0525</v>
      </c>
      <c r="AG15" s="197" t="n">
        <v>-0.0675</v>
      </c>
      <c r="AH15" s="196" t="n">
        <v>-0.02</v>
      </c>
      <c r="AI15" s="198" t="n">
        <v>-0.087</v>
      </c>
      <c r="AJ15" s="198" t="n">
        <v>-0.1325</v>
      </c>
      <c r="AK15" s="199" t="n">
        <v>-0.0275</v>
      </c>
      <c r="AL15" s="192" t="n">
        <v>0.0075</v>
      </c>
      <c r="AM15" s="192" t="n">
        <v>0.46</v>
      </c>
      <c r="AN15" s="192" t="n">
        <v>0.03</v>
      </c>
      <c r="AO15" s="192" t="n">
        <v>-0.6375</v>
      </c>
      <c r="AP15" s="192" t="n">
        <v>-0.1375</v>
      </c>
      <c r="AQ15" s="192" t="n">
        <v>-0.3</v>
      </c>
      <c r="AR15" s="192" t="n">
        <v>-0.35</v>
      </c>
      <c r="AS15" s="192" t="n">
        <v>-0.5725</v>
      </c>
      <c r="AT15" s="192" t="n">
        <v>-0.6375</v>
      </c>
      <c r="AU15" s="192" t="n">
        <v>0.5925</v>
      </c>
      <c r="AV15" s="192" t="n">
        <v>-0.6375</v>
      </c>
      <c r="AW15" s="192" t="n">
        <v>-0.1175</v>
      </c>
      <c r="AX15" s="192" t="n">
        <v>-0.065</v>
      </c>
      <c r="AY15" s="192" t="n">
        <v>-0.1175</v>
      </c>
      <c r="AZ15" s="192" t="n">
        <v>-0.0675</v>
      </c>
      <c r="BA15" s="192" t="n">
        <v>-0.09</v>
      </c>
      <c r="BB15" s="192" t="n">
        <v>-0.025</v>
      </c>
      <c r="BC15" s="192" t="n">
        <v>-0.0725</v>
      </c>
      <c r="BD15" s="192" t="n">
        <v>-0.005</v>
      </c>
      <c r="BE15" s="192" t="n">
        <v>-0.06</v>
      </c>
      <c r="BF15" s="192" t="n">
        <v>0.12</v>
      </c>
      <c r="BG15" s="192" t="n">
        <v>0.1725</v>
      </c>
      <c r="BH15" s="192" t="n">
        <v>0.17</v>
      </c>
      <c r="BI15" s="192" t="n">
        <v>0.145</v>
      </c>
      <c r="BJ15" s="192" t="n">
        <v>0.3475</v>
      </c>
    </row>
    <row r="16" customFormat="false" ht="12.75" hidden="false" customHeight="false" outlineLevel="0" collapsed="false">
      <c r="A16" s="194" t="e">
        <f aca="false">#REF!-B16</f>
        <v>#REF!</v>
      </c>
      <c r="B16" s="194" t="n">
        <v>3.735</v>
      </c>
      <c r="C16" s="200" t="n">
        <v>37104</v>
      </c>
      <c r="D16" s="194" t="n">
        <v>4.39</v>
      </c>
      <c r="E16" s="194" t="n">
        <v>0.3925</v>
      </c>
      <c r="F16" s="194" t="n">
        <v>0.067695044006758</v>
      </c>
      <c r="G16" s="194" t="n">
        <v>-0.13</v>
      </c>
      <c r="H16" s="194" t="n">
        <v>-0.15</v>
      </c>
      <c r="I16" s="194" t="n">
        <v>-0.0875</v>
      </c>
      <c r="J16" s="194" t="n">
        <v>-0.13</v>
      </c>
      <c r="K16" s="194" t="n">
        <v>-0.0925</v>
      </c>
      <c r="L16" s="194" t="n">
        <v>-0.06</v>
      </c>
      <c r="M16" s="194" t="n">
        <v>-0.075</v>
      </c>
      <c r="N16" s="194" t="n">
        <v>-0.1</v>
      </c>
      <c r="O16" s="194" t="n">
        <v>-0.13</v>
      </c>
      <c r="P16" s="192" t="n">
        <v>-0.13</v>
      </c>
      <c r="Q16" s="192" t="n">
        <v>-0.1</v>
      </c>
      <c r="R16" s="192" t="n">
        <v>-0.0675</v>
      </c>
      <c r="S16" s="192" t="n">
        <v>0.1425</v>
      </c>
      <c r="T16" s="192" t="n">
        <v>0.1425</v>
      </c>
      <c r="U16" s="192" t="n">
        <v>0.06</v>
      </c>
      <c r="V16" s="192" t="n">
        <v>0.7375</v>
      </c>
      <c r="W16" s="196" t="n">
        <v>0.2</v>
      </c>
      <c r="X16" s="196" t="n">
        <v>0.2425</v>
      </c>
      <c r="Y16" s="196" t="n">
        <v>-0.025</v>
      </c>
      <c r="Z16" s="196" t="n">
        <v>-0.03275</v>
      </c>
      <c r="AA16" s="196" t="n">
        <v>0.00475</v>
      </c>
      <c r="AB16" s="196" t="n">
        <v>-0.02275</v>
      </c>
      <c r="AC16" s="196" t="n">
        <v>0.005</v>
      </c>
      <c r="AD16" s="196" t="n">
        <v>-0.01</v>
      </c>
      <c r="AE16" s="196" t="n">
        <v>-0.06</v>
      </c>
      <c r="AF16" s="196" t="n">
        <v>-0.0525</v>
      </c>
      <c r="AG16" s="197" t="n">
        <v>-0.0675</v>
      </c>
      <c r="AH16" s="196" t="n">
        <v>-0.02</v>
      </c>
      <c r="AI16" s="198" t="n">
        <v>-0.068</v>
      </c>
      <c r="AJ16" s="198" t="n">
        <v>-0.1325</v>
      </c>
      <c r="AK16" s="199" t="n">
        <v>-0.0275</v>
      </c>
      <c r="AL16" s="192" t="n">
        <v>0.0075</v>
      </c>
      <c r="AM16" s="192" t="n">
        <v>0.46</v>
      </c>
      <c r="AN16" s="192" t="n">
        <v>0.0325</v>
      </c>
      <c r="AO16" s="192" t="n">
        <v>-0.6375</v>
      </c>
      <c r="AP16" s="192" t="n">
        <v>-0.1375</v>
      </c>
      <c r="AQ16" s="192" t="n">
        <v>-0.3</v>
      </c>
      <c r="AR16" s="192" t="n">
        <v>-0.35</v>
      </c>
      <c r="AS16" s="192" t="n">
        <v>-0.5725</v>
      </c>
      <c r="AT16" s="192" t="n">
        <v>-0.6375</v>
      </c>
      <c r="AU16" s="192" t="n">
        <v>0.7075</v>
      </c>
      <c r="AV16" s="192" t="n">
        <v>-0.6375</v>
      </c>
      <c r="AW16" s="192" t="n">
        <v>-0.105</v>
      </c>
      <c r="AX16" s="192" t="n">
        <v>-0.065</v>
      </c>
      <c r="AY16" s="192" t="n">
        <v>-0.105</v>
      </c>
      <c r="AZ16" s="192" t="n">
        <v>-0.0675</v>
      </c>
      <c r="BA16" s="192" t="n">
        <v>-0.09</v>
      </c>
      <c r="BB16" s="192" t="n">
        <v>-0.025</v>
      </c>
      <c r="BC16" s="192" t="n">
        <v>-0.0725</v>
      </c>
      <c r="BD16" s="192" t="n">
        <v>-0.0025</v>
      </c>
      <c r="BE16" s="192" t="n">
        <v>-0.06</v>
      </c>
      <c r="BF16" s="192" t="n">
        <v>0.12</v>
      </c>
      <c r="BG16" s="192" t="n">
        <v>0.1725</v>
      </c>
      <c r="BH16" s="192" t="n">
        <v>0.1675</v>
      </c>
      <c r="BI16" s="192" t="n">
        <v>0.1425</v>
      </c>
      <c r="BJ16" s="192" t="n">
        <v>0.3475</v>
      </c>
    </row>
    <row r="17" customFormat="false" ht="12.75" hidden="false" customHeight="false" outlineLevel="0" collapsed="false">
      <c r="A17" s="194" t="e">
        <f aca="false">#REF!-B17</f>
        <v>#REF!</v>
      </c>
      <c r="B17" s="194" t="n">
        <v>3.71</v>
      </c>
      <c r="C17" s="200" t="n">
        <v>37135</v>
      </c>
      <c r="D17" s="194" t="n">
        <v>4.37</v>
      </c>
      <c r="E17" s="194" t="n">
        <v>0.395</v>
      </c>
      <c r="F17" s="194" t="n">
        <v>0.067594533151252</v>
      </c>
      <c r="G17" s="194" t="n">
        <v>-0.125</v>
      </c>
      <c r="H17" s="194" t="n">
        <v>-0.145</v>
      </c>
      <c r="I17" s="194" t="n">
        <v>-0.0825</v>
      </c>
      <c r="J17" s="194" t="n">
        <v>-0.13</v>
      </c>
      <c r="K17" s="194" t="n">
        <v>-0.0875</v>
      </c>
      <c r="L17" s="194" t="n">
        <v>-0.06</v>
      </c>
      <c r="M17" s="194" t="n">
        <v>-0.07</v>
      </c>
      <c r="N17" s="194" t="n">
        <v>-0.095</v>
      </c>
      <c r="O17" s="194" t="n">
        <v>-0.125</v>
      </c>
      <c r="P17" s="192" t="n">
        <v>-0.125</v>
      </c>
      <c r="Q17" s="192" t="n">
        <v>-0.1</v>
      </c>
      <c r="R17" s="192" t="n">
        <v>-0.0675</v>
      </c>
      <c r="S17" s="192" t="n">
        <v>0.1425</v>
      </c>
      <c r="T17" s="192" t="n">
        <v>0.1425</v>
      </c>
      <c r="U17" s="192" t="n">
        <v>0.06</v>
      </c>
      <c r="V17" s="192" t="n">
        <v>0.7175</v>
      </c>
      <c r="W17" s="196" t="n">
        <v>0.2</v>
      </c>
      <c r="X17" s="196" t="n">
        <v>0.22</v>
      </c>
      <c r="Y17" s="196" t="n">
        <v>-0.025</v>
      </c>
      <c r="Z17" s="196" t="n">
        <v>-0.03275</v>
      </c>
      <c r="AA17" s="196" t="n">
        <v>0.00475</v>
      </c>
      <c r="AB17" s="196" t="n">
        <v>-0.02275</v>
      </c>
      <c r="AC17" s="196" t="n">
        <v>0.005</v>
      </c>
      <c r="AD17" s="196" t="n">
        <v>-0.01</v>
      </c>
      <c r="AE17" s="196" t="n">
        <v>-0.06</v>
      </c>
      <c r="AF17" s="196" t="n">
        <v>-0.0525</v>
      </c>
      <c r="AG17" s="197" t="n">
        <v>-0.0675</v>
      </c>
      <c r="AH17" s="196" t="n">
        <v>-0.02</v>
      </c>
      <c r="AI17" s="198" t="n">
        <v>-0.066</v>
      </c>
      <c r="AJ17" s="198" t="n">
        <v>-0.1325</v>
      </c>
      <c r="AK17" s="199" t="n">
        <v>-0.0275</v>
      </c>
      <c r="AL17" s="192" t="n">
        <v>0.0075</v>
      </c>
      <c r="AM17" s="192" t="n">
        <v>0.395</v>
      </c>
      <c r="AN17" s="192" t="n">
        <v>0.03</v>
      </c>
      <c r="AO17" s="192" t="n">
        <v>-0.6375</v>
      </c>
      <c r="AP17" s="192" t="n">
        <v>-0.1375</v>
      </c>
      <c r="AQ17" s="192" t="n">
        <v>-0.3</v>
      </c>
      <c r="AR17" s="192" t="n">
        <v>-0.35</v>
      </c>
      <c r="AS17" s="192" t="n">
        <v>-0.5725</v>
      </c>
      <c r="AT17" s="192" t="n">
        <v>-0.6375</v>
      </c>
      <c r="AU17" s="192" t="n">
        <v>0.6875</v>
      </c>
      <c r="AV17" s="192" t="n">
        <v>-0.6375</v>
      </c>
      <c r="AW17" s="192" t="n">
        <v>-0.11</v>
      </c>
      <c r="AX17" s="192" t="n">
        <v>-0.065</v>
      </c>
      <c r="AY17" s="192" t="n">
        <v>-0.11</v>
      </c>
      <c r="AZ17" s="192" t="n">
        <v>-0.0675</v>
      </c>
      <c r="BA17" s="192" t="n">
        <v>-0.105</v>
      </c>
      <c r="BB17" s="192" t="n">
        <v>-0.025</v>
      </c>
      <c r="BC17" s="192" t="n">
        <v>-0.0725</v>
      </c>
      <c r="BD17" s="192" t="n">
        <v>-0.005</v>
      </c>
      <c r="BE17" s="192" t="n">
        <v>-0.06</v>
      </c>
      <c r="BF17" s="192" t="n">
        <v>0.12</v>
      </c>
      <c r="BG17" s="192" t="n">
        <v>0.1725</v>
      </c>
      <c r="BH17" s="192" t="n">
        <v>0.1675</v>
      </c>
      <c r="BI17" s="192" t="n">
        <v>0.1425</v>
      </c>
      <c r="BJ17" s="192" t="n">
        <v>0.3375</v>
      </c>
    </row>
    <row r="18" customFormat="false" ht="12.75" hidden="false" customHeight="false" outlineLevel="0" collapsed="false">
      <c r="A18" s="194" t="e">
        <f aca="false">#REF!-B18</f>
        <v>#REF!</v>
      </c>
      <c r="B18" s="194" t="n">
        <v>3.71</v>
      </c>
      <c r="C18" s="200" t="n">
        <v>37165</v>
      </c>
      <c r="D18" s="194" t="n">
        <v>4.36</v>
      </c>
      <c r="E18" s="194" t="n">
        <v>0.4025</v>
      </c>
      <c r="F18" s="194" t="n">
        <v>0.067509261584356</v>
      </c>
      <c r="G18" s="194" t="n">
        <v>-0.12</v>
      </c>
      <c r="H18" s="194" t="n">
        <v>-0.14</v>
      </c>
      <c r="I18" s="194" t="n">
        <v>-0.0775</v>
      </c>
      <c r="J18" s="194" t="n">
        <v>-0.13</v>
      </c>
      <c r="K18" s="194" t="n">
        <v>-0.0825</v>
      </c>
      <c r="L18" s="194" t="n">
        <v>-0.06</v>
      </c>
      <c r="M18" s="194" t="n">
        <v>-0.065</v>
      </c>
      <c r="N18" s="194" t="n">
        <v>-0.09</v>
      </c>
      <c r="O18" s="194" t="n">
        <v>-0.12</v>
      </c>
      <c r="P18" s="192" t="n">
        <v>-0.12</v>
      </c>
      <c r="Q18" s="192" t="n">
        <v>-0.1</v>
      </c>
      <c r="R18" s="192" t="n">
        <v>-0.0675</v>
      </c>
      <c r="S18" s="192" t="n">
        <v>0.1575</v>
      </c>
      <c r="T18" s="192" t="n">
        <v>0.1575</v>
      </c>
      <c r="U18" s="192" t="n">
        <v>0.08</v>
      </c>
      <c r="V18" s="192" t="n">
        <v>0.1525</v>
      </c>
      <c r="W18" s="196" t="n">
        <v>0.2</v>
      </c>
      <c r="X18" s="196" t="n">
        <v>0.24</v>
      </c>
      <c r="Y18" s="196" t="n">
        <v>-0.025</v>
      </c>
      <c r="Z18" s="196" t="n">
        <v>-0.03275</v>
      </c>
      <c r="AA18" s="196" t="n">
        <v>0.00475</v>
      </c>
      <c r="AB18" s="196" t="n">
        <v>-0.02275</v>
      </c>
      <c r="AC18" s="196" t="n">
        <v>0.005</v>
      </c>
      <c r="AD18" s="196" t="n">
        <v>-0.01</v>
      </c>
      <c r="AE18" s="196" t="n">
        <v>-0.06</v>
      </c>
      <c r="AF18" s="196" t="n">
        <v>-0.0525</v>
      </c>
      <c r="AG18" s="197" t="n">
        <v>-0.0675</v>
      </c>
      <c r="AH18" s="196" t="n">
        <v>-0.02</v>
      </c>
      <c r="AI18" s="198" t="n">
        <v>-0.068</v>
      </c>
      <c r="AJ18" s="198" t="n">
        <v>-0.1325</v>
      </c>
      <c r="AK18" s="199" t="n">
        <v>-0.0275</v>
      </c>
      <c r="AL18" s="192" t="n">
        <v>0.0075</v>
      </c>
      <c r="AM18" s="192" t="n">
        <v>0.461</v>
      </c>
      <c r="AN18" s="192" t="n">
        <v>0.0125</v>
      </c>
      <c r="AO18" s="192" t="n">
        <v>-0.6375</v>
      </c>
      <c r="AP18" s="192" t="n">
        <v>-0.1375</v>
      </c>
      <c r="AQ18" s="192" t="n">
        <v>-0.3</v>
      </c>
      <c r="AR18" s="192" t="n">
        <v>-0.35</v>
      </c>
      <c r="AS18" s="192" t="n">
        <v>-0.5725</v>
      </c>
      <c r="AT18" s="192" t="n">
        <v>-0.6375</v>
      </c>
      <c r="AU18" s="192" t="n">
        <v>0.1225</v>
      </c>
      <c r="AV18" s="192" t="n">
        <v>-0.6375</v>
      </c>
      <c r="AW18" s="192" t="n">
        <v>-0.12</v>
      </c>
      <c r="AX18" s="192" t="n">
        <v>-0.065</v>
      </c>
      <c r="AY18" s="192" t="n">
        <v>-0.12</v>
      </c>
      <c r="AZ18" s="192" t="n">
        <v>-0.0675</v>
      </c>
      <c r="BA18" s="192" t="n">
        <v>-0.1075</v>
      </c>
      <c r="BB18" s="192" t="n">
        <v>-0.025</v>
      </c>
      <c r="BC18" s="192" t="n">
        <v>-0.0725</v>
      </c>
      <c r="BD18" s="192" t="n">
        <v>-0.0225</v>
      </c>
      <c r="BE18" s="192" t="n">
        <v>-0.06</v>
      </c>
      <c r="BF18" s="192" t="n">
        <v>0.12</v>
      </c>
      <c r="BG18" s="192" t="n">
        <v>0.1725</v>
      </c>
      <c r="BH18" s="192" t="n">
        <v>0.1825</v>
      </c>
      <c r="BI18" s="192" t="n">
        <v>0.1575</v>
      </c>
      <c r="BJ18" s="192" t="n">
        <v>0.35</v>
      </c>
    </row>
    <row r="19" customFormat="false" ht="12.75" hidden="false" customHeight="false" outlineLevel="0" collapsed="false">
      <c r="A19" s="194" t="e">
        <f aca="false">#REF!-B19</f>
        <v>#REF!</v>
      </c>
      <c r="B19" s="194" t="n">
        <v>3.72</v>
      </c>
      <c r="C19" s="200" t="n">
        <v>37196</v>
      </c>
      <c r="D19" s="194" t="n">
        <v>4.465</v>
      </c>
      <c r="E19" s="194" t="n">
        <v>0.4075</v>
      </c>
      <c r="F19" s="194" t="n">
        <v>0.067440746905213</v>
      </c>
      <c r="G19" s="194" t="n">
        <v>-0.1275</v>
      </c>
      <c r="H19" s="194" t="n">
        <v>-0.145</v>
      </c>
      <c r="I19" s="194" t="n">
        <v>-0.0325</v>
      </c>
      <c r="J19" s="194" t="n">
        <v>-0.1475</v>
      </c>
      <c r="K19" s="194" t="n">
        <v>0.0025</v>
      </c>
      <c r="L19" s="194" t="n">
        <v>-0.0775</v>
      </c>
      <c r="M19" s="194" t="n">
        <v>-0.0875</v>
      </c>
      <c r="N19" s="194" t="n">
        <v>-0.0975</v>
      </c>
      <c r="O19" s="194" t="n">
        <v>-0.1275</v>
      </c>
      <c r="P19" s="192" t="n">
        <v>-0.1275</v>
      </c>
      <c r="Q19" s="192" t="n">
        <v>-0.11125</v>
      </c>
      <c r="R19" s="192" t="n">
        <v>-0.07</v>
      </c>
      <c r="S19" s="192" t="n">
        <v>0.2275</v>
      </c>
      <c r="T19" s="192" t="n">
        <v>0.2275</v>
      </c>
      <c r="U19" s="192" t="n">
        <v>0.1275</v>
      </c>
      <c r="V19" s="192" t="n">
        <v>0.415</v>
      </c>
      <c r="W19" s="196" t="n">
        <v>0.33</v>
      </c>
      <c r="X19" s="196" t="n">
        <v>0.44</v>
      </c>
      <c r="Y19" s="196" t="n">
        <v>-0.028</v>
      </c>
      <c r="Z19" s="196" t="n">
        <v>-0.045</v>
      </c>
      <c r="AA19" s="196" t="n">
        <v>-0.01</v>
      </c>
      <c r="AB19" s="196" t="n">
        <v>-0.0375</v>
      </c>
      <c r="AC19" s="196" t="n">
        <v>0.0025</v>
      </c>
      <c r="AD19" s="196" t="n">
        <v>-0.015</v>
      </c>
      <c r="AE19" s="196" t="n">
        <v>-0.06</v>
      </c>
      <c r="AF19" s="196" t="n">
        <v>-0.05</v>
      </c>
      <c r="AG19" s="197" t="n">
        <v>-0.0655</v>
      </c>
      <c r="AH19" s="196" t="n">
        <v>-0.0215</v>
      </c>
      <c r="AI19" s="198" t="n">
        <v>-0.0825</v>
      </c>
      <c r="AJ19" s="198" t="n">
        <v>-0.1525</v>
      </c>
      <c r="AK19" s="199" t="n">
        <v>-0.0225</v>
      </c>
      <c r="AL19" s="192" t="n">
        <v>0.0125</v>
      </c>
      <c r="AM19" s="192" t="n">
        <v>1.19</v>
      </c>
      <c r="AN19" s="192" t="n">
        <v>-0.0375</v>
      </c>
      <c r="AO19" s="192" t="n">
        <v>-0.38</v>
      </c>
      <c r="AP19" s="192" t="n">
        <v>-0.14</v>
      </c>
      <c r="AQ19" s="192" t="n">
        <v>-0.2675</v>
      </c>
      <c r="AR19" s="192" t="n">
        <v>0.12</v>
      </c>
      <c r="AS19" s="192" t="n">
        <v>-0.33</v>
      </c>
      <c r="AT19" s="192" t="n">
        <v>-0.38</v>
      </c>
      <c r="AU19" s="192" t="n">
        <v>0.22</v>
      </c>
      <c r="AV19" s="192" t="n">
        <v>-0.38</v>
      </c>
      <c r="AW19" s="192" t="n">
        <v>-0.125</v>
      </c>
      <c r="AX19" s="192" t="n">
        <v>-0.125</v>
      </c>
      <c r="AY19" s="192" t="n">
        <v>-0.125</v>
      </c>
      <c r="AZ19" s="192" t="n">
        <v>-0.07</v>
      </c>
      <c r="BA19" s="192" t="n">
        <v>-0.1125</v>
      </c>
      <c r="BB19" s="192" t="n">
        <v>-0.0265</v>
      </c>
      <c r="BC19" s="192" t="n">
        <v>-0.1025</v>
      </c>
      <c r="BD19" s="192" t="n">
        <v>-0.0725</v>
      </c>
      <c r="BE19" s="192" t="n">
        <v>-0.06</v>
      </c>
      <c r="BF19" s="192" t="n">
        <v>0.21</v>
      </c>
      <c r="BG19" s="192" t="n">
        <v>0.295</v>
      </c>
      <c r="BH19" s="192" t="n">
        <v>0.2625</v>
      </c>
      <c r="BI19" s="192" t="n">
        <v>0.2275</v>
      </c>
      <c r="BJ19" s="192" t="n">
        <v>0.71</v>
      </c>
    </row>
    <row r="20" customFormat="false" ht="12.75" hidden="false" customHeight="false" outlineLevel="0" collapsed="false">
      <c r="A20" s="194" t="e">
        <f aca="false">#REF!-B20</f>
        <v>#REF!</v>
      </c>
      <c r="B20" s="194" t="n">
        <v>3.715</v>
      </c>
      <c r="C20" s="200" t="n">
        <v>37226</v>
      </c>
      <c r="D20" s="194" t="n">
        <v>4.56</v>
      </c>
      <c r="E20" s="194" t="n">
        <v>0.4125</v>
      </c>
      <c r="F20" s="194" t="n">
        <v>0.06737444237849</v>
      </c>
      <c r="G20" s="194" t="n">
        <v>-0.13</v>
      </c>
      <c r="H20" s="194" t="n">
        <v>-0.1475</v>
      </c>
      <c r="I20" s="194" t="n">
        <v>-0.0125</v>
      </c>
      <c r="J20" s="194" t="n">
        <v>-0.15</v>
      </c>
      <c r="K20" s="194" t="n">
        <v>0.0225</v>
      </c>
      <c r="L20" s="194" t="n">
        <v>-0.0775</v>
      </c>
      <c r="M20" s="194" t="n">
        <v>-0.09</v>
      </c>
      <c r="N20" s="194" t="n">
        <v>-0.1</v>
      </c>
      <c r="O20" s="194" t="n">
        <v>-0.13</v>
      </c>
      <c r="P20" s="192" t="n">
        <v>-0.13</v>
      </c>
      <c r="Q20" s="192" t="n">
        <v>-0.11125</v>
      </c>
      <c r="R20" s="192" t="n">
        <v>-0.07</v>
      </c>
      <c r="S20" s="192" t="n">
        <v>0.2675</v>
      </c>
      <c r="T20" s="192" t="n">
        <v>0.2675</v>
      </c>
      <c r="U20" s="192" t="n">
        <v>0.1675</v>
      </c>
      <c r="V20" s="192" t="n">
        <v>0.415</v>
      </c>
      <c r="W20" s="196" t="n">
        <v>0.36</v>
      </c>
      <c r="X20" s="196" t="n">
        <v>0.52</v>
      </c>
      <c r="Y20" s="196" t="n">
        <v>-0.0255</v>
      </c>
      <c r="Z20" s="196" t="n">
        <v>-0.045</v>
      </c>
      <c r="AA20" s="196" t="n">
        <v>-0.01</v>
      </c>
      <c r="AB20" s="196" t="n">
        <v>-0.0375</v>
      </c>
      <c r="AC20" s="196" t="n">
        <v>0.0025</v>
      </c>
      <c r="AD20" s="196" t="n">
        <v>-0.015</v>
      </c>
      <c r="AE20" s="196" t="n">
        <v>-0.06</v>
      </c>
      <c r="AF20" s="196" t="n">
        <v>-0.05</v>
      </c>
      <c r="AG20" s="197" t="n">
        <v>-0.0655</v>
      </c>
      <c r="AH20" s="196" t="n">
        <v>-0.0215</v>
      </c>
      <c r="AI20" s="198" t="n">
        <v>-0.0825</v>
      </c>
      <c r="AJ20" s="198" t="n">
        <v>-0.1525</v>
      </c>
      <c r="AK20" s="199" t="n">
        <v>-0.0225</v>
      </c>
      <c r="AL20" s="192" t="n">
        <v>0.0125</v>
      </c>
      <c r="AM20" s="192" t="n">
        <v>1.61</v>
      </c>
      <c r="AN20" s="192" t="n">
        <v>-0.06</v>
      </c>
      <c r="AO20" s="192" t="n">
        <v>-0.38</v>
      </c>
      <c r="AP20" s="192" t="n">
        <v>-0.135</v>
      </c>
      <c r="AQ20" s="192" t="n">
        <v>-0.2675</v>
      </c>
      <c r="AR20" s="192" t="n">
        <v>0.225</v>
      </c>
      <c r="AS20" s="192" t="n">
        <v>-0.33</v>
      </c>
      <c r="AT20" s="192" t="n">
        <v>-0.38</v>
      </c>
      <c r="AU20" s="192" t="n">
        <v>0.22</v>
      </c>
      <c r="AV20" s="192" t="n">
        <v>-0.38</v>
      </c>
      <c r="AW20" s="192" t="n">
        <v>-0.155</v>
      </c>
      <c r="AX20" s="192" t="n">
        <v>-0.125</v>
      </c>
      <c r="AY20" s="192" t="n">
        <v>-0.155</v>
      </c>
      <c r="AZ20" s="192" t="n">
        <v>-0.07</v>
      </c>
      <c r="BA20" s="192" t="n">
        <v>-0.145</v>
      </c>
      <c r="BB20" s="192" t="n">
        <v>-0.0265</v>
      </c>
      <c r="BC20" s="192" t="n">
        <v>-0.1025</v>
      </c>
      <c r="BD20" s="192" t="n">
        <v>-0.095</v>
      </c>
      <c r="BE20" s="192" t="n">
        <v>-0.06</v>
      </c>
      <c r="BF20" s="192" t="n">
        <v>0.21</v>
      </c>
      <c r="BG20" s="192" t="n">
        <v>0.25</v>
      </c>
      <c r="BH20" s="192" t="n">
        <v>0.3025</v>
      </c>
      <c r="BI20" s="192" t="n">
        <v>0.2675</v>
      </c>
      <c r="BJ20" s="192" t="n">
        <v>1.04</v>
      </c>
    </row>
    <row r="21" customFormat="false" ht="12.75" hidden="false" customHeight="false" outlineLevel="0" collapsed="false">
      <c r="A21" s="194" t="e">
        <f aca="false">#REF!-B21</f>
        <v>#REF!</v>
      </c>
      <c r="B21" s="194" t="n">
        <v>3.735</v>
      </c>
      <c r="C21" s="200" t="n">
        <v>37257</v>
      </c>
      <c r="D21" s="194" t="n">
        <v>4.525</v>
      </c>
      <c r="E21" s="194" t="n">
        <v>0.4175</v>
      </c>
      <c r="F21" s="194" t="n">
        <v>0.067333198956693</v>
      </c>
      <c r="G21" s="194" t="n">
        <v>-0.1325</v>
      </c>
      <c r="H21" s="194" t="n">
        <v>-0.15</v>
      </c>
      <c r="I21" s="194" t="n">
        <v>0</v>
      </c>
      <c r="J21" s="194" t="n">
        <v>-0.1525</v>
      </c>
      <c r="K21" s="194" t="n">
        <v>0.035</v>
      </c>
      <c r="L21" s="194" t="n">
        <v>-0.0775</v>
      </c>
      <c r="M21" s="194" t="n">
        <v>-0.0925</v>
      </c>
      <c r="N21" s="194" t="n">
        <v>-0.1025</v>
      </c>
      <c r="O21" s="194" t="n">
        <v>-0.1325</v>
      </c>
      <c r="P21" s="192" t="n">
        <v>-0.1325</v>
      </c>
      <c r="Q21" s="192" t="n">
        <v>-0.11125</v>
      </c>
      <c r="R21" s="192" t="n">
        <v>-0.07</v>
      </c>
      <c r="S21" s="192" t="n">
        <v>0.28</v>
      </c>
      <c r="T21" s="192" t="n">
        <v>0.28</v>
      </c>
      <c r="U21" s="192" t="n">
        <v>0.18</v>
      </c>
      <c r="V21" s="192" t="n">
        <v>0.415</v>
      </c>
      <c r="W21" s="196" t="n">
        <v>0.37</v>
      </c>
      <c r="X21" s="196" t="n">
        <v>0.59</v>
      </c>
      <c r="Y21" s="196" t="n">
        <v>-0.0255</v>
      </c>
      <c r="Z21" s="196" t="n">
        <v>-0.045</v>
      </c>
      <c r="AA21" s="196" t="n">
        <v>-0.01</v>
      </c>
      <c r="AB21" s="196" t="n">
        <v>-0.0375</v>
      </c>
      <c r="AC21" s="196" t="n">
        <v>0.0025</v>
      </c>
      <c r="AD21" s="196" t="n">
        <v>-0.015</v>
      </c>
      <c r="AE21" s="196" t="n">
        <v>-0.06</v>
      </c>
      <c r="AF21" s="196" t="n">
        <v>-0.05</v>
      </c>
      <c r="AG21" s="197" t="n">
        <v>-0.0655</v>
      </c>
      <c r="AH21" s="196" t="n">
        <v>-0.0215</v>
      </c>
      <c r="AI21" s="198" t="n">
        <v>-0.0825</v>
      </c>
      <c r="AJ21" s="198" t="n">
        <v>-0.1525</v>
      </c>
      <c r="AK21" s="199" t="n">
        <v>-0.018</v>
      </c>
      <c r="AL21" s="192" t="n">
        <v>0.0125</v>
      </c>
      <c r="AM21" s="192" t="n">
        <v>1.87</v>
      </c>
      <c r="AN21" s="192" t="n">
        <v>-0.0625</v>
      </c>
      <c r="AO21" s="192" t="n">
        <v>-0.38</v>
      </c>
      <c r="AP21" s="192" t="n">
        <v>-0.135</v>
      </c>
      <c r="AQ21" s="192" t="n">
        <v>-0.2675</v>
      </c>
      <c r="AR21" s="192" t="n">
        <v>0.235</v>
      </c>
      <c r="AS21" s="192" t="n">
        <v>-0.33</v>
      </c>
      <c r="AT21" s="192" t="n">
        <v>-0.38</v>
      </c>
      <c r="AU21" s="192" t="n">
        <v>0.22</v>
      </c>
      <c r="AV21" s="192" t="n">
        <v>-0.38</v>
      </c>
      <c r="AW21" s="192" t="n">
        <v>-0.14</v>
      </c>
      <c r="AX21" s="192" t="n">
        <v>-0.125</v>
      </c>
      <c r="AY21" s="192" t="n">
        <v>-0.14</v>
      </c>
      <c r="AZ21" s="192" t="n">
        <v>-0.07</v>
      </c>
      <c r="BA21" s="192" t="n">
        <v>-0.15</v>
      </c>
      <c r="BB21" s="192" t="n">
        <v>-0.0265</v>
      </c>
      <c r="BC21" s="192" t="n">
        <v>-0.1025</v>
      </c>
      <c r="BD21" s="192" t="n">
        <v>-0.0975</v>
      </c>
      <c r="BE21" s="192" t="n">
        <v>-0.06</v>
      </c>
      <c r="BF21" s="192" t="n">
        <v>0.21</v>
      </c>
      <c r="BG21" s="192" t="n">
        <v>0.33</v>
      </c>
      <c r="BH21" s="192" t="n">
        <v>0.315</v>
      </c>
      <c r="BI21" s="192" t="n">
        <v>0.28</v>
      </c>
      <c r="BJ21" s="192" t="n">
        <v>1.26</v>
      </c>
    </row>
    <row r="22" customFormat="false" ht="12.75" hidden="false" customHeight="false" outlineLevel="0" collapsed="false">
      <c r="A22" s="194" t="e">
        <f aca="false">#REF!-B22</f>
        <v>#REF!</v>
      </c>
      <c r="B22" s="194" t="n">
        <v>3.835</v>
      </c>
      <c r="C22" s="200" t="n">
        <v>37288</v>
      </c>
      <c r="D22" s="194" t="n">
        <v>4.3</v>
      </c>
      <c r="E22" s="194" t="n">
        <v>0.4075</v>
      </c>
      <c r="F22" s="194" t="n">
        <v>0.067329715733591</v>
      </c>
      <c r="G22" s="194" t="n">
        <v>-0.135</v>
      </c>
      <c r="H22" s="194" t="n">
        <v>-0.1525</v>
      </c>
      <c r="I22" s="194" t="n">
        <v>0.005</v>
      </c>
      <c r="J22" s="194" t="n">
        <v>-0.155</v>
      </c>
      <c r="K22" s="194" t="n">
        <v>0.04</v>
      </c>
      <c r="L22" s="194" t="n">
        <v>-0.0775</v>
      </c>
      <c r="M22" s="194" t="n">
        <v>-0.095</v>
      </c>
      <c r="N22" s="194" t="n">
        <v>-0.105</v>
      </c>
      <c r="O22" s="194" t="n">
        <v>-0.135</v>
      </c>
      <c r="P22" s="192" t="n">
        <v>-0.135</v>
      </c>
      <c r="Q22" s="192" t="n">
        <v>-0.11125</v>
      </c>
      <c r="R22" s="192" t="n">
        <v>-0.07</v>
      </c>
      <c r="S22" s="192" t="n">
        <v>0.2575</v>
      </c>
      <c r="T22" s="192" t="n">
        <v>0.2575</v>
      </c>
      <c r="U22" s="192" t="n">
        <v>0.1575</v>
      </c>
      <c r="V22" s="192" t="n">
        <v>0.415</v>
      </c>
      <c r="W22" s="196" t="n">
        <v>0.37</v>
      </c>
      <c r="X22" s="196" t="n">
        <v>0.55</v>
      </c>
      <c r="Y22" s="196" t="n">
        <v>-0.0255</v>
      </c>
      <c r="Z22" s="196" t="n">
        <v>-0.045</v>
      </c>
      <c r="AA22" s="196" t="n">
        <v>-0.01</v>
      </c>
      <c r="AB22" s="196" t="n">
        <v>-0.0375</v>
      </c>
      <c r="AC22" s="196" t="n">
        <v>0.0025</v>
      </c>
      <c r="AD22" s="196" t="n">
        <v>-0.015</v>
      </c>
      <c r="AE22" s="196" t="n">
        <v>-0.06</v>
      </c>
      <c r="AF22" s="196" t="n">
        <v>-0.05</v>
      </c>
      <c r="AG22" s="197" t="n">
        <v>-0.0655</v>
      </c>
      <c r="AH22" s="196" t="n">
        <v>-0.0215</v>
      </c>
      <c r="AI22" s="198" t="n">
        <v>-0.0825</v>
      </c>
      <c r="AJ22" s="198" t="n">
        <v>-0.1525</v>
      </c>
      <c r="AK22" s="199" t="n">
        <v>-0.018</v>
      </c>
      <c r="AL22" s="192" t="n">
        <v>0.0125</v>
      </c>
      <c r="AM22" s="192" t="n">
        <v>1.86</v>
      </c>
      <c r="AN22" s="192" t="n">
        <v>-0.045</v>
      </c>
      <c r="AO22" s="192" t="n">
        <v>-0.38</v>
      </c>
      <c r="AP22" s="192" t="n">
        <v>-0.135</v>
      </c>
      <c r="AQ22" s="192" t="n">
        <v>-0.2675</v>
      </c>
      <c r="AR22" s="192" t="n">
        <v>0.14</v>
      </c>
      <c r="AS22" s="192" t="n">
        <v>-0.33</v>
      </c>
      <c r="AT22" s="192" t="n">
        <v>-0.38</v>
      </c>
      <c r="AU22" s="192" t="n">
        <v>0.22</v>
      </c>
      <c r="AV22" s="192" t="n">
        <v>-0.38</v>
      </c>
      <c r="AW22" s="192" t="n">
        <v>-0.1425</v>
      </c>
      <c r="AX22" s="192" t="n">
        <v>-0.125</v>
      </c>
      <c r="AY22" s="192" t="n">
        <v>-0.1425</v>
      </c>
      <c r="AZ22" s="192" t="n">
        <v>-0.07</v>
      </c>
      <c r="BA22" s="192" t="n">
        <v>-0.1325</v>
      </c>
      <c r="BB22" s="192" t="n">
        <v>-0.0265</v>
      </c>
      <c r="BC22" s="192" t="n">
        <v>-0.1025</v>
      </c>
      <c r="BD22" s="192" t="n">
        <v>-0.08</v>
      </c>
      <c r="BE22" s="192" t="n">
        <v>-0.06</v>
      </c>
      <c r="BF22" s="192" t="n">
        <v>0.21</v>
      </c>
      <c r="BG22" s="192" t="n">
        <v>0.375</v>
      </c>
      <c r="BH22" s="192" t="n">
        <v>0.2925</v>
      </c>
      <c r="BI22" s="192" t="n">
        <v>0.2575</v>
      </c>
      <c r="BJ22" s="192" t="n">
        <v>1.26</v>
      </c>
    </row>
    <row r="23" customFormat="false" ht="12.75" hidden="false" customHeight="false" outlineLevel="0" collapsed="false">
      <c r="A23" s="194" t="e">
        <f aca="false">#REF!-B23</f>
        <v>#REF!</v>
      </c>
      <c r="B23" s="194" t="n">
        <v>3.93</v>
      </c>
      <c r="C23" s="200" t="n">
        <v>37316</v>
      </c>
      <c r="D23" s="194" t="n">
        <v>4.07</v>
      </c>
      <c r="E23" s="194" t="n">
        <v>0.3675</v>
      </c>
      <c r="F23" s="194" t="n">
        <v>0.067326569596599</v>
      </c>
      <c r="G23" s="194" t="n">
        <v>-0.1375</v>
      </c>
      <c r="H23" s="194" t="n">
        <v>-0.155</v>
      </c>
      <c r="I23" s="194" t="n">
        <v>0.0025</v>
      </c>
      <c r="J23" s="194" t="n">
        <v>-0.1575</v>
      </c>
      <c r="K23" s="194" t="n">
        <v>0.0375</v>
      </c>
      <c r="L23" s="194" t="n">
        <v>-0.0775</v>
      </c>
      <c r="M23" s="194" t="n">
        <v>-0.0975</v>
      </c>
      <c r="N23" s="194" t="n">
        <v>-0.1075</v>
      </c>
      <c r="O23" s="194" t="n">
        <v>-0.1375</v>
      </c>
      <c r="P23" s="192" t="n">
        <v>-0.1375</v>
      </c>
      <c r="Q23" s="192" t="n">
        <v>-0.11125</v>
      </c>
      <c r="R23" s="192" t="n">
        <v>-0.07</v>
      </c>
      <c r="S23" s="192" t="n">
        <v>0.255</v>
      </c>
      <c r="T23" s="192" t="n">
        <v>0.255</v>
      </c>
      <c r="U23" s="192" t="n">
        <v>0.155</v>
      </c>
      <c r="V23" s="192" t="n">
        <v>0.415</v>
      </c>
      <c r="W23" s="196" t="n">
        <v>0.34</v>
      </c>
      <c r="X23" s="196" t="n">
        <v>0.5</v>
      </c>
      <c r="Y23" s="196" t="n">
        <v>-0.0255</v>
      </c>
      <c r="Z23" s="196" t="n">
        <v>-0.045</v>
      </c>
      <c r="AA23" s="196" t="n">
        <v>-0.01</v>
      </c>
      <c r="AB23" s="196" t="n">
        <v>-0.0375</v>
      </c>
      <c r="AC23" s="196" t="n">
        <v>0.0025</v>
      </c>
      <c r="AD23" s="196" t="n">
        <v>-0.015</v>
      </c>
      <c r="AE23" s="196" t="n">
        <v>-0.06</v>
      </c>
      <c r="AF23" s="196" t="n">
        <v>-0.05</v>
      </c>
      <c r="AG23" s="197" t="n">
        <v>-0.0655</v>
      </c>
      <c r="AH23" s="196" t="n">
        <v>-0.0215</v>
      </c>
      <c r="AI23" s="198" t="n">
        <v>-0.0825</v>
      </c>
      <c r="AJ23" s="198" t="n">
        <v>-0.1525</v>
      </c>
      <c r="AK23" s="199" t="n">
        <v>-0.018</v>
      </c>
      <c r="AL23" s="192" t="n">
        <v>0.0125</v>
      </c>
      <c r="AM23" s="192" t="n">
        <v>1.29</v>
      </c>
      <c r="AN23" s="192" t="n">
        <v>-0.0325</v>
      </c>
      <c r="AO23" s="192" t="n">
        <v>-0.38</v>
      </c>
      <c r="AP23" s="192" t="n">
        <v>-0.14</v>
      </c>
      <c r="AQ23" s="192" t="n">
        <v>-0.2675</v>
      </c>
      <c r="AR23" s="192" t="n">
        <v>-0.07</v>
      </c>
      <c r="AS23" s="192" t="n">
        <v>-0.33</v>
      </c>
      <c r="AT23" s="192" t="n">
        <v>-0.38</v>
      </c>
      <c r="AU23" s="192" t="n">
        <v>0.22</v>
      </c>
      <c r="AV23" s="192" t="n">
        <v>-0.38</v>
      </c>
      <c r="AW23" s="192" t="n">
        <v>-0.1225</v>
      </c>
      <c r="AX23" s="192" t="n">
        <v>-0.125</v>
      </c>
      <c r="AY23" s="192" t="n">
        <v>-0.1225</v>
      </c>
      <c r="AZ23" s="192" t="n">
        <v>-0.07</v>
      </c>
      <c r="BA23" s="192" t="n">
        <v>-0.1175</v>
      </c>
      <c r="BB23" s="192" t="n">
        <v>-0.0265</v>
      </c>
      <c r="BC23" s="192" t="n">
        <v>-0.1025</v>
      </c>
      <c r="BD23" s="192" t="n">
        <v>-0.0675</v>
      </c>
      <c r="BE23" s="192" t="n">
        <v>-0.06</v>
      </c>
      <c r="BF23" s="192" t="n">
        <v>0.21</v>
      </c>
      <c r="BG23" s="192" t="n">
        <v>0.375</v>
      </c>
      <c r="BH23" s="192" t="n">
        <v>0.29</v>
      </c>
      <c r="BI23" s="192" t="n">
        <v>0.255</v>
      </c>
      <c r="BJ23" s="192" t="n">
        <v>0.88</v>
      </c>
    </row>
    <row r="24" customFormat="false" ht="12.75" hidden="false" customHeight="false" outlineLevel="0" collapsed="false">
      <c r="A24" s="194" t="e">
        <f aca="false">#REF!-B24</f>
        <v>#REF!</v>
      </c>
      <c r="B24" s="194" t="n">
        <v>3.943</v>
      </c>
      <c r="C24" s="200" t="n">
        <v>37347</v>
      </c>
      <c r="D24" s="194" t="n">
        <v>3.81</v>
      </c>
      <c r="E24" s="194" t="n">
        <v>0.3075</v>
      </c>
      <c r="F24" s="194" t="n">
        <v>0.067312742785332</v>
      </c>
      <c r="G24" s="194" t="n">
        <v>-0.1325</v>
      </c>
      <c r="H24" s="194" t="n">
        <v>-0.15</v>
      </c>
      <c r="I24" s="194" t="n">
        <v>-0.08</v>
      </c>
      <c r="J24" s="194" t="n">
        <v>-0.1975</v>
      </c>
      <c r="K24" s="194" t="n">
        <v>-0.06</v>
      </c>
      <c r="L24" s="194" t="n">
        <v>-0.06</v>
      </c>
      <c r="M24" s="194" t="n">
        <v>-0.0925</v>
      </c>
      <c r="N24" s="194" t="n">
        <v>-0.1025</v>
      </c>
      <c r="O24" s="194" t="n">
        <v>-0.1325</v>
      </c>
      <c r="P24" s="192" t="n">
        <v>-0.1325</v>
      </c>
      <c r="Q24" s="192" t="n">
        <v>-0.075</v>
      </c>
      <c r="R24" s="192" t="n">
        <v>-0.06</v>
      </c>
      <c r="S24" s="192" t="n">
        <v>0.16</v>
      </c>
      <c r="T24" s="192" t="n">
        <v>0.16</v>
      </c>
      <c r="U24" s="192" t="n">
        <v>0.075</v>
      </c>
      <c r="V24" s="192" t="n">
        <v>0.47</v>
      </c>
      <c r="W24" s="196" t="n">
        <v>0.205</v>
      </c>
      <c r="X24" s="196" t="n">
        <v>0.25</v>
      </c>
      <c r="Y24" s="196" t="n">
        <v>-0.025</v>
      </c>
      <c r="Z24" s="196" t="n">
        <v>-0.03</v>
      </c>
      <c r="AA24" s="196" t="n">
        <v>0.005</v>
      </c>
      <c r="AB24" s="196" t="n">
        <v>-0.02</v>
      </c>
      <c r="AC24" s="196" t="n">
        <v>0.006</v>
      </c>
      <c r="AD24" s="196" t="n">
        <v>-0.01</v>
      </c>
      <c r="AE24" s="196" t="n">
        <v>-0.06</v>
      </c>
      <c r="AF24" s="196" t="n">
        <v>-0.0525</v>
      </c>
      <c r="AG24" s="197" t="n">
        <v>-0.0655</v>
      </c>
      <c r="AH24" s="196" t="n">
        <v>-0.019</v>
      </c>
      <c r="AI24" s="198" t="n">
        <v>-0.078</v>
      </c>
      <c r="AJ24" s="198" t="n">
        <v>-0.09</v>
      </c>
      <c r="AK24" s="199" t="n">
        <v>-0.0255</v>
      </c>
      <c r="AL24" s="192" t="n">
        <v>0.0085</v>
      </c>
      <c r="AM24" s="192" t="n">
        <v>0.45</v>
      </c>
      <c r="AN24" s="192" t="n">
        <v>0.015</v>
      </c>
      <c r="AO24" s="192" t="n">
        <v>-0.585</v>
      </c>
      <c r="AP24" s="192" t="n">
        <v>-0.1275</v>
      </c>
      <c r="AQ24" s="192" t="n">
        <v>-0.21</v>
      </c>
      <c r="AR24" s="192" t="n">
        <v>-0.35</v>
      </c>
      <c r="AS24" s="192" t="n">
        <v>-0.535</v>
      </c>
      <c r="AT24" s="192" t="n">
        <v>-0.585</v>
      </c>
      <c r="AU24" s="192" t="n">
        <v>0.37</v>
      </c>
      <c r="AV24" s="192" t="n">
        <v>-0.585</v>
      </c>
      <c r="AW24" s="192" t="n">
        <v>-0.1125</v>
      </c>
      <c r="AX24" s="192" t="n">
        <v>-0.115</v>
      </c>
      <c r="AY24" s="192" t="n">
        <v>-0.1125</v>
      </c>
      <c r="AZ24" s="192" t="n">
        <v>-0.06</v>
      </c>
      <c r="BA24" s="192" t="n">
        <v>-0.1025</v>
      </c>
      <c r="BB24" s="192" t="n">
        <v>-0.024</v>
      </c>
      <c r="BC24" s="192" t="n">
        <v>-0.065</v>
      </c>
      <c r="BD24" s="192" t="n">
        <v>-0.02</v>
      </c>
      <c r="BE24" s="192" t="n">
        <v>-0.06</v>
      </c>
      <c r="BF24" s="192" t="n">
        <v>0.12</v>
      </c>
      <c r="BG24" s="192" t="n">
        <v>0.1625</v>
      </c>
      <c r="BH24" s="192" t="n">
        <v>0.19</v>
      </c>
      <c r="BI24" s="192" t="n">
        <v>0.16</v>
      </c>
      <c r="BJ24" s="192" t="n">
        <v>0.3825</v>
      </c>
    </row>
    <row r="25" customFormat="false" ht="12.75" hidden="false" customHeight="false" outlineLevel="0" collapsed="false">
      <c r="A25" s="194" t="e">
        <f aca="false">#REF!-B25</f>
        <v>#REF!</v>
      </c>
      <c r="B25" s="194" t="n">
        <v>3.806</v>
      </c>
      <c r="C25" s="200" t="n">
        <v>37377</v>
      </c>
      <c r="D25" s="194" t="n">
        <v>3.71</v>
      </c>
      <c r="E25" s="194" t="n">
        <v>0.2925</v>
      </c>
      <c r="F25" s="194" t="n">
        <v>0.067283554328081</v>
      </c>
      <c r="G25" s="194" t="n">
        <v>-0.1325</v>
      </c>
      <c r="H25" s="194" t="n">
        <v>-0.15</v>
      </c>
      <c r="I25" s="194" t="n">
        <v>-0.095</v>
      </c>
      <c r="J25" s="194" t="n">
        <v>-0.1975</v>
      </c>
      <c r="K25" s="194" t="n">
        <v>-0.075</v>
      </c>
      <c r="L25" s="194" t="n">
        <v>-0.06</v>
      </c>
      <c r="M25" s="194" t="n">
        <v>-0.0925</v>
      </c>
      <c r="N25" s="194" t="n">
        <v>-0.1025</v>
      </c>
      <c r="O25" s="194" t="n">
        <v>-0.1325</v>
      </c>
      <c r="P25" s="192" t="n">
        <v>-0.1325</v>
      </c>
      <c r="Q25" s="192" t="n">
        <v>-0.075</v>
      </c>
      <c r="R25" s="192" t="n">
        <v>-0.06</v>
      </c>
      <c r="S25" s="192" t="n">
        <v>0.15</v>
      </c>
      <c r="T25" s="192" t="n">
        <v>0.15</v>
      </c>
      <c r="U25" s="192" t="n">
        <v>0.065</v>
      </c>
      <c r="V25" s="192" t="n">
        <v>0.47</v>
      </c>
      <c r="W25" s="196" t="n">
        <v>0.1925</v>
      </c>
      <c r="X25" s="196" t="n">
        <v>0.2025</v>
      </c>
      <c r="Y25" s="196" t="n">
        <v>-0.025</v>
      </c>
      <c r="Z25" s="196" t="n">
        <v>-0.03025</v>
      </c>
      <c r="AA25" s="196" t="n">
        <v>0.00475</v>
      </c>
      <c r="AB25" s="196" t="n">
        <v>-0.02025</v>
      </c>
      <c r="AC25" s="196" t="n">
        <v>0.006</v>
      </c>
      <c r="AD25" s="196" t="n">
        <v>-0.01</v>
      </c>
      <c r="AE25" s="196" t="n">
        <v>-0.06</v>
      </c>
      <c r="AF25" s="196" t="n">
        <v>-0.0525</v>
      </c>
      <c r="AG25" s="197" t="n">
        <v>-0.0655</v>
      </c>
      <c r="AH25" s="196" t="n">
        <v>-0.019</v>
      </c>
      <c r="AI25" s="198" t="n">
        <v>-0.078</v>
      </c>
      <c r="AJ25" s="198" t="n">
        <v>-0.09</v>
      </c>
      <c r="AK25" s="199" t="n">
        <v>-0.0255</v>
      </c>
      <c r="AL25" s="192" t="n">
        <v>0.0085</v>
      </c>
      <c r="AM25" s="192" t="n">
        <v>0.405</v>
      </c>
      <c r="AN25" s="192" t="n">
        <v>0.015</v>
      </c>
      <c r="AO25" s="192" t="n">
        <v>-0.585</v>
      </c>
      <c r="AP25" s="192" t="n">
        <v>-0.1275</v>
      </c>
      <c r="AQ25" s="192" t="n">
        <v>-0.21</v>
      </c>
      <c r="AR25" s="192" t="n">
        <v>-0.35</v>
      </c>
      <c r="AS25" s="192" t="n">
        <v>-0.535</v>
      </c>
      <c r="AT25" s="192" t="n">
        <v>-0.585</v>
      </c>
      <c r="AU25" s="192" t="n">
        <v>0.37</v>
      </c>
      <c r="AV25" s="192" t="n">
        <v>-0.585</v>
      </c>
      <c r="AW25" s="192" t="n">
        <v>-0.11</v>
      </c>
      <c r="AX25" s="192" t="n">
        <v>-0.095</v>
      </c>
      <c r="AY25" s="192" t="n">
        <v>-0.11</v>
      </c>
      <c r="AZ25" s="192" t="n">
        <v>-0.06</v>
      </c>
      <c r="BA25" s="192" t="n">
        <v>-0.0975</v>
      </c>
      <c r="BB25" s="192" t="n">
        <v>-0.024</v>
      </c>
      <c r="BC25" s="192" t="n">
        <v>-0.065</v>
      </c>
      <c r="BD25" s="192" t="n">
        <v>-0.02</v>
      </c>
      <c r="BE25" s="192" t="n">
        <v>-0.06</v>
      </c>
      <c r="BF25" s="192" t="n">
        <v>0.12</v>
      </c>
      <c r="BG25" s="192" t="n">
        <v>0.1625</v>
      </c>
      <c r="BH25" s="192" t="n">
        <v>0.18</v>
      </c>
      <c r="BI25" s="192" t="n">
        <v>0.15</v>
      </c>
      <c r="BJ25" s="192" t="n">
        <v>0.32</v>
      </c>
    </row>
    <row r="26" customFormat="false" ht="12.75" hidden="false" customHeight="false" outlineLevel="0" collapsed="false">
      <c r="A26" s="194" t="e">
        <f aca="false">#REF!-B26</f>
        <v>#REF!</v>
      </c>
      <c r="B26" s="194" t="n">
        <v>3.636</v>
      </c>
      <c r="C26" s="200" t="n">
        <v>37408</v>
      </c>
      <c r="D26" s="194" t="n">
        <v>3.69</v>
      </c>
      <c r="E26" s="194" t="n">
        <v>0.29</v>
      </c>
      <c r="F26" s="194" t="n">
        <v>0.067253392922551</v>
      </c>
      <c r="G26" s="194" t="n">
        <v>-0.1325</v>
      </c>
      <c r="H26" s="194" t="n">
        <v>-0.15</v>
      </c>
      <c r="I26" s="194" t="n">
        <v>-0.105</v>
      </c>
      <c r="J26" s="194" t="n">
        <v>-0.1975</v>
      </c>
      <c r="K26" s="194" t="n">
        <v>-0.085</v>
      </c>
      <c r="L26" s="194" t="n">
        <v>-0.06</v>
      </c>
      <c r="M26" s="194" t="n">
        <v>-0.0925</v>
      </c>
      <c r="N26" s="194" t="n">
        <v>-0.1025</v>
      </c>
      <c r="O26" s="194" t="n">
        <v>-0.1325</v>
      </c>
      <c r="P26" s="192" t="n">
        <v>-0.1325</v>
      </c>
      <c r="Q26" s="192" t="n">
        <v>-0.0725</v>
      </c>
      <c r="R26" s="192" t="n">
        <v>-0.06</v>
      </c>
      <c r="S26" s="192" t="n">
        <v>0.145</v>
      </c>
      <c r="T26" s="192" t="n">
        <v>0.145</v>
      </c>
      <c r="U26" s="192" t="n">
        <v>0.06</v>
      </c>
      <c r="V26" s="192" t="n">
        <v>0.47</v>
      </c>
      <c r="W26" s="196" t="n">
        <v>0.1925</v>
      </c>
      <c r="X26" s="196" t="n">
        <v>0.2025</v>
      </c>
      <c r="Y26" s="196" t="n">
        <v>-0.025</v>
      </c>
      <c r="Z26" s="196" t="n">
        <v>-0.03025</v>
      </c>
      <c r="AA26" s="196" t="n">
        <v>0.00475</v>
      </c>
      <c r="AB26" s="196" t="n">
        <v>-0.02025</v>
      </c>
      <c r="AC26" s="196" t="n">
        <v>0.006</v>
      </c>
      <c r="AD26" s="196" t="n">
        <v>-0.01</v>
      </c>
      <c r="AE26" s="196" t="n">
        <v>-0.06</v>
      </c>
      <c r="AF26" s="196" t="n">
        <v>-0.0525</v>
      </c>
      <c r="AG26" s="197" t="n">
        <v>-0.0655</v>
      </c>
      <c r="AH26" s="196" t="n">
        <v>-0.019</v>
      </c>
      <c r="AI26" s="198" t="n">
        <v>-0.094</v>
      </c>
      <c r="AJ26" s="198" t="n">
        <v>-0.085</v>
      </c>
      <c r="AK26" s="199" t="n">
        <v>-0.0255</v>
      </c>
      <c r="AL26" s="192" t="n">
        <v>0.0085</v>
      </c>
      <c r="AM26" s="192" t="n">
        <v>0.395</v>
      </c>
      <c r="AN26" s="192" t="n">
        <v>0.02</v>
      </c>
      <c r="AO26" s="192" t="n">
        <v>-0.585</v>
      </c>
      <c r="AP26" s="192" t="n">
        <v>-0.1275</v>
      </c>
      <c r="AQ26" s="192" t="n">
        <v>-0.21</v>
      </c>
      <c r="AR26" s="192" t="n">
        <v>-0.35</v>
      </c>
      <c r="AS26" s="192" t="n">
        <v>-0.535</v>
      </c>
      <c r="AT26" s="192" t="n">
        <v>-0.585</v>
      </c>
      <c r="AU26" s="192" t="n">
        <v>0.37</v>
      </c>
      <c r="AV26" s="192" t="n">
        <v>-0.585</v>
      </c>
      <c r="AW26" s="192" t="n">
        <v>-0.1025</v>
      </c>
      <c r="AX26" s="192" t="n">
        <v>-0.095</v>
      </c>
      <c r="AY26" s="192" t="n">
        <v>-0.1025</v>
      </c>
      <c r="AZ26" s="192" t="n">
        <v>-0.06</v>
      </c>
      <c r="BA26" s="192" t="n">
        <v>-0.0925</v>
      </c>
      <c r="BB26" s="192" t="n">
        <v>-0.024</v>
      </c>
      <c r="BC26" s="192" t="n">
        <v>-0.065</v>
      </c>
      <c r="BD26" s="192" t="n">
        <v>-0.015</v>
      </c>
      <c r="BE26" s="192" t="n">
        <v>-0.06</v>
      </c>
      <c r="BF26" s="192" t="n">
        <v>0.12</v>
      </c>
      <c r="BG26" s="192" t="n">
        <v>0.1625</v>
      </c>
      <c r="BH26" s="192" t="n">
        <v>0.175</v>
      </c>
      <c r="BI26" s="192" t="n">
        <v>0.145</v>
      </c>
      <c r="BJ26" s="192" t="n">
        <v>0.32</v>
      </c>
    </row>
    <row r="27" customFormat="false" ht="12.75" hidden="false" customHeight="false" outlineLevel="0" collapsed="false">
      <c r="A27" s="194" t="e">
        <f aca="false">#REF!-B27</f>
        <v>#REF!</v>
      </c>
      <c r="B27" s="194" t="n">
        <v>3.48</v>
      </c>
      <c r="C27" s="200" t="n">
        <v>37438</v>
      </c>
      <c r="D27" s="194" t="n">
        <v>3.7</v>
      </c>
      <c r="E27" s="194" t="n">
        <v>0.29</v>
      </c>
      <c r="F27" s="194" t="n">
        <v>0.067230480386273</v>
      </c>
      <c r="G27" s="194" t="n">
        <v>-0.1325</v>
      </c>
      <c r="H27" s="194" t="n">
        <v>-0.15</v>
      </c>
      <c r="I27" s="194" t="n">
        <v>-0.105</v>
      </c>
      <c r="J27" s="194" t="n">
        <v>-0.2175</v>
      </c>
      <c r="K27" s="194" t="n">
        <v>-0.085</v>
      </c>
      <c r="L27" s="194" t="n">
        <v>-0.06</v>
      </c>
      <c r="M27" s="194" t="n">
        <v>-0.0925</v>
      </c>
      <c r="N27" s="194" t="n">
        <v>-0.1025</v>
      </c>
      <c r="O27" s="194" t="n">
        <v>-0.1325</v>
      </c>
      <c r="P27" s="192" t="n">
        <v>-0.1325</v>
      </c>
      <c r="Q27" s="192" t="n">
        <v>-0.07125</v>
      </c>
      <c r="R27" s="192" t="n">
        <v>-0.06</v>
      </c>
      <c r="S27" s="192" t="n">
        <v>0.135</v>
      </c>
      <c r="T27" s="192" t="n">
        <v>0.135</v>
      </c>
      <c r="U27" s="192" t="n">
        <v>0.05</v>
      </c>
      <c r="V27" s="192" t="n">
        <v>0.47</v>
      </c>
      <c r="W27" s="196" t="n">
        <v>0.1925</v>
      </c>
      <c r="X27" s="196" t="n">
        <v>0.215</v>
      </c>
      <c r="Y27" s="196" t="n">
        <v>-0.025</v>
      </c>
      <c r="Z27" s="196" t="n">
        <v>-0.03025</v>
      </c>
      <c r="AA27" s="196" t="n">
        <v>0.00475</v>
      </c>
      <c r="AB27" s="196" t="n">
        <v>-0.02025</v>
      </c>
      <c r="AC27" s="196" t="n">
        <v>0.006</v>
      </c>
      <c r="AD27" s="196" t="n">
        <v>-0.01</v>
      </c>
      <c r="AE27" s="196" t="n">
        <v>-0.06</v>
      </c>
      <c r="AF27" s="196" t="n">
        <v>-0.0525</v>
      </c>
      <c r="AG27" s="197" t="n">
        <v>-0.0655</v>
      </c>
      <c r="AH27" s="196" t="n">
        <v>-0.019</v>
      </c>
      <c r="AI27" s="198" t="n">
        <v>-0.087</v>
      </c>
      <c r="AJ27" s="198" t="n">
        <v>-0.0825</v>
      </c>
      <c r="AK27" s="199" t="n">
        <v>-0.0255</v>
      </c>
      <c r="AL27" s="192" t="n">
        <v>0.0085</v>
      </c>
      <c r="AM27" s="192" t="n">
        <v>0.43</v>
      </c>
      <c r="AN27" s="192" t="n">
        <v>0.0225</v>
      </c>
      <c r="AO27" s="192" t="n">
        <v>-0.585</v>
      </c>
      <c r="AP27" s="192" t="n">
        <v>-0.1275</v>
      </c>
      <c r="AQ27" s="192" t="n">
        <v>-0.21</v>
      </c>
      <c r="AR27" s="192" t="n">
        <v>-0.35</v>
      </c>
      <c r="AS27" s="192" t="n">
        <v>-0.535</v>
      </c>
      <c r="AT27" s="192" t="n">
        <v>-0.585</v>
      </c>
      <c r="AU27" s="192" t="n">
        <v>0.37</v>
      </c>
      <c r="AV27" s="192" t="n">
        <v>-0.585</v>
      </c>
      <c r="AW27" s="192" t="n">
        <v>-0.11</v>
      </c>
      <c r="AX27" s="192" t="n">
        <v>-0.095</v>
      </c>
      <c r="AY27" s="192" t="n">
        <v>-0.11</v>
      </c>
      <c r="AZ27" s="192" t="n">
        <v>-0.06</v>
      </c>
      <c r="BA27" s="192" t="n">
        <v>-0.0875</v>
      </c>
      <c r="BB27" s="192" t="n">
        <v>-0.024</v>
      </c>
      <c r="BC27" s="192" t="n">
        <v>-0.065</v>
      </c>
      <c r="BD27" s="192" t="n">
        <v>-0.0125</v>
      </c>
      <c r="BE27" s="192" t="n">
        <v>-0.06</v>
      </c>
      <c r="BF27" s="192" t="n">
        <v>0.12</v>
      </c>
      <c r="BG27" s="192" t="n">
        <v>0.1625</v>
      </c>
      <c r="BH27" s="192" t="n">
        <v>0.165</v>
      </c>
      <c r="BI27" s="192" t="n">
        <v>0.135</v>
      </c>
      <c r="BJ27" s="192" t="n">
        <v>0.3325</v>
      </c>
    </row>
    <row r="28" customFormat="false" ht="12.75" hidden="false" customHeight="false" outlineLevel="0" collapsed="false">
      <c r="A28" s="194" t="e">
        <f aca="false">#REF!-B28</f>
        <v>#REF!</v>
      </c>
      <c r="B28" s="194" t="n">
        <v>3.41</v>
      </c>
      <c r="C28" s="200" t="n">
        <v>37469</v>
      </c>
      <c r="D28" s="194" t="n">
        <v>3.71</v>
      </c>
      <c r="E28" s="194" t="n">
        <v>0.29</v>
      </c>
      <c r="F28" s="194" t="n">
        <v>0.067217129309422</v>
      </c>
      <c r="G28" s="194" t="n">
        <v>-0.1325</v>
      </c>
      <c r="H28" s="194" t="n">
        <v>-0.15</v>
      </c>
      <c r="I28" s="194" t="n">
        <v>-0.105</v>
      </c>
      <c r="J28" s="194" t="n">
        <v>-0.2175</v>
      </c>
      <c r="K28" s="194" t="n">
        <v>-0.085</v>
      </c>
      <c r="L28" s="194" t="n">
        <v>-0.06</v>
      </c>
      <c r="M28" s="194" t="n">
        <v>-0.0925</v>
      </c>
      <c r="N28" s="194" t="n">
        <v>-0.1025</v>
      </c>
      <c r="O28" s="194" t="n">
        <v>-0.1325</v>
      </c>
      <c r="P28" s="192" t="n">
        <v>-0.1325</v>
      </c>
      <c r="Q28" s="192" t="n">
        <v>-0.07</v>
      </c>
      <c r="R28" s="192" t="n">
        <v>-0.06</v>
      </c>
      <c r="S28" s="192" t="n">
        <v>0.1325</v>
      </c>
      <c r="T28" s="192" t="n">
        <v>0.1325</v>
      </c>
      <c r="U28" s="192" t="n">
        <v>0.0475</v>
      </c>
      <c r="V28" s="192" t="n">
        <v>0.47</v>
      </c>
      <c r="W28" s="196" t="n">
        <v>0.1925</v>
      </c>
      <c r="X28" s="196" t="n">
        <v>0.215</v>
      </c>
      <c r="Y28" s="196" t="n">
        <v>-0.025</v>
      </c>
      <c r="Z28" s="196" t="n">
        <v>-0.03025</v>
      </c>
      <c r="AA28" s="196" t="n">
        <v>0.00475</v>
      </c>
      <c r="AB28" s="196" t="n">
        <v>-0.02025</v>
      </c>
      <c r="AC28" s="196" t="n">
        <v>0.006</v>
      </c>
      <c r="AD28" s="196" t="n">
        <v>-0.01</v>
      </c>
      <c r="AE28" s="196" t="n">
        <v>-0.06</v>
      </c>
      <c r="AF28" s="196" t="n">
        <v>-0.0525</v>
      </c>
      <c r="AG28" s="197" t="n">
        <v>-0.0655</v>
      </c>
      <c r="AH28" s="196" t="n">
        <v>-0.019</v>
      </c>
      <c r="AI28" s="198" t="n">
        <v>-0.068</v>
      </c>
      <c r="AJ28" s="198" t="n">
        <v>-0.08</v>
      </c>
      <c r="AK28" s="199" t="n">
        <v>-0.0255</v>
      </c>
      <c r="AL28" s="192" t="n">
        <v>0.0085</v>
      </c>
      <c r="AM28" s="192" t="n">
        <v>0.495</v>
      </c>
      <c r="AN28" s="192" t="n">
        <v>0.025</v>
      </c>
      <c r="AO28" s="192" t="n">
        <v>-0.585</v>
      </c>
      <c r="AP28" s="192" t="n">
        <v>-0.1275</v>
      </c>
      <c r="AQ28" s="192" t="n">
        <v>-0.21</v>
      </c>
      <c r="AR28" s="192" t="n">
        <v>-0.35</v>
      </c>
      <c r="AS28" s="192" t="n">
        <v>-0.535</v>
      </c>
      <c r="AT28" s="192" t="n">
        <v>-0.585</v>
      </c>
      <c r="AU28" s="192" t="n">
        <v>0.37</v>
      </c>
      <c r="AV28" s="192" t="n">
        <v>-0.585</v>
      </c>
      <c r="AW28" s="192" t="n">
        <v>-0.0975</v>
      </c>
      <c r="AX28" s="192" t="n">
        <v>-0.095</v>
      </c>
      <c r="AY28" s="192" t="n">
        <v>-0.0975</v>
      </c>
      <c r="AZ28" s="192" t="n">
        <v>-0.06</v>
      </c>
      <c r="BA28" s="192" t="n">
        <v>-0.0875</v>
      </c>
      <c r="BB28" s="192" t="n">
        <v>-0.024</v>
      </c>
      <c r="BC28" s="192" t="n">
        <v>-0.065</v>
      </c>
      <c r="BD28" s="192" t="n">
        <v>-0.01</v>
      </c>
      <c r="BE28" s="192" t="n">
        <v>-0.06</v>
      </c>
      <c r="BF28" s="192" t="n">
        <v>0.12</v>
      </c>
      <c r="BG28" s="192" t="n">
        <v>0.1625</v>
      </c>
      <c r="BH28" s="192" t="n">
        <v>0.1625</v>
      </c>
      <c r="BI28" s="192" t="n">
        <v>0.1325</v>
      </c>
      <c r="BJ28" s="192" t="n">
        <v>0.3325</v>
      </c>
    </row>
    <row r="29" customFormat="false" ht="12.75" hidden="false" customHeight="false" outlineLevel="0" collapsed="false">
      <c r="A29" s="194" t="e">
        <f aca="false">#REF!-B29</f>
        <v>#REF!</v>
      </c>
      <c r="B29" s="194" t="n">
        <v>3.375</v>
      </c>
      <c r="C29" s="200" t="n">
        <v>37500</v>
      </c>
      <c r="D29" s="194" t="n">
        <v>3.705</v>
      </c>
      <c r="E29" s="194" t="n">
        <v>0.29</v>
      </c>
      <c r="F29" s="194" t="n">
        <v>0.06720377823263</v>
      </c>
      <c r="G29" s="194" t="n">
        <v>-0.1325</v>
      </c>
      <c r="H29" s="194" t="n">
        <v>-0.15</v>
      </c>
      <c r="I29" s="194" t="n">
        <v>-0.095</v>
      </c>
      <c r="J29" s="194" t="n">
        <v>-0.2175</v>
      </c>
      <c r="K29" s="194" t="n">
        <v>-0.075</v>
      </c>
      <c r="L29" s="194" t="n">
        <v>-0.06</v>
      </c>
      <c r="M29" s="194" t="n">
        <v>-0.0925</v>
      </c>
      <c r="N29" s="194" t="n">
        <v>-0.1025</v>
      </c>
      <c r="O29" s="194" t="n">
        <v>-0.1325</v>
      </c>
      <c r="P29" s="192" t="n">
        <v>-0.1325</v>
      </c>
      <c r="Q29" s="192" t="n">
        <v>-0.07375</v>
      </c>
      <c r="R29" s="192" t="n">
        <v>-0.06</v>
      </c>
      <c r="S29" s="192" t="n">
        <v>0.13</v>
      </c>
      <c r="T29" s="192" t="n">
        <v>0.13</v>
      </c>
      <c r="U29" s="192" t="n">
        <v>0.045</v>
      </c>
      <c r="V29" s="192" t="n">
        <v>0.47</v>
      </c>
      <c r="W29" s="196" t="n">
        <v>0.1925</v>
      </c>
      <c r="X29" s="196" t="n">
        <v>0.195</v>
      </c>
      <c r="Y29" s="196" t="n">
        <v>-0.025</v>
      </c>
      <c r="Z29" s="196" t="n">
        <v>-0.03025</v>
      </c>
      <c r="AA29" s="196" t="n">
        <v>0.00475</v>
      </c>
      <c r="AB29" s="196" t="n">
        <v>-0.02025</v>
      </c>
      <c r="AC29" s="196" t="n">
        <v>0.006</v>
      </c>
      <c r="AD29" s="196" t="n">
        <v>-0.01</v>
      </c>
      <c r="AE29" s="196" t="n">
        <v>-0.06</v>
      </c>
      <c r="AF29" s="196" t="n">
        <v>-0.0525</v>
      </c>
      <c r="AG29" s="197" t="n">
        <v>-0.0655</v>
      </c>
      <c r="AH29" s="196" t="n">
        <v>-0.019</v>
      </c>
      <c r="AI29" s="198" t="n">
        <v>-0.066</v>
      </c>
      <c r="AJ29" s="198" t="n">
        <v>-0.0875</v>
      </c>
      <c r="AK29" s="199" t="n">
        <v>-0.0255</v>
      </c>
      <c r="AL29" s="192" t="n">
        <v>0.0085</v>
      </c>
      <c r="AM29" s="192" t="n">
        <v>0.395</v>
      </c>
      <c r="AN29" s="192" t="n">
        <v>0.0175</v>
      </c>
      <c r="AO29" s="192" t="n">
        <v>-0.585</v>
      </c>
      <c r="AP29" s="192" t="n">
        <v>-0.1275</v>
      </c>
      <c r="AQ29" s="192" t="n">
        <v>-0.21</v>
      </c>
      <c r="AR29" s="192" t="n">
        <v>-0.35</v>
      </c>
      <c r="AS29" s="192" t="n">
        <v>-0.535</v>
      </c>
      <c r="AT29" s="192" t="n">
        <v>-0.585</v>
      </c>
      <c r="AU29" s="192" t="n">
        <v>0.37</v>
      </c>
      <c r="AV29" s="192" t="n">
        <v>-0.585</v>
      </c>
      <c r="AW29" s="192" t="n">
        <v>-0.1025</v>
      </c>
      <c r="AX29" s="192" t="n">
        <v>-0.095</v>
      </c>
      <c r="AY29" s="192" t="n">
        <v>-0.1025</v>
      </c>
      <c r="AZ29" s="192" t="n">
        <v>-0.06</v>
      </c>
      <c r="BA29" s="192" t="n">
        <v>-0.1025</v>
      </c>
      <c r="BB29" s="192" t="n">
        <v>-0.024</v>
      </c>
      <c r="BC29" s="192" t="n">
        <v>-0.065</v>
      </c>
      <c r="BD29" s="192" t="n">
        <v>-0.0175</v>
      </c>
      <c r="BE29" s="192" t="n">
        <v>-0.06</v>
      </c>
      <c r="BF29" s="192" t="n">
        <v>0.12</v>
      </c>
      <c r="BG29" s="192" t="n">
        <v>0.1625</v>
      </c>
      <c r="BH29" s="192" t="n">
        <v>0.16</v>
      </c>
      <c r="BI29" s="192" t="n">
        <v>0.13</v>
      </c>
      <c r="BJ29" s="192" t="n">
        <v>0.3225</v>
      </c>
    </row>
    <row r="30" customFormat="false" ht="12.75" hidden="false" customHeight="false" outlineLevel="0" collapsed="false">
      <c r="A30" s="194" t="e">
        <f aca="false">#REF!-B30</f>
        <v>#REF!</v>
      </c>
      <c r="B30" s="194" t="n">
        <v>3.365</v>
      </c>
      <c r="C30" s="200" t="n">
        <v>37530</v>
      </c>
      <c r="D30" s="194" t="n">
        <v>3.708</v>
      </c>
      <c r="E30" s="194" t="n">
        <v>0.295</v>
      </c>
      <c r="F30" s="194" t="n">
        <v>0.067194524564304</v>
      </c>
      <c r="G30" s="194" t="n">
        <v>-0.1325</v>
      </c>
      <c r="H30" s="194" t="n">
        <v>-0.15</v>
      </c>
      <c r="I30" s="194" t="n">
        <v>-0.08</v>
      </c>
      <c r="J30" s="194" t="n">
        <v>-0.2175</v>
      </c>
      <c r="K30" s="194" t="n">
        <v>-0.06</v>
      </c>
      <c r="L30" s="194" t="n">
        <v>-0.06</v>
      </c>
      <c r="M30" s="194" t="n">
        <v>-0.0925</v>
      </c>
      <c r="N30" s="194" t="n">
        <v>-0.1025</v>
      </c>
      <c r="O30" s="194" t="n">
        <v>-0.1325</v>
      </c>
      <c r="P30" s="192" t="n">
        <v>-0.1325</v>
      </c>
      <c r="Q30" s="192" t="n">
        <v>-0.07875</v>
      </c>
      <c r="R30" s="192" t="n">
        <v>-0.06</v>
      </c>
      <c r="S30" s="192" t="n">
        <v>0.145</v>
      </c>
      <c r="T30" s="192" t="n">
        <v>0.145</v>
      </c>
      <c r="U30" s="192" t="n">
        <v>0.06</v>
      </c>
      <c r="V30" s="192" t="n">
        <v>0.47</v>
      </c>
      <c r="W30" s="196" t="n">
        <v>0.1975</v>
      </c>
      <c r="X30" s="196" t="n">
        <v>0.215</v>
      </c>
      <c r="Y30" s="196" t="n">
        <v>-0.025</v>
      </c>
      <c r="Z30" s="196" t="n">
        <v>-0.03025</v>
      </c>
      <c r="AA30" s="196" t="n">
        <v>0.00475</v>
      </c>
      <c r="AB30" s="196" t="n">
        <v>-0.02025</v>
      </c>
      <c r="AC30" s="196" t="n">
        <v>0.006</v>
      </c>
      <c r="AD30" s="196" t="n">
        <v>-0.01</v>
      </c>
      <c r="AE30" s="196" t="n">
        <v>-0.06</v>
      </c>
      <c r="AF30" s="196" t="n">
        <v>-0.0525</v>
      </c>
      <c r="AG30" s="197" t="n">
        <v>-0.0655</v>
      </c>
      <c r="AH30" s="196" t="n">
        <v>-0.019</v>
      </c>
      <c r="AI30" s="198" t="n">
        <v>-0.068</v>
      </c>
      <c r="AJ30" s="198" t="n">
        <v>-0.0975</v>
      </c>
      <c r="AK30" s="199" t="n">
        <v>-0.0255</v>
      </c>
      <c r="AL30" s="192" t="n">
        <v>0.0085</v>
      </c>
      <c r="AM30" s="192" t="n">
        <v>0.461</v>
      </c>
      <c r="AN30" s="192" t="n">
        <v>0.0075</v>
      </c>
      <c r="AO30" s="192" t="n">
        <v>-0.585</v>
      </c>
      <c r="AP30" s="192" t="n">
        <v>-0.1275</v>
      </c>
      <c r="AQ30" s="192" t="n">
        <v>-0.21</v>
      </c>
      <c r="AR30" s="192" t="n">
        <v>-0.35</v>
      </c>
      <c r="AS30" s="192" t="n">
        <v>-0.535</v>
      </c>
      <c r="AT30" s="192" t="n">
        <v>-0.585</v>
      </c>
      <c r="AU30" s="192" t="n">
        <v>0.37</v>
      </c>
      <c r="AV30" s="192" t="n">
        <v>-0.585</v>
      </c>
      <c r="AW30" s="192" t="n">
        <v>-0.1125</v>
      </c>
      <c r="AX30" s="192" t="n">
        <v>-0.095</v>
      </c>
      <c r="AY30" s="192" t="n">
        <v>-0.1125</v>
      </c>
      <c r="AZ30" s="192" t="n">
        <v>-0.06</v>
      </c>
      <c r="BA30" s="192" t="n">
        <v>-0.105</v>
      </c>
      <c r="BB30" s="192" t="n">
        <v>-0.024</v>
      </c>
      <c r="BC30" s="192" t="n">
        <v>-0.065</v>
      </c>
      <c r="BD30" s="192" t="n">
        <v>-0.0275</v>
      </c>
      <c r="BE30" s="192" t="n">
        <v>-0.06</v>
      </c>
      <c r="BF30" s="192" t="n">
        <v>0.12</v>
      </c>
      <c r="BG30" s="192" t="n">
        <v>0.1625</v>
      </c>
      <c r="BH30" s="192" t="n">
        <v>0.175</v>
      </c>
      <c r="BI30" s="192" t="n">
        <v>0.145</v>
      </c>
      <c r="BJ30" s="192" t="n">
        <v>0.335</v>
      </c>
    </row>
    <row r="31" customFormat="false" ht="12.75" hidden="false" customHeight="false" outlineLevel="0" collapsed="false">
      <c r="A31" s="194" t="e">
        <f aca="false">#REF!-B31</f>
        <v>#REF!</v>
      </c>
      <c r="B31" s="194" t="n">
        <v>3.36</v>
      </c>
      <c r="C31" s="200" t="n">
        <v>37561</v>
      </c>
      <c r="D31" s="194" t="n">
        <v>3.8</v>
      </c>
      <c r="E31" s="194" t="n">
        <v>0.2975</v>
      </c>
      <c r="F31" s="194" t="n">
        <v>0.067190222129849</v>
      </c>
      <c r="G31" s="194" t="n">
        <v>-0.125</v>
      </c>
      <c r="H31" s="194" t="n">
        <v>-0.1425</v>
      </c>
      <c r="I31" s="194" t="n">
        <v>-0.025</v>
      </c>
      <c r="J31" s="194" t="n">
        <v>-0.21</v>
      </c>
      <c r="K31" s="194" t="n">
        <v>-0.005</v>
      </c>
      <c r="L31" s="194" t="n">
        <v>-0.06</v>
      </c>
      <c r="M31" s="194" t="n">
        <v>-0.095</v>
      </c>
      <c r="N31" s="194" t="n">
        <v>-0.095</v>
      </c>
      <c r="O31" s="194" t="n">
        <v>-0.125</v>
      </c>
      <c r="P31" s="192" t="n">
        <v>-0.125</v>
      </c>
      <c r="Q31" s="192" t="n">
        <v>-0.10375</v>
      </c>
      <c r="R31" s="192" t="n">
        <v>-0.07</v>
      </c>
      <c r="S31" s="192" t="n">
        <v>0.225</v>
      </c>
      <c r="T31" s="192" t="n">
        <v>0.225</v>
      </c>
      <c r="U31" s="192" t="n">
        <v>0.13</v>
      </c>
      <c r="V31" s="192" t="n">
        <v>0.405</v>
      </c>
      <c r="W31" s="196" t="n">
        <v>0.2975</v>
      </c>
      <c r="X31" s="196" t="n">
        <v>0.315</v>
      </c>
      <c r="Y31" s="196" t="n">
        <v>-0.028</v>
      </c>
      <c r="Z31" s="196" t="n">
        <v>-0.05</v>
      </c>
      <c r="AA31" s="196" t="n">
        <v>-0.0125</v>
      </c>
      <c r="AB31" s="196" t="n">
        <v>-0.04</v>
      </c>
      <c r="AC31" s="196" t="n">
        <v>0.0035</v>
      </c>
      <c r="AD31" s="196" t="n">
        <v>-0.013</v>
      </c>
      <c r="AE31" s="196" t="n">
        <v>-0.06</v>
      </c>
      <c r="AF31" s="196" t="n">
        <v>-0.05</v>
      </c>
      <c r="AG31" s="197" t="n">
        <v>-0.0635</v>
      </c>
      <c r="AH31" s="196" t="n">
        <v>-0.0205</v>
      </c>
      <c r="AI31" s="198" t="n">
        <v>-0.0805</v>
      </c>
      <c r="AJ31" s="198" t="n">
        <v>-0.1375</v>
      </c>
      <c r="AK31" s="199" t="n">
        <v>-0.0205</v>
      </c>
      <c r="AL31" s="192" t="n">
        <v>0.0125</v>
      </c>
      <c r="AM31" s="192" t="n">
        <v>0.77</v>
      </c>
      <c r="AN31" s="192" t="n">
        <v>-0.0325</v>
      </c>
      <c r="AO31" s="192" t="n">
        <v>-0.335</v>
      </c>
      <c r="AP31" s="192" t="n">
        <v>-0.14</v>
      </c>
      <c r="AQ31" s="192" t="n">
        <v>-0.19</v>
      </c>
      <c r="AR31" s="192" t="n">
        <v>0</v>
      </c>
      <c r="AS31" s="192" t="n">
        <v>-0.285</v>
      </c>
      <c r="AT31" s="192" t="n">
        <v>-0.335</v>
      </c>
      <c r="AU31" s="192" t="n">
        <v>0.25</v>
      </c>
      <c r="AV31" s="192" t="n">
        <v>-0.335</v>
      </c>
      <c r="AW31" s="192" t="n">
        <v>-0.1225</v>
      </c>
      <c r="AX31" s="192" t="n">
        <v>-0.1225</v>
      </c>
      <c r="AY31" s="192" t="n">
        <v>-0.1225</v>
      </c>
      <c r="AZ31" s="192" t="n">
        <v>-0.06</v>
      </c>
      <c r="BA31" s="192" t="n">
        <v>-0.11</v>
      </c>
      <c r="BB31" s="192" t="n">
        <v>-0.0255</v>
      </c>
      <c r="BC31" s="192" t="n">
        <v>-0.08</v>
      </c>
      <c r="BD31" s="192" t="n">
        <v>-0.0675</v>
      </c>
      <c r="BE31" s="192" t="n">
        <v>-0.06</v>
      </c>
      <c r="BF31" s="192" t="n">
        <v>0.07</v>
      </c>
      <c r="BG31" s="192" t="n">
        <v>0.295</v>
      </c>
      <c r="BH31" s="192" t="n">
        <v>0.27</v>
      </c>
      <c r="BI31" s="192" t="n">
        <v>0.225</v>
      </c>
      <c r="BJ31" s="192" t="n">
        <v>0.66</v>
      </c>
    </row>
    <row r="32" customFormat="false" ht="12.75" hidden="false" customHeight="false" outlineLevel="0" collapsed="false">
      <c r="A32" s="194" t="e">
        <f aca="false">#REF!-B32</f>
        <v>#REF!</v>
      </c>
      <c r="B32" s="194" t="n">
        <v>3.35</v>
      </c>
      <c r="C32" s="200" t="n">
        <v>37591</v>
      </c>
      <c r="D32" s="194" t="n">
        <v>3.876</v>
      </c>
      <c r="E32" s="194" t="n">
        <v>0.3</v>
      </c>
      <c r="F32" s="194" t="n">
        <v>0.067186058483608</v>
      </c>
      <c r="G32" s="194" t="n">
        <v>-0.1275</v>
      </c>
      <c r="H32" s="194" t="n">
        <v>-0.145</v>
      </c>
      <c r="I32" s="194" t="n">
        <v>-0.0175</v>
      </c>
      <c r="J32" s="194" t="n">
        <v>-0.2125</v>
      </c>
      <c r="K32" s="194" t="n">
        <v>0.0025</v>
      </c>
      <c r="L32" s="194" t="n">
        <v>-0.06</v>
      </c>
      <c r="M32" s="194" t="n">
        <v>-0.0975</v>
      </c>
      <c r="N32" s="194" t="n">
        <v>-0.0975</v>
      </c>
      <c r="O32" s="194" t="n">
        <v>-0.1275</v>
      </c>
      <c r="P32" s="192" t="n">
        <v>-0.1275</v>
      </c>
      <c r="Q32" s="192" t="n">
        <v>-0.115</v>
      </c>
      <c r="R32" s="192" t="n">
        <v>-0.07</v>
      </c>
      <c r="S32" s="192" t="n">
        <v>0.265</v>
      </c>
      <c r="T32" s="192" t="n">
        <v>0.265</v>
      </c>
      <c r="U32" s="192" t="n">
        <v>0.17</v>
      </c>
      <c r="V32" s="192" t="n">
        <v>0.405</v>
      </c>
      <c r="W32" s="196" t="n">
        <v>0.335</v>
      </c>
      <c r="X32" s="196" t="n">
        <v>0.395</v>
      </c>
      <c r="Y32" s="196" t="n">
        <v>-0.028</v>
      </c>
      <c r="Z32" s="196" t="n">
        <v>-0.0425</v>
      </c>
      <c r="AA32" s="196" t="n">
        <v>-0.0125</v>
      </c>
      <c r="AB32" s="196" t="n">
        <v>-0.04</v>
      </c>
      <c r="AC32" s="196" t="n">
        <v>0.0035</v>
      </c>
      <c r="AD32" s="196" t="n">
        <v>-0.013</v>
      </c>
      <c r="AE32" s="196" t="n">
        <v>-0.06</v>
      </c>
      <c r="AF32" s="196" t="n">
        <v>-0.05</v>
      </c>
      <c r="AG32" s="197" t="n">
        <v>-0.0635</v>
      </c>
      <c r="AH32" s="196" t="n">
        <v>-0.0205</v>
      </c>
      <c r="AI32" s="198" t="n">
        <v>-0.0805</v>
      </c>
      <c r="AJ32" s="198" t="n">
        <v>-0.16</v>
      </c>
      <c r="AK32" s="199" t="n">
        <v>-0.0205</v>
      </c>
      <c r="AL32" s="192" t="n">
        <v>0.0125</v>
      </c>
      <c r="AM32" s="192" t="n">
        <v>1.18</v>
      </c>
      <c r="AN32" s="192" t="n">
        <v>-0.055</v>
      </c>
      <c r="AO32" s="192" t="n">
        <v>-0.335</v>
      </c>
      <c r="AP32" s="192" t="n">
        <v>-0.135</v>
      </c>
      <c r="AQ32" s="192" t="n">
        <v>-0.19</v>
      </c>
      <c r="AR32" s="192" t="n">
        <v>0.06</v>
      </c>
      <c r="AS32" s="192" t="n">
        <v>-0.285</v>
      </c>
      <c r="AT32" s="192" t="n">
        <v>-0.335</v>
      </c>
      <c r="AU32" s="192" t="n">
        <v>0.25</v>
      </c>
      <c r="AV32" s="192" t="n">
        <v>-0.335</v>
      </c>
      <c r="AW32" s="192" t="n">
        <v>-0.1525</v>
      </c>
      <c r="AX32" s="192" t="n">
        <v>-0.1225</v>
      </c>
      <c r="AY32" s="192" t="n">
        <v>-0.1525</v>
      </c>
      <c r="AZ32" s="192" t="n">
        <v>-0.06</v>
      </c>
      <c r="BA32" s="192" t="n">
        <v>-0.1425</v>
      </c>
      <c r="BB32" s="192" t="n">
        <v>-0.0255</v>
      </c>
      <c r="BC32" s="192" t="n">
        <v>-0.08</v>
      </c>
      <c r="BD32" s="192" t="n">
        <v>-0.09</v>
      </c>
      <c r="BE32" s="192" t="n">
        <v>-0.06</v>
      </c>
      <c r="BF32" s="192" t="n">
        <v>0.07</v>
      </c>
      <c r="BG32" s="192" t="n">
        <v>0.25</v>
      </c>
      <c r="BH32" s="192" t="n">
        <v>0.31</v>
      </c>
      <c r="BI32" s="192" t="n">
        <v>0.265</v>
      </c>
      <c r="BJ32" s="192" t="n">
        <v>0.98</v>
      </c>
    </row>
    <row r="33" customFormat="false" ht="12.75" hidden="false" customHeight="false" outlineLevel="0" collapsed="false">
      <c r="A33" s="194" t="e">
        <f aca="false">#REF!-B33</f>
        <v>#REF!</v>
      </c>
      <c r="B33" s="194" t="n">
        <v>3.368</v>
      </c>
      <c r="C33" s="200" t="n">
        <v>37622</v>
      </c>
      <c r="D33" s="194" t="n">
        <v>3.857</v>
      </c>
      <c r="E33" s="194" t="n">
        <v>0.29</v>
      </c>
      <c r="F33" s="194" t="n">
        <v>0.067193160128611</v>
      </c>
      <c r="G33" s="194" t="n">
        <v>-0.13</v>
      </c>
      <c r="H33" s="194" t="n">
        <v>-0.1475</v>
      </c>
      <c r="I33" s="194" t="n">
        <v>-0.0025</v>
      </c>
      <c r="J33" s="194" t="n">
        <v>-0.195</v>
      </c>
      <c r="K33" s="194" t="n">
        <v>0.0175</v>
      </c>
      <c r="L33" s="194" t="n">
        <v>-0.06</v>
      </c>
      <c r="M33" s="194" t="n">
        <v>-0.1</v>
      </c>
      <c r="N33" s="194" t="n">
        <v>-0.1</v>
      </c>
      <c r="O33" s="194" t="n">
        <v>-0.13</v>
      </c>
      <c r="P33" s="192" t="n">
        <v>-0.13</v>
      </c>
      <c r="Q33" s="192" t="n">
        <v>-0.11625</v>
      </c>
      <c r="R33" s="192" t="n">
        <v>-0.07</v>
      </c>
      <c r="S33" s="192" t="n">
        <v>0.2775</v>
      </c>
      <c r="T33" s="192" t="n">
        <v>0.2775</v>
      </c>
      <c r="U33" s="192" t="n">
        <v>0.1825</v>
      </c>
      <c r="V33" s="192" t="n">
        <v>0.405</v>
      </c>
      <c r="W33" s="196" t="n">
        <v>0.34</v>
      </c>
      <c r="X33" s="196" t="n">
        <v>0.465</v>
      </c>
      <c r="Y33" s="196" t="n">
        <v>-0.0255</v>
      </c>
      <c r="Z33" s="196" t="n">
        <v>-0.0425</v>
      </c>
      <c r="AA33" s="196" t="n">
        <v>-0.0125</v>
      </c>
      <c r="AB33" s="196" t="n">
        <v>-0.04</v>
      </c>
      <c r="AC33" s="196" t="n">
        <v>0.005</v>
      </c>
      <c r="AD33" s="196" t="n">
        <v>-0.013</v>
      </c>
      <c r="AE33" s="196" t="n">
        <v>-0.06</v>
      </c>
      <c r="AF33" s="196" t="n">
        <v>-0.05</v>
      </c>
      <c r="AG33" s="197" t="n">
        <v>-0.0635</v>
      </c>
      <c r="AH33" s="196" t="n">
        <v>-0.0205</v>
      </c>
      <c r="AI33" s="198" t="n">
        <v>-0.0805</v>
      </c>
      <c r="AJ33" s="198" t="n">
        <v>-0.1625</v>
      </c>
      <c r="AK33" s="199" t="n">
        <v>-0.016</v>
      </c>
      <c r="AL33" s="192" t="n">
        <v>0.0125</v>
      </c>
      <c r="AM33" s="192" t="n">
        <v>1.5</v>
      </c>
      <c r="AN33" s="192" t="n">
        <v>-0.0575</v>
      </c>
      <c r="AO33" s="192" t="n">
        <v>-0.335</v>
      </c>
      <c r="AP33" s="192" t="n">
        <v>-0.135</v>
      </c>
      <c r="AQ33" s="192" t="n">
        <v>-0.19</v>
      </c>
      <c r="AR33" s="192" t="n">
        <v>0.13</v>
      </c>
      <c r="AS33" s="192" t="n">
        <v>-0.285</v>
      </c>
      <c r="AT33" s="192" t="n">
        <v>-0.335</v>
      </c>
      <c r="AU33" s="192" t="n">
        <v>0.25</v>
      </c>
      <c r="AV33" s="192" t="n">
        <v>-0.335</v>
      </c>
      <c r="AW33" s="192" t="n">
        <v>-0.1375</v>
      </c>
      <c r="AX33" s="192" t="n">
        <v>-0.1225</v>
      </c>
      <c r="AY33" s="192" t="n">
        <v>-0.1375</v>
      </c>
      <c r="AZ33" s="192" t="n">
        <v>-0.06</v>
      </c>
      <c r="BA33" s="192" t="n">
        <v>-0.1475</v>
      </c>
      <c r="BB33" s="192" t="n">
        <v>-0.0255</v>
      </c>
      <c r="BC33" s="192" t="n">
        <v>-0.08</v>
      </c>
      <c r="BD33" s="192" t="n">
        <v>-0.0925</v>
      </c>
      <c r="BE33" s="192" t="n">
        <v>-0.06</v>
      </c>
      <c r="BF33" s="192" t="n">
        <v>0.07</v>
      </c>
      <c r="BG33" s="192" t="n">
        <v>0.33</v>
      </c>
      <c r="BH33" s="192" t="n">
        <v>0.3225</v>
      </c>
      <c r="BI33" s="192" t="n">
        <v>0.3225</v>
      </c>
      <c r="BJ33" s="192" t="n">
        <v>1.16</v>
      </c>
    </row>
    <row r="34" customFormat="false" ht="12.75" hidden="false" customHeight="false" outlineLevel="0" collapsed="false">
      <c r="A34" s="194" t="e">
        <f aca="false">#REF!-B34</f>
        <v>#REF!</v>
      </c>
      <c r="B34" s="194" t="n">
        <v>3.48</v>
      </c>
      <c r="C34" s="200" t="n">
        <v>37653</v>
      </c>
      <c r="D34" s="194" t="n">
        <v>3.695</v>
      </c>
      <c r="E34" s="194" t="n">
        <v>0.2875</v>
      </c>
      <c r="F34" s="194" t="n">
        <v>0.067214109584478</v>
      </c>
      <c r="G34" s="194" t="n">
        <v>-0.1325</v>
      </c>
      <c r="H34" s="194" t="n">
        <v>-0.15</v>
      </c>
      <c r="I34" s="194" t="n">
        <v>-0.0025</v>
      </c>
      <c r="J34" s="194" t="n">
        <v>-0.1975</v>
      </c>
      <c r="K34" s="194" t="n">
        <v>0.0175</v>
      </c>
      <c r="L34" s="194" t="n">
        <v>-0.06</v>
      </c>
      <c r="M34" s="194" t="n">
        <v>-0.1025</v>
      </c>
      <c r="N34" s="194" t="n">
        <v>-0.1025</v>
      </c>
      <c r="O34" s="194" t="n">
        <v>-0.1325</v>
      </c>
      <c r="P34" s="192" t="n">
        <v>-0.1325</v>
      </c>
      <c r="Q34" s="192" t="n">
        <v>-0.1075</v>
      </c>
      <c r="R34" s="192" t="n">
        <v>-0.07</v>
      </c>
      <c r="S34" s="192" t="n">
        <v>0.255</v>
      </c>
      <c r="T34" s="192" t="n">
        <v>0.255</v>
      </c>
      <c r="U34" s="192" t="n">
        <v>0.16</v>
      </c>
      <c r="V34" s="192" t="n">
        <v>0.405</v>
      </c>
      <c r="W34" s="196" t="n">
        <v>0.33</v>
      </c>
      <c r="X34" s="196" t="n">
        <v>0.435</v>
      </c>
      <c r="Y34" s="196" t="n">
        <v>-0.0255</v>
      </c>
      <c r="Z34" s="196" t="n">
        <v>-0.0425</v>
      </c>
      <c r="AA34" s="196" t="n">
        <v>-0.0125</v>
      </c>
      <c r="AB34" s="196" t="n">
        <v>-0.04</v>
      </c>
      <c r="AC34" s="196" t="n">
        <v>0.005</v>
      </c>
      <c r="AD34" s="196" t="n">
        <v>-0.013</v>
      </c>
      <c r="AE34" s="196" t="n">
        <v>-0.06</v>
      </c>
      <c r="AF34" s="196" t="n">
        <v>-0.05</v>
      </c>
      <c r="AG34" s="197" t="n">
        <v>-0.0635</v>
      </c>
      <c r="AH34" s="196" t="n">
        <v>-0.0205</v>
      </c>
      <c r="AI34" s="198" t="n">
        <v>-0.0805</v>
      </c>
      <c r="AJ34" s="198" t="n">
        <v>-0.145</v>
      </c>
      <c r="AK34" s="199" t="n">
        <v>-0.016</v>
      </c>
      <c r="AL34" s="192" t="n">
        <v>0.0125</v>
      </c>
      <c r="AM34" s="192" t="n">
        <v>1.45</v>
      </c>
      <c r="AN34" s="192" t="n">
        <v>-0.04</v>
      </c>
      <c r="AO34" s="192" t="n">
        <v>-0.335</v>
      </c>
      <c r="AP34" s="192" t="n">
        <v>-0.135</v>
      </c>
      <c r="AQ34" s="192" t="n">
        <v>-0.19</v>
      </c>
      <c r="AR34" s="192" t="n">
        <v>0</v>
      </c>
      <c r="AS34" s="192" t="n">
        <v>-0.285</v>
      </c>
      <c r="AT34" s="192" t="n">
        <v>-0.335</v>
      </c>
      <c r="AU34" s="192" t="n">
        <v>0.25</v>
      </c>
      <c r="AV34" s="192" t="n">
        <v>-0.335</v>
      </c>
      <c r="AW34" s="192" t="n">
        <v>-0.14</v>
      </c>
      <c r="AX34" s="192" t="n">
        <v>-0.1225</v>
      </c>
      <c r="AY34" s="192" t="n">
        <v>-0.14</v>
      </c>
      <c r="AZ34" s="192" t="n">
        <v>-0.06</v>
      </c>
      <c r="BA34" s="192" t="n">
        <v>-0.13</v>
      </c>
      <c r="BB34" s="192" t="n">
        <v>-0.0255</v>
      </c>
      <c r="BC34" s="192" t="n">
        <v>-0.08</v>
      </c>
      <c r="BD34" s="192" t="n">
        <v>-0.075</v>
      </c>
      <c r="BE34" s="192" t="n">
        <v>-0.06</v>
      </c>
      <c r="BF34" s="192" t="n">
        <v>0.07</v>
      </c>
      <c r="BG34" s="192" t="n">
        <v>0.375</v>
      </c>
      <c r="BH34" s="192" t="n">
        <v>0.3</v>
      </c>
      <c r="BI34" s="192" t="n">
        <v>0.3</v>
      </c>
      <c r="BJ34" s="192" t="n">
        <v>1.16</v>
      </c>
    </row>
    <row r="35" customFormat="false" ht="12.75" hidden="false" customHeight="false" outlineLevel="0" collapsed="false">
      <c r="A35" s="194" t="e">
        <f aca="false">#REF!-B35</f>
        <v>#REF!</v>
      </c>
      <c r="B35" s="194" t="n">
        <v>3.589</v>
      </c>
      <c r="C35" s="200" t="n">
        <v>37681</v>
      </c>
      <c r="D35" s="194" t="n">
        <v>3.512</v>
      </c>
      <c r="E35" s="194" t="n">
        <v>0.2775</v>
      </c>
      <c r="F35" s="194" t="n">
        <v>0.067233031673773</v>
      </c>
      <c r="G35" s="194" t="n">
        <v>-0.135</v>
      </c>
      <c r="H35" s="194" t="n">
        <v>-0.1525</v>
      </c>
      <c r="I35" s="194" t="n">
        <v>-0.0025</v>
      </c>
      <c r="J35" s="194" t="n">
        <v>-0.2</v>
      </c>
      <c r="K35" s="194" t="n">
        <v>0.0175</v>
      </c>
      <c r="L35" s="194" t="n">
        <v>-0.06</v>
      </c>
      <c r="M35" s="194" t="n">
        <v>-0.105</v>
      </c>
      <c r="N35" s="194" t="n">
        <v>-0.105</v>
      </c>
      <c r="O35" s="194" t="n">
        <v>-0.135</v>
      </c>
      <c r="P35" s="192" t="n">
        <v>-0.135</v>
      </c>
      <c r="Q35" s="192" t="n">
        <v>-0.10125</v>
      </c>
      <c r="R35" s="192" t="n">
        <v>-0.07</v>
      </c>
      <c r="S35" s="192" t="n">
        <v>0.2525</v>
      </c>
      <c r="T35" s="192" t="n">
        <v>0.2525</v>
      </c>
      <c r="U35" s="192" t="n">
        <v>0.1575</v>
      </c>
      <c r="V35" s="192" t="n">
        <v>0.405</v>
      </c>
      <c r="W35" s="196" t="n">
        <v>0.2975</v>
      </c>
      <c r="X35" s="196" t="n">
        <v>0.39</v>
      </c>
      <c r="Y35" s="196" t="n">
        <v>-0.0255</v>
      </c>
      <c r="Z35" s="196" t="n">
        <v>-0.0425</v>
      </c>
      <c r="AA35" s="196" t="n">
        <v>-0.0125</v>
      </c>
      <c r="AB35" s="196" t="n">
        <v>-0.04</v>
      </c>
      <c r="AC35" s="196" t="n">
        <v>0.005</v>
      </c>
      <c r="AD35" s="196" t="n">
        <v>-0.013</v>
      </c>
      <c r="AE35" s="196" t="n">
        <v>-0.06</v>
      </c>
      <c r="AF35" s="196" t="n">
        <v>-0.05</v>
      </c>
      <c r="AG35" s="197" t="n">
        <v>-0.0635</v>
      </c>
      <c r="AH35" s="196" t="n">
        <v>-0.0205</v>
      </c>
      <c r="AI35" s="198" t="n">
        <v>-0.0805</v>
      </c>
      <c r="AJ35" s="198" t="n">
        <v>-0.1325</v>
      </c>
      <c r="AK35" s="199" t="n">
        <v>-0.016</v>
      </c>
      <c r="AL35" s="192" t="n">
        <v>0.0125</v>
      </c>
      <c r="AM35" s="192" t="n">
        <v>0.85</v>
      </c>
      <c r="AN35" s="192" t="n">
        <v>-0.0275</v>
      </c>
      <c r="AO35" s="192" t="n">
        <v>-0.335</v>
      </c>
      <c r="AP35" s="192" t="n">
        <v>-0.14</v>
      </c>
      <c r="AQ35" s="192" t="n">
        <v>-0.19</v>
      </c>
      <c r="AR35" s="192" t="n">
        <v>-0.2</v>
      </c>
      <c r="AS35" s="192" t="n">
        <v>-0.285</v>
      </c>
      <c r="AT35" s="192" t="n">
        <v>-0.335</v>
      </c>
      <c r="AU35" s="192" t="n">
        <v>0.25</v>
      </c>
      <c r="AV35" s="192" t="n">
        <v>-0.335</v>
      </c>
      <c r="AW35" s="192" t="n">
        <v>-0.1225</v>
      </c>
      <c r="AX35" s="192" t="n">
        <v>-0.1225</v>
      </c>
      <c r="AY35" s="192" t="n">
        <v>-0.1225</v>
      </c>
      <c r="AZ35" s="192" t="n">
        <v>-0.06</v>
      </c>
      <c r="BA35" s="192" t="n">
        <v>-0.115</v>
      </c>
      <c r="BB35" s="192" t="n">
        <v>-0.0255</v>
      </c>
      <c r="BC35" s="192" t="n">
        <v>-0.08</v>
      </c>
      <c r="BD35" s="192" t="n">
        <v>-0.0625</v>
      </c>
      <c r="BE35" s="192" t="n">
        <v>-0.06</v>
      </c>
      <c r="BF35" s="192" t="n">
        <v>0.07</v>
      </c>
      <c r="BG35" s="192" t="n">
        <v>0.375</v>
      </c>
      <c r="BH35" s="192" t="n">
        <v>0.2975</v>
      </c>
      <c r="BI35" s="192" t="n">
        <v>0.2975</v>
      </c>
      <c r="BJ35" s="192" t="n">
        <v>0.83</v>
      </c>
    </row>
    <row r="36" customFormat="false" ht="12.75" hidden="false" customHeight="false" outlineLevel="0" collapsed="false">
      <c r="A36" s="194" t="e">
        <f aca="false">#REF!-B36</f>
        <v>#REF!</v>
      </c>
      <c r="B36" s="194" t="n">
        <v>3.608</v>
      </c>
      <c r="C36" s="200" t="n">
        <v>37712</v>
      </c>
      <c r="D36" s="194" t="n">
        <v>3.322</v>
      </c>
      <c r="E36" s="194" t="n">
        <v>0.265</v>
      </c>
      <c r="F36" s="194" t="n">
        <v>0.06724692996423</v>
      </c>
      <c r="G36" s="194" t="n">
        <v>-0.185</v>
      </c>
      <c r="H36" s="194" t="n">
        <v>-0.2025</v>
      </c>
      <c r="I36" s="194" t="n">
        <v>-0.085</v>
      </c>
      <c r="J36" s="194" t="n">
        <v>-0.25</v>
      </c>
      <c r="K36" s="194" t="n">
        <v>-0.065</v>
      </c>
      <c r="L36" s="194" t="n">
        <v>-0.0575</v>
      </c>
      <c r="M36" s="194" t="n">
        <v>-0.155</v>
      </c>
      <c r="N36" s="194" t="n">
        <v>-0.155</v>
      </c>
      <c r="O36" s="194" t="n">
        <v>-0.185</v>
      </c>
      <c r="P36" s="192" t="n">
        <v>-0.185</v>
      </c>
      <c r="Q36" s="192" t="n">
        <v>-0.07875</v>
      </c>
      <c r="R36" s="192" t="n">
        <v>-0.0675</v>
      </c>
      <c r="S36" s="192" t="n">
        <v>0.1725</v>
      </c>
      <c r="T36" s="192" t="n">
        <v>0.1725</v>
      </c>
      <c r="U36" s="192" t="n">
        <v>0.0775</v>
      </c>
      <c r="V36" s="192" t="n">
        <v>0.435</v>
      </c>
      <c r="W36" s="196" t="n">
        <v>0.205</v>
      </c>
      <c r="X36" s="196" t="n">
        <v>0.25</v>
      </c>
      <c r="Y36" s="196" t="n">
        <v>-0.025</v>
      </c>
      <c r="Z36" s="196" t="n">
        <v>-0.0275</v>
      </c>
      <c r="AA36" s="196" t="n">
        <v>0.005</v>
      </c>
      <c r="AB36" s="196" t="n">
        <v>-0.02</v>
      </c>
      <c r="AC36" s="196" t="n">
        <v>0.005</v>
      </c>
      <c r="AD36" s="196" t="n">
        <v>-0.008</v>
      </c>
      <c r="AE36" s="196" t="n">
        <v>-0.06</v>
      </c>
      <c r="AF36" s="196" t="n">
        <v>-0.055</v>
      </c>
      <c r="AG36" s="197" t="n">
        <v>-0.0635</v>
      </c>
      <c r="AH36" s="196" t="n">
        <v>-0.018</v>
      </c>
      <c r="AI36" s="198" t="n">
        <v>-0.076</v>
      </c>
      <c r="AJ36" s="198" t="n">
        <v>-0.09</v>
      </c>
      <c r="AK36" s="199" t="n">
        <v>-0.0235</v>
      </c>
      <c r="AL36" s="192" t="n">
        <v>0.0085</v>
      </c>
      <c r="AM36" s="192" t="n">
        <v>0.45</v>
      </c>
      <c r="AN36" s="192" t="n">
        <v>0.015</v>
      </c>
      <c r="AO36" s="192" t="n">
        <v>-0.4</v>
      </c>
      <c r="AP36" s="192" t="n">
        <v>-0.125</v>
      </c>
      <c r="AQ36" s="192" t="n">
        <v>-0.195</v>
      </c>
      <c r="AR36" s="192" t="n">
        <v>-0.34</v>
      </c>
      <c r="AS36" s="192" t="n">
        <v>-0.35</v>
      </c>
      <c r="AT36" s="192" t="n">
        <v>-0.4</v>
      </c>
      <c r="AU36" s="192" t="n">
        <v>0.28</v>
      </c>
      <c r="AV36" s="192" t="n">
        <v>-0.4</v>
      </c>
      <c r="AW36" s="192" t="n">
        <v>-0.11</v>
      </c>
      <c r="AX36" s="192" t="n">
        <v>-0.1125</v>
      </c>
      <c r="AY36" s="192" t="n">
        <v>-0.11</v>
      </c>
      <c r="AZ36" s="192" t="n">
        <v>-0.0575</v>
      </c>
      <c r="BA36" s="192" t="n">
        <v>-0.1</v>
      </c>
      <c r="BB36" s="192" t="n">
        <v>-0.023</v>
      </c>
      <c r="BC36" s="192" t="n">
        <v>-0.0625</v>
      </c>
      <c r="BD36" s="192" t="n">
        <v>-0.02</v>
      </c>
      <c r="BE36" s="192" t="n">
        <v>-0.06</v>
      </c>
      <c r="BF36" s="192" t="n">
        <v>0.12</v>
      </c>
      <c r="BG36" s="192" t="n">
        <v>0.1625</v>
      </c>
      <c r="BH36" s="192" t="n">
        <v>0.2025</v>
      </c>
      <c r="BI36" s="192" t="n">
        <v>0.2025</v>
      </c>
      <c r="BJ36" s="192" t="n">
        <v>0.365</v>
      </c>
    </row>
    <row r="37" customFormat="false" ht="12.75" hidden="false" customHeight="false" outlineLevel="0" collapsed="false">
      <c r="A37" s="194" t="e">
        <f aca="false">#REF!-B37</f>
        <v>#REF!</v>
      </c>
      <c r="B37" s="194" t="n">
        <v>3.478</v>
      </c>
      <c r="C37" s="200" t="n">
        <v>37742</v>
      </c>
      <c r="D37" s="194" t="n">
        <v>3.272</v>
      </c>
      <c r="E37" s="194" t="n">
        <v>0.26</v>
      </c>
      <c r="F37" s="194" t="n">
        <v>0.067250744147623</v>
      </c>
      <c r="G37" s="194" t="n">
        <v>-0.185</v>
      </c>
      <c r="H37" s="194" t="n">
        <v>-0.2025</v>
      </c>
      <c r="I37" s="194" t="n">
        <v>-0.1</v>
      </c>
      <c r="J37" s="194" t="n">
        <v>-0.25</v>
      </c>
      <c r="K37" s="194" t="n">
        <v>-0.08</v>
      </c>
      <c r="L37" s="194" t="n">
        <v>-0.0575</v>
      </c>
      <c r="M37" s="194" t="n">
        <v>-0.155</v>
      </c>
      <c r="N37" s="194" t="n">
        <v>-0.155</v>
      </c>
      <c r="O37" s="194" t="n">
        <v>-0.185</v>
      </c>
      <c r="P37" s="192" t="n">
        <v>-0.185</v>
      </c>
      <c r="Q37" s="192" t="n">
        <v>-0.07875</v>
      </c>
      <c r="R37" s="192" t="n">
        <v>-0.0675</v>
      </c>
      <c r="S37" s="192" t="n">
        <v>0.1625</v>
      </c>
      <c r="T37" s="192" t="n">
        <v>0.1625</v>
      </c>
      <c r="U37" s="192" t="n">
        <v>0.0675</v>
      </c>
      <c r="V37" s="192" t="n">
        <v>0.435</v>
      </c>
      <c r="W37" s="196" t="n">
        <v>0.1925</v>
      </c>
      <c r="X37" s="196" t="n">
        <v>0.2025</v>
      </c>
      <c r="Y37" s="196" t="n">
        <v>-0.025</v>
      </c>
      <c r="Z37" s="196" t="n">
        <v>-0.02775</v>
      </c>
      <c r="AA37" s="196" t="n">
        <v>0.00475</v>
      </c>
      <c r="AB37" s="196" t="n">
        <v>-0.02025</v>
      </c>
      <c r="AC37" s="196" t="n">
        <v>0.005</v>
      </c>
      <c r="AD37" s="196" t="n">
        <v>-0.008</v>
      </c>
      <c r="AE37" s="196" t="n">
        <v>-0.06</v>
      </c>
      <c r="AF37" s="196" t="n">
        <v>-0.055</v>
      </c>
      <c r="AG37" s="197" t="n">
        <v>-0.0635</v>
      </c>
      <c r="AH37" s="196" t="n">
        <v>-0.018</v>
      </c>
      <c r="AI37" s="198" t="n">
        <v>-0.076</v>
      </c>
      <c r="AJ37" s="198" t="n">
        <v>-0.09</v>
      </c>
      <c r="AK37" s="199" t="n">
        <v>-0.0235</v>
      </c>
      <c r="AL37" s="192" t="n">
        <v>0.0085</v>
      </c>
      <c r="AM37" s="192" t="n">
        <v>0.405</v>
      </c>
      <c r="AN37" s="192" t="n">
        <v>0.015</v>
      </c>
      <c r="AO37" s="192" t="n">
        <v>-0.4</v>
      </c>
      <c r="AP37" s="192" t="n">
        <v>-0.125</v>
      </c>
      <c r="AQ37" s="192" t="n">
        <v>-0.195</v>
      </c>
      <c r="AR37" s="192" t="n">
        <v>-0.34</v>
      </c>
      <c r="AS37" s="192" t="n">
        <v>-0.35</v>
      </c>
      <c r="AT37" s="192" t="n">
        <v>-0.4</v>
      </c>
      <c r="AU37" s="192" t="n">
        <v>0.28</v>
      </c>
      <c r="AV37" s="192" t="n">
        <v>-0.4</v>
      </c>
      <c r="AW37" s="192" t="n">
        <v>-0.1075</v>
      </c>
      <c r="AX37" s="192" t="n">
        <v>-0.0925</v>
      </c>
      <c r="AY37" s="192" t="n">
        <v>-0.1075</v>
      </c>
      <c r="AZ37" s="192" t="n">
        <v>-0.0575</v>
      </c>
      <c r="BA37" s="192" t="n">
        <v>-0.095</v>
      </c>
      <c r="BB37" s="192" t="n">
        <v>-0.023</v>
      </c>
      <c r="BC37" s="192" t="n">
        <v>-0.0625</v>
      </c>
      <c r="BD37" s="192" t="n">
        <v>-0.02</v>
      </c>
      <c r="BE37" s="192" t="n">
        <v>-0.06</v>
      </c>
      <c r="BF37" s="192" t="n">
        <v>0.12</v>
      </c>
      <c r="BG37" s="192" t="n">
        <v>0.1625</v>
      </c>
      <c r="BH37" s="192" t="n">
        <v>0.1925</v>
      </c>
      <c r="BI37" s="192" t="n">
        <v>0.1925</v>
      </c>
      <c r="BJ37" s="192" t="n">
        <v>0.2975</v>
      </c>
    </row>
    <row r="38" customFormat="false" ht="12.75" hidden="false" customHeight="false" outlineLevel="0" collapsed="false">
      <c r="A38" s="194" t="e">
        <f aca="false">#REF!-B38</f>
        <v>#REF!</v>
      </c>
      <c r="B38" s="194" t="n">
        <v>3.323</v>
      </c>
      <c r="C38" s="200" t="n">
        <v>37773</v>
      </c>
      <c r="D38" s="194" t="n">
        <v>3.28</v>
      </c>
      <c r="E38" s="194" t="n">
        <v>0.2575</v>
      </c>
      <c r="F38" s="194" t="n">
        <v>0.067254685470467</v>
      </c>
      <c r="G38" s="194" t="n">
        <v>-0.185</v>
      </c>
      <c r="H38" s="194" t="n">
        <v>-0.2025</v>
      </c>
      <c r="I38" s="194" t="n">
        <v>-0.11</v>
      </c>
      <c r="J38" s="194" t="n">
        <v>-0.25</v>
      </c>
      <c r="K38" s="194" t="n">
        <v>-0.09</v>
      </c>
      <c r="L38" s="194" t="n">
        <v>-0.0575</v>
      </c>
      <c r="M38" s="194" t="n">
        <v>-0.155</v>
      </c>
      <c r="N38" s="194" t="n">
        <v>-0.155</v>
      </c>
      <c r="O38" s="194" t="n">
        <v>-0.185</v>
      </c>
      <c r="P38" s="192" t="n">
        <v>-0.185</v>
      </c>
      <c r="Q38" s="192" t="n">
        <v>-0.07625</v>
      </c>
      <c r="R38" s="192" t="n">
        <v>-0.0675</v>
      </c>
      <c r="S38" s="192" t="n">
        <v>0.1575</v>
      </c>
      <c r="T38" s="192" t="n">
        <v>0.1575</v>
      </c>
      <c r="U38" s="192" t="n">
        <v>0.0625</v>
      </c>
      <c r="V38" s="192" t="n">
        <v>0.435</v>
      </c>
      <c r="W38" s="196" t="n">
        <v>0.1925</v>
      </c>
      <c r="X38" s="196" t="n">
        <v>0.2025</v>
      </c>
      <c r="Y38" s="196" t="n">
        <v>-0.025</v>
      </c>
      <c r="Z38" s="196" t="n">
        <v>-0.02775</v>
      </c>
      <c r="AA38" s="196" t="n">
        <v>0.00475</v>
      </c>
      <c r="AB38" s="196" t="n">
        <v>-0.02025</v>
      </c>
      <c r="AC38" s="196" t="n">
        <v>0.005</v>
      </c>
      <c r="AD38" s="196" t="n">
        <v>-0.008</v>
      </c>
      <c r="AE38" s="196" t="n">
        <v>-0.06</v>
      </c>
      <c r="AF38" s="196" t="n">
        <v>-0.055</v>
      </c>
      <c r="AG38" s="197" t="n">
        <v>-0.0635</v>
      </c>
      <c r="AH38" s="196" t="n">
        <v>-0.018</v>
      </c>
      <c r="AI38" s="198" t="n">
        <v>-0.092</v>
      </c>
      <c r="AJ38" s="198" t="n">
        <v>-0.085</v>
      </c>
      <c r="AK38" s="199" t="n">
        <v>-0.0235</v>
      </c>
      <c r="AL38" s="192" t="n">
        <v>0.0085</v>
      </c>
      <c r="AM38" s="192" t="n">
        <v>0.395</v>
      </c>
      <c r="AN38" s="192" t="n">
        <v>0.02</v>
      </c>
      <c r="AO38" s="192" t="n">
        <v>-0.4</v>
      </c>
      <c r="AP38" s="192" t="n">
        <v>-0.125</v>
      </c>
      <c r="AQ38" s="192" t="n">
        <v>-0.195</v>
      </c>
      <c r="AR38" s="192" t="n">
        <v>-0.34</v>
      </c>
      <c r="AS38" s="192" t="n">
        <v>-0.35</v>
      </c>
      <c r="AT38" s="192" t="n">
        <v>-0.4</v>
      </c>
      <c r="AU38" s="192" t="n">
        <v>0.28</v>
      </c>
      <c r="AV38" s="192" t="n">
        <v>-0.4</v>
      </c>
      <c r="AW38" s="192" t="n">
        <v>-0.1</v>
      </c>
      <c r="AX38" s="192" t="n">
        <v>-0.0925</v>
      </c>
      <c r="AY38" s="192" t="n">
        <v>-0.1</v>
      </c>
      <c r="AZ38" s="192" t="n">
        <v>-0.0575</v>
      </c>
      <c r="BA38" s="192" t="n">
        <v>-0.09</v>
      </c>
      <c r="BB38" s="192" t="n">
        <v>-0.023</v>
      </c>
      <c r="BC38" s="192" t="n">
        <v>-0.0625</v>
      </c>
      <c r="BD38" s="192" t="n">
        <v>-0.015</v>
      </c>
      <c r="BE38" s="192" t="n">
        <v>-0.06</v>
      </c>
      <c r="BF38" s="192" t="n">
        <v>0.12</v>
      </c>
      <c r="BG38" s="192" t="n">
        <v>0.1625</v>
      </c>
      <c r="BH38" s="192" t="n">
        <v>0.1875</v>
      </c>
      <c r="BI38" s="192" t="n">
        <v>0.1875</v>
      </c>
      <c r="BJ38" s="192" t="n">
        <v>0.2975</v>
      </c>
    </row>
    <row r="39" customFormat="false" ht="12.75" hidden="false" customHeight="false" outlineLevel="0" collapsed="false">
      <c r="A39" s="194" t="e">
        <f aca="false">#REF!-B39</f>
        <v>#REF!</v>
      </c>
      <c r="B39" s="194" t="n">
        <v>3.168</v>
      </c>
      <c r="C39" s="200" t="n">
        <v>37803</v>
      </c>
      <c r="D39" s="194" t="n">
        <v>3.288</v>
      </c>
      <c r="E39" s="194" t="n">
        <v>0.2575</v>
      </c>
      <c r="F39" s="194" t="n">
        <v>0.067261441631244</v>
      </c>
      <c r="G39" s="194" t="n">
        <v>-0.185</v>
      </c>
      <c r="H39" s="194" t="n">
        <v>-0.2025</v>
      </c>
      <c r="I39" s="194" t="n">
        <v>-0.11</v>
      </c>
      <c r="J39" s="194" t="n">
        <v>-0.27</v>
      </c>
      <c r="K39" s="194" t="n">
        <v>-0.09</v>
      </c>
      <c r="L39" s="194" t="n">
        <v>-0.0575</v>
      </c>
      <c r="M39" s="194" t="n">
        <v>-0.155</v>
      </c>
      <c r="N39" s="194" t="n">
        <v>-0.155</v>
      </c>
      <c r="O39" s="194" t="n">
        <v>-0.185</v>
      </c>
      <c r="P39" s="192" t="n">
        <v>-0.185</v>
      </c>
      <c r="Q39" s="192" t="n">
        <v>-0.075</v>
      </c>
      <c r="R39" s="192" t="n">
        <v>-0.0675</v>
      </c>
      <c r="S39" s="192" t="n">
        <v>0.1475</v>
      </c>
      <c r="T39" s="192" t="n">
        <v>0.1475</v>
      </c>
      <c r="U39" s="192" t="n">
        <v>0.0525</v>
      </c>
      <c r="V39" s="192" t="n">
        <v>0.435</v>
      </c>
      <c r="W39" s="196" t="n">
        <v>0.1925</v>
      </c>
      <c r="X39" s="196" t="n">
        <v>0.215</v>
      </c>
      <c r="Y39" s="196" t="n">
        <v>-0.025</v>
      </c>
      <c r="Z39" s="196" t="n">
        <v>-0.02775</v>
      </c>
      <c r="AA39" s="196" t="n">
        <v>0.00475</v>
      </c>
      <c r="AB39" s="196" t="n">
        <v>-0.02025</v>
      </c>
      <c r="AC39" s="196" t="n">
        <v>0.005</v>
      </c>
      <c r="AD39" s="196" t="n">
        <v>-0.008</v>
      </c>
      <c r="AE39" s="196" t="n">
        <v>-0.06</v>
      </c>
      <c r="AF39" s="196" t="n">
        <v>-0.055</v>
      </c>
      <c r="AG39" s="197" t="n">
        <v>-0.0635</v>
      </c>
      <c r="AH39" s="196" t="n">
        <v>-0.018</v>
      </c>
      <c r="AI39" s="198" t="n">
        <v>-0.085</v>
      </c>
      <c r="AJ39" s="198" t="n">
        <v>-0.0825</v>
      </c>
      <c r="AK39" s="199" t="n">
        <v>-0.0235</v>
      </c>
      <c r="AL39" s="192" t="n">
        <v>0.0085</v>
      </c>
      <c r="AM39" s="192" t="n">
        <v>0.43</v>
      </c>
      <c r="AN39" s="192" t="n">
        <v>0.0225</v>
      </c>
      <c r="AO39" s="192" t="n">
        <v>-0.4</v>
      </c>
      <c r="AP39" s="192" t="n">
        <v>-0.125</v>
      </c>
      <c r="AQ39" s="192" t="n">
        <v>-0.195</v>
      </c>
      <c r="AR39" s="192" t="n">
        <v>-0.34</v>
      </c>
      <c r="AS39" s="192" t="n">
        <v>-0.35</v>
      </c>
      <c r="AT39" s="192" t="n">
        <v>-0.4</v>
      </c>
      <c r="AU39" s="192" t="n">
        <v>0.28</v>
      </c>
      <c r="AV39" s="192" t="n">
        <v>-0.4</v>
      </c>
      <c r="AW39" s="192" t="n">
        <v>-0.1075</v>
      </c>
      <c r="AX39" s="192" t="n">
        <v>-0.0925</v>
      </c>
      <c r="AY39" s="192" t="n">
        <v>-0.1075</v>
      </c>
      <c r="AZ39" s="192" t="n">
        <v>-0.0575</v>
      </c>
      <c r="BA39" s="192" t="n">
        <v>-0.085</v>
      </c>
      <c r="BB39" s="192" t="n">
        <v>-0.023</v>
      </c>
      <c r="BC39" s="192" t="n">
        <v>-0.0625</v>
      </c>
      <c r="BD39" s="192" t="n">
        <v>-0.0125</v>
      </c>
      <c r="BE39" s="192" t="n">
        <v>-0.06</v>
      </c>
      <c r="BF39" s="192" t="n">
        <v>0.12</v>
      </c>
      <c r="BG39" s="192" t="n">
        <v>0.1625</v>
      </c>
      <c r="BH39" s="192" t="n">
        <v>0.1775</v>
      </c>
      <c r="BI39" s="192" t="n">
        <v>0.1775</v>
      </c>
      <c r="BJ39" s="192" t="n">
        <v>0.31</v>
      </c>
    </row>
    <row r="40" customFormat="false" ht="12.75" hidden="false" customHeight="false" outlineLevel="0" collapsed="false">
      <c r="A40" s="194" t="e">
        <f aca="false">#REF!-B40</f>
        <v>#REF!</v>
      </c>
      <c r="B40" s="194" t="n">
        <v>3.14</v>
      </c>
      <c r="C40" s="200" t="n">
        <v>37834</v>
      </c>
      <c r="D40" s="194" t="n">
        <v>3.295</v>
      </c>
      <c r="E40" s="194" t="n">
        <v>0.2575</v>
      </c>
      <c r="F40" s="194" t="n">
        <v>0.067272650985246</v>
      </c>
      <c r="G40" s="194" t="n">
        <v>-0.185</v>
      </c>
      <c r="H40" s="194" t="n">
        <v>-0.2025</v>
      </c>
      <c r="I40" s="194" t="n">
        <v>-0.11</v>
      </c>
      <c r="J40" s="194" t="n">
        <v>-0.27</v>
      </c>
      <c r="K40" s="194" t="n">
        <v>-0.09</v>
      </c>
      <c r="L40" s="194" t="n">
        <v>-0.0575</v>
      </c>
      <c r="M40" s="194" t="n">
        <v>-0.155</v>
      </c>
      <c r="N40" s="194" t="n">
        <v>-0.155</v>
      </c>
      <c r="O40" s="194" t="n">
        <v>-0.185</v>
      </c>
      <c r="P40" s="192" t="n">
        <v>-0.185</v>
      </c>
      <c r="Q40" s="192" t="n">
        <v>-0.07375</v>
      </c>
      <c r="R40" s="192" t="n">
        <v>-0.0675</v>
      </c>
      <c r="S40" s="192" t="n">
        <v>0.145</v>
      </c>
      <c r="T40" s="192" t="n">
        <v>0.145</v>
      </c>
      <c r="U40" s="192" t="n">
        <v>0.05</v>
      </c>
      <c r="V40" s="192" t="n">
        <v>0.435</v>
      </c>
      <c r="W40" s="196" t="n">
        <v>0.1925</v>
      </c>
      <c r="X40" s="196" t="n">
        <v>0.215</v>
      </c>
      <c r="Y40" s="196" t="n">
        <v>-0.025</v>
      </c>
      <c r="Z40" s="196" t="n">
        <v>-0.02775</v>
      </c>
      <c r="AA40" s="196" t="n">
        <v>0.00475</v>
      </c>
      <c r="AB40" s="196" t="n">
        <v>-0.02025</v>
      </c>
      <c r="AC40" s="196" t="n">
        <v>0.005</v>
      </c>
      <c r="AD40" s="196" t="n">
        <v>-0.008</v>
      </c>
      <c r="AE40" s="196" t="n">
        <v>-0.06</v>
      </c>
      <c r="AF40" s="196" t="n">
        <v>-0.055</v>
      </c>
      <c r="AG40" s="197" t="n">
        <v>-0.0635</v>
      </c>
      <c r="AH40" s="196" t="n">
        <v>-0.018</v>
      </c>
      <c r="AI40" s="198" t="n">
        <v>-0.066</v>
      </c>
      <c r="AJ40" s="198" t="n">
        <v>-0.08</v>
      </c>
      <c r="AK40" s="199" t="n">
        <v>-0.0235</v>
      </c>
      <c r="AL40" s="192" t="n">
        <v>0.0085</v>
      </c>
      <c r="AM40" s="192" t="n">
        <v>0.495</v>
      </c>
      <c r="AN40" s="192" t="n">
        <v>0.025</v>
      </c>
      <c r="AO40" s="192" t="n">
        <v>-0.4</v>
      </c>
      <c r="AP40" s="192" t="n">
        <v>-0.125</v>
      </c>
      <c r="AQ40" s="192" t="n">
        <v>-0.195</v>
      </c>
      <c r="AR40" s="192" t="n">
        <v>-0.34</v>
      </c>
      <c r="AS40" s="192" t="n">
        <v>-0.35</v>
      </c>
      <c r="AT40" s="192" t="n">
        <v>-0.4</v>
      </c>
      <c r="AU40" s="192" t="n">
        <v>0.28</v>
      </c>
      <c r="AV40" s="192" t="n">
        <v>-0.4</v>
      </c>
      <c r="AW40" s="192" t="n">
        <v>-0.095</v>
      </c>
      <c r="AX40" s="192" t="n">
        <v>-0.0925</v>
      </c>
      <c r="AY40" s="192" t="n">
        <v>-0.095</v>
      </c>
      <c r="AZ40" s="192" t="n">
        <v>-0.0575</v>
      </c>
      <c r="BA40" s="192" t="n">
        <v>-0.085</v>
      </c>
      <c r="BB40" s="192" t="n">
        <v>-0.023</v>
      </c>
      <c r="BC40" s="192" t="n">
        <v>-0.0625</v>
      </c>
      <c r="BD40" s="192" t="n">
        <v>-0.01</v>
      </c>
      <c r="BE40" s="192" t="n">
        <v>-0.06</v>
      </c>
      <c r="BF40" s="192" t="n">
        <v>0.12</v>
      </c>
      <c r="BG40" s="192" t="n">
        <v>0.1625</v>
      </c>
      <c r="BH40" s="192" t="n">
        <v>0.175</v>
      </c>
      <c r="BI40" s="192" t="n">
        <v>0.175</v>
      </c>
      <c r="BJ40" s="192" t="n">
        <v>0.31</v>
      </c>
    </row>
    <row r="41" customFormat="false" ht="12.75" hidden="false" customHeight="false" outlineLevel="0" collapsed="false">
      <c r="A41" s="194" t="e">
        <f aca="false">#REF!-B41</f>
        <v>#REF!</v>
      </c>
      <c r="B41" s="194" t="n">
        <v>3.12</v>
      </c>
      <c r="C41" s="200" t="n">
        <v>37865</v>
      </c>
      <c r="D41" s="194" t="n">
        <v>3.285</v>
      </c>
      <c r="E41" s="194" t="n">
        <v>0.2575</v>
      </c>
      <c r="F41" s="194" t="n">
        <v>0.06728386033929</v>
      </c>
      <c r="G41" s="194" t="n">
        <v>-0.185</v>
      </c>
      <c r="H41" s="194" t="n">
        <v>-0.2025</v>
      </c>
      <c r="I41" s="194" t="n">
        <v>-0.1</v>
      </c>
      <c r="J41" s="194" t="n">
        <v>-0.27</v>
      </c>
      <c r="K41" s="194" t="n">
        <v>-0.08</v>
      </c>
      <c r="L41" s="194" t="n">
        <v>-0.0575</v>
      </c>
      <c r="M41" s="194" t="n">
        <v>-0.155</v>
      </c>
      <c r="N41" s="194" t="n">
        <v>-0.155</v>
      </c>
      <c r="O41" s="194" t="n">
        <v>-0.185</v>
      </c>
      <c r="P41" s="192" t="n">
        <v>-0.185</v>
      </c>
      <c r="Q41" s="192" t="n">
        <v>-0.0775</v>
      </c>
      <c r="R41" s="192" t="n">
        <v>-0.0675</v>
      </c>
      <c r="S41" s="192" t="n">
        <v>0.1425</v>
      </c>
      <c r="T41" s="192" t="n">
        <v>0.1425</v>
      </c>
      <c r="U41" s="192" t="n">
        <v>0.0475</v>
      </c>
      <c r="V41" s="192" t="n">
        <v>0.435</v>
      </c>
      <c r="W41" s="196" t="n">
        <v>0.1925</v>
      </c>
      <c r="X41" s="196" t="n">
        <v>0.195</v>
      </c>
      <c r="Y41" s="196" t="n">
        <v>-0.025</v>
      </c>
      <c r="Z41" s="196" t="n">
        <v>-0.02775</v>
      </c>
      <c r="AA41" s="196" t="n">
        <v>0.00475</v>
      </c>
      <c r="AB41" s="196" t="n">
        <v>-0.02025</v>
      </c>
      <c r="AC41" s="196" t="n">
        <v>0.005</v>
      </c>
      <c r="AD41" s="196" t="n">
        <v>-0.008</v>
      </c>
      <c r="AE41" s="196" t="n">
        <v>-0.06</v>
      </c>
      <c r="AF41" s="196" t="n">
        <v>-0.055</v>
      </c>
      <c r="AG41" s="197" t="n">
        <v>-0.0635</v>
      </c>
      <c r="AH41" s="196" t="n">
        <v>-0.018</v>
      </c>
      <c r="AI41" s="198" t="n">
        <v>-0.064</v>
      </c>
      <c r="AJ41" s="198" t="n">
        <v>-0.0875</v>
      </c>
      <c r="AK41" s="199" t="n">
        <v>-0.0235</v>
      </c>
      <c r="AL41" s="192" t="n">
        <v>0.0085</v>
      </c>
      <c r="AM41" s="192" t="n">
        <v>0.395</v>
      </c>
      <c r="AN41" s="192" t="n">
        <v>0.0175</v>
      </c>
      <c r="AO41" s="192" t="n">
        <v>-0.4</v>
      </c>
      <c r="AP41" s="192" t="n">
        <v>-0.125</v>
      </c>
      <c r="AQ41" s="192" t="n">
        <v>-0.195</v>
      </c>
      <c r="AR41" s="192" t="n">
        <v>-0.34</v>
      </c>
      <c r="AS41" s="192" t="n">
        <v>-0.35</v>
      </c>
      <c r="AT41" s="192" t="n">
        <v>-0.4</v>
      </c>
      <c r="AU41" s="192" t="n">
        <v>0.28</v>
      </c>
      <c r="AV41" s="192" t="n">
        <v>-0.4</v>
      </c>
      <c r="AW41" s="192" t="n">
        <v>-0.1</v>
      </c>
      <c r="AX41" s="192" t="n">
        <v>-0.0925</v>
      </c>
      <c r="AY41" s="192" t="n">
        <v>-0.1</v>
      </c>
      <c r="AZ41" s="192" t="n">
        <v>-0.0575</v>
      </c>
      <c r="BA41" s="192" t="n">
        <v>-0.1</v>
      </c>
      <c r="BB41" s="192" t="n">
        <v>-0.023</v>
      </c>
      <c r="BC41" s="192" t="n">
        <v>-0.0625</v>
      </c>
      <c r="BD41" s="192" t="n">
        <v>-0.0175</v>
      </c>
      <c r="BE41" s="192" t="n">
        <v>-0.06</v>
      </c>
      <c r="BF41" s="192" t="n">
        <v>0.12</v>
      </c>
      <c r="BG41" s="192" t="n">
        <v>0.1625</v>
      </c>
      <c r="BH41" s="192" t="n">
        <v>0.1725</v>
      </c>
      <c r="BI41" s="192" t="n">
        <v>0.1725</v>
      </c>
      <c r="BJ41" s="192" t="n">
        <v>0.3</v>
      </c>
    </row>
    <row r="42" customFormat="false" ht="12.75" hidden="false" customHeight="false" outlineLevel="0" collapsed="false">
      <c r="A42" s="194" t="e">
        <f aca="false">#REF!-B42</f>
        <v>#REF!</v>
      </c>
      <c r="B42" s="194" t="n">
        <v>3.185</v>
      </c>
      <c r="C42" s="200" t="n">
        <v>37895</v>
      </c>
      <c r="D42" s="194" t="n">
        <v>3.308</v>
      </c>
      <c r="E42" s="194" t="n">
        <v>0.2575</v>
      </c>
      <c r="F42" s="194" t="n">
        <v>0.067297346203373</v>
      </c>
      <c r="G42" s="194" t="n">
        <v>-0.185</v>
      </c>
      <c r="H42" s="194" t="n">
        <v>-0.2025</v>
      </c>
      <c r="I42" s="194" t="n">
        <v>-0.085</v>
      </c>
      <c r="J42" s="194" t="n">
        <v>-0.27</v>
      </c>
      <c r="K42" s="194" t="n">
        <v>-0.065</v>
      </c>
      <c r="L42" s="194" t="n">
        <v>-0.0575</v>
      </c>
      <c r="M42" s="194" t="n">
        <v>-0.155</v>
      </c>
      <c r="N42" s="194" t="n">
        <v>-0.155</v>
      </c>
      <c r="O42" s="194" t="n">
        <v>-0.185</v>
      </c>
      <c r="P42" s="192" t="n">
        <v>-0.185</v>
      </c>
      <c r="Q42" s="192" t="n">
        <v>-0.0825</v>
      </c>
      <c r="R42" s="192" t="n">
        <v>-0.0675</v>
      </c>
      <c r="S42" s="192" t="n">
        <v>0.1575</v>
      </c>
      <c r="T42" s="192" t="n">
        <v>0.1575</v>
      </c>
      <c r="U42" s="192" t="n">
        <v>0.0625</v>
      </c>
      <c r="V42" s="192" t="n">
        <v>0.435</v>
      </c>
      <c r="W42" s="196" t="n">
        <v>0.1975</v>
      </c>
      <c r="X42" s="196" t="n">
        <v>0.215</v>
      </c>
      <c r="Y42" s="196" t="n">
        <v>-0.025</v>
      </c>
      <c r="Z42" s="196" t="n">
        <v>-0.02775</v>
      </c>
      <c r="AA42" s="196" t="n">
        <v>0.00475</v>
      </c>
      <c r="AB42" s="196" t="n">
        <v>-0.02025</v>
      </c>
      <c r="AC42" s="196" t="n">
        <v>0.005</v>
      </c>
      <c r="AD42" s="196" t="n">
        <v>-0.008</v>
      </c>
      <c r="AE42" s="196" t="n">
        <v>-0.06</v>
      </c>
      <c r="AF42" s="196" t="n">
        <v>-0.055</v>
      </c>
      <c r="AG42" s="197" t="n">
        <v>-0.0635</v>
      </c>
      <c r="AH42" s="196" t="n">
        <v>-0.018</v>
      </c>
      <c r="AI42" s="198" t="n">
        <v>-0.066</v>
      </c>
      <c r="AJ42" s="198" t="n">
        <v>-0.0975</v>
      </c>
      <c r="AK42" s="199" t="n">
        <v>-0.0235</v>
      </c>
      <c r="AL42" s="192" t="n">
        <v>0.0085</v>
      </c>
      <c r="AM42" s="192" t="n">
        <v>0.461</v>
      </c>
      <c r="AN42" s="192" t="n">
        <v>0.0075</v>
      </c>
      <c r="AO42" s="192" t="n">
        <v>-0.4</v>
      </c>
      <c r="AP42" s="192" t="n">
        <v>-0.125</v>
      </c>
      <c r="AQ42" s="192" t="n">
        <v>-0.195</v>
      </c>
      <c r="AR42" s="192" t="n">
        <v>-0.34</v>
      </c>
      <c r="AS42" s="192" t="n">
        <v>-0.35</v>
      </c>
      <c r="AT42" s="192" t="n">
        <v>-0.4</v>
      </c>
      <c r="AU42" s="192" t="n">
        <v>0.28</v>
      </c>
      <c r="AV42" s="192" t="n">
        <v>-0.4</v>
      </c>
      <c r="AW42" s="192" t="n">
        <v>-0.11</v>
      </c>
      <c r="AX42" s="192" t="n">
        <v>-0.0925</v>
      </c>
      <c r="AY42" s="192" t="n">
        <v>-0.11</v>
      </c>
      <c r="AZ42" s="192" t="n">
        <v>-0.0575</v>
      </c>
      <c r="BA42" s="192" t="n">
        <v>-0.1025</v>
      </c>
      <c r="BB42" s="192" t="n">
        <v>-0.023</v>
      </c>
      <c r="BC42" s="192" t="n">
        <v>-0.0625</v>
      </c>
      <c r="BD42" s="192" t="n">
        <v>-0.0275</v>
      </c>
      <c r="BE42" s="192" t="n">
        <v>-0.06</v>
      </c>
      <c r="BF42" s="192" t="n">
        <v>0.12</v>
      </c>
      <c r="BG42" s="192" t="n">
        <v>0.1625</v>
      </c>
      <c r="BH42" s="192" t="n">
        <v>0.1875</v>
      </c>
      <c r="BI42" s="192" t="n">
        <v>0.1875</v>
      </c>
      <c r="BJ42" s="192" t="n">
        <v>0.37253</v>
      </c>
    </row>
    <row r="43" customFormat="false" ht="12.75" hidden="false" customHeight="false" outlineLevel="0" collapsed="false">
      <c r="A43" s="194" t="e">
        <f aca="false">#REF!-B43</f>
        <v>#REF!</v>
      </c>
      <c r="B43" s="194" t="n">
        <v>3.18</v>
      </c>
      <c r="C43" s="200" t="n">
        <v>37926</v>
      </c>
      <c r="D43" s="194" t="n">
        <v>3.4</v>
      </c>
      <c r="E43" s="194" t="n">
        <v>0.2675</v>
      </c>
      <c r="F43" s="194" t="n">
        <v>0.067314594931672</v>
      </c>
      <c r="G43" s="194" t="n">
        <v>-0.19</v>
      </c>
      <c r="H43" s="194" t="n">
        <v>-0.205</v>
      </c>
      <c r="I43" s="194" t="n">
        <v>-0.04</v>
      </c>
      <c r="J43" s="194" t="n">
        <v>-0.275</v>
      </c>
      <c r="K43" s="194" t="n">
        <v>-0.02</v>
      </c>
      <c r="L43" s="194" t="n">
        <v>-0.06</v>
      </c>
      <c r="M43" s="194" t="n">
        <v>-0.16</v>
      </c>
      <c r="N43" s="194" t="n">
        <v>-0.16</v>
      </c>
      <c r="O43" s="194" t="n">
        <v>-0.19</v>
      </c>
      <c r="P43" s="192" t="n">
        <v>-0.19</v>
      </c>
      <c r="Q43" s="192" t="n">
        <v>-0.09625</v>
      </c>
      <c r="R43" s="192" t="n">
        <v>-0.07</v>
      </c>
      <c r="S43" s="192" t="n">
        <v>0.2025</v>
      </c>
      <c r="T43" s="192" t="n">
        <v>0.2025</v>
      </c>
      <c r="U43" s="192" t="n">
        <v>0.1075</v>
      </c>
      <c r="V43" s="192" t="n">
        <v>0.335</v>
      </c>
      <c r="W43" s="196" t="n">
        <v>0.27</v>
      </c>
      <c r="X43" s="196" t="n">
        <v>0.315</v>
      </c>
      <c r="Y43" s="196" t="n">
        <v>-0.028</v>
      </c>
      <c r="Z43" s="196" t="n">
        <v>-0.045</v>
      </c>
      <c r="AA43" s="196" t="n">
        <v>-0.0145</v>
      </c>
      <c r="AB43" s="196" t="n">
        <v>-0.0345</v>
      </c>
      <c r="AC43" s="196" t="n">
        <v>0.005</v>
      </c>
      <c r="AD43" s="196" t="n">
        <v>-0.011</v>
      </c>
      <c r="AE43" s="196" t="n">
        <v>-0.06</v>
      </c>
      <c r="AF43" s="196" t="n">
        <v>-0.05</v>
      </c>
      <c r="AG43" s="197" t="n">
        <v>-0.0615</v>
      </c>
      <c r="AH43" s="196" t="n">
        <v>-0.0195</v>
      </c>
      <c r="AI43" s="198" t="n">
        <v>-0.0785</v>
      </c>
      <c r="AJ43" s="198" t="n">
        <v>-0.1225</v>
      </c>
      <c r="AK43" s="199" t="n">
        <v>-0.0185</v>
      </c>
      <c r="AL43" s="192" t="n">
        <v>0.0125</v>
      </c>
      <c r="AM43" s="192" t="n">
        <v>0.875</v>
      </c>
      <c r="AN43" s="192" t="n">
        <v>-0.0325</v>
      </c>
      <c r="AO43" s="192" t="n">
        <v>-0.32</v>
      </c>
      <c r="AP43" s="192" t="n">
        <v>-0.1375</v>
      </c>
      <c r="AQ43" s="192" t="n">
        <v>-0.175</v>
      </c>
      <c r="AR43" s="192" t="n">
        <v>0</v>
      </c>
      <c r="AS43" s="192" t="n">
        <v>-0.27</v>
      </c>
      <c r="AT43" s="192" t="n">
        <v>-0.32</v>
      </c>
      <c r="AU43" s="192" t="n">
        <v>0.18</v>
      </c>
      <c r="AV43" s="192" t="n">
        <v>-0.32</v>
      </c>
      <c r="AW43" s="192" t="n">
        <v>-0.1225</v>
      </c>
      <c r="AX43" s="192" t="n">
        <v>-0.12</v>
      </c>
      <c r="AY43" s="192" t="n">
        <v>-0.1225</v>
      </c>
      <c r="AZ43" s="192" t="n">
        <v>-0.06</v>
      </c>
      <c r="BA43" s="192" t="n">
        <v>-0.1075</v>
      </c>
      <c r="BB43" s="192" t="n">
        <v>-0.0245</v>
      </c>
      <c r="BC43" s="192" t="n">
        <v>-0.08</v>
      </c>
      <c r="BD43" s="192" t="n">
        <v>-0.0675</v>
      </c>
      <c r="BE43" s="192" t="n">
        <v>-0.06</v>
      </c>
      <c r="BF43" s="192" t="n">
        <v>0.13</v>
      </c>
      <c r="BG43" s="192" t="n">
        <v>0.295</v>
      </c>
      <c r="BH43" s="192" t="n">
        <v>0.2475</v>
      </c>
      <c r="BI43" s="192" t="n">
        <v>0.2475</v>
      </c>
      <c r="BJ43" s="192" t="n">
        <v>0.605</v>
      </c>
    </row>
    <row r="44" customFormat="false" ht="12.75" hidden="false" customHeight="false" outlineLevel="0" collapsed="false">
      <c r="A44" s="194" t="e">
        <f aca="false">#REF!-B44</f>
        <v>#REF!</v>
      </c>
      <c r="B44" s="194" t="n">
        <v>3.17</v>
      </c>
      <c r="C44" s="200" t="n">
        <v>37956</v>
      </c>
      <c r="D44" s="194" t="n">
        <v>3.476</v>
      </c>
      <c r="E44" s="194" t="n">
        <v>0.2725</v>
      </c>
      <c r="F44" s="194" t="n">
        <v>0.067331287249473</v>
      </c>
      <c r="G44" s="194" t="n">
        <v>-0.1975</v>
      </c>
      <c r="H44" s="194" t="n">
        <v>-0.2125</v>
      </c>
      <c r="I44" s="194" t="n">
        <v>-0.0325</v>
      </c>
      <c r="J44" s="194" t="n">
        <v>-0.2825</v>
      </c>
      <c r="K44" s="194" t="n">
        <v>-0.0125</v>
      </c>
      <c r="L44" s="194" t="n">
        <v>-0.06</v>
      </c>
      <c r="M44" s="194" t="n">
        <v>-0.1675</v>
      </c>
      <c r="N44" s="194" t="n">
        <v>-0.1675</v>
      </c>
      <c r="O44" s="194" t="n">
        <v>-0.1975</v>
      </c>
      <c r="P44" s="192" t="n">
        <v>-0.1975</v>
      </c>
      <c r="Q44" s="192" t="n">
        <v>-0.1075</v>
      </c>
      <c r="R44" s="192" t="n">
        <v>-0.07</v>
      </c>
      <c r="S44" s="192" t="n">
        <v>0.2425</v>
      </c>
      <c r="T44" s="192" t="n">
        <v>0.2425</v>
      </c>
      <c r="U44" s="192" t="n">
        <v>0.1475</v>
      </c>
      <c r="V44" s="192" t="n">
        <v>0.335</v>
      </c>
      <c r="W44" s="196" t="n">
        <v>0.305</v>
      </c>
      <c r="X44" s="196" t="n">
        <v>0.395</v>
      </c>
      <c r="Y44" s="196" t="n">
        <v>-0.028</v>
      </c>
      <c r="Z44" s="196" t="n">
        <v>-0.0375</v>
      </c>
      <c r="AA44" s="196" t="n">
        <v>-0.0145</v>
      </c>
      <c r="AB44" s="196" t="n">
        <v>-0.0345</v>
      </c>
      <c r="AC44" s="196" t="n">
        <v>0.005</v>
      </c>
      <c r="AD44" s="196" t="n">
        <v>-0.011</v>
      </c>
      <c r="AE44" s="196" t="n">
        <v>-0.06</v>
      </c>
      <c r="AF44" s="196" t="n">
        <v>-0.05</v>
      </c>
      <c r="AG44" s="197" t="n">
        <v>-0.0615</v>
      </c>
      <c r="AH44" s="196" t="n">
        <v>-0.0195</v>
      </c>
      <c r="AI44" s="198" t="n">
        <v>-0.0785</v>
      </c>
      <c r="AJ44" s="198" t="n">
        <v>-0.145</v>
      </c>
      <c r="AK44" s="199" t="n">
        <v>-0.0185</v>
      </c>
      <c r="AL44" s="192" t="n">
        <v>0.0125</v>
      </c>
      <c r="AM44" s="192" t="n">
        <v>1.29</v>
      </c>
      <c r="AN44" s="192" t="n">
        <v>-0.055</v>
      </c>
      <c r="AO44" s="192" t="n">
        <v>-0.32</v>
      </c>
      <c r="AP44" s="192" t="n">
        <v>-0.1325</v>
      </c>
      <c r="AQ44" s="192" t="n">
        <v>-0.175</v>
      </c>
      <c r="AR44" s="192" t="n">
        <v>0.06</v>
      </c>
      <c r="AS44" s="192" t="n">
        <v>-0.27</v>
      </c>
      <c r="AT44" s="192" t="n">
        <v>-0.32</v>
      </c>
      <c r="AU44" s="192" t="n">
        <v>0.18</v>
      </c>
      <c r="AV44" s="192" t="n">
        <v>-0.32</v>
      </c>
      <c r="AW44" s="192" t="n">
        <v>-0.15</v>
      </c>
      <c r="AX44" s="192" t="n">
        <v>-0.12</v>
      </c>
      <c r="AY44" s="192" t="n">
        <v>-0.15</v>
      </c>
      <c r="AZ44" s="192" t="n">
        <v>-0.06</v>
      </c>
      <c r="BA44" s="192" t="n">
        <v>-0.14</v>
      </c>
      <c r="BB44" s="192" t="n">
        <v>-0.0245</v>
      </c>
      <c r="BC44" s="192" t="n">
        <v>-0.08</v>
      </c>
      <c r="BD44" s="192" t="n">
        <v>-0.09</v>
      </c>
      <c r="BE44" s="192" t="n">
        <v>-0.06</v>
      </c>
      <c r="BF44" s="192" t="n">
        <v>0.13</v>
      </c>
      <c r="BG44" s="192" t="n">
        <v>0.25</v>
      </c>
      <c r="BH44" s="192" t="n">
        <v>0.2875</v>
      </c>
      <c r="BI44" s="192" t="n">
        <v>0.2875</v>
      </c>
      <c r="BJ44" s="192" t="n">
        <v>0.97</v>
      </c>
    </row>
    <row r="45" customFormat="false" ht="12.75" hidden="false" customHeight="false" outlineLevel="0" collapsed="false">
      <c r="A45" s="194" t="e">
        <f aca="false">#REF!-B45</f>
        <v>#REF!</v>
      </c>
      <c r="B45" s="194" t="n">
        <v>3.188</v>
      </c>
      <c r="C45" s="200" t="n">
        <v>37987</v>
      </c>
      <c r="D45" s="194" t="n">
        <v>3.664</v>
      </c>
      <c r="E45" s="194" t="n">
        <v>0.29</v>
      </c>
      <c r="F45" s="194" t="n">
        <v>0.067357274878613</v>
      </c>
      <c r="G45" s="194" t="n">
        <v>-0.2</v>
      </c>
      <c r="H45" s="194" t="n">
        <v>-0.215</v>
      </c>
      <c r="I45" s="194" t="n">
        <v>-0.0175</v>
      </c>
      <c r="J45" s="194" t="n">
        <v>-0.265</v>
      </c>
      <c r="K45" s="194" t="n">
        <v>0.0025</v>
      </c>
      <c r="L45" s="194" t="n">
        <v>-0.06</v>
      </c>
      <c r="M45" s="194" t="n">
        <v>-0.17</v>
      </c>
      <c r="N45" s="194" t="n">
        <v>-0.17</v>
      </c>
      <c r="O45" s="194" t="n">
        <v>-0.2</v>
      </c>
      <c r="P45" s="192" t="n">
        <v>-0.2</v>
      </c>
      <c r="Q45" s="192" t="n">
        <v>-0.10875</v>
      </c>
      <c r="R45" s="192" t="n">
        <v>-0.07</v>
      </c>
      <c r="S45" s="192" t="n">
        <v>0.2775</v>
      </c>
      <c r="T45" s="192" t="n">
        <v>0.2775</v>
      </c>
      <c r="U45" s="192" t="n">
        <v>0.1825</v>
      </c>
      <c r="V45" s="192" t="n">
        <v>0.335</v>
      </c>
      <c r="W45" s="196" t="n">
        <v>0.305</v>
      </c>
      <c r="X45" s="196" t="n">
        <v>0.465</v>
      </c>
      <c r="Y45" s="196" t="n">
        <v>-0.028</v>
      </c>
      <c r="Z45" s="196" t="n">
        <v>-0.0375</v>
      </c>
      <c r="AA45" s="196" t="n">
        <v>-0.0145</v>
      </c>
      <c r="AB45" s="196" t="n">
        <v>-0.0345</v>
      </c>
      <c r="AC45" s="196" t="n">
        <v>0.005</v>
      </c>
      <c r="AD45" s="196" t="n">
        <v>-0.011</v>
      </c>
      <c r="AE45" s="196" t="n">
        <v>-0.06</v>
      </c>
      <c r="AF45" s="196" t="n">
        <v>-0.048</v>
      </c>
      <c r="AG45" s="197" t="n">
        <v>-0.0615</v>
      </c>
      <c r="AH45" s="196" t="n">
        <v>-0.0195</v>
      </c>
      <c r="AI45" s="198" t="n">
        <v>-0.0715</v>
      </c>
      <c r="AJ45" s="198" t="n">
        <v>-0.1475</v>
      </c>
      <c r="AK45" s="199" t="n">
        <v>-0.014</v>
      </c>
      <c r="AL45" s="192" t="n">
        <v>0.0125</v>
      </c>
      <c r="AM45" s="192" t="n">
        <v>1.615</v>
      </c>
      <c r="AN45" s="192" t="n">
        <v>-0.0575</v>
      </c>
      <c r="AO45" s="192" t="n">
        <v>-0.32</v>
      </c>
      <c r="AP45" s="192" t="n">
        <v>-0.1325</v>
      </c>
      <c r="AQ45" s="192" t="n">
        <v>-0.175</v>
      </c>
      <c r="AR45" s="192" t="n">
        <v>0.13</v>
      </c>
      <c r="AS45" s="192" t="n">
        <v>-0.27</v>
      </c>
      <c r="AT45" s="192" t="n">
        <v>-0.32</v>
      </c>
      <c r="AU45" s="192" t="n">
        <v>0.18</v>
      </c>
      <c r="AV45" s="192" t="n">
        <v>-0.32</v>
      </c>
      <c r="AW45" s="192" t="n">
        <v>-0.135</v>
      </c>
      <c r="AX45" s="192" t="n">
        <v>-0.12</v>
      </c>
      <c r="AY45" s="192" t="n">
        <v>-0.135</v>
      </c>
      <c r="AZ45" s="192" t="n">
        <v>-0.06</v>
      </c>
      <c r="BA45" s="192" t="n">
        <v>-0.145</v>
      </c>
      <c r="BB45" s="192" t="n">
        <v>-0.0245</v>
      </c>
      <c r="BC45" s="192" t="n">
        <v>-0.08</v>
      </c>
      <c r="BD45" s="192" t="n">
        <v>-0.0925</v>
      </c>
      <c r="BE45" s="192" t="n">
        <v>-0.06</v>
      </c>
      <c r="BF45" s="192" t="n">
        <v>0.13</v>
      </c>
      <c r="BG45" s="192" t="n">
        <v>0.33</v>
      </c>
      <c r="BH45" s="192" t="n">
        <v>0.3225</v>
      </c>
      <c r="BI45" s="192" t="n">
        <v>0.3225</v>
      </c>
      <c r="BJ45" s="192" t="n">
        <v>1.185</v>
      </c>
    </row>
    <row r="46" customFormat="false" ht="12.75" hidden="false" customHeight="false" outlineLevel="0" collapsed="false">
      <c r="A46" s="194" t="e">
        <f aca="false">#REF!-B46</f>
        <v>#REF!</v>
      </c>
      <c r="B46" s="194" t="n">
        <v>3.3</v>
      </c>
      <c r="C46" s="200" t="n">
        <v>38018</v>
      </c>
      <c r="D46" s="194" t="n">
        <v>3.506</v>
      </c>
      <c r="E46" s="194" t="n">
        <v>0.2775</v>
      </c>
      <c r="F46" s="194" t="n">
        <v>0.067392584002109</v>
      </c>
      <c r="G46" s="194" t="n">
        <v>-0.2025</v>
      </c>
      <c r="H46" s="194" t="n">
        <v>-0.2175</v>
      </c>
      <c r="I46" s="194" t="n">
        <v>-0.0175</v>
      </c>
      <c r="J46" s="194" t="n">
        <v>-0.2675</v>
      </c>
      <c r="K46" s="194" t="n">
        <v>0.0025</v>
      </c>
      <c r="L46" s="194" t="n">
        <v>-0.06</v>
      </c>
      <c r="M46" s="194" t="n">
        <v>-0.1725</v>
      </c>
      <c r="N46" s="194" t="n">
        <v>-0.1725</v>
      </c>
      <c r="O46" s="194" t="n">
        <v>-0.2025</v>
      </c>
      <c r="P46" s="192" t="n">
        <v>-0.2025</v>
      </c>
      <c r="Q46" s="192" t="n">
        <v>-0.1</v>
      </c>
      <c r="R46" s="192" t="n">
        <v>-0.07</v>
      </c>
      <c r="S46" s="192" t="n">
        <v>0.2525</v>
      </c>
      <c r="T46" s="192" t="n">
        <v>0.2525</v>
      </c>
      <c r="U46" s="192" t="n">
        <v>0.1575</v>
      </c>
      <c r="V46" s="192" t="n">
        <v>0.335</v>
      </c>
      <c r="W46" s="196" t="n">
        <v>0.305</v>
      </c>
      <c r="X46" s="196" t="n">
        <v>0.435</v>
      </c>
      <c r="Y46" s="196" t="n">
        <v>-0.028</v>
      </c>
      <c r="Z46" s="196" t="n">
        <v>-0.0375</v>
      </c>
      <c r="AA46" s="196" t="n">
        <v>-0.0145</v>
      </c>
      <c r="AB46" s="196" t="n">
        <v>-0.0345</v>
      </c>
      <c r="AC46" s="196" t="n">
        <v>0.005</v>
      </c>
      <c r="AD46" s="196" t="n">
        <v>-0.011</v>
      </c>
      <c r="AE46" s="196" t="n">
        <v>-0.06</v>
      </c>
      <c r="AF46" s="196" t="n">
        <v>-0.048</v>
      </c>
      <c r="AG46" s="197" t="n">
        <v>-0.0615</v>
      </c>
      <c r="AH46" s="196" t="n">
        <v>-0.0195</v>
      </c>
      <c r="AI46" s="198" t="n">
        <v>-0.0715</v>
      </c>
      <c r="AJ46" s="198" t="n">
        <v>-0.13</v>
      </c>
      <c r="AK46" s="199" t="n">
        <v>-0.014</v>
      </c>
      <c r="AL46" s="192" t="n">
        <v>0.0125</v>
      </c>
      <c r="AM46" s="192" t="n">
        <v>1.565</v>
      </c>
      <c r="AN46" s="192" t="n">
        <v>-0.04</v>
      </c>
      <c r="AO46" s="192" t="n">
        <v>-0.32</v>
      </c>
      <c r="AP46" s="192" t="n">
        <v>-0.1325</v>
      </c>
      <c r="AQ46" s="192" t="n">
        <v>-0.175</v>
      </c>
      <c r="AR46" s="192" t="n">
        <v>0</v>
      </c>
      <c r="AS46" s="192" t="n">
        <v>-0.27</v>
      </c>
      <c r="AT46" s="192" t="n">
        <v>-0.32</v>
      </c>
      <c r="AU46" s="192" t="n">
        <v>0.18</v>
      </c>
      <c r="AV46" s="192" t="n">
        <v>-0.32</v>
      </c>
      <c r="AW46" s="192" t="n">
        <v>-0.1375</v>
      </c>
      <c r="AX46" s="192" t="n">
        <v>-0.12</v>
      </c>
      <c r="AY46" s="192" t="n">
        <v>-0.1375</v>
      </c>
      <c r="AZ46" s="192" t="n">
        <v>-0.06</v>
      </c>
      <c r="BA46" s="192" t="n">
        <v>-0.1275</v>
      </c>
      <c r="BB46" s="192" t="n">
        <v>-0.0245</v>
      </c>
      <c r="BC46" s="192" t="n">
        <v>-0.08</v>
      </c>
      <c r="BD46" s="192" t="n">
        <v>-0.075</v>
      </c>
      <c r="BE46" s="192" t="n">
        <v>-0.06</v>
      </c>
      <c r="BF46" s="192" t="n">
        <v>0.13</v>
      </c>
      <c r="BG46" s="192" t="n">
        <v>0.375</v>
      </c>
      <c r="BH46" s="192" t="n">
        <v>0.2975</v>
      </c>
      <c r="BI46" s="192" t="n">
        <v>0.2975</v>
      </c>
      <c r="BJ46" s="192" t="n">
        <v>1.185</v>
      </c>
    </row>
    <row r="47" customFormat="false" ht="12.75" hidden="false" customHeight="false" outlineLevel="0" collapsed="false">
      <c r="A47" s="194" t="e">
        <f aca="false">#REF!-B47</f>
        <v>#REF!</v>
      </c>
      <c r="B47" s="194" t="n">
        <v>3.409</v>
      </c>
      <c r="C47" s="200" t="n">
        <v>38047</v>
      </c>
      <c r="D47" s="194" t="n">
        <v>3.326</v>
      </c>
      <c r="E47" s="194" t="n">
        <v>0.2775</v>
      </c>
      <c r="F47" s="194" t="n">
        <v>0.067425615118011</v>
      </c>
      <c r="G47" s="194" t="n">
        <v>-0.205</v>
      </c>
      <c r="H47" s="194" t="n">
        <v>-0.22</v>
      </c>
      <c r="I47" s="194" t="n">
        <v>-0.0175</v>
      </c>
      <c r="J47" s="194" t="n">
        <v>-0.27</v>
      </c>
      <c r="K47" s="194" t="n">
        <v>0.0025</v>
      </c>
      <c r="L47" s="194" t="n">
        <v>-0.06</v>
      </c>
      <c r="M47" s="194" t="n">
        <v>-0.175</v>
      </c>
      <c r="N47" s="194" t="n">
        <v>-0.175</v>
      </c>
      <c r="O47" s="194" t="n">
        <v>-0.205</v>
      </c>
      <c r="P47" s="192" t="n">
        <v>-0.205</v>
      </c>
      <c r="Q47" s="192" t="n">
        <v>-0.09375</v>
      </c>
      <c r="R47" s="192" t="n">
        <v>-0.07</v>
      </c>
      <c r="S47" s="192" t="n">
        <v>0.25</v>
      </c>
      <c r="T47" s="192" t="n">
        <v>0.25</v>
      </c>
      <c r="U47" s="192" t="n">
        <v>0.155</v>
      </c>
      <c r="V47" s="192" t="n">
        <v>0.335</v>
      </c>
      <c r="W47" s="196" t="n">
        <v>0.265</v>
      </c>
      <c r="X47" s="196" t="n">
        <v>0.39</v>
      </c>
      <c r="Y47" s="196" t="n">
        <v>-0.028</v>
      </c>
      <c r="Z47" s="196" t="n">
        <v>-0.0375</v>
      </c>
      <c r="AA47" s="196" t="n">
        <v>-0.0145</v>
      </c>
      <c r="AB47" s="196" t="n">
        <v>-0.0345</v>
      </c>
      <c r="AC47" s="196" t="n">
        <v>0.005</v>
      </c>
      <c r="AD47" s="196" t="n">
        <v>-0.011</v>
      </c>
      <c r="AE47" s="196" t="n">
        <v>-0.06</v>
      </c>
      <c r="AF47" s="196" t="n">
        <v>-0.048</v>
      </c>
      <c r="AG47" s="197" t="n">
        <v>-0.0615</v>
      </c>
      <c r="AH47" s="196" t="n">
        <v>-0.0195</v>
      </c>
      <c r="AI47" s="198" t="n">
        <v>-0.0785</v>
      </c>
      <c r="AJ47" s="198" t="n">
        <v>-0.1175</v>
      </c>
      <c r="AK47" s="199" t="n">
        <v>-0.014</v>
      </c>
      <c r="AL47" s="192" t="n">
        <v>0.0125</v>
      </c>
      <c r="AM47" s="192" t="n">
        <v>0.955</v>
      </c>
      <c r="AN47" s="192" t="n">
        <v>-0.0275</v>
      </c>
      <c r="AO47" s="192" t="n">
        <v>-0.32</v>
      </c>
      <c r="AP47" s="192" t="n">
        <v>-0.1375</v>
      </c>
      <c r="AQ47" s="192" t="n">
        <v>-0.175</v>
      </c>
      <c r="AR47" s="192" t="n">
        <v>-0.18</v>
      </c>
      <c r="AS47" s="192" t="n">
        <v>-0.27</v>
      </c>
      <c r="AT47" s="192" t="n">
        <v>-0.32</v>
      </c>
      <c r="AU47" s="192" t="n">
        <v>0.18</v>
      </c>
      <c r="AV47" s="192" t="n">
        <v>-0.32</v>
      </c>
      <c r="AW47" s="192" t="n">
        <v>-0.12</v>
      </c>
      <c r="AX47" s="192" t="n">
        <v>-0.12</v>
      </c>
      <c r="AY47" s="192" t="n">
        <v>-0.12</v>
      </c>
      <c r="AZ47" s="192" t="n">
        <v>-0.06</v>
      </c>
      <c r="BA47" s="192" t="n">
        <v>-0.1125</v>
      </c>
      <c r="BB47" s="192" t="n">
        <v>-0.0245</v>
      </c>
      <c r="BC47" s="192" t="n">
        <v>-0.08</v>
      </c>
      <c r="BD47" s="192" t="n">
        <v>-0.0625</v>
      </c>
      <c r="BE47" s="192" t="n">
        <v>-0.06</v>
      </c>
      <c r="BF47" s="192" t="n">
        <v>0.13</v>
      </c>
      <c r="BG47" s="192" t="n">
        <v>0.375</v>
      </c>
      <c r="BH47" s="192" t="n">
        <v>0.295</v>
      </c>
      <c r="BI47" s="192" t="n">
        <v>0.295</v>
      </c>
      <c r="BJ47" s="192" t="n">
        <v>0.845</v>
      </c>
    </row>
    <row r="48" customFormat="false" ht="12.75" hidden="false" customHeight="false" outlineLevel="0" collapsed="false">
      <c r="A48" s="194" t="e">
        <f aca="false">#REF!-B48</f>
        <v>#REF!</v>
      </c>
      <c r="B48" s="194" t="n">
        <v>3.545</v>
      </c>
      <c r="C48" s="200" t="n">
        <v>38078</v>
      </c>
      <c r="D48" s="194" t="n">
        <v>3.139</v>
      </c>
      <c r="E48" s="194" t="n">
        <v>0.2575</v>
      </c>
      <c r="F48" s="194" t="n">
        <v>0.067454837668858</v>
      </c>
      <c r="G48" s="194" t="n">
        <v>-0.195</v>
      </c>
      <c r="H48" s="194" t="n">
        <v>-0.21</v>
      </c>
      <c r="I48" s="194" t="n">
        <v>-0.105</v>
      </c>
      <c r="J48" s="194" t="n">
        <v>-0.26</v>
      </c>
      <c r="K48" s="194" t="n">
        <v>-0.085</v>
      </c>
      <c r="L48" s="194" t="n">
        <v>-0.0575</v>
      </c>
      <c r="M48" s="194" t="n">
        <v>-0.165</v>
      </c>
      <c r="N48" s="194" t="n">
        <v>-0.165</v>
      </c>
      <c r="O48" s="194" t="n">
        <v>-0.195</v>
      </c>
      <c r="P48" s="192" t="n">
        <v>-0.195</v>
      </c>
      <c r="Q48" s="192" t="n">
        <v>-0.07125</v>
      </c>
      <c r="R48" s="192" t="n">
        <v>-0.0675</v>
      </c>
      <c r="S48" s="192" t="n">
        <v>0.1675</v>
      </c>
      <c r="T48" s="192" t="n">
        <v>0.1675</v>
      </c>
      <c r="U48" s="192" t="n">
        <v>0.0725</v>
      </c>
      <c r="V48" s="192" t="n">
        <v>0.21</v>
      </c>
      <c r="W48" s="196" t="n">
        <v>0.205</v>
      </c>
      <c r="X48" s="196" t="n">
        <v>0.25</v>
      </c>
      <c r="Y48" s="196" t="n">
        <v>-0.0275</v>
      </c>
      <c r="Z48" s="196" t="n">
        <v>-0.025</v>
      </c>
      <c r="AA48" s="196" t="n">
        <v>0.004</v>
      </c>
      <c r="AB48" s="196" t="n">
        <v>-0.0135</v>
      </c>
      <c r="AC48" s="196" t="n">
        <v>0.005</v>
      </c>
      <c r="AD48" s="196" t="n">
        <v>-0.006</v>
      </c>
      <c r="AE48" s="196" t="n">
        <v>-0.06</v>
      </c>
      <c r="AF48" s="196" t="n">
        <v>-0.053</v>
      </c>
      <c r="AG48" s="197" t="n">
        <v>-0.0615</v>
      </c>
      <c r="AH48" s="196" t="n">
        <v>-0.017</v>
      </c>
      <c r="AI48" s="198" t="n">
        <v>-0.074</v>
      </c>
      <c r="AJ48" s="198" t="n">
        <v>-0.075</v>
      </c>
      <c r="AK48" s="199" t="n">
        <v>-0.0215</v>
      </c>
      <c r="AL48" s="192" t="n">
        <v>0.0085</v>
      </c>
      <c r="AM48" s="192" t="n">
        <v>0.45</v>
      </c>
      <c r="AN48" s="192" t="n">
        <v>0.015</v>
      </c>
      <c r="AO48" s="192" t="n">
        <v>-0.395</v>
      </c>
      <c r="AP48" s="192" t="n">
        <v>-0.1225</v>
      </c>
      <c r="AQ48" s="192" t="n">
        <v>-0.175</v>
      </c>
      <c r="AR48" s="192" t="n">
        <v>-0.33</v>
      </c>
      <c r="AS48" s="192" t="n">
        <v>-0.345</v>
      </c>
      <c r="AT48" s="192" t="n">
        <v>-0.395</v>
      </c>
      <c r="AU48" s="192" t="n">
        <v>0.31</v>
      </c>
      <c r="AV48" s="192" t="n">
        <v>-0.395</v>
      </c>
      <c r="AW48" s="192" t="n">
        <v>-0.11</v>
      </c>
      <c r="AX48" s="192" t="n">
        <v>-0.11</v>
      </c>
      <c r="AY48" s="192" t="n">
        <v>-0.11</v>
      </c>
      <c r="AZ48" s="192" t="n">
        <v>-0.0575</v>
      </c>
      <c r="BA48" s="192" t="n">
        <v>-0.0975</v>
      </c>
      <c r="BB48" s="192" t="n">
        <v>-0.022</v>
      </c>
      <c r="BC48" s="192" t="n">
        <v>-0.0625</v>
      </c>
      <c r="BD48" s="192" t="n">
        <v>-0.02</v>
      </c>
      <c r="BE48" s="192" t="n">
        <v>-0.06</v>
      </c>
      <c r="BF48" s="192" t="n">
        <v>0.12</v>
      </c>
      <c r="BG48" s="192" t="n">
        <v>0.1625</v>
      </c>
      <c r="BH48" s="192" t="n">
        <v>0.1975</v>
      </c>
      <c r="BI48" s="192" t="n">
        <v>0.1975</v>
      </c>
      <c r="BJ48" s="192" t="n">
        <v>0.365</v>
      </c>
    </row>
    <row r="49" customFormat="false" ht="12.75" hidden="false" customHeight="false" outlineLevel="0" collapsed="false">
      <c r="A49" s="194" t="e">
        <f aca="false">#REF!-B49</f>
        <v>#REF!</v>
      </c>
      <c r="B49" s="194" t="n">
        <v>3.422</v>
      </c>
      <c r="C49" s="200" t="n">
        <v>38108</v>
      </c>
      <c r="D49" s="194" t="n">
        <v>3.09</v>
      </c>
      <c r="E49" s="194" t="n">
        <v>0.2575</v>
      </c>
      <c r="F49" s="194" t="n">
        <v>0.067476834642469</v>
      </c>
      <c r="G49" s="194" t="n">
        <v>-0.195</v>
      </c>
      <c r="H49" s="194" t="n">
        <v>-0.21</v>
      </c>
      <c r="I49" s="194" t="n">
        <v>-0.12</v>
      </c>
      <c r="J49" s="194" t="n">
        <v>-0.26</v>
      </c>
      <c r="K49" s="194" t="n">
        <v>-0.1</v>
      </c>
      <c r="L49" s="194" t="n">
        <v>-0.0575</v>
      </c>
      <c r="M49" s="194" t="n">
        <v>-0.165</v>
      </c>
      <c r="N49" s="194" t="n">
        <v>-0.165</v>
      </c>
      <c r="O49" s="194" t="n">
        <v>-0.195</v>
      </c>
      <c r="P49" s="192" t="n">
        <v>-0.195</v>
      </c>
      <c r="Q49" s="192" t="n">
        <v>-0.07125</v>
      </c>
      <c r="R49" s="192" t="n">
        <v>-0.0675</v>
      </c>
      <c r="S49" s="192" t="n">
        <v>0.1575</v>
      </c>
      <c r="T49" s="192" t="n">
        <v>0.1575</v>
      </c>
      <c r="U49" s="192" t="n">
        <v>0.0625</v>
      </c>
      <c r="V49" s="192" t="n">
        <v>0.21</v>
      </c>
      <c r="W49" s="196" t="n">
        <v>0.1925</v>
      </c>
      <c r="X49" s="196" t="n">
        <v>0.2025</v>
      </c>
      <c r="Y49" s="196" t="n">
        <v>-0.0275</v>
      </c>
      <c r="Z49" s="196" t="n">
        <v>-0.02525</v>
      </c>
      <c r="AA49" s="196" t="n">
        <v>0.00375</v>
      </c>
      <c r="AB49" s="196" t="n">
        <v>-0.01375</v>
      </c>
      <c r="AC49" s="196" t="n">
        <v>0.005</v>
      </c>
      <c r="AD49" s="196" t="n">
        <v>-0.006</v>
      </c>
      <c r="AE49" s="196" t="n">
        <v>-0.06</v>
      </c>
      <c r="AF49" s="196" t="n">
        <v>-0.053</v>
      </c>
      <c r="AG49" s="197" t="n">
        <v>-0.0615</v>
      </c>
      <c r="AH49" s="196" t="n">
        <v>-0.017</v>
      </c>
      <c r="AI49" s="198" t="n">
        <v>-0.074</v>
      </c>
      <c r="AJ49" s="198" t="n">
        <v>-0.075</v>
      </c>
      <c r="AK49" s="199" t="n">
        <v>-0.0215</v>
      </c>
      <c r="AL49" s="192" t="n">
        <v>0.0085</v>
      </c>
      <c r="AM49" s="192" t="n">
        <v>0.405</v>
      </c>
      <c r="AN49" s="192" t="n">
        <v>0.015</v>
      </c>
      <c r="AO49" s="192" t="n">
        <v>-0.395</v>
      </c>
      <c r="AP49" s="192" t="n">
        <v>-0.1225</v>
      </c>
      <c r="AQ49" s="192" t="n">
        <v>-0.175</v>
      </c>
      <c r="AR49" s="192" t="n">
        <v>-0.33</v>
      </c>
      <c r="AS49" s="192" t="n">
        <v>-0.345</v>
      </c>
      <c r="AT49" s="192" t="n">
        <v>-0.395</v>
      </c>
      <c r="AU49" s="192" t="n">
        <v>0.31</v>
      </c>
      <c r="AV49" s="192" t="n">
        <v>-0.395</v>
      </c>
      <c r="AW49" s="192" t="n">
        <v>-0.1075</v>
      </c>
      <c r="AX49" s="192" t="n">
        <v>-0.09</v>
      </c>
      <c r="AY49" s="192" t="n">
        <v>-0.1075</v>
      </c>
      <c r="AZ49" s="192" t="n">
        <v>-0.0575</v>
      </c>
      <c r="BA49" s="192" t="n">
        <v>-0.0925</v>
      </c>
      <c r="BB49" s="192" t="n">
        <v>-0.022</v>
      </c>
      <c r="BC49" s="192" t="n">
        <v>-0.0625</v>
      </c>
      <c r="BD49" s="192" t="n">
        <v>-0.02</v>
      </c>
      <c r="BE49" s="192" t="n">
        <v>-0.06</v>
      </c>
      <c r="BF49" s="192" t="n">
        <v>0.12</v>
      </c>
      <c r="BG49" s="192" t="n">
        <v>0.1625</v>
      </c>
      <c r="BH49" s="192" t="n">
        <v>0.1875</v>
      </c>
      <c r="BI49" s="192" t="n">
        <v>0.1875</v>
      </c>
      <c r="BJ49" s="192" t="n">
        <v>0.2975</v>
      </c>
    </row>
    <row r="50" customFormat="false" ht="12.75" hidden="false" customHeight="false" outlineLevel="0" collapsed="false">
      <c r="A50" s="194" t="e">
        <f aca="false">#REF!-B50</f>
        <v>#REF!</v>
      </c>
      <c r="B50" s="194" t="n">
        <v>3.267</v>
      </c>
      <c r="C50" s="200" t="n">
        <v>38139</v>
      </c>
      <c r="D50" s="194" t="n">
        <v>3.099</v>
      </c>
      <c r="E50" s="194" t="n">
        <v>0.2575</v>
      </c>
      <c r="F50" s="194" t="n">
        <v>0.067499564848703</v>
      </c>
      <c r="G50" s="194" t="n">
        <v>-0.195</v>
      </c>
      <c r="H50" s="194" t="n">
        <v>-0.21</v>
      </c>
      <c r="I50" s="194" t="n">
        <v>-0.13</v>
      </c>
      <c r="J50" s="194" t="n">
        <v>-0.26</v>
      </c>
      <c r="K50" s="194" t="n">
        <v>-0.11</v>
      </c>
      <c r="L50" s="194" t="n">
        <v>-0.0575</v>
      </c>
      <c r="M50" s="194" t="n">
        <v>-0.165</v>
      </c>
      <c r="N50" s="194" t="n">
        <v>-0.165</v>
      </c>
      <c r="O50" s="194" t="n">
        <v>-0.195</v>
      </c>
      <c r="P50" s="192" t="n">
        <v>-0.195</v>
      </c>
      <c r="Q50" s="192" t="n">
        <v>-0.06875</v>
      </c>
      <c r="R50" s="192" t="n">
        <v>-0.0675</v>
      </c>
      <c r="S50" s="192" t="n">
        <v>0.1525</v>
      </c>
      <c r="T50" s="192" t="n">
        <v>0.1525</v>
      </c>
      <c r="U50" s="192" t="n">
        <v>0.0575</v>
      </c>
      <c r="V50" s="192" t="n">
        <v>0.21</v>
      </c>
      <c r="W50" s="196" t="n">
        <v>0.1925</v>
      </c>
      <c r="X50" s="196" t="n">
        <v>0.2025</v>
      </c>
      <c r="Y50" s="196" t="n">
        <v>-0.0275</v>
      </c>
      <c r="Z50" s="196" t="n">
        <v>-0.02525</v>
      </c>
      <c r="AA50" s="196" t="n">
        <v>0.00375</v>
      </c>
      <c r="AB50" s="196" t="n">
        <v>-0.01375</v>
      </c>
      <c r="AC50" s="196" t="n">
        <v>0.005</v>
      </c>
      <c r="AD50" s="196" t="n">
        <v>-0.006</v>
      </c>
      <c r="AE50" s="196" t="n">
        <v>-0.06</v>
      </c>
      <c r="AF50" s="196" t="n">
        <v>-0.053</v>
      </c>
      <c r="AG50" s="197" t="n">
        <v>-0.0615</v>
      </c>
      <c r="AH50" s="196" t="n">
        <v>-0.017</v>
      </c>
      <c r="AI50" s="198" t="n">
        <v>-0.09</v>
      </c>
      <c r="AJ50" s="198" t="n">
        <v>-0.07</v>
      </c>
      <c r="AK50" s="199" t="n">
        <v>-0.0215</v>
      </c>
      <c r="AL50" s="192" t="n">
        <v>0.0085</v>
      </c>
      <c r="AM50" s="192" t="n">
        <v>0.395</v>
      </c>
      <c r="AN50" s="192" t="n">
        <v>0.02</v>
      </c>
      <c r="AO50" s="192" t="n">
        <v>-0.395</v>
      </c>
      <c r="AP50" s="192" t="n">
        <v>-0.1225</v>
      </c>
      <c r="AQ50" s="192" t="n">
        <v>-0.175</v>
      </c>
      <c r="AR50" s="192" t="n">
        <v>-0.33</v>
      </c>
      <c r="AS50" s="192" t="n">
        <v>-0.345</v>
      </c>
      <c r="AT50" s="192" t="n">
        <v>-0.395</v>
      </c>
      <c r="AU50" s="192" t="n">
        <v>0.31</v>
      </c>
      <c r="AV50" s="192" t="n">
        <v>-0.395</v>
      </c>
      <c r="AW50" s="192" t="n">
        <v>-0.1</v>
      </c>
      <c r="AX50" s="192" t="n">
        <v>-0.09</v>
      </c>
      <c r="AY50" s="192" t="n">
        <v>-0.1</v>
      </c>
      <c r="AZ50" s="192" t="n">
        <v>-0.0575</v>
      </c>
      <c r="BA50" s="192" t="n">
        <v>-0.0875</v>
      </c>
      <c r="BB50" s="192" t="n">
        <v>-0.022</v>
      </c>
      <c r="BC50" s="192" t="n">
        <v>-0.0625</v>
      </c>
      <c r="BD50" s="192" t="n">
        <v>-0.015</v>
      </c>
      <c r="BE50" s="192" t="n">
        <v>-0.06</v>
      </c>
      <c r="BF50" s="192" t="n">
        <v>0.12</v>
      </c>
      <c r="BG50" s="192" t="n">
        <v>0.1625</v>
      </c>
      <c r="BH50" s="192" t="n">
        <v>0.1825</v>
      </c>
      <c r="BI50" s="192" t="n">
        <v>0.1825</v>
      </c>
      <c r="BJ50" s="192" t="n">
        <v>0.2975</v>
      </c>
    </row>
    <row r="51" customFormat="false" ht="12.75" hidden="false" customHeight="false" outlineLevel="0" collapsed="false">
      <c r="A51" s="194" t="e">
        <f aca="false">#REF!-B51</f>
        <v>#REF!</v>
      </c>
      <c r="B51" s="194" t="n">
        <v>3.115</v>
      </c>
      <c r="C51" s="200" t="n">
        <v>38169</v>
      </c>
      <c r="D51" s="194" t="n">
        <v>3.107</v>
      </c>
      <c r="E51" s="194" t="n">
        <v>0.255</v>
      </c>
      <c r="F51" s="194" t="n">
        <v>0.06753426580475</v>
      </c>
      <c r="G51" s="194" t="n">
        <v>-0.195</v>
      </c>
      <c r="H51" s="194" t="n">
        <v>-0.21</v>
      </c>
      <c r="I51" s="194" t="n">
        <v>-0.13</v>
      </c>
      <c r="J51" s="194" t="n">
        <v>-0.28</v>
      </c>
      <c r="K51" s="194" t="n">
        <v>-0.11</v>
      </c>
      <c r="L51" s="194" t="n">
        <v>-0.0575</v>
      </c>
      <c r="M51" s="194" t="n">
        <v>-0.165</v>
      </c>
      <c r="N51" s="194" t="n">
        <v>-0.165</v>
      </c>
      <c r="O51" s="194" t="n">
        <v>-0.195</v>
      </c>
      <c r="P51" s="192" t="n">
        <v>-0.195</v>
      </c>
      <c r="Q51" s="192" t="n">
        <v>-0.0675</v>
      </c>
      <c r="R51" s="192" t="n">
        <v>-0.0675</v>
      </c>
      <c r="S51" s="192" t="n">
        <v>0.1425</v>
      </c>
      <c r="T51" s="192" t="n">
        <v>0.1425</v>
      </c>
      <c r="U51" s="192" t="n">
        <v>0.0475</v>
      </c>
      <c r="V51" s="192" t="n">
        <v>0.21</v>
      </c>
      <c r="W51" s="196" t="n">
        <v>0.1925</v>
      </c>
      <c r="X51" s="196" t="n">
        <v>0.215</v>
      </c>
      <c r="Y51" s="196" t="n">
        <v>-0.0275</v>
      </c>
      <c r="Z51" s="196" t="n">
        <v>-0.02525</v>
      </c>
      <c r="AA51" s="196" t="n">
        <v>0.00375</v>
      </c>
      <c r="AB51" s="196" t="n">
        <v>-0.01375</v>
      </c>
      <c r="AC51" s="196" t="n">
        <v>0.005</v>
      </c>
      <c r="AD51" s="196" t="n">
        <v>-0.006</v>
      </c>
      <c r="AE51" s="196" t="n">
        <v>-0.06</v>
      </c>
      <c r="AF51" s="196" t="n">
        <v>-0.053</v>
      </c>
      <c r="AG51" s="197" t="n">
        <v>-0.0615</v>
      </c>
      <c r="AH51" s="196" t="n">
        <v>-0.017</v>
      </c>
      <c r="AI51" s="198" t="n">
        <v>-0.083</v>
      </c>
      <c r="AJ51" s="198" t="n">
        <v>-0.0675</v>
      </c>
      <c r="AK51" s="199" t="n">
        <v>-0.0215</v>
      </c>
      <c r="AL51" s="192" t="n">
        <v>0.0085</v>
      </c>
      <c r="AM51" s="192" t="n">
        <v>0.43</v>
      </c>
      <c r="AN51" s="192" t="n">
        <v>0.0225</v>
      </c>
      <c r="AO51" s="192" t="n">
        <v>-0.395</v>
      </c>
      <c r="AP51" s="192" t="n">
        <v>-0.1225</v>
      </c>
      <c r="AQ51" s="192" t="n">
        <v>-0.175</v>
      </c>
      <c r="AR51" s="192" t="n">
        <v>-0.33</v>
      </c>
      <c r="AS51" s="192" t="n">
        <v>-0.345</v>
      </c>
      <c r="AT51" s="192" t="n">
        <v>-0.395</v>
      </c>
      <c r="AU51" s="192" t="n">
        <v>0.31</v>
      </c>
      <c r="AV51" s="192" t="n">
        <v>-0.395</v>
      </c>
      <c r="AW51" s="192" t="n">
        <v>-0.1075</v>
      </c>
      <c r="AX51" s="192" t="n">
        <v>-0.09</v>
      </c>
      <c r="AY51" s="192" t="n">
        <v>-0.1075</v>
      </c>
      <c r="AZ51" s="192" t="n">
        <v>-0.0575</v>
      </c>
      <c r="BA51" s="192" t="n">
        <v>-0.0825</v>
      </c>
      <c r="BB51" s="192" t="n">
        <v>-0.022</v>
      </c>
      <c r="BC51" s="192" t="n">
        <v>-0.0625</v>
      </c>
      <c r="BD51" s="192" t="n">
        <v>-0.0125</v>
      </c>
      <c r="BE51" s="192" t="n">
        <v>-0.06</v>
      </c>
      <c r="BF51" s="192" t="n">
        <v>0.12</v>
      </c>
      <c r="BG51" s="192" t="n">
        <v>0.1625</v>
      </c>
      <c r="BH51" s="192" t="n">
        <v>0.1725</v>
      </c>
      <c r="BI51" s="192" t="n">
        <v>0.1725</v>
      </c>
      <c r="BJ51" s="192" t="n">
        <v>0.31</v>
      </c>
    </row>
    <row r="52" customFormat="false" ht="12.75" hidden="false" customHeight="false" outlineLevel="0" collapsed="false">
      <c r="A52" s="194" t="e">
        <f aca="false">#REF!-B52</f>
        <v>#REF!</v>
      </c>
      <c r="B52" s="194" t="n">
        <v>3.088</v>
      </c>
      <c r="C52" s="200" t="n">
        <v>38200</v>
      </c>
      <c r="D52" s="194" t="n">
        <v>3.114</v>
      </c>
      <c r="E52" s="194" t="n">
        <v>0.255</v>
      </c>
      <c r="F52" s="194" t="n">
        <v>0.067585126257915</v>
      </c>
      <c r="G52" s="194" t="n">
        <v>-0.195</v>
      </c>
      <c r="H52" s="194" t="n">
        <v>-0.21</v>
      </c>
      <c r="I52" s="194" t="n">
        <v>-0.13</v>
      </c>
      <c r="J52" s="194" t="n">
        <v>-0.28</v>
      </c>
      <c r="K52" s="194" t="n">
        <v>-0.11</v>
      </c>
      <c r="L52" s="194" t="n">
        <v>-0.0575</v>
      </c>
      <c r="M52" s="194" t="n">
        <v>-0.165</v>
      </c>
      <c r="N52" s="194" t="n">
        <v>-0.165</v>
      </c>
      <c r="O52" s="194" t="n">
        <v>-0.195</v>
      </c>
      <c r="P52" s="192" t="n">
        <v>-0.195</v>
      </c>
      <c r="Q52" s="192" t="n">
        <v>-0.06625</v>
      </c>
      <c r="R52" s="192" t="n">
        <v>-0.0675</v>
      </c>
      <c r="S52" s="192" t="n">
        <v>0.14</v>
      </c>
      <c r="T52" s="192" t="n">
        <v>0.14</v>
      </c>
      <c r="U52" s="192" t="n">
        <v>0.045</v>
      </c>
      <c r="V52" s="192" t="n">
        <v>0.21</v>
      </c>
      <c r="W52" s="196" t="n">
        <v>0.1925</v>
      </c>
      <c r="X52" s="196" t="n">
        <v>0.215</v>
      </c>
      <c r="Y52" s="196" t="n">
        <v>-0.0275</v>
      </c>
      <c r="Z52" s="196" t="n">
        <v>-0.02525</v>
      </c>
      <c r="AA52" s="196" t="n">
        <v>0.00375</v>
      </c>
      <c r="AB52" s="196" t="n">
        <v>-0.01375</v>
      </c>
      <c r="AC52" s="196" t="n">
        <v>0.005</v>
      </c>
      <c r="AD52" s="196" t="n">
        <v>-0.006</v>
      </c>
      <c r="AE52" s="196" t="n">
        <v>-0.06</v>
      </c>
      <c r="AF52" s="196" t="n">
        <v>-0.053</v>
      </c>
      <c r="AG52" s="197" t="n">
        <v>-0.0615</v>
      </c>
      <c r="AH52" s="196" t="n">
        <v>-0.017</v>
      </c>
      <c r="AI52" s="198" t="n">
        <v>-0.064</v>
      </c>
      <c r="AJ52" s="198" t="n">
        <v>-0.065</v>
      </c>
      <c r="AK52" s="199" t="n">
        <v>-0.0215</v>
      </c>
      <c r="AL52" s="192" t="n">
        <v>0.0085</v>
      </c>
      <c r="AM52" s="192" t="n">
        <v>0.495</v>
      </c>
      <c r="AN52" s="192" t="n">
        <v>0.025</v>
      </c>
      <c r="AO52" s="192" t="n">
        <v>-0.395</v>
      </c>
      <c r="AP52" s="192" t="n">
        <v>-0.1225</v>
      </c>
      <c r="AQ52" s="192" t="n">
        <v>-0.175</v>
      </c>
      <c r="AR52" s="192" t="n">
        <v>-0.33</v>
      </c>
      <c r="AS52" s="192" t="n">
        <v>-0.345</v>
      </c>
      <c r="AT52" s="192" t="n">
        <v>-0.395</v>
      </c>
      <c r="AU52" s="192" t="n">
        <v>0.31</v>
      </c>
      <c r="AV52" s="192" t="n">
        <v>-0.395</v>
      </c>
      <c r="AW52" s="192" t="n">
        <v>-0.095</v>
      </c>
      <c r="AX52" s="192" t="n">
        <v>-0.09</v>
      </c>
      <c r="AY52" s="192" t="n">
        <v>-0.095</v>
      </c>
      <c r="AZ52" s="192" t="n">
        <v>-0.0575</v>
      </c>
      <c r="BA52" s="192" t="n">
        <v>-0.0825</v>
      </c>
      <c r="BB52" s="192" t="n">
        <v>-0.022</v>
      </c>
      <c r="BC52" s="192" t="n">
        <v>-0.0625</v>
      </c>
      <c r="BD52" s="192" t="n">
        <v>-0.01</v>
      </c>
      <c r="BE52" s="192" t="n">
        <v>-0.06</v>
      </c>
      <c r="BF52" s="192" t="n">
        <v>0.12</v>
      </c>
      <c r="BG52" s="192" t="n">
        <v>0.1625</v>
      </c>
      <c r="BH52" s="192" t="n">
        <v>0.17</v>
      </c>
      <c r="BI52" s="192" t="n">
        <v>0.17</v>
      </c>
      <c r="BJ52" s="192" t="n">
        <v>0.31</v>
      </c>
    </row>
    <row r="53" customFormat="false" ht="12.75" hidden="false" customHeight="false" outlineLevel="0" collapsed="false">
      <c r="A53" s="194" t="e">
        <f aca="false">#REF!-B53</f>
        <v>#REF!</v>
      </c>
      <c r="B53" s="194" t="n">
        <v>3.069</v>
      </c>
      <c r="C53" s="200" t="n">
        <v>38231</v>
      </c>
      <c r="D53" s="194" t="n">
        <v>3.103</v>
      </c>
      <c r="E53" s="194" t="n">
        <v>0.255</v>
      </c>
      <c r="F53" s="194" t="n">
        <v>0.067635986711935</v>
      </c>
      <c r="G53" s="194" t="n">
        <v>-0.195</v>
      </c>
      <c r="H53" s="194" t="n">
        <v>-0.21</v>
      </c>
      <c r="I53" s="194" t="n">
        <v>-0.12</v>
      </c>
      <c r="J53" s="194" t="n">
        <v>-0.28</v>
      </c>
      <c r="K53" s="194" t="n">
        <v>-0.1</v>
      </c>
      <c r="L53" s="194" t="n">
        <v>-0.0575</v>
      </c>
      <c r="M53" s="194" t="n">
        <v>-0.165</v>
      </c>
      <c r="N53" s="194" t="n">
        <v>-0.165</v>
      </c>
      <c r="O53" s="194" t="n">
        <v>-0.195</v>
      </c>
      <c r="P53" s="192" t="n">
        <v>-0.195</v>
      </c>
      <c r="Q53" s="192" t="n">
        <v>-0.07</v>
      </c>
      <c r="R53" s="192" t="n">
        <v>-0.0675</v>
      </c>
      <c r="S53" s="192" t="n">
        <v>0.1375</v>
      </c>
      <c r="T53" s="192" t="n">
        <v>0.1375</v>
      </c>
      <c r="U53" s="192" t="n">
        <v>0.0425</v>
      </c>
      <c r="V53" s="192" t="n">
        <v>0.21</v>
      </c>
      <c r="W53" s="196" t="n">
        <v>0.1925</v>
      </c>
      <c r="X53" s="196" t="n">
        <v>0.195</v>
      </c>
      <c r="Y53" s="196" t="n">
        <v>-0.0275</v>
      </c>
      <c r="Z53" s="196" t="n">
        <v>-0.02525</v>
      </c>
      <c r="AA53" s="196" t="n">
        <v>0.00375</v>
      </c>
      <c r="AB53" s="196" t="n">
        <v>-0.01375</v>
      </c>
      <c r="AC53" s="196" t="n">
        <v>0.005</v>
      </c>
      <c r="AD53" s="196" t="n">
        <v>-0.006</v>
      </c>
      <c r="AE53" s="196" t="n">
        <v>-0.06</v>
      </c>
      <c r="AF53" s="196" t="n">
        <v>-0.053</v>
      </c>
      <c r="AG53" s="197" t="n">
        <v>-0.0615</v>
      </c>
      <c r="AH53" s="196" t="n">
        <v>-0.017</v>
      </c>
      <c r="AI53" s="198" t="n">
        <v>-0.062</v>
      </c>
      <c r="AJ53" s="198" t="n">
        <v>-0.0725</v>
      </c>
      <c r="AK53" s="199" t="n">
        <v>-0.0215</v>
      </c>
      <c r="AL53" s="192" t="n">
        <v>0.0085</v>
      </c>
      <c r="AM53" s="192" t="n">
        <v>0.395</v>
      </c>
      <c r="AN53" s="192" t="n">
        <v>0.0175</v>
      </c>
      <c r="AO53" s="192" t="n">
        <v>-0.395</v>
      </c>
      <c r="AP53" s="192" t="n">
        <v>-0.1225</v>
      </c>
      <c r="AQ53" s="192" t="n">
        <v>-0.175</v>
      </c>
      <c r="AR53" s="192" t="n">
        <v>-0.33</v>
      </c>
      <c r="AS53" s="192" t="n">
        <v>-0.345</v>
      </c>
      <c r="AT53" s="192" t="n">
        <v>-0.395</v>
      </c>
      <c r="AU53" s="192" t="n">
        <v>0.31</v>
      </c>
      <c r="AV53" s="192" t="n">
        <v>-0.395</v>
      </c>
      <c r="AW53" s="192" t="n">
        <v>-0.1</v>
      </c>
      <c r="AX53" s="192" t="n">
        <v>-0.09</v>
      </c>
      <c r="AY53" s="192" t="n">
        <v>-0.1</v>
      </c>
      <c r="AZ53" s="192" t="n">
        <v>-0.0575</v>
      </c>
      <c r="BA53" s="192" t="n">
        <v>-0.0975</v>
      </c>
      <c r="BB53" s="192" t="n">
        <v>-0.022</v>
      </c>
      <c r="BC53" s="192" t="n">
        <v>-0.0625</v>
      </c>
      <c r="BD53" s="192" t="n">
        <v>-0.0175</v>
      </c>
      <c r="BE53" s="192" t="n">
        <v>-0.06</v>
      </c>
      <c r="BF53" s="192" t="n">
        <v>0.12</v>
      </c>
      <c r="BG53" s="192" t="n">
        <v>0.1625</v>
      </c>
      <c r="BH53" s="192" t="n">
        <v>0.1675</v>
      </c>
      <c r="BI53" s="192" t="n">
        <v>0.1675</v>
      </c>
      <c r="BJ53" s="192" t="n">
        <v>0.3</v>
      </c>
    </row>
    <row r="54" customFormat="false" ht="12.75" hidden="false" customHeight="false" outlineLevel="0" collapsed="false">
      <c r="A54" s="194" t="e">
        <f aca="false">#REF!-B54</f>
        <v>#REF!</v>
      </c>
      <c r="B54" s="194" t="n">
        <v>3.134</v>
      </c>
      <c r="C54" s="200" t="n">
        <v>38261</v>
      </c>
      <c r="D54" s="194" t="n">
        <v>3.125</v>
      </c>
      <c r="E54" s="194" t="n">
        <v>0.255</v>
      </c>
      <c r="F54" s="194" t="n">
        <v>0.067685206506965</v>
      </c>
      <c r="G54" s="194" t="n">
        <v>-0.195</v>
      </c>
      <c r="H54" s="194" t="n">
        <v>-0.21</v>
      </c>
      <c r="I54" s="194" t="n">
        <v>-0.105</v>
      </c>
      <c r="J54" s="194" t="n">
        <v>-0.28</v>
      </c>
      <c r="K54" s="194" t="n">
        <v>-0.085</v>
      </c>
      <c r="L54" s="194" t="n">
        <v>-0.0575</v>
      </c>
      <c r="M54" s="194" t="n">
        <v>-0.165</v>
      </c>
      <c r="N54" s="194" t="n">
        <v>-0.165</v>
      </c>
      <c r="O54" s="194" t="n">
        <v>-0.195</v>
      </c>
      <c r="P54" s="192" t="n">
        <v>-0.195</v>
      </c>
      <c r="Q54" s="192" t="n">
        <v>-0.075</v>
      </c>
      <c r="R54" s="192" t="n">
        <v>-0.0675</v>
      </c>
      <c r="S54" s="192" t="n">
        <v>0.1525</v>
      </c>
      <c r="T54" s="192" t="n">
        <v>0.1525</v>
      </c>
      <c r="U54" s="192" t="n">
        <v>0.0575</v>
      </c>
      <c r="V54" s="192" t="n">
        <v>0.21</v>
      </c>
      <c r="W54" s="196" t="n">
        <v>0.1975</v>
      </c>
      <c r="X54" s="196" t="n">
        <v>0.215</v>
      </c>
      <c r="Y54" s="196" t="n">
        <v>-0.0275</v>
      </c>
      <c r="Z54" s="196" t="n">
        <v>-0.02525</v>
      </c>
      <c r="AA54" s="196" t="n">
        <v>0.00375</v>
      </c>
      <c r="AB54" s="196" t="n">
        <v>-0.01375</v>
      </c>
      <c r="AC54" s="196" t="n">
        <v>0.005</v>
      </c>
      <c r="AD54" s="196" t="n">
        <v>-0.006</v>
      </c>
      <c r="AE54" s="196" t="n">
        <v>-0.06</v>
      </c>
      <c r="AF54" s="196" t="n">
        <v>-0.053</v>
      </c>
      <c r="AG54" s="197" t="n">
        <v>-0.0615</v>
      </c>
      <c r="AH54" s="196" t="n">
        <v>-0.017</v>
      </c>
      <c r="AI54" s="198" t="n">
        <v>-0.064</v>
      </c>
      <c r="AJ54" s="198" t="n">
        <v>-0.0825</v>
      </c>
      <c r="AK54" s="199" t="n">
        <v>-0.0215</v>
      </c>
      <c r="AL54" s="192" t="n">
        <v>0.0085</v>
      </c>
      <c r="AM54" s="192" t="n">
        <v>0.461</v>
      </c>
      <c r="AN54" s="192" t="n">
        <v>0.0075</v>
      </c>
      <c r="AO54" s="192" t="n">
        <v>-0.395</v>
      </c>
      <c r="AP54" s="192" t="n">
        <v>-0.1225</v>
      </c>
      <c r="AQ54" s="192" t="n">
        <v>-0.175</v>
      </c>
      <c r="AR54" s="192" t="n">
        <v>-0.33</v>
      </c>
      <c r="AS54" s="192" t="n">
        <v>-0.345</v>
      </c>
      <c r="AT54" s="192" t="n">
        <v>-0.395</v>
      </c>
      <c r="AU54" s="192" t="n">
        <v>0.31</v>
      </c>
      <c r="AV54" s="192" t="n">
        <v>-0.395</v>
      </c>
      <c r="AW54" s="192" t="n">
        <v>-0.11</v>
      </c>
      <c r="AX54" s="192" t="n">
        <v>-0.09</v>
      </c>
      <c r="AY54" s="192" t="n">
        <v>-0.11</v>
      </c>
      <c r="AZ54" s="192" t="n">
        <v>-0.0575</v>
      </c>
      <c r="BA54" s="192" t="n">
        <v>-0.1</v>
      </c>
      <c r="BB54" s="192" t="n">
        <v>-0.022</v>
      </c>
      <c r="BC54" s="192" t="n">
        <v>-0.0625</v>
      </c>
      <c r="BD54" s="192" t="n">
        <v>-0.0275</v>
      </c>
      <c r="BE54" s="192" t="n">
        <v>-0.06</v>
      </c>
      <c r="BF54" s="192" t="n">
        <v>0.12</v>
      </c>
      <c r="BG54" s="192" t="n">
        <v>0.1625</v>
      </c>
      <c r="BH54" s="192" t="n">
        <v>0.1825</v>
      </c>
      <c r="BI54" s="192" t="n">
        <v>0.1825</v>
      </c>
      <c r="BJ54" s="192" t="n">
        <v>0.37253</v>
      </c>
    </row>
    <row r="55" customFormat="false" ht="12.75" hidden="false" customHeight="false" outlineLevel="0" collapsed="false">
      <c r="A55" s="194" t="e">
        <f aca="false">#REF!-B55</f>
        <v>#REF!</v>
      </c>
      <c r="B55" s="194" t="n">
        <v>3.129</v>
      </c>
      <c r="C55" s="200" t="n">
        <v>38292</v>
      </c>
      <c r="D55" s="194" t="n">
        <v>3.212</v>
      </c>
      <c r="E55" s="194" t="n">
        <v>0.2575</v>
      </c>
      <c r="F55" s="194" t="n">
        <v>0.067736066962671</v>
      </c>
      <c r="G55" s="194" t="n">
        <v>-0.19</v>
      </c>
      <c r="H55" s="194" t="n">
        <v>-0.205</v>
      </c>
      <c r="I55" s="194" t="n">
        <v>-0.045</v>
      </c>
      <c r="J55" s="194" t="n">
        <v>-0.275</v>
      </c>
      <c r="K55" s="194" t="n">
        <v>-0.025</v>
      </c>
      <c r="L55" s="194" t="n">
        <v>-0.0525</v>
      </c>
      <c r="M55" s="194" t="n">
        <v>-0.16</v>
      </c>
      <c r="N55" s="194" t="n">
        <v>-0.16</v>
      </c>
      <c r="O55" s="194" t="n">
        <v>-0.19</v>
      </c>
      <c r="P55" s="192" t="n">
        <v>-0.19</v>
      </c>
      <c r="Q55" s="192" t="n">
        <v>-0.0875</v>
      </c>
      <c r="R55" s="192" t="n">
        <v>-0.0525</v>
      </c>
      <c r="S55" s="192" t="n">
        <v>0.2025</v>
      </c>
      <c r="T55" s="192" t="n">
        <v>0.2025</v>
      </c>
      <c r="U55" s="192" t="n">
        <v>0.1075</v>
      </c>
      <c r="V55" s="192" t="n">
        <v>0.04</v>
      </c>
      <c r="W55" s="196" t="n">
        <v>0.2725</v>
      </c>
      <c r="X55" s="196" t="n">
        <v>0.315</v>
      </c>
      <c r="Y55" s="196" t="n">
        <v>-0.0305</v>
      </c>
      <c r="Z55" s="196" t="n">
        <v>-0.0425</v>
      </c>
      <c r="AA55" s="196" t="n">
        <v>-0.0135</v>
      </c>
      <c r="AB55" s="196" t="n">
        <v>-0.031</v>
      </c>
      <c r="AC55" s="196" t="n">
        <v>0.005</v>
      </c>
      <c r="AD55" s="196" t="n">
        <v>-0.009</v>
      </c>
      <c r="AE55" s="196" t="n">
        <v>-0.06</v>
      </c>
      <c r="AF55" s="196" t="n">
        <v>-0.048</v>
      </c>
      <c r="AG55" s="197" t="n">
        <v>-0.0595</v>
      </c>
      <c r="AH55" s="196" t="n">
        <v>-0.0185</v>
      </c>
      <c r="AI55" s="198" t="n">
        <v>-0.0765</v>
      </c>
      <c r="AJ55" s="198" t="n">
        <v>-0.1225</v>
      </c>
      <c r="AK55" s="199" t="n">
        <v>-0.0165</v>
      </c>
      <c r="AL55" s="192" t="n">
        <v>0.0125</v>
      </c>
      <c r="AM55" s="192" t="n">
        <v>0.88</v>
      </c>
      <c r="AN55" s="192" t="n">
        <v>-0.0325</v>
      </c>
      <c r="AO55" s="192" t="n">
        <v>-0.31</v>
      </c>
      <c r="AP55" s="192" t="n">
        <v>-0.135</v>
      </c>
      <c r="AQ55" s="192" t="n">
        <v>-0.17</v>
      </c>
      <c r="AR55" s="192" t="n">
        <v>0</v>
      </c>
      <c r="AS55" s="192" t="n">
        <v>-0.26</v>
      </c>
      <c r="AT55" s="192" t="n">
        <v>-0.31</v>
      </c>
      <c r="AU55" s="192" t="n">
        <v>0.14</v>
      </c>
      <c r="AV55" s="192" t="n">
        <v>-0.31</v>
      </c>
      <c r="AW55" s="192" t="n">
        <v>-0.1225</v>
      </c>
      <c r="AX55" s="192" t="n">
        <v>-0.1175</v>
      </c>
      <c r="AY55" s="192" t="n">
        <v>-0.1225</v>
      </c>
      <c r="AZ55" s="192" t="n">
        <v>-0.0525</v>
      </c>
      <c r="BA55" s="192" t="n">
        <v>-0.105</v>
      </c>
      <c r="BB55" s="192" t="n">
        <v>-0.0235</v>
      </c>
      <c r="BC55" s="192" t="n">
        <v>-0.0725</v>
      </c>
      <c r="BD55" s="192" t="n">
        <v>-0.0675</v>
      </c>
      <c r="BE55" s="192" t="n">
        <v>-0.06</v>
      </c>
      <c r="BF55" s="192" t="n">
        <v>0.09</v>
      </c>
      <c r="BG55" s="192" t="n">
        <v>0.295</v>
      </c>
      <c r="BH55" s="192" t="n">
        <v>0.2475</v>
      </c>
      <c r="BI55" s="192" t="n">
        <v>0.2475</v>
      </c>
      <c r="BJ55" s="192" t="n">
        <v>0.555</v>
      </c>
    </row>
    <row r="56" customFormat="false" ht="12.75" hidden="false" customHeight="false" outlineLevel="0" collapsed="false">
      <c r="A56" s="194" t="e">
        <f aca="false">#REF!-B56</f>
        <v>#REF!</v>
      </c>
      <c r="B56" s="194" t="n">
        <v>3.118</v>
      </c>
      <c r="C56" s="200" t="n">
        <v>38322</v>
      </c>
      <c r="D56" s="194" t="n">
        <v>3.285</v>
      </c>
      <c r="E56" s="194" t="n">
        <v>0.26</v>
      </c>
      <c r="F56" s="194" t="n">
        <v>0.067785286759331</v>
      </c>
      <c r="G56" s="194" t="n">
        <v>-0.1975</v>
      </c>
      <c r="H56" s="194" t="n">
        <v>-0.2125</v>
      </c>
      <c r="I56" s="194" t="n">
        <v>-0.0375</v>
      </c>
      <c r="J56" s="194" t="n">
        <v>-0.2825</v>
      </c>
      <c r="K56" s="194" t="n">
        <v>-0.0175</v>
      </c>
      <c r="L56" s="194" t="n">
        <v>-0.0525</v>
      </c>
      <c r="M56" s="194" t="n">
        <v>-0.1675</v>
      </c>
      <c r="N56" s="194" t="n">
        <v>-0.1675</v>
      </c>
      <c r="O56" s="194" t="n">
        <v>-0.1975</v>
      </c>
      <c r="P56" s="192" t="n">
        <v>-0.1975</v>
      </c>
      <c r="Q56" s="192" t="n">
        <v>-0.09875</v>
      </c>
      <c r="R56" s="192" t="n">
        <v>-0.0525</v>
      </c>
      <c r="S56" s="192" t="n">
        <v>0.2425</v>
      </c>
      <c r="T56" s="192" t="n">
        <v>0.2425</v>
      </c>
      <c r="U56" s="192" t="n">
        <v>0.1475</v>
      </c>
      <c r="V56" s="192" t="n">
        <v>0.04</v>
      </c>
      <c r="W56" s="196" t="n">
        <v>0.3075</v>
      </c>
      <c r="X56" s="196" t="n">
        <v>0.395</v>
      </c>
      <c r="Y56" s="196" t="n">
        <v>-0.0305</v>
      </c>
      <c r="Z56" s="196" t="n">
        <v>-0.035</v>
      </c>
      <c r="AA56" s="196" t="n">
        <v>-0.0135</v>
      </c>
      <c r="AB56" s="196" t="n">
        <v>-0.031</v>
      </c>
      <c r="AC56" s="196" t="n">
        <v>0.005</v>
      </c>
      <c r="AD56" s="196" t="n">
        <v>-0.009</v>
      </c>
      <c r="AE56" s="196" t="n">
        <v>-0.06</v>
      </c>
      <c r="AF56" s="196" t="n">
        <v>-0.048</v>
      </c>
      <c r="AG56" s="197" t="n">
        <v>-0.0595</v>
      </c>
      <c r="AH56" s="196" t="n">
        <v>-0.0185</v>
      </c>
      <c r="AI56" s="198" t="n">
        <v>-0.0765</v>
      </c>
      <c r="AJ56" s="198" t="n">
        <v>-0.145</v>
      </c>
      <c r="AK56" s="199" t="n">
        <v>-0.0165</v>
      </c>
      <c r="AL56" s="192" t="n">
        <v>0.0125</v>
      </c>
      <c r="AM56" s="192" t="n">
        <v>1.3</v>
      </c>
      <c r="AN56" s="192" t="n">
        <v>-0.055</v>
      </c>
      <c r="AO56" s="192" t="n">
        <v>-0.31</v>
      </c>
      <c r="AP56" s="192" t="n">
        <v>-0.13</v>
      </c>
      <c r="AQ56" s="192" t="n">
        <v>-0.17</v>
      </c>
      <c r="AR56" s="192" t="n">
        <v>0.06</v>
      </c>
      <c r="AS56" s="192" t="n">
        <v>-0.26</v>
      </c>
      <c r="AT56" s="192" t="n">
        <v>-0.31</v>
      </c>
      <c r="AU56" s="192" t="n">
        <v>0.14</v>
      </c>
      <c r="AV56" s="192" t="n">
        <v>-0.31</v>
      </c>
      <c r="AW56" s="192" t="n">
        <v>-0.1475</v>
      </c>
      <c r="AX56" s="192" t="n">
        <v>-0.1175</v>
      </c>
      <c r="AY56" s="192" t="n">
        <v>-0.1475</v>
      </c>
      <c r="AZ56" s="192" t="n">
        <v>-0.0525</v>
      </c>
      <c r="BA56" s="192" t="n">
        <v>-0.1375</v>
      </c>
      <c r="BB56" s="192" t="n">
        <v>-0.0235</v>
      </c>
      <c r="BC56" s="192" t="n">
        <v>-0.0725</v>
      </c>
      <c r="BD56" s="192" t="n">
        <v>-0.09</v>
      </c>
      <c r="BE56" s="192" t="n">
        <v>-0.06</v>
      </c>
      <c r="BF56" s="192" t="n">
        <v>0.09</v>
      </c>
      <c r="BG56" s="192" t="n">
        <v>0.25</v>
      </c>
      <c r="BH56" s="192" t="n">
        <v>0.2875</v>
      </c>
      <c r="BI56" s="192" t="n">
        <v>0.2875</v>
      </c>
      <c r="BJ56" s="192" t="n">
        <v>0.9</v>
      </c>
    </row>
    <row r="57" customFormat="false" ht="12.75" hidden="false" customHeight="false" outlineLevel="0" collapsed="false">
      <c r="A57" s="194" t="e">
        <f aca="false">#REF!-B57</f>
        <v>#REF!</v>
      </c>
      <c r="B57" s="194" t="n">
        <v>3.135</v>
      </c>
      <c r="C57" s="200" t="n">
        <v>38353</v>
      </c>
      <c r="D57" s="194" t="n">
        <v>3.581</v>
      </c>
      <c r="E57" s="194" t="n">
        <v>0.265</v>
      </c>
      <c r="F57" s="194" t="n">
        <v>0.067836147216722</v>
      </c>
      <c r="G57" s="194" t="n">
        <v>-0.2</v>
      </c>
      <c r="H57" s="194" t="n">
        <v>-0.215</v>
      </c>
      <c r="I57" s="194" t="n">
        <v>-0.0225</v>
      </c>
      <c r="J57" s="194" t="n">
        <v>-0.265</v>
      </c>
      <c r="K57" s="194" t="n">
        <v>-0.0025</v>
      </c>
      <c r="L57" s="194" t="n">
        <v>-0.0525</v>
      </c>
      <c r="M57" s="194" t="n">
        <v>-0.17</v>
      </c>
      <c r="N57" s="194" t="n">
        <v>-0.17</v>
      </c>
      <c r="O57" s="194" t="n">
        <v>-0.2</v>
      </c>
      <c r="P57" s="192" t="n">
        <v>-0.2</v>
      </c>
      <c r="Q57" s="192" t="n">
        <v>-0.1</v>
      </c>
      <c r="R57" s="192" t="n">
        <v>-0.0525</v>
      </c>
      <c r="S57" s="192" t="n">
        <v>0.2775</v>
      </c>
      <c r="T57" s="192" t="n">
        <v>0.2775</v>
      </c>
      <c r="U57" s="192" t="n">
        <v>0.1825</v>
      </c>
      <c r="V57" s="192" t="n">
        <v>0.04</v>
      </c>
      <c r="W57" s="196" t="n">
        <v>0.3125</v>
      </c>
      <c r="X57" s="196" t="n">
        <v>0.465</v>
      </c>
      <c r="Y57" s="196" t="n">
        <v>-0.028</v>
      </c>
      <c r="Z57" s="196" t="n">
        <v>-0.035</v>
      </c>
      <c r="AA57" s="196" t="n">
        <v>-0.0135</v>
      </c>
      <c r="AB57" s="196" t="n">
        <v>-0.031</v>
      </c>
      <c r="AC57" s="196" t="n">
        <v>0.005</v>
      </c>
      <c r="AD57" s="196" t="n">
        <v>-0.009</v>
      </c>
      <c r="AE57" s="196" t="n">
        <v>-0.06</v>
      </c>
      <c r="AF57" s="196" t="n">
        <v>-0.046</v>
      </c>
      <c r="AG57" s="197" t="n">
        <v>-0.0595</v>
      </c>
      <c r="AH57" s="196" t="n">
        <v>-0.0185</v>
      </c>
      <c r="AI57" s="198" t="n">
        <v>-0.0695</v>
      </c>
      <c r="AJ57" s="198" t="n">
        <v>-0.1475</v>
      </c>
      <c r="AK57" s="199" t="n">
        <v>-0.012</v>
      </c>
      <c r="AL57" s="192" t="n">
        <v>0.0125</v>
      </c>
      <c r="AM57" s="192" t="n">
        <v>1.63</v>
      </c>
      <c r="AN57" s="192" t="n">
        <v>-0.0575</v>
      </c>
      <c r="AO57" s="192" t="n">
        <v>-0.31</v>
      </c>
      <c r="AP57" s="192" t="n">
        <v>-0.13</v>
      </c>
      <c r="AQ57" s="192" t="n">
        <v>-0.17</v>
      </c>
      <c r="AR57" s="192" t="n">
        <v>0.13</v>
      </c>
      <c r="AS57" s="192" t="n">
        <v>-0.26</v>
      </c>
      <c r="AT57" s="192" t="n">
        <v>-0.31</v>
      </c>
      <c r="AU57" s="192" t="n">
        <v>0.14</v>
      </c>
      <c r="AV57" s="192" t="n">
        <v>-0.31</v>
      </c>
      <c r="AW57" s="192" t="n">
        <v>-0.1325</v>
      </c>
      <c r="AX57" s="192" t="n">
        <v>-0.1175</v>
      </c>
      <c r="AY57" s="192" t="n">
        <v>-0.1325</v>
      </c>
      <c r="AZ57" s="192" t="n">
        <v>-0.0525</v>
      </c>
      <c r="BA57" s="192" t="n">
        <v>-0.143</v>
      </c>
      <c r="BB57" s="192" t="n">
        <v>-0.0235</v>
      </c>
      <c r="BC57" s="192" t="n">
        <v>-0.0725</v>
      </c>
      <c r="BD57" s="192" t="n">
        <v>-0.0925</v>
      </c>
      <c r="BE57" s="192" t="n">
        <v>-0.06</v>
      </c>
      <c r="BF57" s="192" t="n">
        <v>0.09</v>
      </c>
      <c r="BG57" s="192" t="n">
        <v>0.33</v>
      </c>
      <c r="BH57" s="192" t="n">
        <v>0.3225</v>
      </c>
      <c r="BI57" s="192" t="n">
        <v>0.3225</v>
      </c>
      <c r="BJ57" s="192" t="n">
        <v>1.22</v>
      </c>
    </row>
    <row r="58" customFormat="false" ht="12.75" hidden="false" customHeight="false" outlineLevel="0" collapsed="false">
      <c r="A58" s="194" t="e">
        <f aca="false">#REF!-B58</f>
        <v>#REF!</v>
      </c>
      <c r="B58" s="194" t="n">
        <v>3.242</v>
      </c>
      <c r="C58" s="200" t="n">
        <v>38384</v>
      </c>
      <c r="D58" s="194" t="n">
        <v>3.427</v>
      </c>
      <c r="E58" s="194" t="n">
        <v>0.2525</v>
      </c>
      <c r="F58" s="194" t="n">
        <v>0.06788700767497</v>
      </c>
      <c r="G58" s="194" t="n">
        <v>-0.2025</v>
      </c>
      <c r="H58" s="194" t="n">
        <v>-0.2175</v>
      </c>
      <c r="I58" s="194" t="n">
        <v>-0.0225</v>
      </c>
      <c r="J58" s="194" t="n">
        <v>-0.2675</v>
      </c>
      <c r="K58" s="194" t="n">
        <v>-0.0025</v>
      </c>
      <c r="L58" s="194" t="n">
        <v>-0.0525</v>
      </c>
      <c r="M58" s="194" t="n">
        <v>-0.1725</v>
      </c>
      <c r="N58" s="194" t="n">
        <v>-0.1725</v>
      </c>
      <c r="O58" s="194" t="n">
        <v>-0.2025</v>
      </c>
      <c r="P58" s="192" t="n">
        <v>-0.2025</v>
      </c>
      <c r="Q58" s="192" t="n">
        <v>-0.09125</v>
      </c>
      <c r="R58" s="192" t="n">
        <v>-0.0525</v>
      </c>
      <c r="S58" s="192" t="n">
        <v>0.2575</v>
      </c>
      <c r="T58" s="192" t="n">
        <v>0.2575</v>
      </c>
      <c r="U58" s="192" t="n">
        <v>0.1625</v>
      </c>
      <c r="V58" s="192" t="n">
        <v>0.04</v>
      </c>
      <c r="W58" s="196" t="n">
        <v>0.3125</v>
      </c>
      <c r="X58" s="196" t="n">
        <v>0.435</v>
      </c>
      <c r="Y58" s="196" t="n">
        <v>-0.028</v>
      </c>
      <c r="Z58" s="196" t="n">
        <v>-0.035</v>
      </c>
      <c r="AA58" s="196" t="n">
        <v>-0.0135</v>
      </c>
      <c r="AB58" s="196" t="n">
        <v>-0.031</v>
      </c>
      <c r="AC58" s="196" t="n">
        <v>0.005</v>
      </c>
      <c r="AD58" s="196" t="n">
        <v>-0.009</v>
      </c>
      <c r="AE58" s="196" t="n">
        <v>-0.06</v>
      </c>
      <c r="AF58" s="196" t="n">
        <v>-0.046</v>
      </c>
      <c r="AG58" s="197" t="n">
        <v>-0.0595</v>
      </c>
      <c r="AH58" s="196" t="n">
        <v>-0.0185</v>
      </c>
      <c r="AI58" s="198" t="n">
        <v>-0.0695</v>
      </c>
      <c r="AJ58" s="198" t="n">
        <v>-0.13</v>
      </c>
      <c r="AK58" s="199" t="n">
        <v>-0.012</v>
      </c>
      <c r="AL58" s="192" t="n">
        <v>0.0125</v>
      </c>
      <c r="AM58" s="192" t="n">
        <v>1.58</v>
      </c>
      <c r="AN58" s="192" t="n">
        <v>-0.04</v>
      </c>
      <c r="AO58" s="192" t="n">
        <v>-0.31</v>
      </c>
      <c r="AP58" s="192" t="n">
        <v>-0.13</v>
      </c>
      <c r="AQ58" s="192" t="n">
        <v>-0.17</v>
      </c>
      <c r="AR58" s="192" t="n">
        <v>0</v>
      </c>
      <c r="AS58" s="192" t="n">
        <v>-0.26</v>
      </c>
      <c r="AT58" s="192" t="n">
        <v>-0.31</v>
      </c>
      <c r="AU58" s="192" t="n">
        <v>0.14</v>
      </c>
      <c r="AV58" s="192" t="n">
        <v>-0.31</v>
      </c>
      <c r="AW58" s="192" t="n">
        <v>-0.135</v>
      </c>
      <c r="AX58" s="192" t="n">
        <v>-0.1175</v>
      </c>
      <c r="AY58" s="192" t="n">
        <v>-0.135</v>
      </c>
      <c r="AZ58" s="192" t="n">
        <v>-0.0525</v>
      </c>
      <c r="BA58" s="192" t="n">
        <v>-0.1255</v>
      </c>
      <c r="BB58" s="192" t="n">
        <v>-0.0235</v>
      </c>
      <c r="BC58" s="192" t="n">
        <v>-0.0725</v>
      </c>
      <c r="BD58" s="192" t="n">
        <v>-0.075</v>
      </c>
      <c r="BE58" s="192" t="n">
        <v>-0.06</v>
      </c>
      <c r="BF58" s="192" t="n">
        <v>0.09</v>
      </c>
      <c r="BG58" s="192" t="n">
        <v>0.375</v>
      </c>
      <c r="BH58" s="192" t="n">
        <v>0.3025</v>
      </c>
      <c r="BI58" s="192" t="n">
        <v>0.3025</v>
      </c>
      <c r="BJ58" s="192" t="n">
        <v>1.22</v>
      </c>
    </row>
    <row r="59" customFormat="false" ht="12.75" hidden="false" customHeight="false" outlineLevel="0" collapsed="false">
      <c r="A59" s="194" t="e">
        <f aca="false">#REF!-B59</f>
        <v>#REF!</v>
      </c>
      <c r="B59" s="194" t="n">
        <v>3.348</v>
      </c>
      <c r="C59" s="200" t="n">
        <v>38412</v>
      </c>
      <c r="D59" s="194" t="n">
        <v>3.25</v>
      </c>
      <c r="E59" s="194" t="n">
        <v>0.2475</v>
      </c>
      <c r="F59" s="194" t="n">
        <v>0.067932946154122</v>
      </c>
      <c r="G59" s="194" t="n">
        <v>-0.205</v>
      </c>
      <c r="H59" s="194" t="n">
        <v>-0.22</v>
      </c>
      <c r="I59" s="194" t="n">
        <v>-0.0225</v>
      </c>
      <c r="J59" s="194" t="n">
        <v>-0.27</v>
      </c>
      <c r="K59" s="194" t="n">
        <v>-0.0025</v>
      </c>
      <c r="L59" s="194" t="n">
        <v>-0.0525</v>
      </c>
      <c r="M59" s="194" t="n">
        <v>-0.175</v>
      </c>
      <c r="N59" s="194" t="n">
        <v>-0.175</v>
      </c>
      <c r="O59" s="194" t="n">
        <v>-0.205</v>
      </c>
      <c r="P59" s="192" t="n">
        <v>-0.205</v>
      </c>
      <c r="Q59" s="192" t="n">
        <v>-0.085</v>
      </c>
      <c r="R59" s="192" t="n">
        <v>-0.0525</v>
      </c>
      <c r="S59" s="192" t="n">
        <v>0.2575</v>
      </c>
      <c r="T59" s="192" t="n">
        <v>0.2575</v>
      </c>
      <c r="U59" s="192" t="n">
        <v>0.1625</v>
      </c>
      <c r="V59" s="192" t="n">
        <v>0.04</v>
      </c>
      <c r="W59" s="196" t="n">
        <v>0.27</v>
      </c>
      <c r="X59" s="196" t="n">
        <v>0.39</v>
      </c>
      <c r="Y59" s="196" t="n">
        <v>-0.028</v>
      </c>
      <c r="Z59" s="196" t="n">
        <v>-0.035</v>
      </c>
      <c r="AA59" s="196" t="n">
        <v>-0.0135</v>
      </c>
      <c r="AB59" s="196" t="n">
        <v>-0.031</v>
      </c>
      <c r="AC59" s="196" t="n">
        <v>0.005</v>
      </c>
      <c r="AD59" s="196" t="n">
        <v>-0.009</v>
      </c>
      <c r="AE59" s="196" t="n">
        <v>-0.06</v>
      </c>
      <c r="AF59" s="196" t="n">
        <v>-0.046</v>
      </c>
      <c r="AG59" s="197" t="n">
        <v>-0.0595</v>
      </c>
      <c r="AH59" s="196" t="n">
        <v>-0.0185</v>
      </c>
      <c r="AI59" s="198" t="n">
        <v>-0.0765</v>
      </c>
      <c r="AJ59" s="198" t="n">
        <v>-0.1175</v>
      </c>
      <c r="AK59" s="199" t="n">
        <v>-0.012</v>
      </c>
      <c r="AL59" s="192" t="n">
        <v>0.0125</v>
      </c>
      <c r="AM59" s="192" t="n">
        <v>0.96</v>
      </c>
      <c r="AN59" s="192" t="n">
        <v>-0.0275</v>
      </c>
      <c r="AO59" s="192" t="n">
        <v>-0.31</v>
      </c>
      <c r="AP59" s="192" t="n">
        <v>-0.135</v>
      </c>
      <c r="AQ59" s="192" t="n">
        <v>-0.17</v>
      </c>
      <c r="AR59" s="192" t="n">
        <v>-0.18</v>
      </c>
      <c r="AS59" s="192" t="n">
        <v>-0.26</v>
      </c>
      <c r="AT59" s="192" t="n">
        <v>-0.31</v>
      </c>
      <c r="AU59" s="192" t="n">
        <v>0.14</v>
      </c>
      <c r="AV59" s="192" t="n">
        <v>-0.31</v>
      </c>
      <c r="AW59" s="192" t="n">
        <v>-0.1175</v>
      </c>
      <c r="AX59" s="192" t="n">
        <v>-0.1175</v>
      </c>
      <c r="AY59" s="192" t="n">
        <v>-0.1175</v>
      </c>
      <c r="AZ59" s="192" t="n">
        <v>-0.0525</v>
      </c>
      <c r="BA59" s="192" t="n">
        <v>-0.1105</v>
      </c>
      <c r="BB59" s="192" t="n">
        <v>-0.0235</v>
      </c>
      <c r="BC59" s="192" t="n">
        <v>-0.0725</v>
      </c>
      <c r="BD59" s="192" t="n">
        <v>-0.0625</v>
      </c>
      <c r="BE59" s="192" t="n">
        <v>-0.06</v>
      </c>
      <c r="BF59" s="192" t="n">
        <v>0.09</v>
      </c>
      <c r="BG59" s="192" t="n">
        <v>0.375</v>
      </c>
      <c r="BH59" s="192" t="n">
        <v>0.3025</v>
      </c>
      <c r="BI59" s="192" t="n">
        <v>0.3025</v>
      </c>
      <c r="BJ59" s="192" t="n">
        <v>0.87</v>
      </c>
    </row>
    <row r="60" customFormat="false" ht="12.75" hidden="false" customHeight="false" outlineLevel="0" collapsed="false">
      <c r="A60" s="194" t="e">
        <f aca="false">#REF!-B60</f>
        <v>#REF!</v>
      </c>
      <c r="B60" s="194" t="n">
        <v>3.537</v>
      </c>
      <c r="C60" s="200" t="n">
        <v>38443</v>
      </c>
      <c r="D60" s="194" t="n">
        <v>3.066</v>
      </c>
      <c r="E60" s="194" t="n">
        <v>0.235</v>
      </c>
      <c r="F60" s="194" t="n">
        <v>0.067983806614</v>
      </c>
      <c r="G60" s="194" t="n">
        <v>-0.195</v>
      </c>
      <c r="H60" s="194" t="n">
        <v>-0.21</v>
      </c>
      <c r="I60" s="194" t="n">
        <v>-0.11</v>
      </c>
      <c r="J60" s="194" t="n">
        <v>-0.26</v>
      </c>
      <c r="K60" s="194" t="n">
        <v>-0.09</v>
      </c>
      <c r="L60" s="194" t="n">
        <v>-0.055</v>
      </c>
      <c r="M60" s="194" t="n">
        <v>-0.165</v>
      </c>
      <c r="N60" s="194" t="n">
        <v>-0.165</v>
      </c>
      <c r="O60" s="194" t="n">
        <v>-0.195</v>
      </c>
      <c r="P60" s="192" t="n">
        <v>-0.195</v>
      </c>
      <c r="Q60" s="192" t="n">
        <v>-0.065</v>
      </c>
      <c r="R60" s="192" t="n">
        <v>-0.055</v>
      </c>
      <c r="S60" s="192" t="n">
        <v>0.1625</v>
      </c>
      <c r="T60" s="192" t="n">
        <v>0.1625</v>
      </c>
      <c r="U60" s="192" t="n">
        <v>0.0675</v>
      </c>
      <c r="V60" s="192" t="n">
        <v>0.215</v>
      </c>
      <c r="W60" s="196" t="n">
        <v>0.205</v>
      </c>
      <c r="X60" s="196" t="n">
        <v>0.25</v>
      </c>
      <c r="Y60" s="196" t="n">
        <v>-0.0275</v>
      </c>
      <c r="Z60" s="196" t="n">
        <v>-0.025</v>
      </c>
      <c r="AA60" s="196" t="n">
        <v>0.005</v>
      </c>
      <c r="AB60" s="196" t="n">
        <v>-0.0125</v>
      </c>
      <c r="AC60" s="196" t="n">
        <v>0.005</v>
      </c>
      <c r="AD60" s="196" t="n">
        <v>-0.004</v>
      </c>
      <c r="AE60" s="196" t="n">
        <v>-0.06</v>
      </c>
      <c r="AF60" s="196" t="n">
        <v>-0.051</v>
      </c>
      <c r="AG60" s="197" t="n">
        <v>-0.0595</v>
      </c>
      <c r="AH60" s="196" t="n">
        <v>-0.016</v>
      </c>
      <c r="AI60" s="198" t="n">
        <v>-0.072</v>
      </c>
      <c r="AJ60" s="198" t="n">
        <v>-0.075</v>
      </c>
      <c r="AK60" s="199" t="n">
        <v>-0.0195</v>
      </c>
      <c r="AL60" s="192" t="n">
        <v>0.0085</v>
      </c>
      <c r="AM60" s="192" t="n">
        <v>0.45</v>
      </c>
      <c r="AN60" s="192" t="n">
        <v>0.015</v>
      </c>
      <c r="AO60" s="192" t="n">
        <v>-0.385</v>
      </c>
      <c r="AP60" s="192" t="n">
        <v>-0.12</v>
      </c>
      <c r="AQ60" s="192" t="n">
        <v>-0.17</v>
      </c>
      <c r="AR60" s="192" t="n">
        <v>-0.29</v>
      </c>
      <c r="AS60" s="192" t="n">
        <v>-0.335</v>
      </c>
      <c r="AT60" s="192" t="n">
        <v>-0.385</v>
      </c>
      <c r="AU60" s="192" t="n">
        <v>0.315</v>
      </c>
      <c r="AV60" s="192" t="n">
        <v>-0.385</v>
      </c>
      <c r="AW60" s="192" t="n">
        <v>-0.108</v>
      </c>
      <c r="AX60" s="192" t="n">
        <v>-0.1175</v>
      </c>
      <c r="AY60" s="192" t="n">
        <v>-0.108</v>
      </c>
      <c r="AZ60" s="192" t="n">
        <v>-0.055</v>
      </c>
      <c r="BA60" s="192" t="n">
        <v>-0.0955</v>
      </c>
      <c r="BB60" s="192" t="n">
        <v>-0.021</v>
      </c>
      <c r="BC60" s="192" t="n">
        <v>-0.06</v>
      </c>
      <c r="BD60" s="192" t="n">
        <v>-0.02</v>
      </c>
      <c r="BE60" s="192" t="n">
        <v>-0.06</v>
      </c>
      <c r="BF60" s="192" t="n">
        <v>0.12</v>
      </c>
      <c r="BG60" s="192" t="n">
        <v>0.1625</v>
      </c>
      <c r="BH60" s="192" t="n">
        <v>0.1925</v>
      </c>
      <c r="BI60" s="192" t="n">
        <v>0.1925</v>
      </c>
      <c r="BJ60" s="192" t="n">
        <v>0.365</v>
      </c>
    </row>
    <row r="61" customFormat="false" ht="12.75" hidden="false" customHeight="false" outlineLevel="0" collapsed="false">
      <c r="A61" s="194" t="e">
        <f aca="false">#REF!-B61</f>
        <v>#REF!</v>
      </c>
      <c r="B61" s="194" t="n">
        <v>3.418</v>
      </c>
      <c r="C61" s="200" t="n">
        <v>38473</v>
      </c>
      <c r="D61" s="194" t="n">
        <v>3.018</v>
      </c>
      <c r="E61" s="194" t="n">
        <v>0.235</v>
      </c>
      <c r="F61" s="194" t="n">
        <v>0.068033026414695</v>
      </c>
      <c r="G61" s="194" t="n">
        <v>-0.195</v>
      </c>
      <c r="H61" s="194" t="n">
        <v>-0.21</v>
      </c>
      <c r="I61" s="194" t="n">
        <v>-0.125</v>
      </c>
      <c r="J61" s="194" t="n">
        <v>-0.26</v>
      </c>
      <c r="K61" s="194" t="n">
        <v>-0.105</v>
      </c>
      <c r="L61" s="194" t="n">
        <v>-0.055</v>
      </c>
      <c r="M61" s="194" t="n">
        <v>-0.165</v>
      </c>
      <c r="N61" s="194" t="n">
        <v>-0.165</v>
      </c>
      <c r="O61" s="194" t="n">
        <v>-0.195</v>
      </c>
      <c r="P61" s="192" t="n">
        <v>-0.195</v>
      </c>
      <c r="Q61" s="192" t="n">
        <v>-0.065</v>
      </c>
      <c r="R61" s="192" t="n">
        <v>-0.055</v>
      </c>
      <c r="S61" s="192" t="n">
        <v>0.1725</v>
      </c>
      <c r="T61" s="192" t="n">
        <v>0.1725</v>
      </c>
      <c r="U61" s="192" t="n">
        <v>0.0775</v>
      </c>
      <c r="V61" s="192" t="n">
        <v>0.215</v>
      </c>
      <c r="W61" s="196" t="n">
        <v>0.1925</v>
      </c>
      <c r="X61" s="196" t="n">
        <v>0.2025</v>
      </c>
      <c r="Y61" s="196" t="n">
        <v>-0.0275</v>
      </c>
      <c r="Z61" s="196" t="n">
        <v>-0.02525</v>
      </c>
      <c r="AA61" s="196" t="n">
        <v>0.00475</v>
      </c>
      <c r="AB61" s="196" t="n">
        <v>-0.01275</v>
      </c>
      <c r="AC61" s="196" t="n">
        <v>0.005</v>
      </c>
      <c r="AD61" s="196" t="n">
        <v>-0.004</v>
      </c>
      <c r="AE61" s="196" t="n">
        <v>-0.06</v>
      </c>
      <c r="AF61" s="196" t="n">
        <v>-0.051</v>
      </c>
      <c r="AG61" s="197" t="n">
        <v>-0.0595</v>
      </c>
      <c r="AH61" s="196" t="n">
        <v>-0.016</v>
      </c>
      <c r="AI61" s="198" t="n">
        <v>-0.072</v>
      </c>
      <c r="AJ61" s="198" t="n">
        <v>-0.075</v>
      </c>
      <c r="AK61" s="199" t="n">
        <v>-0.0195</v>
      </c>
      <c r="AL61" s="192" t="n">
        <v>0.0085</v>
      </c>
      <c r="AM61" s="192" t="n">
        <v>0.405</v>
      </c>
      <c r="AN61" s="192" t="n">
        <v>0.015</v>
      </c>
      <c r="AO61" s="192" t="n">
        <v>-0.385</v>
      </c>
      <c r="AP61" s="192" t="n">
        <v>-0.12</v>
      </c>
      <c r="AQ61" s="192" t="n">
        <v>-0.17</v>
      </c>
      <c r="AR61" s="192" t="n">
        <v>-0.29</v>
      </c>
      <c r="AS61" s="192" t="n">
        <v>-0.335</v>
      </c>
      <c r="AT61" s="192" t="n">
        <v>-0.385</v>
      </c>
      <c r="AU61" s="192" t="n">
        <v>0.315</v>
      </c>
      <c r="AV61" s="192" t="n">
        <v>-0.385</v>
      </c>
      <c r="AW61" s="192" t="n">
        <v>-0.1055</v>
      </c>
      <c r="AX61" s="192" t="n">
        <v>-0.1175</v>
      </c>
      <c r="AY61" s="192" t="n">
        <v>-0.1055</v>
      </c>
      <c r="AZ61" s="192" t="n">
        <v>-0.055</v>
      </c>
      <c r="BA61" s="192" t="n">
        <v>-0.0905</v>
      </c>
      <c r="BB61" s="192" t="n">
        <v>-0.021</v>
      </c>
      <c r="BC61" s="192" t="n">
        <v>-0.06</v>
      </c>
      <c r="BD61" s="192" t="n">
        <v>-0.02</v>
      </c>
      <c r="BE61" s="192" t="n">
        <v>-0.06</v>
      </c>
      <c r="BF61" s="192" t="n">
        <v>0.12</v>
      </c>
      <c r="BG61" s="192" t="n">
        <v>0.1625</v>
      </c>
      <c r="BH61" s="192" t="n">
        <v>0.2025</v>
      </c>
      <c r="BI61" s="192" t="n">
        <v>0.2025</v>
      </c>
      <c r="BJ61" s="192" t="n">
        <v>0.2975</v>
      </c>
    </row>
    <row r="62" customFormat="false" ht="12.75" hidden="false" customHeight="false" outlineLevel="0" collapsed="false">
      <c r="A62" s="194" t="e">
        <f aca="false">#REF!-B62</f>
        <v>#REF!</v>
      </c>
      <c r="B62" s="194" t="n">
        <v>3.266</v>
      </c>
      <c r="C62" s="200" t="n">
        <v>38504</v>
      </c>
      <c r="D62" s="194" t="n">
        <v>3.028</v>
      </c>
      <c r="E62" s="194" t="n">
        <v>0.2325</v>
      </c>
      <c r="F62" s="194" t="n">
        <v>0.068083886876256</v>
      </c>
      <c r="G62" s="194" t="n">
        <v>-0.195</v>
      </c>
      <c r="H62" s="194" t="n">
        <v>-0.21</v>
      </c>
      <c r="I62" s="194" t="n">
        <v>-0.135</v>
      </c>
      <c r="J62" s="194" t="n">
        <v>-0.26</v>
      </c>
      <c r="K62" s="194" t="n">
        <v>-0.115</v>
      </c>
      <c r="L62" s="194" t="n">
        <v>-0.055</v>
      </c>
      <c r="M62" s="194" t="n">
        <v>-0.165</v>
      </c>
      <c r="N62" s="194" t="n">
        <v>-0.165</v>
      </c>
      <c r="O62" s="194" t="n">
        <v>-0.195</v>
      </c>
      <c r="P62" s="192" t="n">
        <v>-0.195</v>
      </c>
      <c r="Q62" s="192" t="n">
        <v>-0.0625</v>
      </c>
      <c r="R62" s="192" t="n">
        <v>-0.055</v>
      </c>
      <c r="S62" s="192" t="n">
        <v>0.1675</v>
      </c>
      <c r="T62" s="192" t="n">
        <v>0.1675</v>
      </c>
      <c r="U62" s="192" t="n">
        <v>0.0725</v>
      </c>
      <c r="V62" s="192" t="n">
        <v>0.215</v>
      </c>
      <c r="W62" s="196" t="n">
        <v>0.1925</v>
      </c>
      <c r="X62" s="196" t="n">
        <v>0.2025</v>
      </c>
      <c r="Y62" s="196" t="n">
        <v>-0.0275</v>
      </c>
      <c r="Z62" s="196" t="n">
        <v>-0.02525</v>
      </c>
      <c r="AA62" s="196" t="n">
        <v>0.00475</v>
      </c>
      <c r="AB62" s="196" t="n">
        <v>-0.01275</v>
      </c>
      <c r="AC62" s="196" t="n">
        <v>0.005</v>
      </c>
      <c r="AD62" s="196" t="n">
        <v>-0.004</v>
      </c>
      <c r="AE62" s="196" t="n">
        <v>-0.06</v>
      </c>
      <c r="AF62" s="196" t="n">
        <v>-0.051</v>
      </c>
      <c r="AG62" s="197" t="n">
        <v>-0.0595</v>
      </c>
      <c r="AH62" s="196" t="n">
        <v>-0.016</v>
      </c>
      <c r="AI62" s="198" t="n">
        <v>-0.088</v>
      </c>
      <c r="AJ62" s="198" t="n">
        <v>-0.07</v>
      </c>
      <c r="AK62" s="199" t="n">
        <v>-0.0195</v>
      </c>
      <c r="AL62" s="192" t="n">
        <v>0.0085</v>
      </c>
      <c r="AM62" s="192" t="n">
        <v>0.395</v>
      </c>
      <c r="AN62" s="192" t="n">
        <v>0.02</v>
      </c>
      <c r="AO62" s="192" t="n">
        <v>-0.385</v>
      </c>
      <c r="AP62" s="192" t="n">
        <v>-0.12</v>
      </c>
      <c r="AQ62" s="192" t="n">
        <v>-0.17</v>
      </c>
      <c r="AR62" s="192" t="n">
        <v>-0.29</v>
      </c>
      <c r="AS62" s="192" t="n">
        <v>-0.335</v>
      </c>
      <c r="AT62" s="192" t="n">
        <v>-0.385</v>
      </c>
      <c r="AU62" s="192" t="n">
        <v>0.315</v>
      </c>
      <c r="AV62" s="192" t="n">
        <v>-0.385</v>
      </c>
      <c r="AW62" s="192" t="n">
        <v>-0.098</v>
      </c>
      <c r="AX62" s="192" t="n">
        <v>-0.0875</v>
      </c>
      <c r="AY62" s="192" t="n">
        <v>-0.098</v>
      </c>
      <c r="AZ62" s="192" t="n">
        <v>-0.055</v>
      </c>
      <c r="BA62" s="192" t="n">
        <v>-0.0855</v>
      </c>
      <c r="BB62" s="192" t="n">
        <v>-0.021</v>
      </c>
      <c r="BC62" s="192" t="n">
        <v>-0.06</v>
      </c>
      <c r="BD62" s="192" t="n">
        <v>-0.015</v>
      </c>
      <c r="BE62" s="192" t="n">
        <v>-0.06</v>
      </c>
      <c r="BF62" s="192" t="n">
        <v>0.12</v>
      </c>
      <c r="BG62" s="192" t="n">
        <v>0.1625</v>
      </c>
      <c r="BH62" s="192" t="n">
        <v>0.1975</v>
      </c>
      <c r="BI62" s="192" t="n">
        <v>0.1975</v>
      </c>
      <c r="BJ62" s="192" t="n">
        <v>0.2975</v>
      </c>
    </row>
    <row r="63" customFormat="false" ht="12.75" hidden="false" customHeight="false" outlineLevel="0" collapsed="false">
      <c r="A63" s="194" t="e">
        <f aca="false">#REF!-B63</f>
        <v>#REF!</v>
      </c>
      <c r="B63" s="194" t="n">
        <v>3.117</v>
      </c>
      <c r="C63" s="200" t="n">
        <v>38534</v>
      </c>
      <c r="D63" s="194" t="n">
        <v>3.036</v>
      </c>
      <c r="E63" s="194" t="n">
        <v>0.2325</v>
      </c>
      <c r="F63" s="194" t="n">
        <v>0.068133106678583</v>
      </c>
      <c r="G63" s="194" t="n">
        <v>-0.195</v>
      </c>
      <c r="H63" s="194" t="n">
        <v>-0.21</v>
      </c>
      <c r="I63" s="194" t="n">
        <v>-0.135</v>
      </c>
      <c r="J63" s="194" t="n">
        <v>-0.28</v>
      </c>
      <c r="K63" s="194" t="n">
        <v>-0.115</v>
      </c>
      <c r="L63" s="194" t="n">
        <v>-0.055</v>
      </c>
      <c r="M63" s="194" t="n">
        <v>-0.165</v>
      </c>
      <c r="N63" s="194" t="n">
        <v>-0.165</v>
      </c>
      <c r="O63" s="194" t="n">
        <v>-0.195</v>
      </c>
      <c r="P63" s="192" t="n">
        <v>-0.195</v>
      </c>
      <c r="Q63" s="192" t="n">
        <v>-0.06125</v>
      </c>
      <c r="R63" s="192" t="n">
        <v>-0.055</v>
      </c>
      <c r="S63" s="192" t="n">
        <v>0.1575</v>
      </c>
      <c r="T63" s="192" t="n">
        <v>0.1575</v>
      </c>
      <c r="U63" s="192" t="n">
        <v>0.0625</v>
      </c>
      <c r="V63" s="192" t="n">
        <v>0.215</v>
      </c>
      <c r="W63" s="196" t="n">
        <v>0.1925</v>
      </c>
      <c r="X63" s="196" t="n">
        <v>0.215</v>
      </c>
      <c r="Y63" s="196" t="n">
        <v>-0.0275</v>
      </c>
      <c r="Z63" s="196" t="n">
        <v>-0.02525</v>
      </c>
      <c r="AA63" s="196" t="n">
        <v>0.00475</v>
      </c>
      <c r="AB63" s="196" t="n">
        <v>-0.01275</v>
      </c>
      <c r="AC63" s="196" t="n">
        <v>0.005</v>
      </c>
      <c r="AD63" s="196" t="n">
        <v>-0.004</v>
      </c>
      <c r="AE63" s="196" t="n">
        <v>-0.06</v>
      </c>
      <c r="AF63" s="196" t="n">
        <v>-0.051</v>
      </c>
      <c r="AG63" s="197" t="n">
        <v>-0.0595</v>
      </c>
      <c r="AH63" s="196" t="n">
        <v>-0.016</v>
      </c>
      <c r="AI63" s="198" t="n">
        <v>-0.081</v>
      </c>
      <c r="AJ63" s="198" t="n">
        <v>-0.0675</v>
      </c>
      <c r="AK63" s="199" t="n">
        <v>-0.0195</v>
      </c>
      <c r="AL63" s="192" t="n">
        <v>0.0085</v>
      </c>
      <c r="AM63" s="192" t="n">
        <v>0.43</v>
      </c>
      <c r="AN63" s="192" t="n">
        <v>0.0225</v>
      </c>
      <c r="AO63" s="192" t="n">
        <v>-0.385</v>
      </c>
      <c r="AP63" s="192" t="n">
        <v>-0.12</v>
      </c>
      <c r="AQ63" s="192" t="n">
        <v>-0.17</v>
      </c>
      <c r="AR63" s="192" t="n">
        <v>-0.29</v>
      </c>
      <c r="AS63" s="192" t="n">
        <v>-0.335</v>
      </c>
      <c r="AT63" s="192" t="n">
        <v>-0.385</v>
      </c>
      <c r="AU63" s="192" t="n">
        <v>0.315</v>
      </c>
      <c r="AV63" s="192" t="n">
        <v>-0.385</v>
      </c>
      <c r="AW63" s="192" t="n">
        <v>-0.1055</v>
      </c>
      <c r="AX63" s="192" t="n">
        <v>-0.0875</v>
      </c>
      <c r="AY63" s="192" t="n">
        <v>-0.1055</v>
      </c>
      <c r="AZ63" s="192" t="n">
        <v>-0.055</v>
      </c>
      <c r="BA63" s="192" t="n">
        <v>-0.0805</v>
      </c>
      <c r="BB63" s="192" t="n">
        <v>-0.021</v>
      </c>
      <c r="BC63" s="192" t="n">
        <v>-0.06</v>
      </c>
      <c r="BD63" s="192" t="n">
        <v>-0.0125</v>
      </c>
      <c r="BE63" s="192" t="n">
        <v>-0.06</v>
      </c>
      <c r="BF63" s="192" t="n">
        <v>0.12</v>
      </c>
      <c r="BG63" s="192" t="n">
        <v>0.1625</v>
      </c>
      <c r="BH63" s="192" t="n">
        <v>0.1875</v>
      </c>
      <c r="BI63" s="192" t="n">
        <v>0.1875</v>
      </c>
      <c r="BJ63" s="192" t="n">
        <v>0.31</v>
      </c>
    </row>
    <row r="64" customFormat="false" ht="12.75" hidden="false" customHeight="false" outlineLevel="0" collapsed="false">
      <c r="A64" s="194" t="e">
        <f aca="false">#REF!-B64</f>
        <v>#REF!</v>
      </c>
      <c r="B64" s="194" t="n">
        <v>3.091</v>
      </c>
      <c r="C64" s="200" t="n">
        <v>38565</v>
      </c>
      <c r="D64" s="194" t="n">
        <v>3.043</v>
      </c>
      <c r="E64" s="194" t="n">
        <v>0.2325</v>
      </c>
      <c r="F64" s="194" t="n">
        <v>0.068183967141829</v>
      </c>
      <c r="G64" s="194" t="n">
        <v>-0.195</v>
      </c>
      <c r="H64" s="194" t="n">
        <v>-0.21</v>
      </c>
      <c r="I64" s="194" t="n">
        <v>-0.135</v>
      </c>
      <c r="J64" s="194" t="n">
        <v>-0.28</v>
      </c>
      <c r="K64" s="194" t="n">
        <v>-0.115</v>
      </c>
      <c r="L64" s="194" t="n">
        <v>-0.055</v>
      </c>
      <c r="M64" s="194" t="n">
        <v>-0.165</v>
      </c>
      <c r="N64" s="194" t="n">
        <v>-0.165</v>
      </c>
      <c r="O64" s="194" t="n">
        <v>-0.195</v>
      </c>
      <c r="P64" s="192" t="n">
        <v>-0.195</v>
      </c>
      <c r="Q64" s="192" t="n">
        <v>-0.06</v>
      </c>
      <c r="R64" s="192" t="n">
        <v>-0.055</v>
      </c>
      <c r="S64" s="192" t="n">
        <v>0.155</v>
      </c>
      <c r="T64" s="192" t="n">
        <v>0.155</v>
      </c>
      <c r="U64" s="192" t="n">
        <v>0.06</v>
      </c>
      <c r="V64" s="192" t="n">
        <v>0.215</v>
      </c>
      <c r="W64" s="196" t="n">
        <v>0.1925</v>
      </c>
      <c r="X64" s="196" t="n">
        <v>0.215</v>
      </c>
      <c r="Y64" s="196" t="n">
        <v>-0.0275</v>
      </c>
      <c r="Z64" s="196" t="n">
        <v>-0.02525</v>
      </c>
      <c r="AA64" s="196" t="n">
        <v>0.00475</v>
      </c>
      <c r="AB64" s="196" t="n">
        <v>-0.01275</v>
      </c>
      <c r="AC64" s="196" t="n">
        <v>0.005</v>
      </c>
      <c r="AD64" s="196" t="n">
        <v>-0.004</v>
      </c>
      <c r="AE64" s="196" t="n">
        <v>-0.06</v>
      </c>
      <c r="AF64" s="196" t="n">
        <v>-0.051</v>
      </c>
      <c r="AG64" s="197" t="n">
        <v>-0.0595</v>
      </c>
      <c r="AH64" s="196" t="n">
        <v>-0.016</v>
      </c>
      <c r="AI64" s="198" t="n">
        <v>-0.062</v>
      </c>
      <c r="AJ64" s="198" t="n">
        <v>-0.065</v>
      </c>
      <c r="AK64" s="199" t="n">
        <v>-0.0195</v>
      </c>
      <c r="AL64" s="192" t="n">
        <v>0.0085</v>
      </c>
      <c r="AM64" s="192" t="n">
        <v>0.495</v>
      </c>
      <c r="AN64" s="192" t="n">
        <v>0.025</v>
      </c>
      <c r="AO64" s="192" t="n">
        <v>-0.385</v>
      </c>
      <c r="AP64" s="192" t="n">
        <v>-0.12</v>
      </c>
      <c r="AQ64" s="192" t="n">
        <v>-0.17</v>
      </c>
      <c r="AR64" s="192" t="n">
        <v>-0.29</v>
      </c>
      <c r="AS64" s="192" t="n">
        <v>-0.335</v>
      </c>
      <c r="AT64" s="192" t="n">
        <v>-0.385</v>
      </c>
      <c r="AU64" s="192" t="n">
        <v>0.315</v>
      </c>
      <c r="AV64" s="192" t="n">
        <v>-0.385</v>
      </c>
      <c r="AW64" s="192" t="n">
        <v>-0.093</v>
      </c>
      <c r="AX64" s="192" t="n">
        <v>-0.0875</v>
      </c>
      <c r="AY64" s="192" t="n">
        <v>-0.093</v>
      </c>
      <c r="AZ64" s="192" t="n">
        <v>-0.055</v>
      </c>
      <c r="BA64" s="192" t="n">
        <v>-0.0805</v>
      </c>
      <c r="BB64" s="192" t="n">
        <v>-0.021</v>
      </c>
      <c r="BC64" s="192" t="n">
        <v>-0.06</v>
      </c>
      <c r="BD64" s="192" t="n">
        <v>-0.01</v>
      </c>
      <c r="BE64" s="192" t="n">
        <v>-0.06</v>
      </c>
      <c r="BF64" s="192" t="n">
        <v>0.12</v>
      </c>
      <c r="BG64" s="192" t="n">
        <v>0.1625</v>
      </c>
      <c r="BH64" s="192" t="n">
        <v>0.185</v>
      </c>
      <c r="BI64" s="192" t="n">
        <v>0.185</v>
      </c>
      <c r="BJ64" s="192" t="n">
        <v>0.31</v>
      </c>
    </row>
    <row r="65" customFormat="false" ht="12.75" hidden="false" customHeight="false" outlineLevel="0" collapsed="false">
      <c r="A65" s="194" t="e">
        <f aca="false">#REF!-B65</f>
        <v>#REF!</v>
      </c>
      <c r="B65" s="194" t="n">
        <v>3.073</v>
      </c>
      <c r="C65" s="200" t="n">
        <v>38596</v>
      </c>
      <c r="D65" s="194" t="n">
        <v>3.031</v>
      </c>
      <c r="E65" s="194" t="n">
        <v>0.2325</v>
      </c>
      <c r="F65" s="194" t="n">
        <v>0.068234827605931</v>
      </c>
      <c r="G65" s="194" t="n">
        <v>-0.195</v>
      </c>
      <c r="H65" s="194" t="n">
        <v>-0.21</v>
      </c>
      <c r="I65" s="194" t="n">
        <v>-0.125</v>
      </c>
      <c r="J65" s="194" t="n">
        <v>-0.28</v>
      </c>
      <c r="K65" s="194" t="n">
        <v>-0.105</v>
      </c>
      <c r="L65" s="194" t="n">
        <v>-0.055</v>
      </c>
      <c r="M65" s="194" t="n">
        <v>-0.165</v>
      </c>
      <c r="N65" s="194" t="n">
        <v>-0.165</v>
      </c>
      <c r="O65" s="194" t="n">
        <v>-0.195</v>
      </c>
      <c r="P65" s="192" t="n">
        <v>-0.195</v>
      </c>
      <c r="Q65" s="192" t="n">
        <v>-0.06375</v>
      </c>
      <c r="R65" s="192" t="n">
        <v>-0.055</v>
      </c>
      <c r="S65" s="192" t="n">
        <v>0.1525</v>
      </c>
      <c r="T65" s="192" t="n">
        <v>0.1525</v>
      </c>
      <c r="U65" s="192" t="n">
        <v>0.0575</v>
      </c>
      <c r="V65" s="192" t="n">
        <v>0.215</v>
      </c>
      <c r="W65" s="196" t="n">
        <v>0.1925</v>
      </c>
      <c r="X65" s="196" t="n">
        <v>0.195</v>
      </c>
      <c r="Y65" s="196" t="n">
        <v>-0.0275</v>
      </c>
      <c r="Z65" s="196" t="n">
        <v>-0.02525</v>
      </c>
      <c r="AA65" s="196" t="n">
        <v>0.00475</v>
      </c>
      <c r="AB65" s="196" t="n">
        <v>-0.01275</v>
      </c>
      <c r="AC65" s="196" t="n">
        <v>0.005</v>
      </c>
      <c r="AD65" s="196" t="n">
        <v>-0.004</v>
      </c>
      <c r="AE65" s="196" t="n">
        <v>-0.06</v>
      </c>
      <c r="AF65" s="196" t="n">
        <v>-0.051</v>
      </c>
      <c r="AG65" s="197" t="n">
        <v>-0.0595</v>
      </c>
      <c r="AH65" s="196" t="n">
        <v>-0.016</v>
      </c>
      <c r="AI65" s="198" t="n">
        <v>-0.06</v>
      </c>
      <c r="AJ65" s="198" t="n">
        <v>-0.0725</v>
      </c>
      <c r="AK65" s="199" t="n">
        <v>-0.0195</v>
      </c>
      <c r="AL65" s="192" t="n">
        <v>0.0085</v>
      </c>
      <c r="AM65" s="192" t="n">
        <v>0.395</v>
      </c>
      <c r="AN65" s="192" t="n">
        <v>0.0175</v>
      </c>
      <c r="AO65" s="192" t="n">
        <v>-0.385</v>
      </c>
      <c r="AP65" s="192" t="n">
        <v>-0.12</v>
      </c>
      <c r="AQ65" s="192" t="n">
        <v>-0.17</v>
      </c>
      <c r="AR65" s="192" t="n">
        <v>-0.29</v>
      </c>
      <c r="AS65" s="192" t="n">
        <v>-0.335</v>
      </c>
      <c r="AT65" s="192" t="n">
        <v>-0.385</v>
      </c>
      <c r="AU65" s="192" t="n">
        <v>0.315</v>
      </c>
      <c r="AV65" s="192" t="n">
        <v>-0.385</v>
      </c>
      <c r="AW65" s="192" t="n">
        <v>-0.098</v>
      </c>
      <c r="AX65" s="192" t="n">
        <v>-0.0875</v>
      </c>
      <c r="AY65" s="192" t="n">
        <v>-0.098</v>
      </c>
      <c r="AZ65" s="192" t="n">
        <v>-0.055</v>
      </c>
      <c r="BA65" s="192" t="n">
        <v>-0.0955</v>
      </c>
      <c r="BB65" s="192" t="n">
        <v>-0.021</v>
      </c>
      <c r="BC65" s="192" t="n">
        <v>-0.06</v>
      </c>
      <c r="BD65" s="192" t="n">
        <v>-0.0175</v>
      </c>
      <c r="BE65" s="192" t="n">
        <v>-0.06</v>
      </c>
      <c r="BF65" s="192" t="n">
        <v>0.12</v>
      </c>
      <c r="BG65" s="192" t="n">
        <v>0.1625</v>
      </c>
      <c r="BH65" s="192" t="n">
        <v>0.1825</v>
      </c>
      <c r="BI65" s="192" t="n">
        <v>0.1825</v>
      </c>
      <c r="BJ65" s="192" t="n">
        <v>0.3</v>
      </c>
    </row>
    <row r="66" customFormat="false" ht="12.75" hidden="false" customHeight="false" outlineLevel="0" collapsed="false">
      <c r="A66" s="194" t="e">
        <f aca="false">#REF!-B66</f>
        <v>#REF!</v>
      </c>
      <c r="B66" s="194" t="n">
        <v>3.138</v>
      </c>
      <c r="C66" s="200" t="n">
        <v>38626</v>
      </c>
      <c r="D66" s="194" t="n">
        <v>3.052</v>
      </c>
      <c r="E66" s="194" t="n">
        <v>0.2325</v>
      </c>
      <c r="F66" s="194" t="n">
        <v>0.068284220896026</v>
      </c>
      <c r="G66" s="194" t="n">
        <v>-0.195</v>
      </c>
      <c r="H66" s="194" t="n">
        <v>-0.21</v>
      </c>
      <c r="I66" s="194" t="n">
        <v>-0.11</v>
      </c>
      <c r="J66" s="194" t="n">
        <v>-0.28</v>
      </c>
      <c r="K66" s="194" t="n">
        <v>-0.09</v>
      </c>
      <c r="L66" s="194" t="n">
        <v>-0.055</v>
      </c>
      <c r="M66" s="194" t="n">
        <v>-0.165</v>
      </c>
      <c r="N66" s="194" t="n">
        <v>-0.165</v>
      </c>
      <c r="O66" s="194" t="n">
        <v>-0.195</v>
      </c>
      <c r="P66" s="192" t="n">
        <v>-0.195</v>
      </c>
      <c r="Q66" s="192" t="n">
        <v>-0.06875</v>
      </c>
      <c r="R66" s="192" t="n">
        <v>-0.055</v>
      </c>
      <c r="S66" s="192" t="n">
        <v>0.1675</v>
      </c>
      <c r="T66" s="192" t="n">
        <v>0.1675</v>
      </c>
      <c r="U66" s="192" t="n">
        <v>0.0725</v>
      </c>
      <c r="V66" s="192" t="n">
        <v>0.215</v>
      </c>
      <c r="W66" s="196" t="n">
        <v>0.1975</v>
      </c>
      <c r="X66" s="196" t="n">
        <v>0.215</v>
      </c>
      <c r="Y66" s="196" t="n">
        <v>-0.0275</v>
      </c>
      <c r="Z66" s="196" t="n">
        <v>-0.02525</v>
      </c>
      <c r="AA66" s="196" t="n">
        <v>0.00475</v>
      </c>
      <c r="AB66" s="196" t="n">
        <v>-0.01275</v>
      </c>
      <c r="AC66" s="196" t="n">
        <v>0.005</v>
      </c>
      <c r="AD66" s="196" t="n">
        <v>-0.004</v>
      </c>
      <c r="AE66" s="196" t="n">
        <v>-0.06</v>
      </c>
      <c r="AF66" s="196" t="n">
        <v>-0.051</v>
      </c>
      <c r="AG66" s="197" t="n">
        <v>-0.0595</v>
      </c>
      <c r="AH66" s="196" t="n">
        <v>-0.016</v>
      </c>
      <c r="AI66" s="198" t="n">
        <v>-0.062</v>
      </c>
      <c r="AJ66" s="198" t="n">
        <v>-0.0825</v>
      </c>
      <c r="AK66" s="199" t="n">
        <v>-0.0195</v>
      </c>
      <c r="AL66" s="192" t="n">
        <v>0.0085</v>
      </c>
      <c r="AM66" s="192" t="n">
        <v>0.461</v>
      </c>
      <c r="AN66" s="192" t="n">
        <v>0.0075</v>
      </c>
      <c r="AO66" s="192" t="n">
        <v>-0.385</v>
      </c>
      <c r="AP66" s="192" t="n">
        <v>-0.12</v>
      </c>
      <c r="AQ66" s="192" t="n">
        <v>-0.17</v>
      </c>
      <c r="AR66" s="192" t="n">
        <v>-0.29</v>
      </c>
      <c r="AS66" s="192" t="n">
        <v>-0.335</v>
      </c>
      <c r="AT66" s="192" t="n">
        <v>-0.385</v>
      </c>
      <c r="AU66" s="192" t="n">
        <v>0.315</v>
      </c>
      <c r="AV66" s="192" t="n">
        <v>-0.385</v>
      </c>
      <c r="AW66" s="192" t="n">
        <v>-0.108</v>
      </c>
      <c r="AX66" s="192" t="n">
        <v>-0.0875</v>
      </c>
      <c r="AY66" s="192" t="n">
        <v>-0.108</v>
      </c>
      <c r="AZ66" s="192" t="n">
        <v>-0.055</v>
      </c>
      <c r="BA66" s="192" t="n">
        <v>-0.098</v>
      </c>
      <c r="BB66" s="192" t="n">
        <v>-0.021</v>
      </c>
      <c r="BC66" s="192" t="n">
        <v>-0.06</v>
      </c>
      <c r="BD66" s="192" t="n">
        <v>-0.0275</v>
      </c>
      <c r="BE66" s="192" t="n">
        <v>-0.06</v>
      </c>
      <c r="BF66" s="192" t="n">
        <v>0.12</v>
      </c>
      <c r="BG66" s="192" t="n">
        <v>0.1625</v>
      </c>
      <c r="BH66" s="192" t="n">
        <v>0.1975</v>
      </c>
      <c r="BI66" s="192" t="n">
        <v>0.1975</v>
      </c>
      <c r="BJ66" s="192" t="n">
        <v>0.37253</v>
      </c>
    </row>
    <row r="67" customFormat="false" ht="12.75" hidden="false" customHeight="false" outlineLevel="0" collapsed="false">
      <c r="A67" s="194" t="e">
        <f aca="false">#REF!-B67</f>
        <v>#REF!</v>
      </c>
      <c r="B67" s="194" t="n">
        <v>3.133</v>
      </c>
      <c r="C67" s="200" t="n">
        <v>38657</v>
      </c>
      <c r="D67" s="194" t="n">
        <v>3.134</v>
      </c>
      <c r="E67" s="194" t="n">
        <v>0.2325</v>
      </c>
      <c r="F67" s="194" t="n">
        <v>0.068335570274971</v>
      </c>
      <c r="G67" s="194" t="n">
        <v>-0.19</v>
      </c>
      <c r="H67" s="194" t="n">
        <v>-0.205</v>
      </c>
      <c r="I67" s="194" t="n">
        <v>-0.045</v>
      </c>
      <c r="J67" s="194" t="n">
        <v>-0.275</v>
      </c>
      <c r="K67" s="194" t="n">
        <v>-0.025</v>
      </c>
      <c r="L67" s="194" t="n">
        <v>-0.06</v>
      </c>
      <c r="M67" s="194" t="n">
        <v>-0.16</v>
      </c>
      <c r="N67" s="194" t="n">
        <v>-0.16</v>
      </c>
      <c r="O67" s="194" t="n">
        <v>-0.19</v>
      </c>
      <c r="P67" s="192" t="n">
        <v>-0.19</v>
      </c>
      <c r="Q67" s="192" t="n">
        <v>-0.09125</v>
      </c>
      <c r="R67" s="192" t="n">
        <v>-0.06</v>
      </c>
      <c r="S67" s="192" t="n">
        <v>0.225</v>
      </c>
      <c r="T67" s="192" t="n">
        <v>0.225</v>
      </c>
      <c r="U67" s="192" t="n">
        <v>0.13</v>
      </c>
      <c r="V67" s="192" t="n">
        <v>0.04</v>
      </c>
      <c r="W67" s="196" t="n">
        <v>0.2725</v>
      </c>
      <c r="X67" s="196" t="n">
        <v>0.315</v>
      </c>
      <c r="Y67" s="196" t="n">
        <v>-0.0305</v>
      </c>
      <c r="Z67" s="196" t="n">
        <v>-0.0425</v>
      </c>
      <c r="AA67" s="196" t="n">
        <v>-0.0135</v>
      </c>
      <c r="AB67" s="196" t="n">
        <v>-0.031</v>
      </c>
      <c r="AC67" s="196" t="n">
        <v>0.005</v>
      </c>
      <c r="AD67" s="196" t="n">
        <v>-0.007</v>
      </c>
      <c r="AE67" s="196" t="n">
        <v>-0.06</v>
      </c>
      <c r="AF67" s="196" t="n">
        <v>-0.046</v>
      </c>
      <c r="AG67" s="197" t="n">
        <v>-0.0575</v>
      </c>
      <c r="AH67" s="196" t="n">
        <v>-0.0175</v>
      </c>
      <c r="AI67" s="198" t="n">
        <v>-0.0745</v>
      </c>
      <c r="AJ67" s="198" t="n">
        <v>-0.1225</v>
      </c>
      <c r="AK67" s="199" t="n">
        <v>-0.0145</v>
      </c>
      <c r="AL67" s="192" t="n">
        <v>0.0135</v>
      </c>
      <c r="AM67" s="192" t="n">
        <v>0.885</v>
      </c>
      <c r="AN67" s="192" t="n">
        <v>-0.0325</v>
      </c>
      <c r="AO67" s="192" t="n">
        <v>-0.31</v>
      </c>
      <c r="AP67" s="192" t="n">
        <v>-0.1325</v>
      </c>
      <c r="AQ67" s="192" t="n">
        <v>-0.17</v>
      </c>
      <c r="AR67" s="192" t="n">
        <v>0</v>
      </c>
      <c r="AS67" s="192" t="n">
        <v>-0.26</v>
      </c>
      <c r="AT67" s="192" t="n">
        <v>-0.31</v>
      </c>
      <c r="AU67" s="192" t="n">
        <v>0.14</v>
      </c>
      <c r="AV67" s="192" t="n">
        <v>-0.31</v>
      </c>
      <c r="AW67" s="192" t="n">
        <v>-0.1205</v>
      </c>
      <c r="AX67" s="192" t="n">
        <v>-0.125</v>
      </c>
      <c r="AY67" s="192" t="n">
        <v>-0.1205</v>
      </c>
      <c r="AZ67" s="192" t="n">
        <v>-0.06</v>
      </c>
      <c r="BA67" s="192" t="n">
        <v>-0.103</v>
      </c>
      <c r="BB67" s="192" t="n">
        <v>-0.0225</v>
      </c>
      <c r="BC67" s="192" t="n">
        <v>-0.08</v>
      </c>
      <c r="BD67" s="192" t="n">
        <v>-0.0675</v>
      </c>
      <c r="BE67" s="192" t="n">
        <v>-0.06</v>
      </c>
      <c r="BF67" s="192" t="n">
        <v>0.09</v>
      </c>
      <c r="BG67" s="192" t="n">
        <v>0.295</v>
      </c>
      <c r="BH67" s="192" t="n">
        <v>0.27</v>
      </c>
      <c r="BI67" s="192" t="n">
        <v>0.27</v>
      </c>
      <c r="BJ67" s="192" t="n">
        <v>0.56</v>
      </c>
    </row>
    <row r="68" customFormat="false" ht="12.75" hidden="false" customHeight="false" outlineLevel="0" collapsed="false">
      <c r="A68" s="194" t="e">
        <f aca="false">#REF!-B68</f>
        <v>#REF!</v>
      </c>
      <c r="B68" s="194" t="n">
        <v>3.121</v>
      </c>
      <c r="C68" s="200" t="n">
        <v>38687</v>
      </c>
      <c r="D68" s="194" t="n">
        <v>3.204</v>
      </c>
      <c r="E68" s="194" t="n">
        <v>0.235</v>
      </c>
      <c r="F68" s="194" t="n">
        <v>0.068385263223168</v>
      </c>
      <c r="G68" s="194" t="n">
        <v>-0.1975</v>
      </c>
      <c r="H68" s="194" t="n">
        <v>-0.2125</v>
      </c>
      <c r="I68" s="194" t="n">
        <v>-0.0375</v>
      </c>
      <c r="J68" s="194" t="n">
        <v>-0.2825</v>
      </c>
      <c r="K68" s="194" t="n">
        <v>-0.0175</v>
      </c>
      <c r="L68" s="194" t="n">
        <v>-0.06</v>
      </c>
      <c r="M68" s="194" t="n">
        <v>-0.1675</v>
      </c>
      <c r="N68" s="194" t="n">
        <v>-0.1675</v>
      </c>
      <c r="O68" s="194" t="n">
        <v>-0.1975</v>
      </c>
      <c r="P68" s="192" t="n">
        <v>-0.1975</v>
      </c>
      <c r="Q68" s="192" t="n">
        <v>-0.1025</v>
      </c>
      <c r="R68" s="192" t="n">
        <v>-0.06</v>
      </c>
      <c r="S68" s="192" t="n">
        <v>0.265</v>
      </c>
      <c r="T68" s="192" t="n">
        <v>0.265</v>
      </c>
      <c r="U68" s="192" t="n">
        <v>0.17</v>
      </c>
      <c r="V68" s="192" t="n">
        <v>0.04</v>
      </c>
      <c r="W68" s="196" t="n">
        <v>0.3075</v>
      </c>
      <c r="X68" s="196" t="n">
        <v>0.395</v>
      </c>
      <c r="Y68" s="196" t="n">
        <v>-0.0305</v>
      </c>
      <c r="Z68" s="196" t="n">
        <v>-0.035</v>
      </c>
      <c r="AA68" s="196" t="n">
        <v>-0.0135</v>
      </c>
      <c r="AB68" s="196" t="n">
        <v>-0.031</v>
      </c>
      <c r="AC68" s="196" t="n">
        <v>0.005</v>
      </c>
      <c r="AD68" s="196" t="n">
        <v>-0.007</v>
      </c>
      <c r="AE68" s="196" t="n">
        <v>-0.06</v>
      </c>
      <c r="AF68" s="196" t="n">
        <v>-0.046</v>
      </c>
      <c r="AG68" s="197" t="n">
        <v>-0.0575</v>
      </c>
      <c r="AH68" s="196" t="n">
        <v>-0.0175</v>
      </c>
      <c r="AI68" s="198" t="n">
        <v>-0.0745</v>
      </c>
      <c r="AJ68" s="198" t="n">
        <v>-0.145</v>
      </c>
      <c r="AK68" s="199" t="n">
        <v>-0.0145</v>
      </c>
      <c r="AL68" s="192" t="n">
        <v>0.0135</v>
      </c>
      <c r="AM68" s="192" t="n">
        <v>1.31</v>
      </c>
      <c r="AN68" s="192" t="n">
        <v>-0.055</v>
      </c>
      <c r="AO68" s="192" t="n">
        <v>-0.31</v>
      </c>
      <c r="AP68" s="192" t="n">
        <v>-0.1275</v>
      </c>
      <c r="AQ68" s="192" t="n">
        <v>-0.17</v>
      </c>
      <c r="AR68" s="192" t="n">
        <v>0.06</v>
      </c>
      <c r="AS68" s="192" t="n">
        <v>-0.26</v>
      </c>
      <c r="AT68" s="192" t="n">
        <v>-0.31</v>
      </c>
      <c r="AU68" s="192" t="n">
        <v>0.14</v>
      </c>
      <c r="AV68" s="192" t="n">
        <v>-0.31</v>
      </c>
      <c r="AW68" s="192" t="n">
        <v>-0.1455</v>
      </c>
      <c r="AX68" s="192" t="n">
        <v>-0.125</v>
      </c>
      <c r="AY68" s="192" t="n">
        <v>-0.1455</v>
      </c>
      <c r="AZ68" s="192" t="n">
        <v>-0.06</v>
      </c>
      <c r="BA68" s="192" t="n">
        <v>-0.1355</v>
      </c>
      <c r="BB68" s="192" t="n">
        <v>-0.0225</v>
      </c>
      <c r="BC68" s="192" t="n">
        <v>-0.08</v>
      </c>
      <c r="BD68" s="192" t="n">
        <v>-0.09</v>
      </c>
      <c r="BE68" s="192" t="n">
        <v>-0.06</v>
      </c>
      <c r="BF68" s="192" t="n">
        <v>0.09</v>
      </c>
      <c r="BG68" s="192" t="n">
        <v>0.25</v>
      </c>
      <c r="BH68" s="192" t="n">
        <v>0.31</v>
      </c>
      <c r="BI68" s="192" t="n">
        <v>0.31</v>
      </c>
      <c r="BJ68" s="192" t="n">
        <v>0.91</v>
      </c>
    </row>
    <row r="69" customFormat="false" ht="12.75" hidden="false" customHeight="false" outlineLevel="0" collapsed="false">
      <c r="A69" s="194" t="e">
        <f aca="false">#REF!-B69</f>
        <v>#REF!</v>
      </c>
      <c r="B69" s="194" t="n">
        <v>3.137</v>
      </c>
      <c r="C69" s="200" t="n">
        <v>38718</v>
      </c>
      <c r="D69" s="194" t="n">
        <v>3.558</v>
      </c>
      <c r="E69" s="194" t="n">
        <v>0.235</v>
      </c>
      <c r="F69" s="194" t="n">
        <v>0.06843661260383</v>
      </c>
      <c r="G69" s="194" t="n">
        <v>-0.2</v>
      </c>
      <c r="H69" s="194" t="n">
        <v>-0.215</v>
      </c>
      <c r="I69" s="194" t="n">
        <v>-0.0225</v>
      </c>
      <c r="J69" s="194" t="n">
        <v>-0.265</v>
      </c>
      <c r="K69" s="194" t="n">
        <v>-0.0025</v>
      </c>
      <c r="L69" s="194" t="n">
        <v>-0.06</v>
      </c>
      <c r="M69" s="194" t="n">
        <v>-0.17</v>
      </c>
      <c r="N69" s="194" t="n">
        <v>-0.17</v>
      </c>
      <c r="O69" s="194" t="n">
        <v>-0.2</v>
      </c>
      <c r="P69" s="192" t="n">
        <v>-0.2</v>
      </c>
      <c r="Q69" s="192" t="n">
        <v>-0.10375</v>
      </c>
      <c r="R69" s="192" t="n">
        <v>-0.06</v>
      </c>
      <c r="S69" s="192" t="n">
        <v>0.31</v>
      </c>
      <c r="T69" s="192" t="n">
        <v>0.31</v>
      </c>
      <c r="U69" s="192" t="n">
        <v>0.215</v>
      </c>
      <c r="V69" s="192" t="n">
        <v>0.04</v>
      </c>
      <c r="W69" s="196" t="n">
        <v>0.3125</v>
      </c>
      <c r="X69" s="196" t="n">
        <v>0.465</v>
      </c>
      <c r="Y69" s="196" t="n">
        <v>-0.026</v>
      </c>
      <c r="Z69" s="196" t="n">
        <v>-0.035</v>
      </c>
      <c r="AA69" s="196" t="n">
        <v>-0.0135</v>
      </c>
      <c r="AB69" s="196" t="n">
        <v>-0.031</v>
      </c>
      <c r="AC69" s="196" t="n">
        <v>0.005</v>
      </c>
      <c r="AD69" s="196" t="n">
        <v>-0.007</v>
      </c>
      <c r="AE69" s="196" t="n">
        <v>-0.06</v>
      </c>
      <c r="AF69" s="196" t="n">
        <v>-0.044</v>
      </c>
      <c r="AG69" s="197" t="n">
        <v>-0.0575</v>
      </c>
      <c r="AH69" s="196" t="n">
        <v>-0.0175</v>
      </c>
      <c r="AI69" s="198" t="n">
        <v>-0.0675</v>
      </c>
      <c r="AJ69" s="198" t="n">
        <v>-0.1475</v>
      </c>
      <c r="AK69" s="199" t="n">
        <v>-0.01</v>
      </c>
      <c r="AL69" s="192" t="n">
        <v>0.0135</v>
      </c>
      <c r="AM69" s="192" t="n">
        <v>1.645</v>
      </c>
      <c r="AN69" s="192" t="n">
        <v>-0.0575</v>
      </c>
      <c r="AO69" s="192" t="n">
        <v>-0.31</v>
      </c>
      <c r="AP69" s="192" t="n">
        <v>-0.1275</v>
      </c>
      <c r="AQ69" s="192" t="n">
        <v>-0.17</v>
      </c>
      <c r="AR69" s="192" t="n">
        <v>0.13</v>
      </c>
      <c r="AS69" s="192" t="n">
        <v>-0.26</v>
      </c>
      <c r="AT69" s="192" t="n">
        <v>-0.31</v>
      </c>
      <c r="AU69" s="192" t="n">
        <v>0.14</v>
      </c>
      <c r="AV69" s="192" t="n">
        <v>-0.31</v>
      </c>
      <c r="AW69" s="192" t="n">
        <v>-0.1305</v>
      </c>
      <c r="AX69" s="192" t="n">
        <v>-0.125</v>
      </c>
      <c r="AY69" s="192" t="n">
        <v>-0.1305</v>
      </c>
      <c r="AZ69" s="192" t="n">
        <v>-0.06</v>
      </c>
      <c r="BA69" s="192" t="n">
        <v>-0.141</v>
      </c>
      <c r="BB69" s="192" t="n">
        <v>-0.0225</v>
      </c>
      <c r="BC69" s="192" t="n">
        <v>-0.08</v>
      </c>
      <c r="BD69" s="192" t="n">
        <v>-0.0925</v>
      </c>
      <c r="BE69" s="192" t="n">
        <v>-0.06</v>
      </c>
      <c r="BF69" s="192" t="n">
        <v>0.09</v>
      </c>
      <c r="BG69" s="192" t="n">
        <v>0.33</v>
      </c>
      <c r="BH69" s="192" t="n">
        <v>0.355</v>
      </c>
      <c r="BI69" s="192" t="n">
        <v>0.355</v>
      </c>
      <c r="BJ69" s="192" t="n">
        <v>1.235</v>
      </c>
    </row>
    <row r="70" customFormat="false" ht="12.75" hidden="false" customHeight="false" outlineLevel="0" collapsed="false">
      <c r="A70" s="194" t="e">
        <f aca="false">#REF!-B70</f>
        <v>#REF!</v>
      </c>
      <c r="B70" s="194" t="n">
        <v>3.239</v>
      </c>
      <c r="C70" s="200" t="n">
        <v>38749</v>
      </c>
      <c r="D70" s="194" t="n">
        <v>3.408</v>
      </c>
      <c r="E70" s="194" t="n">
        <v>0.2325</v>
      </c>
      <c r="F70" s="194" t="n">
        <v>0.068487961985365</v>
      </c>
      <c r="G70" s="194" t="n">
        <v>-0.2025</v>
      </c>
      <c r="H70" s="194" t="n">
        <v>-0.2175</v>
      </c>
      <c r="I70" s="194" t="n">
        <v>-0.0225</v>
      </c>
      <c r="J70" s="194" t="n">
        <v>-0.2675</v>
      </c>
      <c r="K70" s="194" t="n">
        <v>-0.0025</v>
      </c>
      <c r="L70" s="194" t="n">
        <v>-0.06</v>
      </c>
      <c r="M70" s="194" t="n">
        <v>-0.1725</v>
      </c>
      <c r="N70" s="194" t="n">
        <v>-0.1725</v>
      </c>
      <c r="O70" s="194" t="n">
        <v>-0.2025</v>
      </c>
      <c r="P70" s="192" t="n">
        <v>-0.2025</v>
      </c>
      <c r="Q70" s="192" t="n">
        <v>-0.095</v>
      </c>
      <c r="R70" s="192" t="n">
        <v>-0.06</v>
      </c>
      <c r="S70" s="192" t="n">
        <v>0.285</v>
      </c>
      <c r="T70" s="192" t="n">
        <v>0.285</v>
      </c>
      <c r="U70" s="192" t="n">
        <v>0.19</v>
      </c>
      <c r="V70" s="192" t="n">
        <v>0.04</v>
      </c>
      <c r="W70" s="196" t="n">
        <v>0.3125</v>
      </c>
      <c r="X70" s="196" t="n">
        <v>0.435</v>
      </c>
      <c r="Y70" s="196" t="n">
        <v>-0.026</v>
      </c>
      <c r="Z70" s="196" t="n">
        <v>-0.035</v>
      </c>
      <c r="AA70" s="196" t="n">
        <v>-0.0135</v>
      </c>
      <c r="AB70" s="196" t="n">
        <v>-0.031</v>
      </c>
      <c r="AC70" s="196" t="n">
        <v>0.005</v>
      </c>
      <c r="AD70" s="196" t="n">
        <v>-0.007</v>
      </c>
      <c r="AE70" s="196" t="n">
        <v>-0.06</v>
      </c>
      <c r="AF70" s="196" t="n">
        <v>-0.044</v>
      </c>
      <c r="AG70" s="197" t="n">
        <v>-0.0575</v>
      </c>
      <c r="AH70" s="196" t="n">
        <v>-0.0175</v>
      </c>
      <c r="AI70" s="198" t="n">
        <v>-0.0675</v>
      </c>
      <c r="AJ70" s="198" t="n">
        <v>-0.13</v>
      </c>
      <c r="AK70" s="199" t="n">
        <v>-0.01</v>
      </c>
      <c r="AL70" s="192" t="n">
        <v>0.0135</v>
      </c>
      <c r="AM70" s="192" t="n">
        <v>1.595</v>
      </c>
      <c r="AN70" s="192" t="n">
        <v>-0.04</v>
      </c>
      <c r="AO70" s="192" t="n">
        <v>-0.31</v>
      </c>
      <c r="AP70" s="192" t="n">
        <v>-0.1275</v>
      </c>
      <c r="AQ70" s="192" t="n">
        <v>-0.17</v>
      </c>
      <c r="AR70" s="192" t="n">
        <v>0</v>
      </c>
      <c r="AS70" s="192" t="n">
        <v>-0.26</v>
      </c>
      <c r="AT70" s="192" t="n">
        <v>-0.31</v>
      </c>
      <c r="AU70" s="192" t="n">
        <v>0.14</v>
      </c>
      <c r="AV70" s="192" t="n">
        <v>-0.31</v>
      </c>
      <c r="AW70" s="192" t="n">
        <v>-0.133</v>
      </c>
      <c r="AX70" s="192" t="n">
        <v>-0.125</v>
      </c>
      <c r="AY70" s="192" t="n">
        <v>-0.133</v>
      </c>
      <c r="AZ70" s="192" t="n">
        <v>-0.06</v>
      </c>
      <c r="BA70" s="192" t="n">
        <v>-0.1235</v>
      </c>
      <c r="BB70" s="192" t="n">
        <v>-0.0225</v>
      </c>
      <c r="BC70" s="192" t="n">
        <v>-0.08</v>
      </c>
      <c r="BD70" s="192" t="n">
        <v>-0.075</v>
      </c>
      <c r="BE70" s="192" t="n">
        <v>-0.06</v>
      </c>
      <c r="BF70" s="192" t="n">
        <v>0.09</v>
      </c>
      <c r="BG70" s="192" t="n">
        <v>0.375</v>
      </c>
      <c r="BH70" s="192" t="n">
        <v>0.33</v>
      </c>
      <c r="BI70" s="192" t="n">
        <v>0.33</v>
      </c>
      <c r="BJ70" s="192" t="n">
        <v>1.235</v>
      </c>
    </row>
    <row r="71" customFormat="false" ht="12.75" hidden="false" customHeight="false" outlineLevel="0" collapsed="false">
      <c r="A71" s="194" t="e">
        <f aca="false">#REF!-B71</f>
        <v>#REF!</v>
      </c>
      <c r="B71" s="194" t="n">
        <v>3.342</v>
      </c>
      <c r="C71" s="200" t="n">
        <v>38777</v>
      </c>
      <c r="D71" s="194" t="n">
        <v>3.234</v>
      </c>
      <c r="E71" s="194" t="n">
        <v>0.23</v>
      </c>
      <c r="F71" s="194" t="n">
        <v>0.068534342072662</v>
      </c>
      <c r="G71" s="194" t="n">
        <v>-0.205</v>
      </c>
      <c r="H71" s="194" t="n">
        <v>-0.22</v>
      </c>
      <c r="I71" s="194" t="n">
        <v>-0.0225</v>
      </c>
      <c r="J71" s="194" t="n">
        <v>-0.27</v>
      </c>
      <c r="K71" s="194" t="n">
        <v>-0.0025</v>
      </c>
      <c r="L71" s="194" t="n">
        <v>-0.06</v>
      </c>
      <c r="M71" s="194" t="n">
        <v>-0.175</v>
      </c>
      <c r="N71" s="194" t="n">
        <v>-0.175</v>
      </c>
      <c r="O71" s="194" t="n">
        <v>-0.205</v>
      </c>
      <c r="P71" s="192" t="n">
        <v>-0.205</v>
      </c>
      <c r="Q71" s="192" t="n">
        <v>-0.08875</v>
      </c>
      <c r="R71" s="192" t="n">
        <v>-0.06</v>
      </c>
      <c r="S71" s="192" t="n">
        <v>0.2825</v>
      </c>
      <c r="T71" s="192" t="n">
        <v>0.2825</v>
      </c>
      <c r="U71" s="192" t="n">
        <v>0.1875</v>
      </c>
      <c r="V71" s="192" t="n">
        <v>0.04</v>
      </c>
      <c r="W71" s="196" t="n">
        <v>0.27</v>
      </c>
      <c r="X71" s="196" t="n">
        <v>0.39</v>
      </c>
      <c r="Y71" s="196" t="n">
        <v>-0.026</v>
      </c>
      <c r="Z71" s="196" t="n">
        <v>-0.035</v>
      </c>
      <c r="AA71" s="196" t="n">
        <v>0.005</v>
      </c>
      <c r="AB71" s="196" t="n">
        <v>-0.0125</v>
      </c>
      <c r="AC71" s="196" t="n">
        <v>0.005</v>
      </c>
      <c r="AD71" s="196" t="n">
        <v>-0.007</v>
      </c>
      <c r="AE71" s="196" t="n">
        <v>-0.06</v>
      </c>
      <c r="AF71" s="196" t="n">
        <v>-0.044</v>
      </c>
      <c r="AG71" s="197" t="n">
        <v>-0.0575</v>
      </c>
      <c r="AH71" s="196" t="n">
        <v>-0.0175</v>
      </c>
      <c r="AI71" s="198" t="n">
        <v>-0.0745</v>
      </c>
      <c r="AJ71" s="198" t="n">
        <v>-0.1175</v>
      </c>
      <c r="AK71" s="199" t="n">
        <v>-0.01</v>
      </c>
      <c r="AL71" s="192" t="n">
        <v>0.0135</v>
      </c>
      <c r="AM71" s="192" t="n">
        <v>0.965</v>
      </c>
      <c r="AN71" s="192" t="n">
        <v>-0.0275</v>
      </c>
      <c r="AO71" s="192" t="n">
        <v>-0.31</v>
      </c>
      <c r="AP71" s="192" t="n">
        <v>-0.1325</v>
      </c>
      <c r="AQ71" s="192" t="n">
        <v>-0.17</v>
      </c>
      <c r="AR71" s="192" t="n">
        <v>-0.18</v>
      </c>
      <c r="AS71" s="192" t="n">
        <v>-0.26</v>
      </c>
      <c r="AT71" s="192" t="n">
        <v>-0.31</v>
      </c>
      <c r="AU71" s="192" t="n">
        <v>0.14</v>
      </c>
      <c r="AV71" s="192" t="n">
        <v>-0.31</v>
      </c>
      <c r="AW71" s="192" t="n">
        <v>-0.1155</v>
      </c>
      <c r="AX71" s="192" t="n">
        <v>-0.125</v>
      </c>
      <c r="AY71" s="192" t="n">
        <v>-0.1155</v>
      </c>
      <c r="AZ71" s="192" t="n">
        <v>-0.06</v>
      </c>
      <c r="BA71" s="192" t="n">
        <v>-0.1085</v>
      </c>
      <c r="BB71" s="192" t="n">
        <v>-0.0225</v>
      </c>
      <c r="BC71" s="192" t="n">
        <v>-0.08</v>
      </c>
      <c r="BD71" s="192" t="n">
        <v>-0.0625</v>
      </c>
      <c r="BE71" s="192" t="n">
        <v>-0.06</v>
      </c>
      <c r="BF71" s="192" t="n">
        <v>0.09</v>
      </c>
      <c r="BG71" s="192" t="n">
        <v>0.375</v>
      </c>
      <c r="BH71" s="192" t="n">
        <v>0.3275</v>
      </c>
      <c r="BI71" s="192" t="n">
        <v>0.3275</v>
      </c>
      <c r="BJ71" s="192" t="n">
        <v>0.875</v>
      </c>
    </row>
    <row r="72" customFormat="false" ht="12.75" hidden="false" customHeight="false" outlineLevel="0" collapsed="false">
      <c r="A72" s="194" t="e">
        <f aca="false">#REF!-B72</f>
        <v>#REF!</v>
      </c>
      <c r="B72" s="194" t="n">
        <v>3.544</v>
      </c>
      <c r="C72" s="200" t="n">
        <v>38808</v>
      </c>
      <c r="D72" s="194" t="n">
        <v>3.053</v>
      </c>
      <c r="E72" s="194" t="n">
        <v>0.23</v>
      </c>
      <c r="F72" s="194" t="n">
        <v>0.068585691455857</v>
      </c>
      <c r="G72" s="194" t="n">
        <v>-0.195</v>
      </c>
      <c r="H72" s="194" t="n">
        <v>-0.21</v>
      </c>
      <c r="I72" s="194" t="n">
        <v>-0.15</v>
      </c>
      <c r="J72" s="194" t="n">
        <v>-0.26</v>
      </c>
      <c r="K72" s="194" t="n">
        <v>-0.13</v>
      </c>
      <c r="L72" s="194" t="n">
        <v>-0.0575</v>
      </c>
      <c r="M72" s="194" t="n">
        <v>-0.165</v>
      </c>
      <c r="N72" s="194" t="n">
        <v>-0.165</v>
      </c>
      <c r="O72" s="194" t="n">
        <v>-0.195</v>
      </c>
      <c r="P72" s="192" t="n">
        <v>-0.195</v>
      </c>
      <c r="Q72" s="192" t="n">
        <v>-0.06625</v>
      </c>
      <c r="R72" s="192" t="n">
        <v>-0.0575</v>
      </c>
      <c r="S72" s="192" t="n">
        <v>0.1825</v>
      </c>
      <c r="T72" s="192" t="n">
        <v>0.1825</v>
      </c>
      <c r="U72" s="192" t="n">
        <v>0.0875</v>
      </c>
      <c r="V72" s="192" t="n">
        <v>0.215</v>
      </c>
      <c r="W72" s="196" t="n">
        <v>0.205</v>
      </c>
      <c r="X72" s="196" t="n">
        <v>0.25</v>
      </c>
      <c r="Y72" s="196" t="n">
        <v>-0.0255</v>
      </c>
      <c r="Z72" s="196" t="n">
        <v>-0.025</v>
      </c>
      <c r="AA72" s="196" t="n">
        <v>0.00475</v>
      </c>
      <c r="AB72" s="196" t="n">
        <v>-0.01275</v>
      </c>
      <c r="AC72" s="196" t="n">
        <v>0.005</v>
      </c>
      <c r="AD72" s="196" t="n">
        <v>-0.002</v>
      </c>
      <c r="AE72" s="196" t="n">
        <v>-0.06</v>
      </c>
      <c r="AF72" s="196" t="n">
        <v>-0.049</v>
      </c>
      <c r="AG72" s="197" t="n">
        <v>-0.0575</v>
      </c>
      <c r="AH72" s="196" t="n">
        <v>-0.02</v>
      </c>
      <c r="AI72" s="198" t="n">
        <v>-0.07</v>
      </c>
      <c r="AJ72" s="198" t="n">
        <v>-0.075</v>
      </c>
      <c r="AK72" s="199" t="n">
        <v>-0.0175</v>
      </c>
      <c r="AL72" s="192" t="n">
        <v>0.009</v>
      </c>
      <c r="AM72" s="192" t="n">
        <v>0.45</v>
      </c>
      <c r="AN72" s="192" t="n">
        <v>0.015</v>
      </c>
      <c r="AO72" s="192" t="n">
        <v>-0.385</v>
      </c>
      <c r="AP72" s="192" t="n">
        <v>-0.12</v>
      </c>
      <c r="AQ72" s="192" t="n">
        <v>-0.17</v>
      </c>
      <c r="AR72" s="192" t="n">
        <v>-0.29</v>
      </c>
      <c r="AS72" s="192" t="n">
        <v>-0.335</v>
      </c>
      <c r="AT72" s="192" t="n">
        <v>-0.385</v>
      </c>
      <c r="AU72" s="192" t="n">
        <v>0.315</v>
      </c>
      <c r="AV72" s="192" t="n">
        <v>-0.385</v>
      </c>
      <c r="AW72" s="192" t="n">
        <v>-0.106</v>
      </c>
      <c r="AX72" s="192" t="n">
        <v>-0.1075</v>
      </c>
      <c r="AY72" s="192" t="n">
        <v>-0.106</v>
      </c>
      <c r="AZ72" s="192" t="n">
        <v>-0.0575</v>
      </c>
      <c r="BA72" s="192" t="n">
        <v>-0.0935</v>
      </c>
      <c r="BB72" s="192" t="n">
        <v>-0.02</v>
      </c>
      <c r="BC72" s="192" t="n">
        <v>-0.0625</v>
      </c>
      <c r="BD72" s="192" t="n">
        <v>-0.02</v>
      </c>
      <c r="BE72" s="192" t="n">
        <v>-0.06</v>
      </c>
      <c r="BF72" s="192" t="n">
        <v>0.12</v>
      </c>
      <c r="BG72" s="192" t="n">
        <v>0.1625</v>
      </c>
      <c r="BH72" s="192" t="n">
        <v>0.2125</v>
      </c>
      <c r="BI72" s="192" t="n">
        <v>0.2125</v>
      </c>
      <c r="BJ72" s="192" t="n">
        <v>0.365</v>
      </c>
    </row>
    <row r="73" customFormat="false" ht="12.75" hidden="false" customHeight="false" outlineLevel="0" collapsed="false">
      <c r="A73" s="194" t="e">
        <f aca="false">#REF!-B73</f>
        <v>#REF!</v>
      </c>
      <c r="B73" s="194" t="n">
        <v>3.429</v>
      </c>
      <c r="C73" s="200" t="n">
        <v>38838</v>
      </c>
      <c r="D73" s="194" t="n">
        <v>3.006</v>
      </c>
      <c r="E73" s="194" t="n">
        <v>0.2275</v>
      </c>
      <c r="F73" s="194" t="n">
        <v>0.068635384408167</v>
      </c>
      <c r="G73" s="194" t="n">
        <v>-0.195</v>
      </c>
      <c r="H73" s="194" t="n">
        <v>-0.21</v>
      </c>
      <c r="I73" s="194" t="n">
        <v>-0.165</v>
      </c>
      <c r="J73" s="194" t="n">
        <v>-0.26</v>
      </c>
      <c r="K73" s="194" t="n">
        <v>-0.145</v>
      </c>
      <c r="L73" s="194" t="n">
        <v>-0.0575</v>
      </c>
      <c r="M73" s="194" t="n">
        <v>-0.165</v>
      </c>
      <c r="N73" s="194" t="n">
        <v>-0.165</v>
      </c>
      <c r="O73" s="194" t="n">
        <v>-0.195</v>
      </c>
      <c r="P73" s="192" t="n">
        <v>-0.195</v>
      </c>
      <c r="Q73" s="192" t="n">
        <v>-0.06625</v>
      </c>
      <c r="R73" s="192" t="n">
        <v>-0.0575</v>
      </c>
      <c r="S73" s="192" t="n">
        <v>0.1925</v>
      </c>
      <c r="T73" s="192" t="n">
        <v>0.1925</v>
      </c>
      <c r="U73" s="192" t="n">
        <v>0.0975</v>
      </c>
      <c r="V73" s="192" t="n">
        <v>0.215</v>
      </c>
      <c r="W73" s="196" t="n">
        <v>0.1925</v>
      </c>
      <c r="X73" s="196" t="n">
        <v>0.2025</v>
      </c>
      <c r="Y73" s="196" t="n">
        <v>-0.0255</v>
      </c>
      <c r="Z73" s="196" t="n">
        <v>-0.02525</v>
      </c>
      <c r="AA73" s="196" t="n">
        <v>0.00475</v>
      </c>
      <c r="AB73" s="196" t="n">
        <v>-0.01275</v>
      </c>
      <c r="AC73" s="196" t="n">
        <v>0.005</v>
      </c>
      <c r="AD73" s="196" t="n">
        <v>-0.002</v>
      </c>
      <c r="AE73" s="196" t="n">
        <v>-0.06</v>
      </c>
      <c r="AF73" s="196" t="n">
        <v>-0.049</v>
      </c>
      <c r="AG73" s="197" t="n">
        <v>-0.0575</v>
      </c>
      <c r="AH73" s="196" t="n">
        <v>-0.02</v>
      </c>
      <c r="AI73" s="198" t="n">
        <v>-0.07</v>
      </c>
      <c r="AJ73" s="198" t="n">
        <v>-0.075</v>
      </c>
      <c r="AK73" s="199" t="n">
        <v>-0.0175</v>
      </c>
      <c r="AL73" s="192" t="n">
        <v>0.009</v>
      </c>
      <c r="AM73" s="192" t="n">
        <v>0.405</v>
      </c>
      <c r="AN73" s="192" t="n">
        <v>0.015</v>
      </c>
      <c r="AO73" s="192" t="n">
        <v>-0.385</v>
      </c>
      <c r="AP73" s="192" t="n">
        <v>-0.12</v>
      </c>
      <c r="AQ73" s="192" t="n">
        <v>-0.17</v>
      </c>
      <c r="AR73" s="192" t="n">
        <v>-0.29</v>
      </c>
      <c r="AS73" s="192" t="n">
        <v>-0.335</v>
      </c>
      <c r="AT73" s="192" t="n">
        <v>-0.385</v>
      </c>
      <c r="AU73" s="192" t="n">
        <v>0.315</v>
      </c>
      <c r="AV73" s="192" t="n">
        <v>-0.385</v>
      </c>
      <c r="AW73" s="192" t="n">
        <v>-0.1035</v>
      </c>
      <c r="AX73" s="192" t="n">
        <v>-0.0875</v>
      </c>
      <c r="AY73" s="192" t="n">
        <v>-0.1035</v>
      </c>
      <c r="AZ73" s="192" t="n">
        <v>-0.0575</v>
      </c>
      <c r="BA73" s="192" t="n">
        <v>-0.0885</v>
      </c>
      <c r="BB73" s="192" t="n">
        <v>-0.02</v>
      </c>
      <c r="BC73" s="192" t="n">
        <v>-0.0625</v>
      </c>
      <c r="BD73" s="192" t="n">
        <v>-0.02</v>
      </c>
      <c r="BE73" s="192" t="n">
        <v>-0.06</v>
      </c>
      <c r="BF73" s="192" t="n">
        <v>0.12</v>
      </c>
      <c r="BG73" s="192" t="n">
        <v>0.1625</v>
      </c>
      <c r="BH73" s="192" t="n">
        <v>0.2225</v>
      </c>
      <c r="BI73" s="192" t="n">
        <v>0.2225</v>
      </c>
      <c r="BJ73" s="192" t="n">
        <v>0.2975</v>
      </c>
    </row>
    <row r="74" customFormat="false" ht="12.75" hidden="false" customHeight="false" outlineLevel="0" collapsed="false">
      <c r="A74" s="194" t="e">
        <f aca="false">#REF!-B74</f>
        <v>#REF!</v>
      </c>
      <c r="B74" s="194" t="n">
        <v>3.28</v>
      </c>
      <c r="C74" s="200" t="n">
        <v>38869</v>
      </c>
      <c r="D74" s="194" t="n">
        <v>3.017</v>
      </c>
      <c r="E74" s="194" t="n">
        <v>0.2275</v>
      </c>
      <c r="F74" s="194" t="n">
        <v>0.068686733793079</v>
      </c>
      <c r="G74" s="194" t="n">
        <v>-0.195</v>
      </c>
      <c r="H74" s="194" t="n">
        <v>-0.21</v>
      </c>
      <c r="I74" s="194" t="n">
        <v>-0.175</v>
      </c>
      <c r="J74" s="194" t="n">
        <v>-0.26</v>
      </c>
      <c r="K74" s="194" t="n">
        <v>-0.155</v>
      </c>
      <c r="L74" s="194" t="n">
        <v>-0.0575</v>
      </c>
      <c r="M74" s="194" t="n">
        <v>-0.165</v>
      </c>
      <c r="N74" s="194" t="n">
        <v>-0.165</v>
      </c>
      <c r="O74" s="194" t="n">
        <v>-0.195</v>
      </c>
      <c r="P74" s="192" t="n">
        <v>-0.195</v>
      </c>
      <c r="Q74" s="192" t="n">
        <v>-0.06375</v>
      </c>
      <c r="R74" s="192" t="n">
        <v>-0.0575</v>
      </c>
      <c r="S74" s="192" t="n">
        <v>0.1875</v>
      </c>
      <c r="T74" s="192" t="n">
        <v>0.1875</v>
      </c>
      <c r="U74" s="192" t="n">
        <v>0.0925</v>
      </c>
      <c r="V74" s="192" t="n">
        <v>0.215</v>
      </c>
      <c r="W74" s="196" t="n">
        <v>0.1925</v>
      </c>
      <c r="X74" s="196" t="n">
        <v>0.2025</v>
      </c>
      <c r="Y74" s="196" t="n">
        <v>-0.0255</v>
      </c>
      <c r="Z74" s="196" t="n">
        <v>-0.02525</v>
      </c>
      <c r="AA74" s="196" t="n">
        <v>0.00475</v>
      </c>
      <c r="AB74" s="196" t="n">
        <v>-0.01275</v>
      </c>
      <c r="AC74" s="196" t="n">
        <v>0.005</v>
      </c>
      <c r="AD74" s="196" t="n">
        <v>-0.002</v>
      </c>
      <c r="AE74" s="196" t="n">
        <v>-0.06</v>
      </c>
      <c r="AF74" s="196" t="n">
        <v>-0.049</v>
      </c>
      <c r="AG74" s="197" t="n">
        <v>-0.0575</v>
      </c>
      <c r="AH74" s="196" t="n">
        <v>-0.02</v>
      </c>
      <c r="AI74" s="198" t="n">
        <v>-0.086</v>
      </c>
      <c r="AJ74" s="198" t="n">
        <v>-0.07</v>
      </c>
      <c r="AK74" s="199" t="n">
        <v>-0.0175</v>
      </c>
      <c r="AL74" s="192" t="n">
        <v>0.009</v>
      </c>
      <c r="AM74" s="192" t="n">
        <v>0.395</v>
      </c>
      <c r="AN74" s="192" t="n">
        <v>0.02</v>
      </c>
      <c r="AO74" s="192" t="n">
        <v>-0.385</v>
      </c>
      <c r="AP74" s="192" t="n">
        <v>-0.12</v>
      </c>
      <c r="AQ74" s="192" t="n">
        <v>-0.17</v>
      </c>
      <c r="AR74" s="192" t="n">
        <v>-0.29</v>
      </c>
      <c r="AS74" s="192" t="n">
        <v>-0.335</v>
      </c>
      <c r="AT74" s="192" t="n">
        <v>-0.385</v>
      </c>
      <c r="AU74" s="192" t="n">
        <v>0.315</v>
      </c>
      <c r="AV74" s="192" t="n">
        <v>-0.385</v>
      </c>
      <c r="AW74" s="192" t="n">
        <v>-0.096</v>
      </c>
      <c r="AX74" s="192" t="n">
        <v>-0.0875</v>
      </c>
      <c r="AY74" s="192" t="n">
        <v>-0.096</v>
      </c>
      <c r="AZ74" s="192" t="n">
        <v>-0.0575</v>
      </c>
      <c r="BA74" s="192" t="n">
        <v>-0.0835</v>
      </c>
      <c r="BB74" s="192" t="n">
        <v>-0.02</v>
      </c>
      <c r="BC74" s="192" t="n">
        <v>-0.0625</v>
      </c>
      <c r="BD74" s="192" t="n">
        <v>-0.015</v>
      </c>
      <c r="BE74" s="192" t="n">
        <v>-0.06</v>
      </c>
      <c r="BF74" s="192" t="n">
        <v>0.12</v>
      </c>
      <c r="BG74" s="192" t="n">
        <v>0.1625</v>
      </c>
      <c r="BH74" s="192" t="n">
        <v>0.2175</v>
      </c>
      <c r="BI74" s="192" t="n">
        <v>0.2175</v>
      </c>
      <c r="BJ74" s="192" t="n">
        <v>0.2975</v>
      </c>
    </row>
    <row r="75" customFormat="false" ht="12.75" hidden="false" customHeight="false" outlineLevel="0" collapsed="false">
      <c r="A75" s="194" t="e">
        <f aca="false">#REF!-B75</f>
        <v>#REF!</v>
      </c>
      <c r="B75" s="194" t="n">
        <v>3.134</v>
      </c>
      <c r="C75" s="200" t="n">
        <v>38899</v>
      </c>
      <c r="D75" s="194" t="n">
        <v>3.025</v>
      </c>
      <c r="E75" s="194" t="n">
        <v>0.2275</v>
      </c>
      <c r="F75" s="194" t="n">
        <v>0.06873642674705</v>
      </c>
      <c r="G75" s="194" t="n">
        <v>-0.195</v>
      </c>
      <c r="H75" s="194" t="n">
        <v>-0.21</v>
      </c>
      <c r="I75" s="194" t="n">
        <v>-0.175</v>
      </c>
      <c r="J75" s="194" t="n">
        <v>-0.28</v>
      </c>
      <c r="K75" s="194" t="n">
        <v>-0.155</v>
      </c>
      <c r="L75" s="194" t="n">
        <v>-0.0575</v>
      </c>
      <c r="M75" s="194" t="n">
        <v>-0.165</v>
      </c>
      <c r="N75" s="194" t="n">
        <v>-0.165</v>
      </c>
      <c r="O75" s="194" t="n">
        <v>-0.195</v>
      </c>
      <c r="P75" s="192" t="n">
        <v>-0.195</v>
      </c>
      <c r="Q75" s="192" t="n">
        <v>-0.0625</v>
      </c>
      <c r="R75" s="192" t="n">
        <v>-0.0575</v>
      </c>
      <c r="S75" s="192" t="n">
        <v>0.1775</v>
      </c>
      <c r="T75" s="192" t="n">
        <v>0.1775</v>
      </c>
      <c r="U75" s="192" t="n">
        <v>0.0825</v>
      </c>
      <c r="V75" s="192" t="n">
        <v>0.215</v>
      </c>
      <c r="W75" s="196" t="n">
        <v>0.1925</v>
      </c>
      <c r="X75" s="196" t="n">
        <v>0.215</v>
      </c>
      <c r="Y75" s="196" t="n">
        <v>-0.0255</v>
      </c>
      <c r="Z75" s="196" t="n">
        <v>-0.02525</v>
      </c>
      <c r="AA75" s="196" t="n">
        <v>0.00475</v>
      </c>
      <c r="AB75" s="196" t="n">
        <v>-0.01275</v>
      </c>
      <c r="AC75" s="196" t="n">
        <v>0.005</v>
      </c>
      <c r="AD75" s="196" t="n">
        <v>-0.002</v>
      </c>
      <c r="AE75" s="196" t="n">
        <v>-0.06</v>
      </c>
      <c r="AF75" s="196" t="n">
        <v>-0.049</v>
      </c>
      <c r="AG75" s="197" t="n">
        <v>-0.0575</v>
      </c>
      <c r="AH75" s="196" t="n">
        <v>-0.02</v>
      </c>
      <c r="AI75" s="198" t="n">
        <v>-0.079</v>
      </c>
      <c r="AJ75" s="198" t="n">
        <v>-0.0675</v>
      </c>
      <c r="AK75" s="199" t="n">
        <v>-0.0175</v>
      </c>
      <c r="AL75" s="192" t="n">
        <v>0.009</v>
      </c>
      <c r="AM75" s="192" t="n">
        <v>0.43</v>
      </c>
      <c r="AN75" s="192" t="n">
        <v>0.0225</v>
      </c>
      <c r="AO75" s="192" t="n">
        <v>-0.385</v>
      </c>
      <c r="AP75" s="192" t="n">
        <v>-0.12</v>
      </c>
      <c r="AQ75" s="192" t="n">
        <v>-0.17</v>
      </c>
      <c r="AR75" s="192" t="n">
        <v>-0.29</v>
      </c>
      <c r="AS75" s="192" t="n">
        <v>-0.335</v>
      </c>
      <c r="AT75" s="192" t="n">
        <v>-0.385</v>
      </c>
      <c r="AU75" s="192" t="n">
        <v>0.315</v>
      </c>
      <c r="AV75" s="192" t="n">
        <v>-0.385</v>
      </c>
      <c r="AW75" s="192" t="n">
        <v>-0.1035</v>
      </c>
      <c r="AX75" s="192" t="n">
        <v>-0.0875</v>
      </c>
      <c r="AY75" s="192" t="n">
        <v>-0.1035</v>
      </c>
      <c r="AZ75" s="192" t="n">
        <v>-0.0575</v>
      </c>
      <c r="BA75" s="192" t="n">
        <v>-0.0785</v>
      </c>
      <c r="BB75" s="192" t="n">
        <v>-0.02</v>
      </c>
      <c r="BC75" s="192" t="n">
        <v>-0.0625</v>
      </c>
      <c r="BD75" s="192" t="n">
        <v>-0.0125</v>
      </c>
      <c r="BE75" s="192" t="n">
        <v>-0.06</v>
      </c>
      <c r="BF75" s="192" t="n">
        <v>0.12</v>
      </c>
      <c r="BG75" s="192" t="n">
        <v>0.1625</v>
      </c>
      <c r="BH75" s="192" t="n">
        <v>0.2075</v>
      </c>
      <c r="BI75" s="192" t="n">
        <v>0.2075</v>
      </c>
      <c r="BJ75" s="192" t="n">
        <v>0.31</v>
      </c>
    </row>
    <row r="76" customFormat="false" ht="12.75" hidden="false" customHeight="false" outlineLevel="0" collapsed="false">
      <c r="A76" s="194" t="e">
        <f aca="false">#REF!-B76</f>
        <v>#REF!</v>
      </c>
      <c r="B76" s="194" t="n">
        <v>3.109</v>
      </c>
      <c r="C76" s="200" t="n">
        <v>38930</v>
      </c>
      <c r="D76" s="194" t="n">
        <v>3.032</v>
      </c>
      <c r="E76" s="194" t="n">
        <v>0.2275</v>
      </c>
      <c r="F76" s="194" t="n">
        <v>0.068787776133678</v>
      </c>
      <c r="G76" s="194" t="n">
        <v>-0.195</v>
      </c>
      <c r="H76" s="194" t="n">
        <v>-0.21</v>
      </c>
      <c r="I76" s="194" t="n">
        <v>-0.175</v>
      </c>
      <c r="J76" s="194" t="n">
        <v>-0.28</v>
      </c>
      <c r="K76" s="194" t="n">
        <v>-0.155</v>
      </c>
      <c r="L76" s="194" t="n">
        <v>-0.0575</v>
      </c>
      <c r="M76" s="194" t="n">
        <v>-0.165</v>
      </c>
      <c r="N76" s="194" t="n">
        <v>-0.165</v>
      </c>
      <c r="O76" s="194" t="n">
        <v>-0.195</v>
      </c>
      <c r="P76" s="192" t="n">
        <v>-0.195</v>
      </c>
      <c r="Q76" s="192" t="n">
        <v>-0.06125</v>
      </c>
      <c r="R76" s="192" t="n">
        <v>-0.0575</v>
      </c>
      <c r="S76" s="192" t="n">
        <v>0.175</v>
      </c>
      <c r="T76" s="192" t="n">
        <v>0.175</v>
      </c>
      <c r="U76" s="192" t="n">
        <v>0.08</v>
      </c>
      <c r="V76" s="192" t="n">
        <v>0.215</v>
      </c>
      <c r="W76" s="196" t="n">
        <v>0.1925</v>
      </c>
      <c r="X76" s="196" t="n">
        <v>0.215</v>
      </c>
      <c r="Y76" s="196" t="n">
        <v>-0.0255</v>
      </c>
      <c r="Z76" s="196" t="n">
        <v>-0.02525</v>
      </c>
      <c r="AA76" s="196" t="n">
        <v>0.00475</v>
      </c>
      <c r="AB76" s="196" t="n">
        <v>-0.01275</v>
      </c>
      <c r="AC76" s="196" t="n">
        <v>0.005</v>
      </c>
      <c r="AD76" s="196" t="n">
        <v>-0.002</v>
      </c>
      <c r="AE76" s="196" t="n">
        <v>-0.06</v>
      </c>
      <c r="AF76" s="196" t="n">
        <v>-0.049</v>
      </c>
      <c r="AG76" s="197" t="n">
        <v>-0.0575</v>
      </c>
      <c r="AH76" s="196" t="n">
        <v>-0.02</v>
      </c>
      <c r="AI76" s="198" t="n">
        <v>-0.06</v>
      </c>
      <c r="AJ76" s="198" t="n">
        <v>-0.065</v>
      </c>
      <c r="AK76" s="199" t="n">
        <v>-0.0175</v>
      </c>
      <c r="AL76" s="192" t="n">
        <v>0.009</v>
      </c>
      <c r="AM76" s="192" t="n">
        <v>0.495</v>
      </c>
      <c r="AN76" s="192" t="n">
        <v>0.025</v>
      </c>
      <c r="AO76" s="192" t="n">
        <v>-0.385</v>
      </c>
      <c r="AP76" s="192" t="n">
        <v>-0.12</v>
      </c>
      <c r="AQ76" s="192" t="n">
        <v>-0.17</v>
      </c>
      <c r="AR76" s="192" t="n">
        <v>-0.29</v>
      </c>
      <c r="AS76" s="192" t="n">
        <v>-0.335</v>
      </c>
      <c r="AT76" s="192" t="n">
        <v>-0.385</v>
      </c>
      <c r="AU76" s="192" t="n">
        <v>0.315</v>
      </c>
      <c r="AV76" s="192" t="n">
        <v>-0.385</v>
      </c>
      <c r="AW76" s="192" t="n">
        <v>-0.091</v>
      </c>
      <c r="AX76" s="192" t="n">
        <v>-0.0875</v>
      </c>
      <c r="AY76" s="192" t="n">
        <v>-0.091</v>
      </c>
      <c r="AZ76" s="192" t="n">
        <v>-0.0575</v>
      </c>
      <c r="BA76" s="192" t="n">
        <v>-0.0785</v>
      </c>
      <c r="BB76" s="192" t="n">
        <v>-0.02</v>
      </c>
      <c r="BC76" s="192" t="n">
        <v>-0.0625</v>
      </c>
      <c r="BD76" s="192" t="n">
        <v>-0.01</v>
      </c>
      <c r="BE76" s="192" t="n">
        <v>-0.06</v>
      </c>
      <c r="BF76" s="192" t="n">
        <v>0.12</v>
      </c>
      <c r="BG76" s="192" t="n">
        <v>0.1625</v>
      </c>
      <c r="BH76" s="192" t="n">
        <v>0.205</v>
      </c>
      <c r="BI76" s="192" t="n">
        <v>0.205</v>
      </c>
      <c r="BJ76" s="192" t="n">
        <v>0.31</v>
      </c>
    </row>
    <row r="77" customFormat="false" ht="12.75" hidden="false" customHeight="false" outlineLevel="0" collapsed="false">
      <c r="A77" s="194" t="e">
        <f aca="false">#REF!-B77</f>
        <v>#REF!</v>
      </c>
      <c r="B77" s="194" t="n">
        <v>3.092</v>
      </c>
      <c r="C77" s="200" t="n">
        <v>38961</v>
      </c>
      <c r="D77" s="194" t="n">
        <v>3.019</v>
      </c>
      <c r="E77" s="194" t="n">
        <v>0.2275</v>
      </c>
      <c r="F77" s="194" t="n">
        <v>0.068839125521179</v>
      </c>
      <c r="G77" s="194" t="n">
        <v>-0.195</v>
      </c>
      <c r="H77" s="194" t="n">
        <v>-0.21</v>
      </c>
      <c r="I77" s="194" t="n">
        <v>-0.165</v>
      </c>
      <c r="J77" s="194" t="n">
        <v>-0.28</v>
      </c>
      <c r="K77" s="194" t="n">
        <v>-0.145</v>
      </c>
      <c r="L77" s="194" t="n">
        <v>-0.0575</v>
      </c>
      <c r="M77" s="194" t="n">
        <v>-0.165</v>
      </c>
      <c r="N77" s="194" t="n">
        <v>-0.165</v>
      </c>
      <c r="O77" s="194" t="n">
        <v>-0.195</v>
      </c>
      <c r="P77" s="192" t="n">
        <v>-0.195</v>
      </c>
      <c r="Q77" s="192" t="n">
        <v>-0.065</v>
      </c>
      <c r="R77" s="192" t="n">
        <v>-0.0575</v>
      </c>
      <c r="S77" s="192" t="n">
        <v>0.1725</v>
      </c>
      <c r="T77" s="192" t="n">
        <v>0.1725</v>
      </c>
      <c r="U77" s="192" t="n">
        <v>0.0775</v>
      </c>
      <c r="V77" s="192" t="n">
        <v>0.215</v>
      </c>
      <c r="W77" s="196" t="n">
        <v>0.1925</v>
      </c>
      <c r="X77" s="196" t="n">
        <v>0.195</v>
      </c>
      <c r="Y77" s="196" t="n">
        <v>-0.0255</v>
      </c>
      <c r="Z77" s="196" t="n">
        <v>-0.02525</v>
      </c>
      <c r="AA77" s="196" t="n">
        <v>0.00475</v>
      </c>
      <c r="AB77" s="196" t="n">
        <v>-0.01275</v>
      </c>
      <c r="AC77" s="196" t="n">
        <v>0.005</v>
      </c>
      <c r="AD77" s="196" t="n">
        <v>-0.002</v>
      </c>
      <c r="AE77" s="196" t="n">
        <v>-0.06</v>
      </c>
      <c r="AF77" s="196" t="n">
        <v>-0.049</v>
      </c>
      <c r="AG77" s="197" t="n">
        <v>-0.0575</v>
      </c>
      <c r="AH77" s="196" t="n">
        <v>-0.02</v>
      </c>
      <c r="AI77" s="198" t="n">
        <v>-0.058</v>
      </c>
      <c r="AJ77" s="198" t="n">
        <v>-0.0725</v>
      </c>
      <c r="AK77" s="199" t="n">
        <v>-0.0175</v>
      </c>
      <c r="AL77" s="192" t="n">
        <v>0.009</v>
      </c>
      <c r="AM77" s="192" t="n">
        <v>0.395</v>
      </c>
      <c r="AN77" s="192" t="n">
        <v>0.0175</v>
      </c>
      <c r="AO77" s="192" t="n">
        <v>-0.385</v>
      </c>
      <c r="AP77" s="192" t="n">
        <v>-0.12</v>
      </c>
      <c r="AQ77" s="192" t="n">
        <v>-0.17</v>
      </c>
      <c r="AR77" s="192" t="n">
        <v>-0.29</v>
      </c>
      <c r="AS77" s="192" t="n">
        <v>-0.335</v>
      </c>
      <c r="AT77" s="192" t="n">
        <v>-0.385</v>
      </c>
      <c r="AU77" s="192" t="n">
        <v>0.315</v>
      </c>
      <c r="AV77" s="192" t="n">
        <v>-0.385</v>
      </c>
      <c r="AW77" s="192" t="n">
        <v>-0.096</v>
      </c>
      <c r="AX77" s="192" t="n">
        <v>-0.0875</v>
      </c>
      <c r="AY77" s="192" t="n">
        <v>-0.096</v>
      </c>
      <c r="AZ77" s="192" t="n">
        <v>-0.0575</v>
      </c>
      <c r="BA77" s="192" t="n">
        <v>-0.0935</v>
      </c>
      <c r="BB77" s="192" t="n">
        <v>-0.02</v>
      </c>
      <c r="BC77" s="192" t="n">
        <v>-0.0625</v>
      </c>
      <c r="BD77" s="192" t="n">
        <v>-0.0175</v>
      </c>
      <c r="BE77" s="192" t="n">
        <v>-0.06</v>
      </c>
      <c r="BF77" s="192" t="n">
        <v>0.12</v>
      </c>
      <c r="BG77" s="192" t="n">
        <v>0.1625</v>
      </c>
      <c r="BH77" s="192" t="n">
        <v>0.2025</v>
      </c>
      <c r="BI77" s="192" t="n">
        <v>0.2025</v>
      </c>
      <c r="BJ77" s="192" t="n">
        <v>0.3</v>
      </c>
    </row>
    <row r="78" customFormat="false" ht="12.75" hidden="false" customHeight="false" outlineLevel="0" collapsed="false">
      <c r="A78" s="194" t="e">
        <f aca="false">#REF!-B78</f>
        <v>#REF!</v>
      </c>
      <c r="B78" s="194" t="n">
        <v>3.157</v>
      </c>
      <c r="C78" s="200" t="n">
        <v>38991</v>
      </c>
      <c r="D78" s="194" t="n">
        <v>3.039</v>
      </c>
      <c r="E78" s="194" t="n">
        <v>0.2275</v>
      </c>
      <c r="F78" s="194" t="n">
        <v>0.068888818477656</v>
      </c>
      <c r="G78" s="194" t="n">
        <v>-0.195</v>
      </c>
      <c r="H78" s="194" t="n">
        <v>-0.21</v>
      </c>
      <c r="I78" s="194" t="n">
        <v>-0.15</v>
      </c>
      <c r="J78" s="194" t="n">
        <v>-0.28</v>
      </c>
      <c r="K78" s="194" t="n">
        <v>-0.13</v>
      </c>
      <c r="L78" s="194" t="n">
        <v>-0.0575</v>
      </c>
      <c r="M78" s="194" t="n">
        <v>-0.165</v>
      </c>
      <c r="N78" s="194" t="n">
        <v>-0.165</v>
      </c>
      <c r="O78" s="194" t="n">
        <v>-0.195</v>
      </c>
      <c r="P78" s="192" t="n">
        <v>-0.195</v>
      </c>
      <c r="Q78" s="192" t="n">
        <v>-0.07</v>
      </c>
      <c r="R78" s="192" t="n">
        <v>-0.0575</v>
      </c>
      <c r="S78" s="192" t="n">
        <v>0.1875</v>
      </c>
      <c r="T78" s="192" t="n">
        <v>0.1875</v>
      </c>
      <c r="U78" s="192" t="n">
        <v>0.0925</v>
      </c>
      <c r="V78" s="192" t="n">
        <v>0.215</v>
      </c>
      <c r="W78" s="196" t="n">
        <v>0.1975</v>
      </c>
      <c r="X78" s="196" t="n">
        <v>0.215</v>
      </c>
      <c r="Y78" s="196" t="n">
        <v>-0.0255</v>
      </c>
      <c r="Z78" s="196" t="n">
        <v>-0.02525</v>
      </c>
      <c r="AA78" s="196" t="n">
        <v>-0.0135</v>
      </c>
      <c r="AB78" s="196" t="n">
        <v>-0.031</v>
      </c>
      <c r="AC78" s="196" t="n">
        <v>0.005</v>
      </c>
      <c r="AD78" s="196" t="n">
        <v>-0.002</v>
      </c>
      <c r="AE78" s="196" t="n">
        <v>-0.06</v>
      </c>
      <c r="AF78" s="196" t="n">
        <v>-0.049</v>
      </c>
      <c r="AG78" s="197" t="n">
        <v>-0.0575</v>
      </c>
      <c r="AH78" s="196" t="n">
        <v>-0.02</v>
      </c>
      <c r="AI78" s="198" t="n">
        <v>-0.06</v>
      </c>
      <c r="AJ78" s="198" t="n">
        <v>-0.0825</v>
      </c>
      <c r="AK78" s="199" t="n">
        <v>-0.0175</v>
      </c>
      <c r="AL78" s="192" t="n">
        <v>0.009</v>
      </c>
      <c r="AM78" s="192" t="n">
        <v>0.461</v>
      </c>
      <c r="AN78" s="192" t="n">
        <v>0.0075</v>
      </c>
      <c r="AO78" s="192" t="n">
        <v>-0.385</v>
      </c>
      <c r="AP78" s="192" t="n">
        <v>-0.12</v>
      </c>
      <c r="AQ78" s="192" t="n">
        <v>-0.17</v>
      </c>
      <c r="AR78" s="192" t="n">
        <v>-0.29</v>
      </c>
      <c r="AS78" s="192" t="n">
        <v>-0.335</v>
      </c>
      <c r="AT78" s="192" t="n">
        <v>-0.385</v>
      </c>
      <c r="AU78" s="192" t="n">
        <v>0.315</v>
      </c>
      <c r="AV78" s="192" t="n">
        <v>-0.385</v>
      </c>
      <c r="AW78" s="192" t="n">
        <v>-0.106</v>
      </c>
      <c r="AX78" s="192" t="n">
        <v>-0.0875</v>
      </c>
      <c r="AY78" s="192" t="n">
        <v>-0.106</v>
      </c>
      <c r="AZ78" s="192" t="n">
        <v>-0.0575</v>
      </c>
      <c r="BA78" s="192" t="n">
        <v>-0.096</v>
      </c>
      <c r="BB78" s="192" t="n">
        <v>-0.02</v>
      </c>
      <c r="BC78" s="192" t="n">
        <v>-0.0625</v>
      </c>
      <c r="BD78" s="192" t="n">
        <v>-0.0275</v>
      </c>
      <c r="BE78" s="192" t="n">
        <v>-0.06</v>
      </c>
      <c r="BF78" s="192" t="n">
        <v>0.12</v>
      </c>
      <c r="BG78" s="192" t="n">
        <v>0.1625</v>
      </c>
      <c r="BH78" s="192" t="n">
        <v>0.2175</v>
      </c>
      <c r="BI78" s="192" t="n">
        <v>0.2175</v>
      </c>
      <c r="BJ78" s="192" t="n">
        <v>0.37253</v>
      </c>
    </row>
    <row r="79" customFormat="false" ht="12.75" hidden="false" customHeight="false" outlineLevel="0" collapsed="false">
      <c r="A79" s="194" t="e">
        <f aca="false">#REF!-B79</f>
        <v>#REF!</v>
      </c>
      <c r="B79" s="194" t="n">
        <v>3.152</v>
      </c>
      <c r="C79" s="200" t="n">
        <v>39022</v>
      </c>
      <c r="D79" s="194" t="n">
        <v>3.116</v>
      </c>
      <c r="E79" s="194" t="n">
        <v>0.23</v>
      </c>
      <c r="F79" s="194" t="n">
        <v>0.068940167866873</v>
      </c>
      <c r="G79" s="194" t="n">
        <v>-0.19</v>
      </c>
      <c r="H79" s="194" t="n">
        <v>-0.205</v>
      </c>
      <c r="I79" s="194" t="n">
        <v>-0.1125</v>
      </c>
      <c r="J79" s="194" t="n">
        <v>-0.275</v>
      </c>
      <c r="K79" s="194" t="n">
        <v>-0.0925</v>
      </c>
      <c r="L79" s="194" t="n">
        <v>-0.0575</v>
      </c>
      <c r="M79" s="194" t="n">
        <v>-0.16</v>
      </c>
      <c r="N79" s="194" t="n">
        <v>-0.16</v>
      </c>
      <c r="O79" s="194" t="n">
        <v>-0.19</v>
      </c>
      <c r="P79" s="192" t="n">
        <v>-0.19</v>
      </c>
      <c r="Q79" s="192" t="n">
        <v>-0.09</v>
      </c>
      <c r="R79" s="192" t="n">
        <v>-0.0575</v>
      </c>
      <c r="S79" s="192" t="n">
        <v>0.23</v>
      </c>
      <c r="T79" s="192" t="n">
        <v>0.23</v>
      </c>
      <c r="U79" s="192" t="n">
        <v>0.135</v>
      </c>
      <c r="V79" s="192" t="n">
        <v>0.04</v>
      </c>
      <c r="W79" s="196" t="n">
        <v>0.2725</v>
      </c>
      <c r="X79" s="196" t="n">
        <v>0.315</v>
      </c>
      <c r="Y79" s="196" t="n">
        <v>-0.0285</v>
      </c>
      <c r="Z79" s="196" t="n">
        <v>-0.04</v>
      </c>
      <c r="AA79" s="196" t="n">
        <v>-0.0125</v>
      </c>
      <c r="AB79" s="196" t="n">
        <v>-0.03</v>
      </c>
      <c r="AC79" s="196" t="n">
        <v>0.005</v>
      </c>
      <c r="AD79" s="196" t="n">
        <v>-0.005</v>
      </c>
      <c r="AE79" s="196" t="n">
        <v>-0.06</v>
      </c>
      <c r="AF79" s="196" t="n">
        <v>-0.044</v>
      </c>
      <c r="AG79" s="197" t="n">
        <v>-0.0555</v>
      </c>
      <c r="AH79" s="196" t="n">
        <v>-0.0165</v>
      </c>
      <c r="AI79" s="198" t="n">
        <v>-0.0725</v>
      </c>
      <c r="AJ79" s="198" t="n">
        <v>-0.1225</v>
      </c>
      <c r="AK79" s="199" t="n">
        <v>-0.0125</v>
      </c>
      <c r="AL79" s="192" t="n">
        <v>0.014</v>
      </c>
      <c r="AM79" s="192" t="n">
        <v>0.885</v>
      </c>
      <c r="AN79" s="192" t="n">
        <v>-0.0325</v>
      </c>
      <c r="AO79" s="192" t="n">
        <v>-0.31</v>
      </c>
      <c r="AP79" s="192" t="n">
        <v>-0.1325</v>
      </c>
      <c r="AQ79" s="192" t="n">
        <v>-0.17</v>
      </c>
      <c r="AR79" s="192" t="n">
        <v>0</v>
      </c>
      <c r="AS79" s="192" t="n">
        <v>-0.26</v>
      </c>
      <c r="AT79" s="192" t="n">
        <v>-0.31</v>
      </c>
      <c r="AU79" s="192" t="n">
        <v>0.14</v>
      </c>
      <c r="AV79" s="192" t="n">
        <v>-0.31</v>
      </c>
      <c r="AW79" s="192" t="n">
        <v>-0.1185</v>
      </c>
      <c r="AX79" s="192" t="n">
        <v>-0.125</v>
      </c>
      <c r="AY79" s="192" t="n">
        <v>-0.1185</v>
      </c>
      <c r="AZ79" s="192" t="n">
        <v>-0.0575</v>
      </c>
      <c r="BA79" s="192" t="n">
        <v>-0.101</v>
      </c>
      <c r="BB79" s="192" t="n">
        <v>-0.0215</v>
      </c>
      <c r="BC79" s="192" t="n">
        <v>-0.0775</v>
      </c>
      <c r="BD79" s="192" t="n">
        <v>-0.0675</v>
      </c>
      <c r="BE79" s="192" t="n">
        <v>-0.06</v>
      </c>
      <c r="BF79" s="192" t="n">
        <v>0.09</v>
      </c>
      <c r="BG79" s="192" t="n">
        <v>0.295</v>
      </c>
      <c r="BH79" s="192" t="n">
        <v>0.275</v>
      </c>
      <c r="BI79" s="192" t="n">
        <v>0.275</v>
      </c>
      <c r="BJ79" s="192" t="n">
        <v>0.56</v>
      </c>
    </row>
    <row r="80" customFormat="false" ht="12.75" hidden="false" customHeight="false" outlineLevel="0" collapsed="false">
      <c r="A80" s="194" t="e">
        <f aca="false">#REF!-B80</f>
        <v>#REF!</v>
      </c>
      <c r="B80" s="194" t="n">
        <v>3.139</v>
      </c>
      <c r="C80" s="200" t="n">
        <v>39052</v>
      </c>
      <c r="D80" s="194" t="n">
        <v>3.183</v>
      </c>
      <c r="E80" s="194" t="n">
        <v>0.24</v>
      </c>
      <c r="F80" s="194" t="n">
        <v>0.068989860825011</v>
      </c>
      <c r="G80" s="194" t="n">
        <v>-0.1975</v>
      </c>
      <c r="H80" s="194" t="n">
        <v>-0.2125</v>
      </c>
      <c r="I80" s="194" t="n">
        <v>-0.105</v>
      </c>
      <c r="J80" s="194" t="n">
        <v>-0.2825</v>
      </c>
      <c r="K80" s="194" t="n">
        <v>-0.085</v>
      </c>
      <c r="L80" s="194" t="n">
        <v>-0.0575</v>
      </c>
      <c r="M80" s="194" t="n">
        <v>-0.1675</v>
      </c>
      <c r="N80" s="194" t="n">
        <v>-0.1675</v>
      </c>
      <c r="O80" s="194" t="n">
        <v>-0.1975</v>
      </c>
      <c r="P80" s="192" t="n">
        <v>-0.1975</v>
      </c>
      <c r="Q80" s="192" t="n">
        <v>-0.10125</v>
      </c>
      <c r="R80" s="192" t="n">
        <v>-0.0575</v>
      </c>
      <c r="S80" s="192" t="n">
        <v>0.27</v>
      </c>
      <c r="T80" s="192" t="n">
        <v>0.27</v>
      </c>
      <c r="U80" s="192" t="n">
        <v>0.175</v>
      </c>
      <c r="V80" s="192" t="n">
        <v>0.04</v>
      </c>
      <c r="W80" s="196" t="n">
        <v>0.3075</v>
      </c>
      <c r="X80" s="196" t="n">
        <v>0.395</v>
      </c>
      <c r="Y80" s="196" t="n">
        <v>-0.0285</v>
      </c>
      <c r="Z80" s="196" t="n">
        <v>-0.0325</v>
      </c>
      <c r="AA80" s="196" t="n">
        <v>-0.0125</v>
      </c>
      <c r="AB80" s="196" t="n">
        <v>-0.03</v>
      </c>
      <c r="AC80" s="196" t="n">
        <v>0.005</v>
      </c>
      <c r="AD80" s="196" t="n">
        <v>-0.005</v>
      </c>
      <c r="AE80" s="196" t="n">
        <v>-0.06</v>
      </c>
      <c r="AF80" s="196" t="n">
        <v>-0.044</v>
      </c>
      <c r="AG80" s="197" t="n">
        <v>-0.0555</v>
      </c>
      <c r="AH80" s="196" t="n">
        <v>-0.0165</v>
      </c>
      <c r="AI80" s="198" t="n">
        <v>-0.0725</v>
      </c>
      <c r="AJ80" s="198" t="n">
        <v>-0.145</v>
      </c>
      <c r="AK80" s="199" t="n">
        <v>-0.0125</v>
      </c>
      <c r="AL80" s="192" t="n">
        <v>0.014</v>
      </c>
      <c r="AM80" s="192" t="n">
        <v>1.31</v>
      </c>
      <c r="AN80" s="192" t="n">
        <v>-0.055</v>
      </c>
      <c r="AO80" s="192" t="n">
        <v>-0.31</v>
      </c>
      <c r="AP80" s="192" t="n">
        <v>-0.1275</v>
      </c>
      <c r="AQ80" s="192" t="n">
        <v>-0.17</v>
      </c>
      <c r="AR80" s="192" t="n">
        <v>0.06</v>
      </c>
      <c r="AS80" s="192" t="n">
        <v>-0.26</v>
      </c>
      <c r="AT80" s="192" t="n">
        <v>-0.31</v>
      </c>
      <c r="AU80" s="192" t="n">
        <v>0.14</v>
      </c>
      <c r="AV80" s="192" t="n">
        <v>-0.31</v>
      </c>
      <c r="AW80" s="192" t="n">
        <v>-0.1435</v>
      </c>
      <c r="AX80" s="192" t="n">
        <v>-0.125</v>
      </c>
      <c r="AY80" s="192" t="n">
        <v>-0.1435</v>
      </c>
      <c r="AZ80" s="192" t="n">
        <v>-0.0575</v>
      </c>
      <c r="BA80" s="192" t="n">
        <v>-0.1335</v>
      </c>
      <c r="BB80" s="192" t="n">
        <v>-0.0215</v>
      </c>
      <c r="BC80" s="192" t="n">
        <v>-0.0775</v>
      </c>
      <c r="BD80" s="192" t="n">
        <v>-0.09</v>
      </c>
      <c r="BE80" s="192" t="n">
        <v>-0.06</v>
      </c>
      <c r="BF80" s="192" t="n">
        <v>0.09</v>
      </c>
      <c r="BG80" s="192" t="n">
        <v>0.25</v>
      </c>
      <c r="BH80" s="192" t="n">
        <v>0.315</v>
      </c>
      <c r="BI80" s="192" t="n">
        <v>0.315</v>
      </c>
      <c r="BJ80" s="192" t="n">
        <v>0.91</v>
      </c>
    </row>
    <row r="81" customFormat="false" ht="12.75" hidden="false" customHeight="false" outlineLevel="0" collapsed="false">
      <c r="A81" s="194" t="e">
        <f aca="false">#REF!-B81</f>
        <v>#REF!</v>
      </c>
      <c r="B81" s="194" t="n">
        <v>3.154</v>
      </c>
      <c r="C81" s="200" t="n">
        <v>39083</v>
      </c>
      <c r="D81" s="194" t="n">
        <v>3.565</v>
      </c>
      <c r="E81" s="194" t="n">
        <v>0.245</v>
      </c>
      <c r="F81" s="194" t="n">
        <v>0.069041210215945</v>
      </c>
      <c r="G81" s="194" t="n">
        <v>-0.2</v>
      </c>
      <c r="H81" s="194" t="n">
        <v>-0.215</v>
      </c>
      <c r="I81" s="194" t="n">
        <v>-0.09</v>
      </c>
      <c r="J81" s="194" t="n">
        <v>-0.265</v>
      </c>
      <c r="K81" s="194" t="n">
        <v>-0.07</v>
      </c>
      <c r="L81" s="194" t="n">
        <v>-0.0575</v>
      </c>
      <c r="M81" s="194" t="n">
        <v>-0.17</v>
      </c>
      <c r="N81" s="194" t="n">
        <v>-0.17</v>
      </c>
      <c r="O81" s="194" t="n">
        <v>-0.2</v>
      </c>
      <c r="P81" s="192" t="n">
        <v>-0.2</v>
      </c>
      <c r="Q81" s="192" t="n">
        <v>-0.1025</v>
      </c>
      <c r="R81" s="192" t="n">
        <v>-0.0575</v>
      </c>
      <c r="S81" s="192" t="n">
        <v>0.315</v>
      </c>
      <c r="T81" s="192" t="n">
        <v>0.315</v>
      </c>
      <c r="U81" s="192" t="n">
        <v>0.22</v>
      </c>
      <c r="V81" s="192" t="n">
        <v>0.04</v>
      </c>
      <c r="W81" s="196" t="n">
        <v>0.3125</v>
      </c>
      <c r="X81" s="196" t="n">
        <v>0.465</v>
      </c>
      <c r="Y81" s="196" t="n">
        <v>-0.024</v>
      </c>
      <c r="Z81" s="196" t="n">
        <v>-0.0325</v>
      </c>
      <c r="AA81" s="196" t="n">
        <v>-0.0125</v>
      </c>
      <c r="AB81" s="196" t="n">
        <v>-0.03</v>
      </c>
      <c r="AC81" s="196" t="n">
        <v>0.005</v>
      </c>
      <c r="AD81" s="196" t="n">
        <v>-0.005</v>
      </c>
      <c r="AE81" s="196" t="n">
        <v>-0.06</v>
      </c>
      <c r="AF81" s="196" t="n">
        <v>-0.042</v>
      </c>
      <c r="AG81" s="197" t="n">
        <v>-0.0555</v>
      </c>
      <c r="AH81" s="196" t="n">
        <v>-0.0165</v>
      </c>
      <c r="AI81" s="198" t="n">
        <v>-0.0655</v>
      </c>
      <c r="AJ81" s="198" t="n">
        <v>-0.1475</v>
      </c>
      <c r="AK81" s="199" t="n">
        <v>-0.008</v>
      </c>
      <c r="AL81" s="192" t="n">
        <v>0.014</v>
      </c>
      <c r="AM81" s="192" t="n">
        <v>1.645</v>
      </c>
      <c r="AN81" s="192" t="n">
        <v>-0.0575</v>
      </c>
      <c r="AO81" s="192" t="n">
        <v>-0.31</v>
      </c>
      <c r="AP81" s="192" t="n">
        <v>-0.1275</v>
      </c>
      <c r="AQ81" s="192" t="n">
        <v>-0.17</v>
      </c>
      <c r="AR81" s="192" t="n">
        <v>0.13</v>
      </c>
      <c r="AS81" s="192" t="n">
        <v>-0.26</v>
      </c>
      <c r="AT81" s="192" t="n">
        <v>-0.31</v>
      </c>
      <c r="AU81" s="192" t="n">
        <v>0.14</v>
      </c>
      <c r="AV81" s="192" t="n">
        <v>-0.31</v>
      </c>
      <c r="AW81" s="192" t="n">
        <v>-0.1285</v>
      </c>
      <c r="AX81" s="192" t="n">
        <v>0</v>
      </c>
      <c r="AY81" s="192" t="n">
        <v>-0.1285</v>
      </c>
      <c r="AZ81" s="192" t="n">
        <v>-0.0575</v>
      </c>
      <c r="BA81" s="192" t="n">
        <v>-0.139</v>
      </c>
      <c r="BB81" s="192" t="n">
        <v>-0.0215</v>
      </c>
      <c r="BC81" s="192" t="n">
        <v>-0.0775</v>
      </c>
      <c r="BD81" s="192" t="n">
        <v>-0.0925</v>
      </c>
      <c r="BE81" s="192" t="n">
        <v>-0.06</v>
      </c>
      <c r="BF81" s="192" t="n">
        <v>0.09</v>
      </c>
      <c r="BG81" s="192" t="n">
        <v>0.33</v>
      </c>
      <c r="BH81" s="192" t="n">
        <v>0.36</v>
      </c>
      <c r="BI81" s="192" t="n">
        <v>0.36</v>
      </c>
      <c r="BJ81" s="192" t="n">
        <v>1.235</v>
      </c>
    </row>
    <row r="82" customFormat="false" ht="12.75" hidden="false" customHeight="false" outlineLevel="0" collapsed="false">
      <c r="A82" s="194" t="e">
        <f aca="false">#REF!-B82</f>
        <v>#REF!</v>
      </c>
      <c r="B82" s="194" t="n">
        <v>3.251</v>
      </c>
      <c r="C82" s="200" t="n">
        <v>39114</v>
      </c>
      <c r="D82" s="194" t="n">
        <v>3.419</v>
      </c>
      <c r="E82" s="194" t="n">
        <v>0.23</v>
      </c>
      <c r="F82" s="194" t="n">
        <v>0.069092559607751</v>
      </c>
      <c r="G82" s="194" t="n">
        <v>-0.2025</v>
      </c>
      <c r="H82" s="194" t="n">
        <v>-0.2175</v>
      </c>
      <c r="I82" s="194" t="n">
        <v>-0.09</v>
      </c>
      <c r="J82" s="194" t="n">
        <v>-0.2675</v>
      </c>
      <c r="K82" s="194" t="n">
        <v>-0.07</v>
      </c>
      <c r="L82" s="194" t="n">
        <v>-0.0575</v>
      </c>
      <c r="M82" s="194" t="n">
        <v>-0.1725</v>
      </c>
      <c r="N82" s="194" t="n">
        <v>-0.1725</v>
      </c>
      <c r="O82" s="194" t="n">
        <v>-0.2025</v>
      </c>
      <c r="P82" s="192" t="n">
        <v>-0.2025</v>
      </c>
      <c r="Q82" s="192" t="n">
        <v>-0.09375</v>
      </c>
      <c r="R82" s="192" t="n">
        <v>-0.0575</v>
      </c>
      <c r="S82" s="192" t="n">
        <v>0.29</v>
      </c>
      <c r="T82" s="192" t="n">
        <v>0.29</v>
      </c>
      <c r="U82" s="192" t="n">
        <v>0.195</v>
      </c>
      <c r="V82" s="192" t="n">
        <v>0.04</v>
      </c>
      <c r="W82" s="196" t="n">
        <v>0.3125</v>
      </c>
      <c r="X82" s="196" t="n">
        <v>0.435</v>
      </c>
      <c r="Y82" s="196" t="n">
        <v>-0.024</v>
      </c>
      <c r="Z82" s="196" t="n">
        <v>-0.0325</v>
      </c>
      <c r="AA82" s="196" t="n">
        <v>-0.0125</v>
      </c>
      <c r="AB82" s="196" t="n">
        <v>-0.03</v>
      </c>
      <c r="AC82" s="196" t="n">
        <v>0.005</v>
      </c>
      <c r="AD82" s="196" t="n">
        <v>-0.005</v>
      </c>
      <c r="AE82" s="196" t="n">
        <v>-0.06</v>
      </c>
      <c r="AF82" s="196" t="n">
        <v>-0.042</v>
      </c>
      <c r="AG82" s="197" t="n">
        <v>-0.0555</v>
      </c>
      <c r="AH82" s="196" t="n">
        <v>-0.0165</v>
      </c>
      <c r="AI82" s="198" t="n">
        <v>-0.0655</v>
      </c>
      <c r="AJ82" s="198" t="n">
        <v>-0.13</v>
      </c>
      <c r="AK82" s="199" t="n">
        <v>-0.008</v>
      </c>
      <c r="AL82" s="192" t="n">
        <v>0.014</v>
      </c>
      <c r="AM82" s="192" t="n">
        <v>1.595</v>
      </c>
      <c r="AN82" s="192" t="n">
        <v>-0.04</v>
      </c>
      <c r="AO82" s="192" t="n">
        <v>-0.31</v>
      </c>
      <c r="AP82" s="192" t="n">
        <v>-0.1275</v>
      </c>
      <c r="AQ82" s="192" t="n">
        <v>-0.17</v>
      </c>
      <c r="AR82" s="192" t="n">
        <v>0</v>
      </c>
      <c r="AS82" s="192" t="n">
        <v>-0.26</v>
      </c>
      <c r="AT82" s="192" t="n">
        <v>-0.31</v>
      </c>
      <c r="AU82" s="192" t="n">
        <v>0.14</v>
      </c>
      <c r="AV82" s="192" t="n">
        <v>-0.31</v>
      </c>
      <c r="AW82" s="192" t="n">
        <v>-0.131</v>
      </c>
      <c r="AX82" s="192" t="n">
        <v>0</v>
      </c>
      <c r="AY82" s="192" t="n">
        <v>-0.131</v>
      </c>
      <c r="AZ82" s="192" t="n">
        <v>-0.0575</v>
      </c>
      <c r="BA82" s="192" t="n">
        <v>-0.1215</v>
      </c>
      <c r="BB82" s="192" t="n">
        <v>-0.0215</v>
      </c>
      <c r="BC82" s="192" t="n">
        <v>-0.0775</v>
      </c>
      <c r="BD82" s="192" t="n">
        <v>-0.075</v>
      </c>
      <c r="BE82" s="192" t="n">
        <v>-0.06</v>
      </c>
      <c r="BF82" s="192" t="n">
        <v>0.09</v>
      </c>
      <c r="BG82" s="192" t="n">
        <v>0.375</v>
      </c>
      <c r="BH82" s="192" t="n">
        <v>0.335</v>
      </c>
      <c r="BI82" s="192" t="n">
        <v>0.335</v>
      </c>
      <c r="BJ82" s="192" t="n">
        <v>1.235</v>
      </c>
    </row>
    <row r="83" customFormat="false" ht="12.75" hidden="false" customHeight="false" outlineLevel="0" collapsed="false">
      <c r="A83" s="194" t="e">
        <f aca="false">#REF!-B83</f>
        <v>#REF!</v>
      </c>
      <c r="B83" s="194" t="n">
        <v>3.351</v>
      </c>
      <c r="C83" s="200" t="n">
        <v>39142</v>
      </c>
      <c r="D83" s="194" t="n">
        <v>3.248</v>
      </c>
      <c r="E83" s="194" t="n">
        <v>0.22</v>
      </c>
      <c r="F83" s="194" t="n">
        <v>0.069138939704325</v>
      </c>
      <c r="G83" s="194" t="n">
        <v>-0.205</v>
      </c>
      <c r="H83" s="194" t="n">
        <v>-0.22</v>
      </c>
      <c r="I83" s="194" t="n">
        <v>-0.09</v>
      </c>
      <c r="J83" s="194" t="n">
        <v>-0.27</v>
      </c>
      <c r="K83" s="194" t="n">
        <v>-0.07</v>
      </c>
      <c r="L83" s="194" t="n">
        <v>-0.0575</v>
      </c>
      <c r="M83" s="194" t="n">
        <v>-0.175</v>
      </c>
      <c r="N83" s="194" t="n">
        <v>-0.175</v>
      </c>
      <c r="O83" s="194" t="n">
        <v>-0.205</v>
      </c>
      <c r="P83" s="192" t="n">
        <v>-0.205</v>
      </c>
      <c r="Q83" s="192" t="n">
        <v>-0.0875</v>
      </c>
      <c r="R83" s="192" t="n">
        <v>-0.0575</v>
      </c>
      <c r="S83" s="192" t="n">
        <v>0.2875</v>
      </c>
      <c r="T83" s="192" t="n">
        <v>0.2875</v>
      </c>
      <c r="U83" s="192" t="n">
        <v>0.1925</v>
      </c>
      <c r="V83" s="192" t="n">
        <v>0.04</v>
      </c>
      <c r="W83" s="196" t="n">
        <v>0.27</v>
      </c>
      <c r="X83" s="196" t="n">
        <v>0.39</v>
      </c>
      <c r="Y83" s="196" t="n">
        <v>-0.024</v>
      </c>
      <c r="Z83" s="196" t="n">
        <v>-0.0325</v>
      </c>
      <c r="AA83" s="196" t="n">
        <v>0.006</v>
      </c>
      <c r="AB83" s="196" t="n">
        <v>-0.0115</v>
      </c>
      <c r="AC83" s="196" t="n">
        <v>0.005</v>
      </c>
      <c r="AD83" s="196" t="n">
        <v>-0.005</v>
      </c>
      <c r="AE83" s="196" t="n">
        <v>-0.06</v>
      </c>
      <c r="AF83" s="196" t="n">
        <v>-0.042</v>
      </c>
      <c r="AG83" s="197" t="n">
        <v>-0.0555</v>
      </c>
      <c r="AH83" s="196" t="n">
        <v>-0.0165</v>
      </c>
      <c r="AI83" s="198" t="n">
        <v>-0.0725</v>
      </c>
      <c r="AJ83" s="198" t="n">
        <v>-0.1175</v>
      </c>
      <c r="AK83" s="199" t="n">
        <v>-0.008</v>
      </c>
      <c r="AL83" s="192" t="n">
        <v>0.014</v>
      </c>
      <c r="AM83" s="192" t="n">
        <v>0.965</v>
      </c>
      <c r="AN83" s="192" t="n">
        <v>-0.0275</v>
      </c>
      <c r="AO83" s="192" t="n">
        <v>-0.31</v>
      </c>
      <c r="AP83" s="192" t="n">
        <v>-0.1325</v>
      </c>
      <c r="AQ83" s="192" t="n">
        <v>-0.17</v>
      </c>
      <c r="AR83" s="192" t="n">
        <v>-0.18</v>
      </c>
      <c r="AS83" s="192" t="n">
        <v>-0.26</v>
      </c>
      <c r="AT83" s="192" t="n">
        <v>-0.31</v>
      </c>
      <c r="AU83" s="192" t="n">
        <v>0.14</v>
      </c>
      <c r="AV83" s="192" t="n">
        <v>-0.31</v>
      </c>
      <c r="AW83" s="192" t="n">
        <v>-0.1135</v>
      </c>
      <c r="AX83" s="192" t="n">
        <v>0</v>
      </c>
      <c r="AY83" s="192" t="n">
        <v>-0.1135</v>
      </c>
      <c r="AZ83" s="192" t="n">
        <v>-0.0575</v>
      </c>
      <c r="BA83" s="192" t="n">
        <v>-0.1065</v>
      </c>
      <c r="BB83" s="192" t="n">
        <v>-0.0215</v>
      </c>
      <c r="BC83" s="192" t="n">
        <v>-0.0775</v>
      </c>
      <c r="BD83" s="192" t="n">
        <v>-0.0625</v>
      </c>
      <c r="BE83" s="192" t="n">
        <v>-0.06</v>
      </c>
      <c r="BF83" s="192" t="n">
        <v>0.09</v>
      </c>
      <c r="BG83" s="192" t="n">
        <v>0.375</v>
      </c>
      <c r="BH83" s="192" t="n">
        <v>0.3325</v>
      </c>
      <c r="BI83" s="192" t="n">
        <v>0.3325</v>
      </c>
      <c r="BJ83" s="192" t="n">
        <v>0.875</v>
      </c>
    </row>
    <row r="84" customFormat="false" ht="12.75" hidden="false" customHeight="false" outlineLevel="0" collapsed="false">
      <c r="A84" s="194" t="e">
        <f aca="false">#REF!-B84</f>
        <v>#REF!</v>
      </c>
      <c r="B84" s="194" t="n">
        <v>3.566</v>
      </c>
      <c r="C84" s="200" t="n">
        <v>39173</v>
      </c>
      <c r="D84" s="194" t="n">
        <v>3.07</v>
      </c>
      <c r="E84" s="194" t="n">
        <v>0.22</v>
      </c>
      <c r="F84" s="194" t="n">
        <v>0.069190289097792</v>
      </c>
      <c r="G84" s="194" t="n">
        <v>-0.195</v>
      </c>
      <c r="H84" s="194" t="n">
        <v>-0.21</v>
      </c>
      <c r="I84" s="194" t="n">
        <v>-0.17</v>
      </c>
      <c r="J84" s="194" t="n">
        <v>-0.26</v>
      </c>
      <c r="K84" s="194" t="n">
        <v>-0.15</v>
      </c>
      <c r="L84" s="194" t="n">
        <v>-0.055</v>
      </c>
      <c r="M84" s="194" t="n">
        <v>-0.075</v>
      </c>
      <c r="N84" s="194" t="n">
        <v>-0.165</v>
      </c>
      <c r="O84" s="194" t="n">
        <v>-0.195</v>
      </c>
      <c r="P84" s="192" t="n">
        <v>-0.195</v>
      </c>
      <c r="Q84" s="192" t="n">
        <v>-0.065</v>
      </c>
      <c r="R84" s="192" t="n">
        <v>-0.055</v>
      </c>
      <c r="S84" s="192" t="n">
        <v>0.1925</v>
      </c>
      <c r="T84" s="192" t="n">
        <v>0.1925</v>
      </c>
      <c r="U84" s="192" t="n">
        <v>0.0975</v>
      </c>
      <c r="V84" s="192" t="n">
        <v>0.215</v>
      </c>
      <c r="W84" s="196" t="n">
        <v>0.205</v>
      </c>
      <c r="X84" s="196" t="n">
        <v>0.25</v>
      </c>
      <c r="Y84" s="196" t="n">
        <v>-0.0235</v>
      </c>
      <c r="Z84" s="196" t="n">
        <v>-0.025</v>
      </c>
      <c r="AA84" s="196" t="n">
        <v>0.006</v>
      </c>
      <c r="AB84" s="196" t="n">
        <v>-0.0115</v>
      </c>
      <c r="AC84" s="196" t="n">
        <v>0.005</v>
      </c>
      <c r="AD84" s="196" t="n">
        <v>0</v>
      </c>
      <c r="AE84" s="196" t="n">
        <v>-0.06</v>
      </c>
      <c r="AF84" s="196" t="n">
        <v>-0.047</v>
      </c>
      <c r="AG84" s="197" t="n">
        <v>-0.0555</v>
      </c>
      <c r="AH84" s="196" t="n">
        <v>-0.019</v>
      </c>
      <c r="AI84" s="198" t="n">
        <v>-0.068</v>
      </c>
      <c r="AJ84" s="198" t="n">
        <v>-0.075</v>
      </c>
      <c r="AK84" s="199" t="n">
        <v>-0.0155</v>
      </c>
      <c r="AL84" s="192" t="n">
        <v>0.009</v>
      </c>
      <c r="AM84" s="192" t="n">
        <v>0.45</v>
      </c>
      <c r="AN84" s="192" t="n">
        <v>0.015</v>
      </c>
      <c r="AO84" s="192" t="n">
        <v>-0.385</v>
      </c>
      <c r="AP84" s="192" t="n">
        <v>-0.12</v>
      </c>
      <c r="AQ84" s="192" t="n">
        <v>-0.17</v>
      </c>
      <c r="AR84" s="192" t="n">
        <v>-0.29</v>
      </c>
      <c r="AS84" s="192" t="n">
        <v>-0.335</v>
      </c>
      <c r="AT84" s="192" t="n">
        <v>-0.385</v>
      </c>
      <c r="AU84" s="192" t="n">
        <v>0.315</v>
      </c>
      <c r="AV84" s="192" t="n">
        <v>-0.385</v>
      </c>
      <c r="AW84" s="192" t="n">
        <v>-0.104</v>
      </c>
      <c r="AX84" s="192" t="n">
        <v>0</v>
      </c>
      <c r="AY84" s="192" t="n">
        <v>-0.104</v>
      </c>
      <c r="AZ84" s="192" t="n">
        <v>-0.055</v>
      </c>
      <c r="BA84" s="192" t="n">
        <v>-0.0915</v>
      </c>
      <c r="BB84" s="192" t="n">
        <v>-0.019</v>
      </c>
      <c r="BC84" s="192" t="n">
        <v>-0.06</v>
      </c>
      <c r="BD84" s="192" t="n">
        <v>-0.02</v>
      </c>
      <c r="BE84" s="192" t="n">
        <v>-0.06</v>
      </c>
      <c r="BF84" s="192" t="n">
        <v>0.12</v>
      </c>
      <c r="BG84" s="192" t="n">
        <v>0.1625</v>
      </c>
      <c r="BH84" s="192" t="n">
        <v>0.2225</v>
      </c>
      <c r="BI84" s="192" t="n">
        <v>0.2225</v>
      </c>
      <c r="BJ84" s="192" t="n">
        <v>0.365</v>
      </c>
    </row>
    <row r="85" customFormat="false" ht="12.75" hidden="false" customHeight="false" outlineLevel="0" collapsed="false">
      <c r="A85" s="194" t="e">
        <f aca="false">#REF!-B85</f>
        <v>#REF!</v>
      </c>
      <c r="B85" s="194" t="n">
        <v>3.455</v>
      </c>
      <c r="C85" s="200" t="n">
        <v>39203</v>
      </c>
      <c r="D85" s="194" t="n">
        <v>3.024</v>
      </c>
      <c r="E85" s="194" t="n">
        <v>0.22</v>
      </c>
      <c r="F85" s="194" t="n">
        <v>0.069239982060041</v>
      </c>
      <c r="G85" s="194" t="n">
        <v>-0.195</v>
      </c>
      <c r="H85" s="194" t="n">
        <v>-0.21</v>
      </c>
      <c r="I85" s="194" t="n">
        <v>-0.185</v>
      </c>
      <c r="J85" s="194" t="n">
        <v>-0.26</v>
      </c>
      <c r="K85" s="194" t="n">
        <v>-0.165</v>
      </c>
      <c r="L85" s="194" t="n">
        <v>-0.055</v>
      </c>
      <c r="M85" s="194" t="n">
        <v>-0.075</v>
      </c>
      <c r="N85" s="194" t="n">
        <v>-0.165</v>
      </c>
      <c r="O85" s="194" t="n">
        <v>-0.195</v>
      </c>
      <c r="P85" s="192" t="n">
        <v>-0.195</v>
      </c>
      <c r="Q85" s="192" t="n">
        <v>-0.065</v>
      </c>
      <c r="R85" s="192" t="n">
        <v>-0.055</v>
      </c>
      <c r="S85" s="192" t="n">
        <v>0.2025</v>
      </c>
      <c r="T85" s="192" t="n">
        <v>0.2025</v>
      </c>
      <c r="U85" s="192" t="n">
        <v>0.1075</v>
      </c>
      <c r="V85" s="192" t="n">
        <v>0.215</v>
      </c>
      <c r="W85" s="196" t="n">
        <v>0.1925</v>
      </c>
      <c r="X85" s="196" t="n">
        <v>0.2025</v>
      </c>
      <c r="Y85" s="196" t="n">
        <v>-0.0235</v>
      </c>
      <c r="Z85" s="196" t="n">
        <v>-0.02525</v>
      </c>
      <c r="AA85" s="196" t="n">
        <v>0.00575</v>
      </c>
      <c r="AB85" s="196" t="n">
        <v>-0.01175</v>
      </c>
      <c r="AC85" s="196" t="n">
        <v>0.005</v>
      </c>
      <c r="AD85" s="196" t="n">
        <v>0</v>
      </c>
      <c r="AE85" s="196" t="n">
        <v>-0.06</v>
      </c>
      <c r="AF85" s="196" t="n">
        <v>-0.047</v>
      </c>
      <c r="AG85" s="197" t="n">
        <v>-0.0555</v>
      </c>
      <c r="AH85" s="196" t="n">
        <v>-0.019</v>
      </c>
      <c r="AI85" s="198" t="n">
        <v>-0.068</v>
      </c>
      <c r="AJ85" s="198" t="n">
        <v>-0.075</v>
      </c>
      <c r="AK85" s="199" t="n">
        <v>-0.0155</v>
      </c>
      <c r="AL85" s="192" t="n">
        <v>0.009</v>
      </c>
      <c r="AM85" s="192" t="n">
        <v>0.405</v>
      </c>
      <c r="AN85" s="192" t="n">
        <v>0.015</v>
      </c>
      <c r="AO85" s="192" t="n">
        <v>-0.385</v>
      </c>
      <c r="AP85" s="192" t="n">
        <v>-0.12</v>
      </c>
      <c r="AQ85" s="192" t="n">
        <v>-0.17</v>
      </c>
      <c r="AR85" s="192" t="n">
        <v>-0.29</v>
      </c>
      <c r="AS85" s="192" t="n">
        <v>-0.335</v>
      </c>
      <c r="AT85" s="192" t="n">
        <v>-0.385</v>
      </c>
      <c r="AU85" s="192" t="n">
        <v>0.315</v>
      </c>
      <c r="AV85" s="192" t="n">
        <v>-0.385</v>
      </c>
      <c r="AW85" s="192" t="n">
        <v>-0.1015</v>
      </c>
      <c r="AX85" s="192" t="n">
        <v>0</v>
      </c>
      <c r="AY85" s="192" t="n">
        <v>-0.1015</v>
      </c>
      <c r="AZ85" s="192" t="n">
        <v>-0.055</v>
      </c>
      <c r="BA85" s="192" t="n">
        <v>-0.0865</v>
      </c>
      <c r="BB85" s="192" t="n">
        <v>-0.019</v>
      </c>
      <c r="BC85" s="192" t="n">
        <v>-0.06</v>
      </c>
      <c r="BD85" s="192" t="n">
        <v>-0.02</v>
      </c>
      <c r="BE85" s="192" t="n">
        <v>-0.06</v>
      </c>
      <c r="BF85" s="192" t="n">
        <v>0.12</v>
      </c>
      <c r="BG85" s="192" t="n">
        <v>0.1625</v>
      </c>
      <c r="BH85" s="192" t="n">
        <v>0.2325</v>
      </c>
      <c r="BI85" s="192" t="n">
        <v>0.2325</v>
      </c>
      <c r="BJ85" s="192" t="n">
        <v>0.2975</v>
      </c>
    </row>
    <row r="86" customFormat="false" ht="12.75" hidden="false" customHeight="false" outlineLevel="0" collapsed="false">
      <c r="A86" s="194" t="e">
        <f aca="false">#REF!-B86</f>
        <v>#REF!</v>
      </c>
      <c r="B86" s="194" t="n">
        <v>3.309</v>
      </c>
      <c r="C86" s="200" t="n">
        <v>39234</v>
      </c>
      <c r="D86" s="194" t="n">
        <v>3.036</v>
      </c>
      <c r="E86" s="194" t="n">
        <v>0.21</v>
      </c>
      <c r="F86" s="194" t="n">
        <v>0.069291331455223</v>
      </c>
      <c r="G86" s="194" t="n">
        <v>-0.195</v>
      </c>
      <c r="H86" s="194" t="n">
        <v>-0.21</v>
      </c>
      <c r="I86" s="194" t="n">
        <v>-0.195</v>
      </c>
      <c r="J86" s="194" t="n">
        <v>-0.26</v>
      </c>
      <c r="K86" s="194" t="n">
        <v>-0.175</v>
      </c>
      <c r="L86" s="194" t="n">
        <v>-0.055</v>
      </c>
      <c r="M86" s="194" t="n">
        <v>-0.075</v>
      </c>
      <c r="N86" s="194" t="n">
        <v>-0.165</v>
      </c>
      <c r="O86" s="194" t="n">
        <v>-0.195</v>
      </c>
      <c r="P86" s="192" t="n">
        <v>-0.195</v>
      </c>
      <c r="Q86" s="192" t="n">
        <v>-0.0625</v>
      </c>
      <c r="R86" s="192" t="n">
        <v>-0.055</v>
      </c>
      <c r="S86" s="192" t="n">
        <v>0.1975</v>
      </c>
      <c r="T86" s="192" t="n">
        <v>0.1975</v>
      </c>
      <c r="U86" s="192" t="n">
        <v>0.1025</v>
      </c>
      <c r="V86" s="192" t="n">
        <v>0</v>
      </c>
      <c r="W86" s="196" t="n">
        <v>0.1925</v>
      </c>
      <c r="X86" s="196" t="n">
        <v>0.2025</v>
      </c>
      <c r="Y86" s="196" t="n">
        <v>-0.0235</v>
      </c>
      <c r="Z86" s="196" t="n">
        <v>-0.02525</v>
      </c>
      <c r="AA86" s="196" t="n">
        <v>0.00575</v>
      </c>
      <c r="AB86" s="196" t="n">
        <v>-0.01175</v>
      </c>
      <c r="AC86" s="196" t="n">
        <v>0.005</v>
      </c>
      <c r="AD86" s="196" t="n">
        <v>0</v>
      </c>
      <c r="AE86" s="196" t="n">
        <v>-0.06</v>
      </c>
      <c r="AF86" s="196" t="n">
        <v>-0.047</v>
      </c>
      <c r="AG86" s="197" t="n">
        <v>-0.0555</v>
      </c>
      <c r="AH86" s="196" t="n">
        <v>-0.019</v>
      </c>
      <c r="AI86" s="198" t="n">
        <v>-0.084</v>
      </c>
      <c r="AJ86" s="198" t="n">
        <v>-0.07</v>
      </c>
      <c r="AK86" s="199" t="n">
        <v>-0.0155</v>
      </c>
      <c r="AL86" s="192" t="n">
        <v>0.009</v>
      </c>
      <c r="AM86" s="192" t="n">
        <v>0.395</v>
      </c>
      <c r="AN86" s="192" t="n">
        <v>0.02</v>
      </c>
      <c r="AO86" s="192" t="n">
        <v>-0.385</v>
      </c>
      <c r="AP86" s="192" t="n">
        <v>-0.12</v>
      </c>
      <c r="AQ86" s="192" t="n">
        <v>-0.17</v>
      </c>
      <c r="AR86" s="192" t="n">
        <v>-0.29</v>
      </c>
      <c r="AS86" s="192" t="n">
        <v>-0.335</v>
      </c>
      <c r="AT86" s="192" t="n">
        <v>-0.385</v>
      </c>
      <c r="AU86" s="192" t="n">
        <v>0.315</v>
      </c>
      <c r="AV86" s="192" t="n">
        <v>-0.385</v>
      </c>
      <c r="AW86" s="192" t="n">
        <v>-0.094</v>
      </c>
      <c r="AX86" s="192" t="n">
        <v>0</v>
      </c>
      <c r="AY86" s="192" t="n">
        <v>-0.094</v>
      </c>
      <c r="AZ86" s="192" t="n">
        <v>-0.055</v>
      </c>
      <c r="BA86" s="192" t="n">
        <v>-0.0815</v>
      </c>
      <c r="BB86" s="192" t="n">
        <v>-0.019</v>
      </c>
      <c r="BC86" s="192" t="n">
        <v>-0.06</v>
      </c>
      <c r="BD86" s="192" t="n">
        <v>-0.015</v>
      </c>
      <c r="BE86" s="192" t="n">
        <v>-0.06</v>
      </c>
      <c r="BF86" s="192" t="n">
        <v>0.12</v>
      </c>
      <c r="BG86" s="192" t="n">
        <v>0.1625</v>
      </c>
      <c r="BH86" s="192" t="n">
        <v>0.2275</v>
      </c>
      <c r="BI86" s="192" t="n">
        <v>0.2275</v>
      </c>
      <c r="BJ86" s="192" t="n">
        <v>0.2975</v>
      </c>
    </row>
    <row r="87" customFormat="false" ht="12.75" hidden="false" customHeight="false" outlineLevel="0" collapsed="false">
      <c r="A87" s="194" t="e">
        <f aca="false">#REF!-B87</f>
        <v>#REF!</v>
      </c>
      <c r="B87" s="194" t="n">
        <v>3.166</v>
      </c>
      <c r="C87" s="200" t="n">
        <v>39264</v>
      </c>
      <c r="D87" s="194" t="n">
        <v>3.044</v>
      </c>
      <c r="E87" s="194" t="n">
        <v>0.21</v>
      </c>
      <c r="F87" s="194" t="n">
        <v>0.069341024419133</v>
      </c>
      <c r="G87" s="194" t="n">
        <v>-0.195</v>
      </c>
      <c r="H87" s="194" t="n">
        <v>-0.21</v>
      </c>
      <c r="I87" s="194" t="n">
        <v>-0.195</v>
      </c>
      <c r="J87" s="194" t="n">
        <v>-0.28</v>
      </c>
      <c r="K87" s="194" t="n">
        <v>-0.175</v>
      </c>
      <c r="L87" s="194" t="n">
        <v>-0.055</v>
      </c>
      <c r="M87" s="194" t="n">
        <v>-0.075</v>
      </c>
      <c r="N87" s="194" t="n">
        <v>-0.165</v>
      </c>
      <c r="O87" s="194" t="n">
        <v>-0.195</v>
      </c>
      <c r="P87" s="192" t="n">
        <v>-0.195</v>
      </c>
      <c r="Q87" s="192" t="n">
        <v>-0.06125</v>
      </c>
      <c r="R87" s="192" t="n">
        <v>-0.055</v>
      </c>
      <c r="S87" s="192" t="n">
        <v>0.1875</v>
      </c>
      <c r="T87" s="192" t="n">
        <v>0.1875</v>
      </c>
      <c r="U87" s="192" t="n">
        <v>0.0925</v>
      </c>
      <c r="V87" s="192" t="n">
        <v>0</v>
      </c>
      <c r="W87" s="196" t="n">
        <v>0.1925</v>
      </c>
      <c r="X87" s="196" t="n">
        <v>0.215</v>
      </c>
      <c r="Y87" s="196" t="n">
        <v>-0.0235</v>
      </c>
      <c r="Z87" s="196" t="n">
        <v>-0.02525</v>
      </c>
      <c r="AA87" s="196" t="n">
        <v>0.00575</v>
      </c>
      <c r="AB87" s="196" t="n">
        <v>-0.01175</v>
      </c>
      <c r="AC87" s="196" t="n">
        <v>0.005</v>
      </c>
      <c r="AD87" s="196" t="n">
        <v>0</v>
      </c>
      <c r="AE87" s="196" t="n">
        <v>-0.06</v>
      </c>
      <c r="AF87" s="196" t="n">
        <v>-0.047</v>
      </c>
      <c r="AG87" s="197" t="n">
        <v>-0.0555</v>
      </c>
      <c r="AH87" s="196" t="n">
        <v>-0.019</v>
      </c>
      <c r="AI87" s="198" t="n">
        <v>-0.077</v>
      </c>
      <c r="AJ87" s="198" t="n">
        <v>-0.0675</v>
      </c>
      <c r="AK87" s="199" t="n">
        <v>-0.0155</v>
      </c>
      <c r="AL87" s="192" t="n">
        <v>0.009</v>
      </c>
      <c r="AM87" s="192" t="n">
        <v>0.43</v>
      </c>
      <c r="AN87" s="192" t="n">
        <v>0.0225</v>
      </c>
      <c r="AO87" s="192" t="n">
        <v>-0.385</v>
      </c>
      <c r="AP87" s="192" t="n">
        <v>-0.12</v>
      </c>
      <c r="AQ87" s="192" t="n">
        <v>-0.17</v>
      </c>
      <c r="AR87" s="192" t="n">
        <v>-0.29</v>
      </c>
      <c r="AS87" s="192" t="n">
        <v>-0.335</v>
      </c>
      <c r="AT87" s="192" t="n">
        <v>-0.385</v>
      </c>
      <c r="AU87" s="192" t="n">
        <v>0.315</v>
      </c>
      <c r="AV87" s="192" t="n">
        <v>-0.385</v>
      </c>
      <c r="AW87" s="192" t="n">
        <v>-0.1015</v>
      </c>
      <c r="AX87" s="192" t="n">
        <v>0</v>
      </c>
      <c r="AY87" s="192" t="n">
        <v>-0.1015</v>
      </c>
      <c r="AZ87" s="192" t="n">
        <v>-0.055</v>
      </c>
      <c r="BA87" s="192" t="n">
        <v>-0.0765</v>
      </c>
      <c r="BB87" s="192" t="n">
        <v>-0.019</v>
      </c>
      <c r="BC87" s="192" t="n">
        <v>-0.06</v>
      </c>
      <c r="BD87" s="192" t="n">
        <v>-0.0125</v>
      </c>
      <c r="BE87" s="192" t="n">
        <v>-0.06</v>
      </c>
      <c r="BF87" s="192" t="n">
        <v>0.12</v>
      </c>
      <c r="BG87" s="192" t="n">
        <v>0.1625</v>
      </c>
      <c r="BH87" s="192" t="n">
        <v>0.2175</v>
      </c>
      <c r="BI87" s="192" t="n">
        <v>0.2175</v>
      </c>
      <c r="BJ87" s="192" t="n">
        <v>0.31</v>
      </c>
    </row>
    <row r="88" customFormat="false" ht="12.75" hidden="false" customHeight="false" outlineLevel="0" collapsed="false">
      <c r="A88" s="194" t="e">
        <f aca="false">#REF!-B88</f>
        <v>#REF!</v>
      </c>
      <c r="B88" s="194" t="n">
        <v>3.142</v>
      </c>
      <c r="C88" s="200" t="n">
        <v>39295</v>
      </c>
      <c r="D88" s="194" t="n">
        <v>3.051</v>
      </c>
      <c r="E88" s="194" t="n">
        <v>0.21</v>
      </c>
      <c r="F88" s="194" t="n">
        <v>0.069392373816032</v>
      </c>
      <c r="G88" s="194" t="n">
        <v>-0.195</v>
      </c>
      <c r="H88" s="194" t="n">
        <v>-0.21</v>
      </c>
      <c r="I88" s="194" t="n">
        <v>-0.195</v>
      </c>
      <c r="J88" s="194" t="n">
        <v>-0.28</v>
      </c>
      <c r="K88" s="194" t="n">
        <v>-0.175</v>
      </c>
      <c r="L88" s="194" t="n">
        <v>-0.055</v>
      </c>
      <c r="M88" s="194" t="n">
        <v>-0.075</v>
      </c>
      <c r="N88" s="194" t="n">
        <v>-0.165</v>
      </c>
      <c r="O88" s="194" t="n">
        <v>-0.195</v>
      </c>
      <c r="P88" s="192" t="n">
        <v>-0.195</v>
      </c>
      <c r="Q88" s="192" t="n">
        <v>-0.06</v>
      </c>
      <c r="R88" s="192" t="n">
        <v>-0.055</v>
      </c>
      <c r="S88" s="192" t="n">
        <v>0.185</v>
      </c>
      <c r="T88" s="192" t="n">
        <v>0.185</v>
      </c>
      <c r="U88" s="192" t="n">
        <v>0.09</v>
      </c>
      <c r="V88" s="192" t="n">
        <v>0</v>
      </c>
      <c r="W88" s="196" t="n">
        <v>0.1925</v>
      </c>
      <c r="X88" s="196" t="n">
        <v>0.215</v>
      </c>
      <c r="Y88" s="196" t="n">
        <v>-0.0235</v>
      </c>
      <c r="Z88" s="196" t="n">
        <v>-0.02525</v>
      </c>
      <c r="AA88" s="196" t="n">
        <v>0.00575</v>
      </c>
      <c r="AB88" s="196" t="n">
        <v>-0.01175</v>
      </c>
      <c r="AC88" s="196" t="n">
        <v>0.005</v>
      </c>
      <c r="AD88" s="196" t="n">
        <v>0</v>
      </c>
      <c r="AE88" s="196" t="n">
        <v>-0.06</v>
      </c>
      <c r="AF88" s="196" t="n">
        <v>-0.047</v>
      </c>
      <c r="AG88" s="197" t="n">
        <v>-0.0555</v>
      </c>
      <c r="AH88" s="196" t="n">
        <v>-0.019</v>
      </c>
      <c r="AI88" s="198" t="n">
        <v>-0.058</v>
      </c>
      <c r="AJ88" s="198" t="n">
        <v>-0.065</v>
      </c>
      <c r="AK88" s="199" t="n">
        <v>-0.0155</v>
      </c>
      <c r="AL88" s="192" t="n">
        <v>0.009</v>
      </c>
      <c r="AM88" s="192" t="n">
        <v>0.495</v>
      </c>
      <c r="AN88" s="192" t="n">
        <v>0.025</v>
      </c>
      <c r="AO88" s="192" t="n">
        <v>-0.385</v>
      </c>
      <c r="AP88" s="192" t="n">
        <v>-0.12</v>
      </c>
      <c r="AQ88" s="192" t="n">
        <v>-0.17</v>
      </c>
      <c r="AR88" s="192" t="n">
        <v>-0.29</v>
      </c>
      <c r="AS88" s="192" t="n">
        <v>-0.335</v>
      </c>
      <c r="AT88" s="192" t="n">
        <v>-0.385</v>
      </c>
      <c r="AU88" s="192" t="n">
        <v>0.315</v>
      </c>
      <c r="AV88" s="192" t="n">
        <v>-0.385</v>
      </c>
      <c r="AW88" s="192" t="n">
        <v>-0.089</v>
      </c>
      <c r="AX88" s="192" t="n">
        <v>0</v>
      </c>
      <c r="AY88" s="192" t="n">
        <v>-0.089</v>
      </c>
      <c r="AZ88" s="192" t="n">
        <v>-0.055</v>
      </c>
      <c r="BA88" s="192" t="n">
        <v>-0.0765</v>
      </c>
      <c r="BB88" s="192" t="n">
        <v>-0.019</v>
      </c>
      <c r="BC88" s="192" t="n">
        <v>-0.06</v>
      </c>
      <c r="BD88" s="192" t="n">
        <v>-0.01</v>
      </c>
      <c r="BE88" s="192" t="n">
        <v>-0.06</v>
      </c>
      <c r="BF88" s="192" t="n">
        <v>0.12</v>
      </c>
      <c r="BG88" s="192" t="n">
        <v>0.1625</v>
      </c>
      <c r="BH88" s="192" t="n">
        <v>0.215</v>
      </c>
      <c r="BI88" s="192" t="n">
        <v>0.215</v>
      </c>
      <c r="BJ88" s="192" t="n">
        <v>0.31</v>
      </c>
    </row>
    <row r="89" customFormat="false" ht="12.75" hidden="false" customHeight="false" outlineLevel="0" collapsed="false">
      <c r="A89" s="194" t="e">
        <f aca="false">#REF!-B89</f>
        <v>#REF!</v>
      </c>
      <c r="B89" s="194" t="n">
        <v>3.126</v>
      </c>
      <c r="C89" s="200" t="n">
        <v>39326</v>
      </c>
      <c r="D89" s="194" t="n">
        <v>3.037</v>
      </c>
      <c r="E89" s="194" t="n">
        <v>0.21</v>
      </c>
      <c r="F89" s="194" t="n">
        <v>0.069443723213803</v>
      </c>
      <c r="G89" s="194" t="n">
        <v>-0.195</v>
      </c>
      <c r="H89" s="194" t="n">
        <v>-0.21</v>
      </c>
      <c r="I89" s="194" t="n">
        <v>-0.185</v>
      </c>
      <c r="J89" s="194" t="n">
        <v>-0.28</v>
      </c>
      <c r="K89" s="194" t="n">
        <v>-0.165</v>
      </c>
      <c r="L89" s="194" t="n">
        <v>-0.055</v>
      </c>
      <c r="M89" s="194" t="n">
        <v>-0.075</v>
      </c>
      <c r="N89" s="194" t="n">
        <v>-0.165</v>
      </c>
      <c r="O89" s="194" t="n">
        <v>-0.195</v>
      </c>
      <c r="P89" s="192" t="n">
        <v>-0.195</v>
      </c>
      <c r="Q89" s="192" t="n">
        <v>-0.06375</v>
      </c>
      <c r="R89" s="192" t="n">
        <v>-0.055</v>
      </c>
      <c r="S89" s="192" t="n">
        <v>0.1825</v>
      </c>
      <c r="T89" s="192" t="n">
        <v>0.1825</v>
      </c>
      <c r="U89" s="192" t="n">
        <v>0.0875</v>
      </c>
      <c r="V89" s="192" t="n">
        <v>0</v>
      </c>
      <c r="W89" s="196" t="n">
        <v>0.1925</v>
      </c>
      <c r="X89" s="196" t="n">
        <v>0.195</v>
      </c>
      <c r="Y89" s="196" t="n">
        <v>-0.0235</v>
      </c>
      <c r="Z89" s="196" t="n">
        <v>-0.02525</v>
      </c>
      <c r="AA89" s="196" t="n">
        <v>0.00575</v>
      </c>
      <c r="AB89" s="196" t="n">
        <v>-0.01175</v>
      </c>
      <c r="AC89" s="196" t="n">
        <v>0.005</v>
      </c>
      <c r="AD89" s="196" t="n">
        <v>0</v>
      </c>
      <c r="AE89" s="196" t="n">
        <v>-0.06</v>
      </c>
      <c r="AF89" s="196" t="n">
        <v>-0.047</v>
      </c>
      <c r="AG89" s="197" t="n">
        <v>-0.0555</v>
      </c>
      <c r="AH89" s="196" t="n">
        <v>-0.019</v>
      </c>
      <c r="AI89" s="198" t="n">
        <v>-0.056</v>
      </c>
      <c r="AJ89" s="198" t="n">
        <v>-0.0725</v>
      </c>
      <c r="AK89" s="199" t="n">
        <v>-0.0155</v>
      </c>
      <c r="AL89" s="192" t="n">
        <v>0.009</v>
      </c>
      <c r="AM89" s="192" t="n">
        <v>0.395</v>
      </c>
      <c r="AN89" s="192" t="n">
        <v>0.0175</v>
      </c>
      <c r="AO89" s="192" t="n">
        <v>-0.385</v>
      </c>
      <c r="AP89" s="192" t="n">
        <v>-0.12</v>
      </c>
      <c r="AQ89" s="192" t="n">
        <v>-0.17</v>
      </c>
      <c r="AR89" s="192" t="n">
        <v>-0.29</v>
      </c>
      <c r="AS89" s="192" t="n">
        <v>-0.335</v>
      </c>
      <c r="AT89" s="192" t="n">
        <v>-0.385</v>
      </c>
      <c r="AU89" s="192" t="n">
        <v>0.315</v>
      </c>
      <c r="AV89" s="192" t="n">
        <v>-0.385</v>
      </c>
      <c r="AW89" s="192" t="n">
        <v>-0.094</v>
      </c>
      <c r="AX89" s="192" t="n">
        <v>0</v>
      </c>
      <c r="AY89" s="192" t="n">
        <v>-0.094</v>
      </c>
      <c r="AZ89" s="192" t="n">
        <v>-0.055</v>
      </c>
      <c r="BA89" s="192" t="n">
        <v>-0.0915</v>
      </c>
      <c r="BB89" s="192" t="n">
        <v>-0.019</v>
      </c>
      <c r="BC89" s="192" t="n">
        <v>-0.06</v>
      </c>
      <c r="BD89" s="192" t="n">
        <v>-0.0175</v>
      </c>
      <c r="BE89" s="192" t="n">
        <v>-0.06</v>
      </c>
      <c r="BF89" s="192" t="n">
        <v>0.12</v>
      </c>
      <c r="BG89" s="192" t="n">
        <v>0.1625</v>
      </c>
      <c r="BH89" s="192" t="n">
        <v>0.2125</v>
      </c>
      <c r="BI89" s="192" t="n">
        <v>0.2125</v>
      </c>
      <c r="BJ89" s="192" t="n">
        <v>0.3</v>
      </c>
    </row>
    <row r="90" customFormat="false" ht="12.75" hidden="false" customHeight="false" outlineLevel="0" collapsed="false">
      <c r="A90" s="194" t="e">
        <f aca="false">#REF!-B90</f>
        <v>#REF!</v>
      </c>
      <c r="B90" s="194" t="n">
        <v>3.191</v>
      </c>
      <c r="C90" s="200" t="n">
        <v>39356</v>
      </c>
      <c r="D90" s="194" t="n">
        <v>3.056</v>
      </c>
      <c r="E90" s="194" t="n">
        <v>0.2</v>
      </c>
      <c r="F90" s="194" t="n">
        <v>0.069488464519514</v>
      </c>
      <c r="G90" s="194" t="n">
        <v>-0.195</v>
      </c>
      <c r="H90" s="194" t="n">
        <v>-0.21</v>
      </c>
      <c r="I90" s="194" t="n">
        <v>-0.17</v>
      </c>
      <c r="J90" s="194" t="n">
        <v>-0.28</v>
      </c>
      <c r="K90" s="194" t="n">
        <v>-0.15</v>
      </c>
      <c r="L90" s="194" t="n">
        <v>-0.055</v>
      </c>
      <c r="M90" s="194" t="n">
        <v>-0.075</v>
      </c>
      <c r="N90" s="194" t="n">
        <v>-0.165</v>
      </c>
      <c r="O90" s="194" t="n">
        <v>-0.195</v>
      </c>
      <c r="P90" s="192" t="n">
        <v>-0.195</v>
      </c>
      <c r="Q90" s="192" t="n">
        <v>-0.06875</v>
      </c>
      <c r="R90" s="192" t="n">
        <v>-0.055</v>
      </c>
      <c r="S90" s="192" t="n">
        <v>0.1975</v>
      </c>
      <c r="T90" s="192" t="n">
        <v>0.1975</v>
      </c>
      <c r="U90" s="192" t="n">
        <v>0.1025</v>
      </c>
      <c r="V90" s="192" t="n">
        <v>0</v>
      </c>
      <c r="W90" s="196" t="n">
        <v>0.1975</v>
      </c>
      <c r="X90" s="196" t="n">
        <v>0.215</v>
      </c>
      <c r="Y90" s="196" t="n">
        <v>-0.0235</v>
      </c>
      <c r="Z90" s="196" t="n">
        <v>-0.02525</v>
      </c>
      <c r="AA90" s="196" t="n">
        <v>-0.0125</v>
      </c>
      <c r="AB90" s="196" t="n">
        <v>-0.03</v>
      </c>
      <c r="AC90" s="196" t="n">
        <v>0.005</v>
      </c>
      <c r="AD90" s="196" t="n">
        <v>0</v>
      </c>
      <c r="AE90" s="196" t="n">
        <v>-0.06</v>
      </c>
      <c r="AF90" s="196" t="n">
        <v>-0.047</v>
      </c>
      <c r="AG90" s="197" t="n">
        <v>-0.0555</v>
      </c>
      <c r="AH90" s="196" t="n">
        <v>-0.019</v>
      </c>
      <c r="AI90" s="198" t="n">
        <v>-0.058</v>
      </c>
      <c r="AJ90" s="198" t="n">
        <v>-0.0825</v>
      </c>
      <c r="AK90" s="199" t="n">
        <v>-0.0155</v>
      </c>
      <c r="AL90" s="192" t="n">
        <v>0.009</v>
      </c>
      <c r="AM90" s="192" t="n">
        <v>0.461</v>
      </c>
      <c r="AN90" s="192" t="n">
        <v>0.0075</v>
      </c>
      <c r="AO90" s="192" t="n">
        <v>-0.385</v>
      </c>
      <c r="AP90" s="192" t="n">
        <v>-0.12</v>
      </c>
      <c r="AQ90" s="192" t="n">
        <v>-0.17</v>
      </c>
      <c r="AR90" s="192" t="n">
        <v>-0.29</v>
      </c>
      <c r="AS90" s="192" t="n">
        <v>-0.335</v>
      </c>
      <c r="AT90" s="192" t="n">
        <v>-0.385</v>
      </c>
      <c r="AU90" s="192" t="n">
        <v>0.315</v>
      </c>
      <c r="AV90" s="192" t="n">
        <v>-0.385</v>
      </c>
      <c r="AW90" s="192" t="n">
        <v>-0.104</v>
      </c>
      <c r="AX90" s="192" t="n">
        <v>0</v>
      </c>
      <c r="AY90" s="192" t="n">
        <v>-0.104</v>
      </c>
      <c r="AZ90" s="192" t="n">
        <v>-0.055</v>
      </c>
      <c r="BA90" s="192" t="n">
        <v>-0.094</v>
      </c>
      <c r="BB90" s="192" t="n">
        <v>-0.019</v>
      </c>
      <c r="BC90" s="192" t="n">
        <v>-0.06</v>
      </c>
      <c r="BD90" s="192" t="n">
        <v>-0.0275</v>
      </c>
      <c r="BE90" s="192" t="n">
        <v>-0.06</v>
      </c>
      <c r="BF90" s="192" t="n">
        <v>0.12</v>
      </c>
      <c r="BG90" s="192" t="n">
        <v>0.1625</v>
      </c>
      <c r="BH90" s="192" t="n">
        <v>0.2275</v>
      </c>
      <c r="BI90" s="192" t="n">
        <v>0.2275</v>
      </c>
      <c r="BJ90" s="192" t="n">
        <v>0.37253</v>
      </c>
    </row>
    <row r="91" customFormat="false" ht="12.75" hidden="false" customHeight="false" outlineLevel="0" collapsed="false">
      <c r="A91" s="194" t="e">
        <f aca="false">#REF!-B91</f>
        <v>#REF!</v>
      </c>
      <c r="B91" s="194" t="n">
        <v>3.186</v>
      </c>
      <c r="C91" s="200" t="n">
        <v>39387</v>
      </c>
      <c r="D91" s="194" t="n">
        <v>3.128</v>
      </c>
      <c r="E91" s="194" t="n">
        <v>0.2</v>
      </c>
      <c r="F91" s="194" t="n">
        <v>0.069525859238557</v>
      </c>
      <c r="G91" s="194" t="n">
        <v>-0.19</v>
      </c>
      <c r="H91" s="194" t="n">
        <v>-0.2</v>
      </c>
      <c r="I91" s="194" t="n">
        <v>-0.1325</v>
      </c>
      <c r="J91" s="194" t="n">
        <v>-0.275</v>
      </c>
      <c r="K91" s="194" t="n">
        <v>-0.1125</v>
      </c>
      <c r="L91" s="194" t="n">
        <v>-0.055</v>
      </c>
      <c r="M91" s="194" t="n">
        <v>-0.09</v>
      </c>
      <c r="N91" s="194" t="n">
        <v>-0.16</v>
      </c>
      <c r="O91" s="194" t="n">
        <v>-0.19</v>
      </c>
      <c r="P91" s="192" t="n">
        <v>-0.19</v>
      </c>
      <c r="Q91" s="192" t="n">
        <v>-0.08875</v>
      </c>
      <c r="R91" s="192" t="n">
        <v>-0.055</v>
      </c>
      <c r="S91" s="192" t="n">
        <v>0.26</v>
      </c>
      <c r="T91" s="192" t="n">
        <v>0.26</v>
      </c>
      <c r="U91" s="192" t="n">
        <v>0.165</v>
      </c>
      <c r="V91" s="192" t="n">
        <v>0</v>
      </c>
      <c r="W91" s="196" t="n">
        <v>0.2725</v>
      </c>
      <c r="X91" s="196" t="n">
        <v>0.315</v>
      </c>
      <c r="Y91" s="196" t="n">
        <v>-0.0265</v>
      </c>
      <c r="Z91" s="196" t="n">
        <v>-0.04</v>
      </c>
      <c r="AA91" s="196" t="n">
        <v>-0.0115</v>
      </c>
      <c r="AB91" s="196" t="n">
        <v>-0.029</v>
      </c>
      <c r="AC91" s="196" t="n">
        <v>0.005</v>
      </c>
      <c r="AD91" s="196" t="n">
        <v>-0.003</v>
      </c>
      <c r="AE91" s="196" t="n">
        <v>-0.06</v>
      </c>
      <c r="AF91" s="196" t="n">
        <v>-0.042</v>
      </c>
      <c r="AG91" s="197" t="n">
        <v>-0.0535</v>
      </c>
      <c r="AH91" s="196" t="n">
        <v>-0.0155</v>
      </c>
      <c r="AI91" s="198" t="n">
        <v>-0.0705</v>
      </c>
      <c r="AJ91" s="198" t="n">
        <v>-0.1225</v>
      </c>
      <c r="AK91" s="199" t="n">
        <v>-0.0105</v>
      </c>
      <c r="AL91" s="192" t="n">
        <v>0.015</v>
      </c>
      <c r="AM91" s="192" t="n">
        <v>0.885</v>
      </c>
      <c r="AN91" s="192" t="n">
        <v>-0.0325</v>
      </c>
      <c r="AO91" s="192" t="n">
        <v>-0.31</v>
      </c>
      <c r="AP91" s="192" t="n">
        <v>-0.1325</v>
      </c>
      <c r="AQ91" s="192" t="n">
        <v>-0.17</v>
      </c>
      <c r="AR91" s="192" t="n">
        <v>0</v>
      </c>
      <c r="AS91" s="192" t="n">
        <v>-0.26</v>
      </c>
      <c r="AT91" s="192" t="n">
        <v>0</v>
      </c>
      <c r="AU91" s="192" t="n">
        <v>0.14</v>
      </c>
      <c r="AV91" s="192" t="n">
        <v>-0.31</v>
      </c>
      <c r="AW91" s="192" t="n">
        <v>-0.1165</v>
      </c>
      <c r="AX91" s="192" t="n">
        <v>0</v>
      </c>
      <c r="AY91" s="192" t="n">
        <v>-0.1165</v>
      </c>
      <c r="AZ91" s="192" t="n">
        <v>-0.055</v>
      </c>
      <c r="BA91" s="192" t="n">
        <v>-0.099</v>
      </c>
      <c r="BB91" s="192" t="n">
        <v>-0.0205</v>
      </c>
      <c r="BC91" s="192" t="n">
        <v>-0.075</v>
      </c>
      <c r="BD91" s="192" t="n">
        <v>-0.0675</v>
      </c>
      <c r="BE91" s="192" t="n">
        <v>-0.06</v>
      </c>
      <c r="BF91" s="192" t="n">
        <v>0.09</v>
      </c>
      <c r="BG91" s="192" t="n">
        <v>0.295</v>
      </c>
      <c r="BH91" s="192" t="n">
        <v>0.305</v>
      </c>
      <c r="BI91" s="192" t="n">
        <v>0.305</v>
      </c>
      <c r="BJ91" s="192" t="n">
        <v>0.56</v>
      </c>
    </row>
    <row r="92" customFormat="false" ht="12.75" hidden="false" customHeight="false" outlineLevel="0" collapsed="false">
      <c r="A92" s="194" t="e">
        <f aca="false">#REF!-B92</f>
        <v>#REF!</v>
      </c>
      <c r="B92" s="194" t="n">
        <v>3.172</v>
      </c>
      <c r="C92" s="200" t="n">
        <v>39417</v>
      </c>
      <c r="D92" s="194" t="n">
        <v>3.192</v>
      </c>
      <c r="E92" s="194" t="n">
        <v>0.2</v>
      </c>
      <c r="F92" s="194" t="n">
        <v>0.069562047676781</v>
      </c>
      <c r="G92" s="194" t="n">
        <v>-0.1975</v>
      </c>
      <c r="H92" s="194" t="n">
        <v>-0.2075</v>
      </c>
      <c r="I92" s="194" t="n">
        <v>-0.125</v>
      </c>
      <c r="J92" s="194" t="n">
        <v>-0.2825</v>
      </c>
      <c r="K92" s="194" t="n">
        <v>-0.105</v>
      </c>
      <c r="L92" s="194" t="n">
        <v>-0.055</v>
      </c>
      <c r="M92" s="194" t="n">
        <v>-0.09</v>
      </c>
      <c r="N92" s="194" t="n">
        <v>-0.1675</v>
      </c>
      <c r="O92" s="194" t="n">
        <v>-0.1975</v>
      </c>
      <c r="P92" s="192" t="n">
        <v>-0.1975</v>
      </c>
      <c r="Q92" s="192" t="n">
        <v>-0.1</v>
      </c>
      <c r="R92" s="192" t="n">
        <v>-0.055</v>
      </c>
      <c r="S92" s="192" t="n">
        <v>0.3</v>
      </c>
      <c r="T92" s="192" t="n">
        <v>0.3</v>
      </c>
      <c r="U92" s="192" t="n">
        <v>0.205</v>
      </c>
      <c r="V92" s="192" t="n">
        <v>0</v>
      </c>
      <c r="W92" s="196" t="n">
        <v>0.3075</v>
      </c>
      <c r="X92" s="196" t="n">
        <v>0.395</v>
      </c>
      <c r="Y92" s="196" t="n">
        <v>-0.0265</v>
      </c>
      <c r="Z92" s="196" t="n">
        <v>-0.0325</v>
      </c>
      <c r="AA92" s="196" t="n">
        <v>-0.0115</v>
      </c>
      <c r="AB92" s="196" t="n">
        <v>-0.029</v>
      </c>
      <c r="AC92" s="196" t="n">
        <v>0.005</v>
      </c>
      <c r="AD92" s="196" t="n">
        <v>-0.003</v>
      </c>
      <c r="AE92" s="196" t="n">
        <v>-0.06</v>
      </c>
      <c r="AF92" s="196" t="n">
        <v>-0.042</v>
      </c>
      <c r="AG92" s="197" t="n">
        <v>-0.0535</v>
      </c>
      <c r="AH92" s="196" t="n">
        <v>-0.0155</v>
      </c>
      <c r="AI92" s="198" t="n">
        <v>-0.0705</v>
      </c>
      <c r="AJ92" s="198" t="n">
        <v>-0.145</v>
      </c>
      <c r="AK92" s="199" t="n">
        <v>-0.0105</v>
      </c>
      <c r="AL92" s="192" t="n">
        <v>0.015</v>
      </c>
      <c r="AM92" s="192" t="n">
        <v>1.31</v>
      </c>
      <c r="AN92" s="192" t="n">
        <v>-0.055</v>
      </c>
      <c r="AO92" s="192" t="n">
        <v>-0.31</v>
      </c>
      <c r="AP92" s="192" t="n">
        <v>-0.1275</v>
      </c>
      <c r="AQ92" s="192" t="n">
        <v>-0.17</v>
      </c>
      <c r="AR92" s="192" t="n">
        <v>0.06</v>
      </c>
      <c r="AS92" s="192" t="n">
        <v>-0.26</v>
      </c>
      <c r="AT92" s="192" t="n">
        <v>0</v>
      </c>
      <c r="AU92" s="192" t="n">
        <v>0.14</v>
      </c>
      <c r="AV92" s="192" t="n">
        <v>-0.31</v>
      </c>
      <c r="AW92" s="192" t="n">
        <v>-0.1415</v>
      </c>
      <c r="AX92" s="192" t="n">
        <v>0</v>
      </c>
      <c r="AY92" s="192" t="n">
        <v>-0.1415</v>
      </c>
      <c r="AZ92" s="192" t="n">
        <v>-0.055</v>
      </c>
      <c r="BA92" s="192" t="n">
        <v>-0.1315</v>
      </c>
      <c r="BB92" s="192" t="n">
        <v>-0.0205</v>
      </c>
      <c r="BC92" s="192" t="n">
        <v>-0.075</v>
      </c>
      <c r="BD92" s="192" t="n">
        <v>-0.09</v>
      </c>
      <c r="BE92" s="192" t="n">
        <v>-0.06</v>
      </c>
      <c r="BF92" s="192" t="n">
        <v>0.09</v>
      </c>
      <c r="BG92" s="192" t="n">
        <v>0.25</v>
      </c>
      <c r="BH92" s="192" t="n">
        <v>0.345</v>
      </c>
      <c r="BI92" s="192" t="n">
        <v>0.345</v>
      </c>
      <c r="BJ92" s="192" t="n">
        <v>0.91</v>
      </c>
    </row>
    <row r="93" customFormat="false" ht="12.75" hidden="false" customHeight="false" outlineLevel="0" collapsed="false">
      <c r="A93" s="194" t="e">
        <f aca="false">#REF!-B93</f>
        <v>#REF!</v>
      </c>
      <c r="B93" s="194" t="n">
        <v>3.186</v>
      </c>
      <c r="C93" s="200" t="n">
        <v>39448</v>
      </c>
      <c r="D93" s="194" t="n">
        <v>3.587</v>
      </c>
      <c r="E93" s="194" t="n">
        <v>0.2</v>
      </c>
      <c r="F93" s="194" t="n">
        <v>0.069599442396734</v>
      </c>
      <c r="G93" s="194" t="n">
        <v>-0.2</v>
      </c>
      <c r="H93" s="194" t="n">
        <v>-0.21</v>
      </c>
      <c r="I93" s="194" t="n">
        <v>-0.11</v>
      </c>
      <c r="J93" s="194" t="n">
        <v>-0.265</v>
      </c>
      <c r="K93" s="194" t="n">
        <v>-0.09</v>
      </c>
      <c r="L93" s="194" t="n">
        <v>-0.055</v>
      </c>
      <c r="M93" s="194" t="n">
        <v>-0.09</v>
      </c>
      <c r="N93" s="194" t="n">
        <v>-0.17</v>
      </c>
      <c r="O93" s="194" t="n">
        <v>-0.2</v>
      </c>
      <c r="P93" s="192" t="n">
        <v>-0.2</v>
      </c>
      <c r="Q93" s="192" t="n">
        <v>-0.10125</v>
      </c>
      <c r="R93" s="192" t="n">
        <v>-0.055</v>
      </c>
      <c r="S93" s="192" t="n">
        <v>0.355</v>
      </c>
      <c r="T93" s="192" t="n">
        <v>0.355</v>
      </c>
      <c r="U93" s="192" t="n">
        <v>0.26</v>
      </c>
      <c r="V93" s="192" t="n">
        <v>0</v>
      </c>
      <c r="W93" s="196" t="n">
        <v>0.3125</v>
      </c>
      <c r="X93" s="196" t="n">
        <v>0.465</v>
      </c>
      <c r="Y93" s="196" t="n">
        <v>-0.022</v>
      </c>
      <c r="Z93" s="196" t="n">
        <v>-0.0325</v>
      </c>
      <c r="AA93" s="196" t="n">
        <v>-0.0115</v>
      </c>
      <c r="AB93" s="196" t="n">
        <v>-0.029</v>
      </c>
      <c r="AC93" s="196" t="n">
        <v>0.005</v>
      </c>
      <c r="AD93" s="196" t="n">
        <v>-0.003</v>
      </c>
      <c r="AE93" s="196" t="n">
        <v>-0.06</v>
      </c>
      <c r="AF93" s="196" t="n">
        <v>-0.04</v>
      </c>
      <c r="AG93" s="197" t="n">
        <v>-0.0535</v>
      </c>
      <c r="AH93" s="196" t="n">
        <v>-0.0155</v>
      </c>
      <c r="AI93" s="198" t="n">
        <v>-0.0635</v>
      </c>
      <c r="AJ93" s="198" t="n">
        <v>-0.1475</v>
      </c>
      <c r="AK93" s="199" t="n">
        <v>-0.006</v>
      </c>
      <c r="AL93" s="192" t="n">
        <v>0.015</v>
      </c>
      <c r="AM93" s="192" t="n">
        <v>1.645</v>
      </c>
      <c r="AN93" s="192" t="n">
        <v>-0.0575</v>
      </c>
      <c r="AO93" s="192" t="n">
        <v>-0.31</v>
      </c>
      <c r="AP93" s="192" t="n">
        <v>-0.1275</v>
      </c>
      <c r="AQ93" s="192" t="n">
        <v>-0.17</v>
      </c>
      <c r="AR93" s="192" t="n">
        <v>0.13</v>
      </c>
      <c r="AS93" s="192" t="n">
        <v>-0.26</v>
      </c>
      <c r="AT93" s="192" t="n">
        <v>0</v>
      </c>
      <c r="AU93" s="192" t="n">
        <v>0.14</v>
      </c>
      <c r="AV93" s="192" t="n">
        <v>-0.31</v>
      </c>
      <c r="AW93" s="192" t="n">
        <v>-0.1265</v>
      </c>
      <c r="AX93" s="192" t="n">
        <v>0</v>
      </c>
      <c r="AY93" s="192" t="n">
        <v>-0.1265</v>
      </c>
      <c r="AZ93" s="192" t="n">
        <v>-0.055</v>
      </c>
      <c r="BA93" s="192" t="n">
        <v>-0.137</v>
      </c>
      <c r="BB93" s="192" t="n">
        <v>-0.0205</v>
      </c>
      <c r="BC93" s="192" t="n">
        <v>-0.075</v>
      </c>
      <c r="BD93" s="192" t="n">
        <v>-0.0925</v>
      </c>
      <c r="BE93" s="192" t="n">
        <v>-0.06</v>
      </c>
      <c r="BF93" s="192" t="n">
        <v>0.09</v>
      </c>
      <c r="BG93" s="192" t="n">
        <v>0.33</v>
      </c>
      <c r="BH93" s="192" t="n">
        <v>0.4</v>
      </c>
      <c r="BI93" s="192" t="n">
        <v>0.4</v>
      </c>
      <c r="BJ93" s="192" t="n">
        <v>1.235</v>
      </c>
    </row>
    <row r="94" customFormat="false" ht="12.75" hidden="false" customHeight="false" outlineLevel="0" collapsed="false">
      <c r="A94" s="194" t="e">
        <f aca="false">#REF!-B94</f>
        <v>#REF!</v>
      </c>
      <c r="B94" s="194" t="n">
        <v>3.278</v>
      </c>
      <c r="C94" s="200" t="n">
        <v>39479</v>
      </c>
      <c r="D94" s="194" t="n">
        <v>3.445</v>
      </c>
      <c r="E94" s="194" t="n">
        <v>0.2</v>
      </c>
      <c r="F94" s="194" t="n">
        <v>0.069636837117149</v>
      </c>
      <c r="G94" s="194" t="n">
        <v>-0.2025</v>
      </c>
      <c r="H94" s="194" t="n">
        <v>-0.2125</v>
      </c>
      <c r="I94" s="194" t="n">
        <v>-0.11</v>
      </c>
      <c r="J94" s="194" t="n">
        <v>-0.2675</v>
      </c>
      <c r="K94" s="194" t="n">
        <v>-0.09</v>
      </c>
      <c r="L94" s="194" t="n">
        <v>-0.055</v>
      </c>
      <c r="M94" s="194" t="n">
        <v>-0.09</v>
      </c>
      <c r="N94" s="194" t="n">
        <v>-0.1725</v>
      </c>
      <c r="O94" s="194" t="n">
        <v>-0.2025</v>
      </c>
      <c r="P94" s="192" t="n">
        <v>-0.2025</v>
      </c>
      <c r="Q94" s="192" t="n">
        <v>-0.0925</v>
      </c>
      <c r="R94" s="192" t="n">
        <v>-0.055</v>
      </c>
      <c r="S94" s="192" t="n">
        <v>0.33</v>
      </c>
      <c r="T94" s="192" t="n">
        <v>0.33</v>
      </c>
      <c r="U94" s="192" t="n">
        <v>0.235</v>
      </c>
      <c r="V94" s="192" t="n">
        <v>0</v>
      </c>
      <c r="W94" s="196" t="n">
        <v>0.3125</v>
      </c>
      <c r="X94" s="196" t="n">
        <v>0.435</v>
      </c>
      <c r="Y94" s="196" t="n">
        <v>-0.022</v>
      </c>
      <c r="Z94" s="196" t="n">
        <v>-0.0325</v>
      </c>
      <c r="AA94" s="196" t="n">
        <v>-0.0115</v>
      </c>
      <c r="AB94" s="196" t="n">
        <v>-0.029</v>
      </c>
      <c r="AC94" s="196" t="n">
        <v>0.005</v>
      </c>
      <c r="AD94" s="196" t="n">
        <v>-0.003</v>
      </c>
      <c r="AE94" s="196" t="n">
        <v>-0.06</v>
      </c>
      <c r="AF94" s="196" t="n">
        <v>-0.04</v>
      </c>
      <c r="AG94" s="197" t="n">
        <v>-0.0535</v>
      </c>
      <c r="AH94" s="196" t="n">
        <v>-0.0155</v>
      </c>
      <c r="AI94" s="198" t="n">
        <v>-0.0635</v>
      </c>
      <c r="AJ94" s="198" t="n">
        <v>-0.13</v>
      </c>
      <c r="AK94" s="199" t="n">
        <v>-0.006</v>
      </c>
      <c r="AL94" s="192" t="n">
        <v>0.015</v>
      </c>
      <c r="AM94" s="192" t="n">
        <v>1.595</v>
      </c>
      <c r="AN94" s="192" t="n">
        <v>-0.04</v>
      </c>
      <c r="AO94" s="192" t="n">
        <v>-0.31</v>
      </c>
      <c r="AP94" s="192" t="n">
        <v>-0.1275</v>
      </c>
      <c r="AQ94" s="192" t="n">
        <v>-0.17</v>
      </c>
      <c r="AR94" s="192" t="n">
        <v>0</v>
      </c>
      <c r="AS94" s="192" t="n">
        <v>-0.26</v>
      </c>
      <c r="AT94" s="192" t="n">
        <v>0</v>
      </c>
      <c r="AU94" s="192" t="n">
        <v>0.14</v>
      </c>
      <c r="AV94" s="192" t="n">
        <v>-0.31</v>
      </c>
      <c r="AW94" s="192" t="n">
        <v>-0.129</v>
      </c>
      <c r="AX94" s="192" t="n">
        <v>0</v>
      </c>
      <c r="AY94" s="192" t="n">
        <v>-0.129</v>
      </c>
      <c r="AZ94" s="192" t="n">
        <v>-0.055</v>
      </c>
      <c r="BA94" s="192" t="n">
        <v>-0.1195</v>
      </c>
      <c r="BB94" s="192" t="n">
        <v>-0.0205</v>
      </c>
      <c r="BC94" s="192" t="n">
        <v>-0.075</v>
      </c>
      <c r="BD94" s="192" t="n">
        <v>-0.075</v>
      </c>
      <c r="BE94" s="192" t="n">
        <v>-0.06</v>
      </c>
      <c r="BF94" s="192" t="n">
        <v>0.09</v>
      </c>
      <c r="BG94" s="192" t="n">
        <v>0.375</v>
      </c>
      <c r="BH94" s="192" t="n">
        <v>0.375</v>
      </c>
      <c r="BI94" s="192" t="n">
        <v>0.375</v>
      </c>
      <c r="BJ94" s="192" t="n">
        <v>1.235</v>
      </c>
    </row>
    <row r="95" customFormat="false" ht="12.75" hidden="false" customHeight="false" outlineLevel="0" collapsed="false">
      <c r="A95" s="194" t="e">
        <f aca="false">#REF!-B95</f>
        <v>#REF!</v>
      </c>
      <c r="B95" s="194" t="n">
        <v>3.375</v>
      </c>
      <c r="C95" s="200" t="n">
        <v>39508</v>
      </c>
      <c r="D95" s="194" t="n">
        <v>3.277</v>
      </c>
      <c r="E95" s="194" t="n">
        <v>0.2</v>
      </c>
      <c r="F95" s="194" t="n">
        <v>0.069671819275376</v>
      </c>
      <c r="G95" s="194" t="n">
        <v>-0.205</v>
      </c>
      <c r="H95" s="194" t="n">
        <v>-0.215</v>
      </c>
      <c r="I95" s="194" t="n">
        <v>-0.11</v>
      </c>
      <c r="J95" s="194" t="n">
        <v>-0.27</v>
      </c>
      <c r="K95" s="194" t="n">
        <v>-0.09</v>
      </c>
      <c r="L95" s="194" t="n">
        <v>-0.055</v>
      </c>
      <c r="M95" s="194" t="n">
        <v>-0.09</v>
      </c>
      <c r="N95" s="194" t="n">
        <v>-0.175</v>
      </c>
      <c r="O95" s="194" t="n">
        <v>-0.205</v>
      </c>
      <c r="P95" s="192" t="n">
        <v>-0.205</v>
      </c>
      <c r="Q95" s="192" t="n">
        <v>-0.08625</v>
      </c>
      <c r="R95" s="192" t="n">
        <v>-0.055</v>
      </c>
      <c r="S95" s="192" t="n">
        <v>0.3275</v>
      </c>
      <c r="T95" s="192" t="n">
        <v>0.3275</v>
      </c>
      <c r="U95" s="192" t="n">
        <v>0.2325</v>
      </c>
      <c r="V95" s="192" t="n">
        <v>0</v>
      </c>
      <c r="W95" s="196" t="n">
        <v>0.27</v>
      </c>
      <c r="X95" s="196" t="n">
        <v>0.39</v>
      </c>
      <c r="Y95" s="196" t="n">
        <v>-0.022</v>
      </c>
      <c r="Z95" s="196" t="n">
        <v>-0.0325</v>
      </c>
      <c r="AA95" s="196" t="n">
        <v>0.007</v>
      </c>
      <c r="AB95" s="196" t="n">
        <v>-0.0105</v>
      </c>
      <c r="AC95" s="196" t="n">
        <v>0.005</v>
      </c>
      <c r="AD95" s="196" t="n">
        <v>-0.003</v>
      </c>
      <c r="AE95" s="196" t="n">
        <v>-0.06</v>
      </c>
      <c r="AF95" s="196" t="n">
        <v>-0.04</v>
      </c>
      <c r="AG95" s="197" t="n">
        <v>-0.0535</v>
      </c>
      <c r="AH95" s="196" t="n">
        <v>-0.0155</v>
      </c>
      <c r="AI95" s="198" t="n">
        <v>-0.0705</v>
      </c>
      <c r="AJ95" s="198" t="n">
        <v>-0.1175</v>
      </c>
      <c r="AK95" s="199" t="n">
        <v>-0.006</v>
      </c>
      <c r="AL95" s="192" t="n">
        <v>0.015</v>
      </c>
      <c r="AM95" s="192" t="n">
        <v>0.965</v>
      </c>
      <c r="AN95" s="192" t="n">
        <v>-0.0275</v>
      </c>
      <c r="AO95" s="192" t="n">
        <v>-0.31</v>
      </c>
      <c r="AP95" s="192" t="n">
        <v>-0.1325</v>
      </c>
      <c r="AQ95" s="192" t="n">
        <v>-0.17</v>
      </c>
      <c r="AR95" s="192" t="n">
        <v>-0.18</v>
      </c>
      <c r="AS95" s="192" t="n">
        <v>-0.26</v>
      </c>
      <c r="AT95" s="192" t="n">
        <v>0</v>
      </c>
      <c r="AU95" s="192" t="n">
        <v>0.14</v>
      </c>
      <c r="AV95" s="192" t="n">
        <v>-0.31</v>
      </c>
      <c r="AW95" s="192" t="n">
        <v>-0.1115</v>
      </c>
      <c r="AX95" s="192" t="n">
        <v>0</v>
      </c>
      <c r="AY95" s="192" t="n">
        <v>-0.1115</v>
      </c>
      <c r="AZ95" s="192" t="n">
        <v>-0.055</v>
      </c>
      <c r="BA95" s="192" t="n">
        <v>-0.1045</v>
      </c>
      <c r="BB95" s="192" t="n">
        <v>-0.0205</v>
      </c>
      <c r="BC95" s="192" t="n">
        <v>-0.075</v>
      </c>
      <c r="BD95" s="192" t="n">
        <v>-0.0625</v>
      </c>
      <c r="BE95" s="192" t="n">
        <v>-0.06</v>
      </c>
      <c r="BF95" s="192" t="n">
        <v>0.09</v>
      </c>
      <c r="BG95" s="192" t="n">
        <v>0.375</v>
      </c>
      <c r="BH95" s="192" t="n">
        <v>0.3725</v>
      </c>
      <c r="BI95" s="192" t="n">
        <v>0.3725</v>
      </c>
      <c r="BJ95" s="192" t="n">
        <v>0.875</v>
      </c>
    </row>
    <row r="96" customFormat="false" ht="12.75" hidden="false" customHeight="false" outlineLevel="0" collapsed="false">
      <c r="A96" s="194" t="e">
        <f aca="false">#REF!-B96</f>
        <v>#REF!</v>
      </c>
      <c r="B96" s="194" t="n">
        <v>3.603</v>
      </c>
      <c r="C96" s="200" t="n">
        <v>39539</v>
      </c>
      <c r="D96" s="194" t="n">
        <v>3.102</v>
      </c>
      <c r="E96" s="194" t="n">
        <v>0.2</v>
      </c>
      <c r="F96" s="194" t="n">
        <v>0.069709213996687</v>
      </c>
      <c r="G96" s="194" t="n">
        <v>-0.195</v>
      </c>
      <c r="H96" s="194" t="n">
        <v>-0.205</v>
      </c>
      <c r="I96" s="194" t="n">
        <v>-0.19</v>
      </c>
      <c r="J96" s="194" t="n">
        <v>-0.26</v>
      </c>
      <c r="K96" s="194" t="n">
        <v>-0.17</v>
      </c>
      <c r="L96" s="194" t="n">
        <v>-0.0525</v>
      </c>
      <c r="M96" s="194" t="n">
        <v>-0.0725</v>
      </c>
      <c r="N96" s="194" t="n">
        <v>-0.165</v>
      </c>
      <c r="O96" s="194" t="n">
        <v>-0.195</v>
      </c>
      <c r="P96" s="192" t="n">
        <v>-0.195</v>
      </c>
      <c r="Q96" s="192" t="n">
        <v>-0.06375</v>
      </c>
      <c r="R96" s="192" t="n">
        <v>-0.0525</v>
      </c>
      <c r="S96" s="192" t="n">
        <v>0.2325</v>
      </c>
      <c r="T96" s="192" t="n">
        <v>0.2325</v>
      </c>
      <c r="U96" s="192" t="n">
        <v>0.1375</v>
      </c>
      <c r="V96" s="192" t="n">
        <v>0</v>
      </c>
      <c r="W96" s="196" t="n">
        <v>0.205</v>
      </c>
      <c r="X96" s="196" t="n">
        <v>0.25</v>
      </c>
      <c r="Y96" s="196" t="n">
        <v>-0.0215</v>
      </c>
      <c r="Z96" s="196" t="n">
        <v>-0.025</v>
      </c>
      <c r="AA96" s="196" t="n">
        <v>0.007</v>
      </c>
      <c r="AB96" s="196" t="n">
        <v>-0.0105</v>
      </c>
      <c r="AC96" s="196" t="n">
        <v>0.005</v>
      </c>
      <c r="AD96" s="196" t="n">
        <v>0.002</v>
      </c>
      <c r="AE96" s="196" t="n">
        <v>-0.06</v>
      </c>
      <c r="AF96" s="196" t="n">
        <v>-0.045</v>
      </c>
      <c r="AG96" s="197" t="n">
        <v>-0.0535</v>
      </c>
      <c r="AH96" s="196" t="n">
        <v>-0.018</v>
      </c>
      <c r="AI96" s="198" t="n">
        <v>-0.066</v>
      </c>
      <c r="AJ96" s="198" t="n">
        <v>-0.075</v>
      </c>
      <c r="AK96" s="199" t="n">
        <v>-0.0135</v>
      </c>
      <c r="AL96" s="192" t="n">
        <v>0.009</v>
      </c>
      <c r="AM96" s="192" t="n">
        <v>0.45</v>
      </c>
      <c r="AN96" s="192" t="n">
        <v>0.015</v>
      </c>
      <c r="AO96" s="192" t="n">
        <v>-0.385</v>
      </c>
      <c r="AP96" s="192" t="n">
        <v>-0.12</v>
      </c>
      <c r="AQ96" s="192" t="n">
        <v>-0.17</v>
      </c>
      <c r="AR96" s="192" t="n">
        <v>-0.29</v>
      </c>
      <c r="AS96" s="192" t="n">
        <v>-0.335</v>
      </c>
      <c r="AT96" s="192" t="n">
        <v>0</v>
      </c>
      <c r="AU96" s="192" t="n">
        <v>0.315</v>
      </c>
      <c r="AV96" s="192" t="n">
        <v>-0.385</v>
      </c>
      <c r="AW96" s="192" t="n">
        <v>-0.102</v>
      </c>
      <c r="AX96" s="192" t="n">
        <v>0</v>
      </c>
      <c r="AY96" s="192" t="n">
        <v>-0.102</v>
      </c>
      <c r="AZ96" s="192" t="n">
        <v>-0.0525</v>
      </c>
      <c r="BA96" s="192" t="n">
        <v>-0.0895</v>
      </c>
      <c r="BB96" s="192" t="n">
        <v>-0.018</v>
      </c>
      <c r="BC96" s="192" t="n">
        <v>-0.0575</v>
      </c>
      <c r="BD96" s="192" t="n">
        <v>-0.02</v>
      </c>
      <c r="BE96" s="192" t="n">
        <v>-0.06</v>
      </c>
      <c r="BF96" s="192" t="n">
        <v>0.12</v>
      </c>
      <c r="BG96" s="192" t="n">
        <v>0.1625</v>
      </c>
      <c r="BH96" s="192" t="n">
        <v>0.2625</v>
      </c>
      <c r="BI96" s="192" t="n">
        <v>0.2625</v>
      </c>
      <c r="BJ96" s="192" t="n">
        <v>0.365</v>
      </c>
    </row>
    <row r="97" customFormat="false" ht="12.75" hidden="false" customHeight="false" outlineLevel="0" collapsed="false">
      <c r="A97" s="194" t="e">
        <f aca="false">#REF!-B97</f>
        <v>#REF!</v>
      </c>
      <c r="B97" s="194" t="n">
        <v>3.496</v>
      </c>
      <c r="C97" s="200" t="n">
        <v>39569</v>
      </c>
      <c r="D97" s="194" t="n">
        <v>3.057</v>
      </c>
      <c r="E97" s="194" t="n">
        <v>0.2</v>
      </c>
      <c r="F97" s="194" t="n">
        <v>0.069745402437105</v>
      </c>
      <c r="G97" s="194" t="n">
        <v>-0.195</v>
      </c>
      <c r="H97" s="194" t="n">
        <v>-0.205</v>
      </c>
      <c r="I97" s="194" t="n">
        <v>-0.205</v>
      </c>
      <c r="J97" s="194" t="n">
        <v>-0.26</v>
      </c>
      <c r="K97" s="194" t="n">
        <v>-0.185</v>
      </c>
      <c r="L97" s="194" t="n">
        <v>-0.0525</v>
      </c>
      <c r="M97" s="194" t="n">
        <v>-0.0725</v>
      </c>
      <c r="N97" s="194" t="n">
        <v>-0.165</v>
      </c>
      <c r="O97" s="194" t="n">
        <v>-0.195</v>
      </c>
      <c r="P97" s="192" t="n">
        <v>-0.195</v>
      </c>
      <c r="Q97" s="192" t="n">
        <v>-0.06375</v>
      </c>
      <c r="R97" s="192" t="n">
        <v>-0.0525</v>
      </c>
      <c r="S97" s="192" t="n">
        <v>0.2425</v>
      </c>
      <c r="T97" s="192" t="n">
        <v>0.2425</v>
      </c>
      <c r="U97" s="192" t="n">
        <v>0.1475</v>
      </c>
      <c r="V97" s="192" t="n">
        <v>0</v>
      </c>
      <c r="W97" s="196" t="n">
        <v>0.1925</v>
      </c>
      <c r="X97" s="196" t="n">
        <v>0.2025</v>
      </c>
      <c r="Y97" s="196" t="n">
        <v>-0.0215</v>
      </c>
      <c r="Z97" s="196" t="n">
        <v>-0.02525</v>
      </c>
      <c r="AA97" s="196" t="n">
        <v>0.00675</v>
      </c>
      <c r="AB97" s="196" t="n">
        <v>-0.01075</v>
      </c>
      <c r="AC97" s="196" t="n">
        <v>0.005</v>
      </c>
      <c r="AD97" s="196" t="n">
        <v>0.002</v>
      </c>
      <c r="AE97" s="196" t="n">
        <v>-0.06</v>
      </c>
      <c r="AF97" s="196" t="n">
        <v>-0.045</v>
      </c>
      <c r="AG97" s="197" t="n">
        <v>-0.0535</v>
      </c>
      <c r="AH97" s="196" t="n">
        <v>-0.018</v>
      </c>
      <c r="AI97" s="198" t="n">
        <v>-0.066</v>
      </c>
      <c r="AJ97" s="198" t="n">
        <v>-0.075</v>
      </c>
      <c r="AK97" s="199" t="n">
        <v>-0.0135</v>
      </c>
      <c r="AL97" s="192" t="n">
        <v>0.009</v>
      </c>
      <c r="AM97" s="192" t="n">
        <v>0.405</v>
      </c>
      <c r="AN97" s="192" t="n">
        <v>0.015</v>
      </c>
      <c r="AO97" s="192" t="n">
        <v>-0.385</v>
      </c>
      <c r="AP97" s="192" t="n">
        <v>-0.12</v>
      </c>
      <c r="AQ97" s="192" t="n">
        <v>-0.17</v>
      </c>
      <c r="AR97" s="192" t="n">
        <v>-0.29</v>
      </c>
      <c r="AS97" s="192" t="n">
        <v>-0.335</v>
      </c>
      <c r="AT97" s="192" t="n">
        <v>0</v>
      </c>
      <c r="AU97" s="192" t="n">
        <v>0.315</v>
      </c>
      <c r="AV97" s="192" t="n">
        <v>-0.385</v>
      </c>
      <c r="AW97" s="192" t="n">
        <v>-0.0995</v>
      </c>
      <c r="AX97" s="192" t="n">
        <v>0</v>
      </c>
      <c r="AY97" s="192" t="n">
        <v>-0.0995</v>
      </c>
      <c r="AZ97" s="192" t="n">
        <v>-0.0525</v>
      </c>
      <c r="BA97" s="192" t="n">
        <v>-0.0845</v>
      </c>
      <c r="BB97" s="192" t="n">
        <v>-0.018</v>
      </c>
      <c r="BC97" s="192" t="n">
        <v>-0.0575</v>
      </c>
      <c r="BD97" s="192" t="n">
        <v>-0.02</v>
      </c>
      <c r="BE97" s="192" t="n">
        <v>-0.06</v>
      </c>
      <c r="BF97" s="192" t="n">
        <v>0.12</v>
      </c>
      <c r="BG97" s="192" t="n">
        <v>0.1625</v>
      </c>
      <c r="BH97" s="192" t="n">
        <v>0.2725</v>
      </c>
      <c r="BI97" s="192" t="n">
        <v>0.2725</v>
      </c>
      <c r="BJ97" s="192" t="n">
        <v>0.2975</v>
      </c>
    </row>
    <row r="98" customFormat="false" ht="12.75" hidden="false" customHeight="false" outlineLevel="0" collapsed="false">
      <c r="A98" s="194" t="e">
        <f aca="false">#REF!-B98</f>
        <v>#REF!</v>
      </c>
      <c r="B98" s="194" t="n">
        <v>3.353</v>
      </c>
      <c r="C98" s="200" t="n">
        <v>39600</v>
      </c>
      <c r="D98" s="194" t="n">
        <v>3.07</v>
      </c>
      <c r="E98" s="194" t="n">
        <v>0.2</v>
      </c>
      <c r="F98" s="194" t="n">
        <v>0.069782797159325</v>
      </c>
      <c r="G98" s="194" t="n">
        <v>-0.195</v>
      </c>
      <c r="H98" s="194" t="n">
        <v>-0.205</v>
      </c>
      <c r="I98" s="194" t="n">
        <v>-0.215</v>
      </c>
      <c r="J98" s="194" t="n">
        <v>-0.26</v>
      </c>
      <c r="K98" s="194" t="n">
        <v>-0.195</v>
      </c>
      <c r="L98" s="194" t="n">
        <v>-0.0525</v>
      </c>
      <c r="M98" s="194" t="n">
        <v>-0.0725</v>
      </c>
      <c r="N98" s="194" t="n">
        <v>-0.165</v>
      </c>
      <c r="O98" s="194" t="n">
        <v>-0.195</v>
      </c>
      <c r="P98" s="192" t="n">
        <v>-0.195</v>
      </c>
      <c r="Q98" s="192" t="n">
        <v>-0.06125</v>
      </c>
      <c r="R98" s="192" t="n">
        <v>-0.0525</v>
      </c>
      <c r="S98" s="192" t="n">
        <v>0.2375</v>
      </c>
      <c r="T98" s="192" t="n">
        <v>0.2375</v>
      </c>
      <c r="U98" s="192" t="n">
        <v>0.1425</v>
      </c>
      <c r="V98" s="192" t="n">
        <v>0</v>
      </c>
      <c r="W98" s="196" t="n">
        <v>0.1925</v>
      </c>
      <c r="X98" s="196" t="n">
        <v>0.2025</v>
      </c>
      <c r="Y98" s="196" t="n">
        <v>-0.0215</v>
      </c>
      <c r="Z98" s="196" t="n">
        <v>-0.02525</v>
      </c>
      <c r="AA98" s="196" t="n">
        <v>0.00675</v>
      </c>
      <c r="AB98" s="196" t="n">
        <v>-0.01075</v>
      </c>
      <c r="AC98" s="196" t="n">
        <v>0.005</v>
      </c>
      <c r="AD98" s="196" t="n">
        <v>0.002</v>
      </c>
      <c r="AE98" s="196" t="n">
        <v>-0.06</v>
      </c>
      <c r="AF98" s="196" t="n">
        <v>-0.045</v>
      </c>
      <c r="AG98" s="197" t="n">
        <v>-0.0535</v>
      </c>
      <c r="AH98" s="196" t="n">
        <v>-0.018</v>
      </c>
      <c r="AI98" s="198" t="n">
        <v>-0.082</v>
      </c>
      <c r="AJ98" s="198" t="n">
        <v>-0.07</v>
      </c>
      <c r="AK98" s="199" t="n">
        <v>-0.0135</v>
      </c>
      <c r="AL98" s="192" t="n">
        <v>0.009</v>
      </c>
      <c r="AM98" s="192" t="n">
        <v>0.395</v>
      </c>
      <c r="AN98" s="192" t="n">
        <v>0.02</v>
      </c>
      <c r="AO98" s="192" t="n">
        <v>-0.385</v>
      </c>
      <c r="AP98" s="192" t="n">
        <v>-0.12</v>
      </c>
      <c r="AQ98" s="192" t="n">
        <v>-0.17</v>
      </c>
      <c r="AR98" s="192" t="n">
        <v>-0.29</v>
      </c>
      <c r="AS98" s="192" t="n">
        <v>-0.335</v>
      </c>
      <c r="AT98" s="192" t="n">
        <v>0</v>
      </c>
      <c r="AU98" s="192" t="n">
        <v>0.315</v>
      </c>
      <c r="AV98" s="192" t="n">
        <v>-0.385</v>
      </c>
      <c r="AW98" s="192" t="n">
        <v>-0.092</v>
      </c>
      <c r="AX98" s="192" t="n">
        <v>0</v>
      </c>
      <c r="AY98" s="192" t="n">
        <v>-0.092</v>
      </c>
      <c r="AZ98" s="192" t="n">
        <v>-0.0525</v>
      </c>
      <c r="BA98" s="192" t="n">
        <v>-0.0795</v>
      </c>
      <c r="BB98" s="192" t="n">
        <v>-0.018</v>
      </c>
      <c r="BC98" s="192" t="n">
        <v>-0.0575</v>
      </c>
      <c r="BD98" s="192" t="n">
        <v>-0.015</v>
      </c>
      <c r="BE98" s="192" t="n">
        <v>-0.06</v>
      </c>
      <c r="BF98" s="192" t="n">
        <v>0.12</v>
      </c>
      <c r="BG98" s="192" t="n">
        <v>0.1625</v>
      </c>
      <c r="BH98" s="192" t="n">
        <v>0.2675</v>
      </c>
      <c r="BI98" s="192" t="n">
        <v>0.2675</v>
      </c>
      <c r="BJ98" s="192" t="n">
        <v>0.2975</v>
      </c>
    </row>
    <row r="99" customFormat="false" ht="12.75" hidden="false" customHeight="false" outlineLevel="0" collapsed="false">
      <c r="A99" s="194" t="e">
        <f aca="false">#REF!-B99</f>
        <v>#REF!</v>
      </c>
      <c r="B99" s="194" t="n">
        <v>3.213</v>
      </c>
      <c r="C99" s="200" t="n">
        <v>39630</v>
      </c>
      <c r="D99" s="194" t="n">
        <v>3.078</v>
      </c>
      <c r="E99" s="194" t="n">
        <v>0.18</v>
      </c>
      <c r="F99" s="194" t="n">
        <v>0.069818985600624</v>
      </c>
      <c r="G99" s="194" t="n">
        <v>-0.195</v>
      </c>
      <c r="H99" s="194" t="n">
        <v>-0.205</v>
      </c>
      <c r="I99" s="194" t="n">
        <v>-0.215</v>
      </c>
      <c r="J99" s="194" t="n">
        <v>-0.28</v>
      </c>
      <c r="K99" s="194" t="n">
        <v>-0.195</v>
      </c>
      <c r="L99" s="194" t="n">
        <v>-0.0525</v>
      </c>
      <c r="M99" s="194" t="n">
        <v>-0.0725</v>
      </c>
      <c r="N99" s="194" t="n">
        <v>-0.165</v>
      </c>
      <c r="O99" s="194" t="n">
        <v>-0.195</v>
      </c>
      <c r="P99" s="192" t="n">
        <v>-0.195</v>
      </c>
      <c r="Q99" s="192" t="n">
        <v>-0.06</v>
      </c>
      <c r="R99" s="192" t="n">
        <v>-0.0525</v>
      </c>
      <c r="S99" s="192" t="n">
        <v>0.2275</v>
      </c>
      <c r="T99" s="192" t="n">
        <v>0.2275</v>
      </c>
      <c r="U99" s="192" t="n">
        <v>0.1325</v>
      </c>
      <c r="V99" s="192" t="n">
        <v>0</v>
      </c>
      <c r="W99" s="196" t="n">
        <v>0.1925</v>
      </c>
      <c r="X99" s="196" t="n">
        <v>0.215</v>
      </c>
      <c r="Y99" s="196" t="n">
        <v>-0.0215</v>
      </c>
      <c r="Z99" s="196" t="n">
        <v>-0.02525</v>
      </c>
      <c r="AA99" s="196" t="n">
        <v>0.00675</v>
      </c>
      <c r="AB99" s="196" t="n">
        <v>-0.01075</v>
      </c>
      <c r="AC99" s="196" t="n">
        <v>0.005</v>
      </c>
      <c r="AD99" s="196" t="n">
        <v>0.002</v>
      </c>
      <c r="AE99" s="196" t="n">
        <v>-0.06</v>
      </c>
      <c r="AF99" s="196" t="n">
        <v>-0.045</v>
      </c>
      <c r="AG99" s="197" t="n">
        <v>-0.0535</v>
      </c>
      <c r="AH99" s="196" t="n">
        <v>-0.018</v>
      </c>
      <c r="AI99" s="198" t="n">
        <v>-0.075</v>
      </c>
      <c r="AJ99" s="198" t="n">
        <v>-0.0675</v>
      </c>
      <c r="AK99" s="199" t="n">
        <v>-0.0135</v>
      </c>
      <c r="AL99" s="192" t="n">
        <v>0.009</v>
      </c>
      <c r="AM99" s="192" t="n">
        <v>0.43</v>
      </c>
      <c r="AN99" s="192" t="n">
        <v>0.0225</v>
      </c>
      <c r="AO99" s="192" t="n">
        <v>-0.385</v>
      </c>
      <c r="AP99" s="192" t="n">
        <v>-0.12</v>
      </c>
      <c r="AQ99" s="192" t="n">
        <v>-0.17</v>
      </c>
      <c r="AR99" s="192" t="n">
        <v>-0.29</v>
      </c>
      <c r="AS99" s="192" t="n">
        <v>-0.335</v>
      </c>
      <c r="AT99" s="192" t="n">
        <v>0</v>
      </c>
      <c r="AU99" s="192" t="n">
        <v>0.315</v>
      </c>
      <c r="AV99" s="192" t="n">
        <v>-0.385</v>
      </c>
      <c r="AW99" s="192" t="n">
        <v>-0.0995</v>
      </c>
      <c r="AX99" s="192" t="n">
        <v>0</v>
      </c>
      <c r="AY99" s="192" t="n">
        <v>-0.0995</v>
      </c>
      <c r="AZ99" s="192" t="n">
        <v>-0.0525</v>
      </c>
      <c r="BA99" s="192" t="n">
        <v>-0.0745</v>
      </c>
      <c r="BB99" s="192" t="n">
        <v>-0.018</v>
      </c>
      <c r="BC99" s="192" t="n">
        <v>-0.0575</v>
      </c>
      <c r="BD99" s="192" t="n">
        <v>-0.0125</v>
      </c>
      <c r="BE99" s="192" t="n">
        <v>-0.06</v>
      </c>
      <c r="BF99" s="192" t="n">
        <v>0.12</v>
      </c>
      <c r="BG99" s="192" t="n">
        <v>0.1625</v>
      </c>
      <c r="BH99" s="192" t="n">
        <v>0.2575</v>
      </c>
      <c r="BI99" s="192" t="n">
        <v>0.2575</v>
      </c>
      <c r="BJ99" s="192" t="n">
        <v>0.31</v>
      </c>
    </row>
    <row r="100" customFormat="false" ht="12.75" hidden="false" customHeight="false" outlineLevel="0" collapsed="false">
      <c r="A100" s="194" t="e">
        <f aca="false">#REF!-B100</f>
        <v>#REF!</v>
      </c>
      <c r="B100" s="194" t="n">
        <v>3.19</v>
      </c>
      <c r="C100" s="200" t="n">
        <v>39661</v>
      </c>
      <c r="D100" s="194" t="n">
        <v>3.085</v>
      </c>
      <c r="E100" s="194" t="n">
        <v>0.18</v>
      </c>
      <c r="F100" s="194" t="n">
        <v>0.069856380323754</v>
      </c>
      <c r="G100" s="194" t="n">
        <v>-0.195</v>
      </c>
      <c r="H100" s="194" t="n">
        <v>-0.205</v>
      </c>
      <c r="I100" s="194" t="n">
        <v>-0.215</v>
      </c>
      <c r="J100" s="194" t="n">
        <v>-0.28</v>
      </c>
      <c r="K100" s="194" t="n">
        <v>-0.195</v>
      </c>
      <c r="L100" s="194" t="n">
        <v>-0.0525</v>
      </c>
      <c r="M100" s="194" t="n">
        <v>-0.0725</v>
      </c>
      <c r="N100" s="194" t="n">
        <v>-0.165</v>
      </c>
      <c r="O100" s="194" t="n">
        <v>-0.195</v>
      </c>
      <c r="P100" s="192" t="n">
        <v>-0.195</v>
      </c>
      <c r="Q100" s="192" t="n">
        <v>-0.05875</v>
      </c>
      <c r="R100" s="192" t="n">
        <v>-0.0525</v>
      </c>
      <c r="S100" s="192" t="n">
        <v>0.225</v>
      </c>
      <c r="T100" s="192" t="n">
        <v>0.225</v>
      </c>
      <c r="U100" s="192" t="n">
        <v>0.13</v>
      </c>
      <c r="V100" s="192" t="n">
        <v>0</v>
      </c>
      <c r="W100" s="196" t="n">
        <v>0.1925</v>
      </c>
      <c r="X100" s="196" t="n">
        <v>0.215</v>
      </c>
      <c r="Y100" s="196" t="n">
        <v>-0.0215</v>
      </c>
      <c r="Z100" s="196" t="n">
        <v>-0.02525</v>
      </c>
      <c r="AA100" s="196" t="n">
        <v>0.00675</v>
      </c>
      <c r="AB100" s="196" t="n">
        <v>-0.01075</v>
      </c>
      <c r="AC100" s="196" t="n">
        <v>0.005</v>
      </c>
      <c r="AD100" s="196" t="n">
        <v>0.002</v>
      </c>
      <c r="AE100" s="196" t="n">
        <v>-0.06</v>
      </c>
      <c r="AF100" s="196" t="n">
        <v>-0.045</v>
      </c>
      <c r="AG100" s="197" t="n">
        <v>-0.0535</v>
      </c>
      <c r="AH100" s="196" t="n">
        <v>-0.018</v>
      </c>
      <c r="AI100" s="198" t="n">
        <v>-0.056</v>
      </c>
      <c r="AJ100" s="198" t="n">
        <v>-0.065</v>
      </c>
      <c r="AK100" s="199" t="n">
        <v>-0.0135</v>
      </c>
      <c r="AL100" s="192" t="n">
        <v>0.009</v>
      </c>
      <c r="AM100" s="192" t="n">
        <v>0.495</v>
      </c>
      <c r="AN100" s="192" t="n">
        <v>0.025</v>
      </c>
      <c r="AO100" s="192" t="n">
        <v>-0.385</v>
      </c>
      <c r="AP100" s="192" t="n">
        <v>-0.12</v>
      </c>
      <c r="AQ100" s="192" t="n">
        <v>-0.17</v>
      </c>
      <c r="AR100" s="192" t="n">
        <v>-0.29</v>
      </c>
      <c r="AS100" s="192" t="n">
        <v>-0.335</v>
      </c>
      <c r="AT100" s="192" t="n">
        <v>0</v>
      </c>
      <c r="AU100" s="192" t="n">
        <v>0.315</v>
      </c>
      <c r="AV100" s="192" t="n">
        <v>-0.385</v>
      </c>
      <c r="AW100" s="192" t="n">
        <v>-0.087</v>
      </c>
      <c r="AX100" s="192" t="n">
        <v>0</v>
      </c>
      <c r="AY100" s="192" t="n">
        <v>-0.087</v>
      </c>
      <c r="AZ100" s="192" t="n">
        <v>-0.0525</v>
      </c>
      <c r="BA100" s="192" t="n">
        <v>-0.0745</v>
      </c>
      <c r="BB100" s="192" t="n">
        <v>-0.018</v>
      </c>
      <c r="BC100" s="192" t="n">
        <v>-0.0575</v>
      </c>
      <c r="BD100" s="192" t="n">
        <v>-0.01</v>
      </c>
      <c r="BE100" s="192" t="n">
        <v>-0.06</v>
      </c>
      <c r="BF100" s="192" t="n">
        <v>0.12</v>
      </c>
      <c r="BG100" s="192" t="n">
        <v>0.1625</v>
      </c>
      <c r="BH100" s="192" t="n">
        <v>0.255</v>
      </c>
      <c r="BI100" s="192" t="n">
        <v>0.255</v>
      </c>
      <c r="BJ100" s="192" t="n">
        <v>0.31</v>
      </c>
    </row>
    <row r="101" customFormat="false" ht="12.75" hidden="false" customHeight="false" outlineLevel="0" collapsed="false">
      <c r="A101" s="194" t="e">
        <f aca="false">#REF!-B101</f>
        <v>#REF!</v>
      </c>
      <c r="B101" s="194" t="n">
        <v>3.175</v>
      </c>
      <c r="C101" s="200" t="n">
        <v>39692</v>
      </c>
      <c r="D101" s="194" t="n">
        <v>3.07</v>
      </c>
      <c r="E101" s="194" t="n">
        <v>0.18</v>
      </c>
      <c r="F101" s="194" t="n">
        <v>0.069893775047348</v>
      </c>
      <c r="G101" s="194" t="n">
        <v>-0.195</v>
      </c>
      <c r="H101" s="194" t="n">
        <v>-0.205</v>
      </c>
      <c r="I101" s="194" t="n">
        <v>-0.205</v>
      </c>
      <c r="J101" s="194" t="n">
        <v>-0.28</v>
      </c>
      <c r="K101" s="194" t="n">
        <v>-0.185</v>
      </c>
      <c r="L101" s="194" t="n">
        <v>-0.0525</v>
      </c>
      <c r="M101" s="194" t="n">
        <v>-0.0725</v>
      </c>
      <c r="N101" s="194" t="n">
        <v>-0.165</v>
      </c>
      <c r="O101" s="194" t="n">
        <v>-0.195</v>
      </c>
      <c r="P101" s="192" t="n">
        <v>-0.195</v>
      </c>
      <c r="Q101" s="192" t="n">
        <v>-0.0625</v>
      </c>
      <c r="R101" s="192" t="n">
        <v>-0.0525</v>
      </c>
      <c r="S101" s="192" t="n">
        <v>0.2225</v>
      </c>
      <c r="T101" s="192" t="n">
        <v>0.2225</v>
      </c>
      <c r="U101" s="192" t="n">
        <v>0.1275</v>
      </c>
      <c r="V101" s="192" t="n">
        <v>0</v>
      </c>
      <c r="W101" s="196" t="n">
        <v>0.1925</v>
      </c>
      <c r="X101" s="196" t="n">
        <v>0.195</v>
      </c>
      <c r="Y101" s="196" t="n">
        <v>-0.0215</v>
      </c>
      <c r="Z101" s="196" t="n">
        <v>-0.02525</v>
      </c>
      <c r="AA101" s="196" t="n">
        <v>0.00675</v>
      </c>
      <c r="AB101" s="196" t="n">
        <v>-0.01075</v>
      </c>
      <c r="AC101" s="196" t="n">
        <v>0.005</v>
      </c>
      <c r="AD101" s="196" t="n">
        <v>0.002</v>
      </c>
      <c r="AE101" s="196" t="n">
        <v>-0.06</v>
      </c>
      <c r="AF101" s="196" t="n">
        <v>-0.045</v>
      </c>
      <c r="AG101" s="197" t="n">
        <v>-0.0535</v>
      </c>
      <c r="AH101" s="196" t="n">
        <v>-0.018</v>
      </c>
      <c r="AI101" s="198" t="n">
        <v>-0.054</v>
      </c>
      <c r="AJ101" s="198" t="n">
        <v>-0.0725</v>
      </c>
      <c r="AK101" s="199" t="n">
        <v>-0.0135</v>
      </c>
      <c r="AL101" s="192" t="n">
        <v>0.009</v>
      </c>
      <c r="AM101" s="192" t="n">
        <v>0.395</v>
      </c>
      <c r="AN101" s="192" t="n">
        <v>0.0175</v>
      </c>
      <c r="AO101" s="192" t="n">
        <v>-0.385</v>
      </c>
      <c r="AP101" s="192" t="n">
        <v>-0.12</v>
      </c>
      <c r="AQ101" s="192" t="n">
        <v>-0.17</v>
      </c>
      <c r="AR101" s="192" t="n">
        <v>-0.29</v>
      </c>
      <c r="AS101" s="192" t="n">
        <v>-0.335</v>
      </c>
      <c r="AT101" s="192" t="n">
        <v>0</v>
      </c>
      <c r="AU101" s="192" t="n">
        <v>0.315</v>
      </c>
      <c r="AV101" s="192" t="n">
        <v>-0.385</v>
      </c>
      <c r="AW101" s="192" t="n">
        <v>-0.092</v>
      </c>
      <c r="AX101" s="192" t="n">
        <v>0</v>
      </c>
      <c r="AY101" s="192" t="n">
        <v>-0.092</v>
      </c>
      <c r="AZ101" s="192" t="n">
        <v>-0.0525</v>
      </c>
      <c r="BA101" s="192" t="n">
        <v>-0.0895</v>
      </c>
      <c r="BB101" s="192" t="n">
        <v>-0.018</v>
      </c>
      <c r="BC101" s="192" t="n">
        <v>-0.0575</v>
      </c>
      <c r="BD101" s="192" t="n">
        <v>-0.0175</v>
      </c>
      <c r="BE101" s="192" t="n">
        <v>-0.06</v>
      </c>
      <c r="BF101" s="192" t="n">
        <v>0.12</v>
      </c>
      <c r="BG101" s="192" t="n">
        <v>0.1625</v>
      </c>
      <c r="BH101" s="192" t="n">
        <v>0.2525</v>
      </c>
      <c r="BI101" s="192" t="n">
        <v>0.2525</v>
      </c>
      <c r="BJ101" s="192" t="n">
        <v>0.3</v>
      </c>
    </row>
    <row r="102" customFormat="false" ht="12.75" hidden="false" customHeight="false" outlineLevel="0" collapsed="false">
      <c r="A102" s="194" t="e">
        <f aca="false">#REF!-B102</f>
        <v>#REF!</v>
      </c>
      <c r="B102" s="194" t="n">
        <v>3.24</v>
      </c>
      <c r="C102" s="200" t="n">
        <v>39722</v>
      </c>
      <c r="D102" s="194" t="n">
        <v>3.088</v>
      </c>
      <c r="E102" s="194" t="n">
        <v>0.18</v>
      </c>
      <c r="F102" s="194" t="n">
        <v>0.069929963489975</v>
      </c>
      <c r="G102" s="194" t="n">
        <v>-0.195</v>
      </c>
      <c r="H102" s="194" t="n">
        <v>-0.205</v>
      </c>
      <c r="I102" s="194" t="n">
        <v>-0.19</v>
      </c>
      <c r="J102" s="194" t="n">
        <v>-0.28</v>
      </c>
      <c r="K102" s="194" t="n">
        <v>-0.17</v>
      </c>
      <c r="L102" s="194" t="n">
        <v>-0.0525</v>
      </c>
      <c r="M102" s="194" t="n">
        <v>-0.0725</v>
      </c>
      <c r="N102" s="194" t="n">
        <v>-0.165</v>
      </c>
      <c r="O102" s="194" t="n">
        <v>-0.195</v>
      </c>
      <c r="P102" s="192" t="n">
        <v>-0.195</v>
      </c>
      <c r="Q102" s="192" t="n">
        <v>-0.0675</v>
      </c>
      <c r="R102" s="192" t="n">
        <v>-0.0525</v>
      </c>
      <c r="S102" s="192" t="n">
        <v>0.2375</v>
      </c>
      <c r="T102" s="192" t="n">
        <v>0.2375</v>
      </c>
      <c r="U102" s="192" t="n">
        <v>0.1425</v>
      </c>
      <c r="V102" s="192" t="n">
        <v>0</v>
      </c>
      <c r="W102" s="196" t="n">
        <v>0.1975</v>
      </c>
      <c r="X102" s="196" t="n">
        <v>0.215</v>
      </c>
      <c r="Y102" s="196" t="n">
        <v>-0.0215</v>
      </c>
      <c r="Z102" s="196" t="n">
        <v>-0.02525</v>
      </c>
      <c r="AA102" s="196" t="n">
        <v>-0.0115</v>
      </c>
      <c r="AB102" s="196" t="n">
        <v>-0.029</v>
      </c>
      <c r="AC102" s="196" t="n">
        <v>0.005</v>
      </c>
      <c r="AD102" s="196" t="n">
        <v>0.002</v>
      </c>
      <c r="AE102" s="196" t="n">
        <v>-0.06</v>
      </c>
      <c r="AF102" s="196" t="n">
        <v>-0.045</v>
      </c>
      <c r="AG102" s="197" t="n">
        <v>-0.0535</v>
      </c>
      <c r="AH102" s="196" t="n">
        <v>-0.018</v>
      </c>
      <c r="AI102" s="198" t="n">
        <v>-0.056</v>
      </c>
      <c r="AJ102" s="198" t="n">
        <v>-0.0825</v>
      </c>
      <c r="AK102" s="199" t="n">
        <v>-0.0135</v>
      </c>
      <c r="AL102" s="192" t="n">
        <v>0.009</v>
      </c>
      <c r="AM102" s="192" t="n">
        <v>0.461</v>
      </c>
      <c r="AN102" s="192" t="n">
        <v>0.0075</v>
      </c>
      <c r="AO102" s="192" t="n">
        <v>-0.385</v>
      </c>
      <c r="AP102" s="192" t="n">
        <v>-0.12</v>
      </c>
      <c r="AQ102" s="192" t="n">
        <v>-0.17</v>
      </c>
      <c r="AR102" s="192" t="n">
        <v>-0.29</v>
      </c>
      <c r="AS102" s="192" t="n">
        <v>-0.335</v>
      </c>
      <c r="AT102" s="192" t="n">
        <v>0</v>
      </c>
      <c r="AU102" s="192" t="n">
        <v>0.315</v>
      </c>
      <c r="AV102" s="192" t="n">
        <v>-0.385</v>
      </c>
      <c r="AW102" s="192" t="n">
        <v>-0.102</v>
      </c>
      <c r="AX102" s="192" t="n">
        <v>0</v>
      </c>
      <c r="AY102" s="192" t="n">
        <v>-0.102</v>
      </c>
      <c r="AZ102" s="192" t="n">
        <v>-0.0525</v>
      </c>
      <c r="BA102" s="192" t="n">
        <v>-0.092</v>
      </c>
      <c r="BB102" s="192" t="n">
        <v>-0.018</v>
      </c>
      <c r="BC102" s="192" t="n">
        <v>-0.0575</v>
      </c>
      <c r="BD102" s="192" t="n">
        <v>-0.0275</v>
      </c>
      <c r="BE102" s="192" t="n">
        <v>-0.06</v>
      </c>
      <c r="BF102" s="192" t="n">
        <v>0.12</v>
      </c>
      <c r="BG102" s="192" t="n">
        <v>0.1625</v>
      </c>
      <c r="BH102" s="192" t="n">
        <v>0.2675</v>
      </c>
      <c r="BI102" s="192" t="n">
        <v>0.2675</v>
      </c>
      <c r="BJ102" s="192" t="n">
        <v>0.37253</v>
      </c>
    </row>
    <row r="103" customFormat="false" ht="12.75" hidden="false" customHeight="false" outlineLevel="0" collapsed="false">
      <c r="A103" s="194" t="e">
        <f aca="false">#REF!-B103</f>
        <v>#REF!</v>
      </c>
      <c r="B103" s="194" t="n">
        <v>3.235</v>
      </c>
      <c r="C103" s="200" t="n">
        <v>39753</v>
      </c>
      <c r="D103" s="194" t="n">
        <v>3.155</v>
      </c>
      <c r="E103" s="194" t="n">
        <v>0.18</v>
      </c>
      <c r="F103" s="194" t="n">
        <v>0.069967358214477</v>
      </c>
      <c r="G103" s="194" t="n">
        <v>-0.19</v>
      </c>
      <c r="H103" s="194" t="n">
        <v>-0.195</v>
      </c>
      <c r="I103" s="194" t="n">
        <v>-0.1525</v>
      </c>
      <c r="J103" s="194" t="n">
        <v>-0.275</v>
      </c>
      <c r="K103" s="194" t="n">
        <v>-0.1325</v>
      </c>
      <c r="L103" s="194" t="n">
        <v>-0.0525</v>
      </c>
      <c r="M103" s="194" t="n">
        <v>-0.0875</v>
      </c>
      <c r="N103" s="194" t="n">
        <v>-0.16</v>
      </c>
      <c r="O103" s="194" t="n">
        <v>-0.19</v>
      </c>
      <c r="P103" s="192" t="n">
        <v>-0.19</v>
      </c>
      <c r="Q103" s="192" t="n">
        <v>-0.0875</v>
      </c>
      <c r="R103" s="192" t="n">
        <v>-0.0525</v>
      </c>
      <c r="S103" s="192" t="n">
        <v>0.3</v>
      </c>
      <c r="T103" s="192" t="n">
        <v>0.3</v>
      </c>
      <c r="U103" s="192" t="n">
        <v>0.205</v>
      </c>
      <c r="V103" s="192" t="n">
        <v>0</v>
      </c>
      <c r="W103" s="196" t="n">
        <v>0.2725</v>
      </c>
      <c r="X103" s="196" t="n">
        <v>0.315</v>
      </c>
      <c r="Y103" s="196" t="n">
        <v>-0.0245</v>
      </c>
      <c r="Z103" s="196" t="n">
        <v>-0.04</v>
      </c>
      <c r="AA103" s="196" t="n">
        <v>-0.0105</v>
      </c>
      <c r="AB103" s="196" t="n">
        <v>-0.0305</v>
      </c>
      <c r="AC103" s="196" t="n">
        <v>0.005</v>
      </c>
      <c r="AD103" s="196" t="n">
        <v>-0.001</v>
      </c>
      <c r="AE103" s="196" t="n">
        <v>-0.06</v>
      </c>
      <c r="AF103" s="196" t="n">
        <v>-0.04</v>
      </c>
      <c r="AG103" s="197" t="n">
        <v>-0.0515</v>
      </c>
      <c r="AH103" s="196" t="n">
        <v>-0.0145</v>
      </c>
      <c r="AI103" s="198" t="n">
        <v>-0.0685</v>
      </c>
      <c r="AJ103" s="198" t="n">
        <v>-0.1225</v>
      </c>
      <c r="AK103" s="199" t="n">
        <v>-0.0085</v>
      </c>
      <c r="AL103" s="192" t="n">
        <v>0.016</v>
      </c>
      <c r="AM103" s="192" t="n">
        <v>0.885</v>
      </c>
      <c r="AN103" s="192" t="n">
        <v>-0.0325</v>
      </c>
      <c r="AO103" s="192" t="n">
        <v>-0.31</v>
      </c>
      <c r="AP103" s="192" t="n">
        <v>-0.1325</v>
      </c>
      <c r="AQ103" s="192" t="n">
        <v>-0.17</v>
      </c>
      <c r="AR103" s="192" t="n">
        <v>0</v>
      </c>
      <c r="AS103" s="192" t="n">
        <v>-0.26</v>
      </c>
      <c r="AT103" s="192" t="n">
        <v>0</v>
      </c>
      <c r="AU103" s="192" t="n">
        <v>0.14</v>
      </c>
      <c r="AV103" s="192" t="n">
        <v>-0.31</v>
      </c>
      <c r="AW103" s="192" t="n">
        <v>-0.1145</v>
      </c>
      <c r="AX103" s="192" t="n">
        <v>0</v>
      </c>
      <c r="AY103" s="192" t="n">
        <v>-0.1145</v>
      </c>
      <c r="AZ103" s="192" t="n">
        <v>-0.0525</v>
      </c>
      <c r="BA103" s="192" t="n">
        <v>-0.097</v>
      </c>
      <c r="BB103" s="192" t="n">
        <v>-0.0195</v>
      </c>
      <c r="BC103" s="192" t="n">
        <v>-0.0725</v>
      </c>
      <c r="BD103" s="192" t="n">
        <v>-0.0675</v>
      </c>
      <c r="BE103" s="192" t="n">
        <v>-0.06</v>
      </c>
      <c r="BF103" s="192" t="n">
        <v>0.09</v>
      </c>
      <c r="BG103" s="192" t="n">
        <v>0.295</v>
      </c>
      <c r="BH103" s="192" t="n">
        <v>0.345</v>
      </c>
      <c r="BI103" s="192" t="n">
        <v>0.345</v>
      </c>
      <c r="BJ103" s="192" t="n">
        <v>0.56</v>
      </c>
    </row>
    <row r="104" customFormat="false" ht="12.75" hidden="false" customHeight="false" outlineLevel="0" collapsed="false">
      <c r="A104" s="194" t="e">
        <f aca="false">#REF!-B104</f>
        <v>#REF!</v>
      </c>
      <c r="B104" s="194" t="n">
        <v>3.22</v>
      </c>
      <c r="C104" s="200" t="n">
        <v>39783</v>
      </c>
      <c r="D104" s="194" t="n">
        <v>3.216</v>
      </c>
      <c r="E104" s="194" t="n">
        <v>0.18</v>
      </c>
      <c r="F104" s="194" t="n">
        <v>0.070003546657985</v>
      </c>
      <c r="G104" s="194" t="n">
        <v>-0.1975</v>
      </c>
      <c r="H104" s="194" t="n">
        <v>-0.2025</v>
      </c>
      <c r="I104" s="194" t="n">
        <v>-0.145</v>
      </c>
      <c r="J104" s="194" t="n">
        <v>-0.2825</v>
      </c>
      <c r="K104" s="194" t="n">
        <v>-0.125</v>
      </c>
      <c r="L104" s="194" t="n">
        <v>-0.0525</v>
      </c>
      <c r="M104" s="194" t="n">
        <v>-0.0875</v>
      </c>
      <c r="N104" s="194" t="n">
        <v>-0.1675</v>
      </c>
      <c r="O104" s="194" t="n">
        <v>-0.1975</v>
      </c>
      <c r="P104" s="192" t="n">
        <v>-0.1975</v>
      </c>
      <c r="Q104" s="192" t="n">
        <v>-0.09875</v>
      </c>
      <c r="R104" s="192" t="n">
        <v>-0.0525</v>
      </c>
      <c r="S104" s="192" t="n">
        <v>0.34</v>
      </c>
      <c r="T104" s="192" t="n">
        <v>0.34</v>
      </c>
      <c r="U104" s="192" t="n">
        <v>0.245</v>
      </c>
      <c r="V104" s="192" t="n">
        <v>0</v>
      </c>
      <c r="W104" s="196" t="n">
        <v>0.3075</v>
      </c>
      <c r="X104" s="196" t="n">
        <v>0.395</v>
      </c>
      <c r="Y104" s="196" t="n">
        <v>-0.0245</v>
      </c>
      <c r="Z104" s="196" t="n">
        <v>-0.0325</v>
      </c>
      <c r="AA104" s="196" t="n">
        <v>-0.0105</v>
      </c>
      <c r="AB104" s="196" t="n">
        <v>-0.0305</v>
      </c>
      <c r="AC104" s="196" t="n">
        <v>0.005</v>
      </c>
      <c r="AD104" s="196" t="n">
        <v>-0.001</v>
      </c>
      <c r="AE104" s="196" t="n">
        <v>-0.06</v>
      </c>
      <c r="AF104" s="196" t="n">
        <v>-0.04</v>
      </c>
      <c r="AG104" s="197" t="n">
        <v>-0.0515</v>
      </c>
      <c r="AH104" s="196" t="n">
        <v>-0.0145</v>
      </c>
      <c r="AI104" s="198" t="n">
        <v>-0.0685</v>
      </c>
      <c r="AJ104" s="198" t="n">
        <v>-0.145</v>
      </c>
      <c r="AK104" s="199" t="n">
        <v>-0.0085</v>
      </c>
      <c r="AL104" s="192" t="n">
        <v>0.016</v>
      </c>
      <c r="AM104" s="192" t="n">
        <v>1.31</v>
      </c>
      <c r="AN104" s="192" t="n">
        <v>-0.055</v>
      </c>
      <c r="AO104" s="192" t="n">
        <v>-0.31</v>
      </c>
      <c r="AP104" s="192" t="n">
        <v>-0.1275</v>
      </c>
      <c r="AQ104" s="192" t="n">
        <v>-0.17</v>
      </c>
      <c r="AR104" s="192" t="n">
        <v>0.06</v>
      </c>
      <c r="AS104" s="192" t="n">
        <v>-0.26</v>
      </c>
      <c r="AT104" s="192" t="n">
        <v>0</v>
      </c>
      <c r="AU104" s="192" t="n">
        <v>0.14</v>
      </c>
      <c r="AV104" s="192" t="n">
        <v>-0.31</v>
      </c>
      <c r="AW104" s="192" t="n">
        <v>-0.1395</v>
      </c>
      <c r="AX104" s="192" t="n">
        <v>0</v>
      </c>
      <c r="AY104" s="192" t="n">
        <v>-0.1395</v>
      </c>
      <c r="AZ104" s="192" t="n">
        <v>-0.0525</v>
      </c>
      <c r="BA104" s="192" t="n">
        <v>-0.1295</v>
      </c>
      <c r="BB104" s="192" t="n">
        <v>-0.0195</v>
      </c>
      <c r="BC104" s="192" t="n">
        <v>-0.0725</v>
      </c>
      <c r="BD104" s="192" t="n">
        <v>-0.09</v>
      </c>
      <c r="BE104" s="192" t="n">
        <v>-0.06</v>
      </c>
      <c r="BF104" s="192" t="n">
        <v>0.09</v>
      </c>
      <c r="BG104" s="192" t="n">
        <v>0.25</v>
      </c>
      <c r="BH104" s="192" t="n">
        <v>0.385</v>
      </c>
      <c r="BI104" s="192" t="n">
        <v>0.385</v>
      </c>
      <c r="BJ104" s="192" t="n">
        <v>0.91</v>
      </c>
    </row>
    <row r="105" customFormat="false" ht="12.75" hidden="false" customHeight="false" outlineLevel="0" collapsed="false">
      <c r="A105" s="194" t="e">
        <f aca="false">#REF!-B105</f>
        <v>#REF!</v>
      </c>
      <c r="B105" s="194" t="n">
        <v>3.233</v>
      </c>
      <c r="C105" s="200" t="n">
        <v>39814</v>
      </c>
      <c r="D105" s="194" t="n">
        <v>3.619</v>
      </c>
      <c r="E105" s="194" t="n">
        <v>0.18</v>
      </c>
      <c r="F105" s="194" t="n">
        <v>0.070040941383398</v>
      </c>
      <c r="G105" s="194" t="n">
        <v>-0.2</v>
      </c>
      <c r="H105" s="194" t="n">
        <v>-0.205</v>
      </c>
      <c r="I105" s="194" t="n">
        <v>-0.13</v>
      </c>
      <c r="J105" s="194" t="n">
        <v>-0.265</v>
      </c>
      <c r="K105" s="194" t="n">
        <v>-0.11</v>
      </c>
      <c r="L105" s="194" t="n">
        <v>-0.0525</v>
      </c>
      <c r="M105" s="194" t="n">
        <v>-0.0875</v>
      </c>
      <c r="N105" s="194" t="n">
        <v>-0.17</v>
      </c>
      <c r="O105" s="194" t="n">
        <v>-0.2</v>
      </c>
      <c r="P105" s="192" t="n">
        <v>-0.2</v>
      </c>
      <c r="Q105" s="192" t="n">
        <v>-0.1</v>
      </c>
      <c r="R105" s="192" t="n">
        <v>-0.0525</v>
      </c>
      <c r="S105" s="192" t="n">
        <v>0.405</v>
      </c>
      <c r="T105" s="192" t="n">
        <v>0.405</v>
      </c>
      <c r="U105" s="192" t="n">
        <v>0.31</v>
      </c>
      <c r="V105" s="192" t="n">
        <v>0</v>
      </c>
      <c r="W105" s="196" t="n">
        <v>0.3125</v>
      </c>
      <c r="X105" s="196" t="n">
        <v>0.465</v>
      </c>
      <c r="Y105" s="196" t="n">
        <v>-0.02</v>
      </c>
      <c r="Z105" s="196" t="n">
        <v>-0.0325</v>
      </c>
      <c r="AA105" s="196" t="n">
        <v>-0.0105</v>
      </c>
      <c r="AB105" s="196" t="n">
        <v>-0.0305</v>
      </c>
      <c r="AC105" s="196" t="n">
        <v>0.005</v>
      </c>
      <c r="AD105" s="196" t="n">
        <v>-0.001</v>
      </c>
      <c r="AE105" s="196" t="n">
        <v>-0.06</v>
      </c>
      <c r="AF105" s="196" t="n">
        <v>-0.038</v>
      </c>
      <c r="AG105" s="197" t="n">
        <v>-0.0515</v>
      </c>
      <c r="AH105" s="196" t="n">
        <v>-0.0145</v>
      </c>
      <c r="AI105" s="198" t="n">
        <v>-0.0615</v>
      </c>
      <c r="AJ105" s="198" t="n">
        <v>-0.1475</v>
      </c>
      <c r="AK105" s="199" t="n">
        <v>-0.004</v>
      </c>
      <c r="AL105" s="192" t="n">
        <v>0.016</v>
      </c>
      <c r="AM105" s="192" t="n">
        <v>1.645</v>
      </c>
      <c r="AN105" s="192" t="n">
        <v>-0.0575</v>
      </c>
      <c r="AO105" s="192" t="n">
        <v>-0.31</v>
      </c>
      <c r="AP105" s="192" t="n">
        <v>-0.1275</v>
      </c>
      <c r="AQ105" s="192" t="n">
        <v>-0.17</v>
      </c>
      <c r="AR105" s="192" t="n">
        <v>0.13</v>
      </c>
      <c r="AS105" s="192" t="n">
        <v>-0.26</v>
      </c>
      <c r="AT105" s="192" t="n">
        <v>0</v>
      </c>
      <c r="AU105" s="192" t="n">
        <v>0.14</v>
      </c>
      <c r="AV105" s="192" t="n">
        <v>-0.31</v>
      </c>
      <c r="AW105" s="192" t="n">
        <v>-0.1245</v>
      </c>
      <c r="AX105" s="192" t="n">
        <v>0</v>
      </c>
      <c r="AY105" s="192" t="n">
        <v>-0.1245</v>
      </c>
      <c r="AZ105" s="192" t="n">
        <v>-0.0525</v>
      </c>
      <c r="BA105" s="192" t="n">
        <v>-0.135</v>
      </c>
      <c r="BB105" s="192" t="n">
        <v>-0.0195</v>
      </c>
      <c r="BC105" s="192" t="n">
        <v>-0.0725</v>
      </c>
      <c r="BD105" s="192" t="n">
        <v>-0.0925</v>
      </c>
      <c r="BE105" s="192" t="n">
        <v>-0.06</v>
      </c>
      <c r="BF105" s="192" t="n">
        <v>0.09</v>
      </c>
      <c r="BG105" s="192" t="n">
        <v>0.33</v>
      </c>
      <c r="BH105" s="192" t="n">
        <v>0.45</v>
      </c>
      <c r="BI105" s="192" t="n">
        <v>0.45</v>
      </c>
      <c r="BJ105" s="192" t="n">
        <v>1.235</v>
      </c>
    </row>
    <row r="106" customFormat="false" ht="12.75" hidden="false" customHeight="false" outlineLevel="0" collapsed="false">
      <c r="A106" s="194" t="e">
        <f aca="false">#REF!-B106</f>
        <v>#REF!</v>
      </c>
      <c r="B106" s="194" t="n">
        <v>3.32</v>
      </c>
      <c r="C106" s="200" t="n">
        <v>39845</v>
      </c>
      <c r="D106" s="194" t="n">
        <v>3.481</v>
      </c>
      <c r="E106" s="194" t="n">
        <v>0.18</v>
      </c>
      <c r="F106" s="194" t="n">
        <v>0.070078336109273</v>
      </c>
      <c r="G106" s="194" t="n">
        <v>-0.2025</v>
      </c>
      <c r="H106" s="194" t="n">
        <v>-0.2075</v>
      </c>
      <c r="I106" s="194" t="n">
        <v>-0.13</v>
      </c>
      <c r="J106" s="194" t="n">
        <v>-0.2675</v>
      </c>
      <c r="K106" s="194" t="n">
        <v>-0.11</v>
      </c>
      <c r="L106" s="194" t="n">
        <v>-0.0525</v>
      </c>
      <c r="M106" s="194" t="n">
        <v>-0.0875</v>
      </c>
      <c r="N106" s="194" t="n">
        <v>-0.1725</v>
      </c>
      <c r="O106" s="194" t="n">
        <v>-0.2025</v>
      </c>
      <c r="P106" s="192" t="n">
        <v>-0.2025</v>
      </c>
      <c r="Q106" s="192" t="n">
        <v>-0.09125</v>
      </c>
      <c r="R106" s="192" t="n">
        <v>-0.0525</v>
      </c>
      <c r="S106" s="192" t="n">
        <v>0.38</v>
      </c>
      <c r="T106" s="192" t="n">
        <v>0.38</v>
      </c>
      <c r="U106" s="192" t="n">
        <v>0.285</v>
      </c>
      <c r="V106" s="192" t="n">
        <v>0</v>
      </c>
      <c r="W106" s="196" t="n">
        <v>0.3125</v>
      </c>
      <c r="X106" s="196" t="n">
        <v>0.435</v>
      </c>
      <c r="Y106" s="196" t="n">
        <v>-0.02</v>
      </c>
      <c r="Z106" s="196" t="n">
        <v>-0.0325</v>
      </c>
      <c r="AA106" s="196" t="n">
        <v>-0.0105</v>
      </c>
      <c r="AB106" s="196" t="n">
        <v>-0.0305</v>
      </c>
      <c r="AC106" s="196" t="n">
        <v>0.005</v>
      </c>
      <c r="AD106" s="196" t="n">
        <v>-0.001</v>
      </c>
      <c r="AE106" s="196" t="n">
        <v>-0.06</v>
      </c>
      <c r="AF106" s="196" t="n">
        <v>-0.038</v>
      </c>
      <c r="AG106" s="197" t="n">
        <v>-0.0515</v>
      </c>
      <c r="AH106" s="196" t="n">
        <v>-0.0145</v>
      </c>
      <c r="AI106" s="198" t="n">
        <v>-0.0615</v>
      </c>
      <c r="AJ106" s="198" t="n">
        <v>-0.13</v>
      </c>
      <c r="AK106" s="199" t="n">
        <v>-0.004</v>
      </c>
      <c r="AL106" s="192" t="n">
        <v>0.016</v>
      </c>
      <c r="AM106" s="192" t="n">
        <v>1.595</v>
      </c>
      <c r="AN106" s="192" t="n">
        <v>-0.04</v>
      </c>
      <c r="AO106" s="192" t="n">
        <v>-0.31</v>
      </c>
      <c r="AP106" s="192" t="n">
        <v>-0.1275</v>
      </c>
      <c r="AQ106" s="192" t="n">
        <v>-0.17</v>
      </c>
      <c r="AR106" s="192" t="n">
        <v>0</v>
      </c>
      <c r="AS106" s="192" t="n">
        <v>-0.26</v>
      </c>
      <c r="AT106" s="192" t="n">
        <v>0</v>
      </c>
      <c r="AU106" s="192" t="n">
        <v>0.14</v>
      </c>
      <c r="AV106" s="192" t="n">
        <v>-0.31</v>
      </c>
      <c r="AW106" s="192" t="n">
        <v>-0.127</v>
      </c>
      <c r="AX106" s="192" t="n">
        <v>0</v>
      </c>
      <c r="AY106" s="192" t="n">
        <v>-0.127</v>
      </c>
      <c r="AZ106" s="192" t="n">
        <v>-0.0525</v>
      </c>
      <c r="BA106" s="192" t="n">
        <v>-0.1175</v>
      </c>
      <c r="BB106" s="192" t="n">
        <v>-0.0195</v>
      </c>
      <c r="BC106" s="192" t="n">
        <v>-0.0725</v>
      </c>
      <c r="BD106" s="192" t="n">
        <v>-0.075</v>
      </c>
      <c r="BE106" s="192" t="n">
        <v>-0.06</v>
      </c>
      <c r="BF106" s="192" t="n">
        <v>0.09</v>
      </c>
      <c r="BG106" s="192" t="n">
        <v>0.375</v>
      </c>
      <c r="BH106" s="192" t="n">
        <v>0.425</v>
      </c>
      <c r="BI106" s="192" t="n">
        <v>0.425</v>
      </c>
      <c r="BJ106" s="192" t="n">
        <v>1.235</v>
      </c>
    </row>
    <row r="107" customFormat="false" ht="12.75" hidden="false" customHeight="false" outlineLevel="0" collapsed="false">
      <c r="A107" s="194" t="e">
        <f aca="false">#REF!-B107</f>
        <v>#REF!</v>
      </c>
      <c r="B107" s="194" t="n">
        <v>3.414</v>
      </c>
      <c r="C107" s="200" t="n">
        <v>39873</v>
      </c>
      <c r="D107" s="194" t="n">
        <v>3.316</v>
      </c>
      <c r="E107" s="194" t="n">
        <v>0.17</v>
      </c>
      <c r="F107" s="194" t="n">
        <v>0.070112111991106</v>
      </c>
      <c r="G107" s="194" t="n">
        <v>-0.205</v>
      </c>
      <c r="H107" s="194" t="n">
        <v>-0.21</v>
      </c>
      <c r="I107" s="194" t="n">
        <v>-0.13</v>
      </c>
      <c r="J107" s="194" t="n">
        <v>-0.27</v>
      </c>
      <c r="K107" s="194" t="n">
        <v>-0.11</v>
      </c>
      <c r="L107" s="194" t="n">
        <v>-0.0525</v>
      </c>
      <c r="M107" s="194" t="n">
        <v>-0.0875</v>
      </c>
      <c r="N107" s="194" t="n">
        <v>-0.175</v>
      </c>
      <c r="O107" s="194" t="n">
        <v>-0.205</v>
      </c>
      <c r="P107" s="192" t="n">
        <v>-0.205</v>
      </c>
      <c r="Q107" s="192" t="n">
        <v>-0.085</v>
      </c>
      <c r="R107" s="192" t="n">
        <v>-0.0525</v>
      </c>
      <c r="S107" s="192" t="n">
        <v>0.3775</v>
      </c>
      <c r="T107" s="192" t="n">
        <v>0.3775</v>
      </c>
      <c r="U107" s="192" t="n">
        <v>0.2825</v>
      </c>
      <c r="V107" s="192" t="n">
        <v>0</v>
      </c>
      <c r="W107" s="196" t="n">
        <v>0.27</v>
      </c>
      <c r="X107" s="196" t="n">
        <v>0.39</v>
      </c>
      <c r="Y107" s="196" t="n">
        <v>-0.02</v>
      </c>
      <c r="Z107" s="196" t="n">
        <v>-0.0325</v>
      </c>
      <c r="AA107" s="196" t="n">
        <v>0.008</v>
      </c>
      <c r="AB107" s="196" t="n">
        <v>-0.012</v>
      </c>
      <c r="AC107" s="196" t="n">
        <v>0.005</v>
      </c>
      <c r="AD107" s="196" t="n">
        <v>-0.001</v>
      </c>
      <c r="AE107" s="196" t="n">
        <v>-0.06</v>
      </c>
      <c r="AF107" s="196" t="n">
        <v>-0.038</v>
      </c>
      <c r="AG107" s="197" t="n">
        <v>-0.0515</v>
      </c>
      <c r="AH107" s="196" t="n">
        <v>-0.0145</v>
      </c>
      <c r="AI107" s="198" t="n">
        <v>-0.0685</v>
      </c>
      <c r="AJ107" s="198" t="n">
        <v>-0.1175</v>
      </c>
      <c r="AK107" s="199" t="n">
        <v>-0.004</v>
      </c>
      <c r="AL107" s="192" t="n">
        <v>0.016</v>
      </c>
      <c r="AM107" s="192" t="n">
        <v>0.965</v>
      </c>
      <c r="AN107" s="192" t="n">
        <v>-0.0275</v>
      </c>
      <c r="AO107" s="192" t="n">
        <v>-0.31</v>
      </c>
      <c r="AP107" s="192" t="n">
        <v>-0.1325</v>
      </c>
      <c r="AQ107" s="192" t="n">
        <v>-0.17</v>
      </c>
      <c r="AR107" s="192" t="n">
        <v>-0.18</v>
      </c>
      <c r="AS107" s="192" t="n">
        <v>-0.26</v>
      </c>
      <c r="AT107" s="192" t="n">
        <v>0</v>
      </c>
      <c r="AU107" s="192" t="n">
        <v>0.14</v>
      </c>
      <c r="AV107" s="192" t="n">
        <v>-0.31</v>
      </c>
      <c r="AW107" s="192" t="n">
        <v>-0.1095</v>
      </c>
      <c r="AX107" s="192" t="n">
        <v>0</v>
      </c>
      <c r="AY107" s="192" t="n">
        <v>-0.1095</v>
      </c>
      <c r="AZ107" s="192" t="n">
        <v>-0.0525</v>
      </c>
      <c r="BA107" s="192" t="n">
        <v>-0.1025</v>
      </c>
      <c r="BB107" s="192" t="n">
        <v>-0.0195</v>
      </c>
      <c r="BC107" s="192" t="n">
        <v>-0.0725</v>
      </c>
      <c r="BD107" s="192" t="n">
        <v>-0.0625</v>
      </c>
      <c r="BE107" s="192" t="n">
        <v>-0.06</v>
      </c>
      <c r="BF107" s="192" t="n">
        <v>0.09</v>
      </c>
      <c r="BG107" s="192" t="n">
        <v>0.375</v>
      </c>
      <c r="BH107" s="192" t="n">
        <v>0.4225</v>
      </c>
      <c r="BI107" s="192" t="n">
        <v>0.4225</v>
      </c>
      <c r="BJ107" s="192" t="n">
        <v>0.875</v>
      </c>
    </row>
    <row r="108" customFormat="false" ht="12.75" hidden="false" customHeight="false" outlineLevel="0" collapsed="false">
      <c r="A108" s="194" t="e">
        <f aca="false">#REF!-B108</f>
        <v>#REF!</v>
      </c>
      <c r="B108" s="194" t="n">
        <v>3.655</v>
      </c>
      <c r="C108" s="200" t="n">
        <v>39904</v>
      </c>
      <c r="D108" s="194" t="n">
        <v>3.144</v>
      </c>
      <c r="E108" s="194" t="n">
        <v>0.17</v>
      </c>
      <c r="F108" s="194" t="n">
        <v>0.070149506717861</v>
      </c>
      <c r="G108" s="194" t="n">
        <v>-0.195</v>
      </c>
      <c r="H108" s="194" t="n">
        <v>-0.2</v>
      </c>
      <c r="I108" s="194" t="n">
        <v>-0.175</v>
      </c>
      <c r="J108" s="194" t="n">
        <v>-0.26</v>
      </c>
      <c r="K108" s="194" t="n">
        <v>-0.155</v>
      </c>
      <c r="L108" s="194" t="n">
        <v>-0.05</v>
      </c>
      <c r="M108" s="194" t="n">
        <v>-0.07</v>
      </c>
      <c r="N108" s="194" t="n">
        <v>-0.165</v>
      </c>
      <c r="O108" s="194" t="n">
        <v>-0.195</v>
      </c>
      <c r="P108" s="192" t="n">
        <v>-0.195</v>
      </c>
      <c r="Q108" s="192" t="n">
        <v>-0.0625</v>
      </c>
      <c r="R108" s="192" t="n">
        <v>-0.05</v>
      </c>
      <c r="S108" s="192" t="n">
        <v>0.2825</v>
      </c>
      <c r="T108" s="192" t="n">
        <v>0.2825</v>
      </c>
      <c r="U108" s="192" t="n">
        <v>0.1875</v>
      </c>
      <c r="V108" s="192" t="n">
        <v>0</v>
      </c>
      <c r="W108" s="196" t="n">
        <v>0.205</v>
      </c>
      <c r="X108" s="196" t="n">
        <v>0.25</v>
      </c>
      <c r="Y108" s="196" t="n">
        <v>-0.0195</v>
      </c>
      <c r="Z108" s="196" t="n">
        <v>-0.025</v>
      </c>
      <c r="AA108" s="196" t="n">
        <v>0.008</v>
      </c>
      <c r="AB108" s="196" t="n">
        <v>-0.012</v>
      </c>
      <c r="AC108" s="196" t="n">
        <v>0.005</v>
      </c>
      <c r="AD108" s="196" t="n">
        <v>0.004</v>
      </c>
      <c r="AE108" s="196" t="n">
        <v>-0.06</v>
      </c>
      <c r="AF108" s="196" t="n">
        <v>-0.043</v>
      </c>
      <c r="AG108" s="197" t="n">
        <v>-0.0515</v>
      </c>
      <c r="AH108" s="196" t="n">
        <v>-0.017</v>
      </c>
      <c r="AI108" s="198" t="n">
        <v>-0.064</v>
      </c>
      <c r="AJ108" s="198" t="n">
        <v>-0.075</v>
      </c>
      <c r="AK108" s="199" t="n">
        <v>-0.0115</v>
      </c>
      <c r="AL108" s="192" t="n">
        <v>0.009</v>
      </c>
      <c r="AM108" s="192" t="n">
        <v>0.45</v>
      </c>
      <c r="AN108" s="192" t="n">
        <v>0.015</v>
      </c>
      <c r="AO108" s="192" t="n">
        <v>-0.385</v>
      </c>
      <c r="AP108" s="192" t="n">
        <v>-0.12</v>
      </c>
      <c r="AQ108" s="192" t="n">
        <v>-0.17</v>
      </c>
      <c r="AR108" s="192" t="n">
        <v>-0.29</v>
      </c>
      <c r="AS108" s="192" t="n">
        <v>-0.335</v>
      </c>
      <c r="AT108" s="192" t="n">
        <v>0</v>
      </c>
      <c r="AU108" s="192" t="n">
        <v>0.315</v>
      </c>
      <c r="AV108" s="192" t="n">
        <v>-0.385</v>
      </c>
      <c r="AW108" s="192" t="n">
        <v>-0.1</v>
      </c>
      <c r="AX108" s="192" t="n">
        <v>0</v>
      </c>
      <c r="AY108" s="192" t="n">
        <v>-0.1</v>
      </c>
      <c r="AZ108" s="192" t="n">
        <v>-0.05</v>
      </c>
      <c r="BA108" s="192" t="n">
        <v>-0.0875</v>
      </c>
      <c r="BB108" s="192" t="n">
        <v>-0.017</v>
      </c>
      <c r="BC108" s="192" t="n">
        <v>-0.055</v>
      </c>
      <c r="BD108" s="192" t="n">
        <v>-0.02</v>
      </c>
      <c r="BE108" s="192" t="n">
        <v>-0.06</v>
      </c>
      <c r="BF108" s="192" t="n">
        <v>0.075</v>
      </c>
      <c r="BG108" s="192" t="n">
        <v>0.1625</v>
      </c>
      <c r="BH108" s="192" t="n">
        <v>0.3125</v>
      </c>
      <c r="BI108" s="192" t="n">
        <v>0.3125</v>
      </c>
      <c r="BJ108" s="192" t="n">
        <v>0.365</v>
      </c>
    </row>
    <row r="109" customFormat="false" ht="12.75" hidden="false" customHeight="false" outlineLevel="0" collapsed="false">
      <c r="A109" s="194" t="e">
        <f aca="false">#REF!-B109</f>
        <v>#REF!</v>
      </c>
      <c r="B109" s="194" t="n">
        <v>3.552</v>
      </c>
      <c r="C109" s="200" t="n">
        <v>39934</v>
      </c>
      <c r="D109" s="194" t="n">
        <v>3.1</v>
      </c>
      <c r="E109" s="194" t="n">
        <v>0.17</v>
      </c>
      <c r="F109" s="194" t="n">
        <v>0.070185695163548</v>
      </c>
      <c r="G109" s="194" t="n">
        <v>-0.195</v>
      </c>
      <c r="H109" s="194" t="n">
        <v>-0.2</v>
      </c>
      <c r="I109" s="194" t="n">
        <v>-0.205</v>
      </c>
      <c r="J109" s="194" t="n">
        <v>-0.26</v>
      </c>
      <c r="K109" s="194" t="n">
        <v>-0.17</v>
      </c>
      <c r="L109" s="194" t="n">
        <v>-0.05</v>
      </c>
      <c r="M109" s="194" t="n">
        <v>-0.07</v>
      </c>
      <c r="N109" s="194" t="n">
        <v>-0.165</v>
      </c>
      <c r="O109" s="194" t="n">
        <v>-0.195</v>
      </c>
      <c r="P109" s="192" t="n">
        <v>-0.195</v>
      </c>
      <c r="Q109" s="192" t="n">
        <v>-0.0625</v>
      </c>
      <c r="R109" s="192" t="n">
        <v>-0.05</v>
      </c>
      <c r="S109" s="192" t="n">
        <v>0.2925</v>
      </c>
      <c r="T109" s="192" t="n">
        <v>0.2925</v>
      </c>
      <c r="U109" s="192" t="n">
        <v>0.1975</v>
      </c>
      <c r="V109" s="192" t="n">
        <v>0</v>
      </c>
      <c r="W109" s="196" t="n">
        <v>0.1925</v>
      </c>
      <c r="X109" s="196" t="n">
        <v>0.2025</v>
      </c>
      <c r="Y109" s="196" t="n">
        <v>-0.0195</v>
      </c>
      <c r="Z109" s="196" t="n">
        <v>-0.02525</v>
      </c>
      <c r="AA109" s="196" t="n">
        <v>0.00775</v>
      </c>
      <c r="AB109" s="196" t="n">
        <v>-0.01225</v>
      </c>
      <c r="AC109" s="196" t="n">
        <v>0.005</v>
      </c>
      <c r="AD109" s="196" t="n">
        <v>0.004</v>
      </c>
      <c r="AE109" s="196" t="n">
        <v>-0.06</v>
      </c>
      <c r="AF109" s="196" t="n">
        <v>-0.043</v>
      </c>
      <c r="AG109" s="197" t="n">
        <v>-0.0515</v>
      </c>
      <c r="AH109" s="196" t="n">
        <v>-0.017</v>
      </c>
      <c r="AI109" s="198" t="n">
        <v>-0.064</v>
      </c>
      <c r="AJ109" s="198" t="n">
        <v>-0.075</v>
      </c>
      <c r="AK109" s="199" t="n">
        <v>-0.0115</v>
      </c>
      <c r="AL109" s="192" t="n">
        <v>0.009</v>
      </c>
      <c r="AM109" s="192" t="n">
        <v>0.405</v>
      </c>
      <c r="AN109" s="192" t="n">
        <v>0.015</v>
      </c>
      <c r="AO109" s="192" t="n">
        <v>-0.385</v>
      </c>
      <c r="AP109" s="192" t="n">
        <v>-0.12</v>
      </c>
      <c r="AQ109" s="192" t="n">
        <v>-0.17</v>
      </c>
      <c r="AR109" s="192" t="n">
        <v>-0.29</v>
      </c>
      <c r="AS109" s="192" t="n">
        <v>-0.335</v>
      </c>
      <c r="AT109" s="192" t="n">
        <v>0</v>
      </c>
      <c r="AU109" s="192" t="n">
        <v>0.315</v>
      </c>
      <c r="AV109" s="192" t="n">
        <v>-0.385</v>
      </c>
      <c r="AW109" s="192" t="n">
        <v>-0.0975</v>
      </c>
      <c r="AX109" s="192" t="n">
        <v>0</v>
      </c>
      <c r="AY109" s="192" t="n">
        <v>-0.0975</v>
      </c>
      <c r="AZ109" s="192" t="n">
        <v>-0.05</v>
      </c>
      <c r="BA109" s="192" t="n">
        <v>-0.0825</v>
      </c>
      <c r="BB109" s="192" t="n">
        <v>-0.017</v>
      </c>
      <c r="BC109" s="192" t="n">
        <v>-0.055</v>
      </c>
      <c r="BD109" s="192" t="n">
        <v>-0.02</v>
      </c>
      <c r="BE109" s="192" t="n">
        <v>-0.06</v>
      </c>
      <c r="BF109" s="192" t="n">
        <v>0.075</v>
      </c>
      <c r="BG109" s="192" t="n">
        <v>0.1625</v>
      </c>
      <c r="BH109" s="192" t="n">
        <v>0.3225</v>
      </c>
      <c r="BI109" s="192" t="n">
        <v>0.3225</v>
      </c>
      <c r="BJ109" s="192" t="n">
        <v>0.2975</v>
      </c>
    </row>
    <row r="110" customFormat="false" ht="12.75" hidden="false" customHeight="false" outlineLevel="0" collapsed="false">
      <c r="A110" s="194" t="e">
        <f aca="false">#REF!-B110</f>
        <v>#REF!</v>
      </c>
      <c r="B110" s="194" t="n">
        <v>3.412</v>
      </c>
      <c r="C110" s="200" t="n">
        <v>39965</v>
      </c>
      <c r="D110" s="194" t="n">
        <v>3.114</v>
      </c>
      <c r="E110" s="194" t="n">
        <v>0.17</v>
      </c>
      <c r="F110" s="194" t="n">
        <v>0.070223089891212</v>
      </c>
      <c r="G110" s="194" t="n">
        <v>-0.195</v>
      </c>
      <c r="H110" s="194" t="n">
        <v>-0.2</v>
      </c>
      <c r="I110" s="194" t="n">
        <v>-0.215</v>
      </c>
      <c r="J110" s="194" t="n">
        <v>-0.26</v>
      </c>
      <c r="K110" s="194" t="n">
        <v>-0.18</v>
      </c>
      <c r="L110" s="194" t="n">
        <v>-0.05</v>
      </c>
      <c r="M110" s="194" t="n">
        <v>-0.07</v>
      </c>
      <c r="N110" s="194" t="n">
        <v>-0.165</v>
      </c>
      <c r="O110" s="194" t="n">
        <v>-0.195</v>
      </c>
      <c r="P110" s="192" t="n">
        <v>-0.195</v>
      </c>
      <c r="Q110" s="192" t="n">
        <v>-0.06</v>
      </c>
      <c r="R110" s="192" t="n">
        <v>-0.05</v>
      </c>
      <c r="S110" s="192" t="n">
        <v>0.2875</v>
      </c>
      <c r="T110" s="192" t="n">
        <v>0.2875</v>
      </c>
      <c r="U110" s="192" t="n">
        <v>0.1925</v>
      </c>
      <c r="V110" s="192" t="n">
        <v>0</v>
      </c>
      <c r="W110" s="196" t="n">
        <v>0.1925</v>
      </c>
      <c r="X110" s="196" t="n">
        <v>0.2025</v>
      </c>
      <c r="Y110" s="196" t="n">
        <v>-0.0195</v>
      </c>
      <c r="Z110" s="196" t="n">
        <v>-0.02525</v>
      </c>
      <c r="AA110" s="196" t="n">
        <v>0.00775</v>
      </c>
      <c r="AB110" s="196" t="n">
        <v>-0.01225</v>
      </c>
      <c r="AC110" s="196" t="n">
        <v>0.005</v>
      </c>
      <c r="AD110" s="196" t="n">
        <v>0.004</v>
      </c>
      <c r="AE110" s="196" t="n">
        <v>-0.06</v>
      </c>
      <c r="AF110" s="196" t="n">
        <v>-0.043</v>
      </c>
      <c r="AG110" s="197" t="n">
        <v>-0.0515</v>
      </c>
      <c r="AH110" s="196" t="n">
        <v>-0.017</v>
      </c>
      <c r="AI110" s="198" t="n">
        <v>-0.08</v>
      </c>
      <c r="AJ110" s="198" t="n">
        <v>-0.07</v>
      </c>
      <c r="AK110" s="199" t="n">
        <v>-0.0115</v>
      </c>
      <c r="AL110" s="192" t="n">
        <v>0.009</v>
      </c>
      <c r="AM110" s="192" t="n">
        <v>0.395</v>
      </c>
      <c r="AN110" s="192" t="n">
        <v>0.02</v>
      </c>
      <c r="AO110" s="192" t="n">
        <v>-0.385</v>
      </c>
      <c r="AP110" s="192" t="n">
        <v>-0.12</v>
      </c>
      <c r="AQ110" s="192" t="n">
        <v>-0.17</v>
      </c>
      <c r="AR110" s="192" t="n">
        <v>-0.29</v>
      </c>
      <c r="AS110" s="192" t="n">
        <v>-0.335</v>
      </c>
      <c r="AT110" s="192" t="n">
        <v>0</v>
      </c>
      <c r="AU110" s="192" t="n">
        <v>0.315</v>
      </c>
      <c r="AV110" s="192" t="n">
        <v>-0.385</v>
      </c>
      <c r="AW110" s="192" t="n">
        <v>-0.09</v>
      </c>
      <c r="AX110" s="192" t="n">
        <v>0</v>
      </c>
      <c r="AY110" s="192" t="n">
        <v>-0.09</v>
      </c>
      <c r="AZ110" s="192" t="n">
        <v>-0.05</v>
      </c>
      <c r="BA110" s="192" t="n">
        <v>-0.0775</v>
      </c>
      <c r="BB110" s="192" t="n">
        <v>-0.017</v>
      </c>
      <c r="BC110" s="192" t="n">
        <v>-0.055</v>
      </c>
      <c r="BD110" s="192" t="n">
        <v>-0.015</v>
      </c>
      <c r="BE110" s="192" t="n">
        <v>-0.06</v>
      </c>
      <c r="BF110" s="192" t="n">
        <v>0.075</v>
      </c>
      <c r="BG110" s="192" t="n">
        <v>0.1625</v>
      </c>
      <c r="BH110" s="192" t="n">
        <v>0.3175</v>
      </c>
      <c r="BI110" s="192" t="n">
        <v>0.3175</v>
      </c>
      <c r="BJ110" s="192" t="n">
        <v>0.2975</v>
      </c>
    </row>
    <row r="111" customFormat="false" ht="12.75" hidden="false" customHeight="false" outlineLevel="0" collapsed="false">
      <c r="A111" s="194" t="e">
        <f aca="false">#REF!-B111</f>
        <v>#REF!</v>
      </c>
      <c r="B111" s="194" t="n">
        <v>3.275</v>
      </c>
      <c r="C111" s="200" t="n">
        <v>39995</v>
      </c>
      <c r="D111" s="194" t="n">
        <v>3.122</v>
      </c>
      <c r="E111" s="194" t="n">
        <v>0.17</v>
      </c>
      <c r="F111" s="194" t="n">
        <v>0.07025927833778</v>
      </c>
      <c r="G111" s="194" t="n">
        <v>-0.195</v>
      </c>
      <c r="H111" s="194" t="n">
        <v>-0.2</v>
      </c>
      <c r="I111" s="194" t="n">
        <v>-0.215</v>
      </c>
      <c r="J111" s="194" t="n">
        <v>-0.28</v>
      </c>
      <c r="K111" s="194" t="n">
        <v>-0.18</v>
      </c>
      <c r="L111" s="194" t="n">
        <v>-0.05</v>
      </c>
      <c r="M111" s="194" t="n">
        <v>-0.07</v>
      </c>
      <c r="N111" s="194" t="n">
        <v>-0.165</v>
      </c>
      <c r="O111" s="194" t="n">
        <v>-0.195</v>
      </c>
      <c r="P111" s="192" t="n">
        <v>-0.195</v>
      </c>
      <c r="Q111" s="192" t="n">
        <v>-0.05875</v>
      </c>
      <c r="R111" s="192" t="n">
        <v>-0.05</v>
      </c>
      <c r="S111" s="192" t="n">
        <v>0.2775</v>
      </c>
      <c r="T111" s="192" t="n">
        <v>0.2775</v>
      </c>
      <c r="U111" s="192" t="n">
        <v>0.1825</v>
      </c>
      <c r="V111" s="192" t="n">
        <v>0</v>
      </c>
      <c r="W111" s="196" t="n">
        <v>0.1925</v>
      </c>
      <c r="X111" s="196" t="n">
        <v>0.215</v>
      </c>
      <c r="Y111" s="196" t="n">
        <v>-0.0195</v>
      </c>
      <c r="Z111" s="196" t="n">
        <v>-0.02525</v>
      </c>
      <c r="AA111" s="196" t="n">
        <v>0.00775</v>
      </c>
      <c r="AB111" s="196" t="n">
        <v>-0.01225</v>
      </c>
      <c r="AC111" s="196" t="n">
        <v>0.005</v>
      </c>
      <c r="AD111" s="196" t="n">
        <v>0.004</v>
      </c>
      <c r="AE111" s="196" t="n">
        <v>-0.06</v>
      </c>
      <c r="AF111" s="196" t="n">
        <v>-0.043</v>
      </c>
      <c r="AG111" s="197" t="n">
        <v>-0.0515</v>
      </c>
      <c r="AH111" s="196" t="n">
        <v>-0.017</v>
      </c>
      <c r="AI111" s="198" t="n">
        <v>-0.073</v>
      </c>
      <c r="AJ111" s="198" t="n">
        <v>-0.0675</v>
      </c>
      <c r="AK111" s="199" t="n">
        <v>-0.0115</v>
      </c>
      <c r="AL111" s="192" t="n">
        <v>0.009</v>
      </c>
      <c r="AM111" s="192" t="n">
        <v>0.43</v>
      </c>
      <c r="AN111" s="192" t="n">
        <v>0.0225</v>
      </c>
      <c r="AO111" s="192" t="n">
        <v>-0.385</v>
      </c>
      <c r="AP111" s="192" t="n">
        <v>-0.12</v>
      </c>
      <c r="AQ111" s="192" t="n">
        <v>-0.17</v>
      </c>
      <c r="AR111" s="192" t="n">
        <v>-0.29</v>
      </c>
      <c r="AS111" s="192" t="n">
        <v>-0.335</v>
      </c>
      <c r="AT111" s="192" t="n">
        <v>0</v>
      </c>
      <c r="AU111" s="192" t="n">
        <v>0.315</v>
      </c>
      <c r="AV111" s="192" t="n">
        <v>-0.385</v>
      </c>
      <c r="AW111" s="192" t="n">
        <v>-0.0975</v>
      </c>
      <c r="AX111" s="192" t="n">
        <v>0</v>
      </c>
      <c r="AY111" s="192" t="n">
        <v>-0.0975</v>
      </c>
      <c r="AZ111" s="192" t="n">
        <v>-0.05</v>
      </c>
      <c r="BA111" s="192" t="n">
        <v>-0.0725</v>
      </c>
      <c r="BB111" s="192" t="n">
        <v>-0.017</v>
      </c>
      <c r="BC111" s="192" t="n">
        <v>-0.055</v>
      </c>
      <c r="BD111" s="192" t="n">
        <v>-0.0125</v>
      </c>
      <c r="BE111" s="192" t="n">
        <v>-0.06</v>
      </c>
      <c r="BF111" s="192" t="n">
        <v>0.075</v>
      </c>
      <c r="BG111" s="192" t="n">
        <v>0.1625</v>
      </c>
      <c r="BH111" s="192" t="n">
        <v>0.3075</v>
      </c>
      <c r="BI111" s="192" t="n">
        <v>0.3075</v>
      </c>
      <c r="BJ111" s="192" t="n">
        <v>0.31</v>
      </c>
    </row>
    <row r="112" customFormat="false" ht="12.75" hidden="false" customHeight="false" outlineLevel="0" collapsed="false">
      <c r="A112" s="194" t="e">
        <f aca="false">#REF!-B112</f>
        <v>#REF!</v>
      </c>
      <c r="B112" s="194" t="n">
        <v>3.253</v>
      </c>
      <c r="C112" s="200" t="n">
        <v>40026</v>
      </c>
      <c r="D112" s="194" t="n">
        <v>3.129</v>
      </c>
      <c r="E112" s="194" t="n">
        <v>0.17</v>
      </c>
      <c r="F112" s="194" t="n">
        <v>0.070296673066354</v>
      </c>
      <c r="G112" s="194" t="n">
        <v>-0.195</v>
      </c>
      <c r="H112" s="194" t="n">
        <v>-0.2</v>
      </c>
      <c r="I112" s="194" t="n">
        <v>-0.215</v>
      </c>
      <c r="J112" s="194" t="n">
        <v>-0.28</v>
      </c>
      <c r="K112" s="194" t="n">
        <v>-0.18</v>
      </c>
      <c r="L112" s="194" t="n">
        <v>-0.05</v>
      </c>
      <c r="M112" s="194" t="n">
        <v>-0.07</v>
      </c>
      <c r="N112" s="194" t="n">
        <v>-0.165</v>
      </c>
      <c r="O112" s="194" t="n">
        <v>-0.195</v>
      </c>
      <c r="P112" s="192" t="n">
        <v>-0.195</v>
      </c>
      <c r="Q112" s="192" t="n">
        <v>-0.0575</v>
      </c>
      <c r="R112" s="192" t="n">
        <v>-0.05</v>
      </c>
      <c r="S112" s="192" t="n">
        <v>0.275</v>
      </c>
      <c r="T112" s="192" t="n">
        <v>0.275</v>
      </c>
      <c r="U112" s="192" t="n">
        <v>0.18</v>
      </c>
      <c r="V112" s="192" t="n">
        <v>0</v>
      </c>
      <c r="W112" s="196" t="n">
        <v>0.1925</v>
      </c>
      <c r="X112" s="196" t="n">
        <v>0.215</v>
      </c>
      <c r="Y112" s="196" t="n">
        <v>-0.0195</v>
      </c>
      <c r="Z112" s="196" t="n">
        <v>-0.02525</v>
      </c>
      <c r="AA112" s="196" t="n">
        <v>0.00775</v>
      </c>
      <c r="AB112" s="196" t="n">
        <v>-0.01225</v>
      </c>
      <c r="AC112" s="196" t="n">
        <v>0.005</v>
      </c>
      <c r="AD112" s="196" t="n">
        <v>0.004</v>
      </c>
      <c r="AE112" s="196" t="n">
        <v>-0.06</v>
      </c>
      <c r="AF112" s="196" t="n">
        <v>-0.043</v>
      </c>
      <c r="AG112" s="197" t="n">
        <v>-0.0515</v>
      </c>
      <c r="AH112" s="196" t="n">
        <v>-0.017</v>
      </c>
      <c r="AI112" s="198" t="n">
        <v>-0.054</v>
      </c>
      <c r="AJ112" s="198" t="n">
        <v>-0.065</v>
      </c>
      <c r="AK112" s="199" t="n">
        <v>-0.0115</v>
      </c>
      <c r="AL112" s="192" t="n">
        <v>0.009</v>
      </c>
      <c r="AM112" s="192" t="n">
        <v>0.495</v>
      </c>
      <c r="AN112" s="192" t="n">
        <v>0.025</v>
      </c>
      <c r="AO112" s="192" t="n">
        <v>-0.385</v>
      </c>
      <c r="AP112" s="192" t="n">
        <v>-0.12</v>
      </c>
      <c r="AQ112" s="192" t="n">
        <v>-0.17</v>
      </c>
      <c r="AR112" s="192" t="n">
        <v>-0.29</v>
      </c>
      <c r="AS112" s="192" t="n">
        <v>-0.335</v>
      </c>
      <c r="AT112" s="192" t="n">
        <v>0</v>
      </c>
      <c r="AU112" s="192" t="n">
        <v>0.315</v>
      </c>
      <c r="AV112" s="192" t="n">
        <v>-0.385</v>
      </c>
      <c r="AW112" s="192" t="n">
        <v>-0.085</v>
      </c>
      <c r="AX112" s="192" t="n">
        <v>0</v>
      </c>
      <c r="AY112" s="192" t="n">
        <v>-0.085</v>
      </c>
      <c r="AZ112" s="192" t="n">
        <v>-0.05</v>
      </c>
      <c r="BA112" s="192" t="n">
        <v>-0.0725</v>
      </c>
      <c r="BB112" s="192" t="n">
        <v>-0.017</v>
      </c>
      <c r="BC112" s="192" t="n">
        <v>-0.055</v>
      </c>
      <c r="BD112" s="192" t="n">
        <v>-0.01</v>
      </c>
      <c r="BE112" s="192" t="n">
        <v>-0.06</v>
      </c>
      <c r="BF112" s="192" t="n">
        <v>0.075</v>
      </c>
      <c r="BG112" s="192" t="n">
        <v>0.1625</v>
      </c>
      <c r="BH112" s="192" t="n">
        <v>0.305</v>
      </c>
      <c r="BI112" s="192" t="n">
        <v>0.305</v>
      </c>
      <c r="BJ112" s="192" t="n">
        <v>0.31</v>
      </c>
    </row>
    <row r="113" customFormat="false" ht="12.75" hidden="false" customHeight="false" outlineLevel="0" collapsed="false">
      <c r="A113" s="194" t="e">
        <f aca="false">#REF!-B113</f>
        <v>#REF!</v>
      </c>
      <c r="B113" s="194" t="n">
        <v>3.239</v>
      </c>
      <c r="C113" s="200" t="n">
        <v>40057</v>
      </c>
      <c r="D113" s="194" t="n">
        <v>3.113</v>
      </c>
      <c r="E113" s="194" t="n">
        <v>0.17</v>
      </c>
      <c r="F113" s="194" t="n">
        <v>0.070334067795391</v>
      </c>
      <c r="G113" s="194" t="n">
        <v>-0.195</v>
      </c>
      <c r="H113" s="194" t="n">
        <v>-0.2</v>
      </c>
      <c r="I113" s="194" t="n">
        <v>-0.205</v>
      </c>
      <c r="J113" s="194" t="n">
        <v>-0.28</v>
      </c>
      <c r="K113" s="194" t="n">
        <v>-0.17</v>
      </c>
      <c r="L113" s="194" t="n">
        <v>-0.05</v>
      </c>
      <c r="M113" s="194" t="n">
        <v>-0.07</v>
      </c>
      <c r="N113" s="194" t="n">
        <v>-0.165</v>
      </c>
      <c r="O113" s="194" t="n">
        <v>-0.195</v>
      </c>
      <c r="P113" s="192" t="n">
        <v>-0.195</v>
      </c>
      <c r="Q113" s="192" t="n">
        <v>-0.06125</v>
      </c>
      <c r="R113" s="192" t="n">
        <v>-0.05</v>
      </c>
      <c r="S113" s="192" t="n">
        <v>0.2725</v>
      </c>
      <c r="T113" s="192" t="n">
        <v>0.2725</v>
      </c>
      <c r="U113" s="192" t="n">
        <v>0.1775</v>
      </c>
      <c r="V113" s="192" t="n">
        <v>0</v>
      </c>
      <c r="W113" s="196" t="n">
        <v>0.1925</v>
      </c>
      <c r="X113" s="196" t="n">
        <v>0.195</v>
      </c>
      <c r="Y113" s="196" t="n">
        <v>-0.0195</v>
      </c>
      <c r="Z113" s="196" t="n">
        <v>-0.02525</v>
      </c>
      <c r="AA113" s="196" t="n">
        <v>0.00775</v>
      </c>
      <c r="AB113" s="196" t="n">
        <v>-0.01225</v>
      </c>
      <c r="AC113" s="196" t="n">
        <v>0.005</v>
      </c>
      <c r="AD113" s="196" t="n">
        <v>0.004</v>
      </c>
      <c r="AE113" s="196" t="n">
        <v>-0.06</v>
      </c>
      <c r="AF113" s="196" t="n">
        <v>-0.043</v>
      </c>
      <c r="AG113" s="197" t="n">
        <v>-0.0515</v>
      </c>
      <c r="AH113" s="196" t="n">
        <v>-0.017</v>
      </c>
      <c r="AI113" s="198" t="n">
        <v>-0.052</v>
      </c>
      <c r="AJ113" s="198" t="n">
        <v>-0.0725</v>
      </c>
      <c r="AK113" s="199" t="n">
        <v>-0.0115</v>
      </c>
      <c r="AL113" s="192" t="n">
        <v>0.009</v>
      </c>
      <c r="AM113" s="192" t="n">
        <v>0.395</v>
      </c>
      <c r="AN113" s="192" t="n">
        <v>0.0175</v>
      </c>
      <c r="AO113" s="192" t="n">
        <v>-0.385</v>
      </c>
      <c r="AP113" s="192" t="n">
        <v>-0.12</v>
      </c>
      <c r="AQ113" s="192" t="n">
        <v>-0.17</v>
      </c>
      <c r="AR113" s="192" t="n">
        <v>-0.29</v>
      </c>
      <c r="AS113" s="192" t="n">
        <v>-0.335</v>
      </c>
      <c r="AT113" s="192" t="n">
        <v>0</v>
      </c>
      <c r="AU113" s="192" t="n">
        <v>0.315</v>
      </c>
      <c r="AV113" s="192" t="n">
        <v>-0.385</v>
      </c>
      <c r="AW113" s="192" t="n">
        <v>-0.09</v>
      </c>
      <c r="AX113" s="192" t="n">
        <v>0</v>
      </c>
      <c r="AY113" s="192" t="n">
        <v>-0.09</v>
      </c>
      <c r="AZ113" s="192" t="n">
        <v>-0.05</v>
      </c>
      <c r="BA113" s="192" t="n">
        <v>-0.0875</v>
      </c>
      <c r="BB113" s="192" t="n">
        <v>-0.017</v>
      </c>
      <c r="BC113" s="192" t="n">
        <v>-0.055</v>
      </c>
      <c r="BD113" s="192" t="n">
        <v>-0.0175</v>
      </c>
      <c r="BE113" s="192" t="n">
        <v>-0.06</v>
      </c>
      <c r="BF113" s="192" t="n">
        <v>0.075</v>
      </c>
      <c r="BG113" s="192" t="n">
        <v>0.1625</v>
      </c>
      <c r="BH113" s="192" t="n">
        <v>0.3025</v>
      </c>
      <c r="BI113" s="192" t="n">
        <v>0.3025</v>
      </c>
      <c r="BJ113" s="192" t="n">
        <v>0.3</v>
      </c>
    </row>
    <row r="114" customFormat="false" ht="12.75" hidden="false" customHeight="false" outlineLevel="0" collapsed="false">
      <c r="A114" s="194" t="e">
        <f aca="false">#REF!-B114</f>
        <v>#REF!</v>
      </c>
      <c r="B114" s="194" t="n">
        <v>3.304</v>
      </c>
      <c r="C114" s="200" t="n">
        <v>40087</v>
      </c>
      <c r="D114" s="194" t="n">
        <v>3.13</v>
      </c>
      <c r="E114" s="194" t="n">
        <v>0.17</v>
      </c>
      <c r="F114" s="194" t="n">
        <v>0.070370256243286</v>
      </c>
      <c r="G114" s="194" t="n">
        <v>-0.195</v>
      </c>
      <c r="H114" s="194" t="n">
        <v>-0.2</v>
      </c>
      <c r="I114" s="194" t="n">
        <v>-0.19</v>
      </c>
      <c r="J114" s="194" t="n">
        <v>-0.28</v>
      </c>
      <c r="K114" s="194" t="n">
        <v>-0.155</v>
      </c>
      <c r="L114" s="194" t="n">
        <v>-0.05</v>
      </c>
      <c r="M114" s="194" t="n">
        <v>-0.07</v>
      </c>
      <c r="N114" s="194" t="n">
        <v>-0.165</v>
      </c>
      <c r="O114" s="194" t="n">
        <v>-0.195</v>
      </c>
      <c r="P114" s="192" t="n">
        <v>-0.195</v>
      </c>
      <c r="Q114" s="192" t="n">
        <v>-0.06625</v>
      </c>
      <c r="R114" s="192" t="n">
        <v>-0.05</v>
      </c>
      <c r="S114" s="192" t="n">
        <v>0.2875</v>
      </c>
      <c r="T114" s="192" t="n">
        <v>0.2875</v>
      </c>
      <c r="U114" s="192" t="n">
        <v>0.1925</v>
      </c>
      <c r="V114" s="192" t="n">
        <v>0</v>
      </c>
      <c r="W114" s="196" t="n">
        <v>0.1975</v>
      </c>
      <c r="X114" s="196" t="n">
        <v>0.215</v>
      </c>
      <c r="Y114" s="196" t="n">
        <v>-0.0195</v>
      </c>
      <c r="Z114" s="196" t="n">
        <v>-0.02525</v>
      </c>
      <c r="AA114" s="196" t="n">
        <v>-0.0105</v>
      </c>
      <c r="AB114" s="196" t="n">
        <v>-0.0305</v>
      </c>
      <c r="AC114" s="196" t="n">
        <v>0.005</v>
      </c>
      <c r="AD114" s="196" t="n">
        <v>0.004</v>
      </c>
      <c r="AE114" s="196" t="n">
        <v>-0.06</v>
      </c>
      <c r="AF114" s="196" t="n">
        <v>-0.043</v>
      </c>
      <c r="AG114" s="197" t="n">
        <v>-0.0515</v>
      </c>
      <c r="AH114" s="196" t="n">
        <v>-0.017</v>
      </c>
      <c r="AI114" s="198" t="n">
        <v>-0.054</v>
      </c>
      <c r="AJ114" s="198" t="n">
        <v>-0.0825</v>
      </c>
      <c r="AK114" s="199" t="n">
        <v>-0.0115</v>
      </c>
      <c r="AL114" s="192" t="n">
        <v>0.009</v>
      </c>
      <c r="AM114" s="192" t="n">
        <v>0.461</v>
      </c>
      <c r="AN114" s="192" t="n">
        <v>0.0075</v>
      </c>
      <c r="AO114" s="192" t="n">
        <v>-0.385</v>
      </c>
      <c r="AP114" s="192" t="n">
        <v>-0.12</v>
      </c>
      <c r="AQ114" s="192" t="n">
        <v>-0.17</v>
      </c>
      <c r="AR114" s="192" t="n">
        <v>-0.29</v>
      </c>
      <c r="AS114" s="192" t="n">
        <v>-0.335</v>
      </c>
      <c r="AT114" s="192" t="n">
        <v>0</v>
      </c>
      <c r="AU114" s="192" t="n">
        <v>0.315</v>
      </c>
      <c r="AV114" s="192" t="n">
        <v>-0.385</v>
      </c>
      <c r="AW114" s="192" t="n">
        <v>-0.1</v>
      </c>
      <c r="AX114" s="192" t="n">
        <v>0</v>
      </c>
      <c r="AY114" s="192" t="n">
        <v>-0.1</v>
      </c>
      <c r="AZ114" s="192" t="n">
        <v>-0.05</v>
      </c>
      <c r="BA114" s="192" t="n">
        <v>-0.09</v>
      </c>
      <c r="BB114" s="192" t="n">
        <v>-0.017</v>
      </c>
      <c r="BC114" s="192" t="n">
        <v>-0.055</v>
      </c>
      <c r="BD114" s="192" t="n">
        <v>-0.0275</v>
      </c>
      <c r="BE114" s="192" t="n">
        <v>-0.06</v>
      </c>
      <c r="BF114" s="192" t="n">
        <v>0.075</v>
      </c>
      <c r="BG114" s="192" t="n">
        <v>0.1625</v>
      </c>
      <c r="BH114" s="192" t="n">
        <v>0.3175</v>
      </c>
      <c r="BI114" s="192" t="n">
        <v>0.3175</v>
      </c>
      <c r="BJ114" s="192" t="n">
        <v>0.37253</v>
      </c>
    </row>
    <row r="115" customFormat="false" ht="12.75" hidden="false" customHeight="false" outlineLevel="0" collapsed="false">
      <c r="A115" s="194" t="e">
        <f aca="false">#REF!-B115</f>
        <v>#REF!</v>
      </c>
      <c r="B115" s="194" t="n">
        <v>3.299</v>
      </c>
      <c r="C115" s="200" t="n">
        <v>40118</v>
      </c>
      <c r="D115" s="194" t="n">
        <v>3.192</v>
      </c>
      <c r="E115" s="194" t="n">
        <v>0.17</v>
      </c>
      <c r="F115" s="194" t="n">
        <v>0.070407650973233</v>
      </c>
      <c r="G115" s="194" t="n">
        <v>-0.19</v>
      </c>
      <c r="H115" s="194" t="n">
        <v>-0.195</v>
      </c>
      <c r="I115" s="194" t="n">
        <v>-0.1525</v>
      </c>
      <c r="J115" s="194" t="n">
        <v>-0.275</v>
      </c>
      <c r="K115" s="194" t="n">
        <v>-0.1175</v>
      </c>
      <c r="L115" s="194" t="n">
        <v>-0.0495</v>
      </c>
      <c r="M115" s="194" t="n">
        <v>-0.0845</v>
      </c>
      <c r="N115" s="194" t="n">
        <v>-0.16</v>
      </c>
      <c r="O115" s="194" t="n">
        <v>-0.19</v>
      </c>
      <c r="P115" s="192" t="n">
        <v>-0.19</v>
      </c>
      <c r="Q115" s="192" t="n">
        <v>-0.086</v>
      </c>
      <c r="R115" s="192" t="n">
        <v>-0.0495</v>
      </c>
      <c r="S115" s="192" t="n">
        <v>0.35</v>
      </c>
      <c r="T115" s="192" t="n">
        <v>0.35</v>
      </c>
      <c r="U115" s="192" t="n">
        <v>0.255</v>
      </c>
      <c r="V115" s="192" t="n">
        <v>0</v>
      </c>
      <c r="W115" s="196" t="n">
        <v>0.2725</v>
      </c>
      <c r="X115" s="196" t="n">
        <v>0.315</v>
      </c>
      <c r="Y115" s="196" t="n">
        <v>-0.0225</v>
      </c>
      <c r="Z115" s="196" t="n">
        <v>-0.0385</v>
      </c>
      <c r="AA115" s="196" t="n">
        <v>-0.0095</v>
      </c>
      <c r="AB115" s="196" t="n">
        <v>-0.027</v>
      </c>
      <c r="AC115" s="196" t="n">
        <v>0.005</v>
      </c>
      <c r="AD115" s="196" t="n">
        <v>0.000999999999999999</v>
      </c>
      <c r="AE115" s="196" t="n">
        <v>-0.06</v>
      </c>
      <c r="AF115" s="196" t="n">
        <v>-0.038</v>
      </c>
      <c r="AG115" s="197" t="n">
        <v>-0.0495</v>
      </c>
      <c r="AH115" s="196" t="n">
        <v>-0.0135</v>
      </c>
      <c r="AI115" s="198" t="n">
        <v>-0.0665</v>
      </c>
      <c r="AJ115" s="198" t="n">
        <v>-0.1225</v>
      </c>
      <c r="AK115" s="199" t="n">
        <v>-0.0065</v>
      </c>
      <c r="AL115" s="192" t="n">
        <v>0.016</v>
      </c>
      <c r="AM115" s="192" t="n">
        <v>0.885</v>
      </c>
      <c r="AN115" s="192" t="n">
        <v>-0.0325</v>
      </c>
      <c r="AO115" s="192" t="n">
        <v>-0.31</v>
      </c>
      <c r="AP115" s="192" t="n">
        <v>-0.1325</v>
      </c>
      <c r="AQ115" s="192" t="n">
        <v>-0.17</v>
      </c>
      <c r="AR115" s="192" t="n">
        <v>0</v>
      </c>
      <c r="AS115" s="192" t="n">
        <v>-0.26</v>
      </c>
      <c r="AT115" s="192" t="n">
        <v>0</v>
      </c>
      <c r="AU115" s="192" t="n">
        <v>0.14</v>
      </c>
      <c r="AV115" s="192" t="n">
        <v>-0.31</v>
      </c>
      <c r="AW115" s="192" t="n">
        <v>-0.1125</v>
      </c>
      <c r="AX115" s="192" t="n">
        <v>0</v>
      </c>
      <c r="AY115" s="192" t="n">
        <v>-0.1125</v>
      </c>
      <c r="AZ115" s="192" t="n">
        <v>-0.0495</v>
      </c>
      <c r="BA115" s="192" t="n">
        <v>-0.095</v>
      </c>
      <c r="BB115" s="192" t="n">
        <v>-0.0185</v>
      </c>
      <c r="BC115" s="192" t="n">
        <v>-0.0695</v>
      </c>
      <c r="BD115" s="192" t="n">
        <v>-0.0675</v>
      </c>
      <c r="BE115" s="192" t="n">
        <v>-0.06</v>
      </c>
      <c r="BF115" s="192" t="n">
        <v>0.09</v>
      </c>
      <c r="BG115" s="192" t="n">
        <v>0.295</v>
      </c>
      <c r="BH115" s="192" t="n">
        <v>0.395</v>
      </c>
      <c r="BI115" s="192" t="n">
        <v>0.395</v>
      </c>
      <c r="BJ115" s="192" t="n">
        <v>0.56</v>
      </c>
    </row>
    <row r="116" customFormat="false" ht="12.75" hidden="false" customHeight="false" outlineLevel="0" collapsed="false">
      <c r="A116" s="194" t="e">
        <f aca="false">#REF!-B116</f>
        <v>#REF!</v>
      </c>
      <c r="B116" s="194" t="n">
        <v>3.283</v>
      </c>
      <c r="C116" s="200" t="n">
        <v>40148</v>
      </c>
      <c r="D116" s="194" t="n">
        <v>3.25</v>
      </c>
      <c r="E116" s="194" t="n">
        <v>0.17</v>
      </c>
      <c r="F116" s="194" t="n">
        <v>0.070443839422008</v>
      </c>
      <c r="G116" s="194" t="n">
        <v>-0.1975</v>
      </c>
      <c r="H116" s="194" t="n">
        <v>-0.2025</v>
      </c>
      <c r="I116" s="194" t="n">
        <v>-0.145</v>
      </c>
      <c r="J116" s="194" t="n">
        <v>-0.2825</v>
      </c>
      <c r="K116" s="194" t="n">
        <v>-0.11</v>
      </c>
      <c r="L116" s="194" t="n">
        <v>-0.0495</v>
      </c>
      <c r="M116" s="194" t="n">
        <v>-0.0845</v>
      </c>
      <c r="N116" s="194" t="n">
        <v>-0.1675</v>
      </c>
      <c r="O116" s="194" t="n">
        <v>-0.1975</v>
      </c>
      <c r="P116" s="192" t="n">
        <v>-0.1975</v>
      </c>
      <c r="Q116" s="192" t="n">
        <v>-0.09725</v>
      </c>
      <c r="R116" s="192" t="n">
        <v>-0.0495</v>
      </c>
      <c r="S116" s="192" t="n">
        <v>0.39</v>
      </c>
      <c r="T116" s="192" t="n">
        <v>0.39</v>
      </c>
      <c r="U116" s="192" t="n">
        <v>0.295</v>
      </c>
      <c r="V116" s="192" t="n">
        <v>0</v>
      </c>
      <c r="W116" s="196" t="n">
        <v>0.3075</v>
      </c>
      <c r="X116" s="196" t="n">
        <v>0.395</v>
      </c>
      <c r="Y116" s="196" t="n">
        <v>-0.0225</v>
      </c>
      <c r="Z116" s="196" t="n">
        <v>-0.031</v>
      </c>
      <c r="AA116" s="196" t="n">
        <v>-0.0095</v>
      </c>
      <c r="AB116" s="196" t="n">
        <v>-0.027</v>
      </c>
      <c r="AC116" s="196" t="n">
        <v>0.005</v>
      </c>
      <c r="AD116" s="196" t="n">
        <v>0.000999999999999999</v>
      </c>
      <c r="AE116" s="196" t="n">
        <v>-0.06</v>
      </c>
      <c r="AF116" s="196" t="n">
        <v>-0.038</v>
      </c>
      <c r="AG116" s="197" t="n">
        <v>-0.0495</v>
      </c>
      <c r="AH116" s="196" t="n">
        <v>-0.0135</v>
      </c>
      <c r="AI116" s="198" t="n">
        <v>-0.0665</v>
      </c>
      <c r="AJ116" s="198" t="n">
        <v>-0.145</v>
      </c>
      <c r="AK116" s="199" t="n">
        <v>-0.0065</v>
      </c>
      <c r="AL116" s="192" t="n">
        <v>0.016</v>
      </c>
      <c r="AM116" s="192" t="n">
        <v>1.31</v>
      </c>
      <c r="AN116" s="192" t="n">
        <v>-0.055</v>
      </c>
      <c r="AO116" s="192" t="n">
        <v>-0.31</v>
      </c>
      <c r="AP116" s="192" t="n">
        <v>-0.1275</v>
      </c>
      <c r="AQ116" s="192" t="n">
        <v>-0.17</v>
      </c>
      <c r="AR116" s="192" t="n">
        <v>0.06</v>
      </c>
      <c r="AS116" s="192" t="n">
        <v>-0.26</v>
      </c>
      <c r="AT116" s="192" t="n">
        <v>0</v>
      </c>
      <c r="AU116" s="192" t="n">
        <v>0.14</v>
      </c>
      <c r="AV116" s="192" t="n">
        <v>-0.31</v>
      </c>
      <c r="AW116" s="192" t="n">
        <v>-0.1375</v>
      </c>
      <c r="AX116" s="192" t="n">
        <v>0</v>
      </c>
      <c r="AY116" s="192" t="n">
        <v>-0.1375</v>
      </c>
      <c r="AZ116" s="192" t="n">
        <v>-0.0495</v>
      </c>
      <c r="BA116" s="192" t="n">
        <v>-0.1275</v>
      </c>
      <c r="BB116" s="192" t="n">
        <v>-0.0185</v>
      </c>
      <c r="BC116" s="192" t="n">
        <v>-0.0695</v>
      </c>
      <c r="BD116" s="192" t="n">
        <v>-0.09</v>
      </c>
      <c r="BE116" s="192" t="n">
        <v>-0.06</v>
      </c>
      <c r="BF116" s="192" t="n">
        <v>0.09</v>
      </c>
      <c r="BG116" s="192" t="n">
        <v>0.25</v>
      </c>
      <c r="BH116" s="192" t="n">
        <v>0.435</v>
      </c>
      <c r="BI116" s="192" t="n">
        <v>0.435</v>
      </c>
      <c r="BJ116" s="192" t="n">
        <v>0.91</v>
      </c>
    </row>
    <row r="117" customFormat="false" ht="12.75" hidden="false" customHeight="false" outlineLevel="0" collapsed="false">
      <c r="A117" s="194" t="e">
        <f aca="false">#REF!-B117</f>
        <v>#REF!</v>
      </c>
      <c r="B117" s="194" t="n">
        <v>3.295</v>
      </c>
      <c r="C117" s="200" t="n">
        <v>40179</v>
      </c>
      <c r="D117" s="194" t="n">
        <v>3.661</v>
      </c>
      <c r="E117" s="194" t="n">
        <v>0.17</v>
      </c>
      <c r="F117" s="194" t="n">
        <v>0.070481234152864</v>
      </c>
      <c r="G117" s="194" t="n">
        <v>-0.2</v>
      </c>
      <c r="H117" s="194" t="n">
        <v>-0.205</v>
      </c>
      <c r="I117" s="194" t="n">
        <v>-0.13</v>
      </c>
      <c r="J117" s="194" t="n">
        <v>-0.265</v>
      </c>
      <c r="K117" s="194" t="n">
        <v>-0.095</v>
      </c>
      <c r="L117" s="194" t="n">
        <v>-0.0495</v>
      </c>
      <c r="M117" s="194" t="n">
        <v>-0.0845</v>
      </c>
      <c r="N117" s="194" t="n">
        <v>-0.17</v>
      </c>
      <c r="O117" s="194" t="n">
        <v>-0.2</v>
      </c>
      <c r="P117" s="192" t="n">
        <v>-0.2</v>
      </c>
      <c r="Q117" s="192" t="n">
        <v>-0.0985</v>
      </c>
      <c r="R117" s="192" t="n">
        <v>-0.0495</v>
      </c>
      <c r="S117" s="192" t="n">
        <v>0.4</v>
      </c>
      <c r="T117" s="192" t="n">
        <v>0.4</v>
      </c>
      <c r="U117" s="192" t="n">
        <v>0.305</v>
      </c>
      <c r="V117" s="192" t="n">
        <v>0</v>
      </c>
      <c r="W117" s="196" t="n">
        <v>0.3125</v>
      </c>
      <c r="X117" s="196" t="n">
        <v>0.465</v>
      </c>
      <c r="Y117" s="196" t="n">
        <v>-0.018</v>
      </c>
      <c r="Z117" s="196" t="n">
        <v>-0.031</v>
      </c>
      <c r="AA117" s="196" t="n">
        <v>-0.0095</v>
      </c>
      <c r="AB117" s="196" t="n">
        <v>-0.027</v>
      </c>
      <c r="AC117" s="196" t="n">
        <v>0.005</v>
      </c>
      <c r="AD117" s="196" t="n">
        <v>0.000999999999999999</v>
      </c>
      <c r="AE117" s="196" t="n">
        <v>-0.06</v>
      </c>
      <c r="AF117" s="196" t="n">
        <v>-0.036</v>
      </c>
      <c r="AG117" s="197" t="n">
        <v>-0.0495</v>
      </c>
      <c r="AH117" s="196" t="n">
        <v>-0.0135</v>
      </c>
      <c r="AI117" s="198" t="n">
        <v>-0.0595</v>
      </c>
      <c r="AJ117" s="198" t="n">
        <v>-0.1475</v>
      </c>
      <c r="AK117" s="199" t="n">
        <v>-0.002</v>
      </c>
      <c r="AL117" s="192" t="n">
        <v>0.016</v>
      </c>
      <c r="AM117" s="192" t="n">
        <v>1.645</v>
      </c>
      <c r="AN117" s="192" t="n">
        <v>-0.0575</v>
      </c>
      <c r="AO117" s="192" t="n">
        <v>-0.31</v>
      </c>
      <c r="AP117" s="192" t="n">
        <v>-0.1275</v>
      </c>
      <c r="AQ117" s="192" t="n">
        <v>-0.17</v>
      </c>
      <c r="AR117" s="192" t="n">
        <v>0.13</v>
      </c>
      <c r="AS117" s="192" t="n">
        <v>-0.26</v>
      </c>
      <c r="AT117" s="192" t="n">
        <v>0</v>
      </c>
      <c r="AU117" s="192" t="n">
        <v>0.14</v>
      </c>
      <c r="AV117" s="192" t="n">
        <v>-0.31</v>
      </c>
      <c r="AW117" s="192" t="n">
        <v>-0.1225</v>
      </c>
      <c r="AX117" s="192" t="n">
        <v>0</v>
      </c>
      <c r="AY117" s="192" t="n">
        <v>-0.1225</v>
      </c>
      <c r="AZ117" s="192" t="n">
        <v>-0.0495</v>
      </c>
      <c r="BA117" s="192" t="n">
        <v>-0.133</v>
      </c>
      <c r="BB117" s="192" t="n">
        <v>-0.0185</v>
      </c>
      <c r="BC117" s="192" t="n">
        <v>-0.0695</v>
      </c>
      <c r="BD117" s="192" t="n">
        <v>-0.0925</v>
      </c>
      <c r="BE117" s="192" t="n">
        <v>-0.06</v>
      </c>
      <c r="BF117" s="192" t="n">
        <v>-0.17</v>
      </c>
      <c r="BG117" s="192" t="n">
        <v>0.33</v>
      </c>
      <c r="BH117" s="192" t="n">
        <v>0.445</v>
      </c>
      <c r="BI117" s="192" t="n">
        <v>0.445</v>
      </c>
      <c r="BJ117" s="192" t="n">
        <v>1.235</v>
      </c>
    </row>
    <row r="118" customFormat="false" ht="12.75" hidden="false" customHeight="false" outlineLevel="0" collapsed="false">
      <c r="A118" s="194" t="e">
        <f aca="false">#REF!-B118</f>
        <v>#REF!</v>
      </c>
      <c r="B118" s="194" t="n">
        <v>3.377</v>
      </c>
      <c r="C118" s="200" t="n">
        <v>40210</v>
      </c>
      <c r="D118" s="194" t="n">
        <v>3.527</v>
      </c>
      <c r="E118" s="194" t="n">
        <v>0.17</v>
      </c>
      <c r="F118" s="194" t="n">
        <v>0.070518628884183</v>
      </c>
      <c r="G118" s="194" t="n">
        <v>-0.2025</v>
      </c>
      <c r="H118" s="194" t="n">
        <v>-0.2075</v>
      </c>
      <c r="I118" s="194" t="n">
        <v>-0.13</v>
      </c>
      <c r="J118" s="194" t="n">
        <v>-0.2675</v>
      </c>
      <c r="K118" s="194" t="n">
        <v>-0.095</v>
      </c>
      <c r="L118" s="194" t="n">
        <v>-0.0495</v>
      </c>
      <c r="M118" s="194" t="n">
        <v>-0.0845</v>
      </c>
      <c r="N118" s="194" t="n">
        <v>-0.1725</v>
      </c>
      <c r="O118" s="194" t="n">
        <v>-0.2025</v>
      </c>
      <c r="P118" s="192" t="n">
        <v>-0.2025</v>
      </c>
      <c r="Q118" s="192" t="n">
        <v>-0.08975</v>
      </c>
      <c r="R118" s="192" t="n">
        <v>-0.0495</v>
      </c>
      <c r="S118" s="192" t="n">
        <v>0.375</v>
      </c>
      <c r="T118" s="192" t="n">
        <v>0.375</v>
      </c>
      <c r="U118" s="192" t="n">
        <v>0.28</v>
      </c>
      <c r="V118" s="192" t="n">
        <v>0</v>
      </c>
      <c r="W118" s="196" t="n">
        <v>0.3125</v>
      </c>
      <c r="X118" s="196" t="n">
        <v>0.435</v>
      </c>
      <c r="Y118" s="196" t="n">
        <v>-0.018</v>
      </c>
      <c r="Z118" s="196" t="n">
        <v>-0.031</v>
      </c>
      <c r="AA118" s="196" t="n">
        <v>-0.0095</v>
      </c>
      <c r="AB118" s="196" t="n">
        <v>-0.027</v>
      </c>
      <c r="AC118" s="196" t="n">
        <v>0.005</v>
      </c>
      <c r="AD118" s="196" t="n">
        <v>0.000999999999999999</v>
      </c>
      <c r="AE118" s="196" t="n">
        <v>-0.06</v>
      </c>
      <c r="AF118" s="196" t="n">
        <v>-0.036</v>
      </c>
      <c r="AG118" s="197" t="n">
        <v>-0.0495</v>
      </c>
      <c r="AH118" s="196" t="n">
        <v>-0.0135</v>
      </c>
      <c r="AI118" s="198" t="n">
        <v>-0.0595</v>
      </c>
      <c r="AJ118" s="198" t="n">
        <v>-0.13</v>
      </c>
      <c r="AK118" s="199" t="n">
        <v>-0.002</v>
      </c>
      <c r="AL118" s="192" t="n">
        <v>0.016</v>
      </c>
      <c r="AM118" s="192" t="n">
        <v>1.595</v>
      </c>
      <c r="AN118" s="192" t="n">
        <v>-0.04</v>
      </c>
      <c r="AO118" s="192" t="n">
        <v>-0.31</v>
      </c>
      <c r="AP118" s="192" t="n">
        <v>-0.1275</v>
      </c>
      <c r="AQ118" s="192" t="n">
        <v>-0.17</v>
      </c>
      <c r="AR118" s="192" t="n">
        <v>0</v>
      </c>
      <c r="AS118" s="192" t="n">
        <v>-0.26</v>
      </c>
      <c r="AT118" s="192" t="n">
        <v>0</v>
      </c>
      <c r="AU118" s="192" t="n">
        <v>0.14</v>
      </c>
      <c r="AV118" s="192" t="n">
        <v>-0.31</v>
      </c>
      <c r="AW118" s="192" t="n">
        <v>-0.125</v>
      </c>
      <c r="AX118" s="192" t="n">
        <v>0</v>
      </c>
      <c r="AY118" s="192" t="n">
        <v>-0.125</v>
      </c>
      <c r="AZ118" s="192" t="n">
        <v>-0.0495</v>
      </c>
      <c r="BA118" s="192" t="n">
        <v>-0.1155</v>
      </c>
      <c r="BB118" s="192" t="n">
        <v>-0.0185</v>
      </c>
      <c r="BC118" s="192" t="n">
        <v>-0.0695</v>
      </c>
      <c r="BD118" s="192" t="n">
        <v>-0.075</v>
      </c>
      <c r="BE118" s="192" t="n">
        <v>-0.06</v>
      </c>
      <c r="BF118" s="192" t="n">
        <v>-0.17</v>
      </c>
      <c r="BG118" s="192" t="n">
        <v>0.375</v>
      </c>
      <c r="BH118" s="192" t="n">
        <v>0.42</v>
      </c>
      <c r="BI118" s="192" t="n">
        <v>0.42</v>
      </c>
      <c r="BJ118" s="192" t="n">
        <v>1.235</v>
      </c>
    </row>
    <row r="119" customFormat="false" ht="12.75" hidden="false" customHeight="false" outlineLevel="0" collapsed="false">
      <c r="A119" s="194" t="e">
        <f aca="false">#REF!-B119</f>
        <v>#REF!</v>
      </c>
      <c r="B119" s="194" t="n">
        <v>3.468</v>
      </c>
      <c r="C119" s="200" t="n">
        <v>40238</v>
      </c>
      <c r="D119" s="194" t="n">
        <v>3.365</v>
      </c>
      <c r="E119" s="194" t="n">
        <v>0.16</v>
      </c>
      <c r="F119" s="194" t="n">
        <v>0.070552404770932</v>
      </c>
      <c r="G119" s="194" t="n">
        <v>-0.205</v>
      </c>
      <c r="H119" s="194" t="n">
        <v>-0.21</v>
      </c>
      <c r="I119" s="194" t="n">
        <v>-0.13</v>
      </c>
      <c r="J119" s="194" t="n">
        <v>-0.27</v>
      </c>
      <c r="K119" s="194" t="n">
        <v>-0.095</v>
      </c>
      <c r="L119" s="194" t="n">
        <v>-0.0495</v>
      </c>
      <c r="M119" s="194" t="n">
        <v>-0.0845</v>
      </c>
      <c r="N119" s="194" t="n">
        <v>-0.175</v>
      </c>
      <c r="O119" s="194" t="n">
        <v>-0.205</v>
      </c>
      <c r="P119" s="192" t="n">
        <v>-0.205</v>
      </c>
      <c r="Q119" s="192" t="n">
        <v>-0.0835</v>
      </c>
      <c r="R119" s="192" t="n">
        <v>-0.0495</v>
      </c>
      <c r="S119" s="192" t="n">
        <v>0.373</v>
      </c>
      <c r="T119" s="192" t="n">
        <v>0.373</v>
      </c>
      <c r="U119" s="192" t="n">
        <v>0.278</v>
      </c>
      <c r="V119" s="192" t="n">
        <v>0</v>
      </c>
      <c r="W119" s="196" t="n">
        <v>0.27</v>
      </c>
      <c r="X119" s="196" t="n">
        <v>0.39</v>
      </c>
      <c r="Y119" s="196" t="n">
        <v>-0.018</v>
      </c>
      <c r="Z119" s="196" t="n">
        <v>-0.031</v>
      </c>
      <c r="AA119" s="196" t="n">
        <v>0.009</v>
      </c>
      <c r="AB119" s="196" t="n">
        <v>-0.0085</v>
      </c>
      <c r="AC119" s="196" t="n">
        <v>0.005</v>
      </c>
      <c r="AD119" s="196" t="n">
        <v>0.000999999999999999</v>
      </c>
      <c r="AE119" s="196" t="n">
        <v>-0.06</v>
      </c>
      <c r="AF119" s="196" t="n">
        <v>-0.036</v>
      </c>
      <c r="AG119" s="197" t="n">
        <v>-0.0495</v>
      </c>
      <c r="AH119" s="196" t="n">
        <v>-0.0135</v>
      </c>
      <c r="AI119" s="198" t="n">
        <v>-0.0665</v>
      </c>
      <c r="AJ119" s="198" t="n">
        <v>-0.1175</v>
      </c>
      <c r="AK119" s="199" t="n">
        <v>-0.002</v>
      </c>
      <c r="AL119" s="192" t="n">
        <v>0.016</v>
      </c>
      <c r="AM119" s="192" t="n">
        <v>0.965</v>
      </c>
      <c r="AN119" s="192" t="n">
        <v>-0.0275</v>
      </c>
      <c r="AO119" s="192" t="n">
        <v>-0.31</v>
      </c>
      <c r="AP119" s="192" t="n">
        <v>-0.1325</v>
      </c>
      <c r="AQ119" s="192" t="n">
        <v>-0.17</v>
      </c>
      <c r="AR119" s="192" t="n">
        <v>-0.18</v>
      </c>
      <c r="AS119" s="192" t="n">
        <v>-0.26</v>
      </c>
      <c r="AT119" s="192" t="n">
        <v>0</v>
      </c>
      <c r="AU119" s="192" t="n">
        <v>0.14</v>
      </c>
      <c r="AV119" s="192" t="n">
        <v>-0.31</v>
      </c>
      <c r="AW119" s="192" t="n">
        <v>-0.1075</v>
      </c>
      <c r="AX119" s="192" t="n">
        <v>0</v>
      </c>
      <c r="AY119" s="192" t="n">
        <v>-0.1075</v>
      </c>
      <c r="AZ119" s="192" t="n">
        <v>-0.0495</v>
      </c>
      <c r="BA119" s="192" t="n">
        <v>-0.1005</v>
      </c>
      <c r="BB119" s="192" t="n">
        <v>-0.0185</v>
      </c>
      <c r="BC119" s="192" t="n">
        <v>-0.0695</v>
      </c>
      <c r="BD119" s="192" t="n">
        <v>-0.0625</v>
      </c>
      <c r="BE119" s="192" t="n">
        <v>-0.06</v>
      </c>
      <c r="BF119" s="192" t="n">
        <v>-0.17</v>
      </c>
      <c r="BG119" s="192" t="n">
        <v>0.375</v>
      </c>
      <c r="BH119" s="192" t="n">
        <v>0.418</v>
      </c>
      <c r="BI119" s="192" t="n">
        <v>0.418</v>
      </c>
      <c r="BJ119" s="192" t="n">
        <v>0.875</v>
      </c>
    </row>
    <row r="120" customFormat="false" ht="12.75" hidden="false" customHeight="false" outlineLevel="0" collapsed="false">
      <c r="A120" s="194" t="e">
        <f aca="false">#REF!-B120</f>
        <v>#REF!</v>
      </c>
      <c r="B120" s="194" t="n">
        <v>3.722</v>
      </c>
      <c r="C120" s="200" t="n">
        <v>40269</v>
      </c>
      <c r="D120" s="194" t="n">
        <v>3.196</v>
      </c>
      <c r="E120" s="194" t="n">
        <v>0.16</v>
      </c>
      <c r="F120" s="194" t="n">
        <v>0.070589799503131</v>
      </c>
      <c r="G120" s="194" t="n">
        <v>-0.195</v>
      </c>
      <c r="H120" s="194" t="n">
        <v>-0.2</v>
      </c>
      <c r="I120" s="194" t="n">
        <v>-0.175</v>
      </c>
      <c r="J120" s="194" t="n">
        <v>-0.26</v>
      </c>
      <c r="K120" s="194" t="n">
        <v>-0.14</v>
      </c>
      <c r="L120" s="194" t="n">
        <v>-0.047</v>
      </c>
      <c r="M120" s="194" t="n">
        <v>-0.067</v>
      </c>
      <c r="N120" s="194" t="n">
        <v>-0.165</v>
      </c>
      <c r="O120" s="194" t="n">
        <v>-0.195</v>
      </c>
      <c r="P120" s="192" t="n">
        <v>-0.195</v>
      </c>
      <c r="Q120" s="192" t="n">
        <v>-0.061</v>
      </c>
      <c r="R120" s="192" t="n">
        <v>-0.047</v>
      </c>
      <c r="S120" s="192" t="n">
        <v>0.278</v>
      </c>
      <c r="T120" s="192" t="n">
        <v>0.278</v>
      </c>
      <c r="U120" s="192" t="n">
        <v>0.183</v>
      </c>
      <c r="V120" s="192" t="n">
        <v>0</v>
      </c>
      <c r="W120" s="196" t="n">
        <v>0.205</v>
      </c>
      <c r="X120" s="196" t="n">
        <v>0.25</v>
      </c>
      <c r="Y120" s="196" t="n">
        <v>-0.0175</v>
      </c>
      <c r="Z120" s="196" t="n">
        <v>-0.0235</v>
      </c>
      <c r="AA120" s="196" t="n">
        <v>0.009</v>
      </c>
      <c r="AB120" s="196" t="n">
        <v>-0.0085</v>
      </c>
      <c r="AC120" s="196" t="n">
        <v>0.005</v>
      </c>
      <c r="AD120" s="196" t="n">
        <v>0.006</v>
      </c>
      <c r="AE120" s="196" t="n">
        <v>-0.06</v>
      </c>
      <c r="AF120" s="196" t="n">
        <v>-0.041</v>
      </c>
      <c r="AG120" s="197" t="n">
        <v>-0.0495</v>
      </c>
      <c r="AH120" s="196" t="n">
        <v>-0.016</v>
      </c>
      <c r="AI120" s="198" t="n">
        <v>-0.062</v>
      </c>
      <c r="AJ120" s="198" t="n">
        <v>-0.075</v>
      </c>
      <c r="AK120" s="199" t="n">
        <v>-0.009499999</v>
      </c>
      <c r="AL120" s="192" t="n">
        <v>0.009</v>
      </c>
      <c r="AM120" s="192" t="n">
        <v>0.45</v>
      </c>
      <c r="AN120" s="192" t="n">
        <v>0.015</v>
      </c>
      <c r="AO120" s="192" t="n">
        <v>-0.385</v>
      </c>
      <c r="AP120" s="192" t="n">
        <v>-0.12</v>
      </c>
      <c r="AQ120" s="192" t="n">
        <v>-0.17</v>
      </c>
      <c r="AR120" s="192" t="n">
        <v>-0.29</v>
      </c>
      <c r="AS120" s="192" t="n">
        <v>-0.335</v>
      </c>
      <c r="AT120" s="192" t="n">
        <v>0</v>
      </c>
      <c r="AU120" s="192" t="n">
        <v>0.315</v>
      </c>
      <c r="AV120" s="192" t="n">
        <v>-0.385</v>
      </c>
      <c r="AW120" s="192" t="n">
        <v>-0.098</v>
      </c>
      <c r="AX120" s="192" t="n">
        <v>0</v>
      </c>
      <c r="AY120" s="192" t="n">
        <v>-0.098</v>
      </c>
      <c r="AZ120" s="192" t="n">
        <v>-0.047</v>
      </c>
      <c r="BA120" s="192" t="n">
        <v>-0.0855</v>
      </c>
      <c r="BB120" s="192" t="n">
        <v>-0.016</v>
      </c>
      <c r="BC120" s="192" t="n">
        <v>-0.052</v>
      </c>
      <c r="BD120" s="192" t="n">
        <v>-0.02</v>
      </c>
      <c r="BE120" s="192" t="n">
        <v>-0.06</v>
      </c>
      <c r="BF120" s="192" t="n">
        <v>-0.17</v>
      </c>
      <c r="BG120" s="192" t="n">
        <v>0.1625</v>
      </c>
      <c r="BH120" s="192" t="n">
        <v>0.308</v>
      </c>
      <c r="BI120" s="192" t="n">
        <v>0.308</v>
      </c>
      <c r="BJ120" s="192" t="n">
        <v>0.365</v>
      </c>
    </row>
    <row r="121" customFormat="false" ht="12.75" hidden="false" customHeight="false" outlineLevel="0" collapsed="false">
      <c r="A121" s="194" t="e">
        <f aca="false">#REF!-B121</f>
        <v>#REF!</v>
      </c>
      <c r="B121" s="194" t="n">
        <v>3.623</v>
      </c>
      <c r="C121" s="200" t="n">
        <v>40299</v>
      </c>
      <c r="D121" s="194" t="n">
        <v>3.153</v>
      </c>
      <c r="E121" s="194" t="n">
        <v>0.16</v>
      </c>
      <c r="F121" s="194" t="n">
        <v>0.070625987954085</v>
      </c>
      <c r="G121" s="194" t="n">
        <v>-0.195</v>
      </c>
      <c r="H121" s="194" t="n">
        <v>-0.2</v>
      </c>
      <c r="I121" s="194" t="n">
        <v>-0.205</v>
      </c>
      <c r="J121" s="194" t="n">
        <v>-0.26</v>
      </c>
      <c r="K121" s="194" t="n">
        <v>-0.155</v>
      </c>
      <c r="L121" s="194" t="n">
        <v>-0.047</v>
      </c>
      <c r="M121" s="194" t="n">
        <v>-0.067</v>
      </c>
      <c r="N121" s="194" t="n">
        <v>-0.165</v>
      </c>
      <c r="O121" s="194" t="n">
        <v>-0.195</v>
      </c>
      <c r="P121" s="192" t="n">
        <v>-0.195</v>
      </c>
      <c r="Q121" s="192" t="n">
        <v>-0.061</v>
      </c>
      <c r="R121" s="192" t="n">
        <v>-0.047</v>
      </c>
      <c r="S121" s="192" t="n">
        <v>0.288</v>
      </c>
      <c r="T121" s="192" t="n">
        <v>0.288</v>
      </c>
      <c r="U121" s="192" t="n">
        <v>0.193</v>
      </c>
      <c r="V121" s="192" t="n">
        <v>0</v>
      </c>
      <c r="W121" s="196" t="n">
        <v>0.1925</v>
      </c>
      <c r="X121" s="196" t="n">
        <v>0.2025</v>
      </c>
      <c r="Y121" s="196" t="n">
        <v>-0.0175</v>
      </c>
      <c r="Z121" s="196" t="n">
        <v>-0.02375</v>
      </c>
      <c r="AA121" s="196" t="n">
        <v>0.00875</v>
      </c>
      <c r="AB121" s="196" t="n">
        <v>-0.00875</v>
      </c>
      <c r="AC121" s="196" t="n">
        <v>0.005</v>
      </c>
      <c r="AD121" s="196" t="n">
        <v>0.006</v>
      </c>
      <c r="AE121" s="196" t="n">
        <v>-0.06</v>
      </c>
      <c r="AF121" s="196" t="n">
        <v>-0.041</v>
      </c>
      <c r="AG121" s="197" t="n">
        <v>-0.0495</v>
      </c>
      <c r="AH121" s="196" t="n">
        <v>-0.016</v>
      </c>
      <c r="AI121" s="198" t="n">
        <v>-0.062</v>
      </c>
      <c r="AJ121" s="198" t="n">
        <v>-0.075</v>
      </c>
      <c r="AK121" s="199" t="n">
        <v>-0.009499999</v>
      </c>
      <c r="AL121" s="192" t="n">
        <v>0.009</v>
      </c>
      <c r="AM121" s="192" t="n">
        <v>0.405</v>
      </c>
      <c r="AN121" s="192" t="n">
        <v>0.015</v>
      </c>
      <c r="AO121" s="192" t="n">
        <v>-0.385</v>
      </c>
      <c r="AP121" s="192" t="n">
        <v>-0.12</v>
      </c>
      <c r="AQ121" s="192" t="n">
        <v>-0.17</v>
      </c>
      <c r="AR121" s="192" t="n">
        <v>-0.29</v>
      </c>
      <c r="AS121" s="192" t="n">
        <v>-0.335</v>
      </c>
      <c r="AT121" s="192" t="n">
        <v>0</v>
      </c>
      <c r="AU121" s="192" t="n">
        <v>0.315</v>
      </c>
      <c r="AV121" s="192" t="n">
        <v>-0.385</v>
      </c>
      <c r="AW121" s="192" t="n">
        <v>-0.0955</v>
      </c>
      <c r="AX121" s="192" t="n">
        <v>0</v>
      </c>
      <c r="AY121" s="192" t="n">
        <v>-0.0955</v>
      </c>
      <c r="AZ121" s="192" t="n">
        <v>-0.047</v>
      </c>
      <c r="BA121" s="192" t="n">
        <v>-0.0805</v>
      </c>
      <c r="BB121" s="192" t="n">
        <v>-0.016</v>
      </c>
      <c r="BC121" s="192" t="n">
        <v>-0.052</v>
      </c>
      <c r="BD121" s="192" t="n">
        <v>-0.02</v>
      </c>
      <c r="BE121" s="192" t="n">
        <v>-0.06</v>
      </c>
      <c r="BF121" s="192" t="n">
        <v>-0.17</v>
      </c>
      <c r="BG121" s="192" t="n">
        <v>0.1625</v>
      </c>
      <c r="BH121" s="192" t="n">
        <v>0.318</v>
      </c>
      <c r="BI121" s="192" t="n">
        <v>0.318</v>
      </c>
      <c r="BJ121" s="192" t="n">
        <v>0.2975</v>
      </c>
    </row>
    <row r="122" customFormat="false" ht="12.75" hidden="false" customHeight="false" outlineLevel="0" collapsed="false">
      <c r="A122" s="194" t="e">
        <f aca="false">#REF!-B122</f>
        <v>#REF!</v>
      </c>
      <c r="B122" s="194" t="n">
        <v>3.486</v>
      </c>
      <c r="C122" s="200" t="n">
        <v>40330</v>
      </c>
      <c r="D122" s="194" t="n">
        <v>3.168</v>
      </c>
      <c r="E122" s="194" t="n">
        <v>0.16</v>
      </c>
      <c r="F122" s="194" t="n">
        <v>0.070663382687193</v>
      </c>
      <c r="G122" s="194" t="n">
        <v>-0.195</v>
      </c>
      <c r="H122" s="194" t="n">
        <v>-0.2</v>
      </c>
      <c r="I122" s="194" t="n">
        <v>-0.215</v>
      </c>
      <c r="J122" s="194" t="n">
        <v>-0.26</v>
      </c>
      <c r="K122" s="194" t="n">
        <v>-0.165</v>
      </c>
      <c r="L122" s="194" t="n">
        <v>-0.047</v>
      </c>
      <c r="M122" s="194" t="n">
        <v>-0.067</v>
      </c>
      <c r="N122" s="194" t="n">
        <v>-0.165</v>
      </c>
      <c r="O122" s="194" t="n">
        <v>-0.195</v>
      </c>
      <c r="P122" s="192" t="n">
        <v>-0.195</v>
      </c>
      <c r="Q122" s="192" t="n">
        <v>-0.0585</v>
      </c>
      <c r="R122" s="192" t="n">
        <v>-0.047</v>
      </c>
      <c r="S122" s="192" t="n">
        <v>0.283</v>
      </c>
      <c r="T122" s="192" t="n">
        <v>0.283</v>
      </c>
      <c r="U122" s="192" t="n">
        <v>0.188</v>
      </c>
      <c r="V122" s="192" t="n">
        <v>0</v>
      </c>
      <c r="W122" s="196" t="n">
        <v>0.1925</v>
      </c>
      <c r="X122" s="196" t="n">
        <v>0.2025</v>
      </c>
      <c r="Y122" s="196" t="n">
        <v>-0.0175</v>
      </c>
      <c r="Z122" s="196" t="n">
        <v>-0.02375</v>
      </c>
      <c r="AA122" s="196" t="n">
        <v>0.00875</v>
      </c>
      <c r="AB122" s="196" t="n">
        <v>-0.00875</v>
      </c>
      <c r="AC122" s="196" t="n">
        <v>0.005</v>
      </c>
      <c r="AD122" s="196" t="n">
        <v>0.006</v>
      </c>
      <c r="AE122" s="196" t="n">
        <v>-0.06</v>
      </c>
      <c r="AF122" s="196" t="n">
        <v>-0.041</v>
      </c>
      <c r="AG122" s="197" t="n">
        <v>-0.0495</v>
      </c>
      <c r="AH122" s="196" t="n">
        <v>-0.016</v>
      </c>
      <c r="AI122" s="198" t="n">
        <v>-0.078</v>
      </c>
      <c r="AJ122" s="198" t="n">
        <v>-0.07</v>
      </c>
      <c r="AK122" s="199" t="n">
        <v>-0.009499999</v>
      </c>
      <c r="AL122" s="192" t="n">
        <v>0.009</v>
      </c>
      <c r="AM122" s="192" t="n">
        <v>0.395</v>
      </c>
      <c r="AN122" s="192" t="n">
        <v>0.02</v>
      </c>
      <c r="AO122" s="192" t="n">
        <v>-0.385</v>
      </c>
      <c r="AP122" s="192" t="n">
        <v>-0.12</v>
      </c>
      <c r="AQ122" s="192" t="n">
        <v>-0.17</v>
      </c>
      <c r="AR122" s="192" t="n">
        <v>-0.29</v>
      </c>
      <c r="AS122" s="192" t="n">
        <v>-0.335</v>
      </c>
      <c r="AT122" s="192" t="n">
        <v>0</v>
      </c>
      <c r="AU122" s="192" t="n">
        <v>0.315</v>
      </c>
      <c r="AV122" s="192" t="n">
        <v>-0.385</v>
      </c>
      <c r="AW122" s="192" t="n">
        <v>-0.088</v>
      </c>
      <c r="AX122" s="192" t="n">
        <v>0</v>
      </c>
      <c r="AY122" s="192" t="n">
        <v>-0.088</v>
      </c>
      <c r="AZ122" s="192" t="n">
        <v>-0.047</v>
      </c>
      <c r="BA122" s="192" t="n">
        <v>-0.0755</v>
      </c>
      <c r="BB122" s="192" t="n">
        <v>-0.016</v>
      </c>
      <c r="BC122" s="192" t="n">
        <v>-0.052</v>
      </c>
      <c r="BD122" s="192" t="n">
        <v>-0.015</v>
      </c>
      <c r="BE122" s="192" t="n">
        <v>-0.06</v>
      </c>
      <c r="BF122" s="192" t="n">
        <v>-0.17</v>
      </c>
      <c r="BG122" s="192" t="n">
        <v>0.1625</v>
      </c>
      <c r="BH122" s="192" t="n">
        <v>0.313</v>
      </c>
      <c r="BI122" s="192" t="n">
        <v>0.313</v>
      </c>
      <c r="BJ122" s="192" t="n">
        <v>0.2975</v>
      </c>
    </row>
    <row r="123" customFormat="false" ht="12.75" hidden="false" customHeight="false" outlineLevel="0" collapsed="false">
      <c r="A123" s="194" t="e">
        <f aca="false">#REF!-B123</f>
        <v>#REF!</v>
      </c>
      <c r="B123" s="194" t="n">
        <v>3.352</v>
      </c>
      <c r="C123" s="200" t="n">
        <v>40360</v>
      </c>
      <c r="D123" s="194" t="n">
        <v>3.176</v>
      </c>
      <c r="E123" s="194" t="n">
        <v>0.16</v>
      </c>
      <c r="F123" s="194" t="n">
        <v>0.070699571139027</v>
      </c>
      <c r="G123" s="194" t="n">
        <v>-0.195</v>
      </c>
      <c r="H123" s="194" t="n">
        <v>-0.2</v>
      </c>
      <c r="I123" s="194" t="n">
        <v>-0.215</v>
      </c>
      <c r="J123" s="194" t="n">
        <v>-0.28</v>
      </c>
      <c r="K123" s="194" t="n">
        <v>-0.165</v>
      </c>
      <c r="L123" s="194" t="n">
        <v>-0.047</v>
      </c>
      <c r="M123" s="194" t="n">
        <v>-0.067</v>
      </c>
      <c r="N123" s="194" t="n">
        <v>-0.165</v>
      </c>
      <c r="O123" s="194" t="n">
        <v>-0.195</v>
      </c>
      <c r="P123" s="192" t="n">
        <v>-0.195</v>
      </c>
      <c r="Q123" s="192" t="n">
        <v>-0.05725</v>
      </c>
      <c r="R123" s="192" t="n">
        <v>-0.047</v>
      </c>
      <c r="S123" s="192" t="n">
        <v>0.273</v>
      </c>
      <c r="T123" s="192" t="n">
        <v>0.273</v>
      </c>
      <c r="U123" s="192" t="n">
        <v>0.178</v>
      </c>
      <c r="V123" s="192" t="n">
        <v>0</v>
      </c>
      <c r="W123" s="196" t="n">
        <v>0.1925</v>
      </c>
      <c r="X123" s="196" t="n">
        <v>0.215</v>
      </c>
      <c r="Y123" s="196" t="n">
        <v>-0.0175</v>
      </c>
      <c r="Z123" s="196" t="n">
        <v>-0.02375</v>
      </c>
      <c r="AA123" s="196" t="n">
        <v>0.00875</v>
      </c>
      <c r="AB123" s="196" t="n">
        <v>-0.00875</v>
      </c>
      <c r="AC123" s="196" t="n">
        <v>0.005</v>
      </c>
      <c r="AD123" s="196" t="n">
        <v>0.006</v>
      </c>
      <c r="AE123" s="196" t="n">
        <v>-0.06</v>
      </c>
      <c r="AF123" s="196" t="n">
        <v>-0.041</v>
      </c>
      <c r="AG123" s="197" t="n">
        <v>-0.0495</v>
      </c>
      <c r="AH123" s="196" t="n">
        <v>-0.016</v>
      </c>
      <c r="AI123" s="198" t="n">
        <v>-0.071</v>
      </c>
      <c r="AJ123" s="198" t="n">
        <v>-0.0675</v>
      </c>
      <c r="AK123" s="199" t="n">
        <v>-0.009499999</v>
      </c>
      <c r="AL123" s="192" t="n">
        <v>0.009</v>
      </c>
      <c r="AM123" s="192" t="n">
        <v>0.43</v>
      </c>
      <c r="AN123" s="192" t="n">
        <v>0.0225</v>
      </c>
      <c r="AO123" s="192" t="n">
        <v>-0.385</v>
      </c>
      <c r="AP123" s="192" t="n">
        <v>-0.12</v>
      </c>
      <c r="AQ123" s="192" t="n">
        <v>-0.17</v>
      </c>
      <c r="AR123" s="192" t="n">
        <v>-0.29</v>
      </c>
      <c r="AS123" s="192" t="n">
        <v>-0.335</v>
      </c>
      <c r="AT123" s="192" t="n">
        <v>0</v>
      </c>
      <c r="AU123" s="192" t="n">
        <v>0.315</v>
      </c>
      <c r="AV123" s="192" t="n">
        <v>-0.385</v>
      </c>
      <c r="AW123" s="192" t="n">
        <v>-0.0955</v>
      </c>
      <c r="AX123" s="192" t="n">
        <v>0</v>
      </c>
      <c r="AY123" s="192" t="n">
        <v>-0.0955</v>
      </c>
      <c r="AZ123" s="192" t="n">
        <v>-0.047</v>
      </c>
      <c r="BA123" s="192" t="n">
        <v>-0.0705</v>
      </c>
      <c r="BB123" s="192" t="n">
        <v>-0.016</v>
      </c>
      <c r="BC123" s="192" t="n">
        <v>-0.052</v>
      </c>
      <c r="BD123" s="192" t="n">
        <v>-0.0125</v>
      </c>
      <c r="BE123" s="192" t="n">
        <v>-0.06</v>
      </c>
      <c r="BF123" s="192" t="n">
        <v>-0.17</v>
      </c>
      <c r="BG123" s="192" t="n">
        <v>0.1625</v>
      </c>
      <c r="BH123" s="192" t="n">
        <v>0.303</v>
      </c>
      <c r="BI123" s="192" t="n">
        <v>0.303</v>
      </c>
      <c r="BJ123" s="192" t="n">
        <v>0.31</v>
      </c>
    </row>
    <row r="124" customFormat="false" ht="12.75" hidden="false" customHeight="false" outlineLevel="0" collapsed="false">
      <c r="A124" s="194" t="e">
        <f aca="false">#REF!-B124</f>
        <v>#REF!</v>
      </c>
      <c r="B124" s="194" t="n">
        <v>3.331</v>
      </c>
      <c r="C124" s="200" t="n">
        <v>40391</v>
      </c>
      <c r="D124" s="194" t="n">
        <v>3.183</v>
      </c>
      <c r="E124" s="194" t="n">
        <v>0.16</v>
      </c>
      <c r="F124" s="194" t="n">
        <v>0.070736965873045</v>
      </c>
      <c r="G124" s="194" t="n">
        <v>-0.195</v>
      </c>
      <c r="H124" s="194" t="n">
        <v>-0.2</v>
      </c>
      <c r="I124" s="194" t="n">
        <v>-0.215</v>
      </c>
      <c r="J124" s="194" t="n">
        <v>-0.28</v>
      </c>
      <c r="K124" s="194" t="n">
        <v>-0.165</v>
      </c>
      <c r="L124" s="194" t="n">
        <v>-0.047</v>
      </c>
      <c r="M124" s="194" t="n">
        <v>-0.067</v>
      </c>
      <c r="N124" s="194" t="n">
        <v>-0.165</v>
      </c>
      <c r="O124" s="194" t="n">
        <v>-0.195</v>
      </c>
      <c r="P124" s="192" t="n">
        <v>-0.195</v>
      </c>
      <c r="Q124" s="192" t="n">
        <v>-0.056</v>
      </c>
      <c r="R124" s="192" t="n">
        <v>-0.047</v>
      </c>
      <c r="S124" s="192" t="n">
        <v>0.27</v>
      </c>
      <c r="T124" s="192" t="n">
        <v>0.27</v>
      </c>
      <c r="U124" s="192" t="n">
        <v>0.175</v>
      </c>
      <c r="V124" s="192" t="n">
        <v>0</v>
      </c>
      <c r="W124" s="196" t="n">
        <v>0.1925</v>
      </c>
      <c r="X124" s="196" t="n">
        <v>0.215</v>
      </c>
      <c r="Y124" s="196" t="n">
        <v>-0.0175</v>
      </c>
      <c r="Z124" s="196" t="n">
        <v>-0.02375</v>
      </c>
      <c r="AA124" s="196" t="n">
        <v>0.00875</v>
      </c>
      <c r="AB124" s="196" t="n">
        <v>-0.00875</v>
      </c>
      <c r="AC124" s="196" t="n">
        <v>0.005</v>
      </c>
      <c r="AD124" s="196" t="n">
        <v>0.006</v>
      </c>
      <c r="AE124" s="196" t="n">
        <v>-0.06</v>
      </c>
      <c r="AF124" s="196" t="n">
        <v>-0.041</v>
      </c>
      <c r="AG124" s="197" t="n">
        <v>-0.0495</v>
      </c>
      <c r="AH124" s="196" t="n">
        <v>-0.016</v>
      </c>
      <c r="AI124" s="198" t="n">
        <v>-0.052</v>
      </c>
      <c r="AJ124" s="198" t="n">
        <v>-0.065</v>
      </c>
      <c r="AK124" s="199" t="n">
        <v>-0.009499999</v>
      </c>
      <c r="AL124" s="192" t="n">
        <v>0.009</v>
      </c>
      <c r="AM124" s="192" t="n">
        <v>0.495</v>
      </c>
      <c r="AN124" s="192" t="n">
        <v>0.025</v>
      </c>
      <c r="AO124" s="192" t="n">
        <v>-0.385</v>
      </c>
      <c r="AP124" s="192" t="n">
        <v>-0.12</v>
      </c>
      <c r="AQ124" s="192" t="n">
        <v>-0.17</v>
      </c>
      <c r="AR124" s="192" t="n">
        <v>-0.29</v>
      </c>
      <c r="AS124" s="192" t="n">
        <v>-0.335</v>
      </c>
      <c r="AT124" s="192" t="n">
        <v>0</v>
      </c>
      <c r="AU124" s="192" t="n">
        <v>0.315</v>
      </c>
      <c r="AV124" s="192" t="n">
        <v>-0.385</v>
      </c>
      <c r="AW124" s="192" t="n">
        <v>-0.083</v>
      </c>
      <c r="AX124" s="192" t="n">
        <v>0</v>
      </c>
      <c r="AY124" s="192" t="n">
        <v>-0.083</v>
      </c>
      <c r="AZ124" s="192" t="n">
        <v>-0.047</v>
      </c>
      <c r="BA124" s="192" t="n">
        <v>-0.0705</v>
      </c>
      <c r="BB124" s="192" t="n">
        <v>-0.016</v>
      </c>
      <c r="BC124" s="192" t="n">
        <v>-0.052</v>
      </c>
      <c r="BD124" s="192" t="n">
        <v>-0.01</v>
      </c>
      <c r="BE124" s="192" t="n">
        <v>-0.06</v>
      </c>
      <c r="BF124" s="192" t="n">
        <v>-0.17</v>
      </c>
      <c r="BG124" s="192" t="n">
        <v>0.1625</v>
      </c>
      <c r="BH124" s="192" t="n">
        <v>0.3</v>
      </c>
      <c r="BI124" s="192" t="n">
        <v>0.3</v>
      </c>
      <c r="BJ124" s="192" t="n">
        <v>0.31</v>
      </c>
    </row>
    <row r="125" customFormat="false" ht="12.75" hidden="false" customHeight="false" outlineLevel="0" collapsed="false">
      <c r="A125" s="194" t="e">
        <f aca="false">#REF!-B125</f>
        <v>#REF!</v>
      </c>
      <c r="B125" s="194" t="n">
        <v>3.318</v>
      </c>
      <c r="C125" s="200" t="n">
        <v>40422</v>
      </c>
      <c r="D125" s="194" t="n">
        <v>3.166</v>
      </c>
      <c r="E125" s="194" t="n">
        <v>0.16</v>
      </c>
      <c r="F125" s="194" t="n">
        <v>0.070774360607525</v>
      </c>
      <c r="G125" s="194" t="n">
        <v>-0.195</v>
      </c>
      <c r="H125" s="194" t="n">
        <v>-0.2</v>
      </c>
      <c r="I125" s="194" t="n">
        <v>-0.205</v>
      </c>
      <c r="J125" s="194" t="n">
        <v>-0.28</v>
      </c>
      <c r="K125" s="194" t="n">
        <v>-0.155</v>
      </c>
      <c r="L125" s="194" t="n">
        <v>-0.047</v>
      </c>
      <c r="M125" s="194" t="n">
        <v>-0.067</v>
      </c>
      <c r="N125" s="194" t="n">
        <v>-0.165</v>
      </c>
      <c r="O125" s="194" t="n">
        <v>-0.195</v>
      </c>
      <c r="P125" s="192" t="n">
        <v>-0.195</v>
      </c>
      <c r="Q125" s="192" t="n">
        <v>-0.05975</v>
      </c>
      <c r="R125" s="192" t="n">
        <v>-0.047</v>
      </c>
      <c r="S125" s="192" t="n">
        <v>0.268</v>
      </c>
      <c r="T125" s="192" t="n">
        <v>0.268</v>
      </c>
      <c r="U125" s="192" t="n">
        <v>0.173</v>
      </c>
      <c r="V125" s="192" t="n">
        <v>0</v>
      </c>
      <c r="W125" s="196" t="n">
        <v>0.1925</v>
      </c>
      <c r="X125" s="196" t="n">
        <v>0.195</v>
      </c>
      <c r="Y125" s="196" t="n">
        <v>-0.0175</v>
      </c>
      <c r="Z125" s="196" t="n">
        <v>-0.02375</v>
      </c>
      <c r="AA125" s="196" t="n">
        <v>0.00875</v>
      </c>
      <c r="AB125" s="196" t="n">
        <v>-0.00875</v>
      </c>
      <c r="AC125" s="196" t="n">
        <v>0.005</v>
      </c>
      <c r="AD125" s="196" t="n">
        <v>0.006</v>
      </c>
      <c r="AE125" s="196" t="n">
        <v>-0.06</v>
      </c>
      <c r="AF125" s="196" t="n">
        <v>-0.041</v>
      </c>
      <c r="AG125" s="197" t="n">
        <v>-0.0495</v>
      </c>
      <c r="AH125" s="196" t="n">
        <v>-0.016</v>
      </c>
      <c r="AI125" s="198" t="n">
        <v>-0.05</v>
      </c>
      <c r="AJ125" s="198" t="n">
        <v>-0.0725</v>
      </c>
      <c r="AK125" s="199" t="n">
        <v>-0.009499999</v>
      </c>
      <c r="AL125" s="192" t="n">
        <v>0.009</v>
      </c>
      <c r="AM125" s="192" t="n">
        <v>0.395</v>
      </c>
      <c r="AN125" s="192" t="n">
        <v>0.0175</v>
      </c>
      <c r="AO125" s="192" t="n">
        <v>-0.385</v>
      </c>
      <c r="AP125" s="192" t="n">
        <v>-0.12</v>
      </c>
      <c r="AQ125" s="192" t="n">
        <v>-0.17</v>
      </c>
      <c r="AR125" s="192" t="n">
        <v>-0.29</v>
      </c>
      <c r="AS125" s="192" t="n">
        <v>-0.335</v>
      </c>
      <c r="AT125" s="192" t="n">
        <v>0</v>
      </c>
      <c r="AU125" s="192" t="n">
        <v>0.315</v>
      </c>
      <c r="AV125" s="192" t="n">
        <v>-0.385</v>
      </c>
      <c r="AW125" s="192" t="n">
        <v>-0.088</v>
      </c>
      <c r="AX125" s="192" t="n">
        <v>0</v>
      </c>
      <c r="AY125" s="192" t="n">
        <v>-0.088</v>
      </c>
      <c r="AZ125" s="192" t="n">
        <v>-0.047</v>
      </c>
      <c r="BA125" s="192" t="n">
        <v>-0.0855</v>
      </c>
      <c r="BB125" s="192" t="n">
        <v>-0.016</v>
      </c>
      <c r="BC125" s="192" t="n">
        <v>-0.052</v>
      </c>
      <c r="BD125" s="192" t="n">
        <v>-0.0175</v>
      </c>
      <c r="BE125" s="192" t="n">
        <v>-0.06</v>
      </c>
      <c r="BF125" s="192" t="n">
        <v>-0.17</v>
      </c>
      <c r="BG125" s="192" t="n">
        <v>0.1625</v>
      </c>
      <c r="BH125" s="192" t="n">
        <v>0.298</v>
      </c>
      <c r="BI125" s="192" t="n">
        <v>0.298</v>
      </c>
      <c r="BJ125" s="192" t="n">
        <v>0.3</v>
      </c>
    </row>
    <row r="126" customFormat="false" ht="12.75" hidden="false" customHeight="false" outlineLevel="0" collapsed="false">
      <c r="A126" s="194" t="e">
        <f aca="false">#REF!-B126</f>
        <v>#REF!</v>
      </c>
      <c r="B126" s="194" t="n">
        <v>3.383</v>
      </c>
      <c r="C126" s="200" t="n">
        <v>40452</v>
      </c>
      <c r="D126" s="194" t="n">
        <v>3.182</v>
      </c>
      <c r="E126" s="194" t="n">
        <v>0.16</v>
      </c>
      <c r="F126" s="194" t="n">
        <v>0.070800763165239</v>
      </c>
      <c r="G126" s="194" t="n">
        <v>-0.195</v>
      </c>
      <c r="H126" s="194" t="n">
        <v>-0.2</v>
      </c>
      <c r="I126" s="194" t="n">
        <v>-0.19</v>
      </c>
      <c r="J126" s="194" t="n">
        <v>-0.28</v>
      </c>
      <c r="K126" s="194" t="n">
        <v>-0.14</v>
      </c>
      <c r="L126" s="194" t="n">
        <v>-0.047</v>
      </c>
      <c r="M126" s="194" t="n">
        <v>-0.067</v>
      </c>
      <c r="N126" s="194" t="n">
        <v>-0.165</v>
      </c>
      <c r="O126" s="194" t="n">
        <v>-0.195</v>
      </c>
      <c r="P126" s="192" t="n">
        <v>-0.195</v>
      </c>
      <c r="Q126" s="192" t="n">
        <v>-0.06475</v>
      </c>
      <c r="R126" s="192" t="n">
        <v>-0.047</v>
      </c>
      <c r="S126" s="192" t="n">
        <v>0.283</v>
      </c>
      <c r="T126" s="192" t="n">
        <v>0.283</v>
      </c>
      <c r="U126" s="192" t="n">
        <v>0.188</v>
      </c>
      <c r="V126" s="192" t="n">
        <v>0</v>
      </c>
      <c r="W126" s="196" t="n">
        <v>0.1975</v>
      </c>
      <c r="X126" s="196" t="n">
        <v>0.215</v>
      </c>
      <c r="Y126" s="196" t="n">
        <v>-0.0175</v>
      </c>
      <c r="Z126" s="196" t="n">
        <v>-0.02375</v>
      </c>
      <c r="AA126" s="196" t="n">
        <v>-0.0095</v>
      </c>
      <c r="AB126" s="196" t="n">
        <v>-0.027</v>
      </c>
      <c r="AC126" s="196" t="n">
        <v>0.005</v>
      </c>
      <c r="AD126" s="196" t="n">
        <v>0.006</v>
      </c>
      <c r="AE126" s="196" t="n">
        <v>-0.06</v>
      </c>
      <c r="AF126" s="196" t="n">
        <v>-0.041</v>
      </c>
      <c r="AG126" s="197" t="n">
        <v>-0.0495</v>
      </c>
      <c r="AH126" s="196" t="n">
        <v>-0.016</v>
      </c>
      <c r="AI126" s="198" t="n">
        <v>-0.052</v>
      </c>
      <c r="AJ126" s="198" t="n">
        <v>-0.0825</v>
      </c>
      <c r="AK126" s="199" t="n">
        <v>-0.009499999</v>
      </c>
      <c r="AL126" s="192" t="n">
        <v>0.009</v>
      </c>
      <c r="AM126" s="192" t="n">
        <v>0.461</v>
      </c>
      <c r="AN126" s="192" t="n">
        <v>0.0075</v>
      </c>
      <c r="AO126" s="192" t="n">
        <v>-0.385</v>
      </c>
      <c r="AP126" s="192" t="n">
        <v>-0.12</v>
      </c>
      <c r="AQ126" s="192" t="n">
        <v>-0.17</v>
      </c>
      <c r="AR126" s="192" t="n">
        <v>-0.29</v>
      </c>
      <c r="AS126" s="192" t="n">
        <v>-0.335</v>
      </c>
      <c r="AT126" s="192" t="n">
        <v>0</v>
      </c>
      <c r="AU126" s="192" t="n">
        <v>0.315</v>
      </c>
      <c r="AV126" s="192" t="n">
        <v>-0.385</v>
      </c>
      <c r="AW126" s="192" t="n">
        <v>-0.098</v>
      </c>
      <c r="AX126" s="192" t="n">
        <v>0</v>
      </c>
      <c r="AY126" s="192" t="n">
        <v>-0.098</v>
      </c>
      <c r="AZ126" s="192" t="n">
        <v>-0.047</v>
      </c>
      <c r="BA126" s="192" t="n">
        <v>-0.088</v>
      </c>
      <c r="BB126" s="192" t="n">
        <v>-0.016</v>
      </c>
      <c r="BC126" s="192" t="n">
        <v>-0.052</v>
      </c>
      <c r="BD126" s="192" t="n">
        <v>-0.0275</v>
      </c>
      <c r="BE126" s="192" t="n">
        <v>-0.06</v>
      </c>
      <c r="BF126" s="192" t="n">
        <v>-0.17</v>
      </c>
      <c r="BG126" s="192" t="n">
        <v>0.1625</v>
      </c>
      <c r="BH126" s="192" t="n">
        <v>0.313</v>
      </c>
      <c r="BI126" s="192" t="n">
        <v>0.313</v>
      </c>
      <c r="BJ126" s="192" t="n">
        <v>0.37253</v>
      </c>
    </row>
    <row r="127" customFormat="false" ht="12.75" hidden="false" customHeight="false" outlineLevel="0" collapsed="false">
      <c r="A127" s="194" t="e">
        <f aca="false">#REF!-B127</f>
        <v>#REF!</v>
      </c>
      <c r="B127" s="194" t="n">
        <v>3.378</v>
      </c>
      <c r="C127" s="200" t="n">
        <v>40483</v>
      </c>
      <c r="D127" s="194" t="n">
        <v>3.239</v>
      </c>
      <c r="E127" s="194" t="n">
        <v>0.16</v>
      </c>
      <c r="F127" s="194" t="n">
        <v>0.07081057946771</v>
      </c>
      <c r="G127" s="194" t="n">
        <v>-0.19</v>
      </c>
      <c r="H127" s="194" t="n">
        <v>-0.195</v>
      </c>
      <c r="I127" s="194" t="n">
        <v>-0.1525</v>
      </c>
      <c r="J127" s="194" t="n">
        <v>-0.275</v>
      </c>
      <c r="K127" s="194" t="n">
        <v>-0.1025</v>
      </c>
      <c r="L127" s="194" t="n">
        <v>-0.0465</v>
      </c>
      <c r="M127" s="194" t="n">
        <v>-0.0815</v>
      </c>
      <c r="N127" s="194" t="n">
        <v>-0.16</v>
      </c>
      <c r="O127" s="194" t="n">
        <v>-0.19</v>
      </c>
      <c r="P127" s="192" t="n">
        <v>-0.19</v>
      </c>
      <c r="Q127" s="192" t="n">
        <v>-0.0845</v>
      </c>
      <c r="R127" s="192" t="n">
        <v>-0.0465</v>
      </c>
      <c r="S127" s="192" t="n">
        <v>0.345</v>
      </c>
      <c r="T127" s="192" t="n">
        <v>0.345</v>
      </c>
      <c r="U127" s="192" t="n">
        <v>0.25</v>
      </c>
      <c r="V127" s="192" t="n">
        <v>0</v>
      </c>
      <c r="W127" s="196" t="n">
        <v>0.2725</v>
      </c>
      <c r="X127" s="196" t="n">
        <v>0.315</v>
      </c>
      <c r="Y127" s="196" t="n">
        <v>-0.0205</v>
      </c>
      <c r="Z127" s="196" t="n">
        <v>-0.037</v>
      </c>
      <c r="AA127" s="196" t="n">
        <v>-0.0085</v>
      </c>
      <c r="AB127" s="196" t="n">
        <v>-0.026</v>
      </c>
      <c r="AC127" s="196" t="n">
        <v>0.005</v>
      </c>
      <c r="AD127" s="196" t="n">
        <v>0.003</v>
      </c>
      <c r="AE127" s="196" t="n">
        <v>-0.06</v>
      </c>
      <c r="AF127" s="196" t="n">
        <v>-0.036</v>
      </c>
      <c r="AG127" s="197" t="n">
        <v>-0.0475</v>
      </c>
      <c r="AH127" s="196" t="n">
        <v>-0.0125</v>
      </c>
      <c r="AI127" s="198" t="n">
        <v>-0.0645</v>
      </c>
      <c r="AJ127" s="198" t="n">
        <v>-0.1225</v>
      </c>
      <c r="AK127" s="199" t="n">
        <v>-0.0045</v>
      </c>
      <c r="AL127" s="192" t="n">
        <v>0.016</v>
      </c>
      <c r="AM127" s="192" t="n">
        <v>0.885</v>
      </c>
      <c r="AN127" s="192" t="n">
        <v>-0.0325</v>
      </c>
      <c r="AO127" s="192" t="n">
        <v>-0.31</v>
      </c>
      <c r="AP127" s="192" t="n">
        <v>-0.1325</v>
      </c>
      <c r="AQ127" s="192" t="n">
        <v>-0.17</v>
      </c>
      <c r="AR127" s="192" t="n">
        <v>0</v>
      </c>
      <c r="AS127" s="192" t="n">
        <v>-0.26</v>
      </c>
      <c r="AT127" s="192" t="n">
        <v>0</v>
      </c>
      <c r="AU127" s="192" t="n">
        <v>0.14</v>
      </c>
      <c r="AV127" s="192" t="n">
        <v>-0.31</v>
      </c>
      <c r="AW127" s="192" t="n">
        <v>-0.1105</v>
      </c>
      <c r="AX127" s="192" t="n">
        <v>0</v>
      </c>
      <c r="AY127" s="192" t="n">
        <v>-0.1105</v>
      </c>
      <c r="AZ127" s="192" t="n">
        <v>-0.0465</v>
      </c>
      <c r="BA127" s="192" t="n">
        <v>-0.093</v>
      </c>
      <c r="BB127" s="192" t="n">
        <v>-0.0175</v>
      </c>
      <c r="BC127" s="192" t="n">
        <v>-0.0665</v>
      </c>
      <c r="BD127" s="192" t="n">
        <v>-0.0675</v>
      </c>
      <c r="BE127" s="192" t="n">
        <v>-0.06</v>
      </c>
      <c r="BF127" s="192" t="n">
        <v>-0.17</v>
      </c>
      <c r="BG127" s="192" t="n">
        <v>0.295</v>
      </c>
      <c r="BH127" s="192" t="n">
        <v>0.39</v>
      </c>
      <c r="BI127" s="192" t="n">
        <v>0.39</v>
      </c>
      <c r="BJ127" s="192" t="n">
        <v>0.56</v>
      </c>
    </row>
    <row r="128" customFormat="false" ht="12.75" hidden="false" customHeight="false" outlineLevel="0" collapsed="false">
      <c r="A128" s="194" t="e">
        <f aca="false">#REF!-B128</f>
        <v>#REF!</v>
      </c>
      <c r="B128" s="194" t="n">
        <v>3.361</v>
      </c>
      <c r="C128" s="200" t="n">
        <v>40513</v>
      </c>
      <c r="D128" s="194" t="n">
        <v>3.294</v>
      </c>
      <c r="E128" s="194" t="n">
        <v>0.16</v>
      </c>
      <c r="F128" s="194" t="n">
        <v>0.070820079115292</v>
      </c>
      <c r="G128" s="194" t="n">
        <v>-0.1975</v>
      </c>
      <c r="H128" s="194" t="n">
        <v>-0.2025</v>
      </c>
      <c r="I128" s="194" t="n">
        <v>-0.145</v>
      </c>
      <c r="J128" s="194" t="n">
        <v>-0.2825</v>
      </c>
      <c r="K128" s="194" t="n">
        <v>-0.095</v>
      </c>
      <c r="L128" s="194" t="n">
        <v>-0.0465</v>
      </c>
      <c r="M128" s="194" t="n">
        <v>-0.0815</v>
      </c>
      <c r="N128" s="194" t="n">
        <v>-0.1675</v>
      </c>
      <c r="O128" s="194" t="n">
        <v>-0.1975</v>
      </c>
      <c r="P128" s="192" t="n">
        <v>-0.1975</v>
      </c>
      <c r="Q128" s="192" t="n">
        <v>-0.09575</v>
      </c>
      <c r="R128" s="192" t="n">
        <v>-0.0465</v>
      </c>
      <c r="S128" s="192" t="n">
        <v>0.385</v>
      </c>
      <c r="T128" s="192" t="n">
        <v>0.385</v>
      </c>
      <c r="U128" s="192" t="n">
        <v>0.29</v>
      </c>
      <c r="V128" s="192" t="n">
        <v>0</v>
      </c>
      <c r="W128" s="196" t="n">
        <v>0.3075</v>
      </c>
      <c r="X128" s="196" t="n">
        <v>0.395</v>
      </c>
      <c r="Y128" s="196" t="n">
        <v>-0.0205</v>
      </c>
      <c r="Z128" s="196" t="n">
        <v>-0.0295</v>
      </c>
      <c r="AA128" s="196" t="n">
        <v>-0.0085</v>
      </c>
      <c r="AB128" s="196" t="n">
        <v>-0.026</v>
      </c>
      <c r="AC128" s="196" t="n">
        <v>0.005</v>
      </c>
      <c r="AD128" s="196" t="n">
        <v>0.003</v>
      </c>
      <c r="AE128" s="196" t="n">
        <v>-0.06</v>
      </c>
      <c r="AF128" s="196" t="n">
        <v>-0.036</v>
      </c>
      <c r="AG128" s="197" t="n">
        <v>-0.0475</v>
      </c>
      <c r="AH128" s="196" t="n">
        <v>-0.0125</v>
      </c>
      <c r="AI128" s="198" t="n">
        <v>-0.0645</v>
      </c>
      <c r="AJ128" s="198" t="n">
        <v>-0.145</v>
      </c>
      <c r="AK128" s="199" t="n">
        <v>-0.0045</v>
      </c>
      <c r="AL128" s="192" t="n">
        <v>0.016</v>
      </c>
      <c r="AM128" s="192" t="n">
        <v>1.31</v>
      </c>
      <c r="AN128" s="192" t="n">
        <v>-0.055</v>
      </c>
      <c r="AO128" s="192" t="n">
        <v>-0.31</v>
      </c>
      <c r="AP128" s="192" t="n">
        <v>-0.1275</v>
      </c>
      <c r="AQ128" s="192" t="n">
        <v>-0.17</v>
      </c>
      <c r="AR128" s="192" t="n">
        <v>0.06</v>
      </c>
      <c r="AS128" s="192" t="n">
        <v>-0.26</v>
      </c>
      <c r="AT128" s="192" t="n">
        <v>0</v>
      </c>
      <c r="AU128" s="192" t="n">
        <v>0.14</v>
      </c>
      <c r="AV128" s="192" t="n">
        <v>-0.31</v>
      </c>
      <c r="AW128" s="192" t="n">
        <v>-0.1355</v>
      </c>
      <c r="AX128" s="192" t="n">
        <v>0</v>
      </c>
      <c r="AY128" s="192" t="n">
        <v>-0.1355</v>
      </c>
      <c r="AZ128" s="192" t="n">
        <v>-0.0465</v>
      </c>
      <c r="BA128" s="192" t="n">
        <v>-0.1255</v>
      </c>
      <c r="BB128" s="192" t="n">
        <v>-0.0175</v>
      </c>
      <c r="BC128" s="192" t="n">
        <v>-0.0665</v>
      </c>
      <c r="BD128" s="192" t="n">
        <v>-0.09</v>
      </c>
      <c r="BE128" s="192" t="n">
        <v>-0.06</v>
      </c>
      <c r="BF128" s="192" t="n">
        <v>-0.17</v>
      </c>
      <c r="BG128" s="192" t="n">
        <v>0.25</v>
      </c>
      <c r="BH128" s="192" t="n">
        <v>0.43</v>
      </c>
      <c r="BI128" s="192" t="n">
        <v>0.43</v>
      </c>
      <c r="BJ128" s="192" t="n">
        <v>0.91</v>
      </c>
    </row>
    <row r="129" customFormat="false" ht="12.75" hidden="false" customHeight="false" outlineLevel="0" collapsed="false">
      <c r="A129" s="194" t="e">
        <f aca="false">#REF!-B129</f>
        <v>#REF!</v>
      </c>
      <c r="B129" s="194" t="n">
        <v>3.372</v>
      </c>
      <c r="C129" s="200" t="n">
        <v>40544</v>
      </c>
      <c r="D129" s="194" t="n">
        <v>3.713</v>
      </c>
      <c r="E129" s="194" t="n">
        <v>0.16</v>
      </c>
      <c r="F129" s="194" t="n">
        <v>0.070829895417826</v>
      </c>
      <c r="G129" s="194" t="n">
        <v>-0.2</v>
      </c>
      <c r="H129" s="194" t="n">
        <v>-0.205</v>
      </c>
      <c r="I129" s="194" t="n">
        <v>-0.13</v>
      </c>
      <c r="J129" s="194" t="n">
        <v>-0.265</v>
      </c>
      <c r="K129" s="194" t="n">
        <v>-0.08</v>
      </c>
      <c r="L129" s="194" t="n">
        <v>-0.0465</v>
      </c>
      <c r="M129" s="194" t="n">
        <v>-0.0815</v>
      </c>
      <c r="N129" s="194" t="n">
        <v>-0.17</v>
      </c>
      <c r="O129" s="194" t="n">
        <v>-0.2</v>
      </c>
      <c r="P129" s="192" t="n">
        <v>-0.2</v>
      </c>
      <c r="Q129" s="192" t="n">
        <v>-0.097</v>
      </c>
      <c r="R129" s="192" t="n">
        <v>-0.0465</v>
      </c>
      <c r="S129" s="192" t="n">
        <v>0.395</v>
      </c>
      <c r="T129" s="192" t="n">
        <v>0.395</v>
      </c>
      <c r="U129" s="192" t="n">
        <v>0.3</v>
      </c>
      <c r="V129" s="192" t="n">
        <v>0</v>
      </c>
      <c r="W129" s="196" t="n">
        <v>0.3125</v>
      </c>
      <c r="X129" s="196" t="n">
        <v>0.465</v>
      </c>
      <c r="Y129" s="196" t="n">
        <v>-0.016</v>
      </c>
      <c r="Z129" s="196" t="n">
        <v>-0.0295</v>
      </c>
      <c r="AA129" s="196" t="n">
        <v>-0.0085</v>
      </c>
      <c r="AB129" s="196" t="n">
        <v>-0.0235</v>
      </c>
      <c r="AC129" s="196" t="n">
        <v>0.005</v>
      </c>
      <c r="AD129" s="196" t="n">
        <v>0.003</v>
      </c>
      <c r="AE129" s="196" t="n">
        <v>-0.06</v>
      </c>
      <c r="AF129" s="196" t="n">
        <v>-0.034</v>
      </c>
      <c r="AG129" s="197" t="n">
        <v>-0.0475</v>
      </c>
      <c r="AH129" s="196" t="n">
        <v>-0.0125</v>
      </c>
      <c r="AI129" s="198" t="n">
        <v>-0.0575</v>
      </c>
      <c r="AJ129" s="198" t="n">
        <v>-0.1475</v>
      </c>
      <c r="AK129" s="199" t="n">
        <v>0</v>
      </c>
      <c r="AL129" s="192" t="n">
        <v>0.016</v>
      </c>
      <c r="AM129" s="192" t="n">
        <v>1.645</v>
      </c>
      <c r="AN129" s="192" t="n">
        <v>-0.0575</v>
      </c>
      <c r="AO129" s="192" t="n">
        <v>-0.31</v>
      </c>
      <c r="AP129" s="192" t="n">
        <v>-0.1275</v>
      </c>
      <c r="AQ129" s="192" t="n">
        <v>-0.17</v>
      </c>
      <c r="AR129" s="192" t="n">
        <v>0.13</v>
      </c>
      <c r="AS129" s="192" t="n">
        <v>-0.26</v>
      </c>
      <c r="AT129" s="192" t="n">
        <v>0</v>
      </c>
      <c r="AU129" s="192" t="n">
        <v>0.14</v>
      </c>
      <c r="AV129" s="192" t="n">
        <v>-0.31</v>
      </c>
      <c r="AW129" s="192" t="n">
        <v>-0.1205</v>
      </c>
      <c r="AX129" s="192" t="n">
        <v>0</v>
      </c>
      <c r="AY129" s="192" t="n">
        <v>-0.1205</v>
      </c>
      <c r="AZ129" s="192" t="n">
        <v>-0.0465</v>
      </c>
      <c r="BA129" s="192" t="n">
        <v>-0.131</v>
      </c>
      <c r="BB129" s="192" t="n">
        <v>-0.0175</v>
      </c>
      <c r="BC129" s="192" t="n">
        <v>-0.0665</v>
      </c>
      <c r="BD129" s="192" t="n">
        <v>-0.0925</v>
      </c>
      <c r="BE129" s="192" t="n">
        <v>-0.06</v>
      </c>
      <c r="BF129" s="192" t="n">
        <v>-0.17</v>
      </c>
      <c r="BG129" s="192" t="n">
        <v>0.33</v>
      </c>
      <c r="BH129" s="192" t="n">
        <v>0.44</v>
      </c>
      <c r="BI129" s="192" t="n">
        <v>0.44</v>
      </c>
      <c r="BJ129" s="192" t="n">
        <v>1.235</v>
      </c>
    </row>
    <row r="130" customFormat="false" ht="12.75" hidden="false" customHeight="false" outlineLevel="0" collapsed="false">
      <c r="A130" s="194" t="e">
        <f aca="false">#REF!-B130</f>
        <v>#REF!</v>
      </c>
      <c r="B130" s="194" t="n">
        <v>3.449</v>
      </c>
      <c r="C130" s="200" t="n">
        <v>40575</v>
      </c>
      <c r="D130" s="194" t="n">
        <v>3.583</v>
      </c>
      <c r="E130" s="194" t="n">
        <v>0.16</v>
      </c>
      <c r="F130" s="194" t="n">
        <v>0.070839711720391</v>
      </c>
      <c r="G130" s="194" t="n">
        <v>-0.2025</v>
      </c>
      <c r="H130" s="194" t="n">
        <v>-0.2075</v>
      </c>
      <c r="I130" s="194" t="n">
        <v>-0.13</v>
      </c>
      <c r="J130" s="194" t="n">
        <v>-0.2675</v>
      </c>
      <c r="K130" s="194" t="n">
        <v>-0.08</v>
      </c>
      <c r="L130" s="194" t="n">
        <v>-0.0465</v>
      </c>
      <c r="M130" s="194" t="n">
        <v>-0.0815</v>
      </c>
      <c r="N130" s="194" t="n">
        <v>-0.1725</v>
      </c>
      <c r="O130" s="194" t="n">
        <v>-0.2025</v>
      </c>
      <c r="P130" s="192" t="n">
        <v>-0.2025</v>
      </c>
      <c r="Q130" s="192" t="n">
        <v>-0.08825</v>
      </c>
      <c r="R130" s="192" t="n">
        <v>-0.0465</v>
      </c>
      <c r="S130" s="192" t="n">
        <v>0.37</v>
      </c>
      <c r="T130" s="192" t="n">
        <v>0.37</v>
      </c>
      <c r="U130" s="192" t="n">
        <v>0.275</v>
      </c>
      <c r="V130" s="192" t="n">
        <v>0</v>
      </c>
      <c r="W130" s="196" t="n">
        <v>0.3125</v>
      </c>
      <c r="X130" s="196" t="n">
        <v>0.435</v>
      </c>
      <c r="Y130" s="196" t="n">
        <v>-0.016</v>
      </c>
      <c r="Z130" s="196" t="n">
        <v>-0.0295</v>
      </c>
      <c r="AA130" s="196" t="n">
        <v>-0.0085</v>
      </c>
      <c r="AB130" s="196" t="n">
        <v>-0.0235</v>
      </c>
      <c r="AC130" s="196" t="n">
        <v>0.005</v>
      </c>
      <c r="AD130" s="196" t="n">
        <v>0.003</v>
      </c>
      <c r="AE130" s="196" t="n">
        <v>-0.06</v>
      </c>
      <c r="AF130" s="196" t="n">
        <v>-0.034</v>
      </c>
      <c r="AG130" s="197" t="n">
        <v>-0.0475</v>
      </c>
      <c r="AH130" s="196" t="n">
        <v>-0.0125</v>
      </c>
      <c r="AI130" s="198" t="n">
        <v>-0.0575</v>
      </c>
      <c r="AJ130" s="198" t="n">
        <v>-0.13</v>
      </c>
      <c r="AK130" s="199" t="n">
        <v>0</v>
      </c>
      <c r="AL130" s="192" t="n">
        <v>0.016</v>
      </c>
      <c r="AM130" s="192" t="n">
        <v>1.595</v>
      </c>
      <c r="AN130" s="192" t="n">
        <v>-0.04</v>
      </c>
      <c r="AO130" s="192" t="n">
        <v>-0.31</v>
      </c>
      <c r="AP130" s="192" t="n">
        <v>-0.1275</v>
      </c>
      <c r="AQ130" s="192" t="n">
        <v>-0.17</v>
      </c>
      <c r="AR130" s="192" t="n">
        <v>0</v>
      </c>
      <c r="AS130" s="192" t="n">
        <v>-0.26</v>
      </c>
      <c r="AT130" s="192" t="n">
        <v>0</v>
      </c>
      <c r="AU130" s="192" t="n">
        <v>0.14</v>
      </c>
      <c r="AV130" s="192" t="n">
        <v>-0.31</v>
      </c>
      <c r="AW130" s="192" t="n">
        <v>-0.123</v>
      </c>
      <c r="AX130" s="192" t="n">
        <v>0</v>
      </c>
      <c r="AY130" s="192" t="n">
        <v>-0.123</v>
      </c>
      <c r="AZ130" s="192" t="n">
        <v>-0.0465</v>
      </c>
      <c r="BA130" s="192" t="n">
        <v>-0.1135</v>
      </c>
      <c r="BB130" s="192" t="n">
        <v>-0.0175</v>
      </c>
      <c r="BC130" s="192" t="n">
        <v>-0.0665</v>
      </c>
      <c r="BD130" s="192" t="n">
        <v>-0.075</v>
      </c>
      <c r="BE130" s="192" t="n">
        <v>-0.06</v>
      </c>
      <c r="BF130" s="192" t="n">
        <v>-0.17</v>
      </c>
      <c r="BG130" s="192" t="n">
        <v>0.375</v>
      </c>
      <c r="BH130" s="192" t="n">
        <v>0.415</v>
      </c>
      <c r="BI130" s="192" t="n">
        <v>0.415</v>
      </c>
      <c r="BJ130" s="192" t="n">
        <v>1.235</v>
      </c>
    </row>
    <row r="131" customFormat="false" ht="12.75" hidden="false" customHeight="false" outlineLevel="0" collapsed="false">
      <c r="A131" s="194" t="e">
        <f aca="false">#REF!-B131</f>
        <v>#REF!</v>
      </c>
      <c r="B131" s="194" t="n">
        <v>3.537</v>
      </c>
      <c r="C131" s="200" t="n">
        <v>40603</v>
      </c>
      <c r="D131" s="194" t="n">
        <v>3.424</v>
      </c>
      <c r="E131" s="194" t="n">
        <v>0.155</v>
      </c>
      <c r="F131" s="194" t="n">
        <v>0.07084857805822</v>
      </c>
      <c r="G131" s="194" t="n">
        <v>-0.205</v>
      </c>
      <c r="H131" s="194" t="n">
        <v>-0.21</v>
      </c>
      <c r="I131" s="194" t="n">
        <v>-0.13</v>
      </c>
      <c r="J131" s="194" t="n">
        <v>-0.27</v>
      </c>
      <c r="K131" s="194" t="n">
        <v>-0.08</v>
      </c>
      <c r="L131" s="194" t="n">
        <v>-0.0465</v>
      </c>
      <c r="M131" s="194" t="n">
        <v>-0.0815</v>
      </c>
      <c r="N131" s="194" t="n">
        <v>-0.175</v>
      </c>
      <c r="O131" s="194" t="n">
        <v>-0.205</v>
      </c>
      <c r="P131" s="192" t="n">
        <v>-0.205</v>
      </c>
      <c r="Q131" s="192" t="n">
        <v>-0.082</v>
      </c>
      <c r="R131" s="192" t="n">
        <v>-0.0465</v>
      </c>
      <c r="S131" s="192" t="n">
        <v>0.368</v>
      </c>
      <c r="T131" s="192" t="n">
        <v>0.368</v>
      </c>
      <c r="U131" s="192" t="n">
        <v>0.273</v>
      </c>
      <c r="V131" s="192" t="n">
        <v>0</v>
      </c>
      <c r="W131" s="196" t="n">
        <v>0.27</v>
      </c>
      <c r="X131" s="196" t="n">
        <v>0.39</v>
      </c>
      <c r="Y131" s="196" t="n">
        <v>-0.016</v>
      </c>
      <c r="Z131" s="196" t="n">
        <v>-0.0295</v>
      </c>
      <c r="AA131" s="196" t="n">
        <v>0.01</v>
      </c>
      <c r="AB131" s="196" t="n">
        <v>-0.005</v>
      </c>
      <c r="AC131" s="196" t="n">
        <v>0.005</v>
      </c>
      <c r="AD131" s="196" t="n">
        <v>0.003</v>
      </c>
      <c r="AE131" s="196" t="n">
        <v>-0.06</v>
      </c>
      <c r="AF131" s="196" t="n">
        <v>-0.034</v>
      </c>
      <c r="AG131" s="197" t="n">
        <v>-0.0475</v>
      </c>
      <c r="AH131" s="196" t="n">
        <v>-0.0125</v>
      </c>
      <c r="AI131" s="198" t="n">
        <v>-0.0645</v>
      </c>
      <c r="AJ131" s="198" t="n">
        <v>-0.1175</v>
      </c>
      <c r="AK131" s="199" t="n">
        <v>0</v>
      </c>
      <c r="AL131" s="192" t="n">
        <v>0.016</v>
      </c>
      <c r="AM131" s="192" t="n">
        <v>0.965</v>
      </c>
      <c r="AN131" s="192" t="n">
        <v>-0.0275</v>
      </c>
      <c r="AO131" s="192" t="n">
        <v>-0.31</v>
      </c>
      <c r="AP131" s="192" t="n">
        <v>-0.1325</v>
      </c>
      <c r="AQ131" s="192" t="n">
        <v>-0.17</v>
      </c>
      <c r="AR131" s="192" t="n">
        <v>-0.18</v>
      </c>
      <c r="AS131" s="192" t="n">
        <v>-0.26</v>
      </c>
      <c r="AT131" s="192" t="n">
        <v>0</v>
      </c>
      <c r="AU131" s="192" t="n">
        <v>0.14</v>
      </c>
      <c r="AV131" s="192" t="n">
        <v>-0.31</v>
      </c>
      <c r="AW131" s="192" t="n">
        <v>-0.1055</v>
      </c>
      <c r="AX131" s="192" t="n">
        <v>0</v>
      </c>
      <c r="AY131" s="192" t="n">
        <v>-0.1055</v>
      </c>
      <c r="AZ131" s="192" t="n">
        <v>-0.0465</v>
      </c>
      <c r="BA131" s="192" t="n">
        <v>-0.0985</v>
      </c>
      <c r="BB131" s="192" t="n">
        <v>-0.0175</v>
      </c>
      <c r="BC131" s="192" t="n">
        <v>-0.0665</v>
      </c>
      <c r="BD131" s="192" t="n">
        <v>-0.0625</v>
      </c>
      <c r="BE131" s="192" t="n">
        <v>-0.06</v>
      </c>
      <c r="BF131" s="192" t="n">
        <v>-0.17</v>
      </c>
      <c r="BG131" s="192" t="n">
        <v>0.375</v>
      </c>
      <c r="BH131" s="192" t="n">
        <v>0.413</v>
      </c>
      <c r="BI131" s="192" t="n">
        <v>0.413</v>
      </c>
      <c r="BJ131" s="192" t="n">
        <v>0.875</v>
      </c>
    </row>
    <row r="132" customFormat="false" ht="12.75" hidden="false" customHeight="false" outlineLevel="0" collapsed="false">
      <c r="A132" s="194" t="e">
        <f aca="false">#REF!-B132</f>
        <v>#REF!</v>
      </c>
      <c r="B132" s="194" t="n">
        <v>3.799</v>
      </c>
      <c r="C132" s="200" t="n">
        <v>40634</v>
      </c>
      <c r="D132" s="194" t="n">
        <v>3.258</v>
      </c>
      <c r="E132" s="194" t="n">
        <v>0.155</v>
      </c>
      <c r="F132" s="194" t="n">
        <v>0.070858394360845</v>
      </c>
      <c r="G132" s="194" t="n">
        <v>-0.195</v>
      </c>
      <c r="H132" s="194" t="n">
        <v>-0.2</v>
      </c>
      <c r="I132" s="194" t="n">
        <v>-0.175</v>
      </c>
      <c r="J132" s="194" t="n">
        <v>-0.26</v>
      </c>
      <c r="K132" s="194" t="n">
        <v>-0.125</v>
      </c>
      <c r="L132" s="194" t="n">
        <v>-0.044</v>
      </c>
      <c r="M132" s="194" t="n">
        <v>-0.064</v>
      </c>
      <c r="N132" s="194" t="n">
        <v>-0.165</v>
      </c>
      <c r="O132" s="194" t="n">
        <v>-0.195</v>
      </c>
      <c r="P132" s="192" t="n">
        <v>-0.195</v>
      </c>
      <c r="Q132" s="192" t="n">
        <v>-0.0595</v>
      </c>
      <c r="R132" s="192" t="n">
        <v>-0.044</v>
      </c>
      <c r="S132" s="192" t="n">
        <v>0.273</v>
      </c>
      <c r="T132" s="192" t="n">
        <v>0.273</v>
      </c>
      <c r="U132" s="192" t="n">
        <v>0.178</v>
      </c>
      <c r="V132" s="192" t="n">
        <v>0</v>
      </c>
      <c r="W132" s="196" t="n">
        <v>0.205</v>
      </c>
      <c r="X132" s="196" t="n">
        <v>0.25</v>
      </c>
      <c r="Y132" s="196" t="n">
        <v>-0.0155</v>
      </c>
      <c r="Z132" s="196" t="n">
        <v>-0.022</v>
      </c>
      <c r="AA132" s="196" t="n">
        <v>0.01</v>
      </c>
      <c r="AB132" s="196" t="n">
        <v>-0.005</v>
      </c>
      <c r="AC132" s="196" t="n">
        <v>0.005</v>
      </c>
      <c r="AD132" s="196" t="n">
        <v>0.008</v>
      </c>
      <c r="AE132" s="196" t="n">
        <v>-0.06</v>
      </c>
      <c r="AF132" s="196" t="n">
        <v>-0.039</v>
      </c>
      <c r="AG132" s="197" t="n">
        <v>-0.0475</v>
      </c>
      <c r="AH132" s="196" t="n">
        <v>-0.015</v>
      </c>
      <c r="AI132" s="198" t="n">
        <v>-0.06</v>
      </c>
      <c r="AJ132" s="198" t="n">
        <v>-0.075</v>
      </c>
      <c r="AK132" s="199" t="n">
        <v>-0.007499999</v>
      </c>
      <c r="AL132" s="192" t="n">
        <v>0.009</v>
      </c>
      <c r="AM132" s="192" t="n">
        <v>0.45</v>
      </c>
      <c r="AN132" s="192" t="n">
        <v>0.015</v>
      </c>
      <c r="AO132" s="192" t="n">
        <v>-0.37</v>
      </c>
      <c r="AP132" s="192" t="n">
        <v>-0.12</v>
      </c>
      <c r="AQ132" s="192" t="n">
        <v>-0.19</v>
      </c>
      <c r="AR132" s="192" t="n">
        <v>-0.29</v>
      </c>
      <c r="AS132" s="192" t="n">
        <v>0</v>
      </c>
      <c r="AT132" s="192" t="n">
        <v>0</v>
      </c>
      <c r="AU132" s="192" t="n">
        <v>0.295</v>
      </c>
      <c r="AV132" s="192" t="n">
        <v>-0.37</v>
      </c>
      <c r="AW132" s="192" t="n">
        <v>-0.096</v>
      </c>
      <c r="AX132" s="192" t="n">
        <v>0</v>
      </c>
      <c r="AY132" s="192" t="n">
        <v>-0.096</v>
      </c>
      <c r="AZ132" s="192" t="n">
        <v>-0.044</v>
      </c>
      <c r="BA132" s="192" t="n">
        <v>-0.0835</v>
      </c>
      <c r="BB132" s="192" t="n">
        <v>-0.015</v>
      </c>
      <c r="BC132" s="192" t="n">
        <v>-0.049</v>
      </c>
      <c r="BD132" s="192" t="n">
        <v>-0.02</v>
      </c>
      <c r="BE132" s="192" t="n">
        <v>-0.06</v>
      </c>
      <c r="BF132" s="192" t="n">
        <v>-0.17</v>
      </c>
      <c r="BG132" s="192" t="n">
        <v>0.1625</v>
      </c>
      <c r="BH132" s="192" t="n">
        <v>0.303</v>
      </c>
      <c r="BI132" s="192" t="n">
        <v>0.303</v>
      </c>
      <c r="BJ132" s="192" t="n">
        <v>0.365</v>
      </c>
    </row>
    <row r="133" customFormat="false" ht="12.75" hidden="false" customHeight="false" outlineLevel="0" collapsed="false">
      <c r="A133" s="194" t="e">
        <f aca="false">#REF!-B133</f>
        <v>#REF!</v>
      </c>
      <c r="B133" s="194" t="n">
        <v>3.704</v>
      </c>
      <c r="C133" s="200" t="n">
        <v>40664</v>
      </c>
      <c r="D133" s="194" t="n">
        <v>3.216</v>
      </c>
      <c r="E133" s="194" t="n">
        <v>0.155</v>
      </c>
      <c r="F133" s="194" t="n">
        <v>0.070867894008578</v>
      </c>
      <c r="G133" s="194" t="n">
        <v>-0.195</v>
      </c>
      <c r="H133" s="194" t="n">
        <v>-0.2</v>
      </c>
      <c r="I133" s="194" t="n">
        <v>-0.205</v>
      </c>
      <c r="J133" s="194" t="n">
        <v>-0.26</v>
      </c>
      <c r="K133" s="194" t="n">
        <v>-0.14</v>
      </c>
      <c r="L133" s="194" t="n">
        <v>-0.044</v>
      </c>
      <c r="M133" s="194" t="n">
        <v>-0.064</v>
      </c>
      <c r="N133" s="194" t="n">
        <v>-0.165</v>
      </c>
      <c r="O133" s="194" t="n">
        <v>-0.195</v>
      </c>
      <c r="P133" s="192" t="n">
        <v>-0.195</v>
      </c>
      <c r="Q133" s="192" t="n">
        <v>-0.0595</v>
      </c>
      <c r="R133" s="192" t="n">
        <v>-0.044</v>
      </c>
      <c r="S133" s="192" t="n">
        <v>0.283</v>
      </c>
      <c r="T133" s="192" t="n">
        <v>0.283</v>
      </c>
      <c r="U133" s="192" t="n">
        <v>0.188</v>
      </c>
      <c r="V133" s="192" t="n">
        <v>0</v>
      </c>
      <c r="W133" s="196" t="n">
        <v>0.1925</v>
      </c>
      <c r="X133" s="196" t="n">
        <v>0.2025</v>
      </c>
      <c r="Y133" s="196" t="n">
        <v>-0.0155</v>
      </c>
      <c r="Z133" s="196" t="n">
        <v>-0.02225</v>
      </c>
      <c r="AA133" s="196" t="n">
        <v>0.00975</v>
      </c>
      <c r="AB133" s="196" t="n">
        <v>-0.00525</v>
      </c>
      <c r="AC133" s="196" t="n">
        <v>0.005</v>
      </c>
      <c r="AD133" s="196" t="n">
        <v>0.008</v>
      </c>
      <c r="AE133" s="196" t="n">
        <v>-0.06</v>
      </c>
      <c r="AF133" s="196" t="n">
        <v>-0.039</v>
      </c>
      <c r="AG133" s="197" t="n">
        <v>-0.0475</v>
      </c>
      <c r="AH133" s="196" t="n">
        <v>-0.015</v>
      </c>
      <c r="AI133" s="198" t="n">
        <v>-0.06</v>
      </c>
      <c r="AJ133" s="198" t="n">
        <v>-0.075</v>
      </c>
      <c r="AK133" s="199" t="n">
        <v>-0.007499999</v>
      </c>
      <c r="AL133" s="192" t="n">
        <v>0.009</v>
      </c>
      <c r="AM133" s="192" t="n">
        <v>0.405</v>
      </c>
      <c r="AN133" s="192" t="n">
        <v>0.015</v>
      </c>
      <c r="AO133" s="192" t="n">
        <v>-0.37</v>
      </c>
      <c r="AP133" s="192" t="n">
        <v>-0.12</v>
      </c>
      <c r="AQ133" s="192" t="n">
        <v>-0.19</v>
      </c>
      <c r="AR133" s="192" t="n">
        <v>-0.29</v>
      </c>
      <c r="AS133" s="192" t="n">
        <v>0</v>
      </c>
      <c r="AT133" s="192" t="n">
        <v>0</v>
      </c>
      <c r="AU133" s="192" t="n">
        <v>0.295</v>
      </c>
      <c r="AV133" s="192" t="n">
        <v>-0.37</v>
      </c>
      <c r="AW133" s="192" t="n">
        <v>-0.0935</v>
      </c>
      <c r="AX133" s="192" t="n">
        <v>0</v>
      </c>
      <c r="AY133" s="192" t="n">
        <v>-0.0935</v>
      </c>
      <c r="AZ133" s="192" t="n">
        <v>-0.044</v>
      </c>
      <c r="BA133" s="192" t="n">
        <v>-0.0785</v>
      </c>
      <c r="BB133" s="192" t="n">
        <v>-0.015</v>
      </c>
      <c r="BC133" s="192" t="n">
        <v>-0.049</v>
      </c>
      <c r="BD133" s="192" t="n">
        <v>-0.02</v>
      </c>
      <c r="BE133" s="192" t="n">
        <v>-0.06</v>
      </c>
      <c r="BF133" s="192" t="n">
        <v>-0.17</v>
      </c>
      <c r="BG133" s="192" t="n">
        <v>0.1625</v>
      </c>
      <c r="BH133" s="192" t="n">
        <v>0.313</v>
      </c>
      <c r="BI133" s="192" t="n">
        <v>0.313</v>
      </c>
      <c r="BJ133" s="192" t="n">
        <v>0.2975</v>
      </c>
    </row>
    <row r="134" customFormat="false" ht="12.75" hidden="false" customHeight="false" outlineLevel="0" collapsed="false">
      <c r="A134" s="194" t="e">
        <f aca="false">#REF!-B134</f>
        <v>#REF!</v>
      </c>
      <c r="B134" s="194" t="n">
        <v>3.57</v>
      </c>
      <c r="C134" s="200" t="n">
        <v>40695</v>
      </c>
      <c r="D134" s="194" t="n">
        <v>3.232</v>
      </c>
      <c r="E134" s="194" t="n">
        <v>0.155</v>
      </c>
      <c r="F134" s="194" t="n">
        <v>0.070877710311267</v>
      </c>
      <c r="G134" s="194" t="n">
        <v>-0.195</v>
      </c>
      <c r="H134" s="194" t="n">
        <v>-0.2</v>
      </c>
      <c r="I134" s="194" t="n">
        <v>-0.215</v>
      </c>
      <c r="J134" s="194" t="n">
        <v>-0.26</v>
      </c>
      <c r="K134" s="194" t="n">
        <v>-0.15</v>
      </c>
      <c r="L134" s="194" t="n">
        <v>-0.044</v>
      </c>
      <c r="M134" s="194" t="n">
        <v>-0.064</v>
      </c>
      <c r="N134" s="194" t="n">
        <v>-0.165</v>
      </c>
      <c r="O134" s="194" t="n">
        <v>-0.195</v>
      </c>
      <c r="P134" s="192" t="n">
        <v>-0.195</v>
      </c>
      <c r="Q134" s="192" t="n">
        <v>-0.057</v>
      </c>
      <c r="R134" s="192" t="n">
        <v>-0.044</v>
      </c>
      <c r="S134" s="192" t="n">
        <v>0.278</v>
      </c>
      <c r="T134" s="192" t="n">
        <v>0.278</v>
      </c>
      <c r="U134" s="192" t="n">
        <v>0.183</v>
      </c>
      <c r="V134" s="192" t="n">
        <v>0</v>
      </c>
      <c r="W134" s="196" t="n">
        <v>0.1925</v>
      </c>
      <c r="X134" s="196" t="n">
        <v>0.2025</v>
      </c>
      <c r="Y134" s="196" t="n">
        <v>-0.0155</v>
      </c>
      <c r="Z134" s="196" t="n">
        <v>-0.02225</v>
      </c>
      <c r="AA134" s="196" t="n">
        <v>0.00975</v>
      </c>
      <c r="AB134" s="196" t="n">
        <v>-0.00525</v>
      </c>
      <c r="AC134" s="196" t="n">
        <v>0.005</v>
      </c>
      <c r="AD134" s="196" t="n">
        <v>0.008</v>
      </c>
      <c r="AE134" s="196" t="n">
        <v>-0.06</v>
      </c>
      <c r="AF134" s="196" t="n">
        <v>-0.039</v>
      </c>
      <c r="AG134" s="197" t="n">
        <v>-0.0475</v>
      </c>
      <c r="AH134" s="196" t="n">
        <v>-0.015</v>
      </c>
      <c r="AI134" s="198" t="n">
        <v>-0.076</v>
      </c>
      <c r="AJ134" s="198" t="n">
        <v>-0.07</v>
      </c>
      <c r="AK134" s="199" t="n">
        <v>-0.007499999</v>
      </c>
      <c r="AL134" s="192" t="n">
        <v>0.009</v>
      </c>
      <c r="AM134" s="192" t="n">
        <v>0.395</v>
      </c>
      <c r="AN134" s="192" t="n">
        <v>0.02</v>
      </c>
      <c r="AO134" s="192" t="n">
        <v>-0.37</v>
      </c>
      <c r="AP134" s="192" t="n">
        <v>-0.12</v>
      </c>
      <c r="AQ134" s="192" t="n">
        <v>-0.19</v>
      </c>
      <c r="AR134" s="192" t="n">
        <v>-0.29</v>
      </c>
      <c r="AS134" s="192" t="n">
        <v>0</v>
      </c>
      <c r="AT134" s="192" t="n">
        <v>0</v>
      </c>
      <c r="AU134" s="192" t="n">
        <v>0.295</v>
      </c>
      <c r="AV134" s="192" t="n">
        <v>-0.37</v>
      </c>
      <c r="AW134" s="192" t="n">
        <v>-0.086</v>
      </c>
      <c r="AX134" s="192" t="n">
        <v>0</v>
      </c>
      <c r="AY134" s="192" t="n">
        <v>-0.086</v>
      </c>
      <c r="AZ134" s="192" t="n">
        <v>-0.044</v>
      </c>
      <c r="BA134" s="192" t="n">
        <v>-0.0735</v>
      </c>
      <c r="BB134" s="192" t="n">
        <v>-0.015</v>
      </c>
      <c r="BC134" s="192" t="n">
        <v>-0.049</v>
      </c>
      <c r="BD134" s="192" t="n">
        <v>-0.015</v>
      </c>
      <c r="BE134" s="192" t="n">
        <v>-0.06</v>
      </c>
      <c r="BF134" s="192" t="n">
        <v>-0.17</v>
      </c>
      <c r="BG134" s="192" t="n">
        <v>0.1625</v>
      </c>
      <c r="BH134" s="192" t="n">
        <v>0.308</v>
      </c>
      <c r="BI134" s="192" t="n">
        <v>0.308</v>
      </c>
      <c r="BJ134" s="192" t="n">
        <v>0.2975</v>
      </c>
    </row>
    <row r="135" customFormat="false" ht="12.75" hidden="false" customHeight="false" outlineLevel="0" collapsed="false">
      <c r="A135" s="194" t="e">
        <f aca="false">#REF!-B135</f>
        <v>#REF!</v>
      </c>
      <c r="B135" s="194" t="n">
        <v>3.439</v>
      </c>
      <c r="C135" s="200" t="n">
        <v>40725</v>
      </c>
      <c r="D135" s="194" t="n">
        <v>3.24</v>
      </c>
      <c r="E135" s="194" t="n">
        <v>0.155</v>
      </c>
      <c r="F135" s="194" t="n">
        <v>0.07088720995906</v>
      </c>
      <c r="G135" s="194" t="n">
        <v>-0.195</v>
      </c>
      <c r="H135" s="194" t="n">
        <v>-0.2</v>
      </c>
      <c r="I135" s="194" t="n">
        <v>-0.215</v>
      </c>
      <c r="J135" s="194" t="n">
        <v>-0.28</v>
      </c>
      <c r="K135" s="194" t="n">
        <v>-0.15</v>
      </c>
      <c r="L135" s="194" t="n">
        <v>-0.044</v>
      </c>
      <c r="M135" s="194" t="n">
        <v>-0.064</v>
      </c>
      <c r="N135" s="194" t="n">
        <v>-0.165</v>
      </c>
      <c r="O135" s="194" t="n">
        <v>-0.195</v>
      </c>
      <c r="P135" s="192" t="n">
        <v>-0.195</v>
      </c>
      <c r="Q135" s="192" t="n">
        <v>-0.05575</v>
      </c>
      <c r="R135" s="192" t="n">
        <v>-0.044</v>
      </c>
      <c r="S135" s="192" t="n">
        <v>0.268</v>
      </c>
      <c r="T135" s="192" t="n">
        <v>0.268</v>
      </c>
      <c r="U135" s="192" t="n">
        <v>0.173</v>
      </c>
      <c r="V135" s="192" t="n">
        <v>0</v>
      </c>
      <c r="W135" s="196" t="n">
        <v>0.1925</v>
      </c>
      <c r="X135" s="196" t="n">
        <v>0.215</v>
      </c>
      <c r="Y135" s="196" t="n">
        <v>-0.0155</v>
      </c>
      <c r="Z135" s="196" t="n">
        <v>-0.02225</v>
      </c>
      <c r="AA135" s="196" t="n">
        <v>0.00975</v>
      </c>
      <c r="AB135" s="196" t="n">
        <v>-0.00525</v>
      </c>
      <c r="AC135" s="196" t="n">
        <v>0.005</v>
      </c>
      <c r="AD135" s="196" t="n">
        <v>0.008</v>
      </c>
      <c r="AE135" s="196" t="n">
        <v>-0.06</v>
      </c>
      <c r="AF135" s="196" t="n">
        <v>-0.039</v>
      </c>
      <c r="AG135" s="197" t="n">
        <v>-0.0475</v>
      </c>
      <c r="AH135" s="196" t="n">
        <v>-0.015</v>
      </c>
      <c r="AI135" s="198" t="n">
        <v>-0.069</v>
      </c>
      <c r="AJ135" s="198" t="n">
        <v>-0.0675</v>
      </c>
      <c r="AK135" s="199" t="n">
        <v>-0.007499999</v>
      </c>
      <c r="AL135" s="192" t="n">
        <v>0.009</v>
      </c>
      <c r="AM135" s="192" t="n">
        <v>0.43</v>
      </c>
      <c r="AN135" s="192" t="n">
        <v>0.0225</v>
      </c>
      <c r="AO135" s="192" t="n">
        <v>-0.37</v>
      </c>
      <c r="AP135" s="192" t="n">
        <v>-0.12</v>
      </c>
      <c r="AQ135" s="192" t="n">
        <v>-0.19</v>
      </c>
      <c r="AR135" s="192" t="n">
        <v>-0.29</v>
      </c>
      <c r="AS135" s="192" t="n">
        <v>0</v>
      </c>
      <c r="AT135" s="192" t="n">
        <v>0</v>
      </c>
      <c r="AU135" s="192" t="n">
        <v>0.295</v>
      </c>
      <c r="AV135" s="192" t="n">
        <v>-0.37</v>
      </c>
      <c r="AW135" s="192" t="n">
        <v>-0.0935</v>
      </c>
      <c r="AX135" s="192" t="n">
        <v>0</v>
      </c>
      <c r="AY135" s="192" t="n">
        <v>-0.0935</v>
      </c>
      <c r="AZ135" s="192" t="n">
        <v>-0.044</v>
      </c>
      <c r="BA135" s="192" t="n">
        <v>-0.0685</v>
      </c>
      <c r="BB135" s="192" t="n">
        <v>-0.015</v>
      </c>
      <c r="BC135" s="192" t="n">
        <v>-0.049</v>
      </c>
      <c r="BD135" s="192" t="n">
        <v>-0.0125</v>
      </c>
      <c r="BE135" s="192" t="n">
        <v>-0.06</v>
      </c>
      <c r="BF135" s="192" t="n">
        <v>-0.17</v>
      </c>
      <c r="BG135" s="192" t="n">
        <v>0.1625</v>
      </c>
      <c r="BH135" s="192" t="n">
        <v>0.298</v>
      </c>
      <c r="BI135" s="192" t="n">
        <v>0.298</v>
      </c>
      <c r="BJ135" s="192" t="n">
        <v>0.31</v>
      </c>
    </row>
    <row r="136" customFormat="false" ht="12.75" hidden="false" customHeight="false" outlineLevel="0" collapsed="false">
      <c r="A136" s="194" t="e">
        <f aca="false">#REF!-B136</f>
        <v>#REF!</v>
      </c>
      <c r="B136" s="194" t="n">
        <v>3.419</v>
      </c>
      <c r="C136" s="200" t="n">
        <v>40756</v>
      </c>
      <c r="D136" s="194" t="n">
        <v>3.247</v>
      </c>
      <c r="E136" s="194" t="n">
        <v>0.155</v>
      </c>
      <c r="F136" s="194" t="n">
        <v>0.070897026261812</v>
      </c>
      <c r="G136" s="194" t="n">
        <v>-0.195</v>
      </c>
      <c r="H136" s="194" t="n">
        <v>-0.2</v>
      </c>
      <c r="I136" s="194" t="n">
        <v>-0.215</v>
      </c>
      <c r="J136" s="194" t="n">
        <v>-0.28</v>
      </c>
      <c r="K136" s="194" t="n">
        <v>-0.15</v>
      </c>
      <c r="L136" s="194" t="n">
        <v>-0.044</v>
      </c>
      <c r="M136" s="194" t="n">
        <v>-0.064</v>
      </c>
      <c r="N136" s="194" t="n">
        <v>-0.165</v>
      </c>
      <c r="O136" s="194" t="n">
        <v>-0.195</v>
      </c>
      <c r="P136" s="192" t="n">
        <v>-0.195</v>
      </c>
      <c r="Q136" s="192" t="n">
        <v>-0.0545</v>
      </c>
      <c r="R136" s="192" t="n">
        <v>-0.044</v>
      </c>
      <c r="S136" s="192" t="n">
        <v>0.265</v>
      </c>
      <c r="T136" s="192" t="n">
        <v>0.265</v>
      </c>
      <c r="U136" s="192" t="n">
        <v>0.17</v>
      </c>
      <c r="V136" s="192" t="n">
        <v>0</v>
      </c>
      <c r="W136" s="196" t="n">
        <v>0.1925</v>
      </c>
      <c r="X136" s="196" t="n">
        <v>0.215</v>
      </c>
      <c r="Y136" s="196" t="n">
        <v>-0.0155</v>
      </c>
      <c r="Z136" s="196" t="n">
        <v>-0.02225</v>
      </c>
      <c r="AA136" s="196" t="n">
        <v>0.00975</v>
      </c>
      <c r="AB136" s="196" t="n">
        <v>-0.00525</v>
      </c>
      <c r="AC136" s="196" t="n">
        <v>0.005</v>
      </c>
      <c r="AD136" s="196" t="n">
        <v>0.008</v>
      </c>
      <c r="AE136" s="196" t="n">
        <v>-0.06</v>
      </c>
      <c r="AF136" s="196" t="n">
        <v>-0.039</v>
      </c>
      <c r="AG136" s="197" t="n">
        <v>-0.0475</v>
      </c>
      <c r="AH136" s="196" t="n">
        <v>-0.015</v>
      </c>
      <c r="AI136" s="198" t="n">
        <v>-0.05</v>
      </c>
      <c r="AJ136" s="198" t="n">
        <v>-0.065</v>
      </c>
      <c r="AK136" s="199" t="n">
        <v>-0.007499999</v>
      </c>
      <c r="AL136" s="192" t="n">
        <v>0.009</v>
      </c>
      <c r="AM136" s="192" t="n">
        <v>0.495</v>
      </c>
      <c r="AN136" s="192" t="n">
        <v>0.025</v>
      </c>
      <c r="AO136" s="192" t="n">
        <v>-0.37</v>
      </c>
      <c r="AP136" s="192" t="n">
        <v>-0.12</v>
      </c>
      <c r="AQ136" s="192" t="n">
        <v>-0.19</v>
      </c>
      <c r="AR136" s="192" t="n">
        <v>-0.29</v>
      </c>
      <c r="AS136" s="192" t="n">
        <v>0</v>
      </c>
      <c r="AT136" s="192" t="n">
        <v>0</v>
      </c>
      <c r="AU136" s="192" t="n">
        <v>0.295</v>
      </c>
      <c r="AV136" s="192" t="n">
        <v>-0.37</v>
      </c>
      <c r="AW136" s="192" t="n">
        <v>-0.081</v>
      </c>
      <c r="AX136" s="192" t="n">
        <v>0</v>
      </c>
      <c r="AY136" s="192" t="n">
        <v>-0.081</v>
      </c>
      <c r="AZ136" s="192" t="n">
        <v>-0.044</v>
      </c>
      <c r="BA136" s="192" t="n">
        <v>-0.0685</v>
      </c>
      <c r="BB136" s="192" t="n">
        <v>-0.015</v>
      </c>
      <c r="BC136" s="192" t="n">
        <v>-0.049</v>
      </c>
      <c r="BD136" s="192" t="n">
        <v>-0.01</v>
      </c>
      <c r="BE136" s="192" t="n">
        <v>-0.06</v>
      </c>
      <c r="BF136" s="192" t="n">
        <v>-0.17</v>
      </c>
      <c r="BG136" s="192" t="n">
        <v>0.1625</v>
      </c>
      <c r="BH136" s="192" t="n">
        <v>0.295</v>
      </c>
      <c r="BI136" s="192" t="n">
        <v>0.295</v>
      </c>
      <c r="BJ136" s="192" t="n">
        <v>0.31</v>
      </c>
    </row>
    <row r="137" customFormat="false" ht="12.75" hidden="false" customHeight="false" outlineLevel="0" collapsed="false">
      <c r="A137" s="194" t="e">
        <f aca="false">#REF!-B137</f>
        <v>#REF!</v>
      </c>
      <c r="B137" s="194" t="n">
        <v>3.407</v>
      </c>
      <c r="C137" s="200" t="n">
        <v>40787</v>
      </c>
      <c r="D137" s="194" t="n">
        <v>3.229</v>
      </c>
      <c r="E137" s="194" t="n">
        <v>0.155</v>
      </c>
      <c r="F137" s="194" t="n">
        <v>0.070906842564595</v>
      </c>
      <c r="G137" s="194" t="n">
        <v>-0.195</v>
      </c>
      <c r="H137" s="194" t="n">
        <v>-0.2</v>
      </c>
      <c r="I137" s="194" t="n">
        <v>-0.205</v>
      </c>
      <c r="J137" s="194" t="n">
        <v>-0.28</v>
      </c>
      <c r="K137" s="194" t="n">
        <v>-0.14</v>
      </c>
      <c r="L137" s="194" t="n">
        <v>-0.044</v>
      </c>
      <c r="M137" s="194" t="n">
        <v>-0.064</v>
      </c>
      <c r="N137" s="194" t="n">
        <v>-0.165</v>
      </c>
      <c r="O137" s="194" t="n">
        <v>-0.195</v>
      </c>
      <c r="P137" s="192" t="n">
        <v>-0.195</v>
      </c>
      <c r="Q137" s="192" t="n">
        <v>-0.05825</v>
      </c>
      <c r="R137" s="192" t="n">
        <v>-0.044</v>
      </c>
      <c r="S137" s="192" t="n">
        <v>0.263</v>
      </c>
      <c r="T137" s="192" t="n">
        <v>0.263</v>
      </c>
      <c r="U137" s="192" t="n">
        <v>0.168</v>
      </c>
      <c r="V137" s="192" t="n">
        <v>0</v>
      </c>
      <c r="W137" s="196" t="n">
        <v>0.1925</v>
      </c>
      <c r="X137" s="196" t="n">
        <v>0.195</v>
      </c>
      <c r="Y137" s="196" t="n">
        <v>-0.0155</v>
      </c>
      <c r="Z137" s="196" t="n">
        <v>-0.02225</v>
      </c>
      <c r="AA137" s="196" t="n">
        <v>0.00975</v>
      </c>
      <c r="AB137" s="196" t="n">
        <v>-0.00525</v>
      </c>
      <c r="AC137" s="196" t="n">
        <v>0.005</v>
      </c>
      <c r="AD137" s="196" t="n">
        <v>0.008</v>
      </c>
      <c r="AE137" s="196" t="n">
        <v>-0.06</v>
      </c>
      <c r="AF137" s="196" t="n">
        <v>-0.039</v>
      </c>
      <c r="AG137" s="197" t="n">
        <v>-0.0475</v>
      </c>
      <c r="AH137" s="196" t="n">
        <v>-0.015</v>
      </c>
      <c r="AI137" s="198" t="n">
        <v>-0.048</v>
      </c>
      <c r="AJ137" s="198" t="n">
        <v>-0.0725</v>
      </c>
      <c r="AK137" s="199" t="n">
        <v>-0.007499999</v>
      </c>
      <c r="AL137" s="192" t="n">
        <v>0.009</v>
      </c>
      <c r="AM137" s="192" t="n">
        <v>0.395</v>
      </c>
      <c r="AN137" s="192" t="n">
        <v>0.0175</v>
      </c>
      <c r="AO137" s="192" t="n">
        <v>-0.37</v>
      </c>
      <c r="AP137" s="192" t="n">
        <v>-0.12</v>
      </c>
      <c r="AQ137" s="192" t="n">
        <v>-0.19</v>
      </c>
      <c r="AR137" s="192" t="n">
        <v>-0.29</v>
      </c>
      <c r="AS137" s="192" t="n">
        <v>0</v>
      </c>
      <c r="AT137" s="192" t="n">
        <v>0</v>
      </c>
      <c r="AU137" s="192" t="n">
        <v>0.295</v>
      </c>
      <c r="AV137" s="192" t="n">
        <v>-0.37</v>
      </c>
      <c r="AW137" s="192" t="n">
        <v>-0.086</v>
      </c>
      <c r="AX137" s="192" t="n">
        <v>0</v>
      </c>
      <c r="AY137" s="192" t="n">
        <v>-0.086</v>
      </c>
      <c r="AZ137" s="192" t="n">
        <v>-0.044</v>
      </c>
      <c r="BA137" s="192" t="n">
        <v>-0.0835</v>
      </c>
      <c r="BB137" s="192" t="n">
        <v>-0.015</v>
      </c>
      <c r="BC137" s="192" t="n">
        <v>-0.049</v>
      </c>
      <c r="BD137" s="192" t="n">
        <v>-0.0175</v>
      </c>
      <c r="BE137" s="192" t="n">
        <v>-0.06</v>
      </c>
      <c r="BF137" s="192" t="n">
        <v>-0.17</v>
      </c>
      <c r="BG137" s="192" t="n">
        <v>0.1625</v>
      </c>
      <c r="BH137" s="192" t="n">
        <v>0.293</v>
      </c>
      <c r="BI137" s="192" t="n">
        <v>0.293</v>
      </c>
      <c r="BJ137" s="192" t="n">
        <v>0.3</v>
      </c>
    </row>
    <row r="138" customFormat="false" ht="12.75" hidden="false" customHeight="false" outlineLevel="0" collapsed="false">
      <c r="A138" s="194" t="e">
        <f aca="false">#REF!-B138</f>
        <v>#REF!</v>
      </c>
      <c r="B138" s="194" t="n">
        <v>3.472</v>
      </c>
      <c r="C138" s="200" t="n">
        <v>40817</v>
      </c>
      <c r="D138" s="194" t="n">
        <v>3.244</v>
      </c>
      <c r="E138" s="194" t="n">
        <v>0.155</v>
      </c>
      <c r="F138" s="194" t="n">
        <v>0.07091634221248</v>
      </c>
      <c r="G138" s="194" t="n">
        <v>-0.195</v>
      </c>
      <c r="H138" s="194" t="n">
        <v>-0.2</v>
      </c>
      <c r="I138" s="194" t="n">
        <v>-0.19</v>
      </c>
      <c r="J138" s="194" t="n">
        <v>-0.28</v>
      </c>
      <c r="K138" s="194" t="n">
        <v>-0.125</v>
      </c>
      <c r="L138" s="194" t="n">
        <v>-0.044</v>
      </c>
      <c r="M138" s="194" t="n">
        <v>-0.064</v>
      </c>
      <c r="N138" s="194" t="n">
        <v>-0.165</v>
      </c>
      <c r="O138" s="194" t="n">
        <v>-0.195</v>
      </c>
      <c r="P138" s="192" t="n">
        <v>-0.195</v>
      </c>
      <c r="Q138" s="192" t="n">
        <v>-0.06325</v>
      </c>
      <c r="R138" s="192" t="n">
        <v>-0.044</v>
      </c>
      <c r="S138" s="192" t="n">
        <v>0.278</v>
      </c>
      <c r="T138" s="192" t="n">
        <v>0.278</v>
      </c>
      <c r="U138" s="192" t="n">
        <v>0.183</v>
      </c>
      <c r="V138" s="192" t="n">
        <v>0</v>
      </c>
      <c r="W138" s="196" t="n">
        <v>0.1975</v>
      </c>
      <c r="X138" s="196" t="n">
        <v>0.215</v>
      </c>
      <c r="Y138" s="196" t="n">
        <v>-0.0155</v>
      </c>
      <c r="Z138" s="196" t="n">
        <v>-0.02225</v>
      </c>
      <c r="AA138" s="196" t="n">
        <v>-0.0085</v>
      </c>
      <c r="AB138" s="196" t="n">
        <v>-0.0235</v>
      </c>
      <c r="AC138" s="196" t="n">
        <v>0.005</v>
      </c>
      <c r="AD138" s="196" t="n">
        <v>0.008</v>
      </c>
      <c r="AE138" s="196" t="n">
        <v>-0.06</v>
      </c>
      <c r="AF138" s="196" t="n">
        <v>-0.039</v>
      </c>
      <c r="AG138" s="197" t="n">
        <v>-0.0475</v>
      </c>
      <c r="AH138" s="196" t="n">
        <v>-0.015</v>
      </c>
      <c r="AI138" s="198" t="n">
        <v>-0.05</v>
      </c>
      <c r="AJ138" s="198" t="n">
        <v>-0.0825</v>
      </c>
      <c r="AK138" s="199" t="n">
        <v>-0.007499999</v>
      </c>
      <c r="AL138" s="192" t="n">
        <v>0.009</v>
      </c>
      <c r="AM138" s="192" t="n">
        <v>0.461</v>
      </c>
      <c r="AN138" s="192" t="n">
        <v>0.0075</v>
      </c>
      <c r="AO138" s="192" t="n">
        <v>-0.37</v>
      </c>
      <c r="AP138" s="192" t="n">
        <v>-0.12</v>
      </c>
      <c r="AQ138" s="192" t="n">
        <v>-0.19</v>
      </c>
      <c r="AR138" s="192" t="n">
        <v>-0.29</v>
      </c>
      <c r="AS138" s="192" t="n">
        <v>0</v>
      </c>
      <c r="AT138" s="192" t="n">
        <v>0</v>
      </c>
      <c r="AU138" s="192" t="n">
        <v>0.295</v>
      </c>
      <c r="AV138" s="192" t="n">
        <v>-0.37</v>
      </c>
      <c r="AW138" s="192" t="n">
        <v>-0.096</v>
      </c>
      <c r="AX138" s="192" t="n">
        <v>0</v>
      </c>
      <c r="AY138" s="192" t="n">
        <v>-0.096</v>
      </c>
      <c r="AZ138" s="192" t="n">
        <v>-0.044</v>
      </c>
      <c r="BA138" s="192" t="n">
        <v>-0.086</v>
      </c>
      <c r="BB138" s="192" t="n">
        <v>-0.015</v>
      </c>
      <c r="BC138" s="192" t="n">
        <v>-0.049</v>
      </c>
      <c r="BD138" s="192" t="n">
        <v>-0.0275</v>
      </c>
      <c r="BE138" s="192" t="n">
        <v>-0.06</v>
      </c>
      <c r="BF138" s="192" t="n">
        <v>-0.17</v>
      </c>
      <c r="BG138" s="192" t="n">
        <v>0.1625</v>
      </c>
      <c r="BH138" s="192" t="n">
        <v>0.308</v>
      </c>
      <c r="BI138" s="192" t="n">
        <v>0.308</v>
      </c>
      <c r="BJ138" s="192" t="n">
        <v>0.37253</v>
      </c>
    </row>
    <row r="139" customFormat="false" ht="12.75" hidden="false" customHeight="false" outlineLevel="0" collapsed="false">
      <c r="A139" s="194" t="e">
        <f aca="false">#REF!-B139</f>
        <v>#REF!</v>
      </c>
      <c r="B139" s="194" t="n">
        <v>3.467</v>
      </c>
      <c r="C139" s="200" t="n">
        <v>40848</v>
      </c>
      <c r="D139" s="194" t="n">
        <v>3.296</v>
      </c>
      <c r="E139" s="194" t="n">
        <v>0.155</v>
      </c>
      <c r="F139" s="194" t="n">
        <v>0.070926158515326</v>
      </c>
      <c r="G139" s="194" t="n">
        <v>-0.19</v>
      </c>
      <c r="H139" s="194" t="n">
        <v>-0.195</v>
      </c>
      <c r="I139" s="194" t="n">
        <v>-0.1525</v>
      </c>
      <c r="J139" s="194" t="n">
        <v>-0.275</v>
      </c>
      <c r="K139" s="194" t="n">
        <v>-0.0875</v>
      </c>
      <c r="L139" s="194" t="n">
        <v>-0.0435</v>
      </c>
      <c r="M139" s="194" t="n">
        <v>-0.0785</v>
      </c>
      <c r="N139" s="194" t="n">
        <v>-0.16</v>
      </c>
      <c r="O139" s="194" t="n">
        <v>-0.19</v>
      </c>
      <c r="P139" s="192" t="n">
        <v>-0.19</v>
      </c>
      <c r="Q139" s="192" t="n">
        <v>-0.083</v>
      </c>
      <c r="R139" s="192" t="n">
        <v>-0.0435</v>
      </c>
      <c r="S139" s="192" t="n">
        <v>0.34</v>
      </c>
      <c r="T139" s="192" t="n">
        <v>0.34</v>
      </c>
      <c r="U139" s="192" t="n">
        <v>0.245</v>
      </c>
      <c r="V139" s="192" t="n">
        <v>0</v>
      </c>
      <c r="W139" s="196" t="n">
        <v>0.2725</v>
      </c>
      <c r="X139" s="196" t="n">
        <v>0.315</v>
      </c>
      <c r="Y139" s="196" t="n">
        <v>-0.0185</v>
      </c>
      <c r="Z139" s="196" t="n">
        <v>-0.0355</v>
      </c>
      <c r="AA139" s="196" t="n">
        <v>-0.0075</v>
      </c>
      <c r="AB139" s="196" t="n">
        <v>-0.0225</v>
      </c>
      <c r="AC139" s="196" t="n">
        <v>0.005</v>
      </c>
      <c r="AD139" s="196" t="n">
        <v>0.005</v>
      </c>
      <c r="AE139" s="196" t="n">
        <v>-0.06</v>
      </c>
      <c r="AF139" s="196" t="n">
        <v>-0.034</v>
      </c>
      <c r="AG139" s="197" t="n">
        <v>-0.0455</v>
      </c>
      <c r="AH139" s="196" t="n">
        <v>-0.0115</v>
      </c>
      <c r="AI139" s="198" t="n">
        <v>-0.0625</v>
      </c>
      <c r="AJ139" s="198" t="n">
        <v>-0.1225</v>
      </c>
      <c r="AK139" s="199" t="n">
        <v>-0.0025</v>
      </c>
      <c r="AL139" s="192" t="n">
        <v>0.016</v>
      </c>
      <c r="AM139" s="192" t="n">
        <v>0.885</v>
      </c>
      <c r="AN139" s="192" t="n">
        <v>-0.0325</v>
      </c>
      <c r="AO139" s="192" t="n">
        <v>-0.295</v>
      </c>
      <c r="AP139" s="192" t="n">
        <v>-0.1325</v>
      </c>
      <c r="AQ139" s="192" t="n">
        <v>-0.19</v>
      </c>
      <c r="AR139" s="192" t="n">
        <v>0</v>
      </c>
      <c r="AS139" s="192" t="n">
        <v>0</v>
      </c>
      <c r="AT139" s="192" t="n">
        <v>0</v>
      </c>
      <c r="AU139" s="192" t="n">
        <v>0.12</v>
      </c>
      <c r="AV139" s="192" t="n">
        <v>-0.295</v>
      </c>
      <c r="AW139" s="192" t="n">
        <v>-0.1085</v>
      </c>
      <c r="AX139" s="192" t="n">
        <v>0</v>
      </c>
      <c r="AY139" s="192" t="n">
        <v>-0.1085</v>
      </c>
      <c r="AZ139" s="192" t="n">
        <v>-0.0435</v>
      </c>
      <c r="BA139" s="192" t="n">
        <v>-0.091</v>
      </c>
      <c r="BB139" s="192" t="n">
        <v>-0.0165</v>
      </c>
      <c r="BC139" s="192" t="n">
        <v>-0.0635</v>
      </c>
      <c r="BD139" s="192" t="n">
        <v>-0.0675</v>
      </c>
      <c r="BE139" s="192" t="n">
        <v>-0.06</v>
      </c>
      <c r="BF139" s="192" t="n">
        <v>-0.17</v>
      </c>
      <c r="BG139" s="192" t="n">
        <v>0.295</v>
      </c>
      <c r="BH139" s="192" t="n">
        <v>0.385</v>
      </c>
      <c r="BI139" s="192" t="n">
        <v>0.385</v>
      </c>
      <c r="BJ139" s="192" t="n">
        <v>0.56</v>
      </c>
    </row>
    <row r="140" customFormat="false" ht="12.75" hidden="false" customHeight="false" outlineLevel="0" collapsed="false">
      <c r="A140" s="194" t="e">
        <f aca="false">#REF!-B140</f>
        <v>#REF!</v>
      </c>
      <c r="B140" s="194" t="n">
        <v>3.449</v>
      </c>
      <c r="C140" s="200" t="n">
        <v>40878</v>
      </c>
      <c r="D140" s="194" t="n">
        <v>3.348</v>
      </c>
      <c r="E140" s="194" t="n">
        <v>0.155</v>
      </c>
      <c r="F140" s="194" t="n">
        <v>0.070935658163271</v>
      </c>
      <c r="G140" s="194" t="n">
        <v>-0.1975</v>
      </c>
      <c r="H140" s="194" t="n">
        <v>-0.2025</v>
      </c>
      <c r="I140" s="194" t="n">
        <v>-0.145</v>
      </c>
      <c r="J140" s="194" t="n">
        <v>-0.2825</v>
      </c>
      <c r="K140" s="194" t="n">
        <v>-0.08</v>
      </c>
      <c r="L140" s="194" t="n">
        <v>-0.0435</v>
      </c>
      <c r="M140" s="194" t="n">
        <v>-0.0785</v>
      </c>
      <c r="N140" s="194" t="n">
        <v>-0.1675</v>
      </c>
      <c r="O140" s="194" t="n">
        <v>-0.1975</v>
      </c>
      <c r="P140" s="192" t="n">
        <v>-0.1975</v>
      </c>
      <c r="Q140" s="192" t="n">
        <v>-0.09425</v>
      </c>
      <c r="R140" s="192" t="n">
        <v>-0.0435</v>
      </c>
      <c r="S140" s="192" t="n">
        <v>0.38</v>
      </c>
      <c r="T140" s="192" t="n">
        <v>0.38</v>
      </c>
      <c r="U140" s="192" t="n">
        <v>0.285</v>
      </c>
      <c r="V140" s="192" t="n">
        <v>0</v>
      </c>
      <c r="W140" s="196" t="n">
        <v>0.3075</v>
      </c>
      <c r="X140" s="196" t="n">
        <v>0.395</v>
      </c>
      <c r="Y140" s="196" t="n">
        <v>-0.0185</v>
      </c>
      <c r="Z140" s="196" t="n">
        <v>-0.028</v>
      </c>
      <c r="AA140" s="196" t="n">
        <v>-0.0075</v>
      </c>
      <c r="AB140" s="196" t="n">
        <v>-0.0225</v>
      </c>
      <c r="AC140" s="196" t="n">
        <v>0.005</v>
      </c>
      <c r="AD140" s="196" t="n">
        <v>0.005</v>
      </c>
      <c r="AE140" s="196" t="n">
        <v>-0.06</v>
      </c>
      <c r="AF140" s="196" t="n">
        <v>-0.034</v>
      </c>
      <c r="AG140" s="197" t="n">
        <v>-0.0455</v>
      </c>
      <c r="AH140" s="196" t="n">
        <v>-0.0115</v>
      </c>
      <c r="AI140" s="192" t="n">
        <v>-0.0625</v>
      </c>
      <c r="AJ140" s="192" t="n">
        <v>-0.145</v>
      </c>
      <c r="AK140" s="199" t="n">
        <v>-0.0025</v>
      </c>
      <c r="AL140" s="192" t="n">
        <v>0.016</v>
      </c>
      <c r="AM140" s="192" t="n">
        <v>1.31</v>
      </c>
      <c r="AN140" s="192" t="n">
        <v>-0.055</v>
      </c>
      <c r="AO140" s="192" t="n">
        <v>-0.295</v>
      </c>
      <c r="AP140" s="192" t="n">
        <v>-0.1275</v>
      </c>
      <c r="AQ140" s="192" t="n">
        <v>-0.19</v>
      </c>
      <c r="AR140" s="192" t="n">
        <v>0.06</v>
      </c>
      <c r="AS140" s="192" t="n">
        <v>0</v>
      </c>
      <c r="AT140" s="192" t="n">
        <v>0</v>
      </c>
      <c r="AU140" s="192" t="n">
        <v>0.12</v>
      </c>
      <c r="AV140" s="192" t="n">
        <v>-0.295</v>
      </c>
      <c r="AW140" s="192" t="n">
        <v>-0.1335</v>
      </c>
      <c r="AX140" s="192" t="n">
        <v>0</v>
      </c>
      <c r="AY140" s="192" t="n">
        <v>-0.1335</v>
      </c>
      <c r="AZ140" s="192" t="n">
        <v>-0.0435</v>
      </c>
      <c r="BA140" s="192" t="n">
        <v>-0.1235</v>
      </c>
      <c r="BB140" s="192" t="n">
        <v>-0.0165</v>
      </c>
      <c r="BC140" s="192" t="n">
        <v>-0.0635</v>
      </c>
      <c r="BD140" s="192" t="n">
        <v>-0.09</v>
      </c>
      <c r="BE140" s="192" t="n">
        <v>-0.06</v>
      </c>
      <c r="BF140" s="192" t="n">
        <v>-0.17</v>
      </c>
      <c r="BG140" s="192" t="n">
        <v>0.25</v>
      </c>
      <c r="BH140" s="192" t="n">
        <v>0.425</v>
      </c>
      <c r="BI140" s="192" t="n">
        <v>0.425</v>
      </c>
      <c r="BJ140" s="192" t="n">
        <v>0.91</v>
      </c>
    </row>
    <row r="141" customFormat="false" ht="12.75" hidden="false" customHeight="false" outlineLevel="0" collapsed="false">
      <c r="A141" s="194" t="e">
        <f aca="false">#REF!-B141</f>
        <v>#REF!</v>
      </c>
      <c r="B141" s="194" t="n">
        <v>3.459</v>
      </c>
      <c r="C141" s="200" t="n">
        <v>40909</v>
      </c>
      <c r="D141" s="194" t="n">
        <v>3.775</v>
      </c>
      <c r="E141" s="194" t="n">
        <v>0.155</v>
      </c>
      <c r="F141" s="194" t="n">
        <v>0.07094547446618</v>
      </c>
      <c r="G141" s="194" t="n">
        <v>-0.2</v>
      </c>
      <c r="H141" s="194" t="n">
        <v>-0.205</v>
      </c>
      <c r="I141" s="194" t="n">
        <v>-0.13</v>
      </c>
      <c r="J141" s="194" t="n">
        <v>-0.265</v>
      </c>
      <c r="K141" s="194" t="n">
        <v>-0.065</v>
      </c>
      <c r="L141" s="194" t="n">
        <v>-0.0435</v>
      </c>
      <c r="M141" s="194" t="n">
        <v>-0.0785</v>
      </c>
      <c r="N141" s="194" t="n">
        <v>-0.17</v>
      </c>
      <c r="O141" s="194" t="n">
        <v>-0.2</v>
      </c>
      <c r="P141" s="192" t="n">
        <v>-0.2</v>
      </c>
      <c r="Q141" s="192" t="n">
        <v>-0.0955</v>
      </c>
      <c r="R141" s="192" t="n">
        <v>-0.0435</v>
      </c>
      <c r="S141" s="192" t="n">
        <v>0.39</v>
      </c>
      <c r="T141" s="192" t="n">
        <v>0.39</v>
      </c>
      <c r="U141" s="192" t="n">
        <v>0.295</v>
      </c>
      <c r="V141" s="192" t="n">
        <v>0</v>
      </c>
      <c r="W141" s="196" t="n">
        <v>0.3125</v>
      </c>
      <c r="X141" s="196" t="n">
        <v>0.465</v>
      </c>
      <c r="Y141" s="196" t="n">
        <v>-0.014</v>
      </c>
      <c r="Z141" s="196" t="n">
        <v>-0.028</v>
      </c>
      <c r="AA141" s="196" t="n">
        <v>-0.0075</v>
      </c>
      <c r="AB141" s="196" t="n">
        <v>-0.0225</v>
      </c>
      <c r="AC141" s="196" t="n">
        <v>0.005</v>
      </c>
      <c r="AD141" s="196" t="n">
        <v>0.005</v>
      </c>
      <c r="AE141" s="196" t="n">
        <v>-0.06</v>
      </c>
      <c r="AF141" s="196" t="n">
        <v>-0.032</v>
      </c>
      <c r="AG141" s="197" t="n">
        <v>-0.0455</v>
      </c>
      <c r="AH141" s="196" t="n">
        <v>-0.0115</v>
      </c>
      <c r="AI141" s="192" t="n">
        <v>-0.0555</v>
      </c>
      <c r="AJ141" s="192" t="n">
        <v>-0.1475</v>
      </c>
      <c r="AK141" s="199" t="n">
        <v>0.002</v>
      </c>
      <c r="AL141" s="192" t="n">
        <v>0.016</v>
      </c>
      <c r="AM141" s="192" t="n">
        <v>1.645</v>
      </c>
      <c r="AN141" s="192" t="n">
        <v>-0.0575</v>
      </c>
      <c r="AO141" s="192" t="n">
        <v>-0.29</v>
      </c>
      <c r="AP141" s="192" t="n">
        <v>-0.1275</v>
      </c>
      <c r="AQ141" s="192" t="n">
        <v>-0.19</v>
      </c>
      <c r="AR141" s="192" t="n">
        <v>0.13</v>
      </c>
      <c r="AS141" s="192" t="n">
        <v>0</v>
      </c>
      <c r="AT141" s="192" t="n">
        <v>0</v>
      </c>
      <c r="AU141" s="192" t="n">
        <v>0.12</v>
      </c>
      <c r="AV141" s="192" t="n">
        <v>-0.29</v>
      </c>
      <c r="AW141" s="192" t="n">
        <v>-0.1185</v>
      </c>
      <c r="AX141" s="192" t="n">
        <v>0</v>
      </c>
      <c r="AY141" s="192" t="n">
        <v>-0.1185</v>
      </c>
      <c r="AZ141" s="192" t="n">
        <v>-0.0435</v>
      </c>
      <c r="BA141" s="192" t="n">
        <v>-0.129</v>
      </c>
      <c r="BB141" s="192" t="n">
        <v>-0.0165</v>
      </c>
      <c r="BC141" s="192" t="n">
        <v>-0.0635</v>
      </c>
      <c r="BD141" s="192" t="n">
        <v>-0.0925</v>
      </c>
      <c r="BE141" s="192" t="n">
        <v>-0.06</v>
      </c>
      <c r="BF141" s="192" t="n">
        <v>-0.17</v>
      </c>
      <c r="BG141" s="192" t="n">
        <v>0.33</v>
      </c>
      <c r="BH141" s="192" t="n">
        <v>0.435</v>
      </c>
      <c r="BI141" s="192" t="n">
        <v>0.435</v>
      </c>
      <c r="BJ141" s="192" t="n">
        <v>1.235</v>
      </c>
    </row>
    <row r="142" customFormat="false" ht="12.75" hidden="false" customHeight="false" outlineLevel="0" collapsed="false">
      <c r="A142" s="194" t="e">
        <f aca="false">#REF!-B142</f>
        <v>#REF!</v>
      </c>
      <c r="B142" s="194" t="n">
        <v>3.531</v>
      </c>
      <c r="C142" s="200" t="n">
        <v>40940</v>
      </c>
      <c r="D142" s="194" t="n">
        <v>3.649</v>
      </c>
      <c r="E142" s="194" t="n">
        <v>0.155</v>
      </c>
      <c r="F142" s="194" t="n">
        <v>0.07095529076912</v>
      </c>
      <c r="G142" s="194" t="n">
        <v>-0.2025</v>
      </c>
      <c r="H142" s="194" t="n">
        <v>-0.2075</v>
      </c>
      <c r="I142" s="194" t="n">
        <v>-0.13</v>
      </c>
      <c r="J142" s="194" t="n">
        <v>-0.2675</v>
      </c>
      <c r="K142" s="194" t="n">
        <v>-0.065</v>
      </c>
      <c r="L142" s="194" t="n">
        <v>-0.0435</v>
      </c>
      <c r="M142" s="194" t="n">
        <v>-0.0785</v>
      </c>
      <c r="N142" s="194" t="n">
        <v>-0.1725</v>
      </c>
      <c r="O142" s="194" t="n">
        <v>-0.2025</v>
      </c>
      <c r="P142" s="192" t="n">
        <v>-0.2025</v>
      </c>
      <c r="Q142" s="192" t="n">
        <v>-0.08675</v>
      </c>
      <c r="R142" s="192" t="n">
        <v>-0.0435</v>
      </c>
      <c r="S142" s="192" t="n">
        <v>0.365</v>
      </c>
      <c r="T142" s="192" t="n">
        <v>0.365</v>
      </c>
      <c r="U142" s="192" t="n">
        <v>0.27</v>
      </c>
      <c r="V142" s="192" t="n">
        <v>0</v>
      </c>
      <c r="W142" s="196" t="n">
        <v>0.3125</v>
      </c>
      <c r="X142" s="196" t="n">
        <v>0.435</v>
      </c>
      <c r="Y142" s="196" t="n">
        <v>-0.014</v>
      </c>
      <c r="Z142" s="196" t="n">
        <v>-0.028</v>
      </c>
      <c r="AA142" s="196" t="n">
        <v>-0.0075</v>
      </c>
      <c r="AB142" s="196" t="n">
        <v>-0.0225</v>
      </c>
      <c r="AC142" s="196" t="n">
        <v>0.005</v>
      </c>
      <c r="AD142" s="196" t="n">
        <v>0.005</v>
      </c>
      <c r="AE142" s="196" t="n">
        <v>-0.06</v>
      </c>
      <c r="AF142" s="196" t="n">
        <v>-0.032</v>
      </c>
      <c r="AG142" s="197" t="n">
        <v>-0.0455</v>
      </c>
      <c r="AH142" s="196" t="n">
        <v>-0.0115</v>
      </c>
      <c r="AI142" s="192" t="n">
        <v>-0.0555</v>
      </c>
      <c r="AJ142" s="192" t="n">
        <v>-0.13</v>
      </c>
      <c r="AK142" s="192" t="n">
        <v>0.002</v>
      </c>
      <c r="AL142" s="192" t="n">
        <v>0.016</v>
      </c>
      <c r="AM142" s="192" t="n">
        <v>1.595</v>
      </c>
      <c r="AN142" s="192" t="n">
        <v>-0.04</v>
      </c>
      <c r="AO142" s="192" t="n">
        <v>-0.29</v>
      </c>
      <c r="AP142" s="192" t="n">
        <v>-0.1275</v>
      </c>
      <c r="AQ142" s="192" t="n">
        <v>-0.19</v>
      </c>
      <c r="AR142" s="192" t="n">
        <v>0</v>
      </c>
      <c r="AS142" s="192" t="n">
        <v>0</v>
      </c>
      <c r="AT142" s="192" t="n">
        <v>0</v>
      </c>
      <c r="AU142" s="192" t="n">
        <v>0.12</v>
      </c>
      <c r="AV142" s="192" t="n">
        <v>-0.29</v>
      </c>
      <c r="AW142" s="192" t="n">
        <v>-0.121</v>
      </c>
      <c r="AX142" s="192" t="n">
        <v>0</v>
      </c>
      <c r="AY142" s="192" t="n">
        <v>-0.121</v>
      </c>
      <c r="AZ142" s="192" t="n">
        <v>-0.0435</v>
      </c>
      <c r="BA142" s="192" t="n">
        <v>-0.1115</v>
      </c>
      <c r="BB142" s="192" t="n">
        <v>-0.0165</v>
      </c>
      <c r="BC142" s="192" t="n">
        <v>-0.0635</v>
      </c>
      <c r="BD142" s="192" t="n">
        <v>-0.075</v>
      </c>
      <c r="BE142" s="192" t="n">
        <v>-0.06</v>
      </c>
      <c r="BF142" s="192" t="n">
        <v>-0.17</v>
      </c>
      <c r="BG142" s="192" t="n">
        <v>0.375</v>
      </c>
      <c r="BH142" s="192" t="n">
        <v>0.41</v>
      </c>
      <c r="BI142" s="192" t="n">
        <v>0.41</v>
      </c>
      <c r="BJ142" s="192" t="n">
        <v>1.235</v>
      </c>
    </row>
    <row r="143" customFormat="false" ht="12.75" hidden="false" customHeight="false" outlineLevel="0" collapsed="false">
      <c r="A143" s="194" t="e">
        <f aca="false">#REF!-B143</f>
        <v>#REF!</v>
      </c>
      <c r="B143" s="194" t="n">
        <v>3.616</v>
      </c>
      <c r="C143" s="200" t="n">
        <v>40969</v>
      </c>
      <c r="D143" s="194" t="n">
        <v>3.493</v>
      </c>
      <c r="E143" s="194" t="n">
        <v>0.15</v>
      </c>
      <c r="F143" s="194" t="n">
        <v>0.070964473762222</v>
      </c>
      <c r="G143" s="194" t="n">
        <v>-0.205</v>
      </c>
      <c r="H143" s="194" t="n">
        <v>-0.21</v>
      </c>
      <c r="I143" s="194" t="n">
        <v>-0.13</v>
      </c>
      <c r="J143" s="194" t="n">
        <v>-0.27</v>
      </c>
      <c r="K143" s="194" t="n">
        <v>-0.065</v>
      </c>
      <c r="L143" s="194" t="n">
        <v>-0.0435</v>
      </c>
      <c r="M143" s="194" t="n">
        <v>-0.0785</v>
      </c>
      <c r="N143" s="194" t="n">
        <v>-0.175</v>
      </c>
      <c r="O143" s="194" t="n">
        <v>-0.205</v>
      </c>
      <c r="P143" s="192" t="n">
        <v>-0.205</v>
      </c>
      <c r="Q143" s="192" t="n">
        <v>-0.0805</v>
      </c>
      <c r="R143" s="192" t="n">
        <v>-0.0435</v>
      </c>
      <c r="S143" s="192" t="n">
        <v>0.363</v>
      </c>
      <c r="T143" s="192" t="n">
        <v>0.363</v>
      </c>
      <c r="U143" s="192" t="n">
        <v>0.268</v>
      </c>
      <c r="V143" s="192" t="n">
        <v>0</v>
      </c>
      <c r="W143" s="196" t="n">
        <v>0.27</v>
      </c>
      <c r="X143" s="196" t="n">
        <v>0.39</v>
      </c>
      <c r="Y143" s="196" t="n">
        <v>-0.014</v>
      </c>
      <c r="Z143" s="196" t="n">
        <v>-0.028</v>
      </c>
      <c r="AA143" s="196" t="n">
        <v>0.011</v>
      </c>
      <c r="AB143" s="196" t="n">
        <v>-0.004</v>
      </c>
      <c r="AC143" s="196" t="n">
        <v>0.005</v>
      </c>
      <c r="AD143" s="196" t="n">
        <v>0.005</v>
      </c>
      <c r="AE143" s="196" t="n">
        <v>-0.06</v>
      </c>
      <c r="AF143" s="196" t="n">
        <v>-0.032</v>
      </c>
      <c r="AG143" s="197" t="n">
        <v>-0.0455</v>
      </c>
      <c r="AH143" s="196" t="n">
        <v>-0.0115</v>
      </c>
      <c r="AI143" s="192" t="n">
        <v>-0.0625</v>
      </c>
      <c r="AJ143" s="192" t="n">
        <v>-0.1175</v>
      </c>
      <c r="AK143" s="192" t="n">
        <v>0.002</v>
      </c>
      <c r="AL143" s="192" t="n">
        <v>0.016</v>
      </c>
      <c r="AM143" s="192" t="n">
        <v>0.965</v>
      </c>
      <c r="AN143" s="192" t="n">
        <v>-0.0275</v>
      </c>
      <c r="AO143" s="192" t="n">
        <v>-0.29</v>
      </c>
      <c r="AP143" s="192" t="n">
        <v>-0.1325</v>
      </c>
      <c r="AQ143" s="192" t="n">
        <v>-0.19</v>
      </c>
      <c r="AR143" s="192" t="n">
        <v>-0.18</v>
      </c>
      <c r="AS143" s="192" t="n">
        <v>0</v>
      </c>
      <c r="AT143" s="192" t="n">
        <v>0</v>
      </c>
      <c r="AU143" s="192" t="n">
        <v>0.12</v>
      </c>
      <c r="AV143" s="192" t="n">
        <v>-0.29</v>
      </c>
      <c r="AW143" s="192" t="n">
        <v>-0.1035</v>
      </c>
      <c r="AX143" s="192" t="n">
        <v>0</v>
      </c>
      <c r="AY143" s="192" t="n">
        <v>-0.1035</v>
      </c>
      <c r="AZ143" s="192" t="n">
        <v>-0.0435</v>
      </c>
      <c r="BA143" s="192" t="n">
        <v>-0.0965</v>
      </c>
      <c r="BB143" s="192" t="n">
        <v>-0.0165</v>
      </c>
      <c r="BC143" s="192" t="n">
        <v>-0.0635</v>
      </c>
      <c r="BD143" s="192" t="n">
        <v>-0.0625</v>
      </c>
      <c r="BE143" s="192" t="n">
        <v>-0.06</v>
      </c>
      <c r="BF143" s="192" t="n">
        <v>-0.17</v>
      </c>
      <c r="BG143" s="192" t="n">
        <v>0.375</v>
      </c>
      <c r="BH143" s="192" t="n">
        <v>0.408</v>
      </c>
      <c r="BI143" s="192" t="n">
        <v>0.408</v>
      </c>
      <c r="BJ143" s="192" t="n">
        <v>0.875</v>
      </c>
    </row>
    <row r="144" customFormat="false" ht="12.75" hidden="false" customHeight="false" outlineLevel="0" collapsed="false">
      <c r="A144" s="194" t="e">
        <f aca="false">#REF!-B144</f>
        <v>#REF!</v>
      </c>
      <c r="B144" s="194" t="n">
        <v>3.886</v>
      </c>
      <c r="C144" s="200" t="n">
        <v>41000</v>
      </c>
      <c r="D144" s="194" t="n">
        <v>3.33</v>
      </c>
      <c r="E144" s="194" t="n">
        <v>0.15</v>
      </c>
      <c r="F144" s="194" t="n">
        <v>0.070974290065224</v>
      </c>
      <c r="G144" s="194" t="n">
        <v>-0.195</v>
      </c>
      <c r="H144" s="194" t="n">
        <v>-0.2</v>
      </c>
      <c r="I144" s="194" t="n">
        <v>-0.175</v>
      </c>
      <c r="J144" s="194" t="n">
        <v>-0.26</v>
      </c>
      <c r="K144" s="194" t="n">
        <v>-0.11</v>
      </c>
      <c r="L144" s="194" t="n">
        <v>-0.041</v>
      </c>
      <c r="M144" s="194" t="n">
        <v>-0.061</v>
      </c>
      <c r="N144" s="194" t="n">
        <v>-0.165</v>
      </c>
      <c r="O144" s="194" t="n">
        <v>-0.195</v>
      </c>
      <c r="P144" s="192" t="n">
        <v>-0.195</v>
      </c>
      <c r="Q144" s="192" t="n">
        <v>-0.058</v>
      </c>
      <c r="R144" s="192" t="n">
        <v>-0.041</v>
      </c>
      <c r="S144" s="192" t="n">
        <v>0.268</v>
      </c>
      <c r="T144" s="192" t="n">
        <v>0.268</v>
      </c>
      <c r="U144" s="192" t="n">
        <v>0.173</v>
      </c>
      <c r="V144" s="192" t="n">
        <v>0</v>
      </c>
      <c r="W144" s="196" t="n">
        <v>0.205</v>
      </c>
      <c r="X144" s="196" t="n">
        <v>0.25</v>
      </c>
      <c r="Y144" s="196" t="n">
        <v>-0.0135</v>
      </c>
      <c r="Z144" s="196" t="n">
        <v>-0.0205</v>
      </c>
      <c r="AA144" s="196" t="n">
        <v>0.011</v>
      </c>
      <c r="AB144" s="196" t="n">
        <v>-0.004</v>
      </c>
      <c r="AC144" s="196" t="n">
        <v>0.005</v>
      </c>
      <c r="AD144" s="196" t="n">
        <v>0.01</v>
      </c>
      <c r="AE144" s="196" t="n">
        <v>-0.06</v>
      </c>
      <c r="AF144" s="196" t="n">
        <v>-0.037</v>
      </c>
      <c r="AG144" s="197" t="n">
        <v>-0.0455</v>
      </c>
      <c r="AH144" s="196" t="n">
        <v>-0.014</v>
      </c>
      <c r="AI144" s="192" t="n">
        <v>-0.058</v>
      </c>
      <c r="AJ144" s="192" t="n">
        <v>-0.075</v>
      </c>
      <c r="AK144" s="192" t="n">
        <v>-0.005499999</v>
      </c>
      <c r="AL144" s="192" t="n">
        <v>0.009</v>
      </c>
      <c r="AM144" s="192" t="n">
        <v>0.45</v>
      </c>
      <c r="AN144" s="192" t="n">
        <v>0.015</v>
      </c>
      <c r="AO144" s="192" t="n">
        <v>-0.35</v>
      </c>
      <c r="AP144" s="192" t="n">
        <v>-0.12</v>
      </c>
      <c r="AQ144" s="192" t="n">
        <v>-0.19</v>
      </c>
      <c r="AR144" s="192" t="n">
        <v>-0.29</v>
      </c>
      <c r="AS144" s="192" t="n">
        <v>0</v>
      </c>
      <c r="AT144" s="192" t="n">
        <v>0</v>
      </c>
      <c r="AU144" s="192" t="n">
        <v>0.295</v>
      </c>
      <c r="AV144" s="192" t="n">
        <v>-0.35</v>
      </c>
      <c r="AW144" s="192" t="n">
        <v>-0.094</v>
      </c>
      <c r="AX144" s="192" t="n">
        <v>0</v>
      </c>
      <c r="AY144" s="192" t="n">
        <v>-0.094</v>
      </c>
      <c r="AZ144" s="192" t="n">
        <v>-0.041</v>
      </c>
      <c r="BA144" s="192" t="n">
        <v>-0.0815</v>
      </c>
      <c r="BB144" s="192" t="n">
        <v>-0.014</v>
      </c>
      <c r="BC144" s="192" t="n">
        <v>-0.046</v>
      </c>
      <c r="BD144" s="192" t="n">
        <v>-0.02</v>
      </c>
      <c r="BE144" s="192" t="n">
        <v>-0.06</v>
      </c>
      <c r="BF144" s="192" t="n">
        <v>-0.17</v>
      </c>
      <c r="BG144" s="192" t="n">
        <v>0.1625</v>
      </c>
      <c r="BH144" s="192" t="n">
        <v>0.298</v>
      </c>
      <c r="BI144" s="192" t="n">
        <v>0.298</v>
      </c>
      <c r="BJ144" s="192" t="n">
        <v>0.365</v>
      </c>
    </row>
    <row r="145" customFormat="false" ht="12.75" hidden="false" customHeight="false" outlineLevel="0" collapsed="false">
      <c r="A145" s="194" t="e">
        <f aca="false">#REF!-B145</f>
        <v>#REF!</v>
      </c>
      <c r="B145" s="194" t="n">
        <v>3.795</v>
      </c>
      <c r="C145" s="200" t="n">
        <v>41030</v>
      </c>
      <c r="D145" s="194" t="n">
        <v>3.289</v>
      </c>
      <c r="E145" s="194" t="n">
        <v>0.15</v>
      </c>
      <c r="F145" s="194" t="n">
        <v>0.070983789713321</v>
      </c>
      <c r="G145" s="194" t="n">
        <v>-0.195</v>
      </c>
      <c r="H145" s="194" t="n">
        <v>-0.2</v>
      </c>
      <c r="I145" s="194" t="n">
        <v>-0.205</v>
      </c>
      <c r="J145" s="194" t="n">
        <v>-0.26</v>
      </c>
      <c r="K145" s="194" t="n">
        <v>-0.125</v>
      </c>
      <c r="L145" s="194" t="n">
        <v>-0.041</v>
      </c>
      <c r="M145" s="194" t="n">
        <v>-0.061</v>
      </c>
      <c r="N145" s="194" t="n">
        <v>-0.165</v>
      </c>
      <c r="O145" s="194" t="n">
        <v>-0.195</v>
      </c>
      <c r="P145" s="192" t="n">
        <v>-0.195</v>
      </c>
      <c r="Q145" s="192" t="n">
        <v>-0.058</v>
      </c>
      <c r="R145" s="192" t="n">
        <v>-0.041</v>
      </c>
      <c r="S145" s="192" t="n">
        <v>0.278</v>
      </c>
      <c r="T145" s="192" t="n">
        <v>0.278</v>
      </c>
      <c r="U145" s="192" t="n">
        <v>0.183</v>
      </c>
      <c r="V145" s="192" t="n">
        <v>0</v>
      </c>
      <c r="W145" s="196" t="n">
        <v>0.1925</v>
      </c>
      <c r="X145" s="196" t="n">
        <v>0.2025</v>
      </c>
      <c r="Y145" s="196" t="n">
        <v>-0.0135</v>
      </c>
      <c r="Z145" s="196" t="n">
        <v>-0.02075</v>
      </c>
      <c r="AA145" s="196" t="n">
        <v>0.01075</v>
      </c>
      <c r="AB145" s="196" t="n">
        <v>-0.00425</v>
      </c>
      <c r="AC145" s="196" t="n">
        <v>0.005</v>
      </c>
      <c r="AD145" s="196" t="n">
        <v>0.01</v>
      </c>
      <c r="AE145" s="196" t="n">
        <v>-0.06</v>
      </c>
      <c r="AF145" s="196" t="n">
        <v>-0.037</v>
      </c>
      <c r="AG145" s="197" t="n">
        <v>-0.0455</v>
      </c>
      <c r="AH145" s="196" t="n">
        <v>-0.014</v>
      </c>
      <c r="AI145" s="192" t="n">
        <v>-0.058</v>
      </c>
      <c r="AJ145" s="192" t="n">
        <v>-0.075</v>
      </c>
      <c r="AK145" s="192" t="n">
        <v>-0.005499999</v>
      </c>
      <c r="AL145" s="192" t="n">
        <v>0.009</v>
      </c>
      <c r="AM145" s="192" t="n">
        <v>0.405</v>
      </c>
      <c r="AN145" s="192" t="n">
        <v>0.015</v>
      </c>
      <c r="AO145" s="192" t="n">
        <v>-0.35</v>
      </c>
      <c r="AP145" s="192" t="n">
        <v>-0.12</v>
      </c>
      <c r="AQ145" s="192" t="n">
        <v>-0.19</v>
      </c>
      <c r="AR145" s="192" t="n">
        <v>-0.29</v>
      </c>
      <c r="AS145" s="192" t="n">
        <v>0</v>
      </c>
      <c r="AT145" s="192" t="n">
        <v>0</v>
      </c>
      <c r="AU145" s="192" t="n">
        <v>0.295</v>
      </c>
      <c r="AV145" s="192" t="n">
        <v>-0.35</v>
      </c>
      <c r="AW145" s="192" t="n">
        <v>-0.0915</v>
      </c>
      <c r="AX145" s="192" t="n">
        <v>0</v>
      </c>
      <c r="AY145" s="192" t="n">
        <v>-0.0915</v>
      </c>
      <c r="AZ145" s="192" t="n">
        <v>-0.041</v>
      </c>
      <c r="BA145" s="192" t="n">
        <v>-0.0765</v>
      </c>
      <c r="BB145" s="192" t="n">
        <v>-0.014</v>
      </c>
      <c r="BC145" s="192" t="n">
        <v>-0.046</v>
      </c>
      <c r="BD145" s="192" t="n">
        <v>-0.02</v>
      </c>
      <c r="BE145" s="192" t="n">
        <v>-0.06</v>
      </c>
      <c r="BF145" s="192" t="n">
        <v>-0.17</v>
      </c>
      <c r="BG145" s="192" t="n">
        <v>0.1625</v>
      </c>
      <c r="BH145" s="192" t="n">
        <v>0.308</v>
      </c>
      <c r="BI145" s="192" t="n">
        <v>0.308</v>
      </c>
      <c r="BJ145" s="192" t="n">
        <v>0.2975</v>
      </c>
    </row>
    <row r="146" customFormat="false" ht="12.75" hidden="false" customHeight="false" outlineLevel="0" collapsed="false">
      <c r="A146" s="194" t="e">
        <f aca="false">#REF!-B146</f>
        <v>#REF!</v>
      </c>
      <c r="B146" s="194" t="n">
        <v>3.664</v>
      </c>
      <c r="C146" s="200" t="n">
        <v>41061</v>
      </c>
      <c r="D146" s="194" t="n">
        <v>3.306</v>
      </c>
      <c r="E146" s="194" t="n">
        <v>0.15</v>
      </c>
      <c r="F146" s="194" t="n">
        <v>0.070993606016386</v>
      </c>
      <c r="G146" s="194" t="n">
        <v>-0.195</v>
      </c>
      <c r="H146" s="194" t="n">
        <v>-0.2</v>
      </c>
      <c r="I146" s="194" t="n">
        <v>-0.215</v>
      </c>
      <c r="J146" s="194" t="n">
        <v>-0.26</v>
      </c>
      <c r="K146" s="194" t="n">
        <v>-0.135</v>
      </c>
      <c r="L146" s="194" t="n">
        <v>-0.041</v>
      </c>
      <c r="M146" s="194" t="n">
        <v>-0.061</v>
      </c>
      <c r="N146" s="194" t="n">
        <v>-0.165</v>
      </c>
      <c r="O146" s="194" t="n">
        <v>-0.195</v>
      </c>
      <c r="P146" s="192" t="n">
        <v>-0.195</v>
      </c>
      <c r="Q146" s="192" t="n">
        <v>-0.0555</v>
      </c>
      <c r="R146" s="192" t="n">
        <v>-0.041</v>
      </c>
      <c r="S146" s="192" t="n">
        <v>0.273</v>
      </c>
      <c r="T146" s="192" t="n">
        <v>0.273</v>
      </c>
      <c r="U146" s="192" t="n">
        <v>0.178</v>
      </c>
      <c r="V146" s="192" t="n">
        <v>0</v>
      </c>
      <c r="W146" s="196" t="n">
        <v>0.1925</v>
      </c>
      <c r="X146" s="196" t="n">
        <v>0.2025</v>
      </c>
      <c r="Y146" s="196" t="n">
        <v>-0.0135</v>
      </c>
      <c r="Z146" s="196" t="n">
        <v>-0.02075</v>
      </c>
      <c r="AA146" s="196" t="n">
        <v>0.01075</v>
      </c>
      <c r="AB146" s="196" t="n">
        <v>-0.00425</v>
      </c>
      <c r="AC146" s="196" t="n">
        <v>0.005</v>
      </c>
      <c r="AD146" s="196" t="n">
        <v>0.01</v>
      </c>
      <c r="AE146" s="196" t="n">
        <v>-0.06</v>
      </c>
      <c r="AF146" s="196" t="n">
        <v>-0.037</v>
      </c>
      <c r="AG146" s="197" t="n">
        <v>-0.0455</v>
      </c>
      <c r="AH146" s="196" t="n">
        <v>-0.014</v>
      </c>
      <c r="AI146" s="192" t="n">
        <v>-0.074</v>
      </c>
      <c r="AJ146" s="192" t="n">
        <v>-0.07</v>
      </c>
      <c r="AK146" s="192" t="n">
        <v>-0.005499999</v>
      </c>
      <c r="AL146" s="192" t="n">
        <v>0.009</v>
      </c>
      <c r="AM146" s="192" t="n">
        <v>0.395</v>
      </c>
      <c r="AN146" s="192" t="n">
        <v>0.02</v>
      </c>
      <c r="AO146" s="192" t="n">
        <v>-0.35</v>
      </c>
      <c r="AP146" s="192" t="n">
        <v>-0.12</v>
      </c>
      <c r="AQ146" s="192" t="n">
        <v>-0.19</v>
      </c>
      <c r="AR146" s="192" t="n">
        <v>-0.29</v>
      </c>
      <c r="AS146" s="192" t="n">
        <v>0</v>
      </c>
      <c r="AT146" s="192" t="n">
        <v>0</v>
      </c>
      <c r="AU146" s="192" t="n">
        <v>0.295</v>
      </c>
      <c r="AV146" s="192" t="n">
        <v>-0.35</v>
      </c>
      <c r="AW146" s="192" t="n">
        <v>-0.084</v>
      </c>
      <c r="AX146" s="192" t="n">
        <v>0</v>
      </c>
      <c r="AY146" s="192" t="n">
        <v>-0.084</v>
      </c>
      <c r="AZ146" s="192" t="n">
        <v>-0.041</v>
      </c>
      <c r="BA146" s="192" t="n">
        <v>-0.0715</v>
      </c>
      <c r="BB146" s="192" t="n">
        <v>-0.014</v>
      </c>
      <c r="BC146" s="192" t="n">
        <v>-0.046</v>
      </c>
      <c r="BD146" s="192" t="n">
        <v>-0.015</v>
      </c>
      <c r="BE146" s="192" t="n">
        <v>-0.06</v>
      </c>
      <c r="BF146" s="192" t="n">
        <v>-0.17</v>
      </c>
      <c r="BG146" s="192" t="n">
        <v>0.1625</v>
      </c>
      <c r="BH146" s="192" t="n">
        <v>0.303</v>
      </c>
      <c r="BI146" s="192" t="n">
        <v>0.303</v>
      </c>
      <c r="BJ146" s="192" t="n">
        <v>0.2975</v>
      </c>
    </row>
    <row r="147" customFormat="false" ht="12.75" hidden="false" customHeight="false" outlineLevel="0" collapsed="false">
      <c r="A147" s="194" t="e">
        <f aca="false">#REF!-B147</f>
        <v>#REF!</v>
      </c>
      <c r="B147" s="194" t="n">
        <v>3.536</v>
      </c>
      <c r="C147" s="200" t="n">
        <v>41091</v>
      </c>
      <c r="D147" s="194" t="n">
        <v>3.314</v>
      </c>
      <c r="E147" s="194" t="n">
        <v>0.15</v>
      </c>
      <c r="F147" s="194" t="n">
        <v>0.071003105664542</v>
      </c>
      <c r="G147" s="194" t="n">
        <v>-0.195</v>
      </c>
      <c r="H147" s="194" t="n">
        <v>-0.2</v>
      </c>
      <c r="I147" s="194" t="n">
        <v>-0.215</v>
      </c>
      <c r="J147" s="194" t="n">
        <v>-0.28</v>
      </c>
      <c r="K147" s="194" t="n">
        <v>-0.135</v>
      </c>
      <c r="L147" s="194" t="n">
        <v>-0.041</v>
      </c>
      <c r="M147" s="194" t="n">
        <v>-0.061</v>
      </c>
      <c r="N147" s="194" t="n">
        <v>-0.165</v>
      </c>
      <c r="O147" s="194" t="n">
        <v>-0.195</v>
      </c>
      <c r="P147" s="192" t="n">
        <v>-0.195</v>
      </c>
      <c r="Q147" s="192" t="n">
        <v>-0.05425</v>
      </c>
      <c r="R147" s="192" t="n">
        <v>-0.041</v>
      </c>
      <c r="S147" s="192" t="n">
        <v>0.263</v>
      </c>
      <c r="T147" s="192" t="n">
        <v>0.263</v>
      </c>
      <c r="U147" s="192" t="n">
        <v>0.168</v>
      </c>
      <c r="V147" s="192" t="n">
        <v>0</v>
      </c>
      <c r="W147" s="196" t="n">
        <v>0.1925</v>
      </c>
      <c r="X147" s="196" t="n">
        <v>0.215</v>
      </c>
      <c r="Y147" s="196" t="n">
        <v>-0.0135</v>
      </c>
      <c r="Z147" s="196" t="n">
        <v>-0.02075</v>
      </c>
      <c r="AA147" s="196" t="n">
        <v>0.01075</v>
      </c>
      <c r="AB147" s="196" t="n">
        <v>-0.00425</v>
      </c>
      <c r="AC147" s="196" t="n">
        <v>0.005</v>
      </c>
      <c r="AD147" s="196" t="n">
        <v>0.01</v>
      </c>
      <c r="AE147" s="196" t="n">
        <v>-0.06</v>
      </c>
      <c r="AF147" s="196" t="n">
        <v>-0.037</v>
      </c>
      <c r="AG147" s="197" t="n">
        <v>-0.0455</v>
      </c>
      <c r="AH147" s="196" t="n">
        <v>-0.014</v>
      </c>
      <c r="AI147" s="192" t="n">
        <v>-0.067</v>
      </c>
      <c r="AJ147" s="192" t="n">
        <v>-0.0675</v>
      </c>
      <c r="AK147" s="192" t="n">
        <v>-0.005499999</v>
      </c>
      <c r="AL147" s="192" t="n">
        <v>0.009</v>
      </c>
      <c r="AM147" s="192" t="n">
        <v>0.43</v>
      </c>
      <c r="AN147" s="192" t="n">
        <v>0.0225</v>
      </c>
      <c r="AO147" s="192" t="n">
        <v>-0.35</v>
      </c>
      <c r="AP147" s="192" t="n">
        <v>-0.12</v>
      </c>
      <c r="AQ147" s="192" t="n">
        <v>-0.19</v>
      </c>
      <c r="AR147" s="192" t="n">
        <v>-0.29</v>
      </c>
      <c r="AS147" s="192" t="n">
        <v>0</v>
      </c>
      <c r="AT147" s="192" t="n">
        <v>0</v>
      </c>
      <c r="AU147" s="192" t="n">
        <v>0.295</v>
      </c>
      <c r="AV147" s="192" t="n">
        <v>-0.35</v>
      </c>
      <c r="AW147" s="192" t="n">
        <v>-0.0915</v>
      </c>
      <c r="AX147" s="192" t="n">
        <v>0</v>
      </c>
      <c r="AY147" s="192" t="n">
        <v>-0.0915</v>
      </c>
      <c r="AZ147" s="192" t="n">
        <v>-0.041</v>
      </c>
      <c r="BA147" s="192" t="n">
        <v>-0.0665</v>
      </c>
      <c r="BB147" s="192" t="n">
        <v>-0.014</v>
      </c>
      <c r="BC147" s="192" t="n">
        <v>-0.046</v>
      </c>
      <c r="BD147" s="192" t="n">
        <v>-0.0125</v>
      </c>
      <c r="BE147" s="192" t="n">
        <v>-0.06</v>
      </c>
      <c r="BF147" s="192" t="n">
        <v>-0.17</v>
      </c>
      <c r="BG147" s="192" t="n">
        <v>0.1625</v>
      </c>
      <c r="BH147" s="192" t="n">
        <v>0.293</v>
      </c>
      <c r="BI147" s="192" t="n">
        <v>0.293</v>
      </c>
      <c r="BJ147" s="192" t="n">
        <v>0.31</v>
      </c>
    </row>
    <row r="148" customFormat="false" ht="12.75" hidden="false" customHeight="false" outlineLevel="0" collapsed="false">
      <c r="A148" s="194" t="e">
        <f aca="false">#REF!-B148</f>
        <v>#REF!</v>
      </c>
      <c r="B148" s="194" t="n">
        <v>3.517</v>
      </c>
      <c r="C148" s="200" t="n">
        <v>41122</v>
      </c>
      <c r="D148" s="194" t="n">
        <v>3.321</v>
      </c>
      <c r="E148" s="194" t="n">
        <v>0.15</v>
      </c>
      <c r="F148" s="194" t="n">
        <v>0.07101292196767</v>
      </c>
      <c r="G148" s="194" t="n">
        <v>-0.195</v>
      </c>
      <c r="H148" s="194" t="n">
        <v>-0.2</v>
      </c>
      <c r="I148" s="194" t="n">
        <v>-0.215</v>
      </c>
      <c r="J148" s="194" t="n">
        <v>-0.28</v>
      </c>
      <c r="K148" s="194" t="n">
        <v>-0.135</v>
      </c>
      <c r="L148" s="194" t="n">
        <v>-0.041</v>
      </c>
      <c r="M148" s="194" t="n">
        <v>-0.061</v>
      </c>
      <c r="N148" s="194" t="n">
        <v>-0.165</v>
      </c>
      <c r="O148" s="194" t="n">
        <v>-0.195</v>
      </c>
      <c r="P148" s="192" t="n">
        <v>-0.195</v>
      </c>
      <c r="Q148" s="192" t="n">
        <v>-0.053</v>
      </c>
      <c r="R148" s="192" t="n">
        <v>-0.041</v>
      </c>
      <c r="S148" s="192" t="n">
        <v>0.26</v>
      </c>
      <c r="T148" s="192" t="n">
        <v>0.26</v>
      </c>
      <c r="U148" s="192" t="n">
        <v>0.165</v>
      </c>
      <c r="V148" s="192" t="n">
        <v>0</v>
      </c>
      <c r="W148" s="196" t="n">
        <v>0.1925</v>
      </c>
      <c r="X148" s="196" t="n">
        <v>0.215</v>
      </c>
      <c r="Y148" s="196" t="n">
        <v>-0.0135</v>
      </c>
      <c r="Z148" s="196" t="n">
        <v>-0.02075</v>
      </c>
      <c r="AA148" s="196" t="n">
        <v>0.01075</v>
      </c>
      <c r="AB148" s="196" t="n">
        <v>-0.00425</v>
      </c>
      <c r="AC148" s="196" t="n">
        <v>0.005</v>
      </c>
      <c r="AD148" s="196" t="n">
        <v>0.01</v>
      </c>
      <c r="AE148" s="196" t="n">
        <v>-0.06</v>
      </c>
      <c r="AF148" s="196" t="n">
        <v>-0.037</v>
      </c>
      <c r="AG148" s="197" t="n">
        <v>-0.0455</v>
      </c>
      <c r="AH148" s="196" t="n">
        <v>-0.014</v>
      </c>
      <c r="AI148" s="192" t="n">
        <v>-0.048</v>
      </c>
      <c r="AJ148" s="192" t="n">
        <v>-0.065</v>
      </c>
      <c r="AK148" s="192" t="n">
        <v>-0.005499999</v>
      </c>
      <c r="AL148" s="192" t="n">
        <v>0.009</v>
      </c>
      <c r="AM148" s="192" t="n">
        <v>0.495</v>
      </c>
      <c r="AN148" s="192" t="n">
        <v>0.025</v>
      </c>
      <c r="AO148" s="192" t="n">
        <v>-0.35</v>
      </c>
      <c r="AP148" s="192" t="n">
        <v>-0.12</v>
      </c>
      <c r="AQ148" s="192" t="n">
        <v>-0.19</v>
      </c>
      <c r="AR148" s="192" t="n">
        <v>-0.29</v>
      </c>
      <c r="AS148" s="192" t="n">
        <v>0</v>
      </c>
      <c r="AT148" s="192" t="n">
        <v>0</v>
      </c>
      <c r="AU148" s="192" t="n">
        <v>0.295</v>
      </c>
      <c r="AV148" s="192" t="n">
        <v>-0.35</v>
      </c>
      <c r="AW148" s="192" t="n">
        <v>-0.079</v>
      </c>
      <c r="AX148" s="192" t="n">
        <v>0</v>
      </c>
      <c r="AY148" s="192" t="n">
        <v>-0.079</v>
      </c>
      <c r="AZ148" s="192" t="n">
        <v>-0.041</v>
      </c>
      <c r="BA148" s="192" t="n">
        <v>-0.0665</v>
      </c>
      <c r="BB148" s="192" t="n">
        <v>-0.014</v>
      </c>
      <c r="BC148" s="192" t="n">
        <v>-0.046</v>
      </c>
      <c r="BD148" s="192" t="n">
        <v>-0.01</v>
      </c>
      <c r="BE148" s="192" t="n">
        <v>-0.06</v>
      </c>
      <c r="BF148" s="192" t="n">
        <v>-0.17</v>
      </c>
      <c r="BG148" s="192" t="n">
        <v>0.1625</v>
      </c>
      <c r="BH148" s="192" t="n">
        <v>0.29</v>
      </c>
      <c r="BI148" s="192" t="n">
        <v>0.29</v>
      </c>
      <c r="BJ148" s="192" t="n">
        <v>0.31</v>
      </c>
    </row>
    <row r="149" customFormat="false" ht="12.75" hidden="false" customHeight="false" outlineLevel="0" collapsed="false">
      <c r="A149" s="194" t="e">
        <f aca="false">#REF!-B149</f>
        <v>#REF!</v>
      </c>
      <c r="B149" s="194" t="n">
        <v>3.506</v>
      </c>
      <c r="C149" s="200" t="n">
        <v>41153</v>
      </c>
      <c r="D149" s="194" t="n">
        <v>3.302</v>
      </c>
      <c r="E149" s="194" t="n">
        <v>0.15</v>
      </c>
      <c r="F149" s="194" t="n">
        <v>0.071022738270829</v>
      </c>
      <c r="G149" s="194" t="n">
        <v>-0.195</v>
      </c>
      <c r="H149" s="194" t="n">
        <v>-0.2</v>
      </c>
      <c r="I149" s="194" t="n">
        <v>-0.205</v>
      </c>
      <c r="J149" s="194" t="n">
        <v>-0.28</v>
      </c>
      <c r="K149" s="194" t="n">
        <v>-0.125</v>
      </c>
      <c r="L149" s="194" t="n">
        <v>-0.041</v>
      </c>
      <c r="M149" s="194" t="n">
        <v>-0.061</v>
      </c>
      <c r="N149" s="194" t="n">
        <v>-0.165</v>
      </c>
      <c r="O149" s="194" t="n">
        <v>-0.195</v>
      </c>
      <c r="P149" s="192" t="n">
        <v>-0.195</v>
      </c>
      <c r="Q149" s="192" t="n">
        <v>-0.05675</v>
      </c>
      <c r="R149" s="192" t="n">
        <v>-0.041</v>
      </c>
      <c r="S149" s="192" t="n">
        <v>0.258</v>
      </c>
      <c r="T149" s="192" t="n">
        <v>0.258</v>
      </c>
      <c r="U149" s="192" t="n">
        <v>0.163</v>
      </c>
      <c r="V149" s="192" t="n">
        <v>0</v>
      </c>
      <c r="W149" s="196" t="n">
        <v>0.1925</v>
      </c>
      <c r="X149" s="196" t="n">
        <v>0.195</v>
      </c>
      <c r="Y149" s="196" t="n">
        <v>-0.0135</v>
      </c>
      <c r="Z149" s="196" t="n">
        <v>-0.02075</v>
      </c>
      <c r="AA149" s="196" t="n">
        <v>0.01075</v>
      </c>
      <c r="AB149" s="196" t="n">
        <v>-0.00425</v>
      </c>
      <c r="AC149" s="196" t="n">
        <v>0.005</v>
      </c>
      <c r="AD149" s="196" t="n">
        <v>0.01</v>
      </c>
      <c r="AE149" s="196" t="n">
        <v>-0.06</v>
      </c>
      <c r="AF149" s="196" t="n">
        <v>-0.037</v>
      </c>
      <c r="AG149" s="197" t="n">
        <v>-0.0455</v>
      </c>
      <c r="AH149" s="196" t="n">
        <v>-0.014</v>
      </c>
      <c r="AI149" s="192" t="n">
        <v>-0.046</v>
      </c>
      <c r="AJ149" s="192" t="n">
        <v>-0.0725</v>
      </c>
      <c r="AK149" s="192" t="n">
        <v>-0.005499999</v>
      </c>
      <c r="AL149" s="192" t="n">
        <v>0.009</v>
      </c>
      <c r="AM149" s="192" t="n">
        <v>0.395</v>
      </c>
      <c r="AN149" s="192" t="n">
        <v>0.0175</v>
      </c>
      <c r="AO149" s="192" t="n">
        <v>-0.35</v>
      </c>
      <c r="AP149" s="192" t="n">
        <v>-0.12</v>
      </c>
      <c r="AQ149" s="192" t="n">
        <v>-0.19</v>
      </c>
      <c r="AR149" s="192" t="n">
        <v>-0.29</v>
      </c>
      <c r="AS149" s="192" t="n">
        <v>0</v>
      </c>
      <c r="AT149" s="192" t="n">
        <v>0</v>
      </c>
      <c r="AU149" s="192" t="n">
        <v>0.295</v>
      </c>
      <c r="AV149" s="192" t="n">
        <v>-0.35</v>
      </c>
      <c r="AW149" s="192" t="n">
        <v>-0.084</v>
      </c>
      <c r="AX149" s="192" t="n">
        <v>0</v>
      </c>
      <c r="AY149" s="192" t="n">
        <v>-0.084</v>
      </c>
      <c r="AZ149" s="192" t="n">
        <v>-0.041</v>
      </c>
      <c r="BA149" s="192" t="n">
        <v>-0.0815</v>
      </c>
      <c r="BB149" s="192" t="n">
        <v>-0.014</v>
      </c>
      <c r="BC149" s="192" t="n">
        <v>-0.046</v>
      </c>
      <c r="BD149" s="192" t="n">
        <v>-0.0175</v>
      </c>
      <c r="BE149" s="192" t="n">
        <v>-0.06</v>
      </c>
      <c r="BF149" s="192" t="n">
        <v>-0.17</v>
      </c>
      <c r="BG149" s="192" t="n">
        <v>0.1625</v>
      </c>
      <c r="BH149" s="192" t="n">
        <v>0.288</v>
      </c>
      <c r="BI149" s="192" t="n">
        <v>0.288</v>
      </c>
      <c r="BJ149" s="192" t="n">
        <v>0.3</v>
      </c>
    </row>
    <row r="150" customFormat="false" ht="12.75" hidden="false" customHeight="false" outlineLevel="0" collapsed="false">
      <c r="A150" s="194" t="e">
        <f aca="false">#REF!-B150</f>
        <v>#REF!</v>
      </c>
      <c r="B150" s="194" t="n">
        <v>3.571</v>
      </c>
      <c r="C150" s="200" t="n">
        <v>41183</v>
      </c>
      <c r="D150" s="194" t="n">
        <v>3.316</v>
      </c>
      <c r="E150" s="194" t="n">
        <v>0.15</v>
      </c>
      <c r="F150" s="194" t="n">
        <v>0.071032237919078</v>
      </c>
      <c r="G150" s="194" t="n">
        <v>-0.195</v>
      </c>
      <c r="H150" s="194" t="n">
        <v>-0.2</v>
      </c>
      <c r="I150" s="194" t="n">
        <v>-0.19</v>
      </c>
      <c r="J150" s="194" t="n">
        <v>-0.28</v>
      </c>
      <c r="K150" s="194" t="n">
        <v>-0.11</v>
      </c>
      <c r="L150" s="194" t="n">
        <v>-0.041</v>
      </c>
      <c r="M150" s="194" t="n">
        <v>-0.061</v>
      </c>
      <c r="N150" s="194" t="n">
        <v>-0.165</v>
      </c>
      <c r="O150" s="194" t="n">
        <v>-0.195</v>
      </c>
      <c r="P150" s="192" t="n">
        <v>-0.195</v>
      </c>
      <c r="Q150" s="192" t="n">
        <v>-0.06175</v>
      </c>
      <c r="R150" s="192" t="n">
        <v>-0.041</v>
      </c>
      <c r="S150" s="192" t="n">
        <v>0.273</v>
      </c>
      <c r="T150" s="192" t="n">
        <v>0.273</v>
      </c>
      <c r="U150" s="192" t="n">
        <v>0.178</v>
      </c>
      <c r="V150" s="192" t="n">
        <v>0</v>
      </c>
      <c r="W150" s="196" t="n">
        <v>0.1975</v>
      </c>
      <c r="X150" s="196" t="n">
        <v>0.215</v>
      </c>
      <c r="Y150" s="196" t="n">
        <v>-0.0135</v>
      </c>
      <c r="Z150" s="196" t="n">
        <v>-0.02075</v>
      </c>
      <c r="AA150" s="196" t="n">
        <v>-0.0075</v>
      </c>
      <c r="AB150" s="196" t="n">
        <v>-0.0225</v>
      </c>
      <c r="AC150" s="196" t="n">
        <v>0.005</v>
      </c>
      <c r="AD150" s="196" t="n">
        <v>0.01</v>
      </c>
      <c r="AE150" s="196" t="n">
        <v>-0.06</v>
      </c>
      <c r="AF150" s="196" t="n">
        <v>-0.037</v>
      </c>
      <c r="AG150" s="197" t="n">
        <v>-0.0455</v>
      </c>
      <c r="AH150" s="196" t="n">
        <v>-0.014</v>
      </c>
      <c r="AI150" s="192" t="n">
        <v>-0.048</v>
      </c>
      <c r="AJ150" s="192" t="n">
        <v>-0.0825</v>
      </c>
      <c r="AK150" s="192" t="n">
        <v>-0.005499999</v>
      </c>
      <c r="AL150" s="192" t="n">
        <v>0.009</v>
      </c>
      <c r="AM150" s="192" t="n">
        <v>0.461</v>
      </c>
      <c r="AN150" s="192" t="n">
        <v>0.0075</v>
      </c>
      <c r="AO150" s="192" t="n">
        <v>-0.35</v>
      </c>
      <c r="AP150" s="192" t="n">
        <v>-0.12</v>
      </c>
      <c r="AQ150" s="192" t="n">
        <v>-0.19</v>
      </c>
      <c r="AR150" s="192" t="n">
        <v>-0.29</v>
      </c>
      <c r="AS150" s="192" t="n">
        <v>0</v>
      </c>
      <c r="AT150" s="192" t="n">
        <v>0</v>
      </c>
      <c r="AU150" s="192" t="n">
        <v>0.295</v>
      </c>
      <c r="AV150" s="192" t="n">
        <v>-0.35</v>
      </c>
      <c r="AW150" s="192" t="n">
        <v>-0.094</v>
      </c>
      <c r="AX150" s="192" t="n">
        <v>0</v>
      </c>
      <c r="AY150" s="192" t="n">
        <v>-0.094</v>
      </c>
      <c r="AZ150" s="192" t="n">
        <v>-0.041</v>
      </c>
      <c r="BA150" s="192" t="n">
        <v>-0.084</v>
      </c>
      <c r="BB150" s="192" t="n">
        <v>-0.014</v>
      </c>
      <c r="BC150" s="192" t="n">
        <v>-0.046</v>
      </c>
      <c r="BD150" s="192" t="n">
        <v>-0.0275</v>
      </c>
      <c r="BE150" s="192" t="n">
        <v>-0.06</v>
      </c>
      <c r="BF150" s="192" t="n">
        <v>-0.17</v>
      </c>
      <c r="BG150" s="192" t="n">
        <v>0.1625</v>
      </c>
      <c r="BH150" s="192" t="n">
        <v>0.303</v>
      </c>
      <c r="BI150" s="192" t="n">
        <v>0.303</v>
      </c>
      <c r="BJ150" s="192" t="n">
        <v>0.37253</v>
      </c>
    </row>
    <row r="151" customFormat="false" ht="12.75" hidden="false" customHeight="false" outlineLevel="0" collapsed="false">
      <c r="A151" s="194" t="e">
        <f aca="false">#REF!-B151</f>
        <v>#REF!</v>
      </c>
      <c r="B151" s="194" t="n">
        <v>3.566</v>
      </c>
      <c r="C151" s="200" t="n">
        <v>41214</v>
      </c>
      <c r="D151" s="194" t="n">
        <v>3.363</v>
      </c>
      <c r="E151" s="194" t="n">
        <v>0.15</v>
      </c>
      <c r="F151" s="194" t="n">
        <v>0.0710420542223</v>
      </c>
      <c r="G151" s="194" t="n">
        <v>-0.19</v>
      </c>
      <c r="H151" s="194" t="n">
        <v>-0.195</v>
      </c>
      <c r="I151" s="194" t="n">
        <v>-0.1525</v>
      </c>
      <c r="J151" s="194" t="n">
        <v>-0.275</v>
      </c>
      <c r="K151" s="194" t="n">
        <v>-0.0725</v>
      </c>
      <c r="L151" s="194" t="n">
        <v>-0.0405</v>
      </c>
      <c r="M151" s="194" t="n">
        <v>-0.0755</v>
      </c>
      <c r="N151" s="194" t="n">
        <v>-0.16</v>
      </c>
      <c r="O151" s="194" t="n">
        <v>-0.19</v>
      </c>
      <c r="P151" s="192" t="n">
        <v>-0.19</v>
      </c>
      <c r="Q151" s="192" t="n">
        <v>-0.0815</v>
      </c>
      <c r="R151" s="192" t="n">
        <v>-0.0405</v>
      </c>
      <c r="S151" s="192" t="n">
        <v>0.335</v>
      </c>
      <c r="T151" s="192" t="n">
        <v>0.335</v>
      </c>
      <c r="U151" s="192" t="n">
        <v>0.24</v>
      </c>
      <c r="V151" s="192" t="n">
        <v>0</v>
      </c>
      <c r="W151" s="196" t="n">
        <v>0.2725</v>
      </c>
      <c r="X151" s="196" t="n">
        <v>0.315</v>
      </c>
      <c r="Y151" s="196" t="n">
        <v>-0.0165</v>
      </c>
      <c r="Z151" s="196" t="n">
        <v>-0.034</v>
      </c>
      <c r="AA151" s="196" t="n">
        <v>-0.0065</v>
      </c>
      <c r="AB151" s="196" t="n">
        <v>-0.0215</v>
      </c>
      <c r="AC151" s="196" t="n">
        <v>0.005</v>
      </c>
      <c r="AD151" s="196" t="n">
        <v>0.007</v>
      </c>
      <c r="AE151" s="196" t="n">
        <v>-0.06</v>
      </c>
      <c r="AF151" s="196" t="n">
        <v>-0.032</v>
      </c>
      <c r="AG151" s="197" t="n">
        <v>-0.0435</v>
      </c>
      <c r="AH151" s="196" t="n">
        <v>-0.0105</v>
      </c>
      <c r="AI151" s="192" t="n">
        <v>-0.0605</v>
      </c>
      <c r="AJ151" s="192" t="n">
        <v>-0.1225</v>
      </c>
      <c r="AK151" s="192" t="n">
        <v>-0.0005</v>
      </c>
      <c r="AL151" s="192" t="n">
        <v>0.016</v>
      </c>
      <c r="AM151" s="192" t="n">
        <v>0.885</v>
      </c>
      <c r="AN151" s="192" t="n">
        <v>-0.0325</v>
      </c>
      <c r="AO151" s="192" t="n">
        <v>-0.275</v>
      </c>
      <c r="AP151" s="192" t="n">
        <v>-0.1325</v>
      </c>
      <c r="AQ151" s="192" t="n">
        <v>-0.19</v>
      </c>
      <c r="AR151" s="192" t="n">
        <v>0</v>
      </c>
      <c r="AS151" s="192" t="n">
        <v>0</v>
      </c>
      <c r="AT151" s="192" t="n">
        <v>0</v>
      </c>
      <c r="AU151" s="192" t="n">
        <v>0.12</v>
      </c>
      <c r="AV151" s="192" t="n">
        <v>-0.275</v>
      </c>
      <c r="AW151" s="192" t="n">
        <v>-0.1065</v>
      </c>
      <c r="AX151" s="192" t="n">
        <v>0</v>
      </c>
      <c r="AY151" s="192" t="n">
        <v>-0.1065</v>
      </c>
      <c r="AZ151" s="192" t="n">
        <v>-0.0405</v>
      </c>
      <c r="BA151" s="192" t="n">
        <v>-0.089</v>
      </c>
      <c r="BB151" s="192" t="n">
        <v>-0.0155</v>
      </c>
      <c r="BC151" s="192" t="n">
        <v>-0.0605</v>
      </c>
      <c r="BD151" s="192" t="n">
        <v>-0.0675</v>
      </c>
      <c r="BE151" s="192" t="n">
        <v>-0.06</v>
      </c>
      <c r="BF151" s="192" t="n">
        <v>-0.17</v>
      </c>
      <c r="BG151" s="192" t="n">
        <v>0.295</v>
      </c>
      <c r="BH151" s="192" t="n">
        <v>0.38</v>
      </c>
      <c r="BI151" s="192" t="n">
        <v>0.38</v>
      </c>
      <c r="BJ151" s="192" t="n">
        <v>0.56</v>
      </c>
    </row>
    <row r="152" customFormat="false" ht="12.75" hidden="false" customHeight="false" outlineLevel="0" collapsed="false">
      <c r="A152" s="194" t="e">
        <f aca="false">#REF!-B152</f>
        <v>#REF!</v>
      </c>
      <c r="B152" s="194" t="n">
        <v>3.547</v>
      </c>
      <c r="C152" s="200" t="n">
        <v>41244</v>
      </c>
      <c r="D152" s="194" t="n">
        <v>3.412</v>
      </c>
      <c r="E152" s="194" t="n">
        <v>0.15</v>
      </c>
      <c r="F152" s="194" t="n">
        <v>0.071051553870609</v>
      </c>
      <c r="G152" s="194" t="n">
        <v>-0.1975</v>
      </c>
      <c r="H152" s="194" t="n">
        <v>-0.2025</v>
      </c>
      <c r="I152" s="194" t="n">
        <v>-0.145</v>
      </c>
      <c r="J152" s="194" t="n">
        <v>-0.2825</v>
      </c>
      <c r="K152" s="194" t="n">
        <v>-0.065</v>
      </c>
      <c r="L152" s="194" t="n">
        <v>-0.0405</v>
      </c>
      <c r="M152" s="194" t="n">
        <v>-0.0755</v>
      </c>
      <c r="N152" s="194" t="n">
        <v>-0.1675</v>
      </c>
      <c r="O152" s="194" t="n">
        <v>-0.1975</v>
      </c>
      <c r="P152" s="192" t="n">
        <v>-0.1975</v>
      </c>
      <c r="Q152" s="192" t="n">
        <v>-0.09275</v>
      </c>
      <c r="R152" s="192" t="n">
        <v>-0.0405</v>
      </c>
      <c r="S152" s="192" t="n">
        <v>0.375</v>
      </c>
      <c r="T152" s="192" t="n">
        <v>0.375</v>
      </c>
      <c r="U152" s="192" t="n">
        <v>0.28</v>
      </c>
      <c r="V152" s="192" t="n">
        <v>0</v>
      </c>
      <c r="W152" s="196" t="n">
        <v>0.3075</v>
      </c>
      <c r="X152" s="196" t="n">
        <v>0.395</v>
      </c>
      <c r="Y152" s="196" t="n">
        <v>-0.0165</v>
      </c>
      <c r="Z152" s="196" t="n">
        <v>-0.0265</v>
      </c>
      <c r="AA152" s="196" t="n">
        <v>-0.0065</v>
      </c>
      <c r="AB152" s="196" t="n">
        <v>-0.0215</v>
      </c>
      <c r="AC152" s="196" t="n">
        <v>0.005</v>
      </c>
      <c r="AD152" s="196" t="n">
        <v>0.007</v>
      </c>
      <c r="AE152" s="196" t="n">
        <v>-0.06</v>
      </c>
      <c r="AF152" s="196" t="n">
        <v>-0.032</v>
      </c>
      <c r="AG152" s="197" t="n">
        <v>-0.0435</v>
      </c>
      <c r="AH152" s="196" t="n">
        <v>-0.0105</v>
      </c>
      <c r="AI152" s="192" t="n">
        <v>-0.0605</v>
      </c>
      <c r="AJ152" s="192" t="n">
        <v>-0.145</v>
      </c>
      <c r="AK152" s="192" t="n">
        <v>-0.0005</v>
      </c>
      <c r="AL152" s="192" t="n">
        <v>0.016</v>
      </c>
      <c r="AM152" s="192" t="n">
        <v>1.31</v>
      </c>
      <c r="AN152" s="192" t="n">
        <v>-0.055</v>
      </c>
      <c r="AO152" s="192" t="n">
        <v>-0.275</v>
      </c>
      <c r="AP152" s="192" t="n">
        <v>-0.1275</v>
      </c>
      <c r="AQ152" s="192" t="n">
        <v>-0.19</v>
      </c>
      <c r="AR152" s="192" t="n">
        <v>0.06</v>
      </c>
      <c r="AS152" s="192" t="n">
        <v>0</v>
      </c>
      <c r="AT152" s="192" t="n">
        <v>0</v>
      </c>
      <c r="AU152" s="192" t="n">
        <v>0.12</v>
      </c>
      <c r="AV152" s="192" t="n">
        <v>-0.275</v>
      </c>
      <c r="AW152" s="192" t="n">
        <v>-0.1315</v>
      </c>
      <c r="AX152" s="192" t="n">
        <v>0</v>
      </c>
      <c r="AY152" s="192" t="n">
        <v>-0.1315</v>
      </c>
      <c r="AZ152" s="192" t="n">
        <v>-0.0405</v>
      </c>
      <c r="BA152" s="192" t="n">
        <v>-0.1215</v>
      </c>
      <c r="BB152" s="192" t="n">
        <v>-0.0155</v>
      </c>
      <c r="BC152" s="192" t="n">
        <v>-0.0605</v>
      </c>
      <c r="BD152" s="192" t="n">
        <v>-0.09</v>
      </c>
      <c r="BE152" s="192" t="n">
        <v>-0.06</v>
      </c>
      <c r="BF152" s="192" t="n">
        <v>-0.17</v>
      </c>
      <c r="BG152" s="192" t="n">
        <v>0.25</v>
      </c>
      <c r="BH152" s="192" t="n">
        <v>0.42</v>
      </c>
      <c r="BI152" s="192" t="n">
        <v>0.42</v>
      </c>
      <c r="BJ152" s="192" t="n">
        <v>0.91</v>
      </c>
    </row>
    <row r="153" customFormat="false" ht="12.75" hidden="false" customHeight="false" outlineLevel="0" collapsed="false">
      <c r="A153" s="194" t="e">
        <f aca="false">#REF!-B153</f>
        <v>#REF!</v>
      </c>
      <c r="B153" s="194" t="n">
        <v>3.556</v>
      </c>
      <c r="C153" s="200" t="n">
        <v>41275</v>
      </c>
      <c r="D153" s="194" t="n">
        <v>3.842</v>
      </c>
      <c r="E153" s="194" t="n">
        <v>0.15</v>
      </c>
      <c r="F153" s="194" t="n">
        <v>0.071061370173893</v>
      </c>
      <c r="G153" s="194" t="n">
        <v>-0.2</v>
      </c>
      <c r="H153" s="194" t="n">
        <v>-0.205</v>
      </c>
      <c r="I153" s="194" t="n">
        <v>-0.13</v>
      </c>
      <c r="J153" s="194" t="n">
        <v>-0.265</v>
      </c>
      <c r="K153" s="194" t="n">
        <v>-0.05</v>
      </c>
      <c r="L153" s="194" t="n">
        <v>-0.0405</v>
      </c>
      <c r="M153" s="194" t="n">
        <v>-0.0755</v>
      </c>
      <c r="N153" s="194" t="n">
        <v>-0.17</v>
      </c>
      <c r="O153" s="194" t="n">
        <v>-0.2</v>
      </c>
      <c r="P153" s="192" t="n">
        <v>-0.2</v>
      </c>
      <c r="Q153" s="192" t="n">
        <v>-0.094</v>
      </c>
      <c r="R153" s="192" t="n">
        <v>-0.0405</v>
      </c>
      <c r="S153" s="192" t="n">
        <v>0.385</v>
      </c>
      <c r="T153" s="192" t="n">
        <v>0.385</v>
      </c>
      <c r="U153" s="192" t="n">
        <v>0.29</v>
      </c>
      <c r="V153" s="192" t="n">
        <v>0</v>
      </c>
      <c r="W153" s="196" t="n">
        <v>0.3125</v>
      </c>
      <c r="X153" s="196" t="n">
        <v>0.465</v>
      </c>
      <c r="Y153" s="196" t="n">
        <v>-0.012</v>
      </c>
      <c r="Z153" s="196" t="n">
        <v>-0.0265</v>
      </c>
      <c r="AA153" s="196" t="n">
        <v>-0.0065</v>
      </c>
      <c r="AB153" s="196" t="n">
        <v>-0.0215</v>
      </c>
      <c r="AC153" s="196" t="n">
        <v>0.005</v>
      </c>
      <c r="AD153" s="196" t="n">
        <v>0.007</v>
      </c>
      <c r="AE153" s="196" t="n">
        <v>-0.06</v>
      </c>
      <c r="AF153" s="196" t="n">
        <v>-0.03</v>
      </c>
      <c r="AG153" s="197" t="n">
        <v>-0.0435</v>
      </c>
      <c r="AH153" s="196" t="n">
        <v>-0.0105</v>
      </c>
      <c r="AI153" s="192" t="n">
        <v>-0.0535</v>
      </c>
      <c r="AJ153" s="192" t="n">
        <v>-0.1475</v>
      </c>
      <c r="AK153" s="192" t="n">
        <v>0.004</v>
      </c>
      <c r="AL153" s="192" t="n">
        <v>0.016</v>
      </c>
      <c r="AM153" s="192" t="n">
        <v>1.645</v>
      </c>
      <c r="AN153" s="192" t="n">
        <v>-0.0575</v>
      </c>
      <c r="AO153" s="192" t="n">
        <v>-0.27</v>
      </c>
      <c r="AP153" s="192" t="n">
        <v>-0.1275</v>
      </c>
      <c r="AQ153" s="192" t="n">
        <v>-0.19</v>
      </c>
      <c r="AR153" s="192" t="n">
        <v>0.13</v>
      </c>
      <c r="AS153" s="192" t="n">
        <v>0</v>
      </c>
      <c r="AT153" s="192" t="n">
        <v>0</v>
      </c>
      <c r="AU153" s="192" t="n">
        <v>0.12</v>
      </c>
      <c r="AV153" s="192" t="n">
        <v>-0.27</v>
      </c>
      <c r="AW153" s="192" t="n">
        <v>-0.1165</v>
      </c>
      <c r="AX153" s="192" t="n">
        <v>0</v>
      </c>
      <c r="AY153" s="192" t="n">
        <v>-0.1165</v>
      </c>
      <c r="AZ153" s="192" t="n">
        <v>-0.0405</v>
      </c>
      <c r="BA153" s="192" t="n">
        <v>-0.127</v>
      </c>
      <c r="BB153" s="192" t="n">
        <v>-0.0155</v>
      </c>
      <c r="BC153" s="192" t="n">
        <v>-0.0605</v>
      </c>
      <c r="BD153" s="192" t="n">
        <v>-0.0925</v>
      </c>
      <c r="BE153" s="192" t="n">
        <v>-0.06</v>
      </c>
      <c r="BF153" s="192" t="n">
        <v>-0.17</v>
      </c>
      <c r="BG153" s="192" t="n">
        <v>0.33</v>
      </c>
      <c r="BH153" s="192" t="n">
        <v>0.43</v>
      </c>
      <c r="BI153" s="192" t="n">
        <v>0.43</v>
      </c>
      <c r="BJ153" s="192" t="n">
        <v>1.235</v>
      </c>
    </row>
    <row r="154" customFormat="false" ht="12.75" hidden="false" customHeight="false" outlineLevel="0" collapsed="false">
      <c r="A154" s="194" t="e">
        <f aca="false">#REF!-B154</f>
        <v>#REF!</v>
      </c>
      <c r="B154" s="194" t="n">
        <v>3.623</v>
      </c>
      <c r="C154" s="200" t="n">
        <v>41306</v>
      </c>
      <c r="D154" s="194" t="n">
        <v>3.72</v>
      </c>
      <c r="E154" s="194" t="n">
        <v>0.15</v>
      </c>
      <c r="F154" s="194" t="n">
        <v>0.07107118647721</v>
      </c>
      <c r="G154" s="194" t="n">
        <v>-0.2025</v>
      </c>
      <c r="H154" s="194" t="n">
        <v>-0.2075</v>
      </c>
      <c r="I154" s="194" t="n">
        <v>-0.13</v>
      </c>
      <c r="J154" s="194" t="n">
        <v>-0.2675</v>
      </c>
      <c r="K154" s="194" t="n">
        <v>-0.05</v>
      </c>
      <c r="L154" s="194" t="n">
        <v>-0.0405</v>
      </c>
      <c r="M154" s="194" t="n">
        <v>-0.0755</v>
      </c>
      <c r="N154" s="194" t="n">
        <v>-0.1725</v>
      </c>
      <c r="O154" s="194" t="n">
        <v>-0.2025</v>
      </c>
      <c r="P154" s="192" t="n">
        <v>-0.2025</v>
      </c>
      <c r="Q154" s="192" t="n">
        <v>-0.08525</v>
      </c>
      <c r="R154" s="192" t="n">
        <v>-0.0405</v>
      </c>
      <c r="S154" s="192" t="n">
        <v>0.36</v>
      </c>
      <c r="T154" s="192" t="n">
        <v>0.36</v>
      </c>
      <c r="U154" s="192" t="n">
        <v>0.265</v>
      </c>
      <c r="V154" s="192" t="n">
        <v>0</v>
      </c>
      <c r="W154" s="196" t="n">
        <v>0.3125</v>
      </c>
      <c r="X154" s="196" t="n">
        <v>0.435</v>
      </c>
      <c r="Y154" s="196" t="n">
        <v>-0.012</v>
      </c>
      <c r="Z154" s="196" t="n">
        <v>-0.0265</v>
      </c>
      <c r="AA154" s="196" t="n">
        <v>-0.0065</v>
      </c>
      <c r="AB154" s="196" t="n">
        <v>-0.0215</v>
      </c>
      <c r="AC154" s="196" t="n">
        <v>0.005</v>
      </c>
      <c r="AD154" s="196" t="n">
        <v>0.007</v>
      </c>
      <c r="AE154" s="196" t="n">
        <v>-0.06</v>
      </c>
      <c r="AF154" s="196" t="n">
        <v>-0.03</v>
      </c>
      <c r="AG154" s="197" t="n">
        <v>-0.0435</v>
      </c>
      <c r="AH154" s="196" t="n">
        <v>-0.0105</v>
      </c>
      <c r="AI154" s="192" t="n">
        <v>-0.0535</v>
      </c>
      <c r="AJ154" s="192" t="n">
        <v>-0.13</v>
      </c>
      <c r="AK154" s="192" t="n">
        <v>0.004</v>
      </c>
      <c r="AL154" s="192" t="n">
        <v>0.016</v>
      </c>
      <c r="AM154" s="192" t="n">
        <v>1.595</v>
      </c>
      <c r="AN154" s="192" t="n">
        <v>-0.04</v>
      </c>
      <c r="AO154" s="192" t="n">
        <v>-0.27</v>
      </c>
      <c r="AP154" s="192" t="n">
        <v>-0.1275</v>
      </c>
      <c r="AQ154" s="192" t="n">
        <v>-0.19</v>
      </c>
      <c r="AR154" s="192" t="n">
        <v>0</v>
      </c>
      <c r="AS154" s="192" t="n">
        <v>0</v>
      </c>
      <c r="AT154" s="192" t="n">
        <v>0</v>
      </c>
      <c r="AU154" s="192" t="n">
        <v>0.12</v>
      </c>
      <c r="AV154" s="192" t="n">
        <v>-0.27</v>
      </c>
      <c r="AW154" s="192" t="n">
        <v>-0.119</v>
      </c>
      <c r="AX154" s="192" t="n">
        <v>0</v>
      </c>
      <c r="AY154" s="192" t="n">
        <v>-0.119</v>
      </c>
      <c r="AZ154" s="192" t="n">
        <v>-0.0405</v>
      </c>
      <c r="BA154" s="192" t="n">
        <v>-0.1095</v>
      </c>
      <c r="BB154" s="192" t="n">
        <v>-0.0155</v>
      </c>
      <c r="BC154" s="192" t="n">
        <v>-0.0605</v>
      </c>
      <c r="BD154" s="192" t="n">
        <v>-0.075</v>
      </c>
      <c r="BE154" s="192" t="n">
        <v>-0.06</v>
      </c>
      <c r="BF154" s="192" t="n">
        <v>-0.17</v>
      </c>
      <c r="BG154" s="192" t="n">
        <v>0.375</v>
      </c>
      <c r="BH154" s="192" t="n">
        <v>0.405</v>
      </c>
      <c r="BI154" s="192" t="n">
        <v>0.405</v>
      </c>
      <c r="BJ154" s="192" t="n">
        <v>1.235</v>
      </c>
    </row>
    <row r="155" customFormat="false" ht="12.75" hidden="false" customHeight="false" outlineLevel="0" collapsed="false">
      <c r="A155" s="194" t="e">
        <f aca="false">#REF!-B155</f>
        <v>#REF!</v>
      </c>
      <c r="B155" s="194" t="n">
        <v>3.705</v>
      </c>
      <c r="C155" s="200" t="n">
        <v>41334</v>
      </c>
      <c r="D155" s="194" t="n">
        <v>3.567</v>
      </c>
      <c r="E155" s="194" t="n">
        <v>0.15</v>
      </c>
      <c r="F155" s="194" t="n">
        <v>0.071080052815717</v>
      </c>
      <c r="G155" s="194" t="n">
        <v>-0.205</v>
      </c>
      <c r="H155" s="194" t="n">
        <v>-0.21</v>
      </c>
      <c r="I155" s="194" t="n">
        <v>-0.13</v>
      </c>
      <c r="J155" s="194" t="n">
        <v>-0.27</v>
      </c>
      <c r="K155" s="194" t="n">
        <v>-0.05</v>
      </c>
      <c r="L155" s="194" t="n">
        <v>-0.0405</v>
      </c>
      <c r="M155" s="194" t="n">
        <v>-0.0755</v>
      </c>
      <c r="N155" s="194" t="n">
        <v>-0.175</v>
      </c>
      <c r="O155" s="194" t="n">
        <v>-0.205</v>
      </c>
      <c r="P155" s="192" t="n">
        <v>-0.205</v>
      </c>
      <c r="Q155" s="192" t="n">
        <v>-0.079</v>
      </c>
      <c r="R155" s="192" t="n">
        <v>-0.0405</v>
      </c>
      <c r="S155" s="192" t="n">
        <v>0.358</v>
      </c>
      <c r="T155" s="192" t="n">
        <v>0.358</v>
      </c>
      <c r="U155" s="192" t="n">
        <v>0.263</v>
      </c>
      <c r="V155" s="192" t="n">
        <v>0</v>
      </c>
      <c r="W155" s="196" t="n">
        <v>0.27</v>
      </c>
      <c r="X155" s="196" t="n">
        <v>0.39</v>
      </c>
      <c r="Y155" s="196" t="n">
        <v>-0.012</v>
      </c>
      <c r="Z155" s="196" t="n">
        <v>-0.0265</v>
      </c>
      <c r="AA155" s="196" t="n">
        <v>0.012</v>
      </c>
      <c r="AB155" s="196" t="n">
        <v>-0.003</v>
      </c>
      <c r="AC155" s="196" t="n">
        <v>0.005</v>
      </c>
      <c r="AD155" s="196" t="n">
        <v>0.007</v>
      </c>
      <c r="AE155" s="196" t="n">
        <v>-0.06</v>
      </c>
      <c r="AF155" s="196" t="n">
        <v>-0.03</v>
      </c>
      <c r="AG155" s="197" t="n">
        <v>-0.0435</v>
      </c>
      <c r="AH155" s="196" t="n">
        <v>-0.0105</v>
      </c>
      <c r="AI155" s="192" t="n">
        <v>-0.0605</v>
      </c>
      <c r="AJ155" s="192" t="n">
        <v>-0.1175</v>
      </c>
      <c r="AK155" s="192" t="n">
        <v>0.004</v>
      </c>
      <c r="AL155" s="192" t="n">
        <v>0.016</v>
      </c>
      <c r="AM155" s="192" t="n">
        <v>0.965</v>
      </c>
      <c r="AN155" s="192" t="n">
        <v>-0.0275</v>
      </c>
      <c r="AO155" s="192" t="n">
        <v>-0.27</v>
      </c>
      <c r="AP155" s="192" t="n">
        <v>-0.1325</v>
      </c>
      <c r="AQ155" s="192" t="n">
        <v>-0.19</v>
      </c>
      <c r="AR155" s="192" t="n">
        <v>-0.18</v>
      </c>
      <c r="AS155" s="192" t="n">
        <v>0</v>
      </c>
      <c r="AT155" s="192" t="n">
        <v>0</v>
      </c>
      <c r="AU155" s="192" t="n">
        <v>0.12</v>
      </c>
      <c r="AV155" s="192" t="n">
        <v>-0.27</v>
      </c>
      <c r="AW155" s="192" t="n">
        <v>-0.1015</v>
      </c>
      <c r="AX155" s="192" t="n">
        <v>0</v>
      </c>
      <c r="AY155" s="192" t="n">
        <v>-0.1015</v>
      </c>
      <c r="AZ155" s="192" t="n">
        <v>-0.0405</v>
      </c>
      <c r="BA155" s="192" t="n">
        <v>-0.0945</v>
      </c>
      <c r="BB155" s="192" t="n">
        <v>-0.0155</v>
      </c>
      <c r="BC155" s="192" t="n">
        <v>-0.0605</v>
      </c>
      <c r="BD155" s="192" t="n">
        <v>-0.0625</v>
      </c>
      <c r="BE155" s="192" t="n">
        <v>-0.06</v>
      </c>
      <c r="BF155" s="192" t="n">
        <v>-0.17</v>
      </c>
      <c r="BG155" s="192" t="n">
        <v>0.375</v>
      </c>
      <c r="BH155" s="192" t="n">
        <v>0.403</v>
      </c>
      <c r="BI155" s="192" t="n">
        <v>0.403</v>
      </c>
      <c r="BJ155" s="192" t="n">
        <v>0.875</v>
      </c>
    </row>
    <row r="156" customFormat="false" ht="12.75" hidden="false" customHeight="false" outlineLevel="0" collapsed="false">
      <c r="A156" s="194" t="e">
        <f aca="false">#REF!-B156</f>
        <v>#REF!</v>
      </c>
      <c r="B156" s="194" t="n">
        <v>3.978</v>
      </c>
      <c r="C156" s="200" t="n">
        <v>41365</v>
      </c>
      <c r="D156" s="194" t="n">
        <v>3.407</v>
      </c>
      <c r="E156" s="194" t="n">
        <v>0.15</v>
      </c>
      <c r="F156" s="194" t="n">
        <v>0.071089869119094</v>
      </c>
      <c r="G156" s="194" t="n">
        <v>-0.195</v>
      </c>
      <c r="H156" s="194" t="n">
        <v>-0.2</v>
      </c>
      <c r="I156" s="194" t="n">
        <v>-0.175</v>
      </c>
      <c r="J156" s="194" t="n">
        <v>-0.26</v>
      </c>
      <c r="K156" s="194" t="n">
        <v>-0.095</v>
      </c>
      <c r="L156" s="194" t="n">
        <v>-0.038</v>
      </c>
      <c r="M156" s="194" t="n">
        <v>-0.058</v>
      </c>
      <c r="N156" s="194" t="n">
        <v>-0.165</v>
      </c>
      <c r="O156" s="194" t="n">
        <v>-0.195</v>
      </c>
      <c r="P156" s="192" t="n">
        <v>-0.195</v>
      </c>
      <c r="Q156" s="192" t="n">
        <v>-0.0565</v>
      </c>
      <c r="R156" s="192" t="n">
        <v>-0.038</v>
      </c>
      <c r="S156" s="192" t="n">
        <v>0.263</v>
      </c>
      <c r="T156" s="192" t="n">
        <v>0.263</v>
      </c>
      <c r="U156" s="192" t="n">
        <v>0.168</v>
      </c>
      <c r="V156" s="192" t="n">
        <v>0</v>
      </c>
      <c r="W156" s="196" t="n">
        <v>0.205</v>
      </c>
      <c r="X156" s="196" t="n">
        <v>0.25</v>
      </c>
      <c r="Y156" s="196" t="n">
        <v>-0.0115</v>
      </c>
      <c r="Z156" s="196" t="n">
        <v>-0.019</v>
      </c>
      <c r="AA156" s="196" t="n">
        <v>0.012</v>
      </c>
      <c r="AB156" s="196" t="n">
        <v>-0.003</v>
      </c>
      <c r="AC156" s="196" t="n">
        <v>0.005</v>
      </c>
      <c r="AD156" s="196" t="n">
        <v>0.012</v>
      </c>
      <c r="AE156" s="196" t="n">
        <v>-0.06</v>
      </c>
      <c r="AF156" s="196" t="n">
        <v>-0.035</v>
      </c>
      <c r="AG156" s="197" t="n">
        <v>-0.0435</v>
      </c>
      <c r="AH156" s="196" t="n">
        <v>-0.013</v>
      </c>
      <c r="AI156" s="192" t="n">
        <v>-0.056</v>
      </c>
      <c r="AJ156" s="192" t="n">
        <v>-0.075</v>
      </c>
      <c r="AK156" s="192" t="n">
        <v>-0.003499999</v>
      </c>
      <c r="AL156" s="192" t="n">
        <v>0.009</v>
      </c>
      <c r="AM156" s="192" t="n">
        <v>0.45</v>
      </c>
      <c r="AN156" s="192" t="n">
        <v>0.015</v>
      </c>
      <c r="AO156" s="192" t="n">
        <v>-0.33</v>
      </c>
      <c r="AP156" s="192" t="n">
        <v>-0.12</v>
      </c>
      <c r="AQ156" s="192" t="n">
        <v>-0.19</v>
      </c>
      <c r="AR156" s="192" t="n">
        <v>-0.29</v>
      </c>
      <c r="AS156" s="192" t="n">
        <v>0</v>
      </c>
      <c r="AT156" s="192" t="n">
        <v>0</v>
      </c>
      <c r="AU156" s="192" t="n">
        <v>0.295</v>
      </c>
      <c r="AV156" s="192" t="n">
        <v>-0.33</v>
      </c>
      <c r="AW156" s="192" t="n">
        <v>-0.092</v>
      </c>
      <c r="AX156" s="192" t="n">
        <v>0</v>
      </c>
      <c r="AY156" s="192" t="n">
        <v>-0.092</v>
      </c>
      <c r="AZ156" s="192" t="n">
        <v>-0.038</v>
      </c>
      <c r="BA156" s="192" t="n">
        <v>-0.0795</v>
      </c>
      <c r="BB156" s="192" t="n">
        <v>-0.013</v>
      </c>
      <c r="BC156" s="192" t="n">
        <v>-0.043</v>
      </c>
      <c r="BD156" s="192" t="n">
        <v>-0.02</v>
      </c>
      <c r="BE156" s="192" t="n">
        <v>-0.06</v>
      </c>
      <c r="BF156" s="192" t="n">
        <v>-0.17</v>
      </c>
      <c r="BG156" s="192" t="n">
        <v>0.1625</v>
      </c>
      <c r="BH156" s="192" t="n">
        <v>0.293</v>
      </c>
      <c r="BI156" s="192" t="n">
        <v>0.293</v>
      </c>
      <c r="BJ156" s="192" t="n">
        <v>0.365</v>
      </c>
    </row>
    <row r="157" customFormat="false" ht="12.75" hidden="false" customHeight="false" outlineLevel="0" collapsed="false">
      <c r="A157" s="194" t="e">
        <f aca="false">#REF!-B157</f>
        <v>#REF!</v>
      </c>
      <c r="B157" s="194" t="n">
        <v>3.891</v>
      </c>
      <c r="C157" s="200" t="n">
        <v>41395</v>
      </c>
      <c r="D157" s="194" t="n">
        <v>3.367</v>
      </c>
      <c r="E157" s="194" t="n">
        <v>0.15</v>
      </c>
      <c r="F157" s="194" t="n">
        <v>0.071099368767553</v>
      </c>
      <c r="G157" s="194" t="n">
        <v>-0.195</v>
      </c>
      <c r="H157" s="194" t="n">
        <v>-0.2</v>
      </c>
      <c r="I157" s="194" t="n">
        <v>-0.205</v>
      </c>
      <c r="J157" s="194" t="n">
        <v>-0.26</v>
      </c>
      <c r="K157" s="194" t="n">
        <v>-0.11</v>
      </c>
      <c r="L157" s="194" t="n">
        <v>-0.038</v>
      </c>
      <c r="M157" s="194" t="n">
        <v>-0.058</v>
      </c>
      <c r="N157" s="194" t="n">
        <v>-0.165</v>
      </c>
      <c r="O157" s="194" t="n">
        <v>-0.195</v>
      </c>
      <c r="P157" s="192" t="n">
        <v>-0.195</v>
      </c>
      <c r="Q157" s="192" t="n">
        <v>-0.0565</v>
      </c>
      <c r="R157" s="192" t="n">
        <v>-0.038</v>
      </c>
      <c r="S157" s="192" t="n">
        <v>0.273</v>
      </c>
      <c r="T157" s="192" t="n">
        <v>0.273</v>
      </c>
      <c r="U157" s="192" t="n">
        <v>0.178</v>
      </c>
      <c r="V157" s="192" t="n">
        <v>0</v>
      </c>
      <c r="W157" s="196" t="n">
        <v>0.1925</v>
      </c>
      <c r="X157" s="196" t="n">
        <v>0.2025</v>
      </c>
      <c r="Y157" s="196" t="n">
        <v>-0.0115</v>
      </c>
      <c r="Z157" s="196" t="n">
        <v>-0.01925</v>
      </c>
      <c r="AA157" s="196" t="n">
        <v>0.01175</v>
      </c>
      <c r="AB157" s="196" t="n">
        <v>-0.00325</v>
      </c>
      <c r="AC157" s="196" t="n">
        <v>0.005</v>
      </c>
      <c r="AD157" s="196" t="n">
        <v>0.012</v>
      </c>
      <c r="AE157" s="196" t="n">
        <v>-0.06</v>
      </c>
      <c r="AF157" s="196" t="n">
        <v>-0.035</v>
      </c>
      <c r="AG157" s="197" t="n">
        <v>-0.0435</v>
      </c>
      <c r="AH157" s="196" t="n">
        <v>-0.013</v>
      </c>
      <c r="AI157" s="192" t="n">
        <v>-0.056</v>
      </c>
      <c r="AJ157" s="192" t="n">
        <v>-0.075</v>
      </c>
      <c r="AK157" s="192" t="n">
        <v>-0.003499999</v>
      </c>
      <c r="AL157" s="192" t="n">
        <v>0.009</v>
      </c>
      <c r="AM157" s="192" t="n">
        <v>0.405</v>
      </c>
      <c r="AN157" s="192" t="n">
        <v>0.015</v>
      </c>
      <c r="AO157" s="192" t="n">
        <v>-0.33</v>
      </c>
      <c r="AP157" s="192" t="n">
        <v>-0.12</v>
      </c>
      <c r="AQ157" s="192" t="n">
        <v>-0.19</v>
      </c>
      <c r="AR157" s="192" t="n">
        <v>-0.29</v>
      </c>
      <c r="AS157" s="192" t="n">
        <v>0</v>
      </c>
      <c r="AT157" s="192" t="n">
        <v>0</v>
      </c>
      <c r="AU157" s="192" t="n">
        <v>0.295</v>
      </c>
      <c r="AV157" s="192" t="n">
        <v>-0.33</v>
      </c>
      <c r="AW157" s="192" t="n">
        <v>-0.0895</v>
      </c>
      <c r="AX157" s="192" t="n">
        <v>0</v>
      </c>
      <c r="AY157" s="192" t="n">
        <v>-0.0895</v>
      </c>
      <c r="AZ157" s="192" t="n">
        <v>-0.038</v>
      </c>
      <c r="BA157" s="192" t="n">
        <v>-0.0745</v>
      </c>
      <c r="BB157" s="192" t="n">
        <v>-0.013</v>
      </c>
      <c r="BC157" s="192" t="n">
        <v>-0.043</v>
      </c>
      <c r="BD157" s="192" t="n">
        <v>-0.02</v>
      </c>
      <c r="BE157" s="192" t="n">
        <v>-0.06</v>
      </c>
      <c r="BF157" s="192" t="n">
        <v>-0.17</v>
      </c>
      <c r="BG157" s="192" t="n">
        <v>0.1625</v>
      </c>
      <c r="BH157" s="192" t="n">
        <v>0.303</v>
      </c>
      <c r="BI157" s="192" t="n">
        <v>0.303</v>
      </c>
      <c r="BJ157" s="192" t="n">
        <v>0.2975</v>
      </c>
    </row>
    <row r="158" customFormat="false" ht="12.75" hidden="false" customHeight="false" outlineLevel="0" collapsed="false">
      <c r="A158" s="194" t="e">
        <f aca="false">#REF!-B158</f>
        <v>#REF!</v>
      </c>
      <c r="B158" s="194" t="n">
        <v>3.763</v>
      </c>
      <c r="C158" s="200" t="n">
        <v>41426</v>
      </c>
      <c r="D158" s="194" t="n">
        <v>3.385</v>
      </c>
      <c r="E158" s="194" t="n">
        <v>0.15</v>
      </c>
      <c r="F158" s="194" t="n">
        <v>0.071109185071</v>
      </c>
      <c r="G158" s="194" t="n">
        <v>-0.195</v>
      </c>
      <c r="H158" s="194" t="n">
        <v>-0.2</v>
      </c>
      <c r="I158" s="194" t="n">
        <v>-0.215</v>
      </c>
      <c r="J158" s="194" t="n">
        <v>-0.26</v>
      </c>
      <c r="K158" s="194" t="n">
        <v>-0.12</v>
      </c>
      <c r="L158" s="194" t="n">
        <v>-0.038</v>
      </c>
      <c r="M158" s="194" t="n">
        <v>-0.058</v>
      </c>
      <c r="N158" s="194" t="n">
        <v>-0.165</v>
      </c>
      <c r="O158" s="194" t="n">
        <v>-0.195</v>
      </c>
      <c r="P158" s="192" t="n">
        <v>-0.195</v>
      </c>
      <c r="Q158" s="192" t="n">
        <v>-0.054</v>
      </c>
      <c r="R158" s="192" t="n">
        <v>-0.038</v>
      </c>
      <c r="S158" s="192" t="n">
        <v>0.268</v>
      </c>
      <c r="T158" s="192" t="n">
        <v>0.268</v>
      </c>
      <c r="U158" s="192" t="n">
        <v>0.173</v>
      </c>
      <c r="V158" s="192" t="n">
        <v>0</v>
      </c>
      <c r="W158" s="196" t="n">
        <v>0.1925</v>
      </c>
      <c r="X158" s="196" t="n">
        <v>0.2025</v>
      </c>
      <c r="Y158" s="196" t="n">
        <v>-0.0115</v>
      </c>
      <c r="Z158" s="196" t="n">
        <v>-0.01925</v>
      </c>
      <c r="AA158" s="196" t="n">
        <v>0.01175</v>
      </c>
      <c r="AB158" s="196" t="n">
        <v>-0.00325</v>
      </c>
      <c r="AC158" s="196" t="n">
        <v>0.005</v>
      </c>
      <c r="AD158" s="196" t="n">
        <v>0.012</v>
      </c>
      <c r="AE158" s="196" t="n">
        <v>-0.06</v>
      </c>
      <c r="AF158" s="196" t="n">
        <v>-0.035</v>
      </c>
      <c r="AG158" s="197" t="n">
        <v>-0.0435</v>
      </c>
      <c r="AH158" s="196" t="n">
        <v>-0.013</v>
      </c>
      <c r="AI158" s="192" t="n">
        <v>-0.072</v>
      </c>
      <c r="AJ158" s="192" t="n">
        <v>-0.07</v>
      </c>
      <c r="AK158" s="192" t="n">
        <v>-0.003499999</v>
      </c>
      <c r="AL158" s="192" t="n">
        <v>0.009</v>
      </c>
      <c r="AM158" s="192" t="n">
        <v>0.395</v>
      </c>
      <c r="AN158" s="192" t="n">
        <v>0.02</v>
      </c>
      <c r="AO158" s="192" t="n">
        <v>-0.33</v>
      </c>
      <c r="AP158" s="192" t="n">
        <v>-0.12</v>
      </c>
      <c r="AQ158" s="192" t="n">
        <v>-0.19</v>
      </c>
      <c r="AR158" s="192" t="n">
        <v>-0.29</v>
      </c>
      <c r="AS158" s="192" t="n">
        <v>0</v>
      </c>
      <c r="AT158" s="192" t="n">
        <v>0</v>
      </c>
      <c r="AU158" s="192" t="n">
        <v>0.295</v>
      </c>
      <c r="AV158" s="192" t="n">
        <v>-0.33</v>
      </c>
      <c r="AW158" s="192" t="n">
        <v>-0.082</v>
      </c>
      <c r="AX158" s="192" t="n">
        <v>0</v>
      </c>
      <c r="AY158" s="192" t="n">
        <v>-0.082</v>
      </c>
      <c r="AZ158" s="192" t="n">
        <v>-0.038</v>
      </c>
      <c r="BA158" s="192" t="n">
        <v>-0.0695</v>
      </c>
      <c r="BB158" s="192" t="n">
        <v>-0.013</v>
      </c>
      <c r="BC158" s="192" t="n">
        <v>-0.043</v>
      </c>
      <c r="BD158" s="192" t="n">
        <v>-0.015</v>
      </c>
      <c r="BE158" s="192" t="n">
        <v>-0.06</v>
      </c>
      <c r="BF158" s="192" t="n">
        <v>-0.17</v>
      </c>
      <c r="BG158" s="192" t="n">
        <v>0.1625</v>
      </c>
      <c r="BH158" s="192" t="n">
        <v>0.298</v>
      </c>
      <c r="BI158" s="192" t="n">
        <v>0.298</v>
      </c>
      <c r="BJ158" s="192" t="n">
        <v>0.2975</v>
      </c>
    </row>
    <row r="159" customFormat="false" ht="12.75" hidden="false" customHeight="false" outlineLevel="0" collapsed="false">
      <c r="A159" s="194" t="e">
        <f aca="false">#REF!-B159</f>
        <v>#REF!</v>
      </c>
      <c r="B159" s="194" t="n">
        <v>3.638</v>
      </c>
      <c r="C159" s="200" t="n">
        <v>41456</v>
      </c>
      <c r="D159" s="194" t="n">
        <v>3.393</v>
      </c>
      <c r="E159" s="194" t="n">
        <v>0.15</v>
      </c>
      <c r="F159" s="194" t="n">
        <v>0.071118684719513</v>
      </c>
      <c r="G159" s="194" t="n">
        <v>-0.195</v>
      </c>
      <c r="H159" s="194" t="n">
        <v>-0.2</v>
      </c>
      <c r="I159" s="194" t="n">
        <v>-0.215</v>
      </c>
      <c r="J159" s="194" t="n">
        <v>-0.28</v>
      </c>
      <c r="K159" s="194" t="n">
        <v>-0.12</v>
      </c>
      <c r="L159" s="194" t="n">
        <v>-0.038</v>
      </c>
      <c r="M159" s="194" t="n">
        <v>-0.058</v>
      </c>
      <c r="N159" s="194" t="n">
        <v>-0.165</v>
      </c>
      <c r="O159" s="194" t="n">
        <v>-0.195</v>
      </c>
      <c r="P159" s="192" t="n">
        <v>-0.195</v>
      </c>
      <c r="Q159" s="192" t="n">
        <v>-0.05275</v>
      </c>
      <c r="R159" s="192" t="n">
        <v>-0.038</v>
      </c>
      <c r="S159" s="192" t="n">
        <v>0.258</v>
      </c>
      <c r="T159" s="192" t="n">
        <v>0.258</v>
      </c>
      <c r="U159" s="192" t="n">
        <v>0.163</v>
      </c>
      <c r="V159" s="192" t="n">
        <v>0</v>
      </c>
      <c r="W159" s="196" t="n">
        <v>0.1925</v>
      </c>
      <c r="X159" s="196" t="n">
        <v>0.215</v>
      </c>
      <c r="Y159" s="196" t="n">
        <v>-0.0115</v>
      </c>
      <c r="Z159" s="196" t="n">
        <v>-0.01925</v>
      </c>
      <c r="AA159" s="196" t="n">
        <v>0.01175</v>
      </c>
      <c r="AB159" s="196" t="n">
        <v>-0.00325</v>
      </c>
      <c r="AC159" s="196" t="n">
        <v>0.005</v>
      </c>
      <c r="AD159" s="196" t="n">
        <v>0.012</v>
      </c>
      <c r="AE159" s="196" t="n">
        <v>-0.06</v>
      </c>
      <c r="AF159" s="196" t="n">
        <v>-0.035</v>
      </c>
      <c r="AG159" s="197" t="n">
        <v>-0.0435</v>
      </c>
      <c r="AH159" s="196" t="n">
        <v>-0.013</v>
      </c>
      <c r="AI159" s="192" t="n">
        <v>-0.065</v>
      </c>
      <c r="AJ159" s="192" t="n">
        <v>-0.0675</v>
      </c>
      <c r="AK159" s="192" t="n">
        <v>-0.003499999</v>
      </c>
      <c r="AL159" s="192" t="n">
        <v>0.009</v>
      </c>
      <c r="AM159" s="192" t="n">
        <v>0.43</v>
      </c>
      <c r="AN159" s="192" t="n">
        <v>0.0225</v>
      </c>
      <c r="AO159" s="192" t="n">
        <v>-0.33</v>
      </c>
      <c r="AP159" s="192" t="n">
        <v>-0.12</v>
      </c>
      <c r="AQ159" s="192" t="n">
        <v>-0.19</v>
      </c>
      <c r="AR159" s="192" t="n">
        <v>-0.29</v>
      </c>
      <c r="AS159" s="192" t="n">
        <v>0</v>
      </c>
      <c r="AT159" s="192" t="n">
        <v>0</v>
      </c>
      <c r="AU159" s="192" t="n">
        <v>0.295</v>
      </c>
      <c r="AV159" s="192" t="n">
        <v>-0.33</v>
      </c>
      <c r="AW159" s="192" t="n">
        <v>-0.0895</v>
      </c>
      <c r="AX159" s="192" t="n">
        <v>0</v>
      </c>
      <c r="AY159" s="192" t="n">
        <v>-0.0895</v>
      </c>
      <c r="AZ159" s="192" t="n">
        <v>-0.038</v>
      </c>
      <c r="BA159" s="192" t="n">
        <v>-0.0645</v>
      </c>
      <c r="BB159" s="192" t="n">
        <v>-0.013</v>
      </c>
      <c r="BC159" s="192" t="n">
        <v>-0.043</v>
      </c>
      <c r="BD159" s="192" t="n">
        <v>-0.0125</v>
      </c>
      <c r="BE159" s="192" t="n">
        <v>-0.06</v>
      </c>
      <c r="BF159" s="192" t="n">
        <v>-0.17</v>
      </c>
      <c r="BG159" s="192" t="n">
        <v>0.1625</v>
      </c>
      <c r="BH159" s="192" t="n">
        <v>0.288</v>
      </c>
      <c r="BI159" s="192" t="n">
        <v>0.288</v>
      </c>
      <c r="BJ159" s="192" t="n">
        <v>0.31</v>
      </c>
    </row>
    <row r="160" customFormat="false" ht="12.75" hidden="false" customHeight="false" outlineLevel="0" collapsed="false">
      <c r="A160" s="194" t="e">
        <f aca="false">#REF!-B160</f>
        <v>#REF!</v>
      </c>
      <c r="B160" s="194" t="n">
        <v>3.62</v>
      </c>
      <c r="C160" s="200" t="n">
        <v>41487</v>
      </c>
      <c r="D160" s="194" t="n">
        <v>3.4</v>
      </c>
      <c r="E160" s="194" t="n">
        <v>0.15</v>
      </c>
      <c r="F160" s="194" t="n">
        <v>0.071128501023016</v>
      </c>
      <c r="G160" s="194" t="n">
        <v>-0.195</v>
      </c>
      <c r="H160" s="194" t="n">
        <v>-0.2</v>
      </c>
      <c r="I160" s="194" t="n">
        <v>-0.215</v>
      </c>
      <c r="J160" s="194" t="n">
        <v>-0.28</v>
      </c>
      <c r="K160" s="194" t="n">
        <v>-0.12</v>
      </c>
      <c r="L160" s="194" t="n">
        <v>-0.038</v>
      </c>
      <c r="M160" s="194" t="n">
        <v>-0.058</v>
      </c>
      <c r="N160" s="194" t="n">
        <v>-0.165</v>
      </c>
      <c r="O160" s="194" t="n">
        <v>-0.195</v>
      </c>
      <c r="P160" s="192" t="n">
        <v>-0.195</v>
      </c>
      <c r="Q160" s="192" t="n">
        <v>-0.0515</v>
      </c>
      <c r="R160" s="192" t="n">
        <v>-0.038</v>
      </c>
      <c r="S160" s="192" t="n">
        <v>0.255</v>
      </c>
      <c r="T160" s="192" t="n">
        <v>0.255</v>
      </c>
      <c r="U160" s="192" t="n">
        <v>0.16</v>
      </c>
      <c r="V160" s="192" t="n">
        <v>0</v>
      </c>
      <c r="W160" s="196" t="n">
        <v>0.1925</v>
      </c>
      <c r="X160" s="196" t="n">
        <v>0.215</v>
      </c>
      <c r="Y160" s="196" t="n">
        <v>-0.0115</v>
      </c>
      <c r="Z160" s="196" t="n">
        <v>-0.01925</v>
      </c>
      <c r="AA160" s="196" t="n">
        <v>0.01175</v>
      </c>
      <c r="AB160" s="196" t="n">
        <v>-0.00325</v>
      </c>
      <c r="AC160" s="196" t="n">
        <v>0.005</v>
      </c>
      <c r="AD160" s="196" t="n">
        <v>0.012</v>
      </c>
      <c r="AE160" s="196" t="n">
        <v>-0.06</v>
      </c>
      <c r="AF160" s="196" t="n">
        <v>-0.035</v>
      </c>
      <c r="AG160" s="197" t="n">
        <v>-0.0435</v>
      </c>
      <c r="AH160" s="196" t="n">
        <v>-0.013</v>
      </c>
      <c r="AI160" s="192" t="n">
        <v>-0.046</v>
      </c>
      <c r="AJ160" s="192" t="n">
        <v>-0.065</v>
      </c>
      <c r="AK160" s="192" t="n">
        <v>-0.003499999</v>
      </c>
      <c r="AL160" s="192" t="n">
        <v>0.009</v>
      </c>
      <c r="AM160" s="192" t="n">
        <v>0.495</v>
      </c>
      <c r="AN160" s="192" t="n">
        <v>0.025</v>
      </c>
      <c r="AO160" s="192" t="n">
        <v>-0.33</v>
      </c>
      <c r="AP160" s="192" t="n">
        <v>-0.12</v>
      </c>
      <c r="AQ160" s="192" t="n">
        <v>-0.19</v>
      </c>
      <c r="AR160" s="192" t="n">
        <v>-0.29</v>
      </c>
      <c r="AS160" s="192" t="n">
        <v>0</v>
      </c>
      <c r="AT160" s="192" t="n">
        <v>0</v>
      </c>
      <c r="AU160" s="192" t="n">
        <v>0.295</v>
      </c>
      <c r="AV160" s="192" t="n">
        <v>-0.33</v>
      </c>
      <c r="AW160" s="192" t="n">
        <v>-0.077</v>
      </c>
      <c r="AX160" s="192" t="n">
        <v>0</v>
      </c>
      <c r="AY160" s="192" t="n">
        <v>-0.077</v>
      </c>
      <c r="AZ160" s="192" t="n">
        <v>-0.038</v>
      </c>
      <c r="BA160" s="192" t="n">
        <v>-0.0645</v>
      </c>
      <c r="BB160" s="192" t="n">
        <v>-0.013</v>
      </c>
      <c r="BC160" s="192" t="n">
        <v>-0.043</v>
      </c>
      <c r="BD160" s="192" t="n">
        <v>-0.01</v>
      </c>
      <c r="BE160" s="192" t="n">
        <v>-0.06</v>
      </c>
      <c r="BF160" s="192" t="n">
        <v>-0.17</v>
      </c>
      <c r="BG160" s="192" t="n">
        <v>0.1625</v>
      </c>
      <c r="BH160" s="192" t="n">
        <v>0.285</v>
      </c>
      <c r="BI160" s="192" t="n">
        <v>0.285</v>
      </c>
      <c r="BJ160" s="192" t="n">
        <v>0.31</v>
      </c>
    </row>
    <row r="161" customFormat="false" ht="12.75" hidden="false" customHeight="false" outlineLevel="0" collapsed="false">
      <c r="A161" s="194" t="e">
        <f aca="false">#REF!-B161</f>
        <v>#REF!</v>
      </c>
      <c r="B161" s="194" t="n">
        <v>3.61</v>
      </c>
      <c r="C161" s="200" t="n">
        <v>41518</v>
      </c>
      <c r="D161" s="194" t="n">
        <v>3.38</v>
      </c>
      <c r="E161" s="194" t="n">
        <v>0.15</v>
      </c>
      <c r="F161" s="194" t="n">
        <v>0.07113831732655</v>
      </c>
      <c r="G161" s="194" t="n">
        <v>-0.195</v>
      </c>
      <c r="H161" s="194" t="n">
        <v>-0.2</v>
      </c>
      <c r="I161" s="194" t="n">
        <v>-0.205</v>
      </c>
      <c r="J161" s="194" t="n">
        <v>-0.28</v>
      </c>
      <c r="K161" s="194" t="n">
        <v>-0.11</v>
      </c>
      <c r="L161" s="194" t="n">
        <v>-0.038</v>
      </c>
      <c r="M161" s="194" t="n">
        <v>-0.058</v>
      </c>
      <c r="N161" s="194" t="n">
        <v>-0.165</v>
      </c>
      <c r="O161" s="194" t="n">
        <v>-0.195</v>
      </c>
      <c r="P161" s="192" t="n">
        <v>-0.195</v>
      </c>
      <c r="Q161" s="192" t="n">
        <v>-0.05525</v>
      </c>
      <c r="R161" s="192" t="n">
        <v>-0.038</v>
      </c>
      <c r="S161" s="192" t="n">
        <v>0.253</v>
      </c>
      <c r="T161" s="192" t="n">
        <v>0.253</v>
      </c>
      <c r="U161" s="192" t="n">
        <v>0.158</v>
      </c>
      <c r="V161" s="192" t="n">
        <v>0</v>
      </c>
      <c r="W161" s="196" t="n">
        <v>0.1925</v>
      </c>
      <c r="X161" s="196" t="n">
        <v>0.195</v>
      </c>
      <c r="Y161" s="196" t="n">
        <v>-0.0115</v>
      </c>
      <c r="Z161" s="196" t="n">
        <v>-0.01925</v>
      </c>
      <c r="AA161" s="196" t="n">
        <v>0.01175</v>
      </c>
      <c r="AB161" s="196" t="n">
        <v>-0.00325</v>
      </c>
      <c r="AC161" s="196" t="n">
        <v>0.005</v>
      </c>
      <c r="AD161" s="196" t="n">
        <v>0.012</v>
      </c>
      <c r="AE161" s="196" t="n">
        <v>-0.06</v>
      </c>
      <c r="AF161" s="196" t="n">
        <v>-0.035</v>
      </c>
      <c r="AG161" s="197" t="n">
        <v>-0.0435</v>
      </c>
      <c r="AH161" s="196" t="n">
        <v>-0.013</v>
      </c>
      <c r="AI161" s="192" t="n">
        <v>-0.044</v>
      </c>
      <c r="AJ161" s="192" t="n">
        <v>-0.0725</v>
      </c>
      <c r="AK161" s="192" t="n">
        <v>-0.003499999</v>
      </c>
      <c r="AL161" s="192" t="n">
        <v>0.009</v>
      </c>
      <c r="AM161" s="192" t="n">
        <v>0.395</v>
      </c>
      <c r="AN161" s="192" t="n">
        <v>0.0175</v>
      </c>
      <c r="AO161" s="192" t="n">
        <v>-0.33</v>
      </c>
      <c r="AP161" s="192" t="n">
        <v>-0.12</v>
      </c>
      <c r="AQ161" s="192" t="n">
        <v>-0.19</v>
      </c>
      <c r="AR161" s="192" t="n">
        <v>-0.29</v>
      </c>
      <c r="AS161" s="192" t="n">
        <v>0</v>
      </c>
      <c r="AT161" s="192" t="n">
        <v>0</v>
      </c>
      <c r="AU161" s="192" t="n">
        <v>0.295</v>
      </c>
      <c r="AV161" s="192" t="n">
        <v>-0.33</v>
      </c>
      <c r="AW161" s="192" t="n">
        <v>-0.082</v>
      </c>
      <c r="AX161" s="192" t="n">
        <v>0</v>
      </c>
      <c r="AY161" s="192" t="n">
        <v>-0.082</v>
      </c>
      <c r="AZ161" s="192" t="n">
        <v>-0.038</v>
      </c>
      <c r="BA161" s="192" t="n">
        <v>-0.0795</v>
      </c>
      <c r="BB161" s="192" t="n">
        <v>-0.013</v>
      </c>
      <c r="BC161" s="192" t="n">
        <v>-0.043</v>
      </c>
      <c r="BD161" s="192" t="n">
        <v>-0.0175</v>
      </c>
      <c r="BE161" s="192" t="n">
        <v>-0.06</v>
      </c>
      <c r="BF161" s="192" t="n">
        <v>-0.17</v>
      </c>
      <c r="BG161" s="192" t="n">
        <v>0.1625</v>
      </c>
      <c r="BH161" s="192" t="n">
        <v>0.283</v>
      </c>
      <c r="BI161" s="192" t="n">
        <v>0.283</v>
      </c>
      <c r="BJ161" s="192" t="n">
        <v>0.3</v>
      </c>
    </row>
    <row r="162" customFormat="false" ht="12.75" hidden="false" customHeight="false" outlineLevel="0" collapsed="false">
      <c r="A162" s="194" t="e">
        <f aca="false">#REF!-B162</f>
        <v>#REF!</v>
      </c>
      <c r="B162" s="194" t="n">
        <v>3.675</v>
      </c>
      <c r="C162" s="200" t="n">
        <v>41548</v>
      </c>
      <c r="D162" s="194" t="n">
        <v>3.393</v>
      </c>
      <c r="E162" s="194" t="n">
        <v>0.15</v>
      </c>
      <c r="F162" s="194" t="n">
        <v>0.071147816975161</v>
      </c>
      <c r="G162" s="194" t="n">
        <v>-0.195</v>
      </c>
      <c r="H162" s="194" t="n">
        <v>-0.2</v>
      </c>
      <c r="I162" s="194" t="n">
        <v>-0.19</v>
      </c>
      <c r="J162" s="194" t="n">
        <v>-0.28</v>
      </c>
      <c r="K162" s="194" t="n">
        <v>-0.095</v>
      </c>
      <c r="L162" s="194" t="n">
        <v>-0.038</v>
      </c>
      <c r="M162" s="194" t="n">
        <v>-0.058</v>
      </c>
      <c r="N162" s="194" t="n">
        <v>-0.165</v>
      </c>
      <c r="O162" s="194" t="n">
        <v>-0.195</v>
      </c>
      <c r="P162" s="192" t="n">
        <v>-0.195</v>
      </c>
      <c r="Q162" s="192" t="n">
        <v>-0.06025</v>
      </c>
      <c r="R162" s="192" t="n">
        <v>-0.038</v>
      </c>
      <c r="S162" s="192" t="n">
        <v>0.268</v>
      </c>
      <c r="T162" s="192" t="n">
        <v>0.268</v>
      </c>
      <c r="U162" s="192" t="n">
        <v>0.173</v>
      </c>
      <c r="V162" s="192" t="n">
        <v>0</v>
      </c>
      <c r="W162" s="196" t="n">
        <v>0.1975</v>
      </c>
      <c r="X162" s="196" t="n">
        <v>0.215</v>
      </c>
      <c r="Y162" s="196" t="n">
        <v>-0.0115</v>
      </c>
      <c r="Z162" s="196" t="n">
        <v>-0.01925</v>
      </c>
      <c r="AA162" s="196" t="n">
        <v>-0.0065</v>
      </c>
      <c r="AB162" s="196" t="n">
        <v>-0.0215</v>
      </c>
      <c r="AC162" s="196" t="n">
        <v>0.005</v>
      </c>
      <c r="AD162" s="196" t="n">
        <v>0.012</v>
      </c>
      <c r="AE162" s="196" t="n">
        <v>-0.06</v>
      </c>
      <c r="AF162" s="196" t="n">
        <v>-0.035</v>
      </c>
      <c r="AG162" s="197" t="n">
        <v>-0.0435</v>
      </c>
      <c r="AH162" s="196" t="n">
        <v>-0.013</v>
      </c>
      <c r="AI162" s="192" t="n">
        <v>-0.046</v>
      </c>
      <c r="AJ162" s="192" t="n">
        <v>-0.0825</v>
      </c>
      <c r="AK162" s="192" t="n">
        <v>-0.003499999</v>
      </c>
      <c r="AL162" s="192" t="n">
        <v>0.009</v>
      </c>
      <c r="AM162" s="192" t="n">
        <v>0.461</v>
      </c>
      <c r="AN162" s="192" t="n">
        <v>0.0075</v>
      </c>
      <c r="AO162" s="192" t="n">
        <v>-0.33</v>
      </c>
      <c r="AP162" s="192" t="n">
        <v>-0.12</v>
      </c>
      <c r="AQ162" s="192" t="n">
        <v>-0.19</v>
      </c>
      <c r="AR162" s="192" t="n">
        <v>-0.29</v>
      </c>
      <c r="AS162" s="192" t="n">
        <v>0</v>
      </c>
      <c r="AT162" s="192" t="n">
        <v>0</v>
      </c>
      <c r="AU162" s="192" t="n">
        <v>0.295</v>
      </c>
      <c r="AV162" s="192" t="n">
        <v>-0.33</v>
      </c>
      <c r="AW162" s="192" t="n">
        <v>-0.092</v>
      </c>
      <c r="AX162" s="192" t="n">
        <v>0</v>
      </c>
      <c r="AY162" s="192" t="n">
        <v>-0.092</v>
      </c>
      <c r="AZ162" s="192" t="n">
        <v>-0.038</v>
      </c>
      <c r="BA162" s="192" t="n">
        <v>-0.082</v>
      </c>
      <c r="BB162" s="192" t="n">
        <v>-0.013</v>
      </c>
      <c r="BC162" s="192" t="n">
        <v>-0.043</v>
      </c>
      <c r="BD162" s="192" t="n">
        <v>-0.0275</v>
      </c>
      <c r="BE162" s="192" t="n">
        <v>-0.06</v>
      </c>
      <c r="BF162" s="192" t="n">
        <v>-0.17</v>
      </c>
      <c r="BG162" s="192" t="n">
        <v>0.1625</v>
      </c>
      <c r="BH162" s="192" t="n">
        <v>0.298</v>
      </c>
      <c r="BI162" s="192" t="n">
        <v>0.298</v>
      </c>
      <c r="BJ162" s="192" t="n">
        <v>0.37253</v>
      </c>
    </row>
    <row r="163" customFormat="false" ht="12.75" hidden="false" customHeight="false" outlineLevel="0" collapsed="false">
      <c r="A163" s="194" t="e">
        <f aca="false">#REF!-B163</f>
        <v>#REF!</v>
      </c>
      <c r="B163" s="194" t="n">
        <v>3.67</v>
      </c>
      <c r="C163" s="200" t="n">
        <v>41579</v>
      </c>
      <c r="D163" s="194" t="n">
        <v>3.435</v>
      </c>
      <c r="E163" s="194" t="n">
        <v>0.15</v>
      </c>
      <c r="F163" s="194" t="n">
        <v>0.071157633278758</v>
      </c>
      <c r="G163" s="194" t="n">
        <v>-0.19</v>
      </c>
      <c r="H163" s="194" t="n">
        <v>-0.195</v>
      </c>
      <c r="I163" s="194" t="n">
        <v>-0.1525</v>
      </c>
      <c r="J163" s="194" t="n">
        <v>-0.275</v>
      </c>
      <c r="K163" s="194" t="n">
        <v>-0.0575</v>
      </c>
      <c r="L163" s="194" t="n">
        <v>-0.0375</v>
      </c>
      <c r="M163" s="194" t="n">
        <v>-0.0725</v>
      </c>
      <c r="N163" s="194" t="n">
        <v>-0.16</v>
      </c>
      <c r="O163" s="194" t="n">
        <v>-0.19</v>
      </c>
      <c r="P163" s="192" t="n">
        <v>-0.19</v>
      </c>
      <c r="Q163" s="192" t="n">
        <v>-0.08</v>
      </c>
      <c r="R163" s="192" t="n">
        <v>-0.0375</v>
      </c>
      <c r="S163" s="192" t="n">
        <v>0.33</v>
      </c>
      <c r="T163" s="192" t="n">
        <v>0.33</v>
      </c>
      <c r="U163" s="192" t="n">
        <v>0.235</v>
      </c>
      <c r="V163" s="192" t="n">
        <v>0</v>
      </c>
      <c r="W163" s="196" t="n">
        <v>0.2725</v>
      </c>
      <c r="X163" s="196" t="n">
        <v>0.315</v>
      </c>
      <c r="Y163" s="196" t="n">
        <v>-0.0145</v>
      </c>
      <c r="Z163" s="196" t="n">
        <v>-0.0325</v>
      </c>
      <c r="AA163" s="196" t="n">
        <v>-0.0055</v>
      </c>
      <c r="AB163" s="196" t="n">
        <v>-0.0205</v>
      </c>
      <c r="AC163" s="196" t="n">
        <v>0.005</v>
      </c>
      <c r="AD163" s="196" t="n">
        <v>0.009</v>
      </c>
      <c r="AE163" s="196" t="n">
        <v>-0.06</v>
      </c>
      <c r="AF163" s="196" t="n">
        <v>-0.03</v>
      </c>
      <c r="AG163" s="197" t="n">
        <v>-0.0415</v>
      </c>
      <c r="AH163" s="196" t="n">
        <v>-0.009499999</v>
      </c>
      <c r="AI163" s="192" t="n">
        <v>-0.0585</v>
      </c>
      <c r="AJ163" s="192" t="n">
        <v>-0.1225</v>
      </c>
      <c r="AK163" s="192" t="n">
        <v>0.0015</v>
      </c>
      <c r="AL163" s="192" t="n">
        <v>0.016</v>
      </c>
      <c r="AM163" s="192" t="n">
        <v>0.885</v>
      </c>
      <c r="AN163" s="192" t="n">
        <v>-0.0325</v>
      </c>
      <c r="AO163" s="192" t="n">
        <v>-0.255</v>
      </c>
      <c r="AP163" s="192" t="n">
        <v>-0.1325</v>
      </c>
      <c r="AQ163" s="192" t="n">
        <v>-0.19</v>
      </c>
      <c r="AR163" s="192" t="n">
        <v>0</v>
      </c>
      <c r="AS163" s="192" t="n">
        <v>0</v>
      </c>
      <c r="AT163" s="192" t="n">
        <v>0</v>
      </c>
      <c r="AU163" s="192" t="n">
        <v>0.12</v>
      </c>
      <c r="AV163" s="192" t="n">
        <v>-0.255</v>
      </c>
      <c r="AW163" s="192" t="n">
        <v>-0.1045</v>
      </c>
      <c r="AX163" s="192" t="n">
        <v>0</v>
      </c>
      <c r="AY163" s="192" t="n">
        <v>-0.1045</v>
      </c>
      <c r="AZ163" s="192" t="n">
        <v>-0.0375</v>
      </c>
      <c r="BA163" s="192" t="n">
        <v>-0.087</v>
      </c>
      <c r="BB163" s="192" t="n">
        <v>-0.0145</v>
      </c>
      <c r="BC163" s="192" t="n">
        <v>-0.0575</v>
      </c>
      <c r="BD163" s="192" t="n">
        <v>-0.0675</v>
      </c>
      <c r="BE163" s="192" t="n">
        <v>-0.06</v>
      </c>
      <c r="BF163" s="192" t="n">
        <v>-0.17</v>
      </c>
      <c r="BG163" s="192" t="n">
        <v>0.295</v>
      </c>
      <c r="BH163" s="192" t="n">
        <v>0.375</v>
      </c>
      <c r="BI163" s="192" t="n">
        <v>0.375</v>
      </c>
      <c r="BJ163" s="192" t="n">
        <v>0.56</v>
      </c>
    </row>
    <row r="164" customFormat="false" ht="12.75" hidden="false" customHeight="false" outlineLevel="0" collapsed="false">
      <c r="A164" s="194" t="e">
        <f aca="false">#REF!-B164</f>
        <v>#REF!</v>
      </c>
      <c r="B164" s="194" t="n">
        <v>3.65</v>
      </c>
      <c r="C164" s="200" t="n">
        <v>41609</v>
      </c>
      <c r="D164" s="194" t="n">
        <v>3.481</v>
      </c>
      <c r="E164" s="194" t="n">
        <v>0.15</v>
      </c>
      <c r="F164" s="194" t="n">
        <v>0.07116713292743</v>
      </c>
      <c r="G164" s="194" t="n">
        <v>-0.1975</v>
      </c>
      <c r="H164" s="194" t="n">
        <v>-0.2025</v>
      </c>
      <c r="I164" s="194" t="n">
        <v>-0.145</v>
      </c>
      <c r="J164" s="194" t="n">
        <v>-0.2825</v>
      </c>
      <c r="K164" s="194" t="n">
        <v>-0.05</v>
      </c>
      <c r="L164" s="194" t="n">
        <v>-0.0375</v>
      </c>
      <c r="M164" s="194" t="n">
        <v>-0.0725</v>
      </c>
      <c r="N164" s="194" t="n">
        <v>-0.1675</v>
      </c>
      <c r="O164" s="194" t="n">
        <v>-0.1975</v>
      </c>
      <c r="P164" s="192" t="n">
        <v>-0.1975</v>
      </c>
      <c r="Q164" s="192" t="n">
        <v>-0.09125</v>
      </c>
      <c r="R164" s="192" t="n">
        <v>-0.0375</v>
      </c>
      <c r="S164" s="192" t="n">
        <v>0.37</v>
      </c>
      <c r="T164" s="192" t="n">
        <v>0.37</v>
      </c>
      <c r="U164" s="192" t="n">
        <v>0.275</v>
      </c>
      <c r="V164" s="192" t="n">
        <v>0</v>
      </c>
      <c r="W164" s="196" t="n">
        <v>0.3075</v>
      </c>
      <c r="X164" s="196" t="n">
        <v>0.395</v>
      </c>
      <c r="Y164" s="196" t="n">
        <v>-0.0145</v>
      </c>
      <c r="Z164" s="196" t="n">
        <v>-0.025</v>
      </c>
      <c r="AA164" s="196" t="n">
        <v>-0.0055</v>
      </c>
      <c r="AB164" s="196" t="n">
        <v>-0.0205</v>
      </c>
      <c r="AC164" s="196" t="n">
        <v>0.005</v>
      </c>
      <c r="AD164" s="196" t="n">
        <v>0.009</v>
      </c>
      <c r="AE164" s="196" t="n">
        <v>-0.06</v>
      </c>
      <c r="AF164" s="196" t="n">
        <v>-0.03</v>
      </c>
      <c r="AG164" s="197" t="n">
        <v>-0.0415</v>
      </c>
      <c r="AH164" s="196" t="n">
        <v>-0.009499999</v>
      </c>
      <c r="AI164" s="192" t="n">
        <v>-0.0585</v>
      </c>
      <c r="AJ164" s="192" t="n">
        <v>-0.145</v>
      </c>
      <c r="AK164" s="192" t="n">
        <v>0.0015</v>
      </c>
      <c r="AL164" s="192" t="n">
        <v>0.016</v>
      </c>
      <c r="AM164" s="192" t="n">
        <v>1.31</v>
      </c>
      <c r="AN164" s="192" t="n">
        <v>-0.055</v>
      </c>
      <c r="AO164" s="192" t="n">
        <v>-0.255</v>
      </c>
      <c r="AP164" s="192" t="n">
        <v>-0.1275</v>
      </c>
      <c r="AQ164" s="192" t="n">
        <v>-0.19</v>
      </c>
      <c r="AR164" s="192" t="n">
        <v>0.06</v>
      </c>
      <c r="AS164" s="192" t="n">
        <v>0</v>
      </c>
      <c r="AT164" s="192" t="n">
        <v>0</v>
      </c>
      <c r="AU164" s="192" t="n">
        <v>0.12</v>
      </c>
      <c r="AV164" s="192" t="n">
        <v>-0.255</v>
      </c>
      <c r="AW164" s="192" t="n">
        <v>-0.1295</v>
      </c>
      <c r="AX164" s="192" t="n">
        <v>0</v>
      </c>
      <c r="AY164" s="192" t="n">
        <v>-0.1295</v>
      </c>
      <c r="AZ164" s="192" t="n">
        <v>-0.0375</v>
      </c>
      <c r="BA164" s="192" t="n">
        <v>-0.1195</v>
      </c>
      <c r="BB164" s="192" t="n">
        <v>-0.0145</v>
      </c>
      <c r="BC164" s="192" t="n">
        <v>-0.0575</v>
      </c>
      <c r="BD164" s="192" t="n">
        <v>-0.09</v>
      </c>
      <c r="BE164" s="192" t="n">
        <v>-0.06</v>
      </c>
      <c r="BF164" s="192" t="n">
        <v>-0.17</v>
      </c>
      <c r="BG164" s="192" t="n">
        <v>0.25</v>
      </c>
      <c r="BH164" s="192" t="n">
        <v>0.415</v>
      </c>
      <c r="BI164" s="192" t="n">
        <v>0.415</v>
      </c>
      <c r="BJ164" s="192" t="n">
        <v>0.91</v>
      </c>
    </row>
    <row r="165" customFormat="false" ht="12.75" hidden="false" customHeight="false" outlineLevel="0" collapsed="false">
      <c r="A165" s="194" t="e">
        <f aca="false">#REF!-B165</f>
        <v>#REF!</v>
      </c>
      <c r="B165" s="194" t="n">
        <v>3.658</v>
      </c>
      <c r="C165" s="200" t="n">
        <v>41640</v>
      </c>
      <c r="D165" s="194" t="n">
        <v>3.914</v>
      </c>
      <c r="E165" s="194" t="n">
        <v>0.15</v>
      </c>
      <c r="F165" s="194" t="n">
        <v>0.07117694923109</v>
      </c>
      <c r="G165" s="194" t="n">
        <v>-0.2</v>
      </c>
      <c r="H165" s="194" t="n">
        <v>-0.205</v>
      </c>
      <c r="I165" s="194" t="n">
        <v>-0.13</v>
      </c>
      <c r="J165" s="194" t="n">
        <v>-0.265</v>
      </c>
      <c r="K165" s="194" t="n">
        <v>-0.035</v>
      </c>
      <c r="L165" s="194" t="n">
        <v>-0.0375</v>
      </c>
      <c r="M165" s="194" t="n">
        <v>-0.0725</v>
      </c>
      <c r="N165" s="194" t="n">
        <v>-0.17</v>
      </c>
      <c r="O165" s="194" t="n">
        <v>-0.2</v>
      </c>
      <c r="P165" s="192" t="n">
        <v>-0.2</v>
      </c>
      <c r="Q165" s="192" t="n">
        <v>-0.0925</v>
      </c>
      <c r="R165" s="192" t="n">
        <v>-0.0375</v>
      </c>
      <c r="S165" s="192" t="n">
        <v>0.38</v>
      </c>
      <c r="T165" s="192" t="n">
        <v>0.38</v>
      </c>
      <c r="U165" s="192" t="n">
        <v>0.285</v>
      </c>
      <c r="V165" s="192" t="n">
        <v>0</v>
      </c>
      <c r="W165" s="196" t="n">
        <v>0.3125</v>
      </c>
      <c r="X165" s="196" t="n">
        <v>0.465</v>
      </c>
      <c r="Y165" s="196" t="n">
        <v>-0.009999999</v>
      </c>
      <c r="Z165" s="196" t="n">
        <v>-0.025</v>
      </c>
      <c r="AA165" s="196" t="n">
        <v>-0.0055</v>
      </c>
      <c r="AB165" s="196" t="n">
        <v>-0.0205</v>
      </c>
      <c r="AC165" s="196" t="n">
        <v>0.005</v>
      </c>
      <c r="AD165" s="196" t="n">
        <v>0.009</v>
      </c>
      <c r="AE165" s="196" t="n">
        <v>-0.06</v>
      </c>
      <c r="AF165" s="196" t="n">
        <v>-0.028</v>
      </c>
      <c r="AG165" s="197" t="n">
        <v>-0.0415</v>
      </c>
      <c r="AH165" s="196" t="n">
        <v>-0.009499999</v>
      </c>
      <c r="AI165" s="192" t="n">
        <v>-0.0515</v>
      </c>
      <c r="AJ165" s="192" t="n">
        <v>-0.1475</v>
      </c>
      <c r="AK165" s="192" t="n">
        <v>0.006</v>
      </c>
      <c r="AL165" s="192" t="n">
        <v>0.016</v>
      </c>
      <c r="AM165" s="192" t="n">
        <v>1.645</v>
      </c>
      <c r="AN165" s="192" t="n">
        <v>-0.0575</v>
      </c>
      <c r="AO165" s="192" t="n">
        <v>-0.25</v>
      </c>
      <c r="AP165" s="192" t="n">
        <v>-0.1275</v>
      </c>
      <c r="AQ165" s="192" t="n">
        <v>-0.19</v>
      </c>
      <c r="AR165" s="192" t="n">
        <v>0.13</v>
      </c>
      <c r="AS165" s="192" t="n">
        <v>0</v>
      </c>
      <c r="AT165" s="192" t="n">
        <v>0</v>
      </c>
      <c r="AU165" s="192" t="n">
        <v>0.12</v>
      </c>
      <c r="AV165" s="192" t="n">
        <v>-0.25</v>
      </c>
      <c r="AW165" s="192" t="n">
        <v>-0.1145</v>
      </c>
      <c r="AX165" s="192" t="n">
        <v>0</v>
      </c>
      <c r="AY165" s="192" t="n">
        <v>-0.1145</v>
      </c>
      <c r="AZ165" s="192" t="n">
        <v>-0.0375</v>
      </c>
      <c r="BA165" s="192" t="n">
        <v>-0.125</v>
      </c>
      <c r="BB165" s="192" t="n">
        <v>-0.0145</v>
      </c>
      <c r="BC165" s="192" t="n">
        <v>-0.0575</v>
      </c>
      <c r="BD165" s="192" t="n">
        <v>-0.0925</v>
      </c>
      <c r="BE165" s="192" t="n">
        <v>-0.06</v>
      </c>
      <c r="BF165" s="192" t="n">
        <v>-0.17</v>
      </c>
      <c r="BG165" s="192" t="n">
        <v>0.33</v>
      </c>
      <c r="BH165" s="192" t="n">
        <v>0.425</v>
      </c>
      <c r="BI165" s="192" t="n">
        <v>0.425</v>
      </c>
      <c r="BJ165" s="192" t="n">
        <v>1.235</v>
      </c>
    </row>
    <row r="166" customFormat="false" ht="12.75" hidden="false" customHeight="false" outlineLevel="0" collapsed="false">
      <c r="A166" s="194" t="e">
        <f aca="false">#REF!-B166</f>
        <v>#REF!</v>
      </c>
      <c r="B166" s="194" t="n">
        <v>3.72</v>
      </c>
      <c r="C166" s="200" t="n">
        <v>41671</v>
      </c>
      <c r="D166" s="194" t="n">
        <v>3.796</v>
      </c>
      <c r="E166" s="194" t="n">
        <v>0.15</v>
      </c>
      <c r="F166" s="194" t="n">
        <v>0.071186765534781</v>
      </c>
      <c r="G166" s="194" t="n">
        <v>-0.2025</v>
      </c>
      <c r="H166" s="194" t="n">
        <v>-0.2075</v>
      </c>
      <c r="I166" s="194" t="n">
        <v>-0.13</v>
      </c>
      <c r="J166" s="194" t="n">
        <v>-0.2675</v>
      </c>
      <c r="K166" s="194" t="n">
        <v>-0.035</v>
      </c>
      <c r="L166" s="194" t="n">
        <v>-0.0375</v>
      </c>
      <c r="M166" s="194" t="n">
        <v>-0.0725</v>
      </c>
      <c r="N166" s="194" t="n">
        <v>-0.1725</v>
      </c>
      <c r="O166" s="194" t="n">
        <v>-0.2025</v>
      </c>
      <c r="P166" s="192" t="n">
        <v>-0.2025</v>
      </c>
      <c r="Q166" s="192" t="n">
        <v>-0.08375</v>
      </c>
      <c r="R166" s="192" t="n">
        <v>-0.0375</v>
      </c>
      <c r="S166" s="192" t="n">
        <v>0.355</v>
      </c>
      <c r="T166" s="192" t="n">
        <v>0.355</v>
      </c>
      <c r="U166" s="192" t="n">
        <v>0.26</v>
      </c>
      <c r="V166" s="192" t="n">
        <v>0</v>
      </c>
      <c r="W166" s="196" t="n">
        <v>0.3125</v>
      </c>
      <c r="X166" s="196" t="n">
        <v>0.435</v>
      </c>
      <c r="Y166" s="196" t="n">
        <v>-0.009999999</v>
      </c>
      <c r="Z166" s="196" t="n">
        <v>-0.025</v>
      </c>
      <c r="AA166" s="196" t="n">
        <v>-0.0055</v>
      </c>
      <c r="AB166" s="196" t="n">
        <v>-0.0205</v>
      </c>
      <c r="AC166" s="196" t="n">
        <v>0.005</v>
      </c>
      <c r="AD166" s="196" t="n">
        <v>0.009</v>
      </c>
      <c r="AE166" s="196" t="n">
        <v>-0.06</v>
      </c>
      <c r="AF166" s="196" t="n">
        <v>-0.028</v>
      </c>
      <c r="AG166" s="197" t="n">
        <v>-0.0415</v>
      </c>
      <c r="AH166" s="196" t="n">
        <v>-0.009499999</v>
      </c>
      <c r="AI166" s="192" t="n">
        <v>-0.0515</v>
      </c>
      <c r="AJ166" s="192" t="n">
        <v>-0.13</v>
      </c>
      <c r="AK166" s="192" t="n">
        <v>0.006</v>
      </c>
      <c r="AL166" s="192" t="n">
        <v>0.016</v>
      </c>
      <c r="AM166" s="192" t="n">
        <v>1.595</v>
      </c>
      <c r="AN166" s="192" t="n">
        <v>-0.04</v>
      </c>
      <c r="AO166" s="192" t="n">
        <v>-0.25</v>
      </c>
      <c r="AP166" s="192" t="n">
        <v>-0.1275</v>
      </c>
      <c r="AQ166" s="192" t="n">
        <v>-0.19</v>
      </c>
      <c r="AR166" s="192" t="n">
        <v>0</v>
      </c>
      <c r="AS166" s="192" t="n">
        <v>0</v>
      </c>
      <c r="AT166" s="192" t="n">
        <v>0</v>
      </c>
      <c r="AU166" s="192" t="n">
        <v>0.12</v>
      </c>
      <c r="AV166" s="192" t="n">
        <v>-0.25</v>
      </c>
      <c r="AW166" s="192" t="n">
        <v>-0.117</v>
      </c>
      <c r="AX166" s="192" t="n">
        <v>0</v>
      </c>
      <c r="AY166" s="192" t="n">
        <v>-0.117</v>
      </c>
      <c r="AZ166" s="192" t="n">
        <v>-0.0375</v>
      </c>
      <c r="BA166" s="192" t="n">
        <v>-0.1075</v>
      </c>
      <c r="BB166" s="192" t="n">
        <v>-0.0145</v>
      </c>
      <c r="BC166" s="192" t="n">
        <v>-0.0575</v>
      </c>
      <c r="BD166" s="192" t="n">
        <v>-0.075</v>
      </c>
      <c r="BE166" s="192" t="n">
        <v>-0.06</v>
      </c>
      <c r="BF166" s="192" t="n">
        <v>-0.17</v>
      </c>
      <c r="BG166" s="192" t="n">
        <v>0.375</v>
      </c>
      <c r="BH166" s="192" t="n">
        <v>0.4</v>
      </c>
      <c r="BI166" s="192" t="n">
        <v>0.4</v>
      </c>
      <c r="BJ166" s="192" t="n">
        <v>1.235</v>
      </c>
    </row>
    <row r="167" customFormat="false" ht="12.75" hidden="false" customHeight="false" outlineLevel="0" collapsed="false">
      <c r="A167" s="194" t="e">
        <f aca="false">#REF!-B167</f>
        <v>#REF!</v>
      </c>
      <c r="B167" s="194" t="n">
        <v>3.799</v>
      </c>
      <c r="C167" s="200" t="n">
        <v>41699</v>
      </c>
      <c r="D167" s="194" t="n">
        <v>3.646</v>
      </c>
      <c r="E167" s="194" t="n">
        <v>0.15</v>
      </c>
      <c r="F167" s="194" t="n">
        <v>0.071195631873627</v>
      </c>
      <c r="G167" s="194" t="n">
        <v>-0.205</v>
      </c>
      <c r="H167" s="194" t="n">
        <v>-0.21</v>
      </c>
      <c r="I167" s="194" t="n">
        <v>-0.13</v>
      </c>
      <c r="J167" s="194" t="n">
        <v>-0.27</v>
      </c>
      <c r="K167" s="194" t="n">
        <v>-0.035</v>
      </c>
      <c r="L167" s="194" t="n">
        <v>-0.0375</v>
      </c>
      <c r="M167" s="194" t="n">
        <v>-0.0725</v>
      </c>
      <c r="N167" s="194" t="n">
        <v>-0.175</v>
      </c>
      <c r="O167" s="194" t="n">
        <v>-0.205</v>
      </c>
      <c r="P167" s="192" t="n">
        <v>-0.205</v>
      </c>
      <c r="Q167" s="192" t="n">
        <v>-0.0775</v>
      </c>
      <c r="R167" s="192" t="n">
        <v>-0.0375</v>
      </c>
      <c r="S167" s="192" t="n">
        <v>0.353</v>
      </c>
      <c r="T167" s="192" t="n">
        <v>0.353</v>
      </c>
      <c r="U167" s="192" t="n">
        <v>0.258</v>
      </c>
      <c r="V167" s="192" t="n">
        <v>0</v>
      </c>
      <c r="W167" s="196" t="n">
        <v>0.27</v>
      </c>
      <c r="X167" s="196" t="n">
        <v>0.39</v>
      </c>
      <c r="Y167" s="196" t="n">
        <v>-0.009999999</v>
      </c>
      <c r="Z167" s="196" t="n">
        <v>-0.025</v>
      </c>
      <c r="AA167" s="196" t="n">
        <v>0.013</v>
      </c>
      <c r="AB167" s="196" t="n">
        <v>-0.001999999</v>
      </c>
      <c r="AC167" s="196" t="n">
        <v>0.005</v>
      </c>
      <c r="AD167" s="196" t="n">
        <v>0.009</v>
      </c>
      <c r="AE167" s="196" t="n">
        <v>-0.06</v>
      </c>
      <c r="AF167" s="196" t="n">
        <v>-0.028</v>
      </c>
      <c r="AG167" s="197" t="n">
        <v>-0.0415</v>
      </c>
      <c r="AH167" s="196" t="n">
        <v>-0.009499999</v>
      </c>
      <c r="AI167" s="192" t="n">
        <v>-0.0585</v>
      </c>
      <c r="AJ167" s="192" t="n">
        <v>-0.1175</v>
      </c>
      <c r="AK167" s="192" t="n">
        <v>0.006</v>
      </c>
      <c r="AL167" s="192" t="n">
        <v>0.016</v>
      </c>
      <c r="AM167" s="192" t="n">
        <v>0.965</v>
      </c>
      <c r="AN167" s="192" t="n">
        <v>-0.0275</v>
      </c>
      <c r="AO167" s="192" t="n">
        <v>-0.25</v>
      </c>
      <c r="AP167" s="192" t="n">
        <v>-0.1325</v>
      </c>
      <c r="AQ167" s="192" t="n">
        <v>-0.19</v>
      </c>
      <c r="AR167" s="192" t="n">
        <v>-0.18</v>
      </c>
      <c r="AS167" s="192" t="n">
        <v>0</v>
      </c>
      <c r="AT167" s="192" t="n">
        <v>0</v>
      </c>
      <c r="AU167" s="192" t="n">
        <v>0.12</v>
      </c>
      <c r="AV167" s="192" t="n">
        <v>-0.25</v>
      </c>
      <c r="AW167" s="192" t="n">
        <v>-0.0995</v>
      </c>
      <c r="AX167" s="192" t="n">
        <v>0</v>
      </c>
      <c r="AY167" s="192" t="n">
        <v>-0.0995</v>
      </c>
      <c r="AZ167" s="192" t="n">
        <v>-0.0375</v>
      </c>
      <c r="BA167" s="192" t="n">
        <v>-0.0925</v>
      </c>
      <c r="BB167" s="192" t="n">
        <v>-0.0145</v>
      </c>
      <c r="BC167" s="192" t="n">
        <v>-0.0575</v>
      </c>
      <c r="BD167" s="192" t="n">
        <v>-0.0625</v>
      </c>
      <c r="BE167" s="192" t="n">
        <v>-0.06</v>
      </c>
      <c r="BF167" s="192" t="n">
        <v>-0.17</v>
      </c>
      <c r="BG167" s="192" t="n">
        <v>0.375</v>
      </c>
      <c r="BH167" s="192" t="n">
        <v>0.398</v>
      </c>
      <c r="BI167" s="192" t="n">
        <v>0.398</v>
      </c>
      <c r="BJ167" s="192" t="n">
        <v>0.875</v>
      </c>
    </row>
    <row r="168" customFormat="false" ht="12.75" hidden="false" customHeight="false" outlineLevel="0" collapsed="false">
      <c r="A168" s="194" t="e">
        <f aca="false">#REF!-B168</f>
        <v>#REF!</v>
      </c>
      <c r="B168" s="194" t="n">
        <v>4.075</v>
      </c>
      <c r="C168" s="200" t="n">
        <v>41730</v>
      </c>
      <c r="D168" s="194" t="n">
        <v>3.489</v>
      </c>
      <c r="E168" s="194" t="n">
        <v>0.15</v>
      </c>
      <c r="F168" s="194" t="n">
        <v>0.071205448177378</v>
      </c>
      <c r="G168" s="194" t="n">
        <v>-0.195</v>
      </c>
      <c r="H168" s="194" t="n">
        <v>-0.2</v>
      </c>
      <c r="I168" s="194" t="n">
        <v>-0.175</v>
      </c>
      <c r="J168" s="194" t="n">
        <v>-0.26</v>
      </c>
      <c r="K168" s="194" t="n">
        <v>-0.08</v>
      </c>
      <c r="L168" s="194" t="n">
        <v>-0.03</v>
      </c>
      <c r="M168" s="194" t="n">
        <v>-0.0555</v>
      </c>
      <c r="N168" s="194" t="n">
        <v>-0.165</v>
      </c>
      <c r="O168" s="194" t="n">
        <v>-0.195</v>
      </c>
      <c r="P168" s="192" t="n">
        <v>-0.195</v>
      </c>
      <c r="Q168" s="192" t="n">
        <v>-0.055</v>
      </c>
      <c r="R168" s="192" t="n">
        <v>-0.035</v>
      </c>
      <c r="S168" s="192" t="n">
        <v>0.258</v>
      </c>
      <c r="T168" s="192" t="n">
        <v>0.258</v>
      </c>
      <c r="U168" s="192" t="n">
        <v>0.163</v>
      </c>
      <c r="V168" s="192" t="n">
        <v>0</v>
      </c>
      <c r="W168" s="196" t="n">
        <v>0.205</v>
      </c>
      <c r="X168" s="196" t="n">
        <v>0.25</v>
      </c>
      <c r="Y168" s="196" t="n">
        <v>-0.009499999</v>
      </c>
      <c r="Z168" s="196" t="n">
        <v>-0.0175</v>
      </c>
      <c r="AA168" s="196" t="n">
        <v>0.013</v>
      </c>
      <c r="AB168" s="196" t="n">
        <v>-0.001999999</v>
      </c>
      <c r="AC168" s="196" t="n">
        <v>0.005</v>
      </c>
      <c r="AD168" s="196" t="n">
        <v>0.014</v>
      </c>
      <c r="AE168" s="196" t="n">
        <v>-0.06</v>
      </c>
      <c r="AF168" s="196" t="n">
        <v>-0.033</v>
      </c>
      <c r="AG168" s="197" t="n">
        <v>-0.0415</v>
      </c>
      <c r="AH168" s="196" t="n">
        <v>-0.012</v>
      </c>
      <c r="AI168" s="192" t="n">
        <v>-0.054</v>
      </c>
      <c r="AJ168" s="192" t="n">
        <v>-0.075</v>
      </c>
      <c r="AK168" s="192" t="n">
        <v>-0.001499999</v>
      </c>
      <c r="AL168" s="192" t="n">
        <v>0.009</v>
      </c>
      <c r="AM168" s="192" t="n">
        <v>0.45</v>
      </c>
      <c r="AN168" s="192" t="n">
        <v>0.015</v>
      </c>
      <c r="AO168" s="192" t="n">
        <v>-0.31</v>
      </c>
      <c r="AP168" s="192" t="n">
        <v>-0.12</v>
      </c>
      <c r="AQ168" s="192" t="n">
        <v>-0.19</v>
      </c>
      <c r="AR168" s="192" t="n">
        <v>-0.29</v>
      </c>
      <c r="AS168" s="192" t="n">
        <v>0</v>
      </c>
      <c r="AT168" s="192" t="n">
        <v>0</v>
      </c>
      <c r="AU168" s="192" t="n">
        <v>0.295</v>
      </c>
      <c r="AV168" s="192" t="n">
        <v>-0.31</v>
      </c>
      <c r="AW168" s="192" t="n">
        <v>-0.09</v>
      </c>
      <c r="AX168" s="192" t="n">
        <v>0</v>
      </c>
      <c r="AY168" s="192" t="n">
        <v>-0.09</v>
      </c>
      <c r="AZ168" s="192" t="n">
        <v>-0.035</v>
      </c>
      <c r="BA168" s="192" t="n">
        <v>-0.0775</v>
      </c>
      <c r="BB168" s="192" t="n">
        <v>-0.012</v>
      </c>
      <c r="BC168" s="192" t="n">
        <v>-0.0405</v>
      </c>
      <c r="BD168" s="192" t="n">
        <v>-0.02</v>
      </c>
      <c r="BE168" s="192" t="n">
        <v>-0.06</v>
      </c>
      <c r="BF168" s="192" t="n">
        <v>-0.17</v>
      </c>
      <c r="BG168" s="192" t="n">
        <v>0.1625</v>
      </c>
      <c r="BH168" s="192" t="n">
        <v>0.288</v>
      </c>
      <c r="BI168" s="192" t="n">
        <v>0.288</v>
      </c>
      <c r="BJ168" s="192" t="n">
        <v>0.365</v>
      </c>
    </row>
    <row r="169" customFormat="false" ht="12.75" hidden="false" customHeight="false" outlineLevel="0" collapsed="false">
      <c r="A169" s="194" t="e">
        <f aca="false">#REF!-B169</f>
        <v>#REF!</v>
      </c>
      <c r="B169" s="194" t="n">
        <v>3.992</v>
      </c>
      <c r="C169" s="200" t="n">
        <v>41760</v>
      </c>
      <c r="D169" s="194" t="n">
        <v>3.45</v>
      </c>
      <c r="E169" s="194" t="n">
        <v>0.15</v>
      </c>
      <c r="F169" s="194" t="n">
        <v>0.0712149478262</v>
      </c>
      <c r="G169" s="194" t="n">
        <v>-0.195</v>
      </c>
      <c r="H169" s="194" t="n">
        <v>-0.2</v>
      </c>
      <c r="I169" s="194" t="n">
        <v>-0.205</v>
      </c>
      <c r="J169" s="194" t="n">
        <v>-0.26</v>
      </c>
      <c r="K169" s="194" t="n">
        <v>-0.095</v>
      </c>
      <c r="L169" s="194" t="n">
        <v>-0.03</v>
      </c>
      <c r="M169" s="194" t="n">
        <v>-0.0555</v>
      </c>
      <c r="N169" s="194" t="n">
        <v>-0.165</v>
      </c>
      <c r="O169" s="194" t="n">
        <v>-0.195</v>
      </c>
      <c r="P169" s="192" t="n">
        <v>-0.195</v>
      </c>
      <c r="Q169" s="192" t="n">
        <v>-0.055</v>
      </c>
      <c r="R169" s="192" t="n">
        <v>-0.035</v>
      </c>
      <c r="S169" s="192" t="n">
        <v>0.268</v>
      </c>
      <c r="T169" s="192" t="n">
        <v>0.268</v>
      </c>
      <c r="U169" s="192" t="n">
        <v>0.173</v>
      </c>
      <c r="V169" s="192" t="n">
        <v>0</v>
      </c>
      <c r="W169" s="196" t="n">
        <v>0.1925</v>
      </c>
      <c r="X169" s="196" t="n">
        <v>0.2025</v>
      </c>
      <c r="Y169" s="196" t="n">
        <v>-0.009499999</v>
      </c>
      <c r="Z169" s="196" t="n">
        <v>-0.01775</v>
      </c>
      <c r="AA169" s="196" t="n">
        <v>0.01275</v>
      </c>
      <c r="AB169" s="196" t="n">
        <v>-0.00225</v>
      </c>
      <c r="AC169" s="196" t="n">
        <v>0.005</v>
      </c>
      <c r="AD169" s="196" t="n">
        <v>0.014</v>
      </c>
      <c r="AE169" s="196" t="n">
        <v>-0.06</v>
      </c>
      <c r="AF169" s="196" t="n">
        <v>-0.033</v>
      </c>
      <c r="AG169" s="197" t="n">
        <v>-0.0415</v>
      </c>
      <c r="AH169" s="196" t="n">
        <v>-0.012</v>
      </c>
      <c r="AI169" s="192" t="n">
        <v>-0.054</v>
      </c>
      <c r="AJ169" s="192" t="n">
        <v>-0.075</v>
      </c>
      <c r="AK169" s="192" t="n">
        <v>-0.001499999</v>
      </c>
      <c r="AL169" s="192" t="n">
        <v>0.009</v>
      </c>
      <c r="AM169" s="192" t="n">
        <v>0.405</v>
      </c>
      <c r="AN169" s="192" t="n">
        <v>0.015</v>
      </c>
      <c r="AO169" s="192" t="n">
        <v>-0.31</v>
      </c>
      <c r="AP169" s="192" t="n">
        <v>-0.12</v>
      </c>
      <c r="AQ169" s="192" t="n">
        <v>-0.19</v>
      </c>
      <c r="AR169" s="192" t="n">
        <v>-0.29</v>
      </c>
      <c r="AS169" s="192" t="n">
        <v>0</v>
      </c>
      <c r="AT169" s="192" t="n">
        <v>0</v>
      </c>
      <c r="AU169" s="192" t="n">
        <v>0.295</v>
      </c>
      <c r="AV169" s="192" t="n">
        <v>-0.31</v>
      </c>
      <c r="AW169" s="192" t="n">
        <v>-0.0875</v>
      </c>
      <c r="AX169" s="192" t="n">
        <v>0</v>
      </c>
      <c r="AY169" s="192" t="n">
        <v>-0.0875</v>
      </c>
      <c r="AZ169" s="192" t="n">
        <v>-0.035</v>
      </c>
      <c r="BA169" s="192" t="n">
        <v>-0.0725</v>
      </c>
      <c r="BB169" s="192" t="n">
        <v>-0.012</v>
      </c>
      <c r="BC169" s="192" t="n">
        <v>-0.0405</v>
      </c>
      <c r="BD169" s="192" t="n">
        <v>-0.02</v>
      </c>
      <c r="BE169" s="192" t="n">
        <v>-0.06</v>
      </c>
      <c r="BF169" s="192" t="n">
        <v>-0.17</v>
      </c>
      <c r="BG169" s="192" t="n">
        <v>0.1625</v>
      </c>
      <c r="BH169" s="192" t="n">
        <v>0.298</v>
      </c>
      <c r="BI169" s="192" t="n">
        <v>0.298</v>
      </c>
      <c r="BJ169" s="192" t="n">
        <v>0.2975</v>
      </c>
    </row>
    <row r="170" customFormat="false" ht="12.75" hidden="false" customHeight="false" outlineLevel="0" collapsed="false">
      <c r="A170" s="194" t="e">
        <f aca="false">#REF!-B170</f>
        <v>#REF!</v>
      </c>
      <c r="B170" s="194" t="n">
        <v>3.867</v>
      </c>
      <c r="C170" s="200" t="n">
        <v>41791</v>
      </c>
      <c r="D170" s="194" t="n">
        <v>3.469</v>
      </c>
      <c r="E170" s="194" t="n">
        <v>0.15</v>
      </c>
      <c r="F170" s="194" t="n">
        <v>0.071224764130015</v>
      </c>
      <c r="G170" s="194" t="n">
        <v>-0.195</v>
      </c>
      <c r="H170" s="194" t="n">
        <v>-0.2</v>
      </c>
      <c r="I170" s="194" t="n">
        <v>-0.215</v>
      </c>
      <c r="J170" s="194" t="n">
        <v>-0.26</v>
      </c>
      <c r="K170" s="194" t="n">
        <v>-0.105</v>
      </c>
      <c r="L170" s="194" t="n">
        <v>-0.03</v>
      </c>
      <c r="M170" s="194" t="n">
        <v>-0.0555</v>
      </c>
      <c r="N170" s="194" t="n">
        <v>-0.165</v>
      </c>
      <c r="O170" s="194" t="n">
        <v>-0.195</v>
      </c>
      <c r="P170" s="192" t="n">
        <v>-0.195</v>
      </c>
      <c r="Q170" s="192" t="n">
        <v>-0.0525</v>
      </c>
      <c r="R170" s="192" t="n">
        <v>-0.035</v>
      </c>
      <c r="S170" s="192" t="n">
        <v>0.263</v>
      </c>
      <c r="T170" s="192" t="n">
        <v>0.263</v>
      </c>
      <c r="U170" s="192" t="n">
        <v>0.168</v>
      </c>
      <c r="V170" s="192" t="n">
        <v>0</v>
      </c>
      <c r="W170" s="196" t="n">
        <v>0.1925</v>
      </c>
      <c r="X170" s="196" t="n">
        <v>0.2025</v>
      </c>
      <c r="Y170" s="196" t="n">
        <v>-0.009499999</v>
      </c>
      <c r="Z170" s="196" t="n">
        <v>-0.01775</v>
      </c>
      <c r="AA170" s="196" t="n">
        <v>0.01275</v>
      </c>
      <c r="AB170" s="196" t="n">
        <v>-0.00225</v>
      </c>
      <c r="AC170" s="196" t="n">
        <v>0.005</v>
      </c>
      <c r="AD170" s="196" t="n">
        <v>0.014</v>
      </c>
      <c r="AE170" s="196" t="n">
        <v>-0.06</v>
      </c>
      <c r="AF170" s="196" t="n">
        <v>-0.033</v>
      </c>
      <c r="AG170" s="197" t="n">
        <v>-0.0415</v>
      </c>
      <c r="AH170" s="196" t="n">
        <v>-0.012</v>
      </c>
      <c r="AI170" s="192" t="n">
        <v>-0.07</v>
      </c>
      <c r="AJ170" s="192" t="n">
        <v>-0.07</v>
      </c>
      <c r="AK170" s="192" t="n">
        <v>-0.001499999</v>
      </c>
      <c r="AL170" s="192" t="n">
        <v>0.009</v>
      </c>
      <c r="AM170" s="192" t="n">
        <v>0.395</v>
      </c>
      <c r="AN170" s="192" t="n">
        <v>0.02</v>
      </c>
      <c r="AO170" s="192" t="n">
        <v>-0.31</v>
      </c>
      <c r="AP170" s="192" t="n">
        <v>-0.12</v>
      </c>
      <c r="AQ170" s="192" t="n">
        <v>-0.19</v>
      </c>
      <c r="AR170" s="192" t="n">
        <v>-0.29</v>
      </c>
      <c r="AS170" s="192" t="n">
        <v>0</v>
      </c>
      <c r="AT170" s="192" t="n">
        <v>0</v>
      </c>
      <c r="AU170" s="192" t="n">
        <v>0.295</v>
      </c>
      <c r="AV170" s="192" t="n">
        <v>-0.31</v>
      </c>
      <c r="AW170" s="192" t="n">
        <v>-0.08</v>
      </c>
      <c r="AX170" s="192" t="n">
        <v>0</v>
      </c>
      <c r="AY170" s="192" t="n">
        <v>-0.08</v>
      </c>
      <c r="AZ170" s="192" t="n">
        <v>-0.035</v>
      </c>
      <c r="BA170" s="192" t="n">
        <v>-0.0675</v>
      </c>
      <c r="BB170" s="192" t="n">
        <v>-0.012</v>
      </c>
      <c r="BC170" s="192" t="n">
        <v>-0.0405</v>
      </c>
      <c r="BD170" s="192" t="n">
        <v>-0.015</v>
      </c>
      <c r="BE170" s="192" t="n">
        <v>-0.06</v>
      </c>
      <c r="BF170" s="192" t="n">
        <v>-0.17</v>
      </c>
      <c r="BG170" s="192" t="n">
        <v>0.1625</v>
      </c>
      <c r="BH170" s="192" t="n">
        <v>0.293</v>
      </c>
      <c r="BI170" s="192" t="n">
        <v>0.293</v>
      </c>
      <c r="BJ170" s="192" t="n">
        <v>0.2975</v>
      </c>
    </row>
    <row r="171" customFormat="false" ht="12.75" hidden="false" customHeight="false" outlineLevel="0" collapsed="false">
      <c r="A171" s="194" t="e">
        <f aca="false">#REF!-B171</f>
        <v>#REF!</v>
      </c>
      <c r="B171" s="194" t="n">
        <v>3.745</v>
      </c>
      <c r="C171" s="200" t="n">
        <v>41821</v>
      </c>
      <c r="D171" s="194" t="n">
        <v>3.477</v>
      </c>
      <c r="E171" s="194" t="n">
        <v>0.15</v>
      </c>
      <c r="F171" s="194" t="n">
        <v>0.071234263778898</v>
      </c>
      <c r="G171" s="194" t="n">
        <v>-0.195</v>
      </c>
      <c r="H171" s="194" t="n">
        <v>-0.2</v>
      </c>
      <c r="I171" s="194" t="n">
        <v>-0.215</v>
      </c>
      <c r="J171" s="194" t="n">
        <v>-0.28</v>
      </c>
      <c r="K171" s="194" t="n">
        <v>-0.105</v>
      </c>
      <c r="L171" s="194" t="n">
        <v>-0.03</v>
      </c>
      <c r="M171" s="194" t="n">
        <v>-0.0555</v>
      </c>
      <c r="N171" s="194" t="n">
        <v>-0.165</v>
      </c>
      <c r="O171" s="194" t="n">
        <v>-0.195</v>
      </c>
      <c r="P171" s="192" t="n">
        <v>-0.195</v>
      </c>
      <c r="Q171" s="192" t="n">
        <v>-0.05125</v>
      </c>
      <c r="R171" s="192" t="n">
        <v>-0.035</v>
      </c>
      <c r="S171" s="192" t="n">
        <v>0.253</v>
      </c>
      <c r="T171" s="192" t="n">
        <v>0.253</v>
      </c>
      <c r="U171" s="192" t="n">
        <v>0.158</v>
      </c>
      <c r="V171" s="192" t="n">
        <v>0</v>
      </c>
      <c r="W171" s="196" t="n">
        <v>0.1925</v>
      </c>
      <c r="X171" s="196" t="n">
        <v>0.215</v>
      </c>
      <c r="Y171" s="196" t="n">
        <v>-0.009499999</v>
      </c>
      <c r="Z171" s="196" t="n">
        <v>-0.01775</v>
      </c>
      <c r="AA171" s="196" t="n">
        <v>0.01275</v>
      </c>
      <c r="AB171" s="196" t="n">
        <v>-0.00225</v>
      </c>
      <c r="AC171" s="196" t="n">
        <v>0.005</v>
      </c>
      <c r="AD171" s="196" t="n">
        <v>0.014</v>
      </c>
      <c r="AE171" s="196" t="n">
        <v>-0.06</v>
      </c>
      <c r="AF171" s="196" t="n">
        <v>-0.033</v>
      </c>
      <c r="AG171" s="197" t="n">
        <v>-0.0415</v>
      </c>
      <c r="AH171" s="196" t="n">
        <v>-0.012</v>
      </c>
      <c r="AI171" s="192" t="n">
        <v>-0.063</v>
      </c>
      <c r="AJ171" s="192" t="n">
        <v>-0.0675</v>
      </c>
      <c r="AK171" s="192" t="n">
        <v>-0.001499999</v>
      </c>
      <c r="AL171" s="192" t="n">
        <v>0.009</v>
      </c>
      <c r="AM171" s="192" t="n">
        <v>0.43</v>
      </c>
      <c r="AN171" s="192" t="n">
        <v>0.0225</v>
      </c>
      <c r="AO171" s="192" t="n">
        <v>-0.31</v>
      </c>
      <c r="AP171" s="192" t="n">
        <v>-0.12</v>
      </c>
      <c r="AQ171" s="192" t="n">
        <v>-0.19</v>
      </c>
      <c r="AR171" s="192" t="n">
        <v>-0.29</v>
      </c>
      <c r="AS171" s="192" t="n">
        <v>0</v>
      </c>
      <c r="AT171" s="192" t="n">
        <v>0</v>
      </c>
      <c r="AU171" s="192" t="n">
        <v>0.295</v>
      </c>
      <c r="AV171" s="192" t="n">
        <v>-0.31</v>
      </c>
      <c r="AW171" s="192" t="n">
        <v>-0.0875</v>
      </c>
      <c r="AX171" s="192" t="n">
        <v>0</v>
      </c>
      <c r="AY171" s="192" t="n">
        <v>-0.0875</v>
      </c>
      <c r="AZ171" s="192" t="n">
        <v>-0.035</v>
      </c>
      <c r="BA171" s="192" t="n">
        <v>-0.0625</v>
      </c>
      <c r="BB171" s="192" t="n">
        <v>-0.012</v>
      </c>
      <c r="BC171" s="192" t="n">
        <v>-0.0405</v>
      </c>
      <c r="BD171" s="192" t="n">
        <v>-0.0125</v>
      </c>
      <c r="BE171" s="192" t="n">
        <v>-0.06</v>
      </c>
      <c r="BF171" s="192" t="n">
        <v>-0.17</v>
      </c>
      <c r="BG171" s="192" t="n">
        <v>0.1625</v>
      </c>
      <c r="BH171" s="192" t="n">
        <v>0.283</v>
      </c>
      <c r="BI171" s="192" t="n">
        <v>0.283</v>
      </c>
      <c r="BJ171" s="192" t="n">
        <v>0.31</v>
      </c>
    </row>
    <row r="172" customFormat="false" ht="12.75" hidden="false" customHeight="false" outlineLevel="0" collapsed="false">
      <c r="A172" s="194" t="e">
        <f aca="false">#REF!-B172</f>
        <v>#REF!</v>
      </c>
      <c r="B172" s="194" t="n">
        <v>3.728</v>
      </c>
      <c r="C172" s="200" t="n">
        <v>41852</v>
      </c>
      <c r="D172" s="194" t="n">
        <v>3.484</v>
      </c>
      <c r="E172" s="194" t="n">
        <v>0.15</v>
      </c>
      <c r="F172" s="194" t="n">
        <v>0.071244080082776</v>
      </c>
      <c r="G172" s="194" t="n">
        <v>-0.195</v>
      </c>
      <c r="H172" s="194" t="n">
        <v>-0.2</v>
      </c>
      <c r="I172" s="194" t="n">
        <v>-0.215</v>
      </c>
      <c r="J172" s="194" t="n">
        <v>-0.28</v>
      </c>
      <c r="K172" s="194" t="n">
        <v>-0.105</v>
      </c>
      <c r="L172" s="194" t="n">
        <v>-0.03</v>
      </c>
      <c r="M172" s="194" t="n">
        <v>-0.0555</v>
      </c>
      <c r="N172" s="194" t="n">
        <v>-0.165</v>
      </c>
      <c r="O172" s="194" t="n">
        <v>-0.195</v>
      </c>
      <c r="P172" s="192" t="n">
        <v>-0.195</v>
      </c>
      <c r="Q172" s="192" t="n">
        <v>-0.05</v>
      </c>
      <c r="R172" s="192" t="n">
        <v>-0.035</v>
      </c>
      <c r="S172" s="192" t="n">
        <v>0.25</v>
      </c>
      <c r="T172" s="192" t="n">
        <v>0.25</v>
      </c>
      <c r="U172" s="192" t="n">
        <v>0.155</v>
      </c>
      <c r="V172" s="192" t="n">
        <v>0</v>
      </c>
      <c r="W172" s="196" t="n">
        <v>0.1925</v>
      </c>
      <c r="X172" s="196" t="n">
        <v>0.215</v>
      </c>
      <c r="Y172" s="196" t="n">
        <v>-0.009499999</v>
      </c>
      <c r="Z172" s="196" t="n">
        <v>-0.01775</v>
      </c>
      <c r="AA172" s="196" t="n">
        <v>0.01275</v>
      </c>
      <c r="AB172" s="196" t="n">
        <v>-0.00225</v>
      </c>
      <c r="AC172" s="196" t="n">
        <v>0.005</v>
      </c>
      <c r="AD172" s="196" t="n">
        <v>0.014</v>
      </c>
      <c r="AE172" s="196" t="n">
        <v>-0.06</v>
      </c>
      <c r="AF172" s="196" t="n">
        <v>-0.033</v>
      </c>
      <c r="AG172" s="197" t="n">
        <v>-0.0415</v>
      </c>
      <c r="AH172" s="196" t="n">
        <v>-0.012</v>
      </c>
      <c r="AI172" s="192" t="n">
        <v>-0.044</v>
      </c>
      <c r="AJ172" s="192" t="n">
        <v>-0.065</v>
      </c>
      <c r="AK172" s="192" t="n">
        <v>-0.001499999</v>
      </c>
      <c r="AL172" s="192" t="n">
        <v>0.009</v>
      </c>
      <c r="AM172" s="192" t="n">
        <v>0.495</v>
      </c>
      <c r="AN172" s="192" t="n">
        <v>0.025</v>
      </c>
      <c r="AO172" s="192" t="n">
        <v>-0.31</v>
      </c>
      <c r="AP172" s="192" t="n">
        <v>-0.12</v>
      </c>
      <c r="AQ172" s="192" t="n">
        <v>-0.19</v>
      </c>
      <c r="AR172" s="192" t="n">
        <v>-0.29</v>
      </c>
      <c r="AS172" s="192" t="n">
        <v>0</v>
      </c>
      <c r="AT172" s="192" t="n">
        <v>0</v>
      </c>
      <c r="AU172" s="192" t="n">
        <v>0.295</v>
      </c>
      <c r="AV172" s="192" t="n">
        <v>-0.31</v>
      </c>
      <c r="AW172" s="192" t="n">
        <v>-0.075</v>
      </c>
      <c r="AX172" s="192" t="n">
        <v>0</v>
      </c>
      <c r="AY172" s="192" t="n">
        <v>-0.075</v>
      </c>
      <c r="AZ172" s="192" t="n">
        <v>-0.035</v>
      </c>
      <c r="BA172" s="192" t="n">
        <v>-0.0625</v>
      </c>
      <c r="BB172" s="192" t="n">
        <v>-0.012</v>
      </c>
      <c r="BC172" s="192" t="n">
        <v>-0.0405</v>
      </c>
      <c r="BD172" s="192" t="n">
        <v>-0.01</v>
      </c>
      <c r="BE172" s="192" t="n">
        <v>-0.06</v>
      </c>
      <c r="BF172" s="192" t="n">
        <v>-0.17</v>
      </c>
      <c r="BG172" s="192" t="n">
        <v>0.1625</v>
      </c>
      <c r="BH172" s="192" t="n">
        <v>0.28</v>
      </c>
      <c r="BI172" s="192" t="n">
        <v>0.28</v>
      </c>
      <c r="BJ172" s="192" t="n">
        <v>0.31</v>
      </c>
    </row>
    <row r="173" customFormat="false" ht="12.75" hidden="false" customHeight="false" outlineLevel="0" collapsed="false">
      <c r="A173" s="194" t="e">
        <f aca="false">#REF!-B173</f>
        <v>#REF!</v>
      </c>
      <c r="B173" s="194" t="n">
        <v>3.719</v>
      </c>
      <c r="C173" s="200" t="n">
        <v>41883</v>
      </c>
      <c r="D173" s="194" t="n">
        <v>3.463</v>
      </c>
      <c r="E173" s="194" t="n">
        <v>0.15</v>
      </c>
      <c r="F173" s="194" t="n">
        <v>0.071253896386684</v>
      </c>
      <c r="G173" s="194" t="n">
        <v>-0.195</v>
      </c>
      <c r="H173" s="194" t="n">
        <v>-0.2</v>
      </c>
      <c r="I173" s="194" t="n">
        <v>-0.205</v>
      </c>
      <c r="J173" s="194" t="n">
        <v>-0.28</v>
      </c>
      <c r="K173" s="194" t="n">
        <v>-0.095</v>
      </c>
      <c r="L173" s="194" t="n">
        <v>-0.03</v>
      </c>
      <c r="M173" s="194" t="n">
        <v>-0.0555</v>
      </c>
      <c r="N173" s="194" t="n">
        <v>-0.165</v>
      </c>
      <c r="O173" s="194" t="n">
        <v>-0.195</v>
      </c>
      <c r="P173" s="192" t="n">
        <v>-0.195</v>
      </c>
      <c r="Q173" s="192" t="n">
        <v>-0.05375</v>
      </c>
      <c r="R173" s="192" t="n">
        <v>-0.035</v>
      </c>
      <c r="S173" s="192" t="n">
        <v>0.248</v>
      </c>
      <c r="T173" s="192" t="n">
        <v>0.248</v>
      </c>
      <c r="U173" s="192" t="n">
        <v>0.153</v>
      </c>
      <c r="V173" s="192" t="n">
        <v>0</v>
      </c>
      <c r="W173" s="196" t="n">
        <v>0.1925</v>
      </c>
      <c r="X173" s="196" t="n">
        <v>0.195</v>
      </c>
      <c r="Y173" s="196" t="n">
        <v>-0.009499999</v>
      </c>
      <c r="Z173" s="196" t="n">
        <v>-0.01775</v>
      </c>
      <c r="AA173" s="196" t="n">
        <v>0.01275</v>
      </c>
      <c r="AB173" s="196" t="n">
        <v>-0.00225</v>
      </c>
      <c r="AC173" s="196" t="n">
        <v>0.005</v>
      </c>
      <c r="AD173" s="196" t="n">
        <v>0.014</v>
      </c>
      <c r="AE173" s="196" t="n">
        <v>-0.06</v>
      </c>
      <c r="AF173" s="196" t="n">
        <v>-0.033</v>
      </c>
      <c r="AG173" s="197" t="n">
        <v>-0.0415</v>
      </c>
      <c r="AH173" s="196" t="n">
        <v>-0.012</v>
      </c>
      <c r="AI173" s="192" t="n">
        <v>-0.042</v>
      </c>
      <c r="AJ173" s="192" t="n">
        <v>-0.0725</v>
      </c>
      <c r="AK173" s="192" t="n">
        <v>-0.001499999</v>
      </c>
      <c r="AL173" s="192" t="n">
        <v>0.009</v>
      </c>
      <c r="AM173" s="192" t="n">
        <v>0.395</v>
      </c>
      <c r="AN173" s="192" t="n">
        <v>0.0175</v>
      </c>
      <c r="AO173" s="192" t="n">
        <v>-0.31</v>
      </c>
      <c r="AP173" s="192" t="n">
        <v>-0.12</v>
      </c>
      <c r="AQ173" s="192" t="n">
        <v>-0.19</v>
      </c>
      <c r="AR173" s="192" t="n">
        <v>-0.29</v>
      </c>
      <c r="AS173" s="192" t="n">
        <v>0</v>
      </c>
      <c r="AT173" s="192" t="n">
        <v>0</v>
      </c>
      <c r="AU173" s="192" t="n">
        <v>0.295</v>
      </c>
      <c r="AV173" s="192" t="n">
        <v>-0.31</v>
      </c>
      <c r="AW173" s="192" t="n">
        <v>-0.08</v>
      </c>
      <c r="AX173" s="192" t="n">
        <v>0</v>
      </c>
      <c r="AY173" s="192" t="n">
        <v>-0.08</v>
      </c>
      <c r="AZ173" s="192" t="n">
        <v>-0.035</v>
      </c>
      <c r="BA173" s="192" t="n">
        <v>-0.0775</v>
      </c>
      <c r="BB173" s="192" t="n">
        <v>-0.012</v>
      </c>
      <c r="BC173" s="192" t="n">
        <v>-0.0405</v>
      </c>
      <c r="BD173" s="192" t="n">
        <v>-0.0175</v>
      </c>
      <c r="BE173" s="192" t="n">
        <v>-0.06</v>
      </c>
      <c r="BF173" s="192" t="n">
        <v>-0.17</v>
      </c>
      <c r="BG173" s="192" t="n">
        <v>0.1625</v>
      </c>
      <c r="BH173" s="192" t="n">
        <v>0.278</v>
      </c>
      <c r="BI173" s="192" t="n">
        <v>0.278</v>
      </c>
      <c r="BJ173" s="192" t="n">
        <v>0.3</v>
      </c>
    </row>
    <row r="174" customFormat="false" ht="12.75" hidden="false" customHeight="false" outlineLevel="0" collapsed="false">
      <c r="A174" s="194" t="e">
        <f aca="false">#REF!-B174</f>
        <v>#REF!</v>
      </c>
      <c r="B174" s="194" t="n">
        <v>3.784</v>
      </c>
      <c r="C174" s="200" t="n">
        <v>41913</v>
      </c>
      <c r="D174" s="194" t="n">
        <v>3.475</v>
      </c>
      <c r="E174" s="194" t="n">
        <v>0.15</v>
      </c>
      <c r="F174" s="194" t="n">
        <v>0.071263396035659</v>
      </c>
      <c r="G174" s="194" t="n">
        <v>-0.195</v>
      </c>
      <c r="H174" s="194" t="n">
        <v>-0.2</v>
      </c>
      <c r="I174" s="194" t="n">
        <v>-0.19</v>
      </c>
      <c r="J174" s="194" t="n">
        <v>-0.28</v>
      </c>
      <c r="K174" s="194" t="n">
        <v>-0.08</v>
      </c>
      <c r="L174" s="194" t="n">
        <v>-0.03</v>
      </c>
      <c r="M174" s="194" t="n">
        <v>-0.0555</v>
      </c>
      <c r="N174" s="194" t="n">
        <v>-0.165</v>
      </c>
      <c r="O174" s="194" t="n">
        <v>-0.195</v>
      </c>
      <c r="P174" s="192" t="n">
        <v>-0.195</v>
      </c>
      <c r="Q174" s="192" t="n">
        <v>-0.05875</v>
      </c>
      <c r="R174" s="192" t="n">
        <v>-0.035</v>
      </c>
      <c r="S174" s="192" t="n">
        <v>0.263</v>
      </c>
      <c r="T174" s="192" t="n">
        <v>0.263</v>
      </c>
      <c r="U174" s="192" t="n">
        <v>0.168</v>
      </c>
      <c r="V174" s="192" t="n">
        <v>0</v>
      </c>
      <c r="W174" s="196" t="n">
        <v>0.1975</v>
      </c>
      <c r="X174" s="196" t="n">
        <v>0.215</v>
      </c>
      <c r="Y174" s="196" t="n">
        <v>-0.009499999</v>
      </c>
      <c r="Z174" s="196" t="n">
        <v>-0.01775</v>
      </c>
      <c r="AA174" s="196" t="n">
        <v>-0.0055</v>
      </c>
      <c r="AB174" s="196" t="n">
        <v>-0.0205</v>
      </c>
      <c r="AC174" s="196" t="n">
        <v>0.005</v>
      </c>
      <c r="AD174" s="196" t="n">
        <v>0.014</v>
      </c>
      <c r="AE174" s="196" t="n">
        <v>-0.06</v>
      </c>
      <c r="AF174" s="196" t="n">
        <v>-0.033</v>
      </c>
      <c r="AG174" s="197" t="n">
        <v>-0.0415</v>
      </c>
      <c r="AH174" s="196" t="n">
        <v>-0.012</v>
      </c>
      <c r="AI174" s="192" t="n">
        <v>-0.044</v>
      </c>
      <c r="AJ174" s="192" t="n">
        <v>-0.0825</v>
      </c>
      <c r="AK174" s="192" t="n">
        <v>-0.001499999</v>
      </c>
      <c r="AL174" s="192" t="n">
        <v>0.009</v>
      </c>
      <c r="AM174" s="192" t="n">
        <v>0.461</v>
      </c>
      <c r="AN174" s="192" t="n">
        <v>0.0075</v>
      </c>
      <c r="AO174" s="192" t="n">
        <v>-0.31</v>
      </c>
      <c r="AP174" s="192" t="n">
        <v>-0.12</v>
      </c>
      <c r="AQ174" s="192" t="n">
        <v>-0.19</v>
      </c>
      <c r="AR174" s="192" t="n">
        <v>-0.29</v>
      </c>
      <c r="AS174" s="192" t="n">
        <v>0</v>
      </c>
      <c r="AT174" s="192" t="n">
        <v>0</v>
      </c>
      <c r="AU174" s="192" t="n">
        <v>0.295</v>
      </c>
      <c r="AV174" s="192" t="n">
        <v>-0.31</v>
      </c>
      <c r="AW174" s="192" t="n">
        <v>-0.09</v>
      </c>
      <c r="AX174" s="192" t="n">
        <v>0</v>
      </c>
      <c r="AY174" s="192" t="n">
        <v>-0.09</v>
      </c>
      <c r="AZ174" s="192" t="n">
        <v>-0.035</v>
      </c>
      <c r="BA174" s="192" t="n">
        <v>-0.08</v>
      </c>
      <c r="BB174" s="192" t="n">
        <v>-0.012</v>
      </c>
      <c r="BC174" s="192" t="n">
        <v>-0.0405</v>
      </c>
      <c r="BD174" s="192" t="n">
        <v>-0.0275</v>
      </c>
      <c r="BE174" s="192" t="n">
        <v>-0.06</v>
      </c>
      <c r="BF174" s="192" t="n">
        <v>-0.17</v>
      </c>
      <c r="BG174" s="192" t="n">
        <v>0.1625</v>
      </c>
      <c r="BH174" s="192" t="n">
        <v>0.293</v>
      </c>
      <c r="BI174" s="192" t="n">
        <v>0.293</v>
      </c>
      <c r="BJ174" s="192" t="n">
        <v>0.37253</v>
      </c>
    </row>
    <row r="175" customFormat="false" ht="12.75" hidden="false" customHeight="false" outlineLevel="0" collapsed="false">
      <c r="A175" s="194" t="e">
        <f aca="false">#REF!-B175</f>
        <v>#REF!</v>
      </c>
      <c r="B175" s="194" t="n">
        <v>3.779</v>
      </c>
      <c r="C175" s="200" t="n">
        <v>41944</v>
      </c>
      <c r="D175" s="194" t="n">
        <v>3.512</v>
      </c>
      <c r="E175" s="194" t="n">
        <v>0.15</v>
      </c>
      <c r="F175" s="194" t="n">
        <v>0.071273212339631</v>
      </c>
      <c r="G175" s="194" t="n">
        <v>-0.19</v>
      </c>
      <c r="H175" s="194" t="n">
        <v>-0.195</v>
      </c>
      <c r="I175" s="194" t="n">
        <v>-0.1525</v>
      </c>
      <c r="J175" s="194" t="n">
        <v>-0.275</v>
      </c>
      <c r="K175" s="194" t="n">
        <v>-0.0425</v>
      </c>
      <c r="L175" s="194" t="n">
        <v>-0.03</v>
      </c>
      <c r="M175" s="194" t="n">
        <v>-0.07</v>
      </c>
      <c r="N175" s="194" t="n">
        <v>-0.16</v>
      </c>
      <c r="O175" s="194" t="n">
        <v>-0.19</v>
      </c>
      <c r="P175" s="192" t="n">
        <v>-0.19</v>
      </c>
      <c r="Q175" s="192" t="n">
        <v>-0.0785</v>
      </c>
      <c r="R175" s="192" t="n">
        <v>-0.0345</v>
      </c>
      <c r="S175" s="192" t="n">
        <v>0.325</v>
      </c>
      <c r="T175" s="192" t="n">
        <v>0.325</v>
      </c>
      <c r="U175" s="192" t="n">
        <v>0.23</v>
      </c>
      <c r="V175" s="192" t="n">
        <v>0</v>
      </c>
      <c r="W175" s="196" t="n">
        <v>0.2725</v>
      </c>
      <c r="X175" s="196" t="n">
        <v>0.315</v>
      </c>
      <c r="Y175" s="196" t="n">
        <v>-0.0125</v>
      </c>
      <c r="Z175" s="196" t="n">
        <v>-0.031</v>
      </c>
      <c r="AA175" s="196" t="n">
        <v>-0.0045</v>
      </c>
      <c r="AB175" s="196" t="n">
        <v>-0.0195</v>
      </c>
      <c r="AC175" s="196" t="n">
        <v>0.005</v>
      </c>
      <c r="AD175" s="196" t="n">
        <v>0.011</v>
      </c>
      <c r="AE175" s="196" t="n">
        <v>-0.06</v>
      </c>
      <c r="AF175" s="196" t="n">
        <v>-0.028</v>
      </c>
      <c r="AG175" s="197" t="n">
        <v>-0.0395</v>
      </c>
      <c r="AH175" s="196" t="n">
        <v>-0.008499999</v>
      </c>
      <c r="AI175" s="192" t="n">
        <v>-0.0565</v>
      </c>
      <c r="AJ175" s="192" t="n">
        <v>-0.1225</v>
      </c>
      <c r="AK175" s="192" t="n">
        <v>0.0035</v>
      </c>
      <c r="AL175" s="192" t="n">
        <v>0.016</v>
      </c>
      <c r="AM175" s="192" t="n">
        <v>0.885</v>
      </c>
      <c r="AN175" s="192" t="n">
        <v>-0.0325</v>
      </c>
      <c r="AO175" s="192" t="n">
        <v>-0.235</v>
      </c>
      <c r="AP175" s="192" t="n">
        <v>-0.1325</v>
      </c>
      <c r="AQ175" s="192" t="n">
        <v>-0.19</v>
      </c>
      <c r="AR175" s="192" t="n">
        <v>0</v>
      </c>
      <c r="AS175" s="192" t="n">
        <v>0</v>
      </c>
      <c r="AT175" s="192" t="n">
        <v>0</v>
      </c>
      <c r="AU175" s="192" t="n">
        <v>0.12</v>
      </c>
      <c r="AV175" s="192" t="n">
        <v>-0.235</v>
      </c>
      <c r="AW175" s="192" t="n">
        <v>-0.1025</v>
      </c>
      <c r="AX175" s="192" t="n">
        <v>0</v>
      </c>
      <c r="AY175" s="192" t="n">
        <v>-0.1025</v>
      </c>
      <c r="AZ175" s="192" t="n">
        <v>-0.0345</v>
      </c>
      <c r="BA175" s="192" t="n">
        <v>-0.085</v>
      </c>
      <c r="BB175" s="192" t="n">
        <v>-0.0135</v>
      </c>
      <c r="BC175" s="192" t="n">
        <v>-0.055</v>
      </c>
      <c r="BD175" s="192" t="n">
        <v>-0.0675</v>
      </c>
      <c r="BE175" s="192" t="n">
        <v>-0.06</v>
      </c>
      <c r="BF175" s="192" t="n">
        <v>-0.17</v>
      </c>
      <c r="BG175" s="192" t="n">
        <v>0</v>
      </c>
      <c r="BH175" s="192" t="n">
        <v>0.37</v>
      </c>
      <c r="BI175" s="192" t="n">
        <v>0.37</v>
      </c>
      <c r="BJ175" s="192" t="n">
        <v>0.56</v>
      </c>
    </row>
    <row r="176" customFormat="false" ht="12.75" hidden="false" customHeight="false" outlineLevel="0" collapsed="false">
      <c r="A176" s="194"/>
      <c r="B176" s="194" t="n">
        <v>3.758</v>
      </c>
      <c r="C176" s="200" t="n">
        <v>41974</v>
      </c>
      <c r="D176" s="194" t="n">
        <v>3.555</v>
      </c>
      <c r="E176" s="194" t="n">
        <v>0.15</v>
      </c>
      <c r="F176" s="194" t="n">
        <v>0.071282711988666</v>
      </c>
      <c r="G176" s="194" t="n">
        <v>-0.1975</v>
      </c>
      <c r="H176" s="194" t="n">
        <v>-0.2025</v>
      </c>
      <c r="I176" s="194" t="n">
        <v>-0.145</v>
      </c>
      <c r="J176" s="194" t="n">
        <v>-0.2825</v>
      </c>
      <c r="K176" s="194" t="n">
        <v>-0.035</v>
      </c>
      <c r="L176" s="194" t="n">
        <v>-0.03</v>
      </c>
      <c r="M176" s="194" t="n">
        <v>-0.07</v>
      </c>
      <c r="N176" s="194" t="n">
        <v>-0.1675</v>
      </c>
      <c r="O176" s="194" t="n">
        <v>-0.1975</v>
      </c>
      <c r="P176" s="192" t="n">
        <v>-0.1975</v>
      </c>
      <c r="Q176" s="192" t="n">
        <v>-0.08975</v>
      </c>
      <c r="R176" s="192" t="n">
        <v>-0.0345</v>
      </c>
      <c r="S176" s="192" t="n">
        <v>0.365</v>
      </c>
      <c r="T176" s="192" t="n">
        <v>0.365</v>
      </c>
      <c r="U176" s="192" t="n">
        <v>0.27</v>
      </c>
      <c r="V176" s="192" t="n">
        <v>0</v>
      </c>
      <c r="W176" s="196" t="n">
        <v>0.3075</v>
      </c>
      <c r="X176" s="196" t="n">
        <v>0.395</v>
      </c>
      <c r="Y176" s="196" t="n">
        <v>-0.0125</v>
      </c>
      <c r="Z176" s="196" t="n">
        <v>-0.0235</v>
      </c>
      <c r="AA176" s="196" t="n">
        <v>-0.0045</v>
      </c>
      <c r="AB176" s="196" t="n">
        <v>-0.0195</v>
      </c>
      <c r="AC176" s="196" t="n">
        <v>0.005</v>
      </c>
      <c r="AD176" s="196" t="n">
        <v>0.011</v>
      </c>
      <c r="AE176" s="196" t="n">
        <v>-0.06</v>
      </c>
      <c r="AF176" s="196" t="n">
        <v>-0.028</v>
      </c>
      <c r="AG176" s="197" t="n">
        <v>-0.0395</v>
      </c>
      <c r="AH176" s="196" t="n">
        <v>-0.008499999</v>
      </c>
      <c r="AI176" s="192" t="n">
        <v>-0.0565</v>
      </c>
      <c r="AJ176" s="192" t="n">
        <v>-0.145</v>
      </c>
      <c r="AK176" s="192" t="n">
        <v>0.0035</v>
      </c>
      <c r="AL176" s="192" t="n">
        <v>0.016</v>
      </c>
      <c r="AM176" s="192" t="n">
        <v>1.31</v>
      </c>
      <c r="AN176" s="192" t="n">
        <v>-0.055</v>
      </c>
      <c r="AO176" s="192" t="n">
        <v>-0.235</v>
      </c>
      <c r="AP176" s="192" t="n">
        <v>-0.1275</v>
      </c>
      <c r="AQ176" s="192" t="n">
        <v>-0.19</v>
      </c>
      <c r="AR176" s="192" t="n">
        <v>0.06</v>
      </c>
      <c r="AS176" s="192" t="n">
        <v>0</v>
      </c>
      <c r="AT176" s="192" t="n">
        <v>0</v>
      </c>
      <c r="AU176" s="192" t="n">
        <v>0.12</v>
      </c>
      <c r="AV176" s="192" t="n">
        <v>-0.235</v>
      </c>
      <c r="AW176" s="192" t="n">
        <v>-0.1275</v>
      </c>
      <c r="AX176" s="192" t="n">
        <v>0</v>
      </c>
      <c r="AY176" s="192" t="n">
        <v>-0.1275</v>
      </c>
      <c r="AZ176" s="192" t="n">
        <v>-0.0345</v>
      </c>
      <c r="BA176" s="192" t="n">
        <v>-0.1175</v>
      </c>
      <c r="BB176" s="192" t="n">
        <v>-0.0135</v>
      </c>
      <c r="BC176" s="192" t="n">
        <v>-0.055</v>
      </c>
      <c r="BD176" s="192" t="n">
        <v>-0.09</v>
      </c>
      <c r="BE176" s="192" t="n">
        <v>-0.06</v>
      </c>
      <c r="BF176" s="192" t="n">
        <v>-0.17</v>
      </c>
      <c r="BG176" s="192" t="n">
        <v>0</v>
      </c>
      <c r="BH176" s="192" t="n">
        <v>0.41</v>
      </c>
      <c r="BI176" s="192" t="n">
        <v>0.41</v>
      </c>
      <c r="BJ176" s="192" t="n">
        <v>0.91</v>
      </c>
    </row>
    <row r="177" customFormat="false" ht="12.75" hidden="false" customHeight="false" outlineLevel="0" collapsed="false">
      <c r="A177" s="194"/>
      <c r="B177" s="194" t="n">
        <v>3.765</v>
      </c>
      <c r="C177" s="200" t="n">
        <v>42005</v>
      </c>
      <c r="D177" s="194" t="n">
        <v>3.991</v>
      </c>
      <c r="E177" s="194" t="n">
        <v>0.15</v>
      </c>
      <c r="F177" s="194" t="n">
        <v>0.071292528292701</v>
      </c>
      <c r="G177" s="194" t="n">
        <v>-0.2</v>
      </c>
      <c r="H177" s="194" t="n">
        <v>-0.205</v>
      </c>
      <c r="I177" s="194" t="n">
        <v>-0.13</v>
      </c>
      <c r="J177" s="194" t="n">
        <v>-0.265</v>
      </c>
      <c r="K177" s="194" t="n">
        <v>-0.02</v>
      </c>
      <c r="L177" s="194" t="n">
        <v>-0.03</v>
      </c>
      <c r="M177" s="194" t="n">
        <v>-0.07</v>
      </c>
      <c r="N177" s="194" t="n">
        <v>-0.17</v>
      </c>
      <c r="O177" s="194" t="n">
        <v>-0.2</v>
      </c>
      <c r="P177" s="192" t="n">
        <v>-0.2</v>
      </c>
      <c r="Q177" s="192" t="n">
        <v>-0.09</v>
      </c>
      <c r="R177" s="192" t="n">
        <v>-0.0325</v>
      </c>
      <c r="S177" s="192" t="n">
        <v>0.375</v>
      </c>
      <c r="T177" s="192" t="n">
        <v>0.375</v>
      </c>
      <c r="U177" s="192" t="n">
        <v>0.28</v>
      </c>
      <c r="V177" s="192" t="n">
        <v>0</v>
      </c>
      <c r="W177" s="196" t="n">
        <v>0.3125</v>
      </c>
      <c r="X177" s="196" t="n">
        <v>0.465</v>
      </c>
      <c r="Y177" s="196" t="n">
        <v>-0.007999999</v>
      </c>
      <c r="Z177" s="196" t="n">
        <v>-0.0235</v>
      </c>
      <c r="AA177" s="196" t="n">
        <v>-0.0045</v>
      </c>
      <c r="AB177" s="196" t="n">
        <v>-0.0195</v>
      </c>
      <c r="AC177" s="196" t="n">
        <v>0.005</v>
      </c>
      <c r="AD177" s="196" t="n">
        <v>0.011</v>
      </c>
      <c r="AE177" s="196" t="n">
        <v>-0.06</v>
      </c>
      <c r="AF177" s="196" t="n">
        <v>-0.026</v>
      </c>
      <c r="AG177" s="197" t="n">
        <v>-0.0395</v>
      </c>
      <c r="AH177" s="196" t="n">
        <v>-0.008499999</v>
      </c>
      <c r="AI177" s="192" t="n">
        <v>-0.0495</v>
      </c>
      <c r="AJ177" s="192" t="n">
        <v>-0.1475</v>
      </c>
      <c r="AK177" s="192" t="n">
        <v>0.008</v>
      </c>
      <c r="AL177" s="192" t="n">
        <v>0.016</v>
      </c>
      <c r="AM177" s="192" t="n">
        <v>1.645</v>
      </c>
      <c r="AN177" s="192" t="n">
        <v>-0.0575</v>
      </c>
      <c r="AO177" s="192" t="n">
        <v>-0.23</v>
      </c>
      <c r="AP177" s="192" t="n">
        <v>-0.1275</v>
      </c>
      <c r="AQ177" s="192" t="n">
        <v>-0.19</v>
      </c>
      <c r="AS177" s="192" t="n">
        <v>0</v>
      </c>
      <c r="AT177" s="192" t="n">
        <v>0</v>
      </c>
      <c r="AU177" s="192" t="n">
        <v>0.12</v>
      </c>
      <c r="AV177" s="192" t="n">
        <v>-0.23</v>
      </c>
      <c r="AW177" s="192" t="n">
        <v>-0.1125</v>
      </c>
      <c r="AX177" s="192" t="n">
        <v>0</v>
      </c>
      <c r="AY177" s="192" t="n">
        <v>-0.1125</v>
      </c>
      <c r="AZ177" s="192" t="n">
        <v>-0.0325</v>
      </c>
      <c r="BA177" s="192" t="n">
        <v>-0.123</v>
      </c>
      <c r="BB177" s="192" t="n">
        <v>-0.0135</v>
      </c>
      <c r="BC177" s="192" t="n">
        <v>-0.055</v>
      </c>
      <c r="BD177" s="192" t="n">
        <v>-0.0925</v>
      </c>
      <c r="BE177" s="192" t="n">
        <v>-0.06</v>
      </c>
      <c r="BF177" s="192" t="n">
        <v>-0.17</v>
      </c>
      <c r="BG177" s="192" t="n">
        <v>0</v>
      </c>
      <c r="BH177" s="192" t="n">
        <v>0.42</v>
      </c>
      <c r="BI177" s="192" t="n">
        <v>0.42</v>
      </c>
      <c r="BJ177" s="192" t="n">
        <v>1.235</v>
      </c>
    </row>
    <row r="178" customFormat="false" ht="12.75" hidden="false" customHeight="false" outlineLevel="0" collapsed="false">
      <c r="A178" s="194"/>
      <c r="B178" s="194" t="n">
        <v>3.822</v>
      </c>
      <c r="C178" s="200" t="n">
        <v>42036</v>
      </c>
      <c r="D178" s="194" t="n">
        <v>3.877</v>
      </c>
      <c r="E178" s="194" t="n">
        <v>0.15</v>
      </c>
      <c r="F178" s="194" t="n">
        <v>0.071302344596767</v>
      </c>
      <c r="G178" s="194" t="n">
        <v>-0.2025</v>
      </c>
      <c r="H178" s="194" t="n">
        <v>-0.2075</v>
      </c>
      <c r="I178" s="194" t="n">
        <v>-0.13</v>
      </c>
      <c r="J178" s="194" t="n">
        <v>-0.2675</v>
      </c>
      <c r="K178" s="194" t="n">
        <v>-0.02</v>
      </c>
      <c r="L178" s="194" t="n">
        <v>-0.03</v>
      </c>
      <c r="M178" s="194" t="n">
        <v>-0.07</v>
      </c>
      <c r="N178" s="194" t="n">
        <v>-0.1725</v>
      </c>
      <c r="O178" s="194" t="n">
        <v>-0.2025</v>
      </c>
      <c r="P178" s="192" t="n">
        <v>-0.2025</v>
      </c>
      <c r="Q178" s="192" t="n">
        <v>-0.08125</v>
      </c>
      <c r="R178" s="192" t="n">
        <v>-0.0325</v>
      </c>
      <c r="S178" s="192" t="n">
        <v>0.35</v>
      </c>
      <c r="T178" s="192" t="n">
        <v>0.35</v>
      </c>
      <c r="U178" s="192" t="n">
        <v>0.255</v>
      </c>
      <c r="V178" s="192" t="n">
        <v>0</v>
      </c>
      <c r="W178" s="196" t="n">
        <v>0.3125</v>
      </c>
      <c r="X178" s="196" t="n">
        <v>0.435</v>
      </c>
      <c r="Y178" s="196" t="n">
        <v>-0.007999999</v>
      </c>
      <c r="Z178" s="196" t="n">
        <v>-0.0235</v>
      </c>
      <c r="AA178" s="196" t="n">
        <v>-0.0045</v>
      </c>
      <c r="AB178" s="196" t="n">
        <v>-0.0195</v>
      </c>
      <c r="AC178" s="196" t="n">
        <v>0.005</v>
      </c>
      <c r="AD178" s="196" t="n">
        <v>0.011</v>
      </c>
      <c r="AE178" s="196" t="n">
        <v>-0.06</v>
      </c>
      <c r="AF178" s="196" t="n">
        <v>-0.026</v>
      </c>
      <c r="AG178" s="197" t="n">
        <v>-0.0395</v>
      </c>
      <c r="AH178" s="196" t="n">
        <v>-0.008499999</v>
      </c>
      <c r="AI178" s="192" t="n">
        <v>-0.0495</v>
      </c>
      <c r="AJ178" s="192" t="n">
        <v>-0.13</v>
      </c>
      <c r="AK178" s="192" t="n">
        <v>0.008</v>
      </c>
      <c r="AL178" s="192" t="n">
        <v>0.016</v>
      </c>
      <c r="AM178" s="192" t="n">
        <v>1.595</v>
      </c>
      <c r="AN178" s="192" t="n">
        <v>-0.04</v>
      </c>
      <c r="AO178" s="192" t="n">
        <v>-0.23</v>
      </c>
      <c r="AP178" s="192" t="n">
        <v>-0.1275</v>
      </c>
      <c r="AQ178" s="192" t="n">
        <v>-0.19</v>
      </c>
      <c r="AS178" s="192" t="n">
        <v>0</v>
      </c>
      <c r="AT178" s="192" t="n">
        <v>0</v>
      </c>
      <c r="AU178" s="192" t="n">
        <v>0.12</v>
      </c>
      <c r="AV178" s="192" t="n">
        <v>-0.23</v>
      </c>
      <c r="AW178" s="192" t="n">
        <v>-0.115</v>
      </c>
      <c r="AX178" s="192" t="n">
        <v>0</v>
      </c>
      <c r="AY178" s="192" t="n">
        <v>-0.115</v>
      </c>
      <c r="AZ178" s="192" t="n">
        <v>-0.0325</v>
      </c>
      <c r="BA178" s="192" t="n">
        <v>-0.1055</v>
      </c>
      <c r="BB178" s="192" t="n">
        <v>-0.0135</v>
      </c>
      <c r="BC178" s="192" t="n">
        <v>-0.055</v>
      </c>
      <c r="BD178" s="192" t="n">
        <v>-0.075</v>
      </c>
      <c r="BE178" s="192" t="n">
        <v>-0.06</v>
      </c>
      <c r="BF178" s="192" t="n">
        <v>-0.17</v>
      </c>
      <c r="BG178" s="192" t="n">
        <v>0</v>
      </c>
      <c r="BH178" s="192" t="n">
        <v>0.395</v>
      </c>
      <c r="BI178" s="192" t="n">
        <v>0.395</v>
      </c>
      <c r="BJ178" s="192" t="n">
        <v>1.235</v>
      </c>
    </row>
    <row r="179" customFormat="false" ht="12.75" hidden="false" customHeight="false" outlineLevel="0" collapsed="false">
      <c r="A179" s="194"/>
      <c r="B179" s="194" t="n">
        <v>3.898</v>
      </c>
      <c r="C179" s="200" t="n">
        <v>42064</v>
      </c>
      <c r="D179" s="194" t="n">
        <v>3.73</v>
      </c>
      <c r="E179" s="194" t="n">
        <v>0.15</v>
      </c>
      <c r="F179" s="194" t="n">
        <v>0.071311210935951</v>
      </c>
      <c r="G179" s="194" t="n">
        <v>-0.205</v>
      </c>
      <c r="H179" s="194" t="n">
        <v>-0.21</v>
      </c>
      <c r="I179" s="194" t="n">
        <v>-0.13</v>
      </c>
      <c r="J179" s="194" t="n">
        <v>-0.27</v>
      </c>
      <c r="K179" s="194" t="n">
        <v>-0.02</v>
      </c>
      <c r="L179" s="194" t="n">
        <v>-0.03</v>
      </c>
      <c r="M179" s="194" t="n">
        <v>-0.07</v>
      </c>
      <c r="N179" s="194" t="n">
        <v>-0.175</v>
      </c>
      <c r="O179" s="194" t="n">
        <v>-0.205</v>
      </c>
      <c r="P179" s="192" t="n">
        <v>-0.205</v>
      </c>
      <c r="Q179" s="192" t="n">
        <v>-0.075</v>
      </c>
      <c r="R179" s="192" t="n">
        <v>-0.0325</v>
      </c>
      <c r="S179" s="192" t="n">
        <v>0.348</v>
      </c>
      <c r="T179" s="192" t="n">
        <v>0.348</v>
      </c>
      <c r="U179" s="192" t="n">
        <v>0.253</v>
      </c>
      <c r="V179" s="192" t="n">
        <v>0</v>
      </c>
      <c r="W179" s="196" t="n">
        <v>0.27</v>
      </c>
      <c r="X179" s="196" t="n">
        <v>0.39</v>
      </c>
      <c r="Y179" s="196" t="n">
        <v>-0.007999999</v>
      </c>
      <c r="Z179" s="196" t="n">
        <v>-0.0235</v>
      </c>
      <c r="AA179" s="196" t="n">
        <v>0.014</v>
      </c>
      <c r="AB179" s="196" t="n">
        <v>0.000999999999999994</v>
      </c>
      <c r="AC179" s="196" t="n">
        <v>0.005</v>
      </c>
      <c r="AD179" s="196" t="n">
        <v>0.011</v>
      </c>
      <c r="AE179" s="196" t="n">
        <v>-0.06</v>
      </c>
      <c r="AF179" s="196" t="n">
        <v>-0.026</v>
      </c>
      <c r="AG179" s="197" t="n">
        <v>-0.0395</v>
      </c>
      <c r="AH179" s="196" t="n">
        <v>-0.008499999</v>
      </c>
      <c r="AI179" s="192" t="n">
        <v>-0.0565</v>
      </c>
      <c r="AJ179" s="192" t="n">
        <v>-0.1175</v>
      </c>
      <c r="AK179" s="192" t="n">
        <v>0.008</v>
      </c>
      <c r="AL179" s="192" t="n">
        <v>0.016</v>
      </c>
      <c r="AM179" s="192" t="n">
        <v>0.965</v>
      </c>
      <c r="AN179" s="192" t="n">
        <v>-0.0275</v>
      </c>
      <c r="AO179" s="192" t="n">
        <v>-0.23</v>
      </c>
      <c r="AP179" s="192" t="n">
        <v>-0.1325</v>
      </c>
      <c r="AQ179" s="192" t="n">
        <v>-0.19</v>
      </c>
      <c r="AS179" s="192" t="n">
        <v>0</v>
      </c>
      <c r="AT179" s="192" t="n">
        <v>0</v>
      </c>
      <c r="AU179" s="192" t="n">
        <v>0.12</v>
      </c>
      <c r="AV179" s="192" t="n">
        <v>-0.23</v>
      </c>
      <c r="AW179" s="192" t="n">
        <v>-0.0975</v>
      </c>
      <c r="AX179" s="192" t="n">
        <v>0</v>
      </c>
      <c r="AY179" s="192" t="n">
        <v>-0.0975</v>
      </c>
      <c r="AZ179" s="192" t="n">
        <v>-0.0325</v>
      </c>
      <c r="BA179" s="192" t="n">
        <v>-0.0905</v>
      </c>
      <c r="BB179" s="192" t="n">
        <v>-0.0135</v>
      </c>
      <c r="BC179" s="192" t="n">
        <v>-0.055</v>
      </c>
      <c r="BD179" s="192" t="n">
        <v>-0.0625</v>
      </c>
      <c r="BE179" s="192" t="n">
        <v>-0.06</v>
      </c>
      <c r="BF179" s="192" t="n">
        <v>-0.17</v>
      </c>
      <c r="BG179" s="192" t="n">
        <v>0</v>
      </c>
      <c r="BH179" s="192" t="n">
        <v>0.393</v>
      </c>
      <c r="BI179" s="192" t="n">
        <v>0.393</v>
      </c>
      <c r="BJ179" s="192" t="n">
        <v>0.875</v>
      </c>
    </row>
    <row r="180" customFormat="false" ht="12.75" hidden="false" customHeight="false" outlineLevel="0" collapsed="false">
      <c r="A180" s="194"/>
      <c r="B180" s="194" t="n">
        <v>4.172</v>
      </c>
      <c r="C180" s="200" t="n">
        <v>42095</v>
      </c>
      <c r="D180" s="194" t="n">
        <v>3.576</v>
      </c>
      <c r="E180" s="194" t="n">
        <v>0.15</v>
      </c>
      <c r="F180" s="194" t="n">
        <v>0.071321027240077</v>
      </c>
      <c r="G180" s="194" t="n">
        <v>-0.195</v>
      </c>
      <c r="H180" s="194" t="n">
        <v>-0.2</v>
      </c>
      <c r="I180" s="194" t="n">
        <v>-0.175</v>
      </c>
      <c r="J180" s="194" t="n">
        <v>-0.26</v>
      </c>
      <c r="K180" s="194" t="n">
        <v>-0.065</v>
      </c>
      <c r="L180" s="194" t="n">
        <v>-0.03</v>
      </c>
      <c r="M180" s="194" t="n">
        <v>-0.053</v>
      </c>
      <c r="N180" s="194" t="n">
        <v>-0.165</v>
      </c>
      <c r="O180" s="194" t="n">
        <v>-0.195</v>
      </c>
      <c r="P180" s="192" t="n">
        <v>-0.195</v>
      </c>
      <c r="Q180" s="192" t="n">
        <v>-0.0525</v>
      </c>
      <c r="R180" s="192" t="n">
        <v>-0.03</v>
      </c>
      <c r="S180" s="192" t="n">
        <v>0.253</v>
      </c>
      <c r="T180" s="192" t="n">
        <v>0.253</v>
      </c>
      <c r="U180" s="192" t="n">
        <v>0.158</v>
      </c>
      <c r="V180" s="192" t="n">
        <v>0</v>
      </c>
      <c r="W180" s="196" t="n">
        <v>0.205</v>
      </c>
      <c r="X180" s="196" t="n">
        <v>0.25</v>
      </c>
      <c r="Y180" s="196" t="n">
        <v>-0.007499999</v>
      </c>
      <c r="Z180" s="196" t="n">
        <v>-0.016</v>
      </c>
      <c r="AA180" s="196" t="n">
        <v>0.014</v>
      </c>
      <c r="AB180" s="196" t="n">
        <v>0.000999999999999994</v>
      </c>
      <c r="AC180" s="196" t="n">
        <v>0.005</v>
      </c>
      <c r="AD180" s="196" t="n">
        <v>0.016</v>
      </c>
      <c r="AE180" s="196" t="n">
        <v>-0.06</v>
      </c>
      <c r="AF180" s="196" t="n">
        <v>-0.031</v>
      </c>
      <c r="AG180" s="197" t="n">
        <v>-0.0395</v>
      </c>
      <c r="AH180" s="196" t="n">
        <v>-0.011</v>
      </c>
      <c r="AI180" s="192" t="n">
        <v>-0.052</v>
      </c>
      <c r="AJ180" s="192" t="n">
        <v>-0.075</v>
      </c>
      <c r="AK180" s="192" t="n">
        <v>0.000500000000000006</v>
      </c>
      <c r="AL180" s="192" t="n">
        <v>0.009</v>
      </c>
      <c r="AM180" s="192" t="n">
        <v>0.45</v>
      </c>
      <c r="AN180" s="192" t="n">
        <v>0.015</v>
      </c>
      <c r="AO180" s="192" t="n">
        <v>0</v>
      </c>
      <c r="AP180" s="192" t="n">
        <v>-0.12</v>
      </c>
      <c r="AQ180" s="192" t="n">
        <v>-0.19</v>
      </c>
      <c r="AS180" s="192" t="n">
        <v>0</v>
      </c>
      <c r="AT180" s="192" t="n">
        <v>0</v>
      </c>
      <c r="AU180" s="192" t="n">
        <v>0.295</v>
      </c>
      <c r="AV180" s="192" t="n">
        <v>0</v>
      </c>
      <c r="AW180" s="192" t="n">
        <v>-0.088</v>
      </c>
      <c r="AX180" s="192" t="n">
        <v>0</v>
      </c>
      <c r="AY180" s="192" t="n">
        <v>-0.088</v>
      </c>
      <c r="AZ180" s="192" t="n">
        <v>-0.03</v>
      </c>
      <c r="BA180" s="192" t="n">
        <v>-0.0755</v>
      </c>
      <c r="BB180" s="192" t="n">
        <v>-0.011</v>
      </c>
      <c r="BC180" s="192" t="n">
        <v>-0.038</v>
      </c>
      <c r="BD180" s="192" t="n">
        <v>-0.02</v>
      </c>
      <c r="BE180" s="192" t="n">
        <v>-0.06</v>
      </c>
      <c r="BF180" s="192" t="n">
        <v>-0.17</v>
      </c>
      <c r="BG180" s="192" t="n">
        <v>0</v>
      </c>
      <c r="BH180" s="192" t="n">
        <v>0.283</v>
      </c>
      <c r="BI180" s="192" t="n">
        <v>0.283</v>
      </c>
      <c r="BJ180" s="192" t="n">
        <v>0.365</v>
      </c>
    </row>
    <row r="181" customFormat="false" ht="12.75" hidden="false" customHeight="false" outlineLevel="0" collapsed="false">
      <c r="A181" s="194"/>
      <c r="B181" s="194" t="n">
        <v>4.093</v>
      </c>
      <c r="C181" s="200" t="n">
        <v>42125</v>
      </c>
      <c r="D181" s="194" t="n">
        <v>3.538</v>
      </c>
      <c r="E181" s="194" t="n">
        <v>0.15</v>
      </c>
      <c r="F181" s="194" t="n">
        <v>0.071330526889263</v>
      </c>
      <c r="G181" s="194" t="n">
        <v>-0.195</v>
      </c>
      <c r="H181" s="194" t="n">
        <v>-0.2</v>
      </c>
      <c r="I181" s="194" t="n">
        <v>-0.205</v>
      </c>
      <c r="J181" s="194" t="n">
        <v>-0.26</v>
      </c>
      <c r="K181" s="194" t="n">
        <v>-0.08</v>
      </c>
      <c r="L181" s="194" t="n">
        <v>-0.03</v>
      </c>
      <c r="M181" s="194" t="n">
        <v>-0.053</v>
      </c>
      <c r="N181" s="194" t="n">
        <v>-0.165</v>
      </c>
      <c r="O181" s="194" t="n">
        <v>-0.195</v>
      </c>
      <c r="P181" s="192" t="n">
        <v>-0.195</v>
      </c>
      <c r="Q181" s="192" t="n">
        <v>-0.0525</v>
      </c>
      <c r="R181" s="192" t="n">
        <v>-0.03</v>
      </c>
      <c r="S181" s="192" t="n">
        <v>0.263</v>
      </c>
      <c r="T181" s="192" t="n">
        <v>0.263</v>
      </c>
      <c r="U181" s="192" t="n">
        <v>0.168</v>
      </c>
      <c r="V181" s="192" t="n">
        <v>0</v>
      </c>
      <c r="W181" s="196" t="n">
        <v>0.1925</v>
      </c>
      <c r="X181" s="196" t="n">
        <v>0.2025</v>
      </c>
      <c r="Y181" s="196" t="n">
        <v>-0.007499999</v>
      </c>
      <c r="Z181" s="196" t="n">
        <v>-0.01625</v>
      </c>
      <c r="AA181" s="196" t="n">
        <v>0.01375</v>
      </c>
      <c r="AB181" s="196" t="n">
        <v>-0.001249999</v>
      </c>
      <c r="AC181" s="196" t="n">
        <v>0.005</v>
      </c>
      <c r="AD181" s="196" t="n">
        <v>0.016</v>
      </c>
      <c r="AE181" s="196" t="n">
        <v>-0.06</v>
      </c>
      <c r="AF181" s="196" t="n">
        <v>-0.031</v>
      </c>
      <c r="AG181" s="197" t="n">
        <v>-0.0395</v>
      </c>
      <c r="AH181" s="196" t="n">
        <v>-0.011</v>
      </c>
      <c r="AI181" s="192" t="n">
        <v>-0.052</v>
      </c>
      <c r="AJ181" s="192" t="n">
        <v>-0.075</v>
      </c>
      <c r="AK181" s="192" t="n">
        <v>0.000500000000000006</v>
      </c>
      <c r="AL181" s="192" t="n">
        <v>0.009</v>
      </c>
      <c r="AM181" s="192" t="n">
        <v>0.405</v>
      </c>
      <c r="AN181" s="192" t="n">
        <v>0.015</v>
      </c>
      <c r="AO181" s="192" t="n">
        <v>0</v>
      </c>
      <c r="AP181" s="192" t="n">
        <v>-0.12</v>
      </c>
      <c r="AQ181" s="192" t="n">
        <v>-0.19</v>
      </c>
      <c r="AS181" s="192" t="n">
        <v>0</v>
      </c>
      <c r="AT181" s="192" t="n">
        <v>0</v>
      </c>
      <c r="AU181" s="192" t="n">
        <v>0.295</v>
      </c>
      <c r="AV181" s="192" t="n">
        <v>0</v>
      </c>
      <c r="AW181" s="192" t="n">
        <v>-0.0855</v>
      </c>
      <c r="AX181" s="192" t="n">
        <v>0</v>
      </c>
      <c r="AY181" s="192" t="n">
        <v>-0.0855</v>
      </c>
      <c r="AZ181" s="192" t="n">
        <v>-0.03</v>
      </c>
      <c r="BA181" s="192" t="n">
        <v>-0.0705</v>
      </c>
      <c r="BB181" s="192" t="n">
        <v>-0.011</v>
      </c>
      <c r="BC181" s="192" t="n">
        <v>-0.038</v>
      </c>
      <c r="BD181" s="192" t="n">
        <v>-0.02</v>
      </c>
      <c r="BE181" s="192" t="n">
        <v>-0.06</v>
      </c>
      <c r="BF181" s="192" t="n">
        <v>-0.17</v>
      </c>
      <c r="BG181" s="192" t="n">
        <v>0</v>
      </c>
      <c r="BH181" s="192" t="n">
        <v>0.293</v>
      </c>
      <c r="BI181" s="192" t="n">
        <v>0.293</v>
      </c>
      <c r="BJ181" s="192" t="n">
        <v>0.2975</v>
      </c>
    </row>
    <row r="182" customFormat="false" ht="12.75" hidden="false" customHeight="false" outlineLevel="0" collapsed="false">
      <c r="A182" s="194"/>
      <c r="B182" s="194" t="n">
        <v>3.971</v>
      </c>
      <c r="C182" s="200" t="n">
        <v>42156</v>
      </c>
      <c r="D182" s="194" t="n">
        <v>3.558</v>
      </c>
      <c r="E182" s="194" t="n">
        <v>0.15</v>
      </c>
      <c r="F182" s="194" t="n">
        <v>0.071340343193452</v>
      </c>
      <c r="G182" s="194" t="n">
        <v>-0.195</v>
      </c>
      <c r="H182" s="194" t="n">
        <v>-0.2</v>
      </c>
      <c r="I182" s="194" t="n">
        <v>-0.215</v>
      </c>
      <c r="J182" s="194" t="n">
        <v>-0.26</v>
      </c>
      <c r="K182" s="194" t="n">
        <v>-0.09</v>
      </c>
      <c r="L182" s="194" t="n">
        <v>-0.03</v>
      </c>
      <c r="M182" s="194" t="n">
        <v>-0.053</v>
      </c>
      <c r="N182" s="194" t="n">
        <v>-0.165</v>
      </c>
      <c r="O182" s="194" t="n">
        <v>-0.195</v>
      </c>
      <c r="P182" s="192" t="n">
        <v>-0.195</v>
      </c>
      <c r="Q182" s="192" t="n">
        <v>-0.05</v>
      </c>
      <c r="R182" s="192" t="n">
        <v>-0.03</v>
      </c>
      <c r="S182" s="192" t="n">
        <v>0.258</v>
      </c>
      <c r="T182" s="192" t="n">
        <v>0.258</v>
      </c>
      <c r="U182" s="192" t="n">
        <v>0.163</v>
      </c>
      <c r="V182" s="192" t="n">
        <v>0</v>
      </c>
      <c r="W182" s="196" t="n">
        <v>0.1925</v>
      </c>
      <c r="X182" s="196" t="n">
        <v>0.2025</v>
      </c>
      <c r="Y182" s="196" t="n">
        <v>-0.007499999</v>
      </c>
      <c r="Z182" s="196" t="n">
        <v>-0.01625</v>
      </c>
      <c r="AA182" s="196" t="n">
        <v>0.01375</v>
      </c>
      <c r="AB182" s="196" t="n">
        <v>-0.001249999</v>
      </c>
      <c r="AC182" s="196" t="n">
        <v>0.005</v>
      </c>
      <c r="AD182" s="196" t="n">
        <v>0.016</v>
      </c>
      <c r="AE182" s="196" t="n">
        <v>-0.06</v>
      </c>
      <c r="AF182" s="196" t="n">
        <v>-0.031</v>
      </c>
      <c r="AG182" s="197" t="n">
        <v>-0.0395</v>
      </c>
      <c r="AH182" s="196" t="n">
        <v>-0.011</v>
      </c>
      <c r="AI182" s="192" t="n">
        <v>-0.068</v>
      </c>
      <c r="AJ182" s="192" t="n">
        <v>-0.07</v>
      </c>
      <c r="AK182" s="192" t="n">
        <v>0.000500000000000006</v>
      </c>
      <c r="AL182" s="192" t="n">
        <v>0.009</v>
      </c>
      <c r="AM182" s="192" t="n">
        <v>0.395</v>
      </c>
      <c r="AN182" s="192" t="n">
        <v>0.02</v>
      </c>
      <c r="AO182" s="192" t="n">
        <v>0</v>
      </c>
      <c r="AP182" s="192" t="n">
        <v>-0.12</v>
      </c>
      <c r="AQ182" s="192" t="n">
        <v>-0.19</v>
      </c>
      <c r="AS182" s="192" t="n">
        <v>0</v>
      </c>
      <c r="AT182" s="192" t="n">
        <v>0</v>
      </c>
      <c r="AU182" s="192" t="n">
        <v>0.295</v>
      </c>
      <c r="AV182" s="192" t="n">
        <v>0</v>
      </c>
      <c r="AW182" s="192" t="n">
        <v>-0.078</v>
      </c>
      <c r="AX182" s="192" t="n">
        <v>0</v>
      </c>
      <c r="AY182" s="192" t="n">
        <v>-0.078</v>
      </c>
      <c r="AZ182" s="192" t="n">
        <v>-0.03</v>
      </c>
      <c r="BA182" s="192" t="n">
        <v>-0.0655</v>
      </c>
      <c r="BB182" s="192" t="n">
        <v>-0.011</v>
      </c>
      <c r="BC182" s="192" t="n">
        <v>-0.038</v>
      </c>
      <c r="BD182" s="192" t="n">
        <v>-0.015</v>
      </c>
      <c r="BE182" s="192" t="n">
        <v>-0.06</v>
      </c>
      <c r="BF182" s="192" t="n">
        <v>-0.17</v>
      </c>
      <c r="BG182" s="192" t="n">
        <v>0</v>
      </c>
      <c r="BH182" s="192" t="n">
        <v>0.288</v>
      </c>
      <c r="BI182" s="192" t="n">
        <v>0.288</v>
      </c>
      <c r="BJ182" s="192" t="n">
        <v>0.2975</v>
      </c>
    </row>
    <row r="183" customFormat="false" ht="12.75" hidden="false" customHeight="false" outlineLevel="0" collapsed="false">
      <c r="A183" s="194"/>
      <c r="B183" s="194" t="n">
        <v>3.852</v>
      </c>
      <c r="C183" s="200" t="n">
        <v>42186</v>
      </c>
      <c r="D183" s="194" t="n">
        <v>3.566</v>
      </c>
      <c r="E183" s="194" t="n">
        <v>0.15</v>
      </c>
      <c r="F183" s="194" t="n">
        <v>0.071349842842698</v>
      </c>
      <c r="G183" s="194" t="n">
        <v>-0.195</v>
      </c>
      <c r="H183" s="194" t="n">
        <v>-0.2</v>
      </c>
      <c r="I183" s="194" t="n">
        <v>-0.215</v>
      </c>
      <c r="J183" s="194" t="n">
        <v>-0.28</v>
      </c>
      <c r="K183" s="194" t="n">
        <v>-0.09</v>
      </c>
      <c r="L183" s="194" t="n">
        <v>-0.03</v>
      </c>
      <c r="M183" s="194" t="n">
        <v>-0.053</v>
      </c>
      <c r="N183" s="194" t="n">
        <v>-0.165</v>
      </c>
      <c r="O183" s="194" t="n">
        <v>-0.195</v>
      </c>
      <c r="P183" s="192" t="n">
        <v>-0.195</v>
      </c>
      <c r="Q183" s="192" t="n">
        <v>-0.04875</v>
      </c>
      <c r="R183" s="192" t="n">
        <v>-0.03</v>
      </c>
      <c r="S183" s="192" t="n">
        <v>0.248</v>
      </c>
      <c r="T183" s="192" t="n">
        <v>0.248</v>
      </c>
      <c r="U183" s="192" t="n">
        <v>0.153</v>
      </c>
      <c r="V183" s="192" t="n">
        <v>0</v>
      </c>
      <c r="W183" s="196" t="n">
        <v>0.1925</v>
      </c>
      <c r="X183" s="196" t="n">
        <v>0.215</v>
      </c>
      <c r="Y183" s="196" t="n">
        <v>-0.007499999</v>
      </c>
      <c r="Z183" s="196" t="n">
        <v>-0.01625</v>
      </c>
      <c r="AA183" s="196" t="n">
        <v>0.01375</v>
      </c>
      <c r="AB183" s="196" t="n">
        <v>-0.001249999</v>
      </c>
      <c r="AC183" s="196" t="n">
        <v>0.005</v>
      </c>
      <c r="AD183" s="196" t="n">
        <v>0.016</v>
      </c>
      <c r="AE183" s="196" t="n">
        <v>-0.06</v>
      </c>
      <c r="AF183" s="196" t="n">
        <v>-0.031</v>
      </c>
      <c r="AG183" s="197" t="n">
        <v>-0.0395</v>
      </c>
      <c r="AH183" s="196" t="n">
        <v>-0.011</v>
      </c>
      <c r="AI183" s="192" t="n">
        <v>-0.061</v>
      </c>
      <c r="AJ183" s="192" t="n">
        <v>-0.0675</v>
      </c>
      <c r="AK183" s="192" t="n">
        <v>0.000500000000000006</v>
      </c>
      <c r="AL183" s="192" t="n">
        <v>0.009</v>
      </c>
      <c r="AM183" s="192" t="n">
        <v>0.43</v>
      </c>
      <c r="AN183" s="192" t="n">
        <v>0.0225</v>
      </c>
      <c r="AO183" s="192" t="n">
        <v>0</v>
      </c>
      <c r="AP183" s="192" t="n">
        <v>-0.12</v>
      </c>
      <c r="AQ183" s="192" t="n">
        <v>-0.19</v>
      </c>
      <c r="AS183" s="192" t="n">
        <v>0</v>
      </c>
      <c r="AT183" s="192" t="n">
        <v>0</v>
      </c>
      <c r="AU183" s="192" t="n">
        <v>0.295</v>
      </c>
      <c r="AV183" s="192" t="n">
        <v>0</v>
      </c>
      <c r="AW183" s="192" t="n">
        <v>-0.0855</v>
      </c>
      <c r="AX183" s="192" t="n">
        <v>0</v>
      </c>
      <c r="AY183" s="192" t="n">
        <v>-0.0855</v>
      </c>
      <c r="AZ183" s="192" t="n">
        <v>-0.03</v>
      </c>
      <c r="BA183" s="192" t="n">
        <v>-0.0605</v>
      </c>
      <c r="BB183" s="192" t="n">
        <v>-0.011</v>
      </c>
      <c r="BC183" s="192" t="n">
        <v>-0.038</v>
      </c>
      <c r="BD183" s="192" t="n">
        <v>-0.0125</v>
      </c>
      <c r="BE183" s="192" t="n">
        <v>-0.06</v>
      </c>
      <c r="BF183" s="192" t="n">
        <v>-0.17</v>
      </c>
      <c r="BG183" s="192" t="n">
        <v>0</v>
      </c>
      <c r="BH183" s="192" t="n">
        <v>0.278</v>
      </c>
      <c r="BI183" s="192" t="n">
        <v>0.278</v>
      </c>
      <c r="BJ183" s="192" t="n">
        <v>0.31</v>
      </c>
    </row>
    <row r="184" customFormat="false" ht="12.75" hidden="false" customHeight="false" outlineLevel="0" collapsed="false">
      <c r="A184" s="194"/>
      <c r="B184" s="194" t="n">
        <v>3.836</v>
      </c>
      <c r="C184" s="200" t="n">
        <v>42217</v>
      </c>
      <c r="D184" s="194" t="n">
        <v>3.573</v>
      </c>
      <c r="E184" s="194" t="n">
        <v>0.15</v>
      </c>
      <c r="F184" s="194" t="n">
        <v>0.07135965914695</v>
      </c>
      <c r="G184" s="194" t="n">
        <v>-0.195</v>
      </c>
      <c r="H184" s="194" t="n">
        <v>-0.2</v>
      </c>
      <c r="I184" s="194" t="n">
        <v>-0.215</v>
      </c>
      <c r="J184" s="194" t="n">
        <v>-0.28</v>
      </c>
      <c r="K184" s="194" t="n">
        <v>-0.09</v>
      </c>
      <c r="L184" s="194" t="n">
        <v>-0.03</v>
      </c>
      <c r="M184" s="194" t="n">
        <v>-0.053</v>
      </c>
      <c r="N184" s="194" t="n">
        <v>-0.165</v>
      </c>
      <c r="O184" s="194" t="n">
        <v>-0.195</v>
      </c>
      <c r="P184" s="192" t="n">
        <v>-0.195</v>
      </c>
      <c r="Q184" s="192" t="n">
        <v>-0.0475</v>
      </c>
      <c r="R184" s="192" t="n">
        <v>-0.03</v>
      </c>
      <c r="S184" s="192" t="n">
        <v>0.245</v>
      </c>
      <c r="T184" s="192" t="n">
        <v>0.245</v>
      </c>
      <c r="U184" s="192" t="n">
        <v>0.15</v>
      </c>
      <c r="V184" s="192" t="n">
        <v>0</v>
      </c>
      <c r="W184" s="196" t="n">
        <v>0.1925</v>
      </c>
      <c r="X184" s="196" t="n">
        <v>0.215</v>
      </c>
      <c r="Y184" s="196" t="n">
        <v>-0.007499999</v>
      </c>
      <c r="Z184" s="196" t="n">
        <v>-0.01625</v>
      </c>
      <c r="AA184" s="196" t="n">
        <v>0.01375</v>
      </c>
      <c r="AB184" s="196" t="n">
        <v>-0.001249999</v>
      </c>
      <c r="AC184" s="196" t="n">
        <v>0.005</v>
      </c>
      <c r="AD184" s="196" t="n">
        <v>0.016</v>
      </c>
      <c r="AE184" s="196" t="n">
        <v>-0.06</v>
      </c>
      <c r="AF184" s="196" t="n">
        <v>-0.031</v>
      </c>
      <c r="AG184" s="197" t="n">
        <v>-0.0395</v>
      </c>
      <c r="AH184" s="196" t="n">
        <v>-0.011</v>
      </c>
      <c r="AI184" s="192" t="n">
        <v>-0.042</v>
      </c>
      <c r="AJ184" s="192" t="n">
        <v>-0.065</v>
      </c>
      <c r="AK184" s="192" t="n">
        <v>0.000500000000000006</v>
      </c>
      <c r="AL184" s="192" t="n">
        <v>0.009</v>
      </c>
      <c r="AM184" s="192" t="n">
        <v>0.495</v>
      </c>
      <c r="AN184" s="192" t="n">
        <v>0.025</v>
      </c>
      <c r="AO184" s="192" t="n">
        <v>0</v>
      </c>
      <c r="AP184" s="192" t="n">
        <v>0</v>
      </c>
      <c r="AQ184" s="192" t="n">
        <v>-0.19</v>
      </c>
      <c r="AS184" s="192" t="n">
        <v>0</v>
      </c>
      <c r="AT184" s="192" t="n">
        <v>0</v>
      </c>
      <c r="AU184" s="192" t="n">
        <v>0.295</v>
      </c>
      <c r="AV184" s="192" t="n">
        <v>0</v>
      </c>
      <c r="AW184" s="192" t="n">
        <v>-0.073</v>
      </c>
      <c r="AX184" s="192" t="n">
        <v>0</v>
      </c>
      <c r="AY184" s="192" t="n">
        <v>-0.073</v>
      </c>
      <c r="AZ184" s="192" t="n">
        <v>-0.03</v>
      </c>
      <c r="BA184" s="192" t="n">
        <v>-0.0605</v>
      </c>
      <c r="BB184" s="192" t="n">
        <v>-0.011</v>
      </c>
      <c r="BC184" s="192" t="n">
        <v>-0.038</v>
      </c>
      <c r="BD184" s="192" t="n">
        <v>-0.01</v>
      </c>
      <c r="BE184" s="192" t="n">
        <v>-0.06</v>
      </c>
      <c r="BF184" s="192" t="n">
        <v>-0.17</v>
      </c>
      <c r="BG184" s="192" t="n">
        <v>0</v>
      </c>
      <c r="BH184" s="192" t="n">
        <v>0.275</v>
      </c>
      <c r="BI184" s="192" t="n">
        <v>0.275</v>
      </c>
      <c r="BJ184" s="192" t="n">
        <v>0.31</v>
      </c>
    </row>
    <row r="185" customFormat="false" ht="12.75" hidden="false" customHeight="false" outlineLevel="0" collapsed="false">
      <c r="A185" s="194"/>
      <c r="B185" s="194" t="n">
        <v>3.828</v>
      </c>
      <c r="C185" s="200" t="n">
        <v>42248</v>
      </c>
      <c r="D185" s="194" t="n">
        <v>3.551</v>
      </c>
      <c r="E185" s="194" t="n">
        <v>0.15</v>
      </c>
      <c r="F185" s="194" t="n">
        <v>0.071369475451234</v>
      </c>
      <c r="G185" s="194" t="n">
        <v>-0.195</v>
      </c>
      <c r="H185" s="194" t="n">
        <v>-0.2</v>
      </c>
      <c r="I185" s="194" t="n">
        <v>-0.205</v>
      </c>
      <c r="J185" s="194" t="n">
        <v>-0.28</v>
      </c>
      <c r="K185" s="194" t="n">
        <v>-0.08</v>
      </c>
      <c r="L185" s="194" t="n">
        <v>0</v>
      </c>
      <c r="M185" s="194" t="n">
        <v>-0.053</v>
      </c>
      <c r="N185" s="194" t="n">
        <v>-0.165</v>
      </c>
      <c r="O185" s="194" t="n">
        <v>-0.195</v>
      </c>
      <c r="P185" s="192" t="n">
        <v>-0.195</v>
      </c>
      <c r="Q185" s="192" t="n">
        <v>0</v>
      </c>
      <c r="R185" s="192" t="n">
        <v>0</v>
      </c>
      <c r="S185" s="192" t="n">
        <v>0.243</v>
      </c>
      <c r="T185" s="192" t="n">
        <v>0.243</v>
      </c>
      <c r="U185" s="192" t="n">
        <v>0.148</v>
      </c>
      <c r="V185" s="192" t="n">
        <v>0</v>
      </c>
      <c r="W185" s="196" t="n">
        <v>0.1925</v>
      </c>
      <c r="X185" s="196" t="n">
        <v>0.195</v>
      </c>
      <c r="Y185" s="196" t="n">
        <v>-0.007499999</v>
      </c>
      <c r="Z185" s="196" t="n">
        <v>-0.01625</v>
      </c>
      <c r="AA185" s="196" t="n">
        <v>0.01375</v>
      </c>
      <c r="AB185" s="196" t="n">
        <v>-0.001249999</v>
      </c>
      <c r="AC185" s="196" t="n">
        <v>0.005</v>
      </c>
      <c r="AD185" s="196" t="n">
        <v>0.016</v>
      </c>
      <c r="AE185" s="196" t="n">
        <v>-0.06</v>
      </c>
      <c r="AF185" s="196" t="n">
        <v>-0.031</v>
      </c>
      <c r="AG185" s="197" t="n">
        <v>-0.0395</v>
      </c>
      <c r="AH185" s="196" t="n">
        <v>-0.011</v>
      </c>
      <c r="AI185" s="192" t="n">
        <v>-0.04</v>
      </c>
      <c r="AJ185" s="192" t="n">
        <v>0</v>
      </c>
      <c r="AK185" s="192" t="n">
        <v>0.000500000000000006</v>
      </c>
      <c r="AL185" s="192" t="n">
        <v>0.009</v>
      </c>
      <c r="AM185" s="192" t="n">
        <v>0.395</v>
      </c>
      <c r="AN185" s="192" t="n">
        <v>0.0175</v>
      </c>
      <c r="AO185" s="192" t="n">
        <v>0</v>
      </c>
      <c r="AP185" s="192" t="n">
        <v>0</v>
      </c>
      <c r="AQ185" s="192" t="n">
        <v>-0.19</v>
      </c>
      <c r="AS185" s="192" t="n">
        <v>0</v>
      </c>
      <c r="AT185" s="192" t="n">
        <v>0</v>
      </c>
      <c r="AU185" s="192" t="n">
        <v>0.295</v>
      </c>
      <c r="AV185" s="192" t="n">
        <v>0</v>
      </c>
      <c r="AW185" s="192" t="n">
        <v>-0.078</v>
      </c>
      <c r="AX185" s="192" t="n">
        <v>0</v>
      </c>
      <c r="AY185" s="192" t="n">
        <v>-0.078</v>
      </c>
      <c r="AZ185" s="192" t="n">
        <v>0</v>
      </c>
      <c r="BA185" s="192" t="n">
        <v>-0.0755</v>
      </c>
      <c r="BB185" s="192" t="n">
        <v>-0.011</v>
      </c>
      <c r="BC185" s="192" t="n">
        <v>-0.038</v>
      </c>
      <c r="BD185" s="192" t="n">
        <v>-0.0175</v>
      </c>
      <c r="BE185" s="192" t="n">
        <v>-0.06</v>
      </c>
      <c r="BF185" s="192" t="n">
        <v>-0.17</v>
      </c>
      <c r="BG185" s="192" t="n">
        <v>0</v>
      </c>
      <c r="BH185" s="192" t="n">
        <v>0.273</v>
      </c>
      <c r="BI185" s="192" t="n">
        <v>0.273</v>
      </c>
      <c r="BJ185" s="192" t="n">
        <v>0.3</v>
      </c>
    </row>
    <row r="186" customFormat="false" ht="12.75" hidden="false" customHeight="false" outlineLevel="0" collapsed="false">
      <c r="A186" s="194"/>
      <c r="B186" s="194" t="n">
        <v>3.893</v>
      </c>
      <c r="C186" s="200" t="n">
        <v>42278</v>
      </c>
      <c r="D186" s="194" t="n">
        <v>3.562</v>
      </c>
      <c r="E186" s="194" t="n">
        <v>0.15</v>
      </c>
      <c r="F186" s="194" t="n">
        <v>0.071378975100571</v>
      </c>
      <c r="G186" s="194" t="n">
        <v>-0.195</v>
      </c>
      <c r="H186" s="194" t="n">
        <v>-0.2</v>
      </c>
      <c r="I186" s="194" t="n">
        <v>-0.19</v>
      </c>
      <c r="J186" s="194" t="n">
        <v>-0.28</v>
      </c>
      <c r="K186" s="194" t="n">
        <v>-0.065</v>
      </c>
      <c r="L186" s="194" t="n">
        <v>0</v>
      </c>
      <c r="M186" s="194" t="n">
        <v>-0.053</v>
      </c>
      <c r="N186" s="194" t="n">
        <v>-0.165</v>
      </c>
      <c r="O186" s="194" t="n">
        <v>-0.195</v>
      </c>
      <c r="P186" s="192" t="n">
        <v>-0.195</v>
      </c>
      <c r="Q186" s="192" t="n">
        <v>0</v>
      </c>
      <c r="R186" s="192" t="n">
        <v>0</v>
      </c>
      <c r="S186" s="192" t="n">
        <v>0.258</v>
      </c>
      <c r="T186" s="192" t="n">
        <v>0.258</v>
      </c>
      <c r="U186" s="192" t="n">
        <v>0.163</v>
      </c>
      <c r="V186" s="192" t="n">
        <v>0</v>
      </c>
      <c r="W186" s="196" t="n">
        <v>0.1975</v>
      </c>
      <c r="X186" s="196" t="n">
        <v>0.215</v>
      </c>
      <c r="Y186" s="196" t="n">
        <v>-0.007499999</v>
      </c>
      <c r="Z186" s="196" t="n">
        <v>-0.01625</v>
      </c>
      <c r="AA186" s="196" t="n">
        <v>-0.0045</v>
      </c>
      <c r="AB186" s="196" t="n">
        <v>-0.0195</v>
      </c>
      <c r="AC186" s="196" t="n">
        <v>0.005</v>
      </c>
      <c r="AD186" s="196" t="n">
        <v>0.016</v>
      </c>
      <c r="AE186" s="196" t="n">
        <v>-0.06</v>
      </c>
      <c r="AF186" s="196" t="n">
        <v>-0.031</v>
      </c>
      <c r="AG186" s="197" t="n">
        <v>-0.0395</v>
      </c>
      <c r="AH186" s="196" t="n">
        <v>-0.011</v>
      </c>
      <c r="AI186" s="192" t="n">
        <v>-0.042</v>
      </c>
      <c r="AJ186" s="192" t="n">
        <v>0</v>
      </c>
      <c r="AK186" s="192" t="n">
        <v>0.000500000000000006</v>
      </c>
      <c r="AL186" s="192" t="n">
        <v>0.009</v>
      </c>
      <c r="AM186" s="192" t="n">
        <v>0.461</v>
      </c>
      <c r="AN186" s="192" t="n">
        <v>0.0075</v>
      </c>
      <c r="AO186" s="192" t="n">
        <v>0</v>
      </c>
      <c r="AP186" s="192" t="n">
        <v>0</v>
      </c>
      <c r="AQ186" s="192" t="n">
        <v>-0.19</v>
      </c>
      <c r="AS186" s="192" t="n">
        <v>0</v>
      </c>
      <c r="AT186" s="192" t="n">
        <v>0</v>
      </c>
      <c r="AU186" s="192" t="n">
        <v>0.295</v>
      </c>
      <c r="AV186" s="192" t="n">
        <v>0</v>
      </c>
      <c r="AW186" s="192" t="n">
        <v>-0.088</v>
      </c>
      <c r="AX186" s="192" t="n">
        <v>0</v>
      </c>
      <c r="AY186" s="192" t="n">
        <v>-0.088</v>
      </c>
      <c r="AZ186" s="192" t="n">
        <v>0</v>
      </c>
      <c r="BA186" s="192" t="n">
        <v>-0.078</v>
      </c>
      <c r="BB186" s="192" t="n">
        <v>-0.011</v>
      </c>
      <c r="BC186" s="192" t="n">
        <v>-0.038</v>
      </c>
      <c r="BD186" s="192" t="n">
        <v>-0.0275</v>
      </c>
      <c r="BE186" s="192" t="n">
        <v>-0.06</v>
      </c>
      <c r="BF186" s="192" t="n">
        <v>-0.17</v>
      </c>
      <c r="BG186" s="192" t="n">
        <v>0</v>
      </c>
      <c r="BH186" s="192" t="n">
        <v>0.288</v>
      </c>
      <c r="BI186" s="192" t="n">
        <v>0.288</v>
      </c>
      <c r="BJ186" s="192" t="n">
        <v>0.37253</v>
      </c>
    </row>
    <row r="187" customFormat="false" ht="12.75" hidden="false" customHeight="false" outlineLevel="0" collapsed="false">
      <c r="A187" s="194"/>
      <c r="B187" s="194" t="n">
        <v>3.888</v>
      </c>
      <c r="C187" s="200" t="n">
        <v>42309</v>
      </c>
      <c r="D187" s="194" t="n">
        <v>3.594</v>
      </c>
      <c r="E187" s="194" t="n">
        <v>0.15</v>
      </c>
      <c r="F187" s="194" t="n">
        <v>0.071388791404918</v>
      </c>
      <c r="G187" s="194" t="n">
        <v>-0.19</v>
      </c>
      <c r="H187" s="194" t="n">
        <v>-0.195</v>
      </c>
      <c r="I187" s="194" t="n">
        <v>-0.1525</v>
      </c>
      <c r="J187" s="194" t="n">
        <v>-0.275</v>
      </c>
      <c r="K187" s="194" t="n">
        <v>-0.0275</v>
      </c>
      <c r="L187" s="194" t="n">
        <v>0</v>
      </c>
      <c r="M187" s="194" t="n">
        <v>-0.0675</v>
      </c>
      <c r="N187" s="194" t="n">
        <v>-0.16</v>
      </c>
      <c r="O187" s="194" t="n">
        <v>-0.19</v>
      </c>
      <c r="P187" s="192" t="n">
        <v>-0.19</v>
      </c>
      <c r="Q187" s="192" t="n">
        <v>0</v>
      </c>
      <c r="R187" s="192" t="n">
        <v>0</v>
      </c>
      <c r="S187" s="192" t="n">
        <v>0.32</v>
      </c>
      <c r="T187" s="192" t="n">
        <v>0.32</v>
      </c>
      <c r="U187" s="192" t="n">
        <v>0.225</v>
      </c>
      <c r="V187" s="192" t="n">
        <v>0</v>
      </c>
      <c r="W187" s="196" t="n">
        <v>0.2725</v>
      </c>
      <c r="X187" s="196" t="n">
        <v>0.315</v>
      </c>
      <c r="Y187" s="196" t="n">
        <v>-0.0105</v>
      </c>
      <c r="Z187" s="196" t="n">
        <v>-0.0295</v>
      </c>
      <c r="AA187" s="196" t="n">
        <v>-0.0035</v>
      </c>
      <c r="AB187" s="196" t="n">
        <v>-0.0185</v>
      </c>
      <c r="AC187" s="196" t="n">
        <v>0.005</v>
      </c>
      <c r="AD187" s="196" t="n">
        <v>0.013</v>
      </c>
      <c r="AE187" s="196" t="n">
        <v>-0.06</v>
      </c>
      <c r="AF187" s="196" t="n">
        <v>-0.026</v>
      </c>
      <c r="AG187" s="197" t="n">
        <v>-0.0375</v>
      </c>
      <c r="AH187" s="196" t="n">
        <v>-0.007499999</v>
      </c>
      <c r="AI187" s="192" t="n">
        <v>-0.0545</v>
      </c>
      <c r="AJ187" s="192" t="n">
        <v>0</v>
      </c>
      <c r="AK187" s="192" t="n">
        <v>0.0055</v>
      </c>
      <c r="AL187" s="192" t="n">
        <v>0.016</v>
      </c>
      <c r="AM187" s="192" t="n">
        <v>0.885</v>
      </c>
      <c r="AN187" s="192" t="n">
        <v>-0.0325</v>
      </c>
      <c r="AO187" s="192" t="n">
        <v>0</v>
      </c>
      <c r="AP187" s="192" t="n">
        <v>0</v>
      </c>
      <c r="AQ187" s="192" t="n">
        <v>-0.19</v>
      </c>
      <c r="AS187" s="192" t="n">
        <v>0</v>
      </c>
      <c r="AT187" s="192" t="n">
        <v>0</v>
      </c>
      <c r="AU187" s="192" t="n">
        <v>0.12</v>
      </c>
      <c r="AV187" s="192" t="n">
        <v>0</v>
      </c>
      <c r="AW187" s="192" t="n">
        <v>-0.1005</v>
      </c>
      <c r="AX187" s="192" t="n">
        <v>0</v>
      </c>
      <c r="AY187" s="192" t="n">
        <v>-0.1005</v>
      </c>
      <c r="AZ187" s="192" t="n">
        <v>0</v>
      </c>
      <c r="BA187" s="192" t="n">
        <v>-0.083</v>
      </c>
      <c r="BB187" s="192" t="n">
        <v>-0.0125</v>
      </c>
      <c r="BC187" s="192" t="n">
        <v>-0.0525</v>
      </c>
      <c r="BD187" s="192" t="n">
        <v>-0.0675</v>
      </c>
      <c r="BE187" s="192" t="n">
        <v>-0.06</v>
      </c>
      <c r="BF187" s="192" t="n">
        <v>-0.17</v>
      </c>
      <c r="BG187" s="192" t="n">
        <v>0</v>
      </c>
      <c r="BH187" s="192" t="n">
        <v>0.365</v>
      </c>
      <c r="BI187" s="192" t="n">
        <v>0.365</v>
      </c>
      <c r="BJ187" s="192" t="n">
        <v>0.56</v>
      </c>
    </row>
    <row r="188" customFormat="false" ht="12.75" hidden="false" customHeight="false" outlineLevel="0" collapsed="false">
      <c r="A188" s="194"/>
      <c r="B188" s="194" t="n">
        <v>3.866</v>
      </c>
      <c r="C188" s="200" t="n">
        <v>42339</v>
      </c>
      <c r="D188" s="194" t="n">
        <v>3.634</v>
      </c>
      <c r="E188" s="194" t="n">
        <v>0.15</v>
      </c>
      <c r="F188" s="194" t="n">
        <v>0.071398291054316</v>
      </c>
      <c r="G188" s="194" t="n">
        <v>-0.1975</v>
      </c>
      <c r="H188" s="194" t="n">
        <v>-0.2025</v>
      </c>
      <c r="I188" s="194" t="n">
        <v>-0.145</v>
      </c>
      <c r="J188" s="194" t="n">
        <v>-0.2825</v>
      </c>
      <c r="K188" s="194" t="n">
        <v>-0.02</v>
      </c>
      <c r="L188" s="194" t="n">
        <v>0</v>
      </c>
      <c r="M188" s="194" t="n">
        <v>-0.0675</v>
      </c>
      <c r="N188" s="194" t="n">
        <v>-0.1675</v>
      </c>
      <c r="O188" s="194" t="n">
        <v>-0.1975</v>
      </c>
      <c r="P188" s="192" t="n">
        <v>-0.1975</v>
      </c>
      <c r="Q188" s="192" t="n">
        <v>0</v>
      </c>
      <c r="R188" s="192" t="n">
        <v>0</v>
      </c>
      <c r="S188" s="192" t="n">
        <v>0.36</v>
      </c>
      <c r="T188" s="192" t="n">
        <v>0.36</v>
      </c>
      <c r="U188" s="192" t="n">
        <v>0.265</v>
      </c>
      <c r="V188" s="192" t="n">
        <v>0</v>
      </c>
      <c r="W188" s="196" t="n">
        <v>0.3075</v>
      </c>
      <c r="X188" s="196" t="n">
        <v>0.395</v>
      </c>
      <c r="Y188" s="196" t="n">
        <v>-0.0105</v>
      </c>
      <c r="Z188" s="196" t="n">
        <v>-0.022</v>
      </c>
      <c r="AA188" s="196" t="n">
        <v>-0.0035</v>
      </c>
      <c r="AB188" s="196" t="n">
        <v>-0.0185</v>
      </c>
      <c r="AC188" s="196" t="n">
        <v>0.005</v>
      </c>
      <c r="AD188" s="196" t="n">
        <v>0.013</v>
      </c>
      <c r="AE188" s="196" t="n">
        <v>-0.06</v>
      </c>
      <c r="AF188" s="196" t="n">
        <v>-0.026</v>
      </c>
      <c r="AG188" s="197" t="n">
        <v>-0.0375</v>
      </c>
      <c r="AH188" s="196" t="n">
        <v>-0.007499999</v>
      </c>
      <c r="AI188" s="192" t="n">
        <v>-0.0545</v>
      </c>
      <c r="AJ188" s="192" t="n">
        <v>0</v>
      </c>
      <c r="AK188" s="192" t="n">
        <v>0.0055</v>
      </c>
      <c r="AL188" s="192" t="n">
        <v>0.016</v>
      </c>
      <c r="AM188" s="192" t="n">
        <v>1.31</v>
      </c>
      <c r="AN188" s="192" t="n">
        <v>-0.055</v>
      </c>
      <c r="AO188" s="192" t="n">
        <v>0</v>
      </c>
      <c r="AP188" s="192" t="n">
        <v>0</v>
      </c>
      <c r="AQ188" s="192" t="n">
        <v>-0.19</v>
      </c>
      <c r="AS188" s="192" t="n">
        <v>0</v>
      </c>
      <c r="AT188" s="192" t="n">
        <v>0</v>
      </c>
      <c r="AU188" s="192" t="n">
        <v>0.12</v>
      </c>
      <c r="AV188" s="192" t="n">
        <v>0</v>
      </c>
      <c r="AW188" s="192" t="n">
        <v>-0.1255</v>
      </c>
      <c r="AX188" s="192" t="n">
        <v>0</v>
      </c>
      <c r="AY188" s="192" t="n">
        <v>-0.1255</v>
      </c>
      <c r="AZ188" s="192" t="n">
        <v>0</v>
      </c>
      <c r="BA188" s="192" t="n">
        <v>-0.1155</v>
      </c>
      <c r="BB188" s="192" t="n">
        <v>-0.0125</v>
      </c>
      <c r="BC188" s="192" t="n">
        <v>-0.0525</v>
      </c>
      <c r="BD188" s="192" t="n">
        <v>-0.09</v>
      </c>
      <c r="BE188" s="192" t="n">
        <v>-0.06</v>
      </c>
      <c r="BF188" s="192" t="n">
        <v>-0.17</v>
      </c>
      <c r="BG188" s="192" t="n">
        <v>0</v>
      </c>
      <c r="BH188" s="192" t="n">
        <v>0.405</v>
      </c>
      <c r="BI188" s="192" t="n">
        <v>0.405</v>
      </c>
      <c r="BJ188" s="192" t="n">
        <v>0.91</v>
      </c>
    </row>
    <row r="189" customFormat="false" ht="12.75" hidden="false" customHeight="false" outlineLevel="0" collapsed="false">
      <c r="A189" s="194"/>
      <c r="B189" s="194" t="n">
        <v>3.872</v>
      </c>
      <c r="C189" s="200" t="n">
        <v>42370</v>
      </c>
      <c r="D189" s="194" t="n">
        <v>4.073</v>
      </c>
      <c r="E189" s="194" t="n">
        <v>0.15</v>
      </c>
      <c r="F189" s="194" t="n">
        <v>0.071408107358725</v>
      </c>
      <c r="G189" s="194" t="n">
        <v>-0.16</v>
      </c>
      <c r="H189" s="194" t="n">
        <v>-0.165</v>
      </c>
      <c r="I189" s="194" t="n">
        <v>-0.13</v>
      </c>
      <c r="J189" s="194" t="n">
        <v>-0.265</v>
      </c>
      <c r="K189" s="194" t="n">
        <v>-0.005</v>
      </c>
      <c r="L189" s="194" t="n">
        <v>0</v>
      </c>
      <c r="M189" s="194" t="n">
        <v>-0.0675</v>
      </c>
      <c r="N189" s="194" t="n">
        <v>-0.13</v>
      </c>
      <c r="O189" s="194" t="n">
        <v>-0.16</v>
      </c>
      <c r="P189" s="192" t="n">
        <v>-0.16</v>
      </c>
      <c r="Q189" s="192" t="n">
        <v>0</v>
      </c>
      <c r="R189" s="192" t="n">
        <v>0</v>
      </c>
      <c r="S189" s="192" t="n">
        <v>0.37</v>
      </c>
      <c r="T189" s="192" t="n">
        <v>0.37</v>
      </c>
      <c r="U189" s="192" t="n">
        <v>0.275</v>
      </c>
      <c r="V189" s="192" t="n">
        <v>0</v>
      </c>
      <c r="W189" s="196" t="n">
        <v>0.3125</v>
      </c>
      <c r="X189" s="196" t="n">
        <v>0.465</v>
      </c>
      <c r="Y189" s="196" t="n">
        <v>-0.005999999</v>
      </c>
      <c r="Z189" s="196" t="n">
        <v>-0.022</v>
      </c>
      <c r="AA189" s="196" t="n">
        <v>-0.0035</v>
      </c>
      <c r="AB189" s="196" t="n">
        <v>-0.0185</v>
      </c>
      <c r="AC189" s="196" t="n">
        <v>0.005</v>
      </c>
      <c r="AD189" s="196" t="n">
        <v>0.013</v>
      </c>
      <c r="AE189" s="196" t="n">
        <v>-0.06</v>
      </c>
      <c r="AF189" s="196" t="n">
        <v>-0.024</v>
      </c>
      <c r="AG189" s="197" t="n">
        <v>-0.0375</v>
      </c>
      <c r="AH189" s="196" t="n">
        <v>-0.007499999</v>
      </c>
      <c r="AI189" s="192" t="n">
        <v>-0.0475</v>
      </c>
      <c r="AJ189" s="192" t="n">
        <v>0</v>
      </c>
      <c r="AK189" s="192" t="n">
        <v>0.01</v>
      </c>
      <c r="AL189" s="192" t="n">
        <v>0.016</v>
      </c>
      <c r="AM189" s="192" t="n">
        <v>1.645</v>
      </c>
      <c r="AN189" s="192" t="n">
        <v>-0.0575</v>
      </c>
      <c r="AO189" s="192" t="n">
        <v>0</v>
      </c>
      <c r="AP189" s="192" t="n">
        <v>0</v>
      </c>
      <c r="AQ189" s="192" t="n">
        <v>-0.19</v>
      </c>
      <c r="AS189" s="192" t="n">
        <v>0</v>
      </c>
      <c r="AT189" s="192" t="n">
        <v>0</v>
      </c>
      <c r="AU189" s="192" t="n">
        <v>0.12</v>
      </c>
      <c r="AV189" s="192" t="n">
        <v>0</v>
      </c>
      <c r="AW189" s="192" t="n">
        <v>-0.1105</v>
      </c>
      <c r="AX189" s="192" t="n">
        <v>0</v>
      </c>
      <c r="AY189" s="192" t="n">
        <v>-0.1105</v>
      </c>
      <c r="AZ189" s="192" t="n">
        <v>0</v>
      </c>
      <c r="BA189" s="192" t="n">
        <v>-0.121</v>
      </c>
      <c r="BB189" s="192" t="n">
        <v>-0.0125</v>
      </c>
      <c r="BC189" s="192" t="n">
        <v>-0.0525</v>
      </c>
      <c r="BD189" s="192" t="n">
        <v>-0.0925</v>
      </c>
      <c r="BE189" s="192" t="n">
        <v>-0.06</v>
      </c>
      <c r="BF189" s="192" t="n">
        <v>-0.17</v>
      </c>
      <c r="BG189" s="192" t="n">
        <v>0</v>
      </c>
      <c r="BH189" s="192" t="n">
        <v>0.415</v>
      </c>
      <c r="BI189" s="192" t="n">
        <v>0.415</v>
      </c>
      <c r="BJ189" s="192" t="n">
        <v>1.235</v>
      </c>
    </row>
    <row r="190" customFormat="false" ht="12.75" hidden="false" customHeight="false" outlineLevel="0" collapsed="false">
      <c r="A190" s="194"/>
      <c r="B190" s="194" t="n">
        <v>3.924</v>
      </c>
      <c r="C190" s="200" t="n">
        <v>42401</v>
      </c>
      <c r="D190" s="194" t="n">
        <v>3.963</v>
      </c>
      <c r="E190" s="194" t="n">
        <v>0.15</v>
      </c>
      <c r="F190" s="194" t="n">
        <v>0.071417923663166</v>
      </c>
      <c r="G190" s="194" t="n">
        <v>-0.16</v>
      </c>
      <c r="H190" s="194" t="n">
        <v>-0.165</v>
      </c>
      <c r="I190" s="194" t="n">
        <v>-0.13</v>
      </c>
      <c r="J190" s="194" t="n">
        <v>-0.2675</v>
      </c>
      <c r="K190" s="194" t="n">
        <v>-0.005</v>
      </c>
      <c r="L190" s="194" t="n">
        <v>0</v>
      </c>
      <c r="M190" s="194" t="n">
        <v>-0.0675</v>
      </c>
      <c r="N190" s="194" t="n">
        <v>-0.13</v>
      </c>
      <c r="O190" s="194" t="n">
        <v>-0.16</v>
      </c>
      <c r="P190" s="192" t="n">
        <v>-0.16</v>
      </c>
      <c r="Q190" s="192" t="n">
        <v>0</v>
      </c>
      <c r="R190" s="192" t="n">
        <v>0</v>
      </c>
      <c r="S190" s="192" t="n">
        <v>0.345</v>
      </c>
      <c r="T190" s="192" t="n">
        <v>0.345</v>
      </c>
      <c r="U190" s="192" t="n">
        <v>0.25</v>
      </c>
      <c r="V190" s="192" t="n">
        <v>0</v>
      </c>
      <c r="W190" s="196" t="n">
        <v>0.3125</v>
      </c>
      <c r="X190" s="196" t="n">
        <v>0.435</v>
      </c>
      <c r="Y190" s="196" t="n">
        <v>-0.005999999</v>
      </c>
      <c r="Z190" s="196" t="n">
        <v>-0.022</v>
      </c>
      <c r="AA190" s="196" t="n">
        <v>-0.0035</v>
      </c>
      <c r="AB190" s="196" t="n">
        <v>-0.0185</v>
      </c>
      <c r="AC190" s="196" t="n">
        <v>0.005</v>
      </c>
      <c r="AD190" s="196" t="n">
        <v>0.013</v>
      </c>
      <c r="AE190" s="196" t="n">
        <v>-0.06</v>
      </c>
      <c r="AF190" s="196" t="n">
        <v>-0.024</v>
      </c>
      <c r="AG190" s="197" t="n">
        <v>-0.0375</v>
      </c>
      <c r="AH190" s="196" t="n">
        <v>-0.007499999</v>
      </c>
      <c r="AI190" s="192" t="n">
        <v>-0.0475</v>
      </c>
      <c r="AJ190" s="192" t="n">
        <v>0</v>
      </c>
      <c r="AK190" s="192" t="n">
        <v>0.01</v>
      </c>
      <c r="AL190" s="192" t="n">
        <v>0.016</v>
      </c>
      <c r="AM190" s="192" t="n">
        <v>1.595</v>
      </c>
      <c r="AN190" s="192" t="n">
        <v>-0.04</v>
      </c>
      <c r="AO190" s="192" t="n">
        <v>0</v>
      </c>
      <c r="AP190" s="192" t="n">
        <v>0</v>
      </c>
      <c r="AQ190" s="192" t="n">
        <v>-0.19</v>
      </c>
      <c r="AS190" s="192" t="n">
        <v>0</v>
      </c>
      <c r="AT190" s="192" t="n">
        <v>0</v>
      </c>
      <c r="AU190" s="192" t="n">
        <v>0.12</v>
      </c>
      <c r="AV190" s="192" t="n">
        <v>0</v>
      </c>
      <c r="AW190" s="192" t="n">
        <v>-0.113</v>
      </c>
      <c r="AX190" s="192" t="n">
        <v>0</v>
      </c>
      <c r="AY190" s="192" t="n">
        <v>-0.113</v>
      </c>
      <c r="AZ190" s="192" t="n">
        <v>0</v>
      </c>
      <c r="BA190" s="192" t="n">
        <v>-0.1035</v>
      </c>
      <c r="BB190" s="192" t="n">
        <v>-0.0125</v>
      </c>
      <c r="BC190" s="192" t="n">
        <v>-0.0525</v>
      </c>
      <c r="BD190" s="192" t="n">
        <v>-0.075</v>
      </c>
      <c r="BE190" s="192" t="n">
        <v>-0.06</v>
      </c>
      <c r="BF190" s="192" t="n">
        <v>-0.17</v>
      </c>
      <c r="BG190" s="192" t="n">
        <v>0</v>
      </c>
      <c r="BH190" s="192" t="n">
        <v>0.39</v>
      </c>
      <c r="BI190" s="192" t="n">
        <v>0.39</v>
      </c>
      <c r="BJ190" s="192" t="n">
        <v>1.235</v>
      </c>
    </row>
    <row r="191" customFormat="false" ht="12.75" hidden="false" customHeight="false" outlineLevel="0" collapsed="false">
      <c r="A191" s="194"/>
      <c r="B191" s="194" t="n">
        <v>3.997</v>
      </c>
      <c r="C191" s="200" t="n">
        <v>42430</v>
      </c>
      <c r="D191" s="194" t="n">
        <v>3.819</v>
      </c>
      <c r="E191" s="194" t="n">
        <v>0.15</v>
      </c>
      <c r="F191" s="194" t="n">
        <v>0.071427106657673</v>
      </c>
      <c r="G191" s="194" t="n">
        <v>-0.16</v>
      </c>
      <c r="H191" s="194" t="n">
        <v>-0.165</v>
      </c>
      <c r="I191" s="194" t="n">
        <v>-0.13</v>
      </c>
      <c r="J191" s="194" t="n">
        <v>-0.27</v>
      </c>
      <c r="K191" s="194" t="n">
        <v>-0.005</v>
      </c>
      <c r="L191" s="194" t="n">
        <v>0</v>
      </c>
      <c r="M191" s="194" t="n">
        <v>-0.0675</v>
      </c>
      <c r="N191" s="194" t="n">
        <v>-0.13</v>
      </c>
      <c r="O191" s="194" t="n">
        <v>-0.16</v>
      </c>
      <c r="P191" s="192" t="n">
        <v>-0.16</v>
      </c>
      <c r="Q191" s="192" t="n">
        <v>0</v>
      </c>
      <c r="R191" s="192" t="n">
        <v>0</v>
      </c>
      <c r="S191" s="192" t="n">
        <v>0.343</v>
      </c>
      <c r="T191" s="192" t="n">
        <v>0.343</v>
      </c>
      <c r="U191" s="192" t="n">
        <v>0.248</v>
      </c>
      <c r="V191" s="192" t="n">
        <v>0</v>
      </c>
      <c r="W191" s="196" t="n">
        <v>0.27</v>
      </c>
      <c r="X191" s="196" t="n">
        <v>0.39</v>
      </c>
      <c r="Y191" s="196" t="n">
        <v>-0.005999999</v>
      </c>
      <c r="Z191" s="196" t="n">
        <v>-0.022</v>
      </c>
      <c r="AA191" s="196" t="n">
        <v>0.015</v>
      </c>
      <c r="AB191" s="196" t="n">
        <v>0</v>
      </c>
      <c r="AC191" s="196" t="n">
        <v>0.005</v>
      </c>
      <c r="AD191" s="196" t="n">
        <v>0</v>
      </c>
      <c r="AE191" s="196" t="n">
        <v>-0.06</v>
      </c>
      <c r="AF191" s="196" t="n">
        <v>-0.024</v>
      </c>
      <c r="AG191" s="197" t="n">
        <v>-0.0375</v>
      </c>
      <c r="AH191" s="196" t="n">
        <v>-0.007499999</v>
      </c>
      <c r="AI191" s="192" t="n">
        <v>-0.0545</v>
      </c>
      <c r="AJ191" s="192" t="n">
        <v>0</v>
      </c>
      <c r="AK191" s="192" t="n">
        <v>0.01</v>
      </c>
      <c r="AL191" s="192" t="n">
        <v>0.016</v>
      </c>
      <c r="AM191" s="192" t="n">
        <v>0.965</v>
      </c>
      <c r="AN191" s="192" t="n">
        <v>-0.0275</v>
      </c>
      <c r="AO191" s="192" t="n">
        <v>0</v>
      </c>
      <c r="AP191" s="192" t="n">
        <v>0</v>
      </c>
      <c r="AQ191" s="192" t="n">
        <v>-0.19</v>
      </c>
      <c r="AS191" s="192" t="n">
        <v>0</v>
      </c>
      <c r="AT191" s="192" t="n">
        <v>0</v>
      </c>
      <c r="AU191" s="192" t="n">
        <v>0.12</v>
      </c>
      <c r="AV191" s="192" t="n">
        <v>0</v>
      </c>
      <c r="AW191" s="192" t="n">
        <v>-0.0955</v>
      </c>
      <c r="AX191" s="192" t="n">
        <v>0</v>
      </c>
      <c r="AY191" s="192" t="n">
        <v>-0.0955</v>
      </c>
      <c r="AZ191" s="192" t="n">
        <v>0</v>
      </c>
      <c r="BA191" s="192" t="n">
        <v>-0.0885</v>
      </c>
      <c r="BB191" s="192" t="n">
        <v>-0.0125</v>
      </c>
      <c r="BC191" s="192" t="n">
        <v>-0.0525</v>
      </c>
      <c r="BD191" s="192" t="n">
        <v>-0.0625</v>
      </c>
      <c r="BE191" s="192" t="n">
        <v>-0.06</v>
      </c>
      <c r="BF191" s="192" t="n">
        <v>-0.17</v>
      </c>
      <c r="BG191" s="192" t="n">
        <v>0</v>
      </c>
      <c r="BH191" s="192" t="n">
        <v>0.388</v>
      </c>
      <c r="BI191" s="192" t="n">
        <v>0.388</v>
      </c>
      <c r="BJ191" s="192" t="n">
        <v>0.875</v>
      </c>
    </row>
    <row r="192" customFormat="false" ht="12.75" hidden="false" customHeight="false" outlineLevel="0" collapsed="false">
      <c r="A192" s="194"/>
      <c r="B192" s="194" t="n">
        <v>4.269</v>
      </c>
      <c r="C192" s="200" t="n">
        <v>42461</v>
      </c>
      <c r="D192" s="194" t="n">
        <v>3.668</v>
      </c>
      <c r="E192" s="194" t="n">
        <v>0.15</v>
      </c>
      <c r="F192" s="194" t="n">
        <v>0.071436922962175</v>
      </c>
      <c r="G192" s="194" t="n">
        <v>-0.16</v>
      </c>
      <c r="H192" s="194" t="n">
        <v>-0.165</v>
      </c>
      <c r="I192" s="194" t="n">
        <v>-0.175</v>
      </c>
      <c r="J192" s="194" t="n">
        <v>-0.26</v>
      </c>
      <c r="K192" s="194" t="n">
        <v>-0.05</v>
      </c>
      <c r="L192" s="194" t="n">
        <v>0</v>
      </c>
      <c r="M192" s="194" t="n">
        <v>-0.0505</v>
      </c>
      <c r="N192" s="194" t="n">
        <v>-0.13</v>
      </c>
      <c r="O192" s="194" t="n">
        <v>-0.16</v>
      </c>
      <c r="P192" s="192" t="n">
        <v>-0.16</v>
      </c>
      <c r="Q192" s="192" t="n">
        <v>0</v>
      </c>
      <c r="R192" s="192" t="n">
        <v>0</v>
      </c>
      <c r="S192" s="192" t="n">
        <v>0.248</v>
      </c>
      <c r="T192" s="192" t="n">
        <v>0.248</v>
      </c>
      <c r="U192" s="192" t="n">
        <v>0.153</v>
      </c>
      <c r="V192" s="192" t="n">
        <v>0</v>
      </c>
      <c r="W192" s="196" t="n">
        <v>0.205</v>
      </c>
      <c r="X192" s="196" t="n">
        <v>0.25</v>
      </c>
      <c r="Y192" s="196" t="n">
        <v>-0.005499999</v>
      </c>
      <c r="Z192" s="196" t="n">
        <v>-0.0145</v>
      </c>
      <c r="AA192" s="196" t="n">
        <v>0.015</v>
      </c>
      <c r="AB192" s="196" t="n">
        <v>0</v>
      </c>
      <c r="AC192" s="196" t="n">
        <v>0.005</v>
      </c>
      <c r="AD192" s="196" t="n">
        <v>0</v>
      </c>
      <c r="AE192" s="196" t="n">
        <v>-0.06</v>
      </c>
      <c r="AF192" s="196" t="n">
        <v>-0.029</v>
      </c>
      <c r="AG192" s="197" t="n">
        <v>-0.0375</v>
      </c>
      <c r="AH192" s="196" t="n">
        <v>-0.009999999</v>
      </c>
      <c r="AI192" s="192" t="n">
        <v>-0.05</v>
      </c>
      <c r="AJ192" s="192" t="n">
        <v>0</v>
      </c>
      <c r="AK192" s="192" t="n">
        <v>0.0025</v>
      </c>
      <c r="AL192" s="192" t="n">
        <v>0.009</v>
      </c>
      <c r="AM192" s="192" t="n">
        <v>0.45</v>
      </c>
      <c r="AN192" s="192" t="n">
        <v>0.015</v>
      </c>
      <c r="AO192" s="192" t="n">
        <v>0</v>
      </c>
      <c r="AP192" s="192" t="n">
        <v>0</v>
      </c>
      <c r="AQ192" s="192" t="n">
        <v>-0.19</v>
      </c>
      <c r="AS192" s="192" t="n">
        <v>0</v>
      </c>
      <c r="AT192" s="192" t="n">
        <v>0</v>
      </c>
      <c r="AU192" s="192" t="n">
        <v>0.295</v>
      </c>
      <c r="AV192" s="192" t="n">
        <v>0</v>
      </c>
      <c r="AW192" s="192" t="n">
        <v>-0.086</v>
      </c>
      <c r="AX192" s="192" t="n">
        <v>0</v>
      </c>
      <c r="AY192" s="192" t="n">
        <v>-0.086</v>
      </c>
      <c r="AZ192" s="192" t="n">
        <v>0</v>
      </c>
      <c r="BA192" s="192" t="n">
        <v>-0.0735</v>
      </c>
      <c r="BB192" s="192" t="n">
        <v>-0.009999999</v>
      </c>
      <c r="BC192" s="192" t="n">
        <v>-0.0355</v>
      </c>
      <c r="BD192" s="192" t="n">
        <v>-0.02</v>
      </c>
      <c r="BE192" s="192" t="n">
        <v>-0.06</v>
      </c>
      <c r="BF192" s="192" t="n">
        <v>-0.17</v>
      </c>
      <c r="BG192" s="192" t="n">
        <v>0</v>
      </c>
      <c r="BH192" s="192" t="n">
        <v>0.278</v>
      </c>
      <c r="BI192" s="192" t="n">
        <v>0.278</v>
      </c>
      <c r="BJ192" s="192" t="n">
        <v>0.365</v>
      </c>
    </row>
    <row r="193" customFormat="false" ht="12.75" hidden="false" customHeight="false" outlineLevel="0" collapsed="false">
      <c r="A193" s="194"/>
      <c r="B193" s="194" t="n">
        <v>4.194</v>
      </c>
      <c r="C193" s="200" t="n">
        <v>42491</v>
      </c>
      <c r="D193" s="194" t="n">
        <v>3.631</v>
      </c>
      <c r="E193" s="194" t="n">
        <v>0.15</v>
      </c>
      <c r="F193" s="194" t="n">
        <v>0.071446422611724</v>
      </c>
      <c r="G193" s="194" t="n">
        <v>0</v>
      </c>
      <c r="H193" s="194" t="n">
        <v>0</v>
      </c>
      <c r="I193" s="194" t="n">
        <v>0</v>
      </c>
      <c r="J193" s="194" t="n">
        <v>0</v>
      </c>
      <c r="K193" s="194" t="n">
        <v>0</v>
      </c>
      <c r="L193" s="194" t="n">
        <v>0</v>
      </c>
      <c r="M193" s="194" t="n">
        <v>0</v>
      </c>
      <c r="N193" s="194" t="n">
        <v>0</v>
      </c>
      <c r="O193" s="194" t="n">
        <v>0</v>
      </c>
      <c r="P193" s="192" t="n">
        <v>0</v>
      </c>
      <c r="Q193" s="192" t="n">
        <v>0</v>
      </c>
      <c r="R193" s="192" t="n">
        <v>0</v>
      </c>
      <c r="S193" s="192" t="n">
        <v>0</v>
      </c>
      <c r="T193" s="192" t="n">
        <v>0</v>
      </c>
      <c r="U193" s="192" t="n">
        <v>0</v>
      </c>
      <c r="V193" s="192" t="n">
        <v>0</v>
      </c>
      <c r="W193" s="196" t="n">
        <v>0.1925</v>
      </c>
      <c r="X193" s="196" t="n">
        <v>0.2025</v>
      </c>
      <c r="Y193" s="196" t="n">
        <v>-0.005499999</v>
      </c>
      <c r="Z193" s="196" t="n">
        <v>-0.01475</v>
      </c>
      <c r="AA193" s="196" t="n">
        <v>0.01475</v>
      </c>
      <c r="AB193" s="196" t="n">
        <v>0.000249999999999993</v>
      </c>
      <c r="AC193" s="196" t="n">
        <v>0.005</v>
      </c>
      <c r="AD193" s="196" t="n">
        <v>0</v>
      </c>
      <c r="AE193" s="196" t="n">
        <v>-0.06</v>
      </c>
      <c r="AF193" s="196" t="n">
        <v>-0.029</v>
      </c>
      <c r="AG193" s="197" t="n">
        <v>-0.0375</v>
      </c>
      <c r="AH193" s="196" t="n">
        <v>-0.009999999</v>
      </c>
      <c r="AI193" s="192" t="n">
        <v>-0.05</v>
      </c>
      <c r="AJ193" s="192" t="n">
        <v>0</v>
      </c>
      <c r="AK193" s="192" t="n">
        <v>0.0025</v>
      </c>
      <c r="AL193" s="192" t="n">
        <v>0.009</v>
      </c>
      <c r="AM193" s="192" t="n">
        <v>0.405</v>
      </c>
      <c r="AN193" s="192" t="n">
        <v>0.015</v>
      </c>
      <c r="AO193" s="192" t="n">
        <v>0</v>
      </c>
      <c r="AP193" s="192" t="n">
        <v>0</v>
      </c>
      <c r="AQ193" s="192" t="n">
        <v>-0.19</v>
      </c>
      <c r="AS193" s="192" t="n">
        <v>0</v>
      </c>
      <c r="AT193" s="192" t="n">
        <v>0</v>
      </c>
      <c r="AU193" s="192" t="n">
        <v>0.295</v>
      </c>
      <c r="AV193" s="192" t="n">
        <v>0</v>
      </c>
      <c r="AW193" s="192" t="n">
        <v>-0.0835</v>
      </c>
      <c r="AX193" s="192" t="n">
        <v>0</v>
      </c>
      <c r="AY193" s="192" t="n">
        <v>-0.0835</v>
      </c>
      <c r="AZ193" s="192" t="n">
        <v>0</v>
      </c>
      <c r="BA193" s="192" t="n">
        <v>-0.0685</v>
      </c>
      <c r="BB193" s="192" t="n">
        <v>-0.009999999</v>
      </c>
      <c r="BC193" s="192" t="n">
        <v>0</v>
      </c>
      <c r="BD193" s="192" t="n">
        <v>-0.02</v>
      </c>
      <c r="BE193" s="192" t="n">
        <v>-0.06</v>
      </c>
      <c r="BF193" s="192" t="n">
        <v>-0.17</v>
      </c>
      <c r="BG193" s="192" t="n">
        <v>0</v>
      </c>
      <c r="BH193" s="192" t="n">
        <v>0</v>
      </c>
      <c r="BI193" s="192" t="n">
        <v>0</v>
      </c>
      <c r="BJ193" s="192" t="n">
        <v>0.2975</v>
      </c>
    </row>
    <row r="194" customFormat="false" ht="12.75" hidden="false" customHeight="false" outlineLevel="0" collapsed="false">
      <c r="A194" s="194"/>
      <c r="B194" s="194" t="n">
        <v>4.075</v>
      </c>
      <c r="C194" s="200" t="n">
        <v>42522</v>
      </c>
      <c r="D194" s="194" t="n">
        <v>3.652</v>
      </c>
      <c r="E194" s="194" t="n">
        <v>0.15</v>
      </c>
      <c r="F194" s="194" t="n">
        <v>0.07145623891629</v>
      </c>
      <c r="G194" s="194" t="n">
        <v>0</v>
      </c>
      <c r="H194" s="194" t="n">
        <v>0</v>
      </c>
      <c r="I194" s="194" t="n">
        <v>0</v>
      </c>
      <c r="J194" s="194" t="n">
        <v>0</v>
      </c>
      <c r="K194" s="194" t="n">
        <v>0</v>
      </c>
      <c r="L194" s="194" t="n">
        <v>0</v>
      </c>
      <c r="M194" s="194" t="n">
        <v>0</v>
      </c>
      <c r="N194" s="194" t="n">
        <v>0</v>
      </c>
      <c r="O194" s="194" t="n">
        <v>0</v>
      </c>
      <c r="P194" s="192" t="n">
        <v>0</v>
      </c>
      <c r="Q194" s="192" t="n">
        <v>0</v>
      </c>
      <c r="R194" s="192" t="n">
        <v>0</v>
      </c>
      <c r="S194" s="192" t="n">
        <v>0</v>
      </c>
      <c r="T194" s="192" t="n">
        <v>0</v>
      </c>
      <c r="U194" s="192" t="n">
        <v>0</v>
      </c>
      <c r="V194" s="192" t="n">
        <v>0</v>
      </c>
      <c r="W194" s="196" t="n">
        <v>0.1925</v>
      </c>
      <c r="X194" s="196" t="n">
        <v>0.2025</v>
      </c>
      <c r="Y194" s="196" t="n">
        <v>-0.005499999</v>
      </c>
      <c r="Z194" s="196" t="n">
        <v>-0.01475</v>
      </c>
      <c r="AA194" s="196" t="n">
        <v>0.01475</v>
      </c>
      <c r="AB194" s="196" t="n">
        <v>0.000249999999999993</v>
      </c>
      <c r="AC194" s="196" t="n">
        <v>0.005</v>
      </c>
      <c r="AD194" s="196" t="n">
        <v>0</v>
      </c>
      <c r="AE194" s="196" t="n">
        <v>-0.06</v>
      </c>
      <c r="AF194" s="196" t="n">
        <v>-0.029</v>
      </c>
      <c r="AG194" s="197" t="n">
        <v>-0.0375</v>
      </c>
      <c r="AH194" s="196" t="n">
        <v>-0.009999999</v>
      </c>
      <c r="AI194" s="192" t="n">
        <v>-0.066</v>
      </c>
      <c r="AJ194" s="192" t="n">
        <v>0</v>
      </c>
      <c r="AK194" s="192" t="n">
        <v>0.0025</v>
      </c>
      <c r="AL194" s="192" t="n">
        <v>0.009</v>
      </c>
      <c r="AM194" s="192" t="n">
        <v>0.395</v>
      </c>
      <c r="AN194" s="192" t="n">
        <v>0.02</v>
      </c>
      <c r="AO194" s="192" t="n">
        <v>0</v>
      </c>
      <c r="AP194" s="192" t="n">
        <v>0</v>
      </c>
      <c r="AQ194" s="192" t="n">
        <v>-0.19</v>
      </c>
      <c r="AS194" s="192" t="n">
        <v>0</v>
      </c>
      <c r="AT194" s="192" t="n">
        <v>0</v>
      </c>
      <c r="AU194" s="192" t="n">
        <v>0.295</v>
      </c>
      <c r="AV194" s="192" t="n">
        <v>0</v>
      </c>
      <c r="AW194" s="192" t="n">
        <v>-0.076</v>
      </c>
      <c r="AX194" s="192" t="n">
        <v>0</v>
      </c>
      <c r="AY194" s="192" t="n">
        <v>-0.076</v>
      </c>
      <c r="AZ194" s="192" t="n">
        <v>0</v>
      </c>
      <c r="BA194" s="192" t="n">
        <v>-0.0635</v>
      </c>
      <c r="BB194" s="192" t="n">
        <v>-0.009999999</v>
      </c>
      <c r="BC194" s="192" t="n">
        <v>0</v>
      </c>
      <c r="BD194" s="192" t="n">
        <v>-0.015</v>
      </c>
      <c r="BE194" s="192" t="n">
        <v>-0.06</v>
      </c>
      <c r="BF194" s="192" t="n">
        <v>-0.17</v>
      </c>
      <c r="BG194" s="192" t="n">
        <v>0</v>
      </c>
      <c r="BH194" s="192" t="n">
        <v>0</v>
      </c>
      <c r="BI194" s="192" t="n">
        <v>0</v>
      </c>
      <c r="BJ194" s="192" t="n">
        <v>0.2975</v>
      </c>
    </row>
    <row r="195" customFormat="false" ht="12.75" hidden="false" customHeight="false" outlineLevel="0" collapsed="false">
      <c r="A195" s="194"/>
      <c r="B195" s="194" t="n">
        <v>3.959</v>
      </c>
      <c r="C195" s="200" t="n">
        <v>42552</v>
      </c>
      <c r="D195" s="194" t="n">
        <v>3.66</v>
      </c>
      <c r="E195" s="194" t="n">
        <v>0.15</v>
      </c>
      <c r="F195" s="194" t="n">
        <v>0.071465738565899</v>
      </c>
      <c r="G195" s="194" t="n">
        <v>0</v>
      </c>
      <c r="H195" s="194" t="n">
        <v>0</v>
      </c>
      <c r="I195" s="194" t="n">
        <v>0</v>
      </c>
      <c r="J195" s="194" t="n">
        <v>0</v>
      </c>
      <c r="K195" s="194" t="n">
        <v>0</v>
      </c>
      <c r="L195" s="194" t="n">
        <v>0</v>
      </c>
      <c r="M195" s="194" t="n">
        <v>0</v>
      </c>
      <c r="N195" s="194" t="n">
        <v>0</v>
      </c>
      <c r="O195" s="194" t="n">
        <v>0</v>
      </c>
      <c r="P195" s="192" t="n">
        <v>0</v>
      </c>
      <c r="Q195" s="192" t="n">
        <v>0</v>
      </c>
      <c r="R195" s="192" t="n">
        <v>0</v>
      </c>
      <c r="S195" s="192" t="n">
        <v>0</v>
      </c>
      <c r="T195" s="192" t="n">
        <v>0</v>
      </c>
      <c r="U195" s="192" t="n">
        <v>0</v>
      </c>
      <c r="V195" s="192" t="n">
        <v>0</v>
      </c>
      <c r="W195" s="196" t="n">
        <v>0.1925</v>
      </c>
      <c r="X195" s="196" t="n">
        <v>0.215</v>
      </c>
      <c r="Y195" s="196" t="n">
        <v>-0.005499999</v>
      </c>
      <c r="Z195" s="196" t="n">
        <v>-0.01475</v>
      </c>
      <c r="AA195" s="196" t="n">
        <v>0.01475</v>
      </c>
      <c r="AB195" s="196" t="n">
        <v>0.000249999999999993</v>
      </c>
      <c r="AC195" s="196" t="n">
        <v>0.005</v>
      </c>
      <c r="AD195" s="196" t="n">
        <v>0</v>
      </c>
      <c r="AE195" s="196" t="n">
        <v>-0.06</v>
      </c>
      <c r="AF195" s="196" t="n">
        <v>-0.029</v>
      </c>
      <c r="AG195" s="197" t="n">
        <v>-0.0375</v>
      </c>
      <c r="AH195" s="196" t="n">
        <v>-0.009999999</v>
      </c>
      <c r="AI195" s="192" t="n">
        <v>-0.059</v>
      </c>
      <c r="AJ195" s="192" t="n">
        <v>0</v>
      </c>
      <c r="AK195" s="192" t="n">
        <v>0.0025</v>
      </c>
      <c r="AL195" s="192" t="n">
        <v>0.009</v>
      </c>
      <c r="AM195" s="192" t="n">
        <v>0.43</v>
      </c>
      <c r="AN195" s="192" t="n">
        <v>0.0225</v>
      </c>
      <c r="AO195" s="192" t="n">
        <v>0</v>
      </c>
      <c r="AP195" s="192" t="n">
        <v>0</v>
      </c>
      <c r="AQ195" s="192" t="n">
        <v>-0.19</v>
      </c>
      <c r="AS195" s="192" t="n">
        <v>0</v>
      </c>
      <c r="AT195" s="192" t="n">
        <v>0</v>
      </c>
      <c r="AU195" s="192" t="n">
        <v>0.295</v>
      </c>
      <c r="AV195" s="192" t="n">
        <v>0</v>
      </c>
      <c r="AW195" s="192" t="n">
        <v>-0.0835</v>
      </c>
      <c r="AX195" s="192" t="n">
        <v>0</v>
      </c>
      <c r="AY195" s="192" t="n">
        <v>-0.0835</v>
      </c>
      <c r="AZ195" s="192" t="n">
        <v>0</v>
      </c>
      <c r="BA195" s="192" t="n">
        <v>-0.0585</v>
      </c>
      <c r="BB195" s="192" t="n">
        <v>-0.009999999</v>
      </c>
      <c r="BC195" s="192" t="n">
        <v>0</v>
      </c>
      <c r="BD195" s="192" t="n">
        <v>-0.0125</v>
      </c>
      <c r="BE195" s="192" t="n">
        <v>-0.06</v>
      </c>
      <c r="BF195" s="192" t="n">
        <v>-0.17</v>
      </c>
      <c r="BG195" s="192" t="n">
        <v>0</v>
      </c>
      <c r="BH195" s="192" t="n">
        <v>0</v>
      </c>
      <c r="BI195" s="192" t="n">
        <v>0</v>
      </c>
      <c r="BJ195" s="192" t="n">
        <v>0.31</v>
      </c>
    </row>
    <row r="196" customFormat="false" ht="12.75" hidden="false" customHeight="false" outlineLevel="0" collapsed="false">
      <c r="A196" s="194"/>
      <c r="B196" s="194" t="n">
        <v>3.944</v>
      </c>
      <c r="C196" s="200" t="n">
        <v>42583</v>
      </c>
      <c r="D196" s="194" t="n">
        <v>3.667</v>
      </c>
      <c r="E196" s="194" t="n">
        <v>0.15</v>
      </c>
      <c r="F196" s="194" t="n">
        <v>0.071475554870528</v>
      </c>
      <c r="G196" s="194" t="n">
        <v>0</v>
      </c>
      <c r="H196" s="194" t="n">
        <v>0</v>
      </c>
      <c r="I196" s="194" t="n">
        <v>0</v>
      </c>
      <c r="J196" s="194" t="n">
        <v>0</v>
      </c>
      <c r="K196" s="194" t="n">
        <v>0</v>
      </c>
      <c r="L196" s="194" t="n">
        <v>0</v>
      </c>
      <c r="M196" s="194" t="n">
        <v>0</v>
      </c>
      <c r="N196" s="194" t="n">
        <v>0</v>
      </c>
      <c r="O196" s="194" t="n">
        <v>0</v>
      </c>
      <c r="P196" s="192" t="n">
        <v>0</v>
      </c>
      <c r="Q196" s="192" t="n">
        <v>0</v>
      </c>
      <c r="R196" s="192" t="n">
        <v>0</v>
      </c>
      <c r="S196" s="192" t="n">
        <v>0</v>
      </c>
      <c r="T196" s="192" t="n">
        <v>0</v>
      </c>
      <c r="U196" s="192" t="n">
        <v>0</v>
      </c>
      <c r="V196" s="192" t="n">
        <v>0</v>
      </c>
      <c r="W196" s="196" t="n">
        <v>0.1925</v>
      </c>
      <c r="X196" s="196" t="n">
        <v>0.215</v>
      </c>
      <c r="Y196" s="196" t="n">
        <v>-0.005499999</v>
      </c>
      <c r="Z196" s="196" t="n">
        <v>-0.01475</v>
      </c>
      <c r="AA196" s="196" t="n">
        <v>0.01475</v>
      </c>
      <c r="AB196" s="196" t="n">
        <v>0.000249999999999993</v>
      </c>
      <c r="AC196" s="196" t="n">
        <v>0.005</v>
      </c>
      <c r="AD196" s="196" t="n">
        <v>0</v>
      </c>
      <c r="AE196" s="196" t="n">
        <v>-0.06</v>
      </c>
      <c r="AF196" s="196" t="n">
        <v>-0.029</v>
      </c>
      <c r="AG196" s="197" t="n">
        <v>-0.0375</v>
      </c>
      <c r="AH196" s="196" t="n">
        <v>-0.009999999</v>
      </c>
      <c r="AI196" s="192" t="n">
        <v>-0.04</v>
      </c>
      <c r="AJ196" s="192" t="n">
        <v>0</v>
      </c>
      <c r="AK196" s="192" t="n">
        <v>0.0025</v>
      </c>
      <c r="AL196" s="192" t="n">
        <v>0.009</v>
      </c>
      <c r="AM196" s="192" t="n">
        <v>0.495</v>
      </c>
      <c r="AN196" s="192" t="n">
        <v>0.025</v>
      </c>
      <c r="AO196" s="192" t="n">
        <v>0</v>
      </c>
      <c r="AP196" s="192" t="n">
        <v>0</v>
      </c>
      <c r="AQ196" s="192" t="n">
        <v>-0.19</v>
      </c>
      <c r="AS196" s="192" t="n">
        <v>0</v>
      </c>
      <c r="AT196" s="192" t="n">
        <v>0</v>
      </c>
      <c r="AU196" s="192" t="n">
        <v>0.295</v>
      </c>
      <c r="AV196" s="192" t="n">
        <v>0</v>
      </c>
      <c r="AW196" s="192" t="n">
        <v>-0.071</v>
      </c>
      <c r="AX196" s="192" t="n">
        <v>0</v>
      </c>
      <c r="AY196" s="192" t="n">
        <v>-0.071</v>
      </c>
      <c r="AZ196" s="192" t="n">
        <v>0</v>
      </c>
      <c r="BA196" s="192" t="n">
        <v>-0.0585</v>
      </c>
      <c r="BB196" s="192" t="n">
        <v>-0.009999999</v>
      </c>
      <c r="BC196" s="192" t="n">
        <v>0</v>
      </c>
      <c r="BD196" s="192" t="n">
        <v>-0.01</v>
      </c>
      <c r="BE196" s="192" t="n">
        <v>-0.06</v>
      </c>
      <c r="BF196" s="192" t="n">
        <v>-0.17</v>
      </c>
      <c r="BG196" s="192" t="n">
        <v>0</v>
      </c>
      <c r="BH196" s="192" t="n">
        <v>0</v>
      </c>
      <c r="BI196" s="192" t="n">
        <v>0</v>
      </c>
      <c r="BJ196" s="192" t="n">
        <v>0.31</v>
      </c>
    </row>
    <row r="197" customFormat="false" ht="12.75" hidden="false" customHeight="false" outlineLevel="0" collapsed="false">
      <c r="A197" s="194"/>
      <c r="B197" s="194" t="n">
        <v>3.937</v>
      </c>
      <c r="C197" s="200" t="n">
        <v>42614</v>
      </c>
      <c r="D197" s="194" t="n">
        <v>3.644</v>
      </c>
      <c r="E197" s="194" t="n">
        <v>0.15</v>
      </c>
      <c r="F197" s="194" t="n">
        <v>0.071485371175187</v>
      </c>
      <c r="G197" s="194" t="n">
        <v>0</v>
      </c>
      <c r="H197" s="194" t="n">
        <v>0</v>
      </c>
      <c r="I197" s="194" t="n">
        <v>0</v>
      </c>
      <c r="J197" s="194" t="n">
        <v>0</v>
      </c>
      <c r="K197" s="194" t="n">
        <v>0</v>
      </c>
      <c r="L197" s="194" t="n">
        <v>0</v>
      </c>
      <c r="M197" s="194" t="n">
        <v>0</v>
      </c>
      <c r="N197" s="194" t="n">
        <v>0</v>
      </c>
      <c r="O197" s="194" t="n">
        <v>0</v>
      </c>
      <c r="P197" s="192" t="n">
        <v>0</v>
      </c>
      <c r="Q197" s="192" t="n">
        <v>0</v>
      </c>
      <c r="R197" s="192" t="n">
        <v>0</v>
      </c>
      <c r="S197" s="192" t="n">
        <v>0</v>
      </c>
      <c r="T197" s="192" t="n">
        <v>0</v>
      </c>
      <c r="U197" s="192" t="n">
        <v>0</v>
      </c>
      <c r="V197" s="192" t="n">
        <v>0</v>
      </c>
      <c r="W197" s="196" t="n">
        <v>0.1925</v>
      </c>
      <c r="X197" s="196" t="n">
        <v>0.195</v>
      </c>
      <c r="Y197" s="196" t="n">
        <v>-0.005499999</v>
      </c>
      <c r="Z197" s="196" t="n">
        <v>-0.01475</v>
      </c>
      <c r="AA197" s="196" t="n">
        <v>0.01475</v>
      </c>
      <c r="AB197" s="196" t="n">
        <v>0.000249999999999993</v>
      </c>
      <c r="AC197" s="196" t="n">
        <v>0.005</v>
      </c>
      <c r="AD197" s="196" t="n">
        <v>0</v>
      </c>
      <c r="AE197" s="196" t="n">
        <v>-0.06</v>
      </c>
      <c r="AF197" s="196" t="n">
        <v>-0.029</v>
      </c>
      <c r="AG197" s="197" t="n">
        <v>-0.0375</v>
      </c>
      <c r="AH197" s="196" t="n">
        <v>-0.009999999</v>
      </c>
      <c r="AI197" s="192" t="n">
        <v>-0.038</v>
      </c>
      <c r="AJ197" s="192" t="n">
        <v>0</v>
      </c>
      <c r="AK197" s="192" t="n">
        <v>0.0025</v>
      </c>
      <c r="AL197" s="192" t="n">
        <v>0.009</v>
      </c>
      <c r="AM197" s="192" t="n">
        <v>0.395</v>
      </c>
      <c r="AN197" s="192" t="n">
        <v>0.0175</v>
      </c>
      <c r="AO197" s="192" t="n">
        <v>0</v>
      </c>
      <c r="AP197" s="192" t="n">
        <v>0</v>
      </c>
      <c r="AQ197" s="192" t="n">
        <v>-0.19</v>
      </c>
      <c r="AS197" s="192" t="n">
        <v>0</v>
      </c>
      <c r="AT197" s="192" t="n">
        <v>0</v>
      </c>
      <c r="AU197" s="192" t="n">
        <v>0.295</v>
      </c>
      <c r="AV197" s="192" t="n">
        <v>0</v>
      </c>
      <c r="AW197" s="192" t="n">
        <v>-0.076</v>
      </c>
      <c r="AX197" s="192" t="n">
        <v>0</v>
      </c>
      <c r="AY197" s="192" t="n">
        <v>-0.076</v>
      </c>
      <c r="AZ197" s="192" t="n">
        <v>0</v>
      </c>
      <c r="BA197" s="192" t="n">
        <v>-0.0735</v>
      </c>
      <c r="BB197" s="192" t="n">
        <v>-0.009999999</v>
      </c>
      <c r="BC197" s="192" t="n">
        <v>0</v>
      </c>
      <c r="BD197" s="192" t="n">
        <v>-0.0175</v>
      </c>
      <c r="BE197" s="192" t="n">
        <v>-0.06</v>
      </c>
      <c r="BF197" s="192" t="n">
        <v>-0.17</v>
      </c>
      <c r="BG197" s="192" t="n">
        <v>0</v>
      </c>
      <c r="BH197" s="192" t="n">
        <v>0</v>
      </c>
      <c r="BI197" s="192" t="n">
        <v>0</v>
      </c>
      <c r="BJ197" s="192" t="n">
        <v>0.3</v>
      </c>
    </row>
    <row r="198" customFormat="false" ht="12.75" hidden="false" customHeight="false" outlineLevel="0" collapsed="false">
      <c r="A198" s="194"/>
      <c r="B198" s="194" t="n">
        <v>4.002</v>
      </c>
      <c r="C198" s="200" t="n">
        <v>42644</v>
      </c>
      <c r="D198" s="194" t="n">
        <v>3.654</v>
      </c>
      <c r="E198" s="194" t="n">
        <v>0.15</v>
      </c>
      <c r="F198" s="194" t="n">
        <v>0.071494870824888</v>
      </c>
      <c r="G198" s="194" t="n">
        <v>0</v>
      </c>
      <c r="H198" s="194" t="n">
        <v>0</v>
      </c>
      <c r="I198" s="194" t="n">
        <v>0</v>
      </c>
      <c r="J198" s="194" t="n">
        <v>0</v>
      </c>
      <c r="K198" s="194" t="n">
        <v>0</v>
      </c>
      <c r="L198" s="194" t="n">
        <v>0</v>
      </c>
      <c r="M198" s="194" t="n">
        <v>0</v>
      </c>
      <c r="N198" s="194" t="n">
        <v>0</v>
      </c>
      <c r="O198" s="194" t="n">
        <v>0</v>
      </c>
      <c r="P198" s="192" t="n">
        <v>0</v>
      </c>
      <c r="Q198" s="192" t="n">
        <v>0</v>
      </c>
      <c r="R198" s="192" t="n">
        <v>0</v>
      </c>
      <c r="S198" s="192" t="n">
        <v>0</v>
      </c>
      <c r="T198" s="192" t="n">
        <v>0</v>
      </c>
      <c r="U198" s="192" t="n">
        <v>0</v>
      </c>
      <c r="V198" s="192" t="n">
        <v>0</v>
      </c>
      <c r="W198" s="196" t="n">
        <v>0.1975</v>
      </c>
      <c r="X198" s="196" t="n">
        <v>0.215</v>
      </c>
      <c r="Y198" s="196" t="n">
        <v>-0.005499999</v>
      </c>
      <c r="Z198" s="196" t="n">
        <v>-0.01475</v>
      </c>
      <c r="AA198" s="196" t="n">
        <v>-0.0035</v>
      </c>
      <c r="AB198" s="196" t="n">
        <v>-0.0185</v>
      </c>
      <c r="AC198" s="196" t="n">
        <v>0.005</v>
      </c>
      <c r="AD198" s="196" t="n">
        <v>0</v>
      </c>
      <c r="AE198" s="196" t="n">
        <v>-0.06</v>
      </c>
      <c r="AF198" s="196" t="n">
        <v>-0.029</v>
      </c>
      <c r="AG198" s="197" t="n">
        <v>-0.0375</v>
      </c>
      <c r="AH198" s="196" t="n">
        <v>-0.009999999</v>
      </c>
      <c r="AI198" s="192" t="n">
        <v>-0.04</v>
      </c>
      <c r="AJ198" s="192" t="n">
        <v>0</v>
      </c>
      <c r="AK198" s="192" t="n">
        <v>0.0025</v>
      </c>
      <c r="AL198" s="192" t="n">
        <v>0.009</v>
      </c>
      <c r="AM198" s="192" t="n">
        <v>0.461</v>
      </c>
      <c r="AN198" s="192" t="n">
        <v>0.0075</v>
      </c>
      <c r="AO198" s="192" t="n">
        <v>0</v>
      </c>
      <c r="AP198" s="192" t="n">
        <v>0</v>
      </c>
      <c r="AQ198" s="192" t="n">
        <v>-0.19</v>
      </c>
      <c r="AS198" s="192" t="n">
        <v>0</v>
      </c>
      <c r="AT198" s="192" t="n">
        <v>0</v>
      </c>
      <c r="AU198" s="192" t="n">
        <v>0.295</v>
      </c>
      <c r="AV198" s="192" t="n">
        <v>0</v>
      </c>
      <c r="AW198" s="192" t="n">
        <v>-0.086</v>
      </c>
      <c r="AX198" s="192" t="n">
        <v>0</v>
      </c>
      <c r="AY198" s="192" t="n">
        <v>-0.086</v>
      </c>
      <c r="AZ198" s="192" t="n">
        <v>0</v>
      </c>
      <c r="BA198" s="192" t="n">
        <v>-0.076</v>
      </c>
      <c r="BB198" s="192" t="n">
        <v>-0.009999999</v>
      </c>
      <c r="BC198" s="192" t="n">
        <v>0</v>
      </c>
      <c r="BD198" s="192" t="n">
        <v>-0.0275</v>
      </c>
      <c r="BE198" s="192" t="n">
        <v>-0.06</v>
      </c>
      <c r="BF198" s="192" t="n">
        <v>-0.17</v>
      </c>
      <c r="BG198" s="192" t="n">
        <v>0</v>
      </c>
      <c r="BH198" s="192" t="n">
        <v>0</v>
      </c>
      <c r="BI198" s="192" t="n">
        <v>0</v>
      </c>
      <c r="BJ198" s="192" t="n">
        <v>0.37253</v>
      </c>
    </row>
    <row r="199" customFormat="false" ht="12.75" hidden="false" customHeight="false" outlineLevel="0" collapsed="false">
      <c r="A199" s="194"/>
      <c r="B199" s="194" t="n">
        <v>3.997</v>
      </c>
      <c r="C199" s="200" t="n">
        <v>42675</v>
      </c>
      <c r="D199" s="194" t="n">
        <v>3.681</v>
      </c>
      <c r="E199" s="194" t="n">
        <v>0.15</v>
      </c>
      <c r="F199" s="194" t="n">
        <v>0.071504687129611</v>
      </c>
      <c r="G199" s="194" t="n">
        <v>0</v>
      </c>
      <c r="H199" s="194" t="n">
        <v>0</v>
      </c>
      <c r="I199" s="194" t="n">
        <v>0</v>
      </c>
      <c r="J199" s="194" t="n">
        <v>0</v>
      </c>
      <c r="K199" s="194" t="n">
        <v>0</v>
      </c>
      <c r="L199" s="194" t="n">
        <v>0</v>
      </c>
      <c r="M199" s="194" t="n">
        <v>0</v>
      </c>
      <c r="N199" s="194" t="n">
        <v>0</v>
      </c>
      <c r="O199" s="194" t="n">
        <v>0</v>
      </c>
      <c r="P199" s="192" t="n">
        <v>0</v>
      </c>
      <c r="Q199" s="192" t="n">
        <v>0</v>
      </c>
      <c r="R199" s="192" t="n">
        <v>0</v>
      </c>
      <c r="S199" s="192" t="n">
        <v>0</v>
      </c>
      <c r="T199" s="192" t="n">
        <v>0</v>
      </c>
      <c r="U199" s="192" t="n">
        <v>0</v>
      </c>
      <c r="V199" s="192" t="n">
        <v>0</v>
      </c>
      <c r="W199" s="196" t="n">
        <v>0.2725</v>
      </c>
      <c r="X199" s="196" t="n">
        <v>0.315</v>
      </c>
      <c r="Y199" s="196" t="n">
        <v>-0.008499999</v>
      </c>
      <c r="Z199" s="196" t="n">
        <v>-0.028</v>
      </c>
      <c r="AA199" s="196" t="n">
        <v>-0.0025</v>
      </c>
      <c r="AB199" s="196" t="n">
        <v>-0.0175</v>
      </c>
      <c r="AC199" s="196" t="n">
        <v>0.005</v>
      </c>
      <c r="AD199" s="196" t="n">
        <v>0</v>
      </c>
      <c r="AE199" s="196" t="n">
        <v>-0.06</v>
      </c>
      <c r="AF199" s="196" t="n">
        <v>-0.024</v>
      </c>
      <c r="AG199" s="197" t="n">
        <v>-0.0355</v>
      </c>
      <c r="AH199" s="196" t="n">
        <v>-0.006499999</v>
      </c>
      <c r="AI199" s="192" t="n">
        <v>-0.0525</v>
      </c>
      <c r="AJ199" s="192" t="n">
        <v>0</v>
      </c>
      <c r="AK199" s="192" t="n">
        <v>0.0075</v>
      </c>
      <c r="AL199" s="192" t="n">
        <v>0.016</v>
      </c>
      <c r="AM199" s="192" t="n">
        <v>0.885</v>
      </c>
      <c r="AN199" s="192" t="n">
        <v>-0.0325</v>
      </c>
      <c r="AO199" s="192" t="n">
        <v>0</v>
      </c>
      <c r="AP199" s="192" t="n">
        <v>0</v>
      </c>
      <c r="AQ199" s="192" t="n">
        <v>-0.19</v>
      </c>
      <c r="AS199" s="192" t="n">
        <v>0</v>
      </c>
      <c r="AT199" s="192" t="n">
        <v>0</v>
      </c>
      <c r="AU199" s="192" t="n">
        <v>0.12</v>
      </c>
      <c r="AV199" s="192" t="n">
        <v>0</v>
      </c>
      <c r="AW199" s="192" t="n">
        <v>-0.0985</v>
      </c>
      <c r="AX199" s="192" t="n">
        <v>0</v>
      </c>
      <c r="AY199" s="192" t="n">
        <v>-0.0985</v>
      </c>
      <c r="AZ199" s="192" t="n">
        <v>0</v>
      </c>
      <c r="BA199" s="192" t="n">
        <v>-0.081</v>
      </c>
      <c r="BB199" s="192" t="n">
        <v>-0.0115</v>
      </c>
      <c r="BC199" s="192" t="n">
        <v>0</v>
      </c>
      <c r="BD199" s="192" t="n">
        <v>-0.0675</v>
      </c>
      <c r="BE199" s="192" t="n">
        <v>-0.06</v>
      </c>
      <c r="BF199" s="192" t="n">
        <v>-0.17</v>
      </c>
      <c r="BG199" s="192" t="n">
        <v>0</v>
      </c>
      <c r="BH199" s="192" t="n">
        <v>0</v>
      </c>
      <c r="BI199" s="192" t="n">
        <v>0</v>
      </c>
      <c r="BJ199" s="192" t="n">
        <v>0.56</v>
      </c>
    </row>
    <row r="200" customFormat="false" ht="12.75" hidden="false" customHeight="false" outlineLevel="0" collapsed="false">
      <c r="A200" s="194"/>
      <c r="B200" s="194" t="n">
        <v>3.974</v>
      </c>
      <c r="C200" s="200" t="n">
        <v>42705</v>
      </c>
      <c r="D200" s="194" t="n">
        <v>3.718</v>
      </c>
      <c r="E200" s="194" t="n">
        <v>0.15</v>
      </c>
      <c r="F200" s="194" t="n">
        <v>0.071514186779372</v>
      </c>
      <c r="G200" s="194" t="n">
        <v>0</v>
      </c>
      <c r="H200" s="194" t="n">
        <v>0</v>
      </c>
      <c r="I200" s="194" t="n">
        <v>0</v>
      </c>
      <c r="J200" s="194" t="n">
        <v>0</v>
      </c>
      <c r="K200" s="194" t="n">
        <v>0</v>
      </c>
      <c r="L200" s="194" t="n">
        <v>0</v>
      </c>
      <c r="M200" s="194" t="n">
        <v>0</v>
      </c>
      <c r="N200" s="194" t="n">
        <v>0</v>
      </c>
      <c r="O200" s="194" t="n">
        <v>0</v>
      </c>
      <c r="P200" s="192" t="n">
        <v>0</v>
      </c>
      <c r="Q200" s="192" t="n">
        <v>0</v>
      </c>
      <c r="R200" s="192" t="n">
        <v>0</v>
      </c>
      <c r="S200" s="192" t="n">
        <v>0</v>
      </c>
      <c r="T200" s="192" t="n">
        <v>0</v>
      </c>
      <c r="U200" s="192" t="n">
        <v>0</v>
      </c>
      <c r="V200" s="192" t="n">
        <v>0</v>
      </c>
      <c r="W200" s="196" t="n">
        <v>0.3075</v>
      </c>
      <c r="X200" s="196" t="n">
        <v>0.395</v>
      </c>
      <c r="Y200" s="196" t="n">
        <v>-0.008499999</v>
      </c>
      <c r="Z200" s="196" t="n">
        <v>-0.0205</v>
      </c>
      <c r="AA200" s="196" t="n">
        <v>-0.0025</v>
      </c>
      <c r="AB200" s="196" t="n">
        <v>-0.0175</v>
      </c>
      <c r="AC200" s="196" t="n">
        <v>0.005</v>
      </c>
      <c r="AD200" s="196" t="n">
        <v>0</v>
      </c>
      <c r="AE200" s="196" t="n">
        <v>-0.06</v>
      </c>
      <c r="AF200" s="196" t="n">
        <v>-0.024</v>
      </c>
      <c r="AG200" s="197" t="n">
        <v>-0.0355</v>
      </c>
      <c r="AH200" s="196" t="n">
        <v>-0.006499999</v>
      </c>
      <c r="AI200" s="192" t="n">
        <v>-0.0525</v>
      </c>
      <c r="AJ200" s="192" t="n">
        <v>0</v>
      </c>
      <c r="AK200" s="192" t="n">
        <v>0.0075</v>
      </c>
      <c r="AL200" s="192" t="n">
        <v>0.016</v>
      </c>
      <c r="AM200" s="192" t="n">
        <v>1.31</v>
      </c>
      <c r="AN200" s="192" t="n">
        <v>-0.055</v>
      </c>
      <c r="AO200" s="192" t="n">
        <v>0</v>
      </c>
      <c r="AP200" s="192" t="n">
        <v>0</v>
      </c>
      <c r="AQ200" s="192" t="n">
        <v>-0.19</v>
      </c>
      <c r="AS200" s="192" t="n">
        <v>0</v>
      </c>
      <c r="AT200" s="192" t="n">
        <v>0</v>
      </c>
      <c r="AU200" s="192" t="n">
        <v>0.12</v>
      </c>
      <c r="AV200" s="192" t="n">
        <v>0</v>
      </c>
      <c r="AW200" s="192" t="n">
        <v>-0.1235</v>
      </c>
      <c r="AX200" s="192" t="n">
        <v>0</v>
      </c>
      <c r="AY200" s="192" t="n">
        <v>-0.1235</v>
      </c>
      <c r="AZ200" s="192" t="n">
        <v>0</v>
      </c>
      <c r="BA200" s="192" t="n">
        <v>-0.1135</v>
      </c>
      <c r="BB200" s="192" t="n">
        <v>-0.0115</v>
      </c>
      <c r="BC200" s="192" t="n">
        <v>0</v>
      </c>
      <c r="BD200" s="192" t="n">
        <v>-0.09</v>
      </c>
      <c r="BE200" s="192" t="n">
        <v>-0.06</v>
      </c>
      <c r="BF200" s="192" t="n">
        <v>-0.17</v>
      </c>
      <c r="BG200" s="192" t="n">
        <v>0</v>
      </c>
      <c r="BH200" s="192" t="n">
        <v>0</v>
      </c>
      <c r="BI200" s="192" t="n">
        <v>0</v>
      </c>
      <c r="BJ200" s="192" t="n">
        <v>0.91</v>
      </c>
    </row>
    <row r="201" customFormat="false" ht="12.75" hidden="false" customHeight="false" outlineLevel="0" collapsed="false">
      <c r="A201" s="194"/>
      <c r="B201" s="194" t="n">
        <v>3.979</v>
      </c>
      <c r="C201" s="200" t="n">
        <v>42736</v>
      </c>
      <c r="D201" s="194" t="n">
        <v>4.1575</v>
      </c>
      <c r="E201" s="194" t="n">
        <v>0.15</v>
      </c>
      <c r="F201" s="194" t="n">
        <v>0.071524003084158</v>
      </c>
      <c r="G201" s="194" t="n">
        <v>0</v>
      </c>
      <c r="H201" s="194" t="n">
        <v>0</v>
      </c>
      <c r="I201" s="194" t="n">
        <v>0</v>
      </c>
      <c r="J201" s="194" t="n">
        <v>0</v>
      </c>
      <c r="K201" s="194" t="n">
        <v>0</v>
      </c>
      <c r="L201" s="194" t="n">
        <v>0</v>
      </c>
      <c r="M201" s="194" t="n">
        <v>0</v>
      </c>
      <c r="N201" s="194" t="n">
        <v>0</v>
      </c>
      <c r="O201" s="194" t="n">
        <v>0</v>
      </c>
      <c r="P201" s="192" t="n">
        <v>0</v>
      </c>
      <c r="Q201" s="192" t="n">
        <v>0</v>
      </c>
      <c r="R201" s="192" t="n">
        <v>0</v>
      </c>
      <c r="S201" s="192" t="n">
        <v>0</v>
      </c>
      <c r="T201" s="192" t="n">
        <v>0</v>
      </c>
      <c r="U201" s="192" t="n">
        <v>0</v>
      </c>
      <c r="V201" s="192" t="n">
        <v>0</v>
      </c>
      <c r="W201" s="196" t="n">
        <v>0.3125</v>
      </c>
      <c r="X201" s="196" t="n">
        <v>0.465</v>
      </c>
      <c r="Y201" s="196" t="n">
        <v>-0.003999999</v>
      </c>
      <c r="Z201" s="196" t="n">
        <v>-0.0205</v>
      </c>
      <c r="AA201" s="196" t="n">
        <v>-0.0025</v>
      </c>
      <c r="AB201" s="196" t="n">
        <v>-0.0175</v>
      </c>
      <c r="AC201" s="196" t="n">
        <v>0.005</v>
      </c>
      <c r="AD201" s="196" t="n">
        <v>0</v>
      </c>
      <c r="AE201" s="196" t="n">
        <v>-0.06</v>
      </c>
      <c r="AF201" s="196" t="n">
        <v>-0.022</v>
      </c>
      <c r="AG201" s="197" t="n">
        <v>-0.0355</v>
      </c>
      <c r="AH201" s="196" t="n">
        <v>-0.006499999</v>
      </c>
      <c r="AI201" s="192" t="n">
        <v>-0.0455</v>
      </c>
      <c r="AJ201" s="192" t="n">
        <v>0</v>
      </c>
      <c r="AK201" s="192" t="n">
        <v>0.012</v>
      </c>
      <c r="AL201" s="192" t="n">
        <v>0.016</v>
      </c>
      <c r="AM201" s="192" t="n">
        <v>1.645</v>
      </c>
      <c r="AN201" s="192" t="n">
        <v>-0.0575</v>
      </c>
      <c r="AO201" s="192" t="n">
        <v>0</v>
      </c>
      <c r="AP201" s="192" t="n">
        <v>0</v>
      </c>
      <c r="AQ201" s="192" t="n">
        <v>-0.19</v>
      </c>
      <c r="AS201" s="192" t="n">
        <v>0</v>
      </c>
      <c r="AT201" s="192" t="n">
        <v>0</v>
      </c>
      <c r="AU201" s="192" t="n">
        <v>0.12</v>
      </c>
      <c r="AV201" s="192" t="n">
        <v>0</v>
      </c>
      <c r="AW201" s="192" t="n">
        <v>-0.1085</v>
      </c>
      <c r="AX201" s="192" t="n">
        <v>0</v>
      </c>
      <c r="AY201" s="192" t="n">
        <v>-0.1085</v>
      </c>
      <c r="AZ201" s="192" t="n">
        <v>0</v>
      </c>
      <c r="BA201" s="192" t="n">
        <v>-0.119</v>
      </c>
      <c r="BB201" s="192" t="n">
        <v>-0.0115</v>
      </c>
      <c r="BC201" s="192" t="n">
        <v>0</v>
      </c>
      <c r="BD201" s="192" t="n">
        <v>-0.0925</v>
      </c>
      <c r="BE201" s="192" t="n">
        <v>-0.06</v>
      </c>
      <c r="BF201" s="192" t="n">
        <v>-0.17</v>
      </c>
      <c r="BG201" s="192" t="n">
        <v>0</v>
      </c>
      <c r="BH201" s="192" t="n">
        <v>0</v>
      </c>
      <c r="BI201" s="192" t="n">
        <v>0</v>
      </c>
      <c r="BJ201" s="192" t="n">
        <v>1.235</v>
      </c>
    </row>
    <row r="202" customFormat="false" ht="12.75" hidden="false" customHeight="false" outlineLevel="0" collapsed="false">
      <c r="A202" s="194"/>
      <c r="B202" s="194" t="n">
        <v>4.026</v>
      </c>
      <c r="C202" s="200" t="n">
        <v>42767</v>
      </c>
      <c r="D202" s="194" t="n">
        <v>4.0515</v>
      </c>
      <c r="E202" s="194" t="n">
        <v>0.15</v>
      </c>
      <c r="F202" s="194" t="n">
        <v>0.071533819388975</v>
      </c>
      <c r="G202" s="194" t="n">
        <v>0</v>
      </c>
      <c r="H202" s="194" t="n">
        <v>0</v>
      </c>
      <c r="I202" s="194" t="n">
        <v>0</v>
      </c>
      <c r="J202" s="194" t="n">
        <v>0</v>
      </c>
      <c r="K202" s="194" t="n">
        <v>0</v>
      </c>
      <c r="L202" s="194" t="n">
        <v>0</v>
      </c>
      <c r="M202" s="194" t="n">
        <v>0</v>
      </c>
      <c r="N202" s="194" t="n">
        <v>0</v>
      </c>
      <c r="O202" s="194" t="n">
        <v>0</v>
      </c>
      <c r="P202" s="192" t="n">
        <v>0</v>
      </c>
      <c r="Q202" s="192" t="n">
        <v>0</v>
      </c>
      <c r="R202" s="192" t="n">
        <v>0</v>
      </c>
      <c r="S202" s="192" t="n">
        <v>0</v>
      </c>
      <c r="T202" s="192" t="n">
        <v>0</v>
      </c>
      <c r="U202" s="192" t="n">
        <v>0</v>
      </c>
      <c r="V202" s="192" t="n">
        <v>0</v>
      </c>
      <c r="W202" s="196" t="n">
        <v>0.3125</v>
      </c>
      <c r="X202" s="196" t="n">
        <v>0.435</v>
      </c>
      <c r="Y202" s="196" t="n">
        <v>-0.003999999</v>
      </c>
      <c r="Z202" s="196" t="n">
        <v>-0.0205</v>
      </c>
      <c r="AA202" s="196" t="n">
        <v>-0.0025</v>
      </c>
      <c r="AB202" s="196" t="n">
        <v>-0.0175</v>
      </c>
      <c r="AC202" s="196" t="n">
        <v>0.005</v>
      </c>
      <c r="AD202" s="196" t="n">
        <v>0</v>
      </c>
      <c r="AE202" s="196" t="n">
        <v>-0.06</v>
      </c>
      <c r="AF202" s="196" t="n">
        <v>-0.022</v>
      </c>
      <c r="AG202" s="197" t="n">
        <v>-0.0355</v>
      </c>
      <c r="AH202" s="196" t="n">
        <v>-0.006499999</v>
      </c>
      <c r="AI202" s="192" t="n">
        <v>-0.0455</v>
      </c>
      <c r="AJ202" s="192" t="n">
        <v>0</v>
      </c>
      <c r="AK202" s="192" t="n">
        <v>0.012</v>
      </c>
      <c r="AL202" s="192" t="n">
        <v>0.016</v>
      </c>
      <c r="AM202" s="192" t="n">
        <v>1.595</v>
      </c>
      <c r="AN202" s="192" t="n">
        <v>-0.04</v>
      </c>
      <c r="AO202" s="192" t="n">
        <v>0</v>
      </c>
      <c r="AP202" s="192" t="n">
        <v>0</v>
      </c>
      <c r="AQ202" s="192" t="n">
        <v>-0.19</v>
      </c>
      <c r="AS202" s="192" t="n">
        <v>0</v>
      </c>
      <c r="AT202" s="192" t="n">
        <v>0</v>
      </c>
      <c r="AU202" s="192" t="n">
        <v>0.12</v>
      </c>
      <c r="AV202" s="192" t="n">
        <v>0</v>
      </c>
      <c r="AW202" s="192" t="n">
        <v>-0.111</v>
      </c>
      <c r="AX202" s="192" t="n">
        <v>0</v>
      </c>
      <c r="AY202" s="192" t="n">
        <v>-0.111</v>
      </c>
      <c r="AZ202" s="192" t="n">
        <v>0</v>
      </c>
      <c r="BA202" s="192" t="n">
        <v>-0.1015</v>
      </c>
      <c r="BB202" s="192" t="n">
        <v>-0.0115</v>
      </c>
      <c r="BC202" s="192" t="n">
        <v>0</v>
      </c>
      <c r="BD202" s="192" t="n">
        <v>-0.075</v>
      </c>
      <c r="BE202" s="192" t="n">
        <v>-0.06</v>
      </c>
      <c r="BF202" s="192" t="n">
        <v>-0.17</v>
      </c>
      <c r="BG202" s="192" t="n">
        <v>0</v>
      </c>
      <c r="BH202" s="192" t="n">
        <v>0</v>
      </c>
      <c r="BI202" s="192" t="n">
        <v>0</v>
      </c>
      <c r="BJ202" s="192" t="n">
        <v>1.235</v>
      </c>
    </row>
    <row r="203" customFormat="false" ht="12.75" hidden="false" customHeight="false" outlineLevel="0" collapsed="false">
      <c r="A203" s="194"/>
      <c r="B203" s="194" t="n">
        <v>4.096</v>
      </c>
      <c r="C203" s="200" t="n">
        <v>42795</v>
      </c>
      <c r="D203" s="194" t="n">
        <v>3.9105</v>
      </c>
      <c r="E203" s="194" t="n">
        <v>0.15</v>
      </c>
      <c r="F203" s="194" t="n">
        <v>0.071542685728837</v>
      </c>
      <c r="G203" s="194" t="n">
        <v>0</v>
      </c>
      <c r="H203" s="194" t="n">
        <v>0</v>
      </c>
      <c r="I203" s="194" t="n">
        <v>0</v>
      </c>
      <c r="J203" s="194" t="n">
        <v>0</v>
      </c>
      <c r="K203" s="194" t="n">
        <v>0</v>
      </c>
      <c r="L203" s="194" t="n">
        <v>0</v>
      </c>
      <c r="M203" s="194" t="n">
        <v>0</v>
      </c>
      <c r="N203" s="194" t="n">
        <v>0</v>
      </c>
      <c r="O203" s="194" t="n">
        <v>0</v>
      </c>
      <c r="P203" s="192" t="n">
        <v>0</v>
      </c>
      <c r="Q203" s="192" t="n">
        <v>0</v>
      </c>
      <c r="R203" s="192" t="n">
        <v>0</v>
      </c>
      <c r="S203" s="192" t="n">
        <v>0</v>
      </c>
      <c r="T203" s="192" t="n">
        <v>0</v>
      </c>
      <c r="U203" s="192" t="n">
        <v>0</v>
      </c>
      <c r="V203" s="192" t="n">
        <v>0</v>
      </c>
      <c r="W203" s="196" t="n">
        <v>0.27</v>
      </c>
      <c r="X203" s="196" t="n">
        <v>0.39</v>
      </c>
      <c r="Y203" s="196" t="n">
        <v>0</v>
      </c>
      <c r="Z203" s="196" t="n">
        <v>-0.0205</v>
      </c>
      <c r="AA203" s="196" t="n">
        <v>0.016</v>
      </c>
      <c r="AB203" s="196" t="n">
        <v>0.001</v>
      </c>
      <c r="AC203" s="196" t="n">
        <v>0</v>
      </c>
      <c r="AD203" s="196" t="n">
        <v>0</v>
      </c>
      <c r="AE203" s="196" t="n">
        <v>0</v>
      </c>
      <c r="AF203" s="196" t="n">
        <v>0</v>
      </c>
      <c r="AG203" s="197" t="n">
        <v>0</v>
      </c>
      <c r="AH203" s="196" t="n">
        <v>0</v>
      </c>
      <c r="AI203" s="192" t="n">
        <v>0</v>
      </c>
      <c r="AJ203" s="192" t="n">
        <v>0</v>
      </c>
      <c r="AK203" s="192" t="n">
        <v>0</v>
      </c>
      <c r="AL203" s="192" t="n">
        <v>0</v>
      </c>
      <c r="AM203" s="192" t="n">
        <v>0.965</v>
      </c>
      <c r="AN203" s="192" t="n">
        <v>-0.0275</v>
      </c>
      <c r="AO203" s="192" t="n">
        <v>0</v>
      </c>
      <c r="AP203" s="192" t="n">
        <v>0</v>
      </c>
      <c r="AQ203" s="192" t="n">
        <v>-0.19</v>
      </c>
      <c r="AS203" s="192" t="n">
        <v>0</v>
      </c>
      <c r="AT203" s="192" t="n">
        <v>0</v>
      </c>
      <c r="AU203" s="192" t="n">
        <v>0.12</v>
      </c>
      <c r="AV203" s="192" t="n">
        <v>0</v>
      </c>
      <c r="AW203" s="192" t="n">
        <v>0</v>
      </c>
      <c r="AX203" s="192" t="n">
        <v>0</v>
      </c>
      <c r="AY203" s="192" t="n">
        <v>0</v>
      </c>
      <c r="AZ203" s="192" t="n">
        <v>0</v>
      </c>
      <c r="BA203" s="192" t="n">
        <v>0</v>
      </c>
      <c r="BB203" s="192" t="n">
        <v>0</v>
      </c>
      <c r="BC203" s="192" t="n">
        <v>0</v>
      </c>
      <c r="BD203" s="192" t="n">
        <v>-0.0625</v>
      </c>
      <c r="BE203" s="192" t="n">
        <v>0</v>
      </c>
      <c r="BF203" s="192" t="n">
        <v>-0.17</v>
      </c>
      <c r="BG203" s="192" t="n">
        <v>0</v>
      </c>
      <c r="BH203" s="192" t="n">
        <v>0</v>
      </c>
      <c r="BI203" s="192" t="n">
        <v>0</v>
      </c>
      <c r="BJ203" s="192" t="n">
        <v>0.875</v>
      </c>
    </row>
    <row r="204" customFormat="false" ht="12.75" hidden="false" customHeight="false" outlineLevel="0" collapsed="false">
      <c r="A204" s="194"/>
      <c r="B204" s="194" t="n">
        <v>4.366</v>
      </c>
      <c r="C204" s="200" t="n">
        <v>42826</v>
      </c>
      <c r="D204" s="194" t="n">
        <v>3.7625</v>
      </c>
      <c r="E204" s="194" t="n">
        <v>0.15</v>
      </c>
      <c r="F204" s="194" t="n">
        <v>0.071552502033715</v>
      </c>
      <c r="G204" s="194" t="n">
        <v>0</v>
      </c>
      <c r="H204" s="194" t="n">
        <v>0</v>
      </c>
      <c r="I204" s="194" t="n">
        <v>0</v>
      </c>
      <c r="J204" s="194" t="n">
        <v>0</v>
      </c>
      <c r="K204" s="194" t="n">
        <v>0</v>
      </c>
      <c r="L204" s="194" t="n">
        <v>0</v>
      </c>
      <c r="M204" s="194" t="n">
        <v>0</v>
      </c>
      <c r="N204" s="194" t="n">
        <v>0</v>
      </c>
      <c r="O204" s="194" t="n">
        <v>0</v>
      </c>
      <c r="P204" s="192" t="n">
        <v>0</v>
      </c>
      <c r="Q204" s="192" t="n">
        <v>0</v>
      </c>
      <c r="R204" s="192" t="n">
        <v>0</v>
      </c>
      <c r="S204" s="192" t="n">
        <v>0</v>
      </c>
      <c r="T204" s="192" t="n">
        <v>0</v>
      </c>
      <c r="U204" s="192" t="n">
        <v>0</v>
      </c>
      <c r="V204" s="192" t="n">
        <v>0</v>
      </c>
      <c r="W204" s="196" t="n">
        <v>0.205</v>
      </c>
      <c r="X204" s="196" t="n">
        <v>0.25</v>
      </c>
      <c r="Y204" s="196" t="n">
        <v>0</v>
      </c>
      <c r="Z204" s="196" t="n">
        <v>-0.013</v>
      </c>
      <c r="AA204" s="196" t="n">
        <v>0.016</v>
      </c>
      <c r="AB204" s="196" t="n">
        <v>0.001</v>
      </c>
      <c r="AC204" s="196" t="n">
        <v>0</v>
      </c>
      <c r="AD204" s="196" t="n">
        <v>0</v>
      </c>
      <c r="AE204" s="196" t="n">
        <v>0</v>
      </c>
      <c r="AF204" s="196" t="n">
        <v>0</v>
      </c>
      <c r="AG204" s="197" t="n">
        <v>0</v>
      </c>
      <c r="AH204" s="196" t="n">
        <v>0</v>
      </c>
      <c r="AI204" s="192" t="n">
        <v>0</v>
      </c>
      <c r="AJ204" s="192" t="n">
        <v>0</v>
      </c>
      <c r="AK204" s="192" t="n">
        <v>0</v>
      </c>
      <c r="AL204" s="192" t="n">
        <v>0</v>
      </c>
      <c r="AM204" s="192" t="n">
        <v>0.45</v>
      </c>
      <c r="AN204" s="192" t="n">
        <v>0.044976639</v>
      </c>
      <c r="AO204" s="192" t="n">
        <v>0</v>
      </c>
      <c r="AP204" s="192" t="n">
        <v>0</v>
      </c>
      <c r="AQ204" s="192" t="n">
        <v>-0.19</v>
      </c>
      <c r="AS204" s="192" t="n">
        <v>0</v>
      </c>
      <c r="AT204" s="192" t="n">
        <v>0</v>
      </c>
      <c r="AU204" s="192" t="n">
        <v>0.295</v>
      </c>
      <c r="AV204" s="192" t="n">
        <v>0</v>
      </c>
      <c r="AW204" s="192" t="n">
        <v>0</v>
      </c>
      <c r="AX204" s="192" t="n">
        <v>0</v>
      </c>
      <c r="AY204" s="192" t="n">
        <v>0</v>
      </c>
      <c r="AZ204" s="192" t="n">
        <v>0</v>
      </c>
      <c r="BA204" s="192" t="n">
        <v>0</v>
      </c>
      <c r="BB204" s="192" t="n">
        <v>0</v>
      </c>
      <c r="BC204" s="192" t="n">
        <v>0</v>
      </c>
      <c r="BD204" s="192" t="n">
        <v>0.00997663900000001</v>
      </c>
      <c r="BE204" s="192" t="n">
        <v>0</v>
      </c>
      <c r="BF204" s="192" t="n">
        <v>-0.17</v>
      </c>
      <c r="BG204" s="192" t="n">
        <v>0</v>
      </c>
      <c r="BH204" s="192" t="n">
        <v>0</v>
      </c>
      <c r="BI204" s="192" t="n">
        <v>0</v>
      </c>
      <c r="BJ204" s="192" t="n">
        <v>0.365</v>
      </c>
    </row>
    <row r="205" customFormat="false" ht="12.75" hidden="false" customHeight="false" outlineLevel="0" collapsed="false">
      <c r="A205" s="194"/>
      <c r="B205" s="194" t="n">
        <v>4.295</v>
      </c>
      <c r="C205" s="200" t="n">
        <v>42856</v>
      </c>
      <c r="D205" s="194" t="n">
        <v>3.7265</v>
      </c>
      <c r="E205" s="194" t="n">
        <v>0.15</v>
      </c>
      <c r="F205" s="194" t="n">
        <v>0.071562001683627</v>
      </c>
      <c r="G205" s="194" t="n">
        <v>0</v>
      </c>
      <c r="H205" s="194" t="n">
        <v>0</v>
      </c>
      <c r="I205" s="194" t="n">
        <v>0</v>
      </c>
      <c r="J205" s="194" t="n">
        <v>0</v>
      </c>
      <c r="K205" s="194" t="n">
        <v>0</v>
      </c>
      <c r="L205" s="194" t="n">
        <v>0</v>
      </c>
      <c r="M205" s="194" t="n">
        <v>0</v>
      </c>
      <c r="N205" s="194" t="n">
        <v>0</v>
      </c>
      <c r="O205" s="194" t="n">
        <v>0</v>
      </c>
      <c r="P205" s="192" t="n">
        <v>0</v>
      </c>
      <c r="Q205" s="192" t="n">
        <v>0</v>
      </c>
      <c r="R205" s="192" t="n">
        <v>0</v>
      </c>
      <c r="S205" s="192" t="n">
        <v>0</v>
      </c>
      <c r="T205" s="192" t="n">
        <v>0</v>
      </c>
      <c r="U205" s="192" t="n">
        <v>0</v>
      </c>
      <c r="V205" s="192" t="n">
        <v>0</v>
      </c>
      <c r="W205" s="196" t="n">
        <v>0.1925</v>
      </c>
      <c r="X205" s="196" t="n">
        <v>0.2025</v>
      </c>
      <c r="Y205" s="196" t="n">
        <v>0</v>
      </c>
      <c r="Z205" s="196" t="n">
        <v>-0.01325</v>
      </c>
      <c r="AA205" s="196" t="n">
        <v>0.01575</v>
      </c>
      <c r="AB205" s="196" t="n">
        <v>0.000750000000000008</v>
      </c>
      <c r="AC205" s="196" t="n">
        <v>0</v>
      </c>
      <c r="AD205" s="196" t="n">
        <v>0</v>
      </c>
      <c r="AE205" s="196" t="n">
        <v>0</v>
      </c>
      <c r="AF205" s="196" t="n">
        <v>0</v>
      </c>
      <c r="AG205" s="197" t="n">
        <v>0</v>
      </c>
      <c r="AH205" s="196" t="n">
        <v>0</v>
      </c>
      <c r="AI205" s="192" t="n">
        <v>0</v>
      </c>
      <c r="AJ205" s="192" t="n">
        <v>0</v>
      </c>
      <c r="AK205" s="192" t="n">
        <v>0</v>
      </c>
      <c r="AL205" s="192" t="n">
        <v>0</v>
      </c>
      <c r="AM205" s="192" t="n">
        <v>0.405</v>
      </c>
      <c r="AN205" s="192" t="n">
        <v>0.044968124</v>
      </c>
      <c r="AO205" s="192" t="n">
        <v>0</v>
      </c>
      <c r="AP205" s="192" t="n">
        <v>0</v>
      </c>
      <c r="AQ205" s="192" t="n">
        <v>-0.19</v>
      </c>
      <c r="AS205" s="192" t="n">
        <v>0</v>
      </c>
      <c r="AT205" s="192" t="n">
        <v>0</v>
      </c>
      <c r="AU205" s="192" t="n">
        <v>0.295</v>
      </c>
      <c r="AV205" s="192" t="n">
        <v>0</v>
      </c>
      <c r="AW205" s="192" t="n">
        <v>0</v>
      </c>
      <c r="AX205" s="192" t="n">
        <v>0</v>
      </c>
      <c r="AY205" s="192" t="n">
        <v>0</v>
      </c>
      <c r="AZ205" s="192" t="n">
        <v>0</v>
      </c>
      <c r="BA205" s="192" t="n">
        <v>0</v>
      </c>
      <c r="BB205" s="192" t="n">
        <v>0</v>
      </c>
      <c r="BC205" s="192" t="n">
        <v>0</v>
      </c>
      <c r="BD205" s="192" t="n">
        <v>0.009968124</v>
      </c>
      <c r="BE205" s="192" t="n">
        <v>0</v>
      </c>
      <c r="BF205" s="192" t="n">
        <v>-0.17</v>
      </c>
      <c r="BG205" s="192" t="n">
        <v>0</v>
      </c>
      <c r="BH205" s="192" t="n">
        <v>0</v>
      </c>
      <c r="BI205" s="192" t="n">
        <v>0</v>
      </c>
      <c r="BJ205" s="192" t="n">
        <v>0.2975</v>
      </c>
    </row>
    <row r="206" customFormat="false" ht="12.75" hidden="false" customHeight="false" outlineLevel="0" collapsed="false">
      <c r="A206" s="194"/>
      <c r="B206" s="194" t="n">
        <v>4.179</v>
      </c>
      <c r="C206" s="200" t="n">
        <v>42887</v>
      </c>
      <c r="D206" s="194" t="n">
        <v>3.7485</v>
      </c>
      <c r="E206" s="194" t="n">
        <v>0.15</v>
      </c>
      <c r="F206" s="194" t="n">
        <v>0.071571817988567</v>
      </c>
      <c r="G206" s="194" t="n">
        <v>0</v>
      </c>
      <c r="H206" s="194" t="n">
        <v>0</v>
      </c>
      <c r="I206" s="194" t="n">
        <v>0</v>
      </c>
      <c r="J206" s="194" t="n">
        <v>0</v>
      </c>
      <c r="K206" s="194" t="n">
        <v>0</v>
      </c>
      <c r="L206" s="194" t="n">
        <v>0</v>
      </c>
      <c r="M206" s="194" t="n">
        <v>0</v>
      </c>
      <c r="N206" s="194" t="n">
        <v>0</v>
      </c>
      <c r="O206" s="194" t="n">
        <v>0</v>
      </c>
      <c r="P206" s="192" t="n">
        <v>0</v>
      </c>
      <c r="Q206" s="192" t="n">
        <v>0</v>
      </c>
      <c r="R206" s="192" t="n">
        <v>0</v>
      </c>
      <c r="S206" s="192" t="n">
        <v>0</v>
      </c>
      <c r="T206" s="192" t="n">
        <v>0</v>
      </c>
      <c r="U206" s="192" t="n">
        <v>0</v>
      </c>
      <c r="V206" s="192" t="n">
        <v>0</v>
      </c>
      <c r="W206" s="196" t="n">
        <v>0.1925</v>
      </c>
      <c r="X206" s="196" t="n">
        <v>0.2025</v>
      </c>
      <c r="Y206" s="196" t="n">
        <v>0</v>
      </c>
      <c r="Z206" s="196" t="n">
        <v>-0.01325</v>
      </c>
      <c r="AA206" s="196" t="n">
        <v>0.01575</v>
      </c>
      <c r="AB206" s="196" t="n">
        <v>0.000750000000000008</v>
      </c>
      <c r="AC206" s="196" t="n">
        <v>0</v>
      </c>
      <c r="AD206" s="196" t="n">
        <v>0</v>
      </c>
      <c r="AE206" s="196" t="n">
        <v>0</v>
      </c>
      <c r="AF206" s="196" t="n">
        <v>0</v>
      </c>
      <c r="AG206" s="197" t="n">
        <v>0</v>
      </c>
      <c r="AH206" s="196" t="n">
        <v>0</v>
      </c>
      <c r="AI206" s="192" t="n">
        <v>0</v>
      </c>
      <c r="AJ206" s="192" t="n">
        <v>0</v>
      </c>
      <c r="AK206" s="192" t="n">
        <v>0</v>
      </c>
      <c r="AL206" s="192" t="n">
        <v>0</v>
      </c>
      <c r="AM206" s="192" t="n">
        <v>0.395</v>
      </c>
      <c r="AN206" s="192" t="n">
        <v>0.044968124</v>
      </c>
      <c r="AO206" s="192" t="n">
        <v>0</v>
      </c>
      <c r="AP206" s="192" t="n">
        <v>0</v>
      </c>
      <c r="AQ206" s="192" t="n">
        <v>-0.19</v>
      </c>
      <c r="AS206" s="192" t="n">
        <v>0</v>
      </c>
      <c r="AT206" s="192" t="n">
        <v>0</v>
      </c>
      <c r="AU206" s="192" t="n">
        <v>0.295</v>
      </c>
      <c r="AV206" s="192" t="n">
        <v>0</v>
      </c>
      <c r="AW206" s="192" t="n">
        <v>0</v>
      </c>
      <c r="AX206" s="192" t="n">
        <v>0</v>
      </c>
      <c r="AY206" s="192" t="n">
        <v>0</v>
      </c>
      <c r="AZ206" s="192" t="n">
        <v>0</v>
      </c>
      <c r="BA206" s="192" t="n">
        <v>0</v>
      </c>
      <c r="BB206" s="192" t="n">
        <v>0</v>
      </c>
      <c r="BC206" s="192" t="n">
        <v>0</v>
      </c>
      <c r="BD206" s="192" t="n">
        <v>0.009968124</v>
      </c>
      <c r="BE206" s="192" t="n">
        <v>0</v>
      </c>
      <c r="BF206" s="192" t="n">
        <v>-0.17</v>
      </c>
      <c r="BG206" s="192" t="n">
        <v>0</v>
      </c>
      <c r="BH206" s="192" t="n">
        <v>0</v>
      </c>
      <c r="BI206" s="192" t="n">
        <v>0</v>
      </c>
      <c r="BJ206" s="192" t="n">
        <v>0.2975</v>
      </c>
    </row>
    <row r="207" customFormat="false" ht="12.75" hidden="false" customHeight="false" outlineLevel="0" collapsed="false">
      <c r="A207" s="194"/>
      <c r="B207" s="194" t="n">
        <v>4.066</v>
      </c>
      <c r="C207" s="200" t="n">
        <v>42917</v>
      </c>
      <c r="D207" s="194" t="n">
        <v>3.7565</v>
      </c>
      <c r="E207" s="194" t="n">
        <v>0.15</v>
      </c>
      <c r="F207" s="194" t="n">
        <v>0.071581317638539</v>
      </c>
      <c r="G207" s="194" t="n">
        <v>0</v>
      </c>
      <c r="H207" s="194" t="n">
        <v>0</v>
      </c>
      <c r="I207" s="194" t="n">
        <v>0</v>
      </c>
      <c r="J207" s="194" t="n">
        <v>0</v>
      </c>
      <c r="K207" s="194" t="n">
        <v>0</v>
      </c>
      <c r="L207" s="194" t="n">
        <v>0</v>
      </c>
      <c r="M207" s="194" t="n">
        <v>0</v>
      </c>
      <c r="N207" s="194" t="n">
        <v>0</v>
      </c>
      <c r="O207" s="194" t="n">
        <v>0</v>
      </c>
      <c r="P207" s="192" t="n">
        <v>0</v>
      </c>
      <c r="Q207" s="192" t="n">
        <v>0</v>
      </c>
      <c r="R207" s="192" t="n">
        <v>0</v>
      </c>
      <c r="S207" s="192" t="n">
        <v>0</v>
      </c>
      <c r="T207" s="192" t="n">
        <v>0</v>
      </c>
      <c r="U207" s="192" t="n">
        <v>0</v>
      </c>
      <c r="V207" s="192" t="n">
        <v>0</v>
      </c>
      <c r="W207" s="196" t="n">
        <v>0.1925</v>
      </c>
      <c r="X207" s="196" t="n">
        <v>0.215</v>
      </c>
      <c r="Y207" s="196" t="n">
        <v>0</v>
      </c>
      <c r="Z207" s="196" t="n">
        <v>-0.01325</v>
      </c>
      <c r="AA207" s="196" t="n">
        <v>0.01575</v>
      </c>
      <c r="AB207" s="196" t="n">
        <v>0.000750000000000008</v>
      </c>
      <c r="AC207" s="196" t="n">
        <v>0</v>
      </c>
      <c r="AD207" s="196" t="n">
        <v>0</v>
      </c>
      <c r="AE207" s="196" t="n">
        <v>0</v>
      </c>
      <c r="AF207" s="196" t="n">
        <v>0</v>
      </c>
      <c r="AG207" s="197" t="n">
        <v>0</v>
      </c>
      <c r="AH207" s="196" t="n">
        <v>0</v>
      </c>
      <c r="AI207" s="192" t="n">
        <v>0</v>
      </c>
      <c r="AJ207" s="192" t="n">
        <v>0</v>
      </c>
      <c r="AK207" s="192" t="n">
        <v>0</v>
      </c>
      <c r="AL207" s="192" t="n">
        <v>0</v>
      </c>
      <c r="AM207" s="192" t="n">
        <v>0.43</v>
      </c>
      <c r="AN207" s="192" t="n">
        <v>0.044968124</v>
      </c>
      <c r="AO207" s="192" t="n">
        <v>0</v>
      </c>
      <c r="AP207" s="192" t="n">
        <v>0</v>
      </c>
      <c r="AQ207" s="192" t="n">
        <v>-0.19</v>
      </c>
      <c r="AS207" s="192" t="n">
        <v>0</v>
      </c>
      <c r="AT207" s="192" t="n">
        <v>0</v>
      </c>
      <c r="AU207" s="192" t="n">
        <v>0.295</v>
      </c>
      <c r="AV207" s="192" t="n">
        <v>0</v>
      </c>
      <c r="AW207" s="192" t="n">
        <v>0</v>
      </c>
      <c r="AX207" s="192" t="n">
        <v>0</v>
      </c>
      <c r="AY207" s="192" t="n">
        <v>0</v>
      </c>
      <c r="AZ207" s="192" t="n">
        <v>0</v>
      </c>
      <c r="BA207" s="192" t="n">
        <v>0</v>
      </c>
      <c r="BB207" s="192" t="n">
        <v>0</v>
      </c>
      <c r="BC207" s="192" t="n">
        <v>0</v>
      </c>
      <c r="BD207" s="192" t="n">
        <v>0.009968124</v>
      </c>
      <c r="BE207" s="192" t="n">
        <v>0</v>
      </c>
      <c r="BF207" s="192" t="n">
        <v>-0.17</v>
      </c>
      <c r="BG207" s="192" t="n">
        <v>0</v>
      </c>
      <c r="BH207" s="192" t="n">
        <v>0</v>
      </c>
      <c r="BI207" s="192" t="n">
        <v>0</v>
      </c>
      <c r="BJ207" s="192" t="n">
        <v>0.31</v>
      </c>
    </row>
    <row r="208" customFormat="false" ht="12.75" hidden="false" customHeight="false" outlineLevel="0" collapsed="false">
      <c r="A208" s="194"/>
      <c r="B208" s="194" t="n">
        <v>4.052</v>
      </c>
      <c r="C208" s="200" t="n">
        <v>42948</v>
      </c>
      <c r="D208" s="194" t="n">
        <v>3.7635</v>
      </c>
      <c r="E208" s="194" t="n">
        <v>0.15</v>
      </c>
      <c r="F208" s="194" t="n">
        <v>0.071591133943542</v>
      </c>
      <c r="G208" s="194" t="n">
        <v>0</v>
      </c>
      <c r="H208" s="194" t="n">
        <v>0</v>
      </c>
      <c r="I208" s="194" t="n">
        <v>0</v>
      </c>
      <c r="J208" s="194" t="n">
        <v>0</v>
      </c>
      <c r="K208" s="194" t="n">
        <v>0</v>
      </c>
      <c r="L208" s="194" t="n">
        <v>0</v>
      </c>
      <c r="M208" s="194" t="n">
        <v>0</v>
      </c>
      <c r="N208" s="194" t="n">
        <v>0</v>
      </c>
      <c r="O208" s="194" t="n">
        <v>0</v>
      </c>
      <c r="P208" s="192" t="n">
        <v>0</v>
      </c>
      <c r="Q208" s="192" t="n">
        <v>0</v>
      </c>
      <c r="R208" s="192" t="n">
        <v>0</v>
      </c>
      <c r="S208" s="192" t="n">
        <v>0</v>
      </c>
      <c r="T208" s="192" t="n">
        <v>0</v>
      </c>
      <c r="U208" s="192" t="n">
        <v>0</v>
      </c>
      <c r="V208" s="192" t="n">
        <v>0</v>
      </c>
      <c r="W208" s="196" t="n">
        <v>0.1925</v>
      </c>
      <c r="X208" s="196" t="n">
        <v>0.215</v>
      </c>
      <c r="Y208" s="196" t="n">
        <v>0</v>
      </c>
      <c r="Z208" s="196" t="n">
        <v>-0.01325</v>
      </c>
      <c r="AA208" s="196" t="n">
        <v>0.01575</v>
      </c>
      <c r="AB208" s="196" t="n">
        <v>0.000750000000000008</v>
      </c>
      <c r="AC208" s="196" t="n">
        <v>0</v>
      </c>
      <c r="AD208" s="196" t="n">
        <v>0</v>
      </c>
      <c r="AE208" s="196" t="n">
        <v>0</v>
      </c>
      <c r="AF208" s="196" t="n">
        <v>0</v>
      </c>
      <c r="AG208" s="197" t="n">
        <v>0</v>
      </c>
      <c r="AH208" s="196" t="n">
        <v>0</v>
      </c>
      <c r="AI208" s="192" t="n">
        <v>0</v>
      </c>
      <c r="AJ208" s="192" t="n">
        <v>0</v>
      </c>
      <c r="AK208" s="192" t="n">
        <v>0</v>
      </c>
      <c r="AL208" s="192" t="n">
        <v>0</v>
      </c>
      <c r="AM208" s="192" t="n">
        <v>0.495</v>
      </c>
      <c r="AN208" s="192" t="n">
        <v>0.044968124</v>
      </c>
      <c r="AO208" s="192" t="n">
        <v>0</v>
      </c>
      <c r="AP208" s="192" t="n">
        <v>0</v>
      </c>
      <c r="AQ208" s="192" t="n">
        <v>-0.19</v>
      </c>
      <c r="AS208" s="192" t="n">
        <v>0</v>
      </c>
      <c r="AT208" s="192" t="n">
        <v>0</v>
      </c>
      <c r="AU208" s="192" t="n">
        <v>0.295</v>
      </c>
      <c r="AV208" s="192" t="n">
        <v>0</v>
      </c>
      <c r="AW208" s="192" t="n">
        <v>0</v>
      </c>
      <c r="AX208" s="192" t="n">
        <v>0</v>
      </c>
      <c r="AY208" s="192" t="n">
        <v>0</v>
      </c>
      <c r="AZ208" s="192" t="n">
        <v>0</v>
      </c>
      <c r="BA208" s="192" t="n">
        <v>0</v>
      </c>
      <c r="BB208" s="192" t="n">
        <v>0</v>
      </c>
      <c r="BC208" s="192" t="n">
        <v>0</v>
      </c>
      <c r="BD208" s="192" t="n">
        <v>0.009968124</v>
      </c>
      <c r="BE208" s="192" t="n">
        <v>0</v>
      </c>
      <c r="BF208" s="192" t="n">
        <v>-0.17</v>
      </c>
      <c r="BG208" s="192" t="n">
        <v>0</v>
      </c>
      <c r="BH208" s="192" t="n">
        <v>0</v>
      </c>
      <c r="BI208" s="192" t="n">
        <v>0</v>
      </c>
      <c r="BJ208" s="192" t="n">
        <v>0.31</v>
      </c>
    </row>
    <row r="209" customFormat="false" ht="12.75" hidden="false" customHeight="false" outlineLevel="0" collapsed="false">
      <c r="A209" s="194"/>
      <c r="B209" s="194" t="n">
        <v>4.046</v>
      </c>
      <c r="C209" s="200" t="n">
        <v>42979</v>
      </c>
      <c r="D209" s="194" t="n">
        <v>3.7395</v>
      </c>
      <c r="E209" s="194" t="n">
        <v>0.15</v>
      </c>
      <c r="F209" s="194" t="n">
        <v>0.071600950248577</v>
      </c>
      <c r="G209" s="194" t="n">
        <v>0</v>
      </c>
      <c r="H209" s="194" t="n">
        <v>0</v>
      </c>
      <c r="I209" s="194" t="n">
        <v>0</v>
      </c>
      <c r="J209" s="194" t="n">
        <v>0</v>
      </c>
      <c r="K209" s="194" t="n">
        <v>0</v>
      </c>
      <c r="L209" s="194" t="n">
        <v>0</v>
      </c>
      <c r="M209" s="194" t="n">
        <v>0</v>
      </c>
      <c r="N209" s="194" t="n">
        <v>0</v>
      </c>
      <c r="O209" s="194" t="n">
        <v>0</v>
      </c>
      <c r="P209" s="192" t="n">
        <v>0</v>
      </c>
      <c r="Q209" s="192" t="n">
        <v>0</v>
      </c>
      <c r="R209" s="192" t="n">
        <v>0</v>
      </c>
      <c r="S209" s="192" t="n">
        <v>0</v>
      </c>
      <c r="T209" s="192" t="n">
        <v>0</v>
      </c>
      <c r="U209" s="192" t="n">
        <v>0</v>
      </c>
      <c r="V209" s="192" t="n">
        <v>0</v>
      </c>
      <c r="W209" s="196" t="n">
        <v>0.1925</v>
      </c>
      <c r="X209" s="196" t="n">
        <v>0.195</v>
      </c>
      <c r="Y209" s="196" t="n">
        <v>0</v>
      </c>
      <c r="Z209" s="196" t="n">
        <v>-0.01325</v>
      </c>
      <c r="AA209" s="196" t="n">
        <v>0.01575</v>
      </c>
      <c r="AB209" s="196" t="n">
        <v>0.000750000000000008</v>
      </c>
      <c r="AC209" s="196" t="n">
        <v>0</v>
      </c>
      <c r="AD209" s="196" t="n">
        <v>0</v>
      </c>
      <c r="AE209" s="196" t="n">
        <v>0</v>
      </c>
      <c r="AF209" s="196" t="n">
        <v>0</v>
      </c>
      <c r="AG209" s="197" t="n">
        <v>0</v>
      </c>
      <c r="AH209" s="196" t="n">
        <v>0</v>
      </c>
      <c r="AI209" s="192" t="n">
        <v>0</v>
      </c>
      <c r="AJ209" s="192" t="n">
        <v>0</v>
      </c>
      <c r="AK209" s="192" t="n">
        <v>0</v>
      </c>
      <c r="AL209" s="192" t="n">
        <v>0</v>
      </c>
      <c r="AM209" s="192" t="n">
        <v>0.395</v>
      </c>
      <c r="AN209" s="192" t="n">
        <v>0.044968124</v>
      </c>
      <c r="AO209" s="192" t="n">
        <v>0</v>
      </c>
      <c r="AP209" s="192" t="n">
        <v>0</v>
      </c>
      <c r="AQ209" s="192" t="n">
        <v>-0.19</v>
      </c>
      <c r="AS209" s="192" t="n">
        <v>0</v>
      </c>
      <c r="AT209" s="192" t="n">
        <v>0</v>
      </c>
      <c r="AU209" s="192" t="n">
        <v>0.295</v>
      </c>
      <c r="AV209" s="192" t="n">
        <v>0</v>
      </c>
      <c r="AW209" s="192" t="n">
        <v>0</v>
      </c>
      <c r="AX209" s="192" t="n">
        <v>0</v>
      </c>
      <c r="AY209" s="192" t="n">
        <v>0</v>
      </c>
      <c r="AZ209" s="192" t="n">
        <v>0</v>
      </c>
      <c r="BA209" s="192" t="n">
        <v>0</v>
      </c>
      <c r="BB209" s="192" t="n">
        <v>0</v>
      </c>
      <c r="BC209" s="192" t="n">
        <v>0</v>
      </c>
      <c r="BD209" s="192" t="n">
        <v>0.009968124</v>
      </c>
      <c r="BE209" s="192" t="n">
        <v>0</v>
      </c>
      <c r="BF209" s="192" t="n">
        <v>-0.17</v>
      </c>
      <c r="BG209" s="192" t="n">
        <v>0</v>
      </c>
      <c r="BH209" s="192" t="n">
        <v>0</v>
      </c>
      <c r="BI209" s="192" t="n">
        <v>0</v>
      </c>
      <c r="BJ209" s="192" t="n">
        <v>0.3</v>
      </c>
    </row>
    <row r="210" customFormat="false" ht="12.75" hidden="false" customHeight="false" outlineLevel="0" collapsed="false">
      <c r="A210" s="194"/>
      <c r="B210" s="194" t="n">
        <v>4.111</v>
      </c>
      <c r="C210" s="200" t="n">
        <v>43009</v>
      </c>
      <c r="D210" s="194" t="n">
        <v>3.7485</v>
      </c>
      <c r="E210" s="194" t="n">
        <v>0.15</v>
      </c>
      <c r="F210" s="194" t="n">
        <v>0.071610449898641</v>
      </c>
      <c r="G210" s="194" t="n">
        <v>0</v>
      </c>
      <c r="H210" s="194" t="n">
        <v>0</v>
      </c>
      <c r="I210" s="194" t="n">
        <v>0</v>
      </c>
      <c r="J210" s="194" t="n">
        <v>0</v>
      </c>
      <c r="K210" s="194" t="n">
        <v>0</v>
      </c>
      <c r="L210" s="194" t="n">
        <v>0</v>
      </c>
      <c r="M210" s="194" t="n">
        <v>0</v>
      </c>
      <c r="N210" s="194" t="n">
        <v>0</v>
      </c>
      <c r="O210" s="194" t="n">
        <v>0</v>
      </c>
      <c r="P210" s="192" t="n">
        <v>0</v>
      </c>
      <c r="Q210" s="192" t="n">
        <v>0</v>
      </c>
      <c r="R210" s="192" t="n">
        <v>0</v>
      </c>
      <c r="S210" s="192" t="n">
        <v>0</v>
      </c>
      <c r="T210" s="192" t="n">
        <v>0</v>
      </c>
      <c r="U210" s="192" t="n">
        <v>0</v>
      </c>
      <c r="V210" s="192" t="n">
        <v>0</v>
      </c>
      <c r="W210" s="196" t="n">
        <v>0.1975</v>
      </c>
      <c r="X210" s="196" t="n">
        <v>0.215</v>
      </c>
      <c r="Y210" s="196" t="n">
        <v>0</v>
      </c>
      <c r="Z210" s="196" t="n">
        <v>-0.01325</v>
      </c>
      <c r="AA210" s="196" t="n">
        <v>-0.0025</v>
      </c>
      <c r="AB210" s="196" t="n">
        <v>-0.0175</v>
      </c>
      <c r="AC210" s="196" t="n">
        <v>0</v>
      </c>
      <c r="AD210" s="196" t="n">
        <v>0</v>
      </c>
      <c r="AE210" s="196" t="n">
        <v>0</v>
      </c>
      <c r="AF210" s="196" t="n">
        <v>0</v>
      </c>
      <c r="AG210" s="197" t="n">
        <v>0</v>
      </c>
      <c r="AH210" s="196" t="n">
        <v>0</v>
      </c>
      <c r="AI210" s="192" t="n">
        <v>0</v>
      </c>
      <c r="AJ210" s="192" t="n">
        <v>0</v>
      </c>
      <c r="AK210" s="192" t="n">
        <v>0</v>
      </c>
      <c r="AL210" s="192" t="n">
        <v>0</v>
      </c>
      <c r="AM210" s="192" t="n">
        <v>0.461</v>
      </c>
      <c r="AN210" s="192" t="n">
        <v>0.044968124</v>
      </c>
      <c r="AO210" s="192" t="n">
        <v>0</v>
      </c>
      <c r="AP210" s="192" t="n">
        <v>0</v>
      </c>
      <c r="AQ210" s="192" t="n">
        <v>-0.19</v>
      </c>
      <c r="AS210" s="192" t="n">
        <v>0</v>
      </c>
      <c r="AT210" s="192" t="n">
        <v>0</v>
      </c>
      <c r="AU210" s="192" t="n">
        <v>0.295</v>
      </c>
      <c r="AV210" s="192" t="n">
        <v>0</v>
      </c>
      <c r="AW210" s="192" t="n">
        <v>0</v>
      </c>
      <c r="AX210" s="192" t="n">
        <v>0</v>
      </c>
      <c r="AY210" s="192" t="n">
        <v>0</v>
      </c>
      <c r="AZ210" s="192" t="n">
        <v>0</v>
      </c>
      <c r="BA210" s="192" t="n">
        <v>0</v>
      </c>
      <c r="BB210" s="192" t="n">
        <v>0</v>
      </c>
      <c r="BC210" s="192" t="n">
        <v>0</v>
      </c>
      <c r="BD210" s="192" t="n">
        <v>0.009968124</v>
      </c>
      <c r="BE210" s="192" t="n">
        <v>0</v>
      </c>
      <c r="BF210" s="192" t="n">
        <v>-0.17</v>
      </c>
      <c r="BG210" s="192" t="n">
        <v>0</v>
      </c>
      <c r="BH210" s="192" t="n">
        <v>0</v>
      </c>
      <c r="BI210" s="192" t="n">
        <v>0</v>
      </c>
      <c r="BJ210" s="192" t="n">
        <v>0.37253</v>
      </c>
    </row>
    <row r="211" customFormat="false" ht="12.75" hidden="false" customHeight="false" outlineLevel="0" collapsed="false">
      <c r="A211" s="194"/>
      <c r="B211" s="194" t="n">
        <v>4.106</v>
      </c>
      <c r="C211" s="200" t="n">
        <v>43040</v>
      </c>
      <c r="D211" s="194" t="n">
        <v>3.7705</v>
      </c>
      <c r="E211" s="194" t="n">
        <v>0.15</v>
      </c>
      <c r="F211" s="194" t="n">
        <v>0.071620266203738</v>
      </c>
      <c r="V211" s="192" t="n">
        <v>0</v>
      </c>
      <c r="W211" s="196" t="n">
        <v>0.2725</v>
      </c>
      <c r="X211" s="196" t="n">
        <v>0.315</v>
      </c>
      <c r="Y211" s="196" t="n">
        <v>0</v>
      </c>
      <c r="Z211" s="196" t="n">
        <v>-0.0265</v>
      </c>
      <c r="AA211" s="196" t="n">
        <v>-0.0015</v>
      </c>
      <c r="AB211" s="196" t="n">
        <v>-0.0165</v>
      </c>
      <c r="AC211" s="196" t="n">
        <v>0</v>
      </c>
      <c r="AD211" s="196" t="n">
        <v>0</v>
      </c>
      <c r="AE211" s="196" t="n">
        <v>0</v>
      </c>
      <c r="AF211" s="196" t="n">
        <v>0</v>
      </c>
      <c r="AG211" s="197" t="n">
        <v>0</v>
      </c>
      <c r="AH211" s="196" t="n">
        <v>0</v>
      </c>
      <c r="AI211" s="192" t="n">
        <v>0</v>
      </c>
      <c r="AK211" s="192" t="n">
        <v>0</v>
      </c>
      <c r="AL211" s="192" t="n">
        <v>0</v>
      </c>
      <c r="AM211" s="192" t="n">
        <v>0.885</v>
      </c>
      <c r="AN211" s="192" t="n">
        <v>-0.034988713</v>
      </c>
      <c r="AO211" s="192" t="n">
        <v>0</v>
      </c>
      <c r="AP211" s="192" t="n">
        <v>0</v>
      </c>
      <c r="AQ211" s="192" t="n">
        <v>-0.19</v>
      </c>
      <c r="AS211" s="192" t="n">
        <v>0</v>
      </c>
      <c r="AT211" s="192" t="n">
        <v>0</v>
      </c>
      <c r="AU211" s="192" t="n">
        <v>0.12</v>
      </c>
      <c r="AV211" s="192" t="n">
        <v>0</v>
      </c>
      <c r="AW211" s="192" t="n">
        <v>0</v>
      </c>
      <c r="AX211" s="192" t="n">
        <v>0</v>
      </c>
      <c r="AY211" s="192" t="n">
        <v>0</v>
      </c>
      <c r="BA211" s="192" t="n">
        <v>0</v>
      </c>
      <c r="BB211" s="192" t="n">
        <v>0</v>
      </c>
      <c r="BD211" s="192" t="n">
        <v>-0.069988713</v>
      </c>
      <c r="BE211" s="192" t="n">
        <v>0</v>
      </c>
      <c r="BF211" s="192" t="n">
        <v>-0.17</v>
      </c>
      <c r="BJ211" s="192" t="n">
        <v>0.56</v>
      </c>
    </row>
    <row r="212" customFormat="false" ht="12.75" hidden="false" customHeight="false" outlineLevel="0" collapsed="false">
      <c r="A212" s="194"/>
      <c r="B212" s="194" t="n">
        <v>4.082</v>
      </c>
      <c r="C212" s="200" t="n">
        <v>43070</v>
      </c>
      <c r="D212" s="194" t="n">
        <v>3.8045</v>
      </c>
      <c r="E212" s="194" t="n">
        <v>0.15</v>
      </c>
      <c r="F212" s="194" t="n">
        <v>0.071629765853863</v>
      </c>
      <c r="V212" s="192" t="n">
        <v>0</v>
      </c>
      <c r="W212" s="196" t="n">
        <v>0.3075</v>
      </c>
      <c r="X212" s="196" t="n">
        <v>0.395</v>
      </c>
      <c r="Y212" s="196" t="n">
        <v>0</v>
      </c>
      <c r="Z212" s="196" t="n">
        <v>-0.019</v>
      </c>
      <c r="AA212" s="196" t="n">
        <v>-0.0015</v>
      </c>
      <c r="AB212" s="196" t="n">
        <v>-0.0165</v>
      </c>
      <c r="AC212" s="196" t="n">
        <v>0</v>
      </c>
      <c r="AD212" s="196" t="n">
        <v>0</v>
      </c>
      <c r="AE212" s="196" t="n">
        <v>0</v>
      </c>
      <c r="AF212" s="196" t="n">
        <v>0</v>
      </c>
      <c r="AG212" s="197" t="n">
        <v>0</v>
      </c>
      <c r="AH212" s="196" t="n">
        <v>0</v>
      </c>
      <c r="AI212" s="192" t="n">
        <v>0</v>
      </c>
      <c r="AK212" s="192" t="n">
        <v>0</v>
      </c>
      <c r="AL212" s="192" t="n">
        <v>0</v>
      </c>
      <c r="AM212" s="192" t="n">
        <v>1.31</v>
      </c>
      <c r="AN212" s="192" t="n">
        <v>-0.049951938</v>
      </c>
      <c r="AO212" s="192" t="n">
        <v>0</v>
      </c>
      <c r="AP212" s="192" t="n">
        <v>0</v>
      </c>
      <c r="AQ212" s="192" t="n">
        <v>-0.19</v>
      </c>
      <c r="AS212" s="192" t="n">
        <v>0</v>
      </c>
      <c r="AT212" s="192" t="n">
        <v>0</v>
      </c>
      <c r="AU212" s="192" t="n">
        <v>0.12</v>
      </c>
      <c r="AV212" s="192" t="n">
        <v>0</v>
      </c>
      <c r="AW212" s="192" t="n">
        <v>0</v>
      </c>
      <c r="AX212" s="192" t="n">
        <v>0</v>
      </c>
      <c r="AY212" s="192" t="n">
        <v>0</v>
      </c>
      <c r="BA212" s="192" t="n">
        <v>0</v>
      </c>
      <c r="BB212" s="192" t="n">
        <v>0</v>
      </c>
      <c r="BD212" s="192" t="n">
        <v>-0.084951938</v>
      </c>
      <c r="BE212" s="192" t="n">
        <v>0</v>
      </c>
      <c r="BF212" s="192" t="n">
        <v>-0.17</v>
      </c>
      <c r="BJ212" s="192" t="n">
        <v>0.91</v>
      </c>
    </row>
    <row r="213" customFormat="false" ht="12.75" hidden="false" customHeight="false" outlineLevel="0" collapsed="false">
      <c r="A213" s="194"/>
      <c r="B213" s="194" t="n">
        <v>4.086</v>
      </c>
      <c r="C213" s="200" t="n">
        <v>43101</v>
      </c>
      <c r="D213" s="194" t="n">
        <v>4.2445</v>
      </c>
      <c r="E213" s="194" t="n">
        <v>0.15</v>
      </c>
      <c r="F213" s="194" t="n">
        <v>0.071639582159023</v>
      </c>
      <c r="V213" s="192" t="n">
        <v>0</v>
      </c>
      <c r="W213" s="196" t="n">
        <v>0.3125</v>
      </c>
      <c r="X213" s="196" t="n">
        <v>0.465</v>
      </c>
      <c r="Y213" s="196" t="n">
        <v>0</v>
      </c>
      <c r="Z213" s="196" t="n">
        <v>-0.019</v>
      </c>
      <c r="AA213" s="196" t="n">
        <v>-0.0015</v>
      </c>
      <c r="AB213" s="196" t="n">
        <v>-0.0165</v>
      </c>
      <c r="AC213" s="196" t="n">
        <v>0</v>
      </c>
      <c r="AD213" s="196" t="n">
        <v>0</v>
      </c>
      <c r="AE213" s="196" t="n">
        <v>0</v>
      </c>
      <c r="AF213" s="196" t="n">
        <v>0</v>
      </c>
      <c r="AG213" s="197" t="n">
        <v>0</v>
      </c>
      <c r="AH213" s="196" t="n">
        <v>0</v>
      </c>
      <c r="AI213" s="192" t="n">
        <v>0</v>
      </c>
      <c r="AK213" s="192" t="n">
        <v>0</v>
      </c>
      <c r="AL213" s="192" t="n">
        <v>0</v>
      </c>
      <c r="AM213" s="192" t="n">
        <v>1.645</v>
      </c>
      <c r="AN213" s="192" t="n">
        <v>-0.044955184</v>
      </c>
      <c r="AO213" s="192" t="n">
        <v>0</v>
      </c>
      <c r="AP213" s="192" t="n">
        <v>0</v>
      </c>
      <c r="AQ213" s="192" t="n">
        <v>-0.19</v>
      </c>
      <c r="AS213" s="192" t="n">
        <v>0</v>
      </c>
      <c r="AT213" s="192" t="n">
        <v>0</v>
      </c>
      <c r="AU213" s="192" t="n">
        <v>0.12</v>
      </c>
      <c r="AV213" s="192" t="n">
        <v>0</v>
      </c>
      <c r="AW213" s="192" t="n">
        <v>0</v>
      </c>
      <c r="AX213" s="192" t="n">
        <v>0</v>
      </c>
      <c r="AY213" s="192" t="n">
        <v>0</v>
      </c>
      <c r="BA213" s="192" t="n">
        <v>0</v>
      </c>
      <c r="BB213" s="192" t="n">
        <v>0</v>
      </c>
      <c r="BD213" s="192" t="n">
        <v>-0.079955184</v>
      </c>
      <c r="BE213" s="192" t="n">
        <v>0</v>
      </c>
      <c r="BF213" s="192" t="n">
        <v>-0.17</v>
      </c>
      <c r="BJ213" s="192" t="n">
        <v>1.235</v>
      </c>
    </row>
    <row r="214" customFormat="false" ht="12.75" hidden="false" customHeight="false" outlineLevel="0" collapsed="false">
      <c r="A214" s="194"/>
      <c r="B214" s="194" t="n">
        <v>4.128</v>
      </c>
      <c r="C214" s="200" t="n">
        <v>43132</v>
      </c>
      <c r="D214" s="194" t="n">
        <v>4.1425</v>
      </c>
      <c r="E214" s="194" t="n">
        <v>0.15</v>
      </c>
      <c r="F214" s="194" t="n">
        <v>0.071649398464215</v>
      </c>
      <c r="V214" s="192" t="n">
        <v>0</v>
      </c>
      <c r="W214" s="196" t="n">
        <v>0.3125</v>
      </c>
      <c r="X214" s="196" t="n">
        <v>0.435</v>
      </c>
      <c r="Y214" s="196" t="n">
        <v>0</v>
      </c>
      <c r="Z214" s="196" t="n">
        <v>-0.019</v>
      </c>
      <c r="AA214" s="196" t="n">
        <v>-0.0015</v>
      </c>
      <c r="AB214" s="196" t="n">
        <v>-0.0165</v>
      </c>
      <c r="AC214" s="196" t="n">
        <v>0</v>
      </c>
      <c r="AD214" s="196" t="n">
        <v>0</v>
      </c>
      <c r="AE214" s="196" t="n">
        <v>0</v>
      </c>
      <c r="AF214" s="196" t="n">
        <v>0</v>
      </c>
      <c r="AG214" s="197" t="n">
        <v>0</v>
      </c>
      <c r="AH214" s="196" t="n">
        <v>0</v>
      </c>
      <c r="AI214" s="192" t="n">
        <v>0</v>
      </c>
      <c r="AK214" s="192" t="n">
        <v>0</v>
      </c>
      <c r="AL214" s="192" t="n">
        <v>0</v>
      </c>
      <c r="AM214" s="192" t="n">
        <v>1.595</v>
      </c>
      <c r="AN214" s="192" t="n">
        <v>-0.019957423</v>
      </c>
      <c r="AO214" s="192" t="n">
        <v>0</v>
      </c>
      <c r="AP214" s="192" t="n">
        <v>0</v>
      </c>
      <c r="AQ214" s="192" t="n">
        <v>-0.19</v>
      </c>
      <c r="AS214" s="192" t="n">
        <v>0</v>
      </c>
      <c r="AT214" s="192" t="n">
        <v>0</v>
      </c>
      <c r="AU214" s="192" t="n">
        <v>0.12</v>
      </c>
      <c r="AV214" s="192" t="n">
        <v>0</v>
      </c>
      <c r="AW214" s="192" t="n">
        <v>0</v>
      </c>
      <c r="AX214" s="192" t="n">
        <v>0</v>
      </c>
      <c r="AY214" s="192" t="n">
        <v>0</v>
      </c>
      <c r="BA214" s="192" t="n">
        <v>0</v>
      </c>
      <c r="BB214" s="192" t="n">
        <v>0</v>
      </c>
      <c r="BD214" s="192" t="n">
        <v>-0.054957423</v>
      </c>
      <c r="BE214" s="192" t="n">
        <v>0</v>
      </c>
      <c r="BF214" s="192" t="n">
        <v>-0.17</v>
      </c>
      <c r="BJ214" s="192" t="n">
        <v>1.235</v>
      </c>
    </row>
    <row r="215" customFormat="false" ht="12.75" hidden="false" customHeight="false" outlineLevel="0" collapsed="false">
      <c r="A215" s="194"/>
      <c r="B215" s="194" t="n">
        <v>4.195</v>
      </c>
      <c r="C215" s="200" t="n">
        <v>43160</v>
      </c>
      <c r="D215" s="194" t="n">
        <v>4.0045</v>
      </c>
      <c r="E215" s="194" t="n">
        <v>0.15</v>
      </c>
      <c r="F215" s="194" t="n">
        <v>0.071658264804416</v>
      </c>
      <c r="V215" s="192" t="n">
        <v>0</v>
      </c>
      <c r="W215" s="196" t="n">
        <v>0.27</v>
      </c>
      <c r="X215" s="196" t="n">
        <v>0.39</v>
      </c>
      <c r="Y215" s="196" t="n">
        <v>0</v>
      </c>
      <c r="Z215" s="196" t="n">
        <v>-0.019</v>
      </c>
      <c r="AA215" s="196" t="n">
        <v>0.017</v>
      </c>
      <c r="AB215" s="196" t="n">
        <v>0.002</v>
      </c>
      <c r="AC215" s="196" t="n">
        <v>0</v>
      </c>
      <c r="AD215" s="196" t="n">
        <v>0</v>
      </c>
      <c r="AE215" s="196" t="n">
        <v>0</v>
      </c>
      <c r="AF215" s="196" t="n">
        <v>0</v>
      </c>
      <c r="AG215" s="197" t="n">
        <v>0</v>
      </c>
      <c r="AH215" s="196" t="n">
        <v>0</v>
      </c>
      <c r="AI215" s="192" t="n">
        <v>0</v>
      </c>
      <c r="AK215" s="192" t="n">
        <v>0</v>
      </c>
      <c r="AL215" s="192" t="n">
        <v>0</v>
      </c>
      <c r="AM215" s="192" t="n">
        <v>0.965</v>
      </c>
      <c r="AN215" s="192" t="n">
        <v>-0.009957423</v>
      </c>
      <c r="AO215" s="192" t="n">
        <v>0</v>
      </c>
      <c r="AP215" s="192" t="n">
        <v>0</v>
      </c>
      <c r="AQ215" s="192" t="n">
        <v>-0.19</v>
      </c>
      <c r="AS215" s="192" t="n">
        <v>0</v>
      </c>
      <c r="AT215" s="192" t="n">
        <v>0</v>
      </c>
      <c r="AU215" s="192" t="n">
        <v>0.12</v>
      </c>
      <c r="AV215" s="192" t="n">
        <v>0</v>
      </c>
      <c r="AW215" s="192" t="n">
        <v>0</v>
      </c>
      <c r="AX215" s="192" t="n">
        <v>0</v>
      </c>
      <c r="AY215" s="192" t="n">
        <v>0</v>
      </c>
      <c r="BA215" s="192" t="n">
        <v>0</v>
      </c>
      <c r="BB215" s="192" t="n">
        <v>0</v>
      </c>
      <c r="BD215" s="192" t="n">
        <v>-0.044957423</v>
      </c>
      <c r="BE215" s="192" t="n">
        <v>0</v>
      </c>
      <c r="BF215" s="192" t="n">
        <v>-0.17</v>
      </c>
      <c r="BJ215" s="192" t="n">
        <v>0.875</v>
      </c>
    </row>
    <row r="216" customFormat="false" ht="12.75" hidden="false" customHeight="false" outlineLevel="0" collapsed="false">
      <c r="A216" s="194"/>
      <c r="B216" s="194" t="n">
        <v>4.463</v>
      </c>
      <c r="C216" s="200" t="n">
        <v>43191</v>
      </c>
      <c r="D216" s="194" t="n">
        <v>3.8595</v>
      </c>
      <c r="E216" s="194" t="n">
        <v>0.15</v>
      </c>
      <c r="F216" s="194" t="n">
        <v>0.071668081109668</v>
      </c>
      <c r="V216" s="192" t="n">
        <v>0</v>
      </c>
      <c r="W216" s="196" t="n">
        <v>0.205</v>
      </c>
      <c r="X216" s="196" t="n">
        <v>0.25</v>
      </c>
      <c r="Y216" s="196" t="n">
        <v>0</v>
      </c>
      <c r="Z216" s="196" t="n">
        <v>-0.0115</v>
      </c>
      <c r="AA216" s="196" t="n">
        <v>0.017</v>
      </c>
      <c r="AB216" s="196" t="n">
        <v>0.002</v>
      </c>
      <c r="AC216" s="196" t="n">
        <v>0</v>
      </c>
      <c r="AD216" s="196" t="n">
        <v>0</v>
      </c>
      <c r="AE216" s="196" t="n">
        <v>0</v>
      </c>
      <c r="AF216" s="196" t="n">
        <v>0</v>
      </c>
      <c r="AG216" s="197" t="n">
        <v>0</v>
      </c>
      <c r="AH216" s="196" t="n">
        <v>0</v>
      </c>
      <c r="AI216" s="192" t="n">
        <v>0</v>
      </c>
      <c r="AK216" s="192" t="n">
        <v>0</v>
      </c>
      <c r="AL216" s="192" t="n">
        <v>0</v>
      </c>
      <c r="AM216" s="192" t="n">
        <v>0.45</v>
      </c>
      <c r="AN216" s="192" t="n">
        <v>0.049976639</v>
      </c>
      <c r="AO216" s="192" t="n">
        <v>0</v>
      </c>
      <c r="AP216" s="192" t="n">
        <v>0</v>
      </c>
      <c r="AQ216" s="192" t="n">
        <v>-0.19</v>
      </c>
      <c r="AS216" s="192" t="n">
        <v>0</v>
      </c>
      <c r="AT216" s="192" t="n">
        <v>0</v>
      </c>
      <c r="AU216" s="192" t="n">
        <v>0.295</v>
      </c>
      <c r="AV216" s="192" t="n">
        <v>0</v>
      </c>
      <c r="AW216" s="192" t="n">
        <v>0</v>
      </c>
      <c r="AX216" s="192" t="n">
        <v>0</v>
      </c>
      <c r="AY216" s="192" t="n">
        <v>0</v>
      </c>
      <c r="BA216" s="192" t="n">
        <v>0</v>
      </c>
      <c r="BB216" s="192" t="n">
        <v>0</v>
      </c>
      <c r="BD216" s="192" t="n">
        <v>0.014976639</v>
      </c>
      <c r="BE216" s="192" t="n">
        <v>0</v>
      </c>
      <c r="BF216" s="192" t="n">
        <v>-0.17</v>
      </c>
      <c r="BJ216" s="192" t="n">
        <v>0.365</v>
      </c>
    </row>
    <row r="217" customFormat="false" ht="12.75" hidden="false" customHeight="false" outlineLevel="0" collapsed="false">
      <c r="A217" s="194"/>
      <c r="B217" s="194" t="n">
        <v>4.396</v>
      </c>
      <c r="C217" s="200" t="n">
        <v>43221</v>
      </c>
      <c r="D217" s="194" t="n">
        <v>3.8245</v>
      </c>
      <c r="E217" s="194" t="n">
        <v>0.15</v>
      </c>
      <c r="F217" s="194" t="n">
        <v>0.071677580759942</v>
      </c>
      <c r="V217" s="192" t="n">
        <v>0</v>
      </c>
      <c r="W217" s="196" t="n">
        <v>0.1925</v>
      </c>
      <c r="X217" s="196" t="n">
        <v>0.2025</v>
      </c>
      <c r="Y217" s="196" t="n">
        <v>0</v>
      </c>
      <c r="Z217" s="196" t="n">
        <v>-0.01175</v>
      </c>
      <c r="AA217" s="196" t="n">
        <v>0.01675</v>
      </c>
      <c r="AB217" s="196" t="n">
        <v>0.00175</v>
      </c>
      <c r="AC217" s="196" t="n">
        <v>0</v>
      </c>
      <c r="AD217" s="196" t="n">
        <v>0</v>
      </c>
      <c r="AE217" s="196" t="n">
        <v>0</v>
      </c>
      <c r="AF217" s="196" t="n">
        <v>0</v>
      </c>
      <c r="AG217" s="197" t="n">
        <v>0</v>
      </c>
      <c r="AH217" s="196" t="n">
        <v>0</v>
      </c>
      <c r="AI217" s="192" t="n">
        <v>0</v>
      </c>
      <c r="AK217" s="192" t="n">
        <v>0</v>
      </c>
      <c r="AL217" s="192" t="n">
        <v>0</v>
      </c>
      <c r="AM217" s="192" t="n">
        <v>0.405</v>
      </c>
      <c r="AN217" s="192" t="n">
        <v>0.049968124</v>
      </c>
      <c r="AO217" s="192" t="n">
        <v>0</v>
      </c>
      <c r="AP217" s="192" t="n">
        <v>0</v>
      </c>
      <c r="AQ217" s="192" t="n">
        <v>-0.19</v>
      </c>
      <c r="AS217" s="192" t="n">
        <v>0</v>
      </c>
      <c r="AT217" s="192" t="n">
        <v>0</v>
      </c>
      <c r="AU217" s="192" t="n">
        <v>0.295</v>
      </c>
      <c r="AV217" s="192" t="n">
        <v>0</v>
      </c>
      <c r="AW217" s="192" t="n">
        <v>0</v>
      </c>
      <c r="AX217" s="192" t="n">
        <v>0</v>
      </c>
      <c r="AY217" s="192" t="n">
        <v>0</v>
      </c>
      <c r="BA217" s="192" t="n">
        <v>0</v>
      </c>
      <c r="BB217" s="192" t="n">
        <v>0</v>
      </c>
      <c r="BD217" s="192" t="n">
        <v>0.014968124</v>
      </c>
      <c r="BE217" s="192" t="n">
        <v>0</v>
      </c>
      <c r="BF217" s="192" t="n">
        <v>-0.17</v>
      </c>
      <c r="BJ217" s="192" t="n">
        <v>0.2975</v>
      </c>
    </row>
    <row r="218" customFormat="false" ht="12.75" hidden="false" customHeight="false" outlineLevel="0" collapsed="false">
      <c r="A218" s="194"/>
      <c r="B218" s="194" t="n">
        <v>4.283</v>
      </c>
      <c r="C218" s="200" t="n">
        <v>43252</v>
      </c>
      <c r="D218" s="194" t="n">
        <v>3.8475</v>
      </c>
      <c r="E218" s="194" t="n">
        <v>0.15</v>
      </c>
      <c r="F218" s="194" t="n">
        <v>0.071687397065258</v>
      </c>
      <c r="V218" s="192" t="n">
        <v>0</v>
      </c>
      <c r="W218" s="196" t="n">
        <v>0.1925</v>
      </c>
      <c r="X218" s="196" t="n">
        <v>0.2025</v>
      </c>
      <c r="Y218" s="196" t="n">
        <v>0</v>
      </c>
      <c r="Z218" s="196" t="n">
        <v>-0.01175</v>
      </c>
      <c r="AA218" s="196" t="n">
        <v>0.01675</v>
      </c>
      <c r="AB218" s="196" t="n">
        <v>0.00175</v>
      </c>
      <c r="AC218" s="196" t="n">
        <v>0</v>
      </c>
      <c r="AD218" s="196" t="n">
        <v>0</v>
      </c>
      <c r="AE218" s="196" t="n">
        <v>0</v>
      </c>
      <c r="AF218" s="196" t="n">
        <v>0</v>
      </c>
      <c r="AG218" s="197" t="n">
        <v>0</v>
      </c>
      <c r="AH218" s="196" t="n">
        <v>0</v>
      </c>
      <c r="AI218" s="192" t="n">
        <v>0</v>
      </c>
      <c r="AK218" s="192" t="n">
        <v>0</v>
      </c>
      <c r="AL218" s="192" t="n">
        <v>0</v>
      </c>
      <c r="AM218" s="192" t="n">
        <v>0.395</v>
      </c>
      <c r="AN218" s="192" t="n">
        <v>0.049968124</v>
      </c>
      <c r="AO218" s="192" t="n">
        <v>0</v>
      </c>
      <c r="AP218" s="192" t="n">
        <v>0</v>
      </c>
      <c r="AQ218" s="192" t="n">
        <v>-0.19</v>
      </c>
      <c r="AS218" s="192" t="n">
        <v>0</v>
      </c>
      <c r="AT218" s="192" t="n">
        <v>0</v>
      </c>
      <c r="AU218" s="192" t="n">
        <v>0.295</v>
      </c>
      <c r="AV218" s="192" t="n">
        <v>0</v>
      </c>
      <c r="AW218" s="192" t="n">
        <v>0</v>
      </c>
      <c r="AX218" s="192" t="n">
        <v>0</v>
      </c>
      <c r="AY218" s="192" t="n">
        <v>0</v>
      </c>
      <c r="BA218" s="192" t="n">
        <v>0</v>
      </c>
      <c r="BB218" s="192" t="n">
        <v>0</v>
      </c>
      <c r="BD218" s="192" t="n">
        <v>0.014968124</v>
      </c>
      <c r="BE218" s="192" t="n">
        <v>0</v>
      </c>
      <c r="BF218" s="192" t="n">
        <v>-0.17</v>
      </c>
      <c r="BJ218" s="192" t="n">
        <v>0.2975</v>
      </c>
    </row>
    <row r="219" customFormat="false" ht="12.75" hidden="false" customHeight="false" outlineLevel="0" collapsed="false">
      <c r="A219" s="194"/>
      <c r="B219" s="194" t="n">
        <v>4.173</v>
      </c>
      <c r="C219" s="200" t="n">
        <v>43282</v>
      </c>
      <c r="D219" s="194" t="n">
        <v>3.8555</v>
      </c>
      <c r="E219" s="194" t="n">
        <v>0.15</v>
      </c>
      <c r="F219" s="194" t="n">
        <v>0.071696896715593</v>
      </c>
      <c r="V219" s="192" t="n">
        <v>0</v>
      </c>
      <c r="W219" s="196" t="n">
        <v>0.1925</v>
      </c>
      <c r="X219" s="196" t="n">
        <v>0.215</v>
      </c>
      <c r="Y219" s="196" t="n">
        <v>0</v>
      </c>
      <c r="Z219" s="196" t="n">
        <v>-0.01175</v>
      </c>
      <c r="AA219" s="196" t="n">
        <v>0.01675</v>
      </c>
      <c r="AB219" s="196" t="n">
        <v>0.00175</v>
      </c>
      <c r="AC219" s="196" t="n">
        <v>0</v>
      </c>
      <c r="AD219" s="196" t="n">
        <v>0</v>
      </c>
      <c r="AE219" s="196" t="n">
        <v>0</v>
      </c>
      <c r="AF219" s="196" t="n">
        <v>0</v>
      </c>
      <c r="AG219" s="197" t="n">
        <v>0</v>
      </c>
      <c r="AH219" s="196" t="n">
        <v>0</v>
      </c>
      <c r="AI219" s="192" t="n">
        <v>0</v>
      </c>
      <c r="AK219" s="192" t="n">
        <v>0</v>
      </c>
      <c r="AL219" s="192" t="n">
        <v>0</v>
      </c>
      <c r="AM219" s="192" t="n">
        <v>0.43</v>
      </c>
      <c r="AN219" s="192" t="n">
        <v>0.049968124</v>
      </c>
      <c r="AO219" s="192" t="n">
        <v>0</v>
      </c>
      <c r="AP219" s="192" t="n">
        <v>0</v>
      </c>
      <c r="AQ219" s="192" t="n">
        <v>-0.19</v>
      </c>
      <c r="AS219" s="192" t="n">
        <v>0</v>
      </c>
      <c r="AT219" s="192" t="n">
        <v>0</v>
      </c>
      <c r="AU219" s="192" t="n">
        <v>0.295</v>
      </c>
      <c r="AV219" s="192" t="n">
        <v>0</v>
      </c>
      <c r="AW219" s="192" t="n">
        <v>0</v>
      </c>
      <c r="AX219" s="192" t="n">
        <v>0</v>
      </c>
      <c r="AY219" s="192" t="n">
        <v>0</v>
      </c>
      <c r="BA219" s="192" t="n">
        <v>0</v>
      </c>
      <c r="BB219" s="192" t="n">
        <v>0</v>
      </c>
      <c r="BD219" s="192" t="n">
        <v>0.014968124</v>
      </c>
      <c r="BE219" s="192" t="n">
        <v>0</v>
      </c>
      <c r="BF219" s="192" t="n">
        <v>-0.17</v>
      </c>
      <c r="BJ219" s="192" t="n">
        <v>0.31</v>
      </c>
    </row>
    <row r="220" customFormat="false" ht="12.75" hidden="false" customHeight="false" outlineLevel="0" collapsed="false">
      <c r="A220" s="194"/>
      <c r="B220" s="194" t="n">
        <v>4.16</v>
      </c>
      <c r="C220" s="200" t="n">
        <v>43313</v>
      </c>
      <c r="D220" s="194" t="n">
        <v>3.8625</v>
      </c>
      <c r="E220" s="194" t="n">
        <v>0.15</v>
      </c>
      <c r="F220" s="194" t="n">
        <v>0.071706713020971</v>
      </c>
      <c r="V220" s="192" t="n">
        <v>0</v>
      </c>
      <c r="W220" s="196" t="n">
        <v>0.1925</v>
      </c>
      <c r="X220" s="196" t="n">
        <v>0.215</v>
      </c>
      <c r="Y220" s="196" t="n">
        <v>0</v>
      </c>
      <c r="Z220" s="196" t="n">
        <v>-0.01175</v>
      </c>
      <c r="AA220" s="196" t="n">
        <v>0.01675</v>
      </c>
      <c r="AB220" s="196" t="n">
        <v>0.00175</v>
      </c>
      <c r="AC220" s="196" t="n">
        <v>0</v>
      </c>
      <c r="AD220" s="196" t="n">
        <v>0</v>
      </c>
      <c r="AE220" s="196" t="n">
        <v>0</v>
      </c>
      <c r="AF220" s="196" t="n">
        <v>0</v>
      </c>
      <c r="AG220" s="197" t="n">
        <v>0</v>
      </c>
      <c r="AH220" s="196" t="n">
        <v>0</v>
      </c>
      <c r="AI220" s="192" t="n">
        <v>0</v>
      </c>
      <c r="AK220" s="192" t="n">
        <v>0</v>
      </c>
      <c r="AL220" s="192" t="n">
        <v>0</v>
      </c>
      <c r="AM220" s="192" t="n">
        <v>0.495</v>
      </c>
      <c r="AN220" s="192" t="n">
        <v>0.049968124</v>
      </c>
      <c r="AO220" s="192" t="n">
        <v>0</v>
      </c>
      <c r="AP220" s="192" t="n">
        <v>0</v>
      </c>
      <c r="AQ220" s="192" t="n">
        <v>-0.19</v>
      </c>
      <c r="AS220" s="192" t="n">
        <v>0</v>
      </c>
      <c r="AT220" s="192" t="n">
        <v>0</v>
      </c>
      <c r="AU220" s="192" t="n">
        <v>0.295</v>
      </c>
      <c r="AV220" s="192" t="n">
        <v>0</v>
      </c>
      <c r="AW220" s="192" t="n">
        <v>0</v>
      </c>
      <c r="AX220" s="192" t="n">
        <v>0</v>
      </c>
      <c r="AY220" s="192" t="n">
        <v>0</v>
      </c>
      <c r="BA220" s="192" t="n">
        <v>0</v>
      </c>
      <c r="BB220" s="192" t="n">
        <v>0</v>
      </c>
      <c r="BD220" s="192" t="n">
        <v>0.014968124</v>
      </c>
      <c r="BE220" s="192" t="n">
        <v>0</v>
      </c>
      <c r="BF220" s="192" t="n">
        <v>-0.17</v>
      </c>
      <c r="BJ220" s="192" t="n">
        <v>0.31</v>
      </c>
    </row>
    <row r="221" customFormat="false" ht="12.75" hidden="false" customHeight="false" outlineLevel="0" collapsed="false">
      <c r="A221" s="194"/>
      <c r="B221" s="194" t="n">
        <v>4.155</v>
      </c>
      <c r="C221" s="200" t="n">
        <v>43344</v>
      </c>
      <c r="D221" s="194" t="n">
        <v>3.8375</v>
      </c>
      <c r="E221" s="194" t="n">
        <v>0.15</v>
      </c>
      <c r="F221" s="194" t="n">
        <v>0.07171652932638</v>
      </c>
      <c r="V221" s="192" t="n">
        <v>0</v>
      </c>
      <c r="W221" s="196" t="n">
        <v>0.1925</v>
      </c>
      <c r="X221" s="196" t="n">
        <v>0.195</v>
      </c>
      <c r="Y221" s="196" t="n">
        <v>0</v>
      </c>
      <c r="Z221" s="196" t="n">
        <v>-0.01175</v>
      </c>
      <c r="AA221" s="196" t="n">
        <v>0.01675</v>
      </c>
      <c r="AB221" s="196" t="n">
        <v>0.00175</v>
      </c>
      <c r="AC221" s="196" t="n">
        <v>0</v>
      </c>
      <c r="AD221" s="196" t="n">
        <v>0</v>
      </c>
      <c r="AE221" s="196" t="n">
        <v>0</v>
      </c>
      <c r="AF221" s="196" t="n">
        <v>0</v>
      </c>
      <c r="AG221" s="197" t="n">
        <v>0</v>
      </c>
      <c r="AH221" s="196" t="n">
        <v>0</v>
      </c>
      <c r="AI221" s="192" t="n">
        <v>0</v>
      </c>
      <c r="AK221" s="192" t="n">
        <v>0</v>
      </c>
      <c r="AL221" s="192" t="n">
        <v>0</v>
      </c>
      <c r="AM221" s="192" t="n">
        <v>0.395</v>
      </c>
      <c r="AN221" s="192" t="n">
        <v>0.049968124</v>
      </c>
      <c r="AO221" s="192" t="n">
        <v>0</v>
      </c>
      <c r="AP221" s="192" t="n">
        <v>0</v>
      </c>
      <c r="AQ221" s="192" t="n">
        <v>-0.19</v>
      </c>
      <c r="AS221" s="192" t="n">
        <v>0</v>
      </c>
      <c r="AT221" s="192" t="n">
        <v>0</v>
      </c>
      <c r="AU221" s="192" t="n">
        <v>0.295</v>
      </c>
      <c r="AV221" s="192" t="n">
        <v>0</v>
      </c>
      <c r="AW221" s="192" t="n">
        <v>0</v>
      </c>
      <c r="AX221" s="192" t="n">
        <v>0</v>
      </c>
      <c r="AY221" s="192" t="n">
        <v>0</v>
      </c>
      <c r="BA221" s="192" t="n">
        <v>0</v>
      </c>
      <c r="BB221" s="192" t="n">
        <v>0</v>
      </c>
      <c r="BD221" s="192" t="n">
        <v>0.014968124</v>
      </c>
      <c r="BE221" s="192" t="n">
        <v>0</v>
      </c>
      <c r="BF221" s="192" t="n">
        <v>-0.17</v>
      </c>
      <c r="BJ221" s="192" t="n">
        <v>0.3</v>
      </c>
    </row>
    <row r="222" customFormat="false" ht="12.75" hidden="false" customHeight="false" outlineLevel="0" collapsed="false">
      <c r="A222" s="194"/>
      <c r="B222" s="194" t="n">
        <v>4.22</v>
      </c>
      <c r="C222" s="200" t="n">
        <v>43374</v>
      </c>
      <c r="D222" s="194" t="n">
        <v>3.8455</v>
      </c>
      <c r="E222" s="194" t="n">
        <v>0.15</v>
      </c>
      <c r="F222" s="194" t="n">
        <v>0.071726028976807</v>
      </c>
      <c r="V222" s="192" t="n">
        <v>0</v>
      </c>
      <c r="W222" s="196" t="n">
        <v>0.1975</v>
      </c>
      <c r="X222" s="196" t="n">
        <v>0.215</v>
      </c>
      <c r="Y222" s="196" t="n">
        <v>0</v>
      </c>
      <c r="Z222" s="196" t="n">
        <v>-0.01175</v>
      </c>
      <c r="AA222" s="196" t="n">
        <v>-0.0015</v>
      </c>
      <c r="AB222" s="196" t="n">
        <v>-0.0165</v>
      </c>
      <c r="AC222" s="196" t="n">
        <v>0</v>
      </c>
      <c r="AD222" s="196" t="n">
        <v>0</v>
      </c>
      <c r="AE222" s="196" t="n">
        <v>0</v>
      </c>
      <c r="AF222" s="196" t="n">
        <v>0</v>
      </c>
      <c r="AG222" s="197" t="n">
        <v>0</v>
      </c>
      <c r="AH222" s="196" t="n">
        <v>0</v>
      </c>
      <c r="AI222" s="192" t="n">
        <v>0</v>
      </c>
      <c r="AK222" s="192" t="n">
        <v>0</v>
      </c>
      <c r="AL222" s="192" t="n">
        <v>0</v>
      </c>
      <c r="AM222" s="192" t="n">
        <v>0.461</v>
      </c>
      <c r="AN222" s="192" t="n">
        <v>0.049968124</v>
      </c>
      <c r="AO222" s="192" t="n">
        <v>0</v>
      </c>
      <c r="AP222" s="192" t="n">
        <v>0</v>
      </c>
      <c r="AQ222" s="192" t="n">
        <v>-0.19</v>
      </c>
      <c r="AS222" s="192" t="n">
        <v>0</v>
      </c>
      <c r="AT222" s="192" t="n">
        <v>0</v>
      </c>
      <c r="AU222" s="192" t="n">
        <v>0.295</v>
      </c>
      <c r="AV222" s="192" t="n">
        <v>0</v>
      </c>
      <c r="AW222" s="192" t="n">
        <v>0</v>
      </c>
      <c r="AX222" s="192" t="n">
        <v>0</v>
      </c>
      <c r="AY222" s="192" t="n">
        <v>0</v>
      </c>
      <c r="BA222" s="192" t="n">
        <v>0</v>
      </c>
      <c r="BB222" s="192" t="n">
        <v>0</v>
      </c>
      <c r="BD222" s="192" t="n">
        <v>0.014968124</v>
      </c>
      <c r="BE222" s="192" t="n">
        <v>0</v>
      </c>
      <c r="BF222" s="192" t="n">
        <v>-0.17</v>
      </c>
      <c r="BJ222" s="192" t="n">
        <v>0.37253</v>
      </c>
    </row>
    <row r="223" customFormat="false" ht="12.75" hidden="false" customHeight="false" outlineLevel="0" collapsed="false">
      <c r="A223" s="194"/>
      <c r="B223" s="194" t="n">
        <v>4.215</v>
      </c>
      <c r="C223" s="200" t="n">
        <v>43405</v>
      </c>
      <c r="D223" s="194" t="n">
        <v>3.8625</v>
      </c>
      <c r="E223" s="194" t="n">
        <v>0.15</v>
      </c>
      <c r="F223" s="194" t="n">
        <v>0.071735845282279</v>
      </c>
      <c r="V223" s="192" t="n">
        <v>0</v>
      </c>
      <c r="W223" s="196" t="n">
        <v>0.2725</v>
      </c>
      <c r="X223" s="196" t="n">
        <v>0.315</v>
      </c>
      <c r="Y223" s="196" t="n">
        <v>0</v>
      </c>
      <c r="Z223" s="196" t="n">
        <v>-0.025</v>
      </c>
      <c r="AA223" s="196" t="n">
        <v>0.000499999999999997</v>
      </c>
      <c r="AB223" s="196" t="n">
        <v>-0.0155</v>
      </c>
      <c r="AC223" s="196" t="n">
        <v>0</v>
      </c>
      <c r="AD223" s="196" t="n">
        <v>0</v>
      </c>
      <c r="AE223" s="196" t="n">
        <v>0</v>
      </c>
      <c r="AF223" s="196" t="n">
        <v>0</v>
      </c>
      <c r="AG223" s="197" t="n">
        <v>0</v>
      </c>
      <c r="AH223" s="196" t="n">
        <v>0</v>
      </c>
      <c r="AI223" s="192" t="n">
        <v>0</v>
      </c>
      <c r="AK223" s="192" t="n">
        <v>0</v>
      </c>
      <c r="AL223" s="192" t="n">
        <v>0</v>
      </c>
      <c r="AM223" s="192" t="n">
        <v>0.885</v>
      </c>
      <c r="AN223" s="192" t="n">
        <v>-0.029988713</v>
      </c>
      <c r="AO223" s="192" t="n">
        <v>0</v>
      </c>
      <c r="AP223" s="192" t="n">
        <v>0</v>
      </c>
      <c r="AQ223" s="192" t="n">
        <v>-0.19</v>
      </c>
      <c r="AS223" s="192" t="n">
        <v>0</v>
      </c>
      <c r="AT223" s="192" t="n">
        <v>0</v>
      </c>
      <c r="AU223" s="192" t="n">
        <v>0.12</v>
      </c>
      <c r="AV223" s="192" t="n">
        <v>0</v>
      </c>
      <c r="AW223" s="192" t="n">
        <v>0</v>
      </c>
      <c r="AX223" s="192" t="n">
        <v>0</v>
      </c>
      <c r="AY223" s="192" t="n">
        <v>0</v>
      </c>
      <c r="BA223" s="192" t="n">
        <v>0</v>
      </c>
      <c r="BB223" s="192" t="n">
        <v>0</v>
      </c>
      <c r="BD223" s="192" t="n">
        <v>-0.064988713</v>
      </c>
      <c r="BE223" s="192" t="n">
        <v>0</v>
      </c>
      <c r="BF223" s="192" t="n">
        <v>-0.17</v>
      </c>
      <c r="BJ223" s="192" t="n">
        <v>0.56</v>
      </c>
    </row>
    <row r="224" customFormat="false" ht="12.75" hidden="false" customHeight="false" outlineLevel="0" collapsed="false">
      <c r="A224" s="194"/>
      <c r="B224" s="194" t="n">
        <v>4.19</v>
      </c>
      <c r="C224" s="200" t="n">
        <v>43435</v>
      </c>
      <c r="D224" s="194" t="n">
        <v>3.8935</v>
      </c>
      <c r="E224" s="194" t="n">
        <v>0.15</v>
      </c>
      <c r="F224" s="194" t="n">
        <v>0.071745344932766</v>
      </c>
      <c r="V224" s="192" t="n">
        <v>0</v>
      </c>
      <c r="W224" s="196" t="n">
        <v>0.3075</v>
      </c>
      <c r="X224" s="196" t="n">
        <v>0.395</v>
      </c>
      <c r="Y224" s="196" t="n">
        <v>0</v>
      </c>
      <c r="Z224" s="196" t="n">
        <v>-0.0175</v>
      </c>
      <c r="AA224" s="196" t="n">
        <v>0.000499999999999997</v>
      </c>
      <c r="AB224" s="196" t="n">
        <v>-0.0155</v>
      </c>
      <c r="AC224" s="196" t="n">
        <v>0</v>
      </c>
      <c r="AD224" s="196" t="n">
        <v>0</v>
      </c>
      <c r="AE224" s="196" t="n">
        <v>0</v>
      </c>
      <c r="AF224" s="196" t="n">
        <v>0</v>
      </c>
      <c r="AG224" s="197" t="n">
        <v>0</v>
      </c>
      <c r="AH224" s="196" t="n">
        <v>0</v>
      </c>
      <c r="AI224" s="192" t="n">
        <v>0</v>
      </c>
      <c r="AK224" s="192" t="n">
        <v>0</v>
      </c>
      <c r="AL224" s="192" t="n">
        <v>0</v>
      </c>
      <c r="AM224" s="192" t="n">
        <v>1.31</v>
      </c>
      <c r="AN224" s="192" t="n">
        <v>-0.044951938</v>
      </c>
      <c r="AO224" s="192" t="n">
        <v>0</v>
      </c>
      <c r="AP224" s="192" t="n">
        <v>0</v>
      </c>
      <c r="AQ224" s="192" t="n">
        <v>-0.19</v>
      </c>
      <c r="AS224" s="192" t="n">
        <v>0</v>
      </c>
      <c r="AT224" s="192" t="n">
        <v>0</v>
      </c>
      <c r="AU224" s="192" t="n">
        <v>0.12</v>
      </c>
      <c r="AV224" s="192" t="n">
        <v>0</v>
      </c>
      <c r="AW224" s="192" t="n">
        <v>0</v>
      </c>
      <c r="AX224" s="192" t="n">
        <v>0</v>
      </c>
      <c r="AY224" s="192" t="n">
        <v>0</v>
      </c>
      <c r="BA224" s="192" t="n">
        <v>0</v>
      </c>
      <c r="BB224" s="192" t="n">
        <v>0</v>
      </c>
      <c r="BD224" s="192" t="n">
        <v>-0.079951938</v>
      </c>
      <c r="BE224" s="192" t="n">
        <v>0</v>
      </c>
      <c r="BF224" s="192" t="n">
        <v>-0.17</v>
      </c>
      <c r="BJ224" s="192" t="n">
        <v>0.91</v>
      </c>
    </row>
    <row r="225" customFormat="false" ht="12.75" hidden="false" customHeight="false" outlineLevel="0" collapsed="false">
      <c r="A225" s="194"/>
      <c r="B225" s="194" t="n">
        <v>4.193</v>
      </c>
      <c r="C225" s="200" t="n">
        <v>43466</v>
      </c>
      <c r="D225" s="194" t="n">
        <v>4.334</v>
      </c>
      <c r="E225" s="194" t="n">
        <v>0.15</v>
      </c>
      <c r="F225" s="194" t="n">
        <v>0.071755161238302</v>
      </c>
      <c r="V225" s="192" t="n">
        <v>0</v>
      </c>
      <c r="W225" s="196" t="n">
        <v>0.3125</v>
      </c>
      <c r="X225" s="196" t="n">
        <v>0.465</v>
      </c>
      <c r="Y225" s="196" t="n">
        <v>0</v>
      </c>
      <c r="Z225" s="196" t="n">
        <v>-0.0175</v>
      </c>
      <c r="AA225" s="196" t="n">
        <v>0.000499999999999997</v>
      </c>
      <c r="AB225" s="196" t="n">
        <v>-0.0155</v>
      </c>
      <c r="AC225" s="196" t="n">
        <v>0</v>
      </c>
      <c r="AD225" s="196" t="n">
        <v>0</v>
      </c>
      <c r="AE225" s="196" t="n">
        <v>0</v>
      </c>
      <c r="AF225" s="196" t="n">
        <v>0</v>
      </c>
      <c r="AG225" s="197" t="n">
        <v>0</v>
      </c>
      <c r="AH225" s="196" t="n">
        <v>0</v>
      </c>
      <c r="AI225" s="192" t="n">
        <v>0</v>
      </c>
      <c r="AK225" s="192" t="n">
        <v>0</v>
      </c>
      <c r="AL225" s="192" t="n">
        <v>0</v>
      </c>
      <c r="AM225" s="192" t="n">
        <v>1.645</v>
      </c>
      <c r="AN225" s="192" t="n">
        <v>-0.039955184</v>
      </c>
      <c r="AO225" s="192" t="n">
        <v>0</v>
      </c>
      <c r="AP225" s="192" t="n">
        <v>0</v>
      </c>
      <c r="AQ225" s="192" t="n">
        <v>-0.19</v>
      </c>
      <c r="AS225" s="192" t="n">
        <v>0</v>
      </c>
      <c r="AT225" s="192" t="n">
        <v>0</v>
      </c>
      <c r="AU225" s="192" t="n">
        <v>0.12</v>
      </c>
      <c r="AV225" s="192" t="n">
        <v>0</v>
      </c>
      <c r="AW225" s="192" t="n">
        <v>0</v>
      </c>
      <c r="AX225" s="192" t="n">
        <v>0</v>
      </c>
      <c r="AY225" s="192" t="n">
        <v>0</v>
      </c>
      <c r="BA225" s="192" t="n">
        <v>0</v>
      </c>
      <c r="BB225" s="192" t="n">
        <v>0</v>
      </c>
      <c r="BD225" s="192" t="n">
        <v>-0.074955184</v>
      </c>
      <c r="BE225" s="192" t="n">
        <v>0</v>
      </c>
      <c r="BF225" s="192" t="n">
        <v>-0.17</v>
      </c>
      <c r="BJ225" s="192" t="n">
        <v>1.235</v>
      </c>
    </row>
    <row r="226" customFormat="false" ht="12.75" hidden="false" customHeight="false" outlineLevel="0" collapsed="false">
      <c r="A226" s="194"/>
      <c r="B226" s="194" t="n">
        <v>4.23</v>
      </c>
      <c r="C226" s="200" t="n">
        <v>43497</v>
      </c>
      <c r="D226" s="194" t="n">
        <v>4.236</v>
      </c>
      <c r="E226" s="194" t="n">
        <v>0.15</v>
      </c>
      <c r="F226" s="194" t="n">
        <v>0.071764977543868</v>
      </c>
      <c r="V226" s="192" t="n">
        <v>0</v>
      </c>
      <c r="W226" s="196" t="n">
        <v>0.3125</v>
      </c>
      <c r="X226" s="196" t="n">
        <v>0.435</v>
      </c>
      <c r="Y226" s="196" t="n">
        <v>0</v>
      </c>
      <c r="Z226" s="196" t="n">
        <v>-0.0175</v>
      </c>
      <c r="AA226" s="196" t="n">
        <v>0.000499999999999997</v>
      </c>
      <c r="AB226" s="196" t="n">
        <v>-0.0155</v>
      </c>
      <c r="AC226" s="196" t="n">
        <v>0</v>
      </c>
      <c r="AD226" s="196" t="n">
        <v>0</v>
      </c>
      <c r="AE226" s="196" t="n">
        <v>0</v>
      </c>
      <c r="AF226" s="196" t="n">
        <v>0</v>
      </c>
      <c r="AG226" s="197" t="n">
        <v>0</v>
      </c>
      <c r="AH226" s="196" t="n">
        <v>0</v>
      </c>
      <c r="AI226" s="192" t="n">
        <v>0</v>
      </c>
      <c r="AK226" s="192" t="n">
        <v>0</v>
      </c>
      <c r="AL226" s="192" t="n">
        <v>0</v>
      </c>
      <c r="AM226" s="192" t="n">
        <v>1.595</v>
      </c>
      <c r="AN226" s="192" t="n">
        <v>-0.014957423</v>
      </c>
      <c r="AO226" s="192" t="n">
        <v>0</v>
      </c>
      <c r="AP226" s="192" t="n">
        <v>0</v>
      </c>
      <c r="AQ226" s="192" t="n">
        <v>0</v>
      </c>
      <c r="AS226" s="192" t="n">
        <v>0</v>
      </c>
      <c r="AT226" s="192" t="n">
        <v>0</v>
      </c>
      <c r="AU226" s="192" t="n">
        <v>0.31</v>
      </c>
      <c r="AV226" s="192" t="n">
        <v>0</v>
      </c>
      <c r="AW226" s="192" t="n">
        <v>0</v>
      </c>
      <c r="AX226" s="192" t="n">
        <v>0</v>
      </c>
      <c r="AY226" s="192" t="n">
        <v>0</v>
      </c>
      <c r="BA226" s="192" t="n">
        <v>0</v>
      </c>
      <c r="BB226" s="192" t="n">
        <v>0</v>
      </c>
      <c r="BD226" s="192" t="n">
        <v>-0.049957423</v>
      </c>
      <c r="BE226" s="192" t="n">
        <v>0</v>
      </c>
      <c r="BF226" s="192" t="n">
        <v>-0.17</v>
      </c>
      <c r="BJ226" s="192" t="n">
        <v>1.235</v>
      </c>
    </row>
    <row r="227" customFormat="false" ht="12.75" hidden="false" customHeight="false" outlineLevel="0" collapsed="false">
      <c r="A227" s="194"/>
      <c r="B227" s="194" t="n">
        <v>4.294</v>
      </c>
      <c r="C227" s="200" t="n">
        <v>43525</v>
      </c>
      <c r="D227" s="194" t="n">
        <v>4.101</v>
      </c>
      <c r="E227" s="194" t="n">
        <v>0.15</v>
      </c>
      <c r="F227" s="194" t="n">
        <v>0.071773843884407</v>
      </c>
      <c r="V227" s="192" t="n">
        <v>0</v>
      </c>
      <c r="W227" s="196" t="n">
        <v>0.27</v>
      </c>
      <c r="X227" s="196" t="n">
        <v>0.39</v>
      </c>
      <c r="Y227" s="196" t="n">
        <v>0</v>
      </c>
      <c r="Z227" s="196" t="n">
        <v>-0.0175</v>
      </c>
      <c r="AA227" s="196" t="n">
        <v>0.018</v>
      </c>
      <c r="AB227" s="196" t="n">
        <v>0.003</v>
      </c>
      <c r="AC227" s="196" t="n">
        <v>0</v>
      </c>
      <c r="AD227" s="196" t="n">
        <v>0</v>
      </c>
      <c r="AE227" s="196" t="n">
        <v>0</v>
      </c>
      <c r="AF227" s="196" t="n">
        <v>0</v>
      </c>
      <c r="AG227" s="197" t="n">
        <v>0</v>
      </c>
      <c r="AH227" s="196" t="n">
        <v>0</v>
      </c>
      <c r="AI227" s="192" t="n">
        <v>0</v>
      </c>
      <c r="AK227" s="192" t="n">
        <v>0</v>
      </c>
      <c r="AL227" s="192" t="n">
        <v>0</v>
      </c>
      <c r="AM227" s="192" t="n">
        <v>0.965</v>
      </c>
      <c r="AN227" s="192" t="n">
        <v>-0.004957423</v>
      </c>
      <c r="AO227" s="192" t="n">
        <v>0</v>
      </c>
      <c r="AP227" s="192" t="n">
        <v>0</v>
      </c>
      <c r="AQ227" s="192" t="n">
        <v>0</v>
      </c>
      <c r="AS227" s="192" t="n">
        <v>0</v>
      </c>
      <c r="AT227" s="192" t="n">
        <v>0</v>
      </c>
      <c r="AU227" s="192" t="n">
        <v>0.31</v>
      </c>
      <c r="AV227" s="192" t="n">
        <v>0</v>
      </c>
      <c r="AW227" s="192" t="n">
        <v>0</v>
      </c>
      <c r="AX227" s="192" t="n">
        <v>0</v>
      </c>
      <c r="AY227" s="192" t="n">
        <v>0</v>
      </c>
      <c r="BA227" s="192" t="n">
        <v>0</v>
      </c>
      <c r="BB227" s="192" t="n">
        <v>0</v>
      </c>
      <c r="BD227" s="192" t="n">
        <v>-0.039957423</v>
      </c>
      <c r="BE227" s="192" t="n">
        <v>0</v>
      </c>
      <c r="BF227" s="192" t="n">
        <v>-0.17</v>
      </c>
      <c r="BJ227" s="192" t="n">
        <v>0.875</v>
      </c>
    </row>
    <row r="228" customFormat="false" ht="12.75" hidden="false" customHeight="false" outlineLevel="0" collapsed="false">
      <c r="A228" s="194"/>
      <c r="B228" s="194" t="n">
        <v>4.56</v>
      </c>
      <c r="C228" s="200" t="n">
        <v>43556</v>
      </c>
      <c r="D228" s="194" t="n">
        <v>3.959</v>
      </c>
      <c r="E228" s="194" t="n">
        <v>0.15</v>
      </c>
      <c r="F228" s="194" t="n">
        <v>0.071783660190034</v>
      </c>
      <c r="V228" s="192" t="n">
        <v>0</v>
      </c>
      <c r="W228" s="196" t="n">
        <v>0.205</v>
      </c>
      <c r="X228" s="196" t="n">
        <v>0.25</v>
      </c>
      <c r="Y228" s="196" t="n">
        <v>0</v>
      </c>
      <c r="Z228" s="196" t="n">
        <v>-0.01</v>
      </c>
      <c r="AA228" s="196" t="n">
        <v>0.018</v>
      </c>
      <c r="AB228" s="196" t="n">
        <v>0.003</v>
      </c>
      <c r="AC228" s="196" t="n">
        <v>0</v>
      </c>
      <c r="AD228" s="196" t="n">
        <v>0</v>
      </c>
      <c r="AE228" s="196" t="n">
        <v>0</v>
      </c>
      <c r="AF228" s="196" t="n">
        <v>0</v>
      </c>
      <c r="AG228" s="197" t="n">
        <v>0</v>
      </c>
      <c r="AH228" s="196" t="n">
        <v>0</v>
      </c>
      <c r="AI228" s="192" t="n">
        <v>0</v>
      </c>
      <c r="AK228" s="192" t="n">
        <v>0</v>
      </c>
      <c r="AL228" s="192" t="n">
        <v>0</v>
      </c>
      <c r="AM228" s="192" t="n">
        <v>0.45</v>
      </c>
      <c r="AN228" s="192" t="n">
        <v>0.054976639</v>
      </c>
      <c r="AO228" s="192" t="n">
        <v>0</v>
      </c>
      <c r="AP228" s="192" t="n">
        <v>0</v>
      </c>
      <c r="AQ228" s="192" t="n">
        <v>0</v>
      </c>
      <c r="AS228" s="192" t="n">
        <v>0</v>
      </c>
      <c r="AT228" s="192" t="n">
        <v>0</v>
      </c>
      <c r="AU228" s="192" t="n">
        <v>0.3775</v>
      </c>
      <c r="AV228" s="192" t="n">
        <v>0</v>
      </c>
      <c r="AW228" s="192" t="n">
        <v>0</v>
      </c>
      <c r="AX228" s="192" t="n">
        <v>0</v>
      </c>
      <c r="AY228" s="192" t="n">
        <v>0</v>
      </c>
      <c r="BA228" s="192" t="n">
        <v>0</v>
      </c>
      <c r="BB228" s="192" t="n">
        <v>0</v>
      </c>
      <c r="BD228" s="192" t="n">
        <v>0.019976639</v>
      </c>
      <c r="BE228" s="192" t="n">
        <v>0</v>
      </c>
      <c r="BF228" s="192" t="n">
        <v>-0.17</v>
      </c>
      <c r="BJ228" s="192" t="n">
        <v>0.365</v>
      </c>
    </row>
    <row r="229" customFormat="false" ht="12.75" hidden="false" customHeight="false" outlineLevel="0" collapsed="false">
      <c r="A229" s="194"/>
      <c r="B229" s="194" t="n">
        <v>4.497</v>
      </c>
      <c r="C229" s="200" t="n">
        <v>43586</v>
      </c>
      <c r="D229" s="194" t="n">
        <v>3.925</v>
      </c>
      <c r="E229" s="194" t="n">
        <v>0.15</v>
      </c>
      <c r="F229" s="194" t="n">
        <v>0.071793159840672</v>
      </c>
      <c r="V229" s="192" t="n">
        <v>0</v>
      </c>
      <c r="W229" s="196" t="n">
        <v>0.1925</v>
      </c>
      <c r="X229" s="196" t="n">
        <v>0.2025</v>
      </c>
      <c r="Y229" s="196" t="n">
        <v>0</v>
      </c>
      <c r="Z229" s="196" t="n">
        <v>-0.01025</v>
      </c>
      <c r="AA229" s="196" t="n">
        <v>0.01775</v>
      </c>
      <c r="AB229" s="196" t="n">
        <v>0.00275</v>
      </c>
      <c r="AC229" s="196" t="n">
        <v>0</v>
      </c>
      <c r="AD229" s="196" t="n">
        <v>0</v>
      </c>
      <c r="AE229" s="196" t="n">
        <v>0</v>
      </c>
      <c r="AF229" s="196" t="n">
        <v>0</v>
      </c>
      <c r="AG229" s="197" t="n">
        <v>0</v>
      </c>
      <c r="AH229" s="196" t="n">
        <v>0</v>
      </c>
      <c r="AI229" s="192" t="n">
        <v>0</v>
      </c>
      <c r="AK229" s="192" t="n">
        <v>0</v>
      </c>
      <c r="AL229" s="192" t="n">
        <v>0</v>
      </c>
      <c r="AM229" s="192" t="n">
        <v>0.405</v>
      </c>
      <c r="AN229" s="192" t="n">
        <v>0.054968124</v>
      </c>
      <c r="AO229" s="192" t="n">
        <v>0</v>
      </c>
      <c r="AP229" s="192" t="n">
        <v>0</v>
      </c>
      <c r="AQ229" s="192" t="n">
        <v>0</v>
      </c>
      <c r="AS229" s="192" t="n">
        <v>0</v>
      </c>
      <c r="AT229" s="192" t="n">
        <v>0</v>
      </c>
      <c r="AU229" s="192" t="n">
        <v>0.3775</v>
      </c>
      <c r="AV229" s="192" t="n">
        <v>0</v>
      </c>
      <c r="AW229" s="192" t="n">
        <v>0</v>
      </c>
      <c r="AX229" s="192" t="n">
        <v>0</v>
      </c>
      <c r="AY229" s="192" t="n">
        <v>0</v>
      </c>
      <c r="BA229" s="192" t="n">
        <v>0</v>
      </c>
      <c r="BB229" s="192" t="n">
        <v>0</v>
      </c>
      <c r="BD229" s="192" t="n">
        <v>0.019968124</v>
      </c>
      <c r="BE229" s="192" t="n">
        <v>0</v>
      </c>
      <c r="BF229" s="192" t="n">
        <v>-0.17</v>
      </c>
      <c r="BJ229" s="192" t="n">
        <v>0.2975</v>
      </c>
    </row>
    <row r="230" customFormat="false" ht="12.75" hidden="false" customHeight="false" outlineLevel="0" collapsed="false">
      <c r="A230" s="194"/>
      <c r="B230" s="194" t="n">
        <v>4.387</v>
      </c>
      <c r="C230" s="200" t="n">
        <v>43617</v>
      </c>
      <c r="D230" s="194" t="n">
        <v>3.949</v>
      </c>
      <c r="E230" s="194" t="n">
        <v>0.15</v>
      </c>
      <c r="F230" s="194" t="n">
        <v>0.071802976146362</v>
      </c>
      <c r="V230" s="192" t="n">
        <v>0</v>
      </c>
      <c r="W230" s="196" t="n">
        <v>0.1925</v>
      </c>
      <c r="X230" s="196" t="n">
        <v>0.2025</v>
      </c>
      <c r="Y230" s="196" t="n">
        <v>0</v>
      </c>
      <c r="Z230" s="196" t="n">
        <v>-0.01025</v>
      </c>
      <c r="AA230" s="196" t="n">
        <v>0.01775</v>
      </c>
      <c r="AB230" s="196" t="n">
        <v>0.00275</v>
      </c>
      <c r="AC230" s="196" t="n">
        <v>0</v>
      </c>
      <c r="AD230" s="196" t="n">
        <v>0</v>
      </c>
      <c r="AE230" s="196" t="n">
        <v>0</v>
      </c>
      <c r="AF230" s="196" t="n">
        <v>0</v>
      </c>
      <c r="AG230" s="197" t="n">
        <v>0</v>
      </c>
      <c r="AH230" s="196" t="n">
        <v>0</v>
      </c>
      <c r="AI230" s="192" t="n">
        <v>0</v>
      </c>
      <c r="AK230" s="192" t="n">
        <v>0</v>
      </c>
      <c r="AL230" s="192" t="n">
        <v>0</v>
      </c>
      <c r="AM230" s="192" t="n">
        <v>0.395</v>
      </c>
      <c r="AN230" s="192" t="n">
        <v>0.054968124</v>
      </c>
      <c r="AO230" s="192" t="n">
        <v>0</v>
      </c>
      <c r="AP230" s="192" t="n">
        <v>0</v>
      </c>
      <c r="AQ230" s="192" t="n">
        <v>0</v>
      </c>
      <c r="AS230" s="192" t="n">
        <v>0</v>
      </c>
      <c r="AT230" s="192" t="n">
        <v>0</v>
      </c>
      <c r="AU230" s="192" t="n">
        <v>0.3775</v>
      </c>
      <c r="AV230" s="192" t="n">
        <v>0</v>
      </c>
      <c r="AW230" s="192" t="n">
        <v>0</v>
      </c>
      <c r="AX230" s="192" t="n">
        <v>0</v>
      </c>
      <c r="AY230" s="192" t="n">
        <v>0</v>
      </c>
      <c r="BA230" s="192" t="n">
        <v>0</v>
      </c>
      <c r="BB230" s="192" t="n">
        <v>0</v>
      </c>
      <c r="BD230" s="192" t="n">
        <v>0.019968124</v>
      </c>
      <c r="BE230" s="192" t="n">
        <v>0</v>
      </c>
      <c r="BF230" s="192" t="n">
        <v>-0.17</v>
      </c>
      <c r="BJ230" s="192" t="n">
        <v>0.2975</v>
      </c>
    </row>
    <row r="231" customFormat="false" ht="12.75" hidden="false" customHeight="false" outlineLevel="0" collapsed="false">
      <c r="A231" s="194"/>
      <c r="B231" s="194" t="n">
        <v>4.28</v>
      </c>
      <c r="C231" s="200" t="n">
        <v>43647</v>
      </c>
      <c r="D231" s="194" t="n">
        <v>3.957</v>
      </c>
      <c r="E231" s="194" t="n">
        <v>0.15</v>
      </c>
      <c r="F231" s="194" t="n">
        <v>0.07181247579706</v>
      </c>
      <c r="V231" s="192" t="n">
        <v>0</v>
      </c>
      <c r="W231" s="196" t="n">
        <v>0.1925</v>
      </c>
      <c r="X231" s="196" t="n">
        <v>0.215</v>
      </c>
      <c r="Y231" s="196" t="n">
        <v>0</v>
      </c>
      <c r="Z231" s="196" t="n">
        <v>-0.01025</v>
      </c>
      <c r="AA231" s="196" t="n">
        <v>0.01775</v>
      </c>
      <c r="AB231" s="196" t="n">
        <v>0.00275</v>
      </c>
      <c r="AC231" s="196" t="n">
        <v>0</v>
      </c>
      <c r="AD231" s="196" t="n">
        <v>0</v>
      </c>
      <c r="AE231" s="196" t="n">
        <v>0</v>
      </c>
      <c r="AF231" s="196" t="n">
        <v>0</v>
      </c>
      <c r="AG231" s="197" t="n">
        <v>0</v>
      </c>
      <c r="AH231" s="196" t="n">
        <v>0</v>
      </c>
      <c r="AI231" s="192" t="n">
        <v>0</v>
      </c>
      <c r="AK231" s="192" t="n">
        <v>0</v>
      </c>
      <c r="AL231" s="192" t="n">
        <v>0</v>
      </c>
      <c r="AM231" s="192" t="n">
        <v>0.43</v>
      </c>
      <c r="AN231" s="192" t="n">
        <v>0.054968124</v>
      </c>
      <c r="AO231" s="192" t="n">
        <v>0</v>
      </c>
      <c r="AP231" s="192" t="n">
        <v>0</v>
      </c>
      <c r="AQ231" s="192" t="n">
        <v>0</v>
      </c>
      <c r="AS231" s="192" t="n">
        <v>0</v>
      </c>
      <c r="AT231" s="192" t="n">
        <v>0</v>
      </c>
      <c r="AU231" s="192" t="n">
        <v>0.3775</v>
      </c>
      <c r="AV231" s="192" t="n">
        <v>0</v>
      </c>
      <c r="AW231" s="192" t="n">
        <v>0</v>
      </c>
      <c r="AX231" s="192" t="n">
        <v>0</v>
      </c>
      <c r="AY231" s="192" t="n">
        <v>0</v>
      </c>
      <c r="BA231" s="192" t="n">
        <v>0</v>
      </c>
      <c r="BB231" s="192" t="n">
        <v>0</v>
      </c>
      <c r="BD231" s="192" t="n">
        <v>0.019968124</v>
      </c>
      <c r="BE231" s="192" t="n">
        <v>0</v>
      </c>
      <c r="BF231" s="192" t="n">
        <v>-0.17</v>
      </c>
      <c r="BJ231" s="192" t="n">
        <v>0.31</v>
      </c>
    </row>
    <row r="232" customFormat="false" ht="12.75" hidden="false" customHeight="false" outlineLevel="0" collapsed="false">
      <c r="A232" s="194"/>
      <c r="B232" s="194" t="n">
        <v>4.268</v>
      </c>
      <c r="C232" s="200" t="n">
        <v>43678</v>
      </c>
      <c r="D232" s="194" t="n">
        <v>3.964</v>
      </c>
      <c r="E232" s="194" t="n">
        <v>0.15</v>
      </c>
      <c r="F232" s="194" t="n">
        <v>0.071822292102813</v>
      </c>
      <c r="V232" s="192" t="n">
        <v>0</v>
      </c>
      <c r="W232" s="196" t="n">
        <v>0.1925</v>
      </c>
      <c r="X232" s="196" t="n">
        <v>0.215</v>
      </c>
      <c r="Y232" s="196" t="n">
        <v>0</v>
      </c>
      <c r="Z232" s="196" t="n">
        <v>-0.01025</v>
      </c>
      <c r="AA232" s="196" t="n">
        <v>0.01775</v>
      </c>
      <c r="AB232" s="196" t="n">
        <v>0.00275</v>
      </c>
      <c r="AC232" s="196" t="n">
        <v>0</v>
      </c>
      <c r="AD232" s="196" t="n">
        <v>0</v>
      </c>
      <c r="AE232" s="196" t="n">
        <v>0</v>
      </c>
      <c r="AF232" s="196" t="n">
        <v>0</v>
      </c>
      <c r="AG232" s="197" t="n">
        <v>0</v>
      </c>
      <c r="AH232" s="196" t="n">
        <v>0</v>
      </c>
      <c r="AI232" s="192" t="n">
        <v>0</v>
      </c>
      <c r="AK232" s="192" t="n">
        <v>0</v>
      </c>
      <c r="AL232" s="192" t="n">
        <v>0</v>
      </c>
      <c r="AM232" s="192" t="n">
        <v>0.495</v>
      </c>
      <c r="AN232" s="192" t="n">
        <v>0.054968124</v>
      </c>
      <c r="AO232" s="192" t="n">
        <v>0</v>
      </c>
      <c r="AP232" s="192" t="n">
        <v>0</v>
      </c>
      <c r="AQ232" s="192" t="n">
        <v>0</v>
      </c>
      <c r="AS232" s="192" t="n">
        <v>0</v>
      </c>
      <c r="AT232" s="192" t="n">
        <v>0</v>
      </c>
      <c r="AU232" s="192" t="n">
        <v>0.3775</v>
      </c>
      <c r="AV232" s="192" t="n">
        <v>0</v>
      </c>
      <c r="AW232" s="192" t="n">
        <v>0</v>
      </c>
      <c r="AX232" s="192" t="n">
        <v>0</v>
      </c>
      <c r="AY232" s="192" t="n">
        <v>0</v>
      </c>
      <c r="BA232" s="192" t="n">
        <v>0</v>
      </c>
      <c r="BB232" s="192" t="n">
        <v>0</v>
      </c>
      <c r="BD232" s="192" t="n">
        <v>0.019968124</v>
      </c>
      <c r="BE232" s="192" t="n">
        <v>0</v>
      </c>
      <c r="BF232" s="192" t="n">
        <v>-0.17</v>
      </c>
      <c r="BJ232" s="192" t="n">
        <v>0.31</v>
      </c>
    </row>
    <row r="233" customFormat="false" ht="12.75" hidden="false" customHeight="false" outlineLevel="0" collapsed="false">
      <c r="A233" s="194"/>
      <c r="B233" s="194" t="n">
        <v>4.264</v>
      </c>
      <c r="C233" s="200" t="n">
        <v>43709</v>
      </c>
      <c r="D233" s="194" t="n">
        <v>3.938</v>
      </c>
      <c r="E233" s="194" t="n">
        <v>0.15</v>
      </c>
      <c r="F233" s="194" t="n">
        <v>0.071832108408597</v>
      </c>
      <c r="V233" s="192" t="n">
        <v>0</v>
      </c>
      <c r="W233" s="196" t="n">
        <v>0.1925</v>
      </c>
      <c r="X233" s="196" t="n">
        <v>0.195</v>
      </c>
      <c r="Y233" s="196" t="n">
        <v>0</v>
      </c>
      <c r="Z233" s="196" t="n">
        <v>-0.01025</v>
      </c>
      <c r="AA233" s="196" t="n">
        <v>0.01775</v>
      </c>
      <c r="AB233" s="196" t="n">
        <v>0.00275</v>
      </c>
      <c r="AC233" s="196" t="n">
        <v>0</v>
      </c>
      <c r="AD233" s="196" t="n">
        <v>0</v>
      </c>
      <c r="AE233" s="196" t="n">
        <v>0</v>
      </c>
      <c r="AF233" s="196" t="n">
        <v>0</v>
      </c>
      <c r="AG233" s="197" t="n">
        <v>0</v>
      </c>
      <c r="AH233" s="196" t="n">
        <v>0</v>
      </c>
      <c r="AI233" s="192" t="n">
        <v>0</v>
      </c>
      <c r="AK233" s="192" t="n">
        <v>0</v>
      </c>
      <c r="AL233" s="192" t="n">
        <v>0</v>
      </c>
      <c r="AM233" s="192" t="n">
        <v>0.395</v>
      </c>
      <c r="AN233" s="192" t="n">
        <v>0.054968124</v>
      </c>
      <c r="AO233" s="192" t="n">
        <v>0</v>
      </c>
      <c r="AP233" s="192" t="n">
        <v>0</v>
      </c>
      <c r="AQ233" s="192" t="n">
        <v>0</v>
      </c>
      <c r="AS233" s="192" t="n">
        <v>0</v>
      </c>
      <c r="AT233" s="192" t="n">
        <v>0</v>
      </c>
      <c r="AU233" s="192" t="n">
        <v>0.3775</v>
      </c>
      <c r="AV233" s="192" t="n">
        <v>0</v>
      </c>
      <c r="AW233" s="192" t="n">
        <v>0</v>
      </c>
      <c r="AX233" s="192" t="n">
        <v>0</v>
      </c>
      <c r="AY233" s="192" t="n">
        <v>0</v>
      </c>
      <c r="BA233" s="192" t="n">
        <v>0</v>
      </c>
      <c r="BB233" s="192" t="n">
        <v>0</v>
      </c>
      <c r="BD233" s="192" t="n">
        <v>0.019968124</v>
      </c>
      <c r="BE233" s="192" t="n">
        <v>0</v>
      </c>
      <c r="BF233" s="192" t="n">
        <v>-0.17</v>
      </c>
      <c r="BJ233" s="192" t="n">
        <v>0.3</v>
      </c>
    </row>
    <row r="234" customFormat="false" ht="12.75" hidden="false" customHeight="false" outlineLevel="0" collapsed="false">
      <c r="A234" s="194"/>
      <c r="B234" s="194" t="n">
        <v>4.329</v>
      </c>
      <c r="C234" s="200" t="n">
        <v>43739</v>
      </c>
      <c r="D234" s="194" t="n">
        <v>3.945</v>
      </c>
      <c r="E234" s="194" t="n">
        <v>0.15</v>
      </c>
      <c r="F234" s="194" t="n">
        <v>0.071841608059387</v>
      </c>
      <c r="V234" s="192" t="n">
        <v>0</v>
      </c>
      <c r="W234" s="196" t="n">
        <v>0.1975</v>
      </c>
      <c r="X234" s="196" t="n">
        <v>0.215</v>
      </c>
      <c r="Y234" s="196" t="n">
        <v>0</v>
      </c>
      <c r="Z234" s="196" t="n">
        <v>-0.01025</v>
      </c>
      <c r="AA234" s="196" t="n">
        <v>0.000499999999999997</v>
      </c>
      <c r="AB234" s="196" t="n">
        <v>-0.0155</v>
      </c>
      <c r="AC234" s="196" t="n">
        <v>0</v>
      </c>
      <c r="AD234" s="196" t="n">
        <v>0</v>
      </c>
      <c r="AE234" s="196" t="n">
        <v>0</v>
      </c>
      <c r="AF234" s="196" t="n">
        <v>0</v>
      </c>
      <c r="AG234" s="197" t="n">
        <v>0</v>
      </c>
      <c r="AH234" s="196" t="n">
        <v>0</v>
      </c>
      <c r="AI234" s="192" t="n">
        <v>0</v>
      </c>
      <c r="AK234" s="192" t="n">
        <v>0</v>
      </c>
      <c r="AL234" s="192" t="n">
        <v>0</v>
      </c>
      <c r="AM234" s="192" t="n">
        <v>0.461</v>
      </c>
      <c r="AN234" s="192" t="n">
        <v>0.054968124</v>
      </c>
      <c r="AO234" s="192" t="n">
        <v>0</v>
      </c>
      <c r="AP234" s="192" t="n">
        <v>0</v>
      </c>
      <c r="AQ234" s="192" t="n">
        <v>0</v>
      </c>
      <c r="AS234" s="192" t="n">
        <v>0</v>
      </c>
      <c r="AT234" s="192" t="n">
        <v>0</v>
      </c>
      <c r="AU234" s="192" t="n">
        <v>0.3775</v>
      </c>
      <c r="AV234" s="192" t="n">
        <v>0</v>
      </c>
      <c r="AW234" s="192" t="n">
        <v>0</v>
      </c>
      <c r="AX234" s="192" t="n">
        <v>0</v>
      </c>
      <c r="AY234" s="192" t="n">
        <v>0</v>
      </c>
      <c r="BA234" s="192" t="n">
        <v>0</v>
      </c>
      <c r="BB234" s="192" t="n">
        <v>0</v>
      </c>
      <c r="BD234" s="192" t="n">
        <v>0.019968124</v>
      </c>
      <c r="BE234" s="192" t="n">
        <v>0</v>
      </c>
      <c r="BF234" s="192" t="n">
        <v>-0.17</v>
      </c>
      <c r="BJ234" s="192" t="n">
        <v>0.37253</v>
      </c>
    </row>
    <row r="235" customFormat="false" ht="12.75" hidden="false" customHeight="false" outlineLevel="0" collapsed="false">
      <c r="A235" s="194"/>
      <c r="B235" s="194" t="n">
        <v>4.324</v>
      </c>
      <c r="C235" s="200" t="n">
        <v>43770</v>
      </c>
      <c r="D235" s="194" t="n">
        <v>3.957</v>
      </c>
      <c r="E235" s="194" t="n">
        <v>0.15</v>
      </c>
      <c r="F235" s="194" t="n">
        <v>0.071851424365234</v>
      </c>
      <c r="V235" s="192" t="n">
        <v>0</v>
      </c>
      <c r="W235" s="196" t="n">
        <v>0.2725</v>
      </c>
      <c r="X235" s="196" t="n">
        <v>0.315</v>
      </c>
      <c r="Y235" s="196" t="n">
        <v>0</v>
      </c>
      <c r="Z235" s="196" t="n">
        <v>-0.0235</v>
      </c>
      <c r="AA235" s="196" t="n">
        <v>0.000500000000000003</v>
      </c>
      <c r="AB235" s="196" t="n">
        <v>-0.0145</v>
      </c>
      <c r="AC235" s="196" t="n">
        <v>0</v>
      </c>
      <c r="AD235" s="196" t="n">
        <v>0</v>
      </c>
      <c r="AE235" s="196" t="n">
        <v>0</v>
      </c>
      <c r="AF235" s="196" t="n">
        <v>0</v>
      </c>
      <c r="AG235" s="197" t="n">
        <v>0</v>
      </c>
      <c r="AH235" s="196" t="n">
        <v>0</v>
      </c>
      <c r="AI235" s="192" t="n">
        <v>0</v>
      </c>
      <c r="AK235" s="192" t="n">
        <v>0</v>
      </c>
      <c r="AL235" s="192" t="n">
        <v>0</v>
      </c>
      <c r="AM235" s="192" t="n">
        <v>0.885</v>
      </c>
      <c r="AN235" s="192" t="n">
        <v>-0.024988713</v>
      </c>
      <c r="AO235" s="192" t="n">
        <v>0</v>
      </c>
      <c r="AP235" s="192" t="n">
        <v>0</v>
      </c>
      <c r="AQ235" s="192" t="n">
        <v>0</v>
      </c>
      <c r="AS235" s="192" t="n">
        <v>0</v>
      </c>
      <c r="AT235" s="192" t="n">
        <v>0</v>
      </c>
      <c r="AU235" s="192" t="n">
        <v>0.31</v>
      </c>
      <c r="AV235" s="192" t="n">
        <v>0</v>
      </c>
      <c r="AW235" s="192" t="n">
        <v>0</v>
      </c>
      <c r="AX235" s="192" t="n">
        <v>0</v>
      </c>
      <c r="AY235" s="192" t="n">
        <v>0</v>
      </c>
      <c r="BA235" s="192" t="n">
        <v>0</v>
      </c>
      <c r="BB235" s="192" t="n">
        <v>0</v>
      </c>
      <c r="BD235" s="192" t="n">
        <v>-0.059988713</v>
      </c>
      <c r="BE235" s="192" t="n">
        <v>0</v>
      </c>
      <c r="BF235" s="192" t="n">
        <v>-0.17</v>
      </c>
      <c r="BJ235" s="192" t="n">
        <v>0.56</v>
      </c>
    </row>
    <row r="236" customFormat="false" ht="12.75" hidden="false" customHeight="false" outlineLevel="0" collapsed="false">
      <c r="A236" s="194"/>
      <c r="B236" s="194" t="n">
        <v>4.298</v>
      </c>
      <c r="C236" s="200" t="n">
        <v>43800</v>
      </c>
      <c r="D236" s="194" t="n">
        <v>3.985</v>
      </c>
      <c r="E236" s="194" t="n">
        <v>0.15</v>
      </c>
      <c r="F236" s="194" t="n">
        <v>0.071860924016084</v>
      </c>
      <c r="V236" s="192" t="n">
        <v>0</v>
      </c>
      <c r="W236" s="196" t="n">
        <v>0.3075</v>
      </c>
      <c r="X236" s="196" t="n">
        <v>0.395</v>
      </c>
      <c r="Y236" s="196" t="n">
        <v>0</v>
      </c>
      <c r="Z236" s="196" t="n">
        <v>-0.016</v>
      </c>
      <c r="AA236" s="196" t="n">
        <v>0.000500000000000003</v>
      </c>
      <c r="AB236" s="196" t="n">
        <v>-0.0145</v>
      </c>
      <c r="AC236" s="196" t="n">
        <v>0</v>
      </c>
      <c r="AD236" s="196" t="n">
        <v>0</v>
      </c>
      <c r="AE236" s="196" t="n">
        <v>0</v>
      </c>
      <c r="AF236" s="196" t="n">
        <v>0</v>
      </c>
      <c r="AG236" s="197" t="n">
        <v>0</v>
      </c>
      <c r="AH236" s="196" t="n">
        <v>0</v>
      </c>
      <c r="AI236" s="192" t="n">
        <v>0</v>
      </c>
      <c r="AK236" s="192" t="n">
        <v>0</v>
      </c>
      <c r="AL236" s="192" t="n">
        <v>0</v>
      </c>
      <c r="AM236" s="192" t="n">
        <v>1.31</v>
      </c>
      <c r="AN236" s="192" t="n">
        <v>-0.039951938</v>
      </c>
      <c r="AO236" s="192" t="n">
        <v>0</v>
      </c>
      <c r="AP236" s="192" t="n">
        <v>0</v>
      </c>
      <c r="AQ236" s="192" t="n">
        <v>0</v>
      </c>
      <c r="AS236" s="192" t="n">
        <v>0</v>
      </c>
      <c r="AT236" s="192" t="n">
        <v>0</v>
      </c>
      <c r="AU236" s="192" t="n">
        <v>0.31</v>
      </c>
      <c r="AV236" s="192" t="n">
        <v>0</v>
      </c>
      <c r="AW236" s="192" t="n">
        <v>0</v>
      </c>
      <c r="AX236" s="192" t="n">
        <v>0</v>
      </c>
      <c r="AY236" s="192" t="n">
        <v>0</v>
      </c>
      <c r="BA236" s="192" t="n">
        <v>0</v>
      </c>
      <c r="BB236" s="192" t="n">
        <v>0</v>
      </c>
      <c r="BD236" s="192" t="n">
        <v>-0.074951938</v>
      </c>
      <c r="BE236" s="192" t="n">
        <v>0</v>
      </c>
      <c r="BF236" s="192" t="n">
        <v>-0.17</v>
      </c>
      <c r="BJ236" s="192" t="n">
        <v>0.91</v>
      </c>
    </row>
    <row r="237" customFormat="false" ht="12.75" hidden="false" customHeight="false" outlineLevel="0" collapsed="false">
      <c r="A237" s="194"/>
      <c r="B237" s="194" t="n">
        <v>4.3</v>
      </c>
      <c r="C237" s="200" t="n">
        <v>43831</v>
      </c>
      <c r="D237" s="194" t="n">
        <v>4.426</v>
      </c>
      <c r="E237" s="194" t="n">
        <v>0.15</v>
      </c>
      <c r="F237" s="194" t="n">
        <v>0.071870740322</v>
      </c>
      <c r="V237" s="192" t="n">
        <v>0</v>
      </c>
      <c r="W237" s="196" t="n">
        <v>0.3125</v>
      </c>
      <c r="X237" s="196" t="n">
        <v>0.465</v>
      </c>
      <c r="Y237" s="196" t="n">
        <v>0</v>
      </c>
      <c r="Z237" s="196" t="n">
        <v>-0.016</v>
      </c>
      <c r="AA237" s="196" t="n">
        <v>0.000500000000000003</v>
      </c>
      <c r="AB237" s="196" t="n">
        <v>-0.0145</v>
      </c>
      <c r="AC237" s="196" t="n">
        <v>0</v>
      </c>
      <c r="AD237" s="196" t="n">
        <v>0</v>
      </c>
      <c r="AE237" s="196" t="n">
        <v>0</v>
      </c>
      <c r="AF237" s="196" t="n">
        <v>0</v>
      </c>
      <c r="AG237" s="197" t="n">
        <v>0</v>
      </c>
      <c r="AH237" s="196" t="n">
        <v>0</v>
      </c>
      <c r="AI237" s="192" t="n">
        <v>0</v>
      </c>
      <c r="AK237" s="192" t="n">
        <v>0</v>
      </c>
      <c r="AL237" s="192" t="n">
        <v>0</v>
      </c>
      <c r="AM237" s="192" t="n">
        <v>1.645</v>
      </c>
      <c r="AN237" s="192" t="n">
        <v>-0.034955184</v>
      </c>
      <c r="AO237" s="192" t="n">
        <v>0</v>
      </c>
      <c r="AP237" s="192" t="n">
        <v>0</v>
      </c>
      <c r="AQ237" s="192" t="n">
        <v>0</v>
      </c>
      <c r="AS237" s="192" t="n">
        <v>0</v>
      </c>
      <c r="AT237" s="192" t="n">
        <v>0</v>
      </c>
      <c r="AU237" s="192" t="n">
        <v>0.31</v>
      </c>
      <c r="AV237" s="192" t="n">
        <v>0</v>
      </c>
      <c r="AW237" s="192" t="n">
        <v>0</v>
      </c>
      <c r="AX237" s="192" t="n">
        <v>0</v>
      </c>
      <c r="AY237" s="192" t="n">
        <v>0</v>
      </c>
      <c r="BA237" s="192" t="n">
        <v>0</v>
      </c>
      <c r="BB237" s="192" t="n">
        <v>0</v>
      </c>
      <c r="BD237" s="192" t="n">
        <v>-0.069955184</v>
      </c>
      <c r="BE237" s="192" t="n">
        <v>0</v>
      </c>
      <c r="BF237" s="192" t="n">
        <v>-0.17</v>
      </c>
      <c r="BJ237" s="192" t="n">
        <v>1.235</v>
      </c>
    </row>
    <row r="238" customFormat="false" ht="12.75" hidden="false" customHeight="false" outlineLevel="0" collapsed="false">
      <c r="A238" s="194"/>
      <c r="B238" s="194" t="n">
        <v>4.332</v>
      </c>
      <c r="C238" s="200" t="n">
        <v>43862</v>
      </c>
      <c r="D238" s="194" t="n">
        <v>4.332</v>
      </c>
      <c r="E238" s="194" t="n">
        <v>0.15</v>
      </c>
      <c r="F238" s="194" t="n">
        <v>0.071880556627935</v>
      </c>
      <c r="V238" s="192" t="n">
        <v>0</v>
      </c>
      <c r="W238" s="196" t="n">
        <v>0.3125</v>
      </c>
      <c r="X238" s="196" t="n">
        <v>0.435</v>
      </c>
      <c r="Y238" s="196" t="n">
        <v>0</v>
      </c>
      <c r="Z238" s="196" t="n">
        <v>-0.016</v>
      </c>
      <c r="AA238" s="196" t="n">
        <v>0.000500000000000003</v>
      </c>
      <c r="AB238" s="196" t="n">
        <v>-0.0145</v>
      </c>
      <c r="AC238" s="196" t="n">
        <v>0</v>
      </c>
      <c r="AD238" s="196" t="n">
        <v>0</v>
      </c>
      <c r="AE238" s="196" t="n">
        <v>0</v>
      </c>
      <c r="AF238" s="196" t="n">
        <v>0</v>
      </c>
      <c r="AG238" s="197" t="n">
        <v>0</v>
      </c>
      <c r="AH238" s="196" t="n">
        <v>0</v>
      </c>
      <c r="AI238" s="192" t="n">
        <v>0</v>
      </c>
      <c r="AK238" s="192" t="n">
        <v>0</v>
      </c>
      <c r="AL238" s="192" t="n">
        <v>0</v>
      </c>
      <c r="AM238" s="192" t="n">
        <v>1.595</v>
      </c>
      <c r="AN238" s="192" t="n">
        <v>-0.009957423</v>
      </c>
      <c r="AO238" s="192" t="n">
        <v>0</v>
      </c>
      <c r="AP238" s="192" t="n">
        <v>0</v>
      </c>
      <c r="AQ238" s="192" t="n">
        <v>0</v>
      </c>
      <c r="AS238" s="192" t="n">
        <v>0</v>
      </c>
      <c r="AT238" s="192" t="n">
        <v>0</v>
      </c>
      <c r="AU238" s="192" t="n">
        <v>0.31</v>
      </c>
      <c r="AV238" s="192" t="n">
        <v>0</v>
      </c>
      <c r="AW238" s="192" t="n">
        <v>0</v>
      </c>
      <c r="AX238" s="192" t="n">
        <v>0</v>
      </c>
      <c r="AY238" s="192" t="n">
        <v>0</v>
      </c>
      <c r="BA238" s="192" t="n">
        <v>0</v>
      </c>
      <c r="BB238" s="192" t="n">
        <v>0</v>
      </c>
      <c r="BD238" s="192" t="n">
        <v>-0.044957423</v>
      </c>
      <c r="BE238" s="192" t="n">
        <v>0</v>
      </c>
      <c r="BF238" s="192" t="n">
        <v>-0.17</v>
      </c>
      <c r="BJ238" s="192" t="n">
        <v>1.235</v>
      </c>
    </row>
    <row r="239" customFormat="false" ht="12.75" hidden="false" customHeight="false" outlineLevel="0" collapsed="false">
      <c r="A239" s="194"/>
      <c r="B239" s="194" t="n">
        <v>4.393</v>
      </c>
      <c r="C239" s="200" t="n">
        <v>43891</v>
      </c>
      <c r="D239" s="194" t="n">
        <v>4.2</v>
      </c>
      <c r="E239" s="194" t="n">
        <v>0.15</v>
      </c>
      <c r="F239" s="194" t="n">
        <v>0.071889739623845</v>
      </c>
      <c r="V239" s="192" t="n">
        <v>0</v>
      </c>
      <c r="W239" s="196" t="n">
        <v>0.27</v>
      </c>
      <c r="X239" s="196" t="n">
        <v>0.39</v>
      </c>
      <c r="Y239" s="196" t="n">
        <v>0</v>
      </c>
      <c r="Z239" s="196" t="n">
        <v>-0.016</v>
      </c>
      <c r="AA239" s="196" t="n">
        <v>0.019</v>
      </c>
      <c r="AB239" s="196" t="n">
        <v>0.004</v>
      </c>
      <c r="AC239" s="196" t="n">
        <v>0</v>
      </c>
      <c r="AD239" s="196" t="n">
        <v>0</v>
      </c>
      <c r="AE239" s="196" t="n">
        <v>0</v>
      </c>
      <c r="AF239" s="196" t="n">
        <v>0</v>
      </c>
      <c r="AG239" s="197" t="n">
        <v>0</v>
      </c>
      <c r="AH239" s="196" t="n">
        <v>0</v>
      </c>
      <c r="AI239" s="192" t="n">
        <v>0</v>
      </c>
      <c r="AK239" s="192" t="n">
        <v>0</v>
      </c>
      <c r="AL239" s="192" t="n">
        <v>0</v>
      </c>
      <c r="AM239" s="192" t="n">
        <v>0.965</v>
      </c>
      <c r="AN239" s="192" t="n">
        <v>4.2577E-005</v>
      </c>
      <c r="AO239" s="192" t="n">
        <v>0</v>
      </c>
      <c r="AP239" s="192" t="n">
        <v>0</v>
      </c>
      <c r="AQ239" s="192" t="n">
        <v>0</v>
      </c>
      <c r="AS239" s="192" t="n">
        <v>0</v>
      </c>
      <c r="AT239" s="192" t="n">
        <v>0</v>
      </c>
      <c r="AU239" s="192" t="n">
        <v>0.31</v>
      </c>
      <c r="AV239" s="192" t="n">
        <v>0</v>
      </c>
      <c r="AW239" s="192" t="n">
        <v>0</v>
      </c>
      <c r="AX239" s="192" t="n">
        <v>0</v>
      </c>
      <c r="AY239" s="192" t="n">
        <v>0</v>
      </c>
      <c r="BA239" s="192" t="n">
        <v>0</v>
      </c>
      <c r="BB239" s="192" t="n">
        <v>0</v>
      </c>
      <c r="BD239" s="192" t="n">
        <v>-0.034957423</v>
      </c>
      <c r="BE239" s="192" t="n">
        <v>0</v>
      </c>
      <c r="BF239" s="192" t="n">
        <v>-0.17</v>
      </c>
      <c r="BJ239" s="192" t="n">
        <v>0.875</v>
      </c>
    </row>
    <row r="240" customFormat="false" ht="12.75" hidden="false" customHeight="false" outlineLevel="0" collapsed="false">
      <c r="A240" s="194"/>
      <c r="B240" s="194" t="n">
        <v>4.657</v>
      </c>
      <c r="C240" s="200" t="n">
        <v>43922</v>
      </c>
      <c r="D240" s="194" t="n">
        <v>4.061</v>
      </c>
      <c r="E240" s="194" t="n">
        <v>0.15</v>
      </c>
      <c r="F240" s="194" t="n">
        <v>0.071899555929848</v>
      </c>
      <c r="V240" s="192" t="n">
        <v>0</v>
      </c>
      <c r="W240" s="196" t="n">
        <v>0.205</v>
      </c>
      <c r="X240" s="196" t="n">
        <v>0.25</v>
      </c>
      <c r="Y240" s="196" t="n">
        <v>0</v>
      </c>
      <c r="Z240" s="196" t="n">
        <v>-0.0085</v>
      </c>
      <c r="AA240" s="196" t="n">
        <v>0.019</v>
      </c>
      <c r="AB240" s="196" t="n">
        <v>0.004</v>
      </c>
      <c r="AC240" s="196" t="n">
        <v>0</v>
      </c>
      <c r="AD240" s="196" t="n">
        <v>0</v>
      </c>
      <c r="AE240" s="196" t="n">
        <v>0</v>
      </c>
      <c r="AF240" s="196" t="n">
        <v>0</v>
      </c>
      <c r="AG240" s="197" t="n">
        <v>0</v>
      </c>
      <c r="AH240" s="196" t="n">
        <v>0</v>
      </c>
      <c r="AI240" s="192" t="n">
        <v>0</v>
      </c>
      <c r="AK240" s="192" t="n">
        <v>0</v>
      </c>
      <c r="AL240" s="192" t="n">
        <v>0</v>
      </c>
      <c r="AM240" s="192" t="n">
        <v>0.45</v>
      </c>
      <c r="AN240" s="192" t="n">
        <v>0.059976639</v>
      </c>
      <c r="AO240" s="192" t="n">
        <v>0</v>
      </c>
      <c r="AP240" s="192" t="n">
        <v>0</v>
      </c>
      <c r="AQ240" s="192" t="n">
        <v>0</v>
      </c>
      <c r="AS240" s="192" t="n">
        <v>0</v>
      </c>
      <c r="AT240" s="192" t="n">
        <v>0</v>
      </c>
      <c r="AU240" s="192" t="n">
        <v>0.3775</v>
      </c>
      <c r="AV240" s="192" t="n">
        <v>0</v>
      </c>
      <c r="AW240" s="192" t="n">
        <v>0</v>
      </c>
      <c r="AX240" s="192" t="n">
        <v>0</v>
      </c>
      <c r="AY240" s="192" t="n">
        <v>0</v>
      </c>
      <c r="BA240" s="192" t="n">
        <v>0</v>
      </c>
      <c r="BB240" s="192" t="n">
        <v>0</v>
      </c>
      <c r="BD240" s="192" t="n">
        <v>0.024976639</v>
      </c>
      <c r="BE240" s="192" t="n">
        <v>0</v>
      </c>
      <c r="BF240" s="192" t="n">
        <v>-0.17</v>
      </c>
      <c r="BJ240" s="192" t="n">
        <v>0.365</v>
      </c>
    </row>
    <row r="241" customFormat="false" ht="12.75" hidden="false" customHeight="false" outlineLevel="0" collapsed="false">
      <c r="A241" s="194"/>
      <c r="B241" s="194" t="n">
        <v>4.598</v>
      </c>
      <c r="C241" s="200" t="n">
        <v>43952</v>
      </c>
      <c r="D241" s="194" t="n">
        <v>4.028</v>
      </c>
      <c r="E241" s="194" t="n">
        <v>0.15</v>
      </c>
      <c r="F241" s="194" t="n">
        <v>0.071909055580849</v>
      </c>
      <c r="V241" s="192" t="n">
        <v>0</v>
      </c>
      <c r="W241" s="196" t="n">
        <v>0.1925</v>
      </c>
      <c r="X241" s="196" t="n">
        <v>0.2025</v>
      </c>
      <c r="Y241" s="196" t="n">
        <v>0</v>
      </c>
      <c r="Z241" s="196" t="n">
        <v>-0.00875</v>
      </c>
      <c r="AA241" s="196" t="n">
        <v>0.01875</v>
      </c>
      <c r="AB241" s="196" t="n">
        <v>0.00375</v>
      </c>
      <c r="AC241" s="196" t="n">
        <v>0</v>
      </c>
      <c r="AD241" s="196" t="n">
        <v>0</v>
      </c>
      <c r="AE241" s="196" t="n">
        <v>0</v>
      </c>
      <c r="AF241" s="196" t="n">
        <v>0</v>
      </c>
      <c r="AG241" s="197" t="n">
        <v>0</v>
      </c>
      <c r="AH241" s="196" t="n">
        <v>0</v>
      </c>
      <c r="AI241" s="192" t="n">
        <v>0</v>
      </c>
      <c r="AK241" s="192" t="n">
        <v>0</v>
      </c>
      <c r="AL241" s="192" t="n">
        <v>0</v>
      </c>
      <c r="AM241" s="192" t="n">
        <v>0.405</v>
      </c>
      <c r="AN241" s="192" t="n">
        <v>0.059968124</v>
      </c>
      <c r="AO241" s="192" t="n">
        <v>0</v>
      </c>
      <c r="AP241" s="192" t="n">
        <v>0</v>
      </c>
      <c r="AQ241" s="192" t="n">
        <v>0</v>
      </c>
      <c r="AS241" s="192" t="n">
        <v>0</v>
      </c>
      <c r="AT241" s="192" t="n">
        <v>0</v>
      </c>
      <c r="AU241" s="192" t="n">
        <v>0.3775</v>
      </c>
      <c r="AV241" s="192" t="n">
        <v>0</v>
      </c>
      <c r="AW241" s="192" t="n">
        <v>0</v>
      </c>
      <c r="AX241" s="192" t="n">
        <v>0</v>
      </c>
      <c r="AY241" s="192" t="n">
        <v>0</v>
      </c>
      <c r="BA241" s="192" t="n">
        <v>0</v>
      </c>
      <c r="BB241" s="192" t="n">
        <v>0</v>
      </c>
      <c r="BD241" s="192" t="n">
        <v>0.024968124</v>
      </c>
      <c r="BE241" s="192" t="n">
        <v>0</v>
      </c>
      <c r="BF241" s="192" t="n">
        <v>-0.17</v>
      </c>
      <c r="BJ241" s="192" t="n">
        <v>0.2975</v>
      </c>
    </row>
    <row r="242" customFormat="false" ht="12.75" hidden="false" customHeight="false" outlineLevel="0" collapsed="false">
      <c r="A242" s="194"/>
      <c r="B242" s="194" t="n">
        <v>4.491</v>
      </c>
      <c r="C242" s="200" t="n">
        <v>43983</v>
      </c>
      <c r="D242" s="194" t="n">
        <v>4.053</v>
      </c>
      <c r="E242" s="194" t="n">
        <v>0.15</v>
      </c>
      <c r="F242" s="194" t="n">
        <v>0.071918871886915</v>
      </c>
      <c r="V242" s="192" t="n">
        <v>0</v>
      </c>
      <c r="W242" s="196" t="n">
        <v>0.1925</v>
      </c>
      <c r="X242" s="196" t="n">
        <v>0.2025</v>
      </c>
      <c r="Y242" s="196" t="n">
        <v>0</v>
      </c>
      <c r="Z242" s="196" t="n">
        <v>-0.00875</v>
      </c>
      <c r="AA242" s="196" t="n">
        <v>0.01875</v>
      </c>
      <c r="AB242" s="196" t="n">
        <v>0.00375</v>
      </c>
      <c r="AC242" s="196" t="n">
        <v>0</v>
      </c>
      <c r="AD242" s="196" t="n">
        <v>0</v>
      </c>
      <c r="AE242" s="196" t="n">
        <v>0</v>
      </c>
      <c r="AF242" s="196" t="n">
        <v>0</v>
      </c>
      <c r="AG242" s="197" t="n">
        <v>0</v>
      </c>
      <c r="AH242" s="196" t="n">
        <v>0</v>
      </c>
      <c r="AI242" s="192" t="n">
        <v>0</v>
      </c>
      <c r="AK242" s="192" t="n">
        <v>0</v>
      </c>
      <c r="AL242" s="192" t="n">
        <v>0</v>
      </c>
      <c r="AM242" s="192" t="n">
        <v>0.395</v>
      </c>
      <c r="AN242" s="192" t="n">
        <v>0.059968124</v>
      </c>
      <c r="AO242" s="192" t="n">
        <v>0</v>
      </c>
      <c r="AP242" s="192" t="n">
        <v>0</v>
      </c>
      <c r="AQ242" s="192" t="n">
        <v>0</v>
      </c>
      <c r="AS242" s="192" t="n">
        <v>0</v>
      </c>
      <c r="AT242" s="192" t="n">
        <v>0</v>
      </c>
      <c r="AU242" s="192" t="n">
        <v>0.3775</v>
      </c>
      <c r="AV242" s="192" t="n">
        <v>0</v>
      </c>
      <c r="AW242" s="192" t="n">
        <v>0</v>
      </c>
      <c r="AX242" s="192" t="n">
        <v>0</v>
      </c>
      <c r="AY242" s="192" t="n">
        <v>0</v>
      </c>
      <c r="BA242" s="192" t="n">
        <v>0</v>
      </c>
      <c r="BB242" s="192" t="n">
        <v>0</v>
      </c>
      <c r="BD242" s="192" t="n">
        <v>0.024968124</v>
      </c>
      <c r="BE242" s="192" t="n">
        <v>0</v>
      </c>
      <c r="BF242" s="192" t="n">
        <v>-0.17</v>
      </c>
      <c r="BJ242" s="192" t="n">
        <v>0.2975</v>
      </c>
    </row>
    <row r="243" customFormat="false" ht="12.75" hidden="false" customHeight="false" outlineLevel="0" collapsed="false">
      <c r="A243" s="194"/>
      <c r="B243" s="194" t="n">
        <v>4.387</v>
      </c>
      <c r="C243" s="200" t="n">
        <v>44013</v>
      </c>
      <c r="D243" s="194" t="n">
        <v>4.061</v>
      </c>
      <c r="E243" s="194" t="n">
        <v>0.15</v>
      </c>
      <c r="F243" s="194" t="n">
        <v>0.071928371537976</v>
      </c>
      <c r="V243" s="192" t="n">
        <v>0</v>
      </c>
      <c r="W243" s="196" t="n">
        <v>0.1925</v>
      </c>
      <c r="X243" s="196" t="n">
        <v>0.215</v>
      </c>
      <c r="Y243" s="196" t="n">
        <v>0</v>
      </c>
      <c r="Z243" s="196" t="n">
        <v>-0.00875</v>
      </c>
      <c r="AA243" s="196" t="n">
        <v>0.01875</v>
      </c>
      <c r="AB243" s="196" t="n">
        <v>0.00375</v>
      </c>
      <c r="AC243" s="196" t="n">
        <v>0</v>
      </c>
      <c r="AD243" s="196" t="n">
        <v>0</v>
      </c>
      <c r="AE243" s="196" t="n">
        <v>0</v>
      </c>
      <c r="AF243" s="196" t="n">
        <v>0</v>
      </c>
      <c r="AG243" s="197" t="n">
        <v>0</v>
      </c>
      <c r="AH243" s="196" t="n">
        <v>0</v>
      </c>
      <c r="AI243" s="192" t="n">
        <v>0</v>
      </c>
      <c r="AK243" s="192" t="n">
        <v>0</v>
      </c>
      <c r="AL243" s="192" t="n">
        <v>0</v>
      </c>
      <c r="AM243" s="192" t="n">
        <v>0.43</v>
      </c>
      <c r="AN243" s="192" t="n">
        <v>0.059968124</v>
      </c>
      <c r="AO243" s="192" t="n">
        <v>0</v>
      </c>
      <c r="AP243" s="192" t="n">
        <v>0</v>
      </c>
      <c r="AQ243" s="192" t="n">
        <v>0</v>
      </c>
      <c r="AS243" s="192" t="n">
        <v>0</v>
      </c>
      <c r="AT243" s="192" t="n">
        <v>0</v>
      </c>
      <c r="AU243" s="192" t="n">
        <v>0.3775</v>
      </c>
      <c r="AV243" s="192" t="n">
        <v>0</v>
      </c>
      <c r="AW243" s="192" t="n">
        <v>0</v>
      </c>
      <c r="AX243" s="192" t="n">
        <v>0</v>
      </c>
      <c r="AY243" s="192" t="n">
        <v>0</v>
      </c>
      <c r="BA243" s="192" t="n">
        <v>0</v>
      </c>
      <c r="BB243" s="192" t="n">
        <v>0</v>
      </c>
      <c r="BD243" s="192" t="n">
        <v>0.024968124</v>
      </c>
      <c r="BE243" s="192" t="n">
        <v>0</v>
      </c>
      <c r="BF243" s="192" t="n">
        <v>-0.17</v>
      </c>
      <c r="BJ243" s="192" t="n">
        <v>0.31</v>
      </c>
    </row>
    <row r="244" customFormat="false" ht="12.75" hidden="false" customHeight="false" outlineLevel="0" collapsed="false">
      <c r="A244" s="194"/>
      <c r="B244" s="194" t="n">
        <v>4.376</v>
      </c>
      <c r="C244" s="200" t="n">
        <v>44044</v>
      </c>
      <c r="D244" s="194" t="n">
        <v>4.068</v>
      </c>
      <c r="E244" s="194" t="n">
        <v>0.15</v>
      </c>
      <c r="F244" s="194" t="n">
        <v>0.071938187844105</v>
      </c>
      <c r="V244" s="192" t="n">
        <v>0</v>
      </c>
      <c r="W244" s="196" t="n">
        <v>0.1925</v>
      </c>
      <c r="X244" s="196" t="n">
        <v>0.215</v>
      </c>
      <c r="Y244" s="196" t="n">
        <v>0</v>
      </c>
      <c r="Z244" s="196" t="n">
        <v>-0.00875</v>
      </c>
      <c r="AA244" s="196" t="n">
        <v>0.01875</v>
      </c>
      <c r="AB244" s="196" t="n">
        <v>0.00375</v>
      </c>
      <c r="AC244" s="196" t="n">
        <v>0</v>
      </c>
      <c r="AD244" s="196" t="n">
        <v>0</v>
      </c>
      <c r="AE244" s="196" t="n">
        <v>0</v>
      </c>
      <c r="AF244" s="196" t="n">
        <v>0</v>
      </c>
      <c r="AG244" s="197" t="n">
        <v>0</v>
      </c>
      <c r="AH244" s="196" t="n">
        <v>0</v>
      </c>
      <c r="AI244" s="192" t="n">
        <v>0</v>
      </c>
      <c r="AK244" s="192" t="n">
        <v>0</v>
      </c>
      <c r="AL244" s="192" t="n">
        <v>0</v>
      </c>
      <c r="AM244" s="192" t="n">
        <v>0.495</v>
      </c>
      <c r="AN244" s="192" t="n">
        <v>0.059968124</v>
      </c>
      <c r="AO244" s="192" t="n">
        <v>0</v>
      </c>
      <c r="AP244" s="192" t="n">
        <v>0</v>
      </c>
      <c r="AQ244" s="192" t="n">
        <v>0</v>
      </c>
      <c r="AS244" s="192" t="n">
        <v>0</v>
      </c>
      <c r="AT244" s="192" t="n">
        <v>0</v>
      </c>
      <c r="AU244" s="192" t="n">
        <v>0.3775</v>
      </c>
      <c r="AV244" s="192" t="n">
        <v>0</v>
      </c>
      <c r="AW244" s="192" t="n">
        <v>0</v>
      </c>
      <c r="AX244" s="192" t="n">
        <v>0</v>
      </c>
      <c r="AY244" s="192" t="n">
        <v>0</v>
      </c>
      <c r="BA244" s="192" t="n">
        <v>0</v>
      </c>
      <c r="BB244" s="192" t="n">
        <v>0</v>
      </c>
      <c r="BD244" s="192" t="n">
        <v>0.024968124</v>
      </c>
      <c r="BE244" s="192" t="n">
        <v>0</v>
      </c>
      <c r="BF244" s="192" t="n">
        <v>-0.17</v>
      </c>
      <c r="BJ244" s="192" t="n">
        <v>0.31</v>
      </c>
    </row>
    <row r="245" customFormat="false" ht="12.75" hidden="false" customHeight="false" outlineLevel="0" collapsed="false">
      <c r="A245" s="194"/>
      <c r="B245" s="194" t="n">
        <v>4.373</v>
      </c>
      <c r="C245" s="200" t="n">
        <v>44075</v>
      </c>
      <c r="D245" s="194" t="n">
        <v>4.041</v>
      </c>
      <c r="E245" s="194" t="n">
        <v>0.15</v>
      </c>
      <c r="F245" s="194" t="n">
        <v>0.071948004150265</v>
      </c>
      <c r="V245" s="192" t="n">
        <v>0</v>
      </c>
      <c r="W245" s="196" t="n">
        <v>0.1925</v>
      </c>
      <c r="X245" s="196" t="n">
        <v>0.195</v>
      </c>
      <c r="Y245" s="196" t="n">
        <v>0</v>
      </c>
      <c r="Z245" s="196" t="n">
        <v>-0.00875</v>
      </c>
      <c r="AA245" s="196" t="n">
        <v>0.01875</v>
      </c>
      <c r="AB245" s="196" t="n">
        <v>0.00375</v>
      </c>
      <c r="AC245" s="196" t="n">
        <v>0</v>
      </c>
      <c r="AD245" s="196" t="n">
        <v>0</v>
      </c>
      <c r="AE245" s="196" t="n">
        <v>0</v>
      </c>
      <c r="AF245" s="196" t="n">
        <v>0</v>
      </c>
      <c r="AG245" s="197" t="n">
        <v>0</v>
      </c>
      <c r="AH245" s="196" t="n">
        <v>0</v>
      </c>
      <c r="AI245" s="192" t="n">
        <v>0</v>
      </c>
      <c r="AK245" s="192" t="n">
        <v>0</v>
      </c>
      <c r="AL245" s="192" t="n">
        <v>0</v>
      </c>
      <c r="AM245" s="192" t="n">
        <v>0.395</v>
      </c>
      <c r="AN245" s="192" t="n">
        <v>0.059968124</v>
      </c>
      <c r="AO245" s="192" t="n">
        <v>0</v>
      </c>
      <c r="AP245" s="192" t="n">
        <v>0</v>
      </c>
      <c r="AQ245" s="192" t="n">
        <v>0</v>
      </c>
      <c r="AS245" s="192" t="n">
        <v>0</v>
      </c>
      <c r="AT245" s="192" t="n">
        <v>0</v>
      </c>
      <c r="AU245" s="192" t="n">
        <v>0.3775</v>
      </c>
      <c r="AV245" s="192" t="n">
        <v>0</v>
      </c>
      <c r="AW245" s="192" t="n">
        <v>0</v>
      </c>
      <c r="AX245" s="192" t="n">
        <v>0</v>
      </c>
      <c r="AY245" s="192" t="n">
        <v>0</v>
      </c>
      <c r="BA245" s="192" t="n">
        <v>0</v>
      </c>
      <c r="BB245" s="192" t="n">
        <v>0</v>
      </c>
      <c r="BD245" s="192" t="n">
        <v>0.024968124</v>
      </c>
      <c r="BE245" s="192" t="n">
        <v>0</v>
      </c>
      <c r="BF245" s="192" t="n">
        <v>-0.17</v>
      </c>
      <c r="BJ245" s="192" t="n">
        <v>0.3</v>
      </c>
    </row>
    <row r="246" customFormat="false" ht="12.75" hidden="false" customHeight="false" outlineLevel="0" collapsed="false">
      <c r="A246" s="194"/>
      <c r="B246" s="194" t="n">
        <v>4.438</v>
      </c>
      <c r="C246" s="200" t="n">
        <v>44105</v>
      </c>
      <c r="D246" s="194" t="n">
        <v>4.047</v>
      </c>
      <c r="E246" s="194" t="n">
        <v>0.15</v>
      </c>
      <c r="F246" s="194" t="n">
        <v>0.07195259928971</v>
      </c>
      <c r="V246" s="192" t="n">
        <v>0</v>
      </c>
      <c r="W246" s="196" t="n">
        <v>0.1975</v>
      </c>
      <c r="X246" s="196" t="n">
        <v>0.215</v>
      </c>
      <c r="Y246" s="196" t="n">
        <v>0</v>
      </c>
      <c r="Z246" s="196" t="n">
        <v>-0.00875</v>
      </c>
      <c r="AA246" s="196" t="n">
        <v>0.000500000000000003</v>
      </c>
      <c r="AB246" s="196" t="n">
        <v>-0.0145</v>
      </c>
      <c r="AC246" s="196" t="n">
        <v>0</v>
      </c>
      <c r="AD246" s="196" t="n">
        <v>0</v>
      </c>
      <c r="AE246" s="196" t="n">
        <v>0</v>
      </c>
      <c r="AF246" s="196" t="n">
        <v>0</v>
      </c>
      <c r="AG246" s="197" t="n">
        <v>0</v>
      </c>
      <c r="AH246" s="196" t="n">
        <v>0</v>
      </c>
      <c r="AI246" s="192" t="n">
        <v>0</v>
      </c>
      <c r="AK246" s="192" t="n">
        <v>0</v>
      </c>
      <c r="AL246" s="192" t="n">
        <v>0</v>
      </c>
      <c r="AM246" s="192" t="n">
        <v>0.461</v>
      </c>
      <c r="AN246" s="192" t="n">
        <v>0.059968124</v>
      </c>
      <c r="AO246" s="192" t="n">
        <v>0</v>
      </c>
      <c r="AP246" s="192" t="n">
        <v>0</v>
      </c>
      <c r="AQ246" s="192" t="n">
        <v>0</v>
      </c>
      <c r="AS246" s="192" t="n">
        <v>0</v>
      </c>
      <c r="AT246" s="192" t="n">
        <v>0</v>
      </c>
      <c r="AU246" s="192" t="n">
        <v>0.3775</v>
      </c>
      <c r="AV246" s="192" t="n">
        <v>0</v>
      </c>
      <c r="AW246" s="192" t="n">
        <v>0</v>
      </c>
      <c r="AX246" s="192" t="n">
        <v>0</v>
      </c>
      <c r="AY246" s="192" t="n">
        <v>0</v>
      </c>
      <c r="BA246" s="192" t="n">
        <v>0</v>
      </c>
      <c r="BB246" s="192" t="n">
        <v>0</v>
      </c>
      <c r="BD246" s="192" t="n">
        <v>0.024968124</v>
      </c>
      <c r="BE246" s="192" t="n">
        <v>0</v>
      </c>
      <c r="BF246" s="192" t="n">
        <v>-0.17</v>
      </c>
      <c r="BJ246" s="192" t="n">
        <v>0.37253</v>
      </c>
    </row>
    <row r="247" customFormat="false" ht="12.75" hidden="false" customHeight="false" outlineLevel="0" collapsed="false">
      <c r="A247" s="194"/>
      <c r="B247" s="194" t="n">
        <v>4.433</v>
      </c>
      <c r="C247" s="200" t="n">
        <v>44136</v>
      </c>
      <c r="D247" s="194" t="n">
        <v>4.054</v>
      </c>
      <c r="E247" s="194" t="n">
        <v>0.15</v>
      </c>
      <c r="F247" s="194" t="n">
        <v>0.071947211609624</v>
      </c>
      <c r="V247" s="192" t="n">
        <v>0</v>
      </c>
      <c r="W247" s="196" t="n">
        <v>0.2725</v>
      </c>
      <c r="X247" s="196" t="n">
        <v>0.315</v>
      </c>
      <c r="Y247" s="196" t="n">
        <v>0</v>
      </c>
      <c r="Z247" s="196" t="n">
        <v>-0.022</v>
      </c>
      <c r="AA247" s="196" t="n">
        <v>0.0015</v>
      </c>
      <c r="AB247" s="196" t="n">
        <v>-0.0135</v>
      </c>
      <c r="AC247" s="196" t="n">
        <v>0</v>
      </c>
      <c r="AD247" s="196" t="n">
        <v>0</v>
      </c>
      <c r="AE247" s="196" t="n">
        <v>0</v>
      </c>
      <c r="AF247" s="196" t="n">
        <v>0</v>
      </c>
      <c r="AG247" s="197" t="n">
        <v>0</v>
      </c>
      <c r="AH247" s="196" t="n">
        <v>0</v>
      </c>
      <c r="AI247" s="192" t="n">
        <v>0</v>
      </c>
      <c r="AK247" s="192" t="n">
        <v>0</v>
      </c>
      <c r="AL247" s="192" t="n">
        <v>0</v>
      </c>
      <c r="AM247" s="192" t="n">
        <v>0.885</v>
      </c>
      <c r="AN247" s="192" t="n">
        <v>-0.019988713</v>
      </c>
      <c r="AO247" s="192" t="n">
        <v>0</v>
      </c>
      <c r="AP247" s="192" t="n">
        <v>0</v>
      </c>
      <c r="AQ247" s="192" t="n">
        <v>0</v>
      </c>
      <c r="AS247" s="192" t="n">
        <v>0</v>
      </c>
      <c r="AT247" s="192" t="n">
        <v>0</v>
      </c>
      <c r="AU247" s="192" t="n">
        <v>0.33</v>
      </c>
      <c r="AV247" s="192" t="n">
        <v>0</v>
      </c>
      <c r="AW247" s="192" t="n">
        <v>0</v>
      </c>
      <c r="AX247" s="192" t="n">
        <v>0</v>
      </c>
      <c r="AY247" s="192" t="n">
        <v>0</v>
      </c>
      <c r="BA247" s="192" t="n">
        <v>0</v>
      </c>
      <c r="BB247" s="192" t="n">
        <v>0</v>
      </c>
      <c r="BD247" s="192" t="n">
        <v>-0.054988713</v>
      </c>
      <c r="BE247" s="192" t="n">
        <v>0</v>
      </c>
      <c r="BF247" s="192" t="n">
        <v>-0.17</v>
      </c>
      <c r="BJ247" s="192" t="n">
        <v>0.56</v>
      </c>
    </row>
    <row r="248" customFormat="false" ht="12.75" hidden="false" customHeight="false" outlineLevel="0" collapsed="false">
      <c r="A248" s="194"/>
      <c r="B248" s="194" t="n">
        <v>4.406</v>
      </c>
      <c r="C248" s="200" t="n">
        <v>44166</v>
      </c>
      <c r="D248" s="194" t="n">
        <v>4.079</v>
      </c>
      <c r="E248" s="194" t="n">
        <v>0.15</v>
      </c>
      <c r="F248" s="194" t="n">
        <v>0.071941997725678</v>
      </c>
      <c r="V248" s="192" t="n">
        <v>0</v>
      </c>
      <c r="W248" s="196" t="n">
        <v>0.3075</v>
      </c>
      <c r="X248" s="196" t="n">
        <v>0.395</v>
      </c>
      <c r="Y248" s="196" t="n">
        <v>0</v>
      </c>
      <c r="Z248" s="196" t="n">
        <v>-0.0145</v>
      </c>
      <c r="AA248" s="196" t="n">
        <v>0.0015</v>
      </c>
      <c r="AB248" s="196" t="n">
        <v>-0.0135</v>
      </c>
      <c r="AC248" s="196" t="n">
        <v>0</v>
      </c>
      <c r="AD248" s="196" t="n">
        <v>0</v>
      </c>
      <c r="AE248" s="196" t="n">
        <v>0</v>
      </c>
      <c r="AF248" s="196" t="n">
        <v>0</v>
      </c>
      <c r="AG248" s="197" t="n">
        <v>0</v>
      </c>
      <c r="AH248" s="196" t="n">
        <v>0</v>
      </c>
      <c r="AI248" s="192" t="n">
        <v>0</v>
      </c>
      <c r="AK248" s="192" t="n">
        <v>0</v>
      </c>
      <c r="AL248" s="192" t="n">
        <v>0</v>
      </c>
      <c r="AM248" s="192" t="n">
        <v>1.31</v>
      </c>
      <c r="AN248" s="192" t="n">
        <v>-0.034951938</v>
      </c>
      <c r="AO248" s="192" t="n">
        <v>0</v>
      </c>
      <c r="AP248" s="192" t="n">
        <v>0</v>
      </c>
      <c r="AQ248" s="192" t="n">
        <v>0</v>
      </c>
      <c r="AS248" s="192" t="n">
        <v>0</v>
      </c>
      <c r="AT248" s="192" t="n">
        <v>0</v>
      </c>
      <c r="AU248" s="192" t="n">
        <v>0.33</v>
      </c>
      <c r="AV248" s="192" t="n">
        <v>0</v>
      </c>
      <c r="AW248" s="192" t="n">
        <v>0</v>
      </c>
      <c r="AX248" s="192" t="n">
        <v>0</v>
      </c>
      <c r="AY248" s="192" t="n">
        <v>0</v>
      </c>
      <c r="BA248" s="192" t="n">
        <v>0</v>
      </c>
      <c r="BB248" s="192" t="n">
        <v>0</v>
      </c>
      <c r="BD248" s="192" t="n">
        <v>-0.069951938</v>
      </c>
      <c r="BE248" s="192" t="n">
        <v>0</v>
      </c>
      <c r="BF248" s="192" t="n">
        <v>-0.17</v>
      </c>
      <c r="BJ248" s="192" t="n">
        <v>0.91</v>
      </c>
    </row>
    <row r="249" customFormat="false" ht="12.75" hidden="false" customHeight="false" outlineLevel="0" collapsed="false">
      <c r="A249" s="194"/>
      <c r="B249" s="194" t="n">
        <v>4.407</v>
      </c>
      <c r="C249" s="200" t="n">
        <v>44197</v>
      </c>
      <c r="D249" s="194" t="n">
        <v>4.5205</v>
      </c>
      <c r="E249" s="194" t="n">
        <v>0.15</v>
      </c>
      <c r="F249" s="194" t="n">
        <v>0.071936610045611</v>
      </c>
      <c r="V249" s="192" t="n">
        <v>0</v>
      </c>
      <c r="W249" s="196" t="n">
        <v>0.3125</v>
      </c>
      <c r="X249" s="196" t="n">
        <v>0.465</v>
      </c>
      <c r="Y249" s="196"/>
      <c r="Z249" s="196"/>
      <c r="AA249" s="196"/>
      <c r="AB249" s="196"/>
      <c r="AC249" s="196"/>
      <c r="AD249" s="196"/>
      <c r="AE249" s="196"/>
      <c r="AF249" s="196"/>
      <c r="AG249" s="197"/>
      <c r="AH249" s="196"/>
      <c r="AM249" s="192" t="n">
        <v>1.645</v>
      </c>
      <c r="AN249" s="192" t="n">
        <v>-0.029955184</v>
      </c>
      <c r="AO249" s="192" t="n">
        <v>0</v>
      </c>
      <c r="AP249" s="192" t="n">
        <v>0</v>
      </c>
      <c r="AQ249" s="192" t="n">
        <v>0</v>
      </c>
      <c r="AS249" s="192" t="n">
        <v>0</v>
      </c>
      <c r="AT249" s="192" t="n">
        <v>0</v>
      </c>
      <c r="AU249" s="192" t="n">
        <v>0.33</v>
      </c>
      <c r="AV249" s="192" t="n">
        <v>0</v>
      </c>
      <c r="AW249" s="192" t="n">
        <v>0</v>
      </c>
      <c r="AX249" s="192" t="n">
        <v>0</v>
      </c>
      <c r="BD249" s="192" t="n">
        <v>-0.064955184</v>
      </c>
      <c r="BF249" s="192" t="n">
        <v>-0.17</v>
      </c>
      <c r="BJ249" s="192" t="n">
        <v>1.235</v>
      </c>
    </row>
    <row r="250" customFormat="false" ht="12.75" hidden="false" customHeight="false" outlineLevel="0" collapsed="false">
      <c r="A250" s="194"/>
      <c r="B250" s="194" t="n">
        <v>4.434</v>
      </c>
      <c r="C250" s="200" t="n">
        <v>44228</v>
      </c>
      <c r="D250" s="194" t="n">
        <v>4.4305</v>
      </c>
      <c r="E250" s="194" t="n">
        <v>0.15</v>
      </c>
      <c r="F250" s="194" t="n">
        <v>0.071931222365553</v>
      </c>
      <c r="V250" s="192" t="n">
        <v>0</v>
      </c>
      <c r="W250" s="196" t="n">
        <v>0.3125</v>
      </c>
      <c r="X250" s="196" t="n">
        <v>0.435</v>
      </c>
      <c r="Y250" s="196"/>
      <c r="Z250" s="196"/>
      <c r="AA250" s="196"/>
      <c r="AB250" s="196"/>
      <c r="AC250" s="196"/>
      <c r="AD250" s="196"/>
      <c r="AE250" s="196"/>
      <c r="AF250" s="196"/>
      <c r="AG250" s="197"/>
      <c r="AH250" s="196"/>
      <c r="AM250" s="192" t="n">
        <v>1.595</v>
      </c>
      <c r="AN250" s="192" t="n">
        <v>-0.004957423</v>
      </c>
      <c r="AO250" s="192" t="n">
        <v>0</v>
      </c>
      <c r="AP250" s="192" t="n">
        <v>0</v>
      </c>
      <c r="AQ250" s="192" t="n">
        <v>0</v>
      </c>
      <c r="AS250" s="192" t="n">
        <v>0</v>
      </c>
      <c r="AT250" s="192" t="n">
        <v>0</v>
      </c>
      <c r="AU250" s="192" t="n">
        <v>0.33</v>
      </c>
      <c r="AV250" s="192" t="n">
        <v>0</v>
      </c>
      <c r="AW250" s="192" t="n">
        <v>0</v>
      </c>
      <c r="AX250" s="192" t="n">
        <v>0</v>
      </c>
      <c r="BD250" s="192" t="n">
        <v>-0.039957423</v>
      </c>
      <c r="BF250" s="192" t="n">
        <v>-0.17</v>
      </c>
      <c r="BJ250" s="192" t="n">
        <v>1.235</v>
      </c>
    </row>
    <row r="251" customFormat="false" ht="12.75" hidden="false" customHeight="false" outlineLevel="0" collapsed="false">
      <c r="A251" s="194"/>
      <c r="B251" s="194" t="n">
        <v>4.492</v>
      </c>
      <c r="C251" s="200" t="n">
        <v>44256</v>
      </c>
      <c r="D251" s="194" t="n">
        <v>4.3015</v>
      </c>
      <c r="E251" s="194" t="n">
        <v>0.15</v>
      </c>
      <c r="F251" s="194" t="n">
        <v>0.071926356073896</v>
      </c>
      <c r="V251" s="192" t="n">
        <v>0</v>
      </c>
      <c r="W251" s="196" t="n">
        <v>0.27</v>
      </c>
      <c r="X251" s="196" t="n">
        <v>0.39</v>
      </c>
      <c r="Y251" s="196"/>
      <c r="Z251" s="196"/>
      <c r="AA251" s="196"/>
      <c r="AB251" s="196"/>
      <c r="AC251" s="196"/>
      <c r="AD251" s="196"/>
      <c r="AE251" s="196"/>
      <c r="AF251" s="196"/>
      <c r="AG251" s="197"/>
      <c r="AH251" s="196"/>
      <c r="AM251" s="192" t="n">
        <v>0.965</v>
      </c>
      <c r="AN251" s="192" t="n">
        <v>0.005042577</v>
      </c>
      <c r="AO251" s="192" t="n">
        <v>0</v>
      </c>
      <c r="AP251" s="192" t="n">
        <v>0</v>
      </c>
      <c r="AQ251" s="192" t="n">
        <v>0</v>
      </c>
      <c r="AS251" s="192" t="n">
        <v>0</v>
      </c>
      <c r="AT251" s="192" t="n">
        <v>0</v>
      </c>
      <c r="AU251" s="192" t="n">
        <v>0.33</v>
      </c>
      <c r="AV251" s="192" t="n">
        <v>0</v>
      </c>
      <c r="AW251" s="192" t="n">
        <v>0</v>
      </c>
      <c r="AX251" s="192" t="n">
        <v>0</v>
      </c>
      <c r="BD251" s="192" t="n">
        <v>-0.029957423</v>
      </c>
      <c r="BF251" s="192" t="n">
        <v>-0.17</v>
      </c>
      <c r="BJ251" s="192" t="n">
        <v>0.875</v>
      </c>
    </row>
    <row r="252" customFormat="false" ht="12.75" hidden="false" customHeight="false" outlineLevel="0" collapsed="false">
      <c r="A252" s="194"/>
      <c r="B252" s="194" t="n">
        <v>4.754</v>
      </c>
      <c r="C252" s="200" t="n">
        <v>44287</v>
      </c>
      <c r="D252" s="194" t="n">
        <v>4.1655</v>
      </c>
      <c r="E252" s="194" t="n">
        <v>0.15</v>
      </c>
      <c r="F252" s="194" t="n">
        <v>0.071920968393856</v>
      </c>
      <c r="V252" s="192" t="n">
        <v>0</v>
      </c>
      <c r="W252" s="196" t="n">
        <v>0.205</v>
      </c>
      <c r="X252" s="196" t="n">
        <v>0.25</v>
      </c>
      <c r="Y252" s="196"/>
      <c r="Z252" s="196"/>
      <c r="AA252" s="196"/>
      <c r="AB252" s="196"/>
      <c r="AC252" s="196"/>
      <c r="AD252" s="196"/>
      <c r="AE252" s="196"/>
      <c r="AF252" s="196"/>
      <c r="AG252" s="197"/>
      <c r="AH252" s="196"/>
      <c r="AM252" s="192" t="n">
        <v>0.45</v>
      </c>
      <c r="AN252" s="192" t="n">
        <v>0.064976639</v>
      </c>
      <c r="AO252" s="192" t="n">
        <v>0</v>
      </c>
      <c r="AP252" s="192" t="n">
        <v>0</v>
      </c>
      <c r="AQ252" s="192" t="n">
        <v>0</v>
      </c>
      <c r="AS252" s="192" t="n">
        <v>0</v>
      </c>
      <c r="AT252" s="192" t="n">
        <v>0</v>
      </c>
      <c r="AU252" s="192" t="n">
        <v>0.33</v>
      </c>
      <c r="AV252" s="192" t="n">
        <v>0</v>
      </c>
      <c r="AW252" s="192" t="n">
        <v>0</v>
      </c>
      <c r="AX252" s="192" t="n">
        <v>0</v>
      </c>
      <c r="BD252" s="192" t="n">
        <v>0.029976639</v>
      </c>
      <c r="BF252" s="192" t="n">
        <v>-0.17</v>
      </c>
      <c r="BJ252" s="192" t="n">
        <v>0.365</v>
      </c>
    </row>
    <row r="253" customFormat="false" ht="12.75" hidden="false" customHeight="false" outlineLevel="0" collapsed="false">
      <c r="A253" s="194"/>
      <c r="B253" s="194" t="n">
        <v>4.699</v>
      </c>
      <c r="C253" s="200" t="n">
        <v>44317</v>
      </c>
      <c r="D253" s="194" t="n">
        <v>4.1335</v>
      </c>
      <c r="E253" s="194" t="n">
        <v>0.15</v>
      </c>
      <c r="F253" s="194" t="n">
        <v>0.071915754509956</v>
      </c>
      <c r="V253" s="192" t="n">
        <v>0</v>
      </c>
      <c r="W253" s="196" t="n">
        <v>0.1925</v>
      </c>
      <c r="X253" s="196" t="n">
        <v>0.2025</v>
      </c>
      <c r="Y253" s="196"/>
      <c r="Z253" s="196"/>
      <c r="AA253" s="196"/>
      <c r="AB253" s="196"/>
      <c r="AC253" s="196"/>
      <c r="AD253" s="196"/>
      <c r="AE253" s="196"/>
      <c r="AF253" s="196"/>
      <c r="AG253" s="197"/>
      <c r="AH253" s="196"/>
      <c r="AM253" s="192" t="n">
        <v>0.405</v>
      </c>
      <c r="AN253" s="192" t="n">
        <v>0.064968124</v>
      </c>
      <c r="AO253" s="192" t="n">
        <v>0</v>
      </c>
      <c r="AP253" s="192" t="n">
        <v>0</v>
      </c>
      <c r="AQ253" s="192" t="n">
        <v>0</v>
      </c>
      <c r="AS253" s="192" t="n">
        <v>0</v>
      </c>
      <c r="AT253" s="192" t="n">
        <v>0</v>
      </c>
      <c r="AU253" s="192" t="n">
        <v>0.33</v>
      </c>
      <c r="AV253" s="192" t="n">
        <v>0</v>
      </c>
      <c r="AW253" s="192" t="n">
        <v>0</v>
      </c>
      <c r="AX253" s="192" t="n">
        <v>0</v>
      </c>
      <c r="BD253" s="192" t="n">
        <v>0.029968124</v>
      </c>
      <c r="BF253" s="192" t="n">
        <v>-0.17</v>
      </c>
      <c r="BJ253" s="192" t="n">
        <v>0.2975</v>
      </c>
    </row>
    <row r="254" customFormat="false" ht="12.75" hidden="false" customHeight="false" outlineLevel="0" collapsed="false">
      <c r="A254" s="194"/>
      <c r="B254" s="194" t="n">
        <v>4.595</v>
      </c>
      <c r="C254" s="200" t="n">
        <v>44348</v>
      </c>
      <c r="D254" s="194" t="n">
        <v>4.1595</v>
      </c>
      <c r="E254" s="194" t="n">
        <v>0.15</v>
      </c>
      <c r="F254" s="194" t="n">
        <v>0.071910366829935</v>
      </c>
      <c r="V254" s="192" t="n">
        <v>0</v>
      </c>
      <c r="W254" s="196" t="n">
        <v>0.1925</v>
      </c>
      <c r="X254" s="196" t="n">
        <v>0.2025</v>
      </c>
      <c r="Y254" s="196"/>
      <c r="Z254" s="196"/>
      <c r="AA254" s="196"/>
      <c r="AB254" s="196"/>
      <c r="AC254" s="196"/>
      <c r="AD254" s="196"/>
      <c r="AE254" s="196"/>
      <c r="AF254" s="196"/>
      <c r="AG254" s="197"/>
      <c r="AH254" s="196"/>
      <c r="AM254" s="192" t="n">
        <v>0.395</v>
      </c>
      <c r="AN254" s="192" t="n">
        <v>0.064968124</v>
      </c>
      <c r="AO254" s="192" t="n">
        <v>0</v>
      </c>
      <c r="AP254" s="192" t="n">
        <v>0</v>
      </c>
      <c r="AQ254" s="192" t="n">
        <v>0</v>
      </c>
      <c r="AS254" s="192" t="n">
        <v>0</v>
      </c>
      <c r="AT254" s="192" t="n">
        <v>0</v>
      </c>
      <c r="AU254" s="192" t="n">
        <v>0.33</v>
      </c>
      <c r="AV254" s="192" t="n">
        <v>0</v>
      </c>
      <c r="AW254" s="192" t="n">
        <v>0</v>
      </c>
      <c r="AX254" s="192" t="n">
        <v>0</v>
      </c>
      <c r="BD254" s="192" t="n">
        <v>0.029968124</v>
      </c>
      <c r="BF254" s="192" t="n">
        <v>-0.17</v>
      </c>
      <c r="BJ254" s="192" t="n">
        <v>0.2975</v>
      </c>
    </row>
    <row r="255" customFormat="false" ht="12.75" hidden="false" customHeight="false" outlineLevel="0" collapsed="false">
      <c r="A255" s="194"/>
      <c r="B255" s="194" t="n">
        <v>4.494</v>
      </c>
      <c r="C255" s="200" t="n">
        <v>44378</v>
      </c>
      <c r="D255" s="194" t="n">
        <v>4.1675</v>
      </c>
      <c r="E255" s="194" t="n">
        <v>0.15</v>
      </c>
      <c r="F255" s="194" t="n">
        <v>0.071905152946053</v>
      </c>
      <c r="V255" s="192" t="n">
        <v>0</v>
      </c>
      <c r="W255" s="196" t="n">
        <v>0.1925</v>
      </c>
      <c r="X255" s="196" t="n">
        <v>0.215</v>
      </c>
      <c r="Y255" s="196"/>
      <c r="Z255" s="196"/>
      <c r="AA255" s="196"/>
      <c r="AB255" s="196"/>
      <c r="AC255" s="196"/>
      <c r="AD255" s="196"/>
      <c r="AE255" s="196"/>
      <c r="AF255" s="196"/>
      <c r="AG255" s="197"/>
      <c r="AH255" s="196"/>
      <c r="AM255" s="192" t="n">
        <v>0.43</v>
      </c>
      <c r="AN255" s="192" t="n">
        <v>0.064968124</v>
      </c>
      <c r="AO255" s="192" t="n">
        <v>0</v>
      </c>
      <c r="AP255" s="192" t="n">
        <v>0</v>
      </c>
      <c r="AQ255" s="192" t="n">
        <v>0</v>
      </c>
      <c r="AS255" s="192" t="n">
        <v>0</v>
      </c>
      <c r="AT255" s="192" t="n">
        <v>0</v>
      </c>
      <c r="AU255" s="192" t="n">
        <v>0.33</v>
      </c>
      <c r="AV255" s="192" t="n">
        <v>0</v>
      </c>
      <c r="AW255" s="192" t="n">
        <v>0</v>
      </c>
      <c r="AX255" s="192" t="n">
        <v>0</v>
      </c>
      <c r="BD255" s="192" t="n">
        <v>0.029968124</v>
      </c>
      <c r="BF255" s="192" t="n">
        <v>-0.17</v>
      </c>
      <c r="BJ255" s="192" t="n">
        <v>0.31</v>
      </c>
    </row>
    <row r="256" customFormat="false" ht="12.75" hidden="false" customHeight="false" outlineLevel="0" collapsed="false">
      <c r="A256" s="194"/>
      <c r="B256" s="194" t="n">
        <v>4.484</v>
      </c>
      <c r="C256" s="200" t="n">
        <v>44409</v>
      </c>
      <c r="D256" s="194" t="n">
        <v>4.1745</v>
      </c>
      <c r="E256" s="194" t="n">
        <v>0.15</v>
      </c>
      <c r="F256" s="194" t="n">
        <v>0.071899765266051</v>
      </c>
      <c r="V256" s="192" t="n">
        <v>0</v>
      </c>
      <c r="W256" s="196" t="n">
        <v>0.1925</v>
      </c>
      <c r="X256" s="196" t="n">
        <v>0.215</v>
      </c>
      <c r="Y256" s="196"/>
      <c r="Z256" s="196"/>
      <c r="AA256" s="196"/>
      <c r="AB256" s="196"/>
      <c r="AC256" s="196"/>
      <c r="AD256" s="196"/>
      <c r="AE256" s="196"/>
      <c r="AF256" s="196"/>
      <c r="AG256" s="197"/>
      <c r="AH256" s="196"/>
      <c r="AM256" s="192" t="n">
        <v>0.495</v>
      </c>
      <c r="AN256" s="192" t="n">
        <v>0.064968124</v>
      </c>
      <c r="AO256" s="192" t="n">
        <v>0</v>
      </c>
      <c r="AP256" s="192" t="n">
        <v>0</v>
      </c>
      <c r="AQ256" s="192" t="n">
        <v>0</v>
      </c>
      <c r="AS256" s="192" t="n">
        <v>0</v>
      </c>
      <c r="AT256" s="192" t="n">
        <v>0</v>
      </c>
      <c r="AU256" s="192" t="n">
        <v>0.33</v>
      </c>
      <c r="AV256" s="192" t="n">
        <v>0</v>
      </c>
      <c r="AW256" s="192" t="n">
        <v>0</v>
      </c>
      <c r="AX256" s="192" t="n">
        <v>0</v>
      </c>
      <c r="BD256" s="192" t="n">
        <v>0.029968124</v>
      </c>
      <c r="BF256" s="192" t="n">
        <v>-0.17</v>
      </c>
      <c r="BJ256" s="192" t="n">
        <v>0.31</v>
      </c>
    </row>
    <row r="257" customFormat="false" ht="12.75" hidden="false" customHeight="false" outlineLevel="0" collapsed="false">
      <c r="A257" s="194"/>
      <c r="B257" s="194" t="n">
        <v>4.482</v>
      </c>
      <c r="C257" s="200" t="n">
        <v>44440</v>
      </c>
      <c r="D257" s="194" t="n">
        <v>4.1465</v>
      </c>
      <c r="E257" s="194" t="n">
        <v>0.15</v>
      </c>
      <c r="F257" s="194" t="n">
        <v>0.071894377586058</v>
      </c>
      <c r="V257" s="192" t="n">
        <v>0</v>
      </c>
      <c r="W257" s="196" t="n">
        <v>0.1925</v>
      </c>
      <c r="X257" s="196" t="n">
        <v>0.195</v>
      </c>
      <c r="Y257" s="196"/>
      <c r="Z257" s="196"/>
      <c r="AA257" s="196"/>
      <c r="AB257" s="196"/>
      <c r="AC257" s="196"/>
      <c r="AD257" s="196"/>
      <c r="AE257" s="196"/>
      <c r="AF257" s="196"/>
      <c r="AG257" s="197"/>
      <c r="AH257" s="196"/>
      <c r="AM257" s="192" t="n">
        <v>0.395</v>
      </c>
      <c r="AN257" s="192" t="n">
        <v>0.064968124</v>
      </c>
      <c r="AO257" s="192" t="n">
        <v>0</v>
      </c>
      <c r="AP257" s="192" t="n">
        <v>0</v>
      </c>
      <c r="AQ257" s="192" t="n">
        <v>0</v>
      </c>
      <c r="AS257" s="192" t="n">
        <v>0</v>
      </c>
      <c r="AT257" s="192" t="n">
        <v>0</v>
      </c>
      <c r="AU257" s="192" t="n">
        <v>0.33</v>
      </c>
      <c r="AV257" s="192" t="n">
        <v>0</v>
      </c>
      <c r="AW257" s="192" t="n">
        <v>0</v>
      </c>
      <c r="AX257" s="192" t="n">
        <v>0</v>
      </c>
      <c r="BD257" s="192" t="n">
        <v>0.029968124</v>
      </c>
      <c r="BF257" s="192" t="n">
        <v>-0.17</v>
      </c>
      <c r="BJ257" s="192" t="n">
        <v>0.3</v>
      </c>
    </row>
    <row r="258" customFormat="false" ht="12.75" hidden="false" customHeight="false" outlineLevel="0" collapsed="false">
      <c r="A258" s="194"/>
      <c r="B258" s="194" t="n">
        <v>4.547</v>
      </c>
      <c r="C258" s="200" t="n">
        <v>44470</v>
      </c>
      <c r="D258" s="194" t="n">
        <v>4.1515</v>
      </c>
      <c r="E258" s="194" t="n">
        <v>0.15</v>
      </c>
      <c r="F258" s="194" t="n">
        <v>0.071889163702204</v>
      </c>
      <c r="V258" s="192" t="n">
        <v>0</v>
      </c>
      <c r="W258" s="196" t="n">
        <v>0.1975</v>
      </c>
      <c r="X258" s="196" t="n">
        <v>0.215</v>
      </c>
      <c r="Y258" s="196"/>
      <c r="Z258" s="196"/>
      <c r="AA258" s="196"/>
      <c r="AB258" s="196"/>
      <c r="AC258" s="196"/>
      <c r="AD258" s="196"/>
      <c r="AE258" s="196"/>
      <c r="AF258" s="196"/>
      <c r="AG258" s="197"/>
      <c r="AH258" s="196"/>
      <c r="AM258" s="192" t="n">
        <v>0.461</v>
      </c>
      <c r="AN258" s="192" t="n">
        <v>0.064968124</v>
      </c>
      <c r="AO258" s="192" t="n">
        <v>0</v>
      </c>
      <c r="AP258" s="192" t="n">
        <v>0</v>
      </c>
      <c r="AQ258" s="192" t="n">
        <v>0</v>
      </c>
      <c r="AS258" s="192" t="n">
        <v>0</v>
      </c>
      <c r="AT258" s="192" t="n">
        <v>0</v>
      </c>
      <c r="AU258" s="192" t="n">
        <v>0.33</v>
      </c>
      <c r="AV258" s="192" t="n">
        <v>0</v>
      </c>
      <c r="AW258" s="192" t="n">
        <v>0</v>
      </c>
      <c r="AX258" s="192" t="n">
        <v>0</v>
      </c>
      <c r="BD258" s="192" t="n">
        <v>0.029968124</v>
      </c>
      <c r="BF258" s="192" t="n">
        <v>-0.17</v>
      </c>
      <c r="BJ258" s="192" t="n">
        <v>0.37253</v>
      </c>
    </row>
    <row r="259" customFormat="false" ht="12.75" hidden="false" customHeight="false" outlineLevel="0" collapsed="false">
      <c r="A259" s="194"/>
      <c r="B259" s="194" t="n">
        <v>4.542</v>
      </c>
      <c r="C259" s="200" t="n">
        <v>44501</v>
      </c>
      <c r="D259" s="194" t="n">
        <v>4.1535</v>
      </c>
      <c r="E259" s="194" t="n">
        <v>0.15</v>
      </c>
      <c r="F259" s="194" t="n">
        <v>0.071883776022231</v>
      </c>
      <c r="V259" s="192" t="n">
        <v>0</v>
      </c>
      <c r="W259" s="196" t="n">
        <v>0.2725</v>
      </c>
      <c r="X259" s="196" t="n">
        <v>0.315</v>
      </c>
      <c r="Y259" s="196"/>
      <c r="Z259" s="196"/>
      <c r="AA259" s="196"/>
      <c r="AB259" s="196"/>
      <c r="AC259" s="196"/>
      <c r="AD259" s="196"/>
      <c r="AE259" s="196"/>
      <c r="AF259" s="196"/>
      <c r="AG259" s="197"/>
      <c r="AH259" s="196"/>
      <c r="AM259" s="192" t="n">
        <v>0.885</v>
      </c>
      <c r="AN259" s="192" t="n">
        <v>-0.014988713</v>
      </c>
      <c r="AO259" s="192" t="n">
        <v>0</v>
      </c>
      <c r="AP259" s="192" t="n">
        <v>0</v>
      </c>
      <c r="AQ259" s="192" t="n">
        <v>0</v>
      </c>
      <c r="AS259" s="192" t="n">
        <v>0</v>
      </c>
      <c r="AT259" s="192" t="n">
        <v>0</v>
      </c>
      <c r="AU259" s="192" t="n">
        <v>0</v>
      </c>
      <c r="AV259" s="192" t="n">
        <v>0</v>
      </c>
      <c r="AW259" s="192" t="n">
        <v>0</v>
      </c>
      <c r="AX259" s="192" t="n">
        <v>0</v>
      </c>
      <c r="BD259" s="192" t="n">
        <v>-0.049988713</v>
      </c>
      <c r="BF259" s="192" t="n">
        <v>-0.17</v>
      </c>
      <c r="BJ259" s="192" t="n">
        <v>0.56</v>
      </c>
    </row>
    <row r="260" customFormat="false" ht="12.75" hidden="false" customHeight="false" outlineLevel="0" collapsed="false">
      <c r="A260" s="194"/>
      <c r="B260" s="194" t="n">
        <v>4.514</v>
      </c>
      <c r="C260" s="200" t="n">
        <v>44531</v>
      </c>
      <c r="D260" s="194" t="n">
        <v>4.1755</v>
      </c>
      <c r="E260" s="194" t="n">
        <v>0.15</v>
      </c>
      <c r="F260" s="194" t="n">
        <v>0.071878562138394</v>
      </c>
      <c r="V260" s="192" t="n">
        <v>0</v>
      </c>
      <c r="W260" s="196" t="n">
        <v>0.3075</v>
      </c>
      <c r="X260" s="196" t="n">
        <v>0.395</v>
      </c>
      <c r="Y260" s="196"/>
      <c r="Z260" s="196"/>
      <c r="AA260" s="196"/>
      <c r="AB260" s="196"/>
      <c r="AC260" s="196"/>
      <c r="AD260" s="196"/>
      <c r="AE260" s="196"/>
      <c r="AF260" s="196"/>
      <c r="AG260" s="197"/>
      <c r="AH260" s="196"/>
      <c r="AM260" s="192" t="n">
        <v>1.31</v>
      </c>
      <c r="AN260" s="192" t="n">
        <v>-0.029951938</v>
      </c>
      <c r="AO260" s="192" t="n">
        <v>0</v>
      </c>
      <c r="AP260" s="192" t="n">
        <v>0</v>
      </c>
      <c r="AQ260" s="192" t="n">
        <v>0</v>
      </c>
      <c r="AS260" s="192" t="n">
        <v>0</v>
      </c>
      <c r="AT260" s="192" t="n">
        <v>0</v>
      </c>
      <c r="AU260" s="192" t="n">
        <v>0</v>
      </c>
      <c r="AV260" s="192" t="n">
        <v>0</v>
      </c>
      <c r="AW260" s="192" t="n">
        <v>0</v>
      </c>
      <c r="AX260" s="192" t="n">
        <v>0</v>
      </c>
      <c r="BD260" s="192" t="n">
        <v>-0.064951938</v>
      </c>
      <c r="BF260" s="192" t="n">
        <v>-0.17</v>
      </c>
      <c r="BJ260" s="192" t="n">
        <v>0.91</v>
      </c>
    </row>
    <row r="261" customFormat="false" ht="12.75" hidden="false" customHeight="false" outlineLevel="0" collapsed="false">
      <c r="A261" s="194"/>
      <c r="B261" s="194" t="n">
        <v>4.514</v>
      </c>
      <c r="C261" s="200" t="n">
        <v>44562</v>
      </c>
      <c r="D261" s="194" t="n">
        <v>4.6175</v>
      </c>
      <c r="E261" s="194" t="n">
        <v>0.15</v>
      </c>
      <c r="F261" s="194" t="n">
        <v>0.07187317445844</v>
      </c>
      <c r="V261" s="192" t="n">
        <v>0</v>
      </c>
      <c r="W261" s="196" t="n">
        <v>0.3125</v>
      </c>
      <c r="X261" s="196" t="n">
        <v>0.465</v>
      </c>
      <c r="Y261" s="196"/>
      <c r="Z261" s="196"/>
      <c r="AA261" s="196"/>
      <c r="AB261" s="196"/>
      <c r="AC261" s="196"/>
      <c r="AD261" s="196"/>
      <c r="AE261" s="196"/>
      <c r="AF261" s="196"/>
      <c r="AG261" s="197"/>
      <c r="AH261" s="196"/>
      <c r="AM261" s="192" t="n">
        <v>1.645</v>
      </c>
      <c r="AN261" s="192" t="n">
        <v>-0.024955184</v>
      </c>
      <c r="AO261" s="192" t="n">
        <v>0</v>
      </c>
      <c r="AP261" s="192" t="n">
        <v>0</v>
      </c>
      <c r="AQ261" s="192" t="n">
        <v>0</v>
      </c>
      <c r="AS261" s="192" t="n">
        <v>0</v>
      </c>
      <c r="AT261" s="192" t="n">
        <v>0</v>
      </c>
      <c r="AU261" s="192" t="n">
        <v>0</v>
      </c>
      <c r="AV261" s="192" t="n">
        <v>0</v>
      </c>
      <c r="AW261" s="192" t="n">
        <v>0</v>
      </c>
      <c r="AX261" s="192" t="n">
        <v>0</v>
      </c>
      <c r="BD261" s="192" t="n">
        <v>-0.059955184</v>
      </c>
      <c r="BF261" s="192" t="n">
        <v>-0.17</v>
      </c>
      <c r="BJ261" s="192" t="n">
        <v>1.235</v>
      </c>
    </row>
    <row r="262" customFormat="false" ht="12.75" hidden="false" customHeight="false" outlineLevel="0" collapsed="false">
      <c r="A262" s="194"/>
      <c r="B262" s="194" t="n">
        <v>4.536</v>
      </c>
      <c r="C262" s="200" t="n">
        <v>44593</v>
      </c>
      <c r="D262" s="194" t="n">
        <v>4.5315</v>
      </c>
      <c r="E262" s="194" t="n">
        <v>0.15</v>
      </c>
      <c r="F262" s="194" t="n">
        <v>0.071867786778494</v>
      </c>
      <c r="V262" s="192" t="n">
        <v>0</v>
      </c>
      <c r="W262" s="196" t="n">
        <v>0.3125</v>
      </c>
      <c r="X262" s="196" t="n">
        <v>0.435</v>
      </c>
      <c r="Y262" s="196"/>
      <c r="Z262" s="196"/>
      <c r="AA262" s="196"/>
      <c r="AB262" s="196"/>
      <c r="AC262" s="196"/>
      <c r="AD262" s="196"/>
      <c r="AE262" s="196"/>
      <c r="AF262" s="196"/>
      <c r="AG262" s="197"/>
      <c r="AH262" s="196"/>
      <c r="AM262" s="192" t="n">
        <v>1.595</v>
      </c>
      <c r="AN262" s="192" t="n">
        <v>4.2577E-005</v>
      </c>
      <c r="AO262" s="192" t="n">
        <v>0</v>
      </c>
      <c r="AP262" s="192" t="n">
        <v>0</v>
      </c>
      <c r="AQ262" s="192" t="n">
        <v>0</v>
      </c>
      <c r="AS262" s="192" t="n">
        <v>0</v>
      </c>
      <c r="AT262" s="192" t="n">
        <v>0</v>
      </c>
      <c r="AU262" s="192" t="n">
        <v>0</v>
      </c>
      <c r="AV262" s="192" t="n">
        <v>0</v>
      </c>
      <c r="AW262" s="192" t="n">
        <v>0</v>
      </c>
      <c r="AX262" s="192" t="n">
        <v>0</v>
      </c>
      <c r="BD262" s="192" t="n">
        <v>-0.034957423</v>
      </c>
      <c r="BF262" s="192" t="n">
        <v>-0.17</v>
      </c>
      <c r="BJ262" s="192" t="n">
        <v>1.235</v>
      </c>
    </row>
    <row r="263" customFormat="false" ht="12.75" hidden="false" customHeight="false" outlineLevel="0" collapsed="false">
      <c r="A263" s="194"/>
      <c r="B263" s="194" t="n">
        <v>4.591</v>
      </c>
      <c r="C263" s="200" t="n">
        <v>44621</v>
      </c>
      <c r="D263" s="194" t="n">
        <v>4.4055</v>
      </c>
      <c r="E263" s="194" t="n">
        <v>0.15</v>
      </c>
      <c r="F263" s="194" t="n">
        <v>0.07186292048694</v>
      </c>
      <c r="V263" s="192" t="n">
        <v>0</v>
      </c>
      <c r="W263" s="196" t="n">
        <v>0.27</v>
      </c>
      <c r="X263" s="196" t="n">
        <v>0.39</v>
      </c>
      <c r="Y263" s="196"/>
      <c r="Z263" s="196"/>
      <c r="AA263" s="196"/>
      <c r="AB263" s="196"/>
      <c r="AC263" s="196"/>
      <c r="AD263" s="196"/>
      <c r="AE263" s="196"/>
      <c r="AF263" s="196"/>
      <c r="AG263" s="197"/>
      <c r="AH263" s="196"/>
      <c r="AM263" s="192" t="n">
        <v>0.965</v>
      </c>
      <c r="AN263" s="192" t="n">
        <v>0.010042577</v>
      </c>
      <c r="AO263" s="192" t="n">
        <v>0</v>
      </c>
      <c r="AP263" s="192" t="n">
        <v>0</v>
      </c>
      <c r="AQ263" s="192" t="n">
        <v>0</v>
      </c>
      <c r="AS263" s="192" t="n">
        <v>0</v>
      </c>
      <c r="AT263" s="192" t="n">
        <v>0</v>
      </c>
      <c r="AU263" s="192" t="n">
        <v>0</v>
      </c>
      <c r="AV263" s="192" t="n">
        <v>0</v>
      </c>
      <c r="AW263" s="192" t="n">
        <v>0</v>
      </c>
      <c r="AX263" s="192" t="n">
        <v>0</v>
      </c>
      <c r="BD263" s="192" t="n">
        <v>-0.024957423</v>
      </c>
      <c r="BF263" s="192" t="n">
        <v>-0.17</v>
      </c>
      <c r="BJ263" s="192" t="n">
        <v>0.875</v>
      </c>
    </row>
    <row r="264" customFormat="false" ht="12.75" hidden="false" customHeight="false" outlineLevel="0" collapsed="false">
      <c r="A264" s="194"/>
      <c r="B264" s="194" t="n">
        <v>4.851</v>
      </c>
      <c r="C264" s="200" t="n">
        <v>44652</v>
      </c>
      <c r="D264" s="194" t="n">
        <v>4.2725</v>
      </c>
      <c r="E264" s="194" t="n">
        <v>0.15</v>
      </c>
      <c r="F264" s="194" t="n">
        <v>0.071857532807013</v>
      </c>
      <c r="V264" s="192" t="n">
        <v>0</v>
      </c>
      <c r="W264" s="196" t="n">
        <v>0.205</v>
      </c>
      <c r="X264" s="196" t="n">
        <v>0.25</v>
      </c>
      <c r="Y264" s="196"/>
      <c r="Z264" s="196"/>
      <c r="AA264" s="196"/>
      <c r="AB264" s="196"/>
      <c r="AC264" s="196"/>
      <c r="AD264" s="196"/>
      <c r="AE264" s="196"/>
      <c r="AF264" s="196"/>
      <c r="AG264" s="197"/>
      <c r="AH264" s="196"/>
      <c r="AM264" s="192" t="n">
        <v>0.45</v>
      </c>
      <c r="AN264" s="192" t="n">
        <v>0.069976639</v>
      </c>
      <c r="AO264" s="192" t="n">
        <v>0</v>
      </c>
      <c r="AP264" s="192" t="n">
        <v>0</v>
      </c>
      <c r="AQ264" s="192" t="n">
        <v>0</v>
      </c>
      <c r="AS264" s="192" t="n">
        <v>0</v>
      </c>
      <c r="AT264" s="192" t="n">
        <v>0</v>
      </c>
      <c r="AU264" s="192" t="n">
        <v>0</v>
      </c>
      <c r="AV264" s="192" t="n">
        <v>0</v>
      </c>
      <c r="AW264" s="192" t="n">
        <v>0</v>
      </c>
      <c r="AX264" s="192" t="n">
        <v>0</v>
      </c>
      <c r="BD264" s="192" t="n">
        <v>0.034976639</v>
      </c>
      <c r="BF264" s="192" t="n">
        <v>-0.17</v>
      </c>
      <c r="BJ264" s="192" t="n">
        <v>0.365</v>
      </c>
    </row>
    <row r="265" customFormat="false" ht="12.75" hidden="false" customHeight="false" outlineLevel="0" collapsed="false">
      <c r="A265" s="194"/>
      <c r="B265" s="194" t="n">
        <v>4.8</v>
      </c>
      <c r="C265" s="200" t="n">
        <v>44682</v>
      </c>
      <c r="D265" s="194" t="n">
        <v>4.2415</v>
      </c>
      <c r="E265" s="194" t="n">
        <v>0.15</v>
      </c>
      <c r="F265" s="194" t="n">
        <v>0.071852318923222</v>
      </c>
      <c r="V265" s="192" t="n">
        <v>0</v>
      </c>
      <c r="W265" s="196" t="n">
        <v>0.1925</v>
      </c>
      <c r="X265" s="196" t="n">
        <v>0.2025</v>
      </c>
      <c r="Y265" s="196"/>
      <c r="Z265" s="196"/>
      <c r="AA265" s="196"/>
      <c r="AB265" s="196"/>
      <c r="AC265" s="196"/>
      <c r="AD265" s="196"/>
      <c r="AE265" s="196"/>
      <c r="AF265" s="196"/>
      <c r="AG265" s="197"/>
      <c r="AH265" s="196"/>
      <c r="AM265" s="192" t="n">
        <v>0.405</v>
      </c>
      <c r="AN265" s="192" t="n">
        <v>0.069968124</v>
      </c>
      <c r="AO265" s="192" t="n">
        <v>0</v>
      </c>
      <c r="AP265" s="192" t="n">
        <v>0</v>
      </c>
      <c r="AQ265" s="192" t="n">
        <v>0</v>
      </c>
      <c r="AS265" s="192" t="n">
        <v>0</v>
      </c>
      <c r="AT265" s="192" t="n">
        <v>0</v>
      </c>
      <c r="AU265" s="192" t="n">
        <v>0</v>
      </c>
      <c r="AV265" s="192" t="n">
        <v>0</v>
      </c>
      <c r="AW265" s="192" t="n">
        <v>0</v>
      </c>
      <c r="AX265" s="192" t="n">
        <v>0</v>
      </c>
      <c r="BD265" s="192" t="n">
        <v>0.034968124</v>
      </c>
      <c r="BF265" s="192" t="n">
        <v>-0.17</v>
      </c>
      <c r="BJ265" s="192" t="n">
        <v>0.2975</v>
      </c>
    </row>
    <row r="266" customFormat="false" ht="12.75" hidden="false" customHeight="false" outlineLevel="0" collapsed="false">
      <c r="A266" s="194"/>
      <c r="B266" s="194" t="n">
        <v>4.699</v>
      </c>
      <c r="C266" s="200" t="n">
        <v>44713</v>
      </c>
      <c r="D266" s="194" t="n">
        <v>4.2685</v>
      </c>
      <c r="E266" s="194" t="n">
        <v>0.15</v>
      </c>
      <c r="F266" s="194" t="n">
        <v>0.071846931243314</v>
      </c>
      <c r="V266" s="192" t="n">
        <v>0</v>
      </c>
      <c r="W266" s="196" t="n">
        <v>0.1925</v>
      </c>
      <c r="X266" s="196" t="n">
        <v>0.2025</v>
      </c>
      <c r="Y266" s="196"/>
      <c r="Z266" s="196"/>
      <c r="AA266" s="196"/>
      <c r="AB266" s="196"/>
      <c r="AC266" s="196"/>
      <c r="AD266" s="196"/>
      <c r="AE266" s="196"/>
      <c r="AF266" s="196"/>
      <c r="AG266" s="197"/>
      <c r="AH266" s="196"/>
      <c r="AM266" s="192" t="n">
        <v>0.395</v>
      </c>
      <c r="AN266" s="192" t="n">
        <v>0.069968124</v>
      </c>
      <c r="AO266" s="192" t="n">
        <v>0</v>
      </c>
      <c r="AP266" s="192" t="n">
        <v>0</v>
      </c>
      <c r="AQ266" s="192" t="n">
        <v>0</v>
      </c>
      <c r="AS266" s="192" t="n">
        <v>0</v>
      </c>
      <c r="AT266" s="192" t="n">
        <v>0</v>
      </c>
      <c r="AU266" s="192" t="n">
        <v>0</v>
      </c>
      <c r="AV266" s="192" t="n">
        <v>0</v>
      </c>
      <c r="AW266" s="192" t="n">
        <v>0</v>
      </c>
      <c r="AX266" s="192" t="n">
        <v>0</v>
      </c>
      <c r="BD266" s="192" t="n">
        <v>0.034968124</v>
      </c>
      <c r="BF266" s="192" t="n">
        <v>-0.17</v>
      </c>
      <c r="BJ266" s="192" t="n">
        <v>0.2975</v>
      </c>
    </row>
    <row r="267" customFormat="false" ht="12.75" hidden="false" customHeight="false" outlineLevel="0" collapsed="false">
      <c r="A267" s="194"/>
      <c r="B267" s="194" t="n">
        <v>4.601</v>
      </c>
      <c r="C267" s="200" t="n">
        <v>44743</v>
      </c>
      <c r="D267" s="194" t="n">
        <v>4.2765</v>
      </c>
      <c r="E267" s="194" t="n">
        <v>0.15</v>
      </c>
      <c r="F267" s="194" t="n">
        <v>0.071841717359541</v>
      </c>
      <c r="V267" s="192" t="n">
        <v>0</v>
      </c>
      <c r="W267" s="196" t="n">
        <v>0.1925</v>
      </c>
      <c r="X267" s="196" t="n">
        <v>0.215</v>
      </c>
      <c r="Y267" s="196"/>
      <c r="Z267" s="196"/>
      <c r="AA267" s="196"/>
      <c r="AB267" s="196"/>
      <c r="AC267" s="196"/>
      <c r="AD267" s="196"/>
      <c r="AE267" s="196"/>
      <c r="AF267" s="196"/>
      <c r="AG267" s="197"/>
      <c r="AH267" s="196"/>
      <c r="AM267" s="192" t="n">
        <v>0.43</v>
      </c>
      <c r="AN267" s="192" t="n">
        <v>0.069968124</v>
      </c>
      <c r="AO267" s="192" t="n">
        <v>0</v>
      </c>
      <c r="AP267" s="192" t="n">
        <v>0</v>
      </c>
      <c r="AQ267" s="192" t="n">
        <v>0</v>
      </c>
      <c r="AS267" s="192" t="n">
        <v>0</v>
      </c>
      <c r="AT267" s="192" t="n">
        <v>0</v>
      </c>
      <c r="AU267" s="192" t="n">
        <v>0</v>
      </c>
      <c r="AV267" s="192" t="n">
        <v>0</v>
      </c>
      <c r="AW267" s="192" t="n">
        <v>0</v>
      </c>
      <c r="AX267" s="192" t="n">
        <v>0</v>
      </c>
      <c r="BD267" s="192" t="n">
        <v>0.034968124</v>
      </c>
      <c r="BF267" s="192" t="n">
        <v>-0.17</v>
      </c>
      <c r="BJ267" s="192" t="n">
        <v>0.31</v>
      </c>
    </row>
    <row r="268" customFormat="false" ht="12.75" hidden="false" customHeight="false" outlineLevel="0" collapsed="false">
      <c r="A268" s="194"/>
      <c r="B268" s="194" t="n">
        <v>4.592</v>
      </c>
      <c r="C268" s="200" t="n">
        <v>44774</v>
      </c>
      <c r="D268" s="194" t="n">
        <v>4.2835</v>
      </c>
      <c r="E268" s="194" t="n">
        <v>0.15</v>
      </c>
      <c r="F268" s="194" t="n">
        <v>0.071836329679652</v>
      </c>
      <c r="V268" s="192" t="n">
        <v>0</v>
      </c>
      <c r="W268" s="196" t="n">
        <v>0.1925</v>
      </c>
      <c r="X268" s="196" t="n">
        <v>0.215</v>
      </c>
      <c r="Y268" s="196"/>
      <c r="Z268" s="196"/>
      <c r="AA268" s="196"/>
      <c r="AB268" s="196"/>
      <c r="AC268" s="196"/>
      <c r="AD268" s="196"/>
      <c r="AE268" s="196"/>
      <c r="AF268" s="196"/>
      <c r="AG268" s="197"/>
      <c r="AH268" s="196"/>
      <c r="AM268" s="192" t="n">
        <v>0.495</v>
      </c>
      <c r="AN268" s="192" t="n">
        <v>0.069968124</v>
      </c>
      <c r="AO268" s="192" t="n">
        <v>0</v>
      </c>
      <c r="AP268" s="192" t="n">
        <v>0</v>
      </c>
      <c r="AQ268" s="192" t="n">
        <v>0</v>
      </c>
      <c r="AS268" s="192" t="n">
        <v>0</v>
      </c>
      <c r="AT268" s="192" t="n">
        <v>0</v>
      </c>
      <c r="AU268" s="192" t="n">
        <v>0</v>
      </c>
      <c r="AV268" s="192" t="n">
        <v>0</v>
      </c>
      <c r="AW268" s="192" t="n">
        <v>0</v>
      </c>
      <c r="AX268" s="192" t="n">
        <v>0</v>
      </c>
      <c r="BD268" s="192" t="n">
        <v>0.034968124</v>
      </c>
      <c r="BF268" s="192" t="n">
        <v>-0.17</v>
      </c>
      <c r="BJ268" s="192" t="n">
        <v>0.31</v>
      </c>
    </row>
    <row r="269" customFormat="false" ht="12.75" hidden="false" customHeight="false" outlineLevel="0" collapsed="false">
      <c r="A269" s="194"/>
      <c r="B269" s="194" t="n">
        <v>4.591</v>
      </c>
      <c r="C269" s="200" t="n">
        <v>44805</v>
      </c>
      <c r="D269" s="194" t="n">
        <v>4.2545</v>
      </c>
      <c r="E269" s="194" t="n">
        <v>0.15</v>
      </c>
      <c r="F269" s="194" t="n">
        <v>0.071830941999773</v>
      </c>
      <c r="V269" s="192" t="n">
        <v>0</v>
      </c>
      <c r="W269" s="192" t="n">
        <v>0.1925</v>
      </c>
      <c r="X269" s="192" t="n">
        <v>0.195</v>
      </c>
      <c r="AG269" s="198"/>
      <c r="AM269" s="192" t="n">
        <v>0.395</v>
      </c>
      <c r="AN269" s="192" t="n">
        <v>0.069968124</v>
      </c>
      <c r="AO269" s="192" t="n">
        <v>0</v>
      </c>
      <c r="AP269" s="192" t="n">
        <v>0</v>
      </c>
      <c r="AQ269" s="192" t="n">
        <v>0</v>
      </c>
      <c r="AS269" s="192" t="n">
        <v>0</v>
      </c>
      <c r="AT269" s="192" t="n">
        <v>0</v>
      </c>
      <c r="AU269" s="192" t="n">
        <v>0</v>
      </c>
      <c r="AV269" s="192" t="n">
        <v>0</v>
      </c>
      <c r="AW269" s="192" t="n">
        <v>0</v>
      </c>
      <c r="AX269" s="192" t="n">
        <v>0</v>
      </c>
      <c r="BD269" s="192" t="n">
        <v>0.034968124</v>
      </c>
      <c r="BF269" s="192" t="n">
        <v>-0.17</v>
      </c>
      <c r="BJ269" s="192" t="n">
        <v>0.3</v>
      </c>
    </row>
    <row r="270" customFormat="false" ht="12.75" hidden="false" customHeight="false" outlineLevel="0" collapsed="false">
      <c r="A270" s="194"/>
      <c r="B270" s="194" t="n">
        <v>4.656</v>
      </c>
      <c r="C270" s="200" t="n">
        <v>44835</v>
      </c>
      <c r="D270" s="194" t="n">
        <v>4.2585</v>
      </c>
      <c r="E270" s="194" t="n">
        <v>0.15</v>
      </c>
      <c r="F270" s="194" t="n">
        <v>0.071825728116027</v>
      </c>
      <c r="V270" s="192" t="n">
        <v>0</v>
      </c>
      <c r="W270" s="192" t="n">
        <v>0.1975</v>
      </c>
      <c r="X270" s="192" t="n">
        <v>0.215</v>
      </c>
      <c r="AG270" s="198"/>
      <c r="AM270" s="192" t="n">
        <v>0.461</v>
      </c>
      <c r="AN270" s="192" t="n">
        <v>0.069968124</v>
      </c>
      <c r="AO270" s="192" t="n">
        <v>0</v>
      </c>
      <c r="AP270" s="192" t="n">
        <v>0</v>
      </c>
      <c r="AQ270" s="192" t="n">
        <v>0</v>
      </c>
      <c r="AS270" s="192" t="n">
        <v>0</v>
      </c>
      <c r="AT270" s="192" t="n">
        <v>0</v>
      </c>
      <c r="AU270" s="192" t="n">
        <v>0</v>
      </c>
      <c r="AV270" s="192" t="n">
        <v>0</v>
      </c>
      <c r="AW270" s="192" t="n">
        <v>0</v>
      </c>
      <c r="AX270" s="192" t="n">
        <v>0</v>
      </c>
      <c r="BD270" s="192" t="n">
        <v>0.034968124</v>
      </c>
      <c r="BF270" s="192" t="n">
        <v>-0.17</v>
      </c>
      <c r="BJ270" s="192" t="n">
        <v>0.37253</v>
      </c>
    </row>
    <row r="271" customFormat="false" ht="12.75" hidden="false" customHeight="false" outlineLevel="0" collapsed="false">
      <c r="A271" s="194"/>
      <c r="B271" s="194" t="n">
        <v>4.651</v>
      </c>
      <c r="C271" s="200" t="n">
        <v>44866</v>
      </c>
      <c r="D271" s="194" t="n">
        <v>4.2555</v>
      </c>
      <c r="E271" s="194" t="n">
        <v>0.15</v>
      </c>
      <c r="F271" s="194" t="n">
        <v>0.071820340436167</v>
      </c>
      <c r="V271" s="192" t="n">
        <v>0</v>
      </c>
      <c r="W271" s="192" t="n">
        <v>0.2725</v>
      </c>
      <c r="X271" s="192" t="n">
        <v>0.315</v>
      </c>
      <c r="AG271" s="198"/>
      <c r="AM271" s="192" t="n">
        <v>0.885</v>
      </c>
      <c r="AN271" s="192" t="n">
        <v>-0.009988713</v>
      </c>
      <c r="AO271" s="192" t="n">
        <v>0</v>
      </c>
      <c r="AP271" s="192" t="n">
        <v>0</v>
      </c>
      <c r="AQ271" s="192" t="n">
        <v>0</v>
      </c>
      <c r="AS271" s="192" t="n">
        <v>0</v>
      </c>
      <c r="AT271" s="192" t="n">
        <v>0</v>
      </c>
      <c r="AU271" s="192" t="n">
        <v>0</v>
      </c>
      <c r="AV271" s="192" t="n">
        <v>0</v>
      </c>
      <c r="AW271" s="192" t="n">
        <v>0</v>
      </c>
      <c r="AX271" s="192" t="n">
        <v>0</v>
      </c>
      <c r="BD271" s="192" t="n">
        <v>-0.044988713</v>
      </c>
      <c r="BF271" s="192" t="n">
        <v>-0.17</v>
      </c>
      <c r="BJ271" s="192" t="n">
        <v>0.56</v>
      </c>
    </row>
    <row r="272" customFormat="false" ht="12.75" hidden="false" customHeight="false" outlineLevel="0" collapsed="false">
      <c r="A272" s="194"/>
      <c r="B272" s="194" t="n">
        <v>4.622</v>
      </c>
      <c r="C272" s="200" t="n">
        <v>44896</v>
      </c>
      <c r="D272" s="194" t="n">
        <v>4.2745</v>
      </c>
      <c r="E272" s="194" t="n">
        <v>0.15</v>
      </c>
      <c r="F272" s="194" t="n">
        <v>0.07181512655244</v>
      </c>
      <c r="V272" s="192" t="n">
        <v>0</v>
      </c>
      <c r="W272" s="192" t="n">
        <v>0.3075</v>
      </c>
      <c r="X272" s="192" t="n">
        <v>0.395</v>
      </c>
      <c r="AG272" s="198"/>
      <c r="AM272" s="192" t="n">
        <v>1.31</v>
      </c>
      <c r="AN272" s="192" t="n">
        <v>-0.024951938</v>
      </c>
      <c r="AO272" s="192" t="n">
        <v>0</v>
      </c>
      <c r="AP272" s="192" t="n">
        <v>0</v>
      </c>
      <c r="AQ272" s="192" t="n">
        <v>0</v>
      </c>
      <c r="AS272" s="192" t="n">
        <v>0</v>
      </c>
      <c r="AT272" s="192" t="n">
        <v>0</v>
      </c>
      <c r="AU272" s="192" t="n">
        <v>0</v>
      </c>
      <c r="AV272" s="192" t="n">
        <v>0</v>
      </c>
      <c r="AW272" s="192" t="n">
        <v>0</v>
      </c>
      <c r="AX272" s="192" t="n">
        <v>0</v>
      </c>
      <c r="BD272" s="192" t="n">
        <v>-0.059951938</v>
      </c>
      <c r="BF272" s="192" t="n">
        <v>-0.17</v>
      </c>
      <c r="BJ272" s="192" t="n">
        <v>0.91</v>
      </c>
    </row>
    <row r="273" customFormat="false" ht="12.75" hidden="false" customHeight="false" outlineLevel="0" collapsed="false">
      <c r="A273" s="194"/>
      <c r="B273" s="194" t="n">
        <v>4.621</v>
      </c>
      <c r="C273" s="200" t="n">
        <v>44927</v>
      </c>
      <c r="D273" s="194" t="n">
        <v>4.717</v>
      </c>
      <c r="E273" s="194" t="n">
        <v>0.15</v>
      </c>
      <c r="F273" s="194" t="n">
        <v>0.071809738872598</v>
      </c>
      <c r="V273" s="192" t="n">
        <v>0</v>
      </c>
      <c r="W273" s="192" t="n">
        <v>0.3125</v>
      </c>
      <c r="X273" s="192" t="n">
        <v>0.465</v>
      </c>
      <c r="AG273" s="198"/>
      <c r="AM273" s="192" t="n">
        <v>1.645</v>
      </c>
      <c r="AN273" s="192" t="n">
        <v>-0.019955184</v>
      </c>
      <c r="AO273" s="192" t="n">
        <v>0</v>
      </c>
      <c r="AP273" s="192" t="n">
        <v>0</v>
      </c>
      <c r="AQ273" s="192" t="n">
        <v>0</v>
      </c>
      <c r="AS273" s="192" t="n">
        <v>0</v>
      </c>
      <c r="AT273" s="192" t="n">
        <v>0</v>
      </c>
      <c r="AU273" s="192" t="n">
        <v>0</v>
      </c>
      <c r="AV273" s="192" t="n">
        <v>0</v>
      </c>
      <c r="AW273" s="192" t="n">
        <v>0</v>
      </c>
      <c r="AX273" s="192" t="n">
        <v>0</v>
      </c>
      <c r="BD273" s="192" t="n">
        <v>-0.054955184</v>
      </c>
      <c r="BF273" s="192" t="n">
        <v>-0.17</v>
      </c>
      <c r="BJ273" s="192" t="n">
        <v>1.235</v>
      </c>
    </row>
    <row r="274" customFormat="false" ht="12.75" hidden="false" customHeight="false" outlineLevel="0" collapsed="false">
      <c r="A274" s="194"/>
      <c r="B274" s="194" t="n">
        <v>4.638</v>
      </c>
      <c r="C274" s="200" t="n">
        <v>44958</v>
      </c>
      <c r="D274" s="194" t="n">
        <v>4.635</v>
      </c>
      <c r="E274" s="194" t="n">
        <v>0.15</v>
      </c>
      <c r="F274" s="194" t="n">
        <v>0.071804351192766</v>
      </c>
      <c r="V274" s="192" t="n">
        <v>0</v>
      </c>
      <c r="W274" s="192" t="n">
        <v>0.3125</v>
      </c>
      <c r="X274" s="192" t="n">
        <v>0.435</v>
      </c>
      <c r="AM274" s="192" t="n">
        <v>1.595</v>
      </c>
      <c r="AN274" s="192" t="n">
        <v>0.005042577</v>
      </c>
      <c r="AO274" s="192" t="n">
        <v>0</v>
      </c>
      <c r="AP274" s="192" t="n">
        <v>0</v>
      </c>
      <c r="AQ274" s="192" t="n">
        <v>0</v>
      </c>
      <c r="AS274" s="192" t="n">
        <v>0</v>
      </c>
      <c r="AT274" s="192" t="n">
        <v>0</v>
      </c>
      <c r="AU274" s="192" t="n">
        <v>0</v>
      </c>
      <c r="AV274" s="192" t="n">
        <v>0</v>
      </c>
      <c r="AW274" s="192" t="n">
        <v>0</v>
      </c>
      <c r="AX274" s="192" t="n">
        <v>0</v>
      </c>
      <c r="BD274" s="192" t="n">
        <v>-0.029957423</v>
      </c>
      <c r="BF274" s="192" t="n">
        <v>-0.17</v>
      </c>
      <c r="BJ274" s="192" t="n">
        <v>1.235</v>
      </c>
    </row>
    <row r="275" customFormat="false" ht="12.75" hidden="false" customHeight="false" outlineLevel="0" collapsed="false">
      <c r="A275" s="194"/>
      <c r="B275" s="194" t="n">
        <v>4.69</v>
      </c>
      <c r="C275" s="200" t="n">
        <v>44986</v>
      </c>
      <c r="D275" s="194" t="n">
        <v>4.512</v>
      </c>
      <c r="E275" s="194" t="n">
        <v>0.15</v>
      </c>
      <c r="F275" s="194" t="n">
        <v>0.071799484901313</v>
      </c>
      <c r="V275" s="192" t="n">
        <v>0</v>
      </c>
      <c r="W275" s="192" t="n">
        <v>0.27</v>
      </c>
      <c r="X275" s="192" t="n">
        <v>0.39</v>
      </c>
      <c r="AM275" s="192" t="n">
        <v>0.965</v>
      </c>
      <c r="AN275" s="192" t="n">
        <v>0.015042577</v>
      </c>
      <c r="AO275" s="192" t="n">
        <v>0</v>
      </c>
      <c r="AP275" s="192" t="n">
        <v>0</v>
      </c>
      <c r="AQ275" s="192" t="n">
        <v>0</v>
      </c>
      <c r="AS275" s="192" t="n">
        <v>0</v>
      </c>
      <c r="AT275" s="192" t="n">
        <v>0</v>
      </c>
      <c r="AU275" s="192" t="n">
        <v>0</v>
      </c>
      <c r="AV275" s="192" t="n">
        <v>0</v>
      </c>
      <c r="AW275" s="192" t="n">
        <v>0</v>
      </c>
      <c r="AX275" s="192" t="n">
        <v>0</v>
      </c>
      <c r="BD275" s="192" t="n">
        <v>-0.019957423</v>
      </c>
      <c r="BF275" s="192" t="n">
        <v>-0.17</v>
      </c>
      <c r="BJ275" s="192" t="n">
        <v>0.875</v>
      </c>
    </row>
    <row r="276" customFormat="false" ht="12.75" hidden="false" customHeight="false" outlineLevel="0" collapsed="false">
      <c r="A276" s="194"/>
      <c r="B276" s="194" t="n">
        <v>4.948</v>
      </c>
      <c r="C276" s="200" t="n">
        <v>45017</v>
      </c>
      <c r="D276" s="194" t="n">
        <v>4.382</v>
      </c>
      <c r="E276" s="194" t="n">
        <v>0.15</v>
      </c>
      <c r="F276" s="194" t="n">
        <v>0.071794097221499</v>
      </c>
      <c r="V276" s="192" t="n">
        <v>0</v>
      </c>
      <c r="W276" s="192" t="n">
        <v>0.205</v>
      </c>
      <c r="X276" s="192" t="n">
        <v>0.25</v>
      </c>
      <c r="AM276" s="192" t="n">
        <v>0.45</v>
      </c>
      <c r="AN276" s="192" t="n">
        <v>0.074976639</v>
      </c>
      <c r="AO276" s="192" t="n">
        <v>0</v>
      </c>
      <c r="AP276" s="192" t="n">
        <v>0</v>
      </c>
      <c r="AQ276" s="192" t="n">
        <v>0</v>
      </c>
      <c r="AS276" s="192" t="n">
        <v>0</v>
      </c>
      <c r="AT276" s="192" t="n">
        <v>0</v>
      </c>
      <c r="AU276" s="192" t="n">
        <v>0</v>
      </c>
      <c r="AV276" s="192" t="n">
        <v>0</v>
      </c>
      <c r="AW276" s="192" t="n">
        <v>0</v>
      </c>
      <c r="AX276" s="192" t="n">
        <v>0</v>
      </c>
      <c r="BD276" s="192" t="n">
        <v>0.039976639</v>
      </c>
      <c r="BF276" s="192" t="n">
        <v>-0.17</v>
      </c>
      <c r="BJ276" s="192" t="n">
        <v>0.365</v>
      </c>
    </row>
    <row r="277" customFormat="false" ht="12.75" hidden="false" customHeight="false" outlineLevel="0" collapsed="false">
      <c r="A277" s="194"/>
      <c r="B277" s="194" t="n">
        <v>4.901</v>
      </c>
      <c r="C277" s="200" t="n">
        <v>45047</v>
      </c>
      <c r="D277" s="194" t="n">
        <v>4.352</v>
      </c>
      <c r="E277" s="194" t="n">
        <v>0.15</v>
      </c>
      <c r="F277" s="194" t="n">
        <v>0.071788883337818</v>
      </c>
      <c r="V277" s="192" t="n">
        <v>0</v>
      </c>
      <c r="W277" s="192" t="n">
        <v>0.1925</v>
      </c>
      <c r="X277" s="192" t="n">
        <v>0.2025</v>
      </c>
      <c r="AM277" s="192" t="n">
        <v>0.405</v>
      </c>
      <c r="AN277" s="192" t="n">
        <v>0.074968124</v>
      </c>
      <c r="AO277" s="192" t="n">
        <v>0</v>
      </c>
      <c r="AP277" s="192" t="n">
        <v>0</v>
      </c>
      <c r="AQ277" s="192" t="n">
        <v>0</v>
      </c>
      <c r="AS277" s="192" t="n">
        <v>0</v>
      </c>
      <c r="AT277" s="192" t="n">
        <v>0</v>
      </c>
      <c r="AU277" s="192" t="n">
        <v>0</v>
      </c>
      <c r="AV277" s="192" t="n">
        <v>0</v>
      </c>
      <c r="AW277" s="192" t="n">
        <v>0</v>
      </c>
      <c r="AX277" s="192" t="n">
        <v>0</v>
      </c>
      <c r="BD277" s="192" t="n">
        <v>0.039968124</v>
      </c>
      <c r="BF277" s="192" t="n">
        <v>-0.17</v>
      </c>
      <c r="BJ277" s="192" t="n">
        <v>0.2975</v>
      </c>
    </row>
    <row r="278" customFormat="false" ht="12.75" hidden="false" customHeight="false" outlineLevel="0" collapsed="false">
      <c r="A278" s="194"/>
      <c r="B278" s="194" t="n">
        <v>4.803</v>
      </c>
      <c r="C278" s="200" t="n">
        <v>45078</v>
      </c>
      <c r="D278" s="194" t="n">
        <v>4.38</v>
      </c>
      <c r="E278" s="194" t="n">
        <v>0.15</v>
      </c>
      <c r="F278" s="194" t="n">
        <v>0.071783495658022</v>
      </c>
      <c r="V278" s="192" t="n">
        <v>0</v>
      </c>
      <c r="W278" s="192" t="n">
        <v>0.1925</v>
      </c>
      <c r="X278" s="192" t="n">
        <v>0.2025</v>
      </c>
      <c r="AM278" s="192" t="n">
        <v>0.395</v>
      </c>
      <c r="AN278" s="192" t="n">
        <v>0.074968124</v>
      </c>
      <c r="AO278" s="192" t="n">
        <v>0</v>
      </c>
      <c r="AP278" s="192" t="n">
        <v>0</v>
      </c>
      <c r="AQ278" s="192" t="n">
        <v>0</v>
      </c>
      <c r="AS278" s="192" t="n">
        <v>0</v>
      </c>
      <c r="AT278" s="192" t="n">
        <v>0</v>
      </c>
      <c r="AU278" s="192" t="n">
        <v>0</v>
      </c>
      <c r="AV278" s="192" t="n">
        <v>0</v>
      </c>
      <c r="AW278" s="192" t="n">
        <v>0</v>
      </c>
      <c r="AX278" s="192" t="n">
        <v>0</v>
      </c>
      <c r="BD278" s="192" t="n">
        <v>0.039968124</v>
      </c>
      <c r="BF278" s="192" t="n">
        <v>-0.17</v>
      </c>
      <c r="BJ278" s="192" t="n">
        <v>0.2975</v>
      </c>
    </row>
    <row r="279" customFormat="false" ht="12.75" hidden="false" customHeight="false" outlineLevel="0" collapsed="false">
      <c r="A279" s="194"/>
      <c r="B279" s="194" t="n">
        <v>4.708</v>
      </c>
      <c r="C279" s="200" t="n">
        <v>45108</v>
      </c>
      <c r="D279" s="194" t="n">
        <v>4.388</v>
      </c>
      <c r="E279" s="194" t="n">
        <v>0.15</v>
      </c>
      <c r="F279" s="194" t="n">
        <v>0.071778281774359</v>
      </c>
      <c r="V279" s="192" t="n">
        <v>0</v>
      </c>
      <c r="W279" s="192" t="n">
        <v>0.1925</v>
      </c>
      <c r="X279" s="192" t="n">
        <v>0.215</v>
      </c>
      <c r="AM279" s="192" t="n">
        <v>0.43</v>
      </c>
      <c r="AN279" s="192" t="n">
        <v>0.074968124</v>
      </c>
      <c r="AO279" s="192" t="n">
        <v>0</v>
      </c>
      <c r="AP279" s="192" t="n">
        <v>0</v>
      </c>
      <c r="AQ279" s="192" t="n">
        <v>0</v>
      </c>
      <c r="AS279" s="192" t="n">
        <v>0</v>
      </c>
      <c r="AT279" s="192" t="n">
        <v>0</v>
      </c>
      <c r="AU279" s="192" t="n">
        <v>0</v>
      </c>
      <c r="AV279" s="192" t="n">
        <v>0</v>
      </c>
      <c r="AW279" s="192" t="n">
        <v>0</v>
      </c>
      <c r="AX279" s="192" t="n">
        <v>0</v>
      </c>
      <c r="BD279" s="192" t="n">
        <v>0.039968124</v>
      </c>
      <c r="BF279" s="192" t="n">
        <v>-0.17</v>
      </c>
      <c r="BJ279" s="192" t="n">
        <v>0.31</v>
      </c>
    </row>
    <row r="280" customFormat="false" ht="12.75" hidden="false" customHeight="false" outlineLevel="0" collapsed="false">
      <c r="A280" s="194"/>
      <c r="B280" s="194" t="n">
        <v>4.7</v>
      </c>
      <c r="C280" s="200" t="n">
        <v>45139</v>
      </c>
      <c r="D280" s="194" t="n">
        <v>4.395</v>
      </c>
      <c r="E280" s="194" t="n">
        <v>0.15</v>
      </c>
      <c r="F280" s="194" t="n">
        <v>0.071772894094583</v>
      </c>
      <c r="V280" s="192" t="n">
        <v>0</v>
      </c>
      <c r="W280" s="192" t="n">
        <v>0.1925</v>
      </c>
      <c r="X280" s="192" t="n">
        <v>0.215</v>
      </c>
      <c r="AM280" s="192" t="n">
        <v>0.495</v>
      </c>
      <c r="AN280" s="192" t="n">
        <v>0.074968124</v>
      </c>
      <c r="AO280" s="192" t="n">
        <v>0</v>
      </c>
      <c r="AP280" s="192" t="n">
        <v>0</v>
      </c>
      <c r="AQ280" s="192" t="n">
        <v>0</v>
      </c>
      <c r="AS280" s="192" t="n">
        <v>0</v>
      </c>
      <c r="AT280" s="192" t="n">
        <v>0</v>
      </c>
      <c r="AU280" s="192" t="n">
        <v>0</v>
      </c>
      <c r="AV280" s="192" t="n">
        <v>0</v>
      </c>
      <c r="AW280" s="192" t="n">
        <v>0</v>
      </c>
      <c r="AX280" s="192" t="n">
        <v>0</v>
      </c>
      <c r="BD280" s="192" t="n">
        <v>0.039968124</v>
      </c>
      <c r="BF280" s="192" t="n">
        <v>-0.17</v>
      </c>
      <c r="BJ280" s="192" t="n">
        <v>0.31</v>
      </c>
    </row>
    <row r="281" customFormat="false" ht="12.75" hidden="false" customHeight="false" outlineLevel="0" collapsed="false">
      <c r="A281" s="194"/>
      <c r="B281" s="194" t="n">
        <v>4.7</v>
      </c>
      <c r="C281" s="200" t="n">
        <v>45170</v>
      </c>
      <c r="D281" s="194" t="n">
        <v>4.365</v>
      </c>
      <c r="E281" s="194" t="n">
        <v>0.15</v>
      </c>
      <c r="F281" s="194" t="n">
        <v>0.071767506414816</v>
      </c>
      <c r="V281" s="192" t="n">
        <v>0</v>
      </c>
      <c r="W281" s="192" t="n">
        <v>0.1925</v>
      </c>
      <c r="X281" s="192" t="n">
        <v>0.195</v>
      </c>
      <c r="AM281" s="192" t="n">
        <v>0.395</v>
      </c>
      <c r="AN281" s="192" t="n">
        <v>0.074968124</v>
      </c>
      <c r="AO281" s="192" t="n">
        <v>0</v>
      </c>
      <c r="AP281" s="192" t="n">
        <v>0</v>
      </c>
      <c r="AQ281" s="192" t="n">
        <v>0</v>
      </c>
      <c r="AS281" s="192" t="n">
        <v>0</v>
      </c>
      <c r="AT281" s="192" t="n">
        <v>0</v>
      </c>
      <c r="AU281" s="192" t="n">
        <v>0</v>
      </c>
      <c r="AV281" s="192" t="n">
        <v>0</v>
      </c>
      <c r="AW281" s="192" t="n">
        <v>0</v>
      </c>
      <c r="AX281" s="192" t="n">
        <v>0</v>
      </c>
      <c r="BD281" s="192" t="n">
        <v>0.039968124</v>
      </c>
      <c r="BF281" s="192" t="n">
        <v>-0.17</v>
      </c>
      <c r="BJ281" s="192" t="n">
        <v>0.3</v>
      </c>
    </row>
    <row r="282" customFormat="false" ht="12.75" hidden="false" customHeight="false" outlineLevel="0" collapsed="false">
      <c r="A282" s="194"/>
      <c r="B282" s="194" t="n">
        <v>4.765</v>
      </c>
      <c r="C282" s="200" t="n">
        <v>45200</v>
      </c>
      <c r="D282" s="194" t="n">
        <v>4.368</v>
      </c>
      <c r="E282" s="194" t="n">
        <v>0.15</v>
      </c>
      <c r="F282" s="194" t="n">
        <v>0.07176229253118</v>
      </c>
      <c r="V282" s="192" t="n">
        <v>0</v>
      </c>
      <c r="W282" s="192" t="n">
        <v>0.1975</v>
      </c>
      <c r="X282" s="192" t="n">
        <v>0.215</v>
      </c>
      <c r="AM282" s="192" t="n">
        <v>0.461</v>
      </c>
      <c r="AN282" s="192" t="n">
        <v>0.074968124</v>
      </c>
      <c r="AO282" s="192" t="n">
        <v>0</v>
      </c>
      <c r="AP282" s="192" t="n">
        <v>0</v>
      </c>
      <c r="AQ282" s="192" t="n">
        <v>0</v>
      </c>
      <c r="AS282" s="192" t="n">
        <v>0</v>
      </c>
      <c r="AT282" s="192" t="n">
        <v>0</v>
      </c>
      <c r="AU282" s="192" t="n">
        <v>0</v>
      </c>
      <c r="AV282" s="192" t="n">
        <v>0</v>
      </c>
      <c r="AW282" s="192" t="n">
        <v>0</v>
      </c>
      <c r="AX282" s="192" t="n">
        <v>0</v>
      </c>
      <c r="BD282" s="192" t="n">
        <v>0.039968124</v>
      </c>
      <c r="BF282" s="192" t="n">
        <v>-0.17</v>
      </c>
      <c r="BJ282" s="192" t="n">
        <v>0.37253</v>
      </c>
    </row>
    <row r="283" customFormat="false" ht="12.75" hidden="false" customHeight="false" outlineLevel="0" collapsed="false">
      <c r="A283" s="194"/>
      <c r="B283" s="194" t="n">
        <v>4.76</v>
      </c>
      <c r="C283" s="200" t="n">
        <v>45231</v>
      </c>
      <c r="D283" s="194" t="n">
        <v>4.36</v>
      </c>
      <c r="E283" s="194" t="n">
        <v>0.15</v>
      </c>
      <c r="F283" s="194" t="n">
        <v>0.071756904851433</v>
      </c>
      <c r="V283" s="192" t="n">
        <v>0</v>
      </c>
      <c r="W283" s="192" t="n">
        <v>0.2725</v>
      </c>
      <c r="X283" s="192" t="n">
        <v>0.315</v>
      </c>
      <c r="AM283" s="192" t="n">
        <v>0.885</v>
      </c>
      <c r="AN283" s="192" t="n">
        <v>-0.004988713</v>
      </c>
      <c r="AO283" s="192" t="n">
        <v>0</v>
      </c>
      <c r="AP283" s="192" t="n">
        <v>0</v>
      </c>
      <c r="AQ283" s="192" t="n">
        <v>0</v>
      </c>
      <c r="AS283" s="192" t="n">
        <v>0</v>
      </c>
      <c r="AT283" s="192" t="n">
        <v>0</v>
      </c>
      <c r="AU283" s="192" t="n">
        <v>0</v>
      </c>
      <c r="AV283" s="192" t="n">
        <v>0</v>
      </c>
      <c r="AW283" s="192" t="n">
        <v>0</v>
      </c>
      <c r="AX283" s="192" t="n">
        <v>0</v>
      </c>
      <c r="BD283" s="192" t="n">
        <v>-0.039988713</v>
      </c>
      <c r="BF283" s="192" t="n">
        <v>-0.2</v>
      </c>
      <c r="BJ283" s="192" t="n">
        <v>0.56</v>
      </c>
    </row>
    <row r="284" customFormat="false" ht="12.75" hidden="false" customHeight="false" outlineLevel="0" collapsed="false">
      <c r="A284" s="194"/>
      <c r="B284" s="194" t="n">
        <v>4.73</v>
      </c>
      <c r="C284" s="200" t="n">
        <v>45261</v>
      </c>
      <c r="D284" s="194" t="n">
        <v>4.376</v>
      </c>
      <c r="E284" s="194" t="n">
        <v>0.15</v>
      </c>
      <c r="F284" s="194" t="n">
        <v>0.071751690967815</v>
      </c>
      <c r="V284" s="192" t="n">
        <v>0</v>
      </c>
      <c r="W284" s="192" t="n">
        <v>0.3075</v>
      </c>
      <c r="X284" s="192" t="n">
        <v>0.395</v>
      </c>
      <c r="AM284" s="192" t="n">
        <v>1.31</v>
      </c>
      <c r="AN284" s="192" t="n">
        <v>-0.019951938</v>
      </c>
      <c r="AO284" s="192" t="n">
        <v>0</v>
      </c>
      <c r="AP284" s="192" t="n">
        <v>0</v>
      </c>
      <c r="AQ284" s="192" t="n">
        <v>0</v>
      </c>
      <c r="AS284" s="192" t="n">
        <v>0</v>
      </c>
      <c r="AT284" s="192" t="n">
        <v>0</v>
      </c>
      <c r="AU284" s="192" t="n">
        <v>0</v>
      </c>
      <c r="AV284" s="192" t="n">
        <v>0</v>
      </c>
      <c r="AW284" s="192" t="n">
        <v>0</v>
      </c>
      <c r="AX284" s="192" t="n">
        <v>0</v>
      </c>
      <c r="BD284" s="192" t="n">
        <v>-0.054951938</v>
      </c>
      <c r="BF284" s="192" t="n">
        <v>-0.2</v>
      </c>
      <c r="BJ284" s="192" t="n">
        <v>0.91</v>
      </c>
    </row>
    <row r="285" customFormat="false" ht="12.75" hidden="false" customHeight="false" outlineLevel="0" collapsed="false">
      <c r="A285" s="194"/>
      <c r="B285" s="194" t="n">
        <v>4.728</v>
      </c>
      <c r="C285" s="200" t="n">
        <v>45292</v>
      </c>
      <c r="F285" s="194" t="n">
        <v>0.071746303288086</v>
      </c>
      <c r="V285" s="192" t="n">
        <v>0</v>
      </c>
      <c r="W285" s="192" t="n">
        <v>0.3125</v>
      </c>
      <c r="X285" s="192" t="n">
        <v>0.465</v>
      </c>
      <c r="AM285" s="192" t="n">
        <v>1.645</v>
      </c>
      <c r="AN285" s="192" t="n">
        <v>-0.014955184</v>
      </c>
      <c r="AO285" s="192" t="n">
        <v>0</v>
      </c>
      <c r="AP285" s="192" t="n">
        <v>0</v>
      </c>
      <c r="AQ285" s="192" t="n">
        <v>0</v>
      </c>
      <c r="AS285" s="192" t="n">
        <v>0</v>
      </c>
      <c r="AT285" s="192" t="n">
        <v>0</v>
      </c>
      <c r="AU285" s="192" t="n">
        <v>0</v>
      </c>
      <c r="AV285" s="192" t="n">
        <v>0</v>
      </c>
      <c r="AW285" s="192" t="n">
        <v>0</v>
      </c>
      <c r="AX285" s="192" t="n">
        <v>0</v>
      </c>
      <c r="BD285" s="192" t="n">
        <v>-0.049955184</v>
      </c>
      <c r="BF285" s="192" t="n">
        <v>-0.2</v>
      </c>
      <c r="BJ285" s="192" t="n">
        <v>1.235</v>
      </c>
    </row>
    <row r="286" customFormat="false" ht="12.75" hidden="false" customHeight="false" outlineLevel="0" collapsed="false">
      <c r="A286" s="194"/>
      <c r="B286" s="194" t="n">
        <v>4.74</v>
      </c>
      <c r="C286" s="200" t="n">
        <v>45323</v>
      </c>
      <c r="F286" s="194" t="n">
        <v>0.071740915608367</v>
      </c>
      <c r="V286" s="192" t="n">
        <v>0</v>
      </c>
      <c r="W286" s="192" t="n">
        <v>0.3125</v>
      </c>
      <c r="X286" s="192" t="n">
        <v>0.435</v>
      </c>
      <c r="AM286" s="192" t="n">
        <v>1.595</v>
      </c>
      <c r="AN286" s="192" t="n">
        <v>0.010042577</v>
      </c>
      <c r="AO286" s="192" t="n">
        <v>0</v>
      </c>
      <c r="AP286" s="192" t="n">
        <v>0</v>
      </c>
      <c r="AQ286" s="192" t="n">
        <v>0</v>
      </c>
      <c r="AS286" s="192" t="n">
        <v>0</v>
      </c>
      <c r="AT286" s="192" t="n">
        <v>0</v>
      </c>
      <c r="AU286" s="192" t="n">
        <v>0</v>
      </c>
      <c r="AV286" s="192" t="n">
        <v>0</v>
      </c>
      <c r="AW286" s="192" t="n">
        <v>0</v>
      </c>
      <c r="AX286" s="192" t="n">
        <v>0</v>
      </c>
      <c r="BD286" s="192" t="n">
        <v>-0.024957423</v>
      </c>
      <c r="BF286" s="192" t="n">
        <v>-0.2</v>
      </c>
      <c r="BJ286" s="192" t="n">
        <v>1.235</v>
      </c>
    </row>
    <row r="287" customFormat="false" ht="12.75" hidden="false" customHeight="false" outlineLevel="0" collapsed="false">
      <c r="A287" s="194"/>
      <c r="B287" s="194" t="n">
        <v>4.789</v>
      </c>
      <c r="C287" s="200" t="n">
        <v>45352</v>
      </c>
      <c r="F287" s="194" t="n">
        <v>0.071735875520896</v>
      </c>
      <c r="V287" s="192" t="n">
        <v>0</v>
      </c>
      <c r="W287" s="192" t="n">
        <v>0.27</v>
      </c>
      <c r="X287" s="192" t="n">
        <v>0.39</v>
      </c>
      <c r="AM287" s="192" t="n">
        <v>0.965</v>
      </c>
      <c r="AN287" s="192" t="n">
        <v>0.020042577</v>
      </c>
      <c r="AO287" s="192" t="n">
        <v>0</v>
      </c>
      <c r="AP287" s="192" t="n">
        <v>0</v>
      </c>
      <c r="AQ287" s="192" t="n">
        <v>0</v>
      </c>
      <c r="AS287" s="192" t="n">
        <v>0</v>
      </c>
      <c r="AT287" s="192" t="n">
        <v>0</v>
      </c>
      <c r="AU287" s="192" t="n">
        <v>0</v>
      </c>
      <c r="AV287" s="192" t="n">
        <v>0</v>
      </c>
      <c r="AW287" s="192" t="n">
        <v>0</v>
      </c>
      <c r="AX287" s="192" t="n">
        <v>0</v>
      </c>
      <c r="BD287" s="192" t="n">
        <v>-0.014957423</v>
      </c>
      <c r="BF287" s="192" t="n">
        <v>-0.2</v>
      </c>
      <c r="BJ287" s="192" t="n">
        <v>0.875</v>
      </c>
    </row>
    <row r="288" customFormat="false" ht="12.75" hidden="false" customHeight="false" outlineLevel="0" collapsed="false">
      <c r="A288" s="194"/>
      <c r="B288" s="194" t="n">
        <v>5.045</v>
      </c>
      <c r="C288" s="200" t="n">
        <v>45383</v>
      </c>
      <c r="F288" s="194" t="n">
        <v>0.071730487841196</v>
      </c>
      <c r="V288" s="192" t="n">
        <v>0</v>
      </c>
      <c r="W288" s="192" t="n">
        <v>0.205</v>
      </c>
      <c r="X288" s="192" t="n">
        <v>0.25</v>
      </c>
      <c r="AM288" s="192" t="n">
        <v>0.45</v>
      </c>
      <c r="AN288" s="192" t="n">
        <v>0.079976639</v>
      </c>
      <c r="AO288" s="192" t="n">
        <v>0</v>
      </c>
      <c r="AP288" s="192" t="n">
        <v>0</v>
      </c>
      <c r="AQ288" s="192" t="n">
        <v>0</v>
      </c>
      <c r="AS288" s="192" t="n">
        <v>0</v>
      </c>
      <c r="AT288" s="192" t="n">
        <v>0</v>
      </c>
      <c r="AU288" s="192" t="n">
        <v>0</v>
      </c>
      <c r="AV288" s="192" t="n">
        <v>0</v>
      </c>
      <c r="AW288" s="192" t="n">
        <v>0</v>
      </c>
      <c r="AX288" s="192" t="n">
        <v>0</v>
      </c>
      <c r="BD288" s="192" t="n">
        <v>0.044976639</v>
      </c>
      <c r="BF288" s="192" t="n">
        <v>-0.2</v>
      </c>
      <c r="BJ288" s="192" t="n">
        <v>0.365</v>
      </c>
    </row>
    <row r="289" customFormat="false" ht="12.75" hidden="false" customHeight="false" outlineLevel="0" collapsed="false">
      <c r="A289" s="194"/>
      <c r="B289" s="194" t="n">
        <v>5.002</v>
      </c>
      <c r="C289" s="200" t="n">
        <v>45413</v>
      </c>
      <c r="F289" s="194" t="n">
        <v>0.071725273957624</v>
      </c>
      <c r="V289" s="192" t="n">
        <v>0</v>
      </c>
      <c r="W289" s="192" t="n">
        <v>0.1925</v>
      </c>
      <c r="X289" s="192" t="n">
        <v>0.2025</v>
      </c>
      <c r="AM289" s="192" t="n">
        <v>0.405</v>
      </c>
      <c r="AN289" s="192" t="n">
        <v>0.079968124</v>
      </c>
      <c r="AO289" s="192" t="n">
        <v>0</v>
      </c>
      <c r="AP289" s="192" t="n">
        <v>0</v>
      </c>
      <c r="AQ289" s="192" t="n">
        <v>0</v>
      </c>
      <c r="AS289" s="192" t="n">
        <v>0</v>
      </c>
      <c r="AT289" s="192" t="n">
        <v>0</v>
      </c>
      <c r="AU289" s="192" t="n">
        <v>0</v>
      </c>
      <c r="AV289" s="192" t="n">
        <v>0</v>
      </c>
      <c r="AW289" s="192" t="n">
        <v>0</v>
      </c>
      <c r="AX289" s="192" t="n">
        <v>0</v>
      </c>
      <c r="BD289" s="192" t="n">
        <v>0.044968124</v>
      </c>
      <c r="BF289" s="192" t="n">
        <v>-0.2</v>
      </c>
      <c r="BJ289" s="192" t="n">
        <v>0.2975</v>
      </c>
    </row>
    <row r="290" customFormat="false" ht="12.75" hidden="false" customHeight="false" outlineLevel="0" collapsed="false">
      <c r="A290" s="194"/>
      <c r="B290" s="194" t="n">
        <v>4.907</v>
      </c>
      <c r="C290" s="200" t="n">
        <v>45444</v>
      </c>
      <c r="F290" s="194" t="n">
        <v>0.071719886277941</v>
      </c>
      <c r="V290" s="192" t="n">
        <v>0</v>
      </c>
      <c r="W290" s="192" t="n">
        <v>0.1925</v>
      </c>
      <c r="X290" s="192" t="n">
        <v>0.2025</v>
      </c>
      <c r="AM290" s="192" t="n">
        <v>0.395</v>
      </c>
      <c r="AN290" s="192" t="n">
        <v>0.079968124</v>
      </c>
      <c r="AO290" s="192" t="n">
        <v>0</v>
      </c>
      <c r="AP290" s="192" t="n">
        <v>0</v>
      </c>
      <c r="AQ290" s="192" t="n">
        <v>0</v>
      </c>
      <c r="AS290" s="192" t="n">
        <v>0</v>
      </c>
      <c r="AT290" s="192" t="n">
        <v>0</v>
      </c>
      <c r="AU290" s="192" t="n">
        <v>0</v>
      </c>
      <c r="AV290" s="192" t="n">
        <v>0</v>
      </c>
      <c r="AW290" s="192" t="n">
        <v>0</v>
      </c>
      <c r="AX290" s="192" t="n">
        <v>0</v>
      </c>
      <c r="BD290" s="192" t="n">
        <v>0.044968124</v>
      </c>
      <c r="BF290" s="192" t="n">
        <v>-0.2</v>
      </c>
      <c r="BJ290" s="192" t="n">
        <v>0.2975</v>
      </c>
    </row>
    <row r="291" customFormat="false" ht="12.75" hidden="false" customHeight="false" outlineLevel="0" collapsed="false">
      <c r="A291" s="194"/>
      <c r="B291" s="194" t="n">
        <v>4.815</v>
      </c>
      <c r="C291" s="200" t="n">
        <v>45474</v>
      </c>
      <c r="F291" s="194" t="n">
        <v>0.071714672394388</v>
      </c>
      <c r="V291" s="192" t="n">
        <v>0</v>
      </c>
      <c r="W291" s="192" t="n">
        <v>0.1925</v>
      </c>
      <c r="X291" s="192" t="n">
        <v>0.215</v>
      </c>
      <c r="AM291" s="192" t="n">
        <v>0.43</v>
      </c>
      <c r="AN291" s="192" t="n">
        <v>0.079968124</v>
      </c>
      <c r="AO291" s="192" t="n">
        <v>0</v>
      </c>
      <c r="AP291" s="192" t="n">
        <v>0</v>
      </c>
      <c r="AQ291" s="192" t="n">
        <v>0</v>
      </c>
      <c r="AS291" s="192" t="n">
        <v>0</v>
      </c>
      <c r="AT291" s="192" t="n">
        <v>0</v>
      </c>
      <c r="AU291" s="192" t="n">
        <v>0</v>
      </c>
      <c r="AV291" s="192" t="n">
        <v>0</v>
      </c>
      <c r="AW291" s="192" t="n">
        <v>0</v>
      </c>
      <c r="AX291" s="192" t="n">
        <v>0</v>
      </c>
      <c r="BD291" s="192" t="n">
        <v>0.044968124</v>
      </c>
      <c r="BF291" s="192" t="n">
        <v>-0.2</v>
      </c>
      <c r="BJ291" s="192" t="n">
        <v>0.31</v>
      </c>
    </row>
    <row r="292" customFormat="false" ht="12.75" hidden="false" customHeight="false" outlineLevel="0" collapsed="false">
      <c r="A292" s="194"/>
      <c r="B292" s="194" t="n">
        <v>4.808</v>
      </c>
      <c r="C292" s="200" t="n">
        <v>45505</v>
      </c>
      <c r="F292" s="194" t="n">
        <v>0.071709284714725</v>
      </c>
      <c r="V292" s="192" t="n">
        <v>0</v>
      </c>
      <c r="W292" s="192" t="n">
        <v>0.1925</v>
      </c>
      <c r="X292" s="192" t="n">
        <v>0.215</v>
      </c>
      <c r="AM292" s="192" t="n">
        <v>0.495</v>
      </c>
      <c r="AN292" s="192" t="n">
        <v>0.079968124</v>
      </c>
      <c r="AO292" s="192" t="n">
        <v>0</v>
      </c>
      <c r="AP292" s="192" t="n">
        <v>0</v>
      </c>
      <c r="AQ292" s="192" t="n">
        <v>0</v>
      </c>
      <c r="AS292" s="192" t="n">
        <v>0</v>
      </c>
      <c r="AT292" s="192" t="n">
        <v>0</v>
      </c>
      <c r="AU292" s="192" t="n">
        <v>0</v>
      </c>
      <c r="AV292" s="192" t="n">
        <v>0</v>
      </c>
      <c r="AW292" s="192" t="n">
        <v>0</v>
      </c>
      <c r="AX292" s="192" t="n">
        <v>0</v>
      </c>
      <c r="BD292" s="192" t="n">
        <v>0.044968124</v>
      </c>
      <c r="BF292" s="192" t="n">
        <v>-0.2</v>
      </c>
      <c r="BJ292" s="192" t="n">
        <v>0.31</v>
      </c>
    </row>
    <row r="293" customFormat="false" ht="12.75" hidden="false" customHeight="false" outlineLevel="0" collapsed="false">
      <c r="A293" s="194"/>
      <c r="B293" s="194"/>
      <c r="C293" s="200" t="n">
        <v>45536</v>
      </c>
      <c r="F293" s="194" t="n">
        <v>0.071703897035071</v>
      </c>
      <c r="V293" s="192" t="n">
        <v>0</v>
      </c>
      <c r="W293" s="192" t="n">
        <v>0.1925</v>
      </c>
      <c r="X293" s="192" t="n">
        <v>0.195</v>
      </c>
      <c r="AM293" s="192" t="n">
        <v>0.395</v>
      </c>
      <c r="AN293" s="192" t="n">
        <v>0.079968124</v>
      </c>
      <c r="AO293" s="192" t="n">
        <v>0</v>
      </c>
      <c r="AP293" s="192" t="n">
        <v>0</v>
      </c>
      <c r="AQ293" s="192" t="n">
        <v>0</v>
      </c>
      <c r="AS293" s="192" t="n">
        <v>0</v>
      </c>
      <c r="AT293" s="192" t="n">
        <v>0</v>
      </c>
      <c r="AU293" s="192" t="n">
        <v>0</v>
      </c>
      <c r="AV293" s="192" t="n">
        <v>0</v>
      </c>
      <c r="AW293" s="192" t="n">
        <v>0</v>
      </c>
      <c r="AX293" s="192" t="n">
        <v>0</v>
      </c>
      <c r="BD293" s="192" t="n">
        <v>0.044968124</v>
      </c>
      <c r="BF293" s="192" t="n">
        <v>-0.2</v>
      </c>
      <c r="BJ293" s="192" t="n">
        <v>0.3</v>
      </c>
    </row>
    <row r="294" customFormat="false" ht="12.75" hidden="false" customHeight="false" outlineLevel="0" collapsed="false">
      <c r="A294" s="194"/>
      <c r="B294" s="194"/>
      <c r="C294" s="200" t="n">
        <v>45566</v>
      </c>
      <c r="F294" s="194" t="n">
        <v>0.071698683151545</v>
      </c>
      <c r="V294" s="192" t="n">
        <v>0</v>
      </c>
      <c r="W294" s="192" t="n">
        <v>0.1975</v>
      </c>
      <c r="X294" s="192" t="n">
        <v>0.215</v>
      </c>
      <c r="AM294" s="192" t="n">
        <v>0.461</v>
      </c>
      <c r="AN294" s="192" t="n">
        <v>0.079968124</v>
      </c>
      <c r="AO294" s="192" t="n">
        <v>0</v>
      </c>
      <c r="AP294" s="192" t="n">
        <v>0</v>
      </c>
      <c r="AQ294" s="192" t="n">
        <v>0</v>
      </c>
      <c r="AS294" s="192" t="n">
        <v>0</v>
      </c>
      <c r="AT294" s="192" t="n">
        <v>0</v>
      </c>
      <c r="AU294" s="192" t="n">
        <v>0</v>
      </c>
      <c r="AV294" s="192" t="n">
        <v>0</v>
      </c>
      <c r="AW294" s="192" t="n">
        <v>0</v>
      </c>
      <c r="AX294" s="192" t="n">
        <v>0</v>
      </c>
      <c r="BD294" s="192" t="n">
        <v>0.044968124</v>
      </c>
      <c r="BF294" s="192" t="n">
        <v>-0.2</v>
      </c>
      <c r="BJ294" s="192" t="n">
        <v>0.37253</v>
      </c>
    </row>
    <row r="295" customFormat="false" ht="12.75" hidden="false" customHeight="false" outlineLevel="0" collapsed="false">
      <c r="A295" s="194"/>
      <c r="B295" s="194"/>
      <c r="C295" s="200" t="n">
        <v>45597</v>
      </c>
      <c r="F295" s="194" t="n">
        <v>0.07169329547191</v>
      </c>
      <c r="V295" s="192" t="n">
        <v>0</v>
      </c>
      <c r="W295" s="192" t="n">
        <v>0.2725</v>
      </c>
      <c r="X295" s="192" t="n">
        <v>0.315</v>
      </c>
      <c r="AM295" s="192" t="n">
        <v>0.885</v>
      </c>
      <c r="AN295" s="192" t="n">
        <v>1.1287E-005</v>
      </c>
      <c r="AO295" s="192" t="n">
        <v>0</v>
      </c>
      <c r="AP295" s="192" t="n">
        <v>0</v>
      </c>
      <c r="AQ295" s="192" t="n">
        <v>0</v>
      </c>
      <c r="AS295" s="192" t="n">
        <v>0</v>
      </c>
      <c r="AT295" s="192" t="n">
        <v>0</v>
      </c>
      <c r="AU295" s="192" t="n">
        <v>0</v>
      </c>
      <c r="AV295" s="192" t="n">
        <v>0</v>
      </c>
      <c r="AW295" s="192" t="n">
        <v>0</v>
      </c>
      <c r="AX295" s="192" t="n">
        <v>0</v>
      </c>
      <c r="BD295" s="192" t="n">
        <v>-0.034988713</v>
      </c>
      <c r="BF295" s="192" t="n">
        <v>-0.2</v>
      </c>
      <c r="BJ295" s="192" t="n">
        <v>0.56</v>
      </c>
    </row>
    <row r="296" customFormat="false" ht="12.75" hidden="false" customHeight="false" outlineLevel="0" collapsed="false">
      <c r="A296" s="194"/>
      <c r="B296" s="194"/>
      <c r="C296" s="200" t="n">
        <v>45627</v>
      </c>
      <c r="F296" s="194" t="n">
        <v>0.071688081588403</v>
      </c>
      <c r="V296" s="192" t="n">
        <v>0</v>
      </c>
      <c r="W296" s="192" t="n">
        <v>0.3075</v>
      </c>
      <c r="X296" s="192" t="n">
        <v>0.395</v>
      </c>
      <c r="AM296" s="192" t="n">
        <v>1.31</v>
      </c>
      <c r="AN296" s="192" t="n">
        <v>-0.014951938</v>
      </c>
      <c r="AO296" s="192" t="n">
        <v>0</v>
      </c>
      <c r="AP296" s="192" t="n">
        <v>0</v>
      </c>
      <c r="AQ296" s="192" t="n">
        <v>0</v>
      </c>
      <c r="AS296" s="192" t="n">
        <v>0</v>
      </c>
      <c r="AT296" s="192" t="n">
        <v>0</v>
      </c>
      <c r="AU296" s="192" t="n">
        <v>0</v>
      </c>
      <c r="AV296" s="192" t="n">
        <v>0</v>
      </c>
      <c r="AW296" s="192" t="n">
        <v>0</v>
      </c>
      <c r="AX296" s="192" t="n">
        <v>0</v>
      </c>
      <c r="BD296" s="192" t="n">
        <v>-0.049951938</v>
      </c>
      <c r="BF296" s="192" t="n">
        <v>-0.2</v>
      </c>
      <c r="BJ296" s="192" t="n">
        <v>0.91</v>
      </c>
    </row>
    <row r="297" customFormat="false" ht="12.75" hidden="false" customHeight="false" outlineLevel="0" collapsed="false">
      <c r="A297" s="194"/>
      <c r="B297" s="194"/>
      <c r="C297" s="200" t="n">
        <v>45658</v>
      </c>
      <c r="F297" s="194" t="n">
        <v>0.071682693908787</v>
      </c>
      <c r="V297" s="192" t="n">
        <v>0</v>
      </c>
      <c r="W297" s="192" t="n">
        <v>0.3125</v>
      </c>
      <c r="X297" s="192" t="n">
        <v>0.465</v>
      </c>
      <c r="AM297" s="192" t="n">
        <v>1.645</v>
      </c>
      <c r="AN297" s="192" t="n">
        <v>-0.009955184</v>
      </c>
      <c r="AO297" s="192" t="n">
        <v>0</v>
      </c>
      <c r="AP297" s="192" t="n">
        <v>0</v>
      </c>
      <c r="AQ297" s="192" t="n">
        <v>0</v>
      </c>
      <c r="AS297" s="192" t="n">
        <v>0</v>
      </c>
      <c r="AT297" s="192" t="n">
        <v>0</v>
      </c>
      <c r="AU297" s="192" t="n">
        <v>0</v>
      </c>
      <c r="AV297" s="192" t="n">
        <v>0</v>
      </c>
      <c r="AW297" s="192" t="n">
        <v>0</v>
      </c>
      <c r="AX297" s="192" t="n">
        <v>0</v>
      </c>
      <c r="BD297" s="192" t="n">
        <v>-0.044955184</v>
      </c>
      <c r="BF297" s="192" t="n">
        <v>-0.2</v>
      </c>
      <c r="BJ297" s="192" t="n">
        <v>1.235</v>
      </c>
    </row>
    <row r="298" customFormat="false" ht="12.75" hidden="false" customHeight="false" outlineLevel="0" collapsed="false">
      <c r="A298" s="194"/>
      <c r="B298" s="194"/>
      <c r="C298" s="200" t="n">
        <v>45689</v>
      </c>
      <c r="F298" s="194" t="n">
        <v>0.071677306229181</v>
      </c>
      <c r="V298" s="192" t="n">
        <v>0</v>
      </c>
      <c r="W298" s="192" t="n">
        <v>0.3125</v>
      </c>
      <c r="X298" s="192" t="n">
        <v>0.435</v>
      </c>
      <c r="AM298" s="192" t="n">
        <v>1.595</v>
      </c>
      <c r="AN298" s="192" t="n">
        <v>0.015042577</v>
      </c>
      <c r="AO298" s="192" t="n">
        <v>0</v>
      </c>
      <c r="AP298" s="192" t="n">
        <v>0</v>
      </c>
      <c r="AQ298" s="192" t="n">
        <v>0</v>
      </c>
      <c r="AS298" s="192" t="n">
        <v>0</v>
      </c>
      <c r="AT298" s="192" t="n">
        <v>0</v>
      </c>
      <c r="AU298" s="192" t="n">
        <v>0</v>
      </c>
      <c r="AV298" s="192" t="n">
        <v>0</v>
      </c>
      <c r="AW298" s="192" t="n">
        <v>0</v>
      </c>
      <c r="AX298" s="192" t="n">
        <v>0</v>
      </c>
      <c r="BD298" s="192" t="n">
        <v>-0.019957423</v>
      </c>
      <c r="BF298" s="192" t="n">
        <v>-0.2</v>
      </c>
      <c r="BJ298" s="192" t="n">
        <v>1.235</v>
      </c>
    </row>
    <row r="299" customFormat="false" ht="12.75" hidden="false" customHeight="false" outlineLevel="0" collapsed="false">
      <c r="A299" s="194"/>
      <c r="B299" s="194"/>
      <c r="C299" s="200" t="n">
        <v>45717</v>
      </c>
      <c r="F299" s="194" t="n">
        <v>0.071672439937932</v>
      </c>
      <c r="V299" s="192" t="n">
        <v>0</v>
      </c>
      <c r="W299" s="192" t="n">
        <v>0.27</v>
      </c>
      <c r="X299" s="192" t="n">
        <v>0.39</v>
      </c>
      <c r="AM299" s="192" t="n">
        <v>0.965</v>
      </c>
      <c r="AN299" s="192" t="n">
        <v>0.025042577</v>
      </c>
      <c r="AO299" s="192" t="n">
        <v>0</v>
      </c>
      <c r="AP299" s="192" t="n">
        <v>0</v>
      </c>
      <c r="AQ299" s="192" t="n">
        <v>0</v>
      </c>
      <c r="AS299" s="192" t="n">
        <v>0</v>
      </c>
      <c r="AT299" s="192" t="n">
        <v>0</v>
      </c>
      <c r="AU299" s="192" t="n">
        <v>0</v>
      </c>
      <c r="AV299" s="192" t="n">
        <v>0</v>
      </c>
      <c r="AW299" s="192" t="n">
        <v>0</v>
      </c>
      <c r="AX299" s="192" t="n">
        <v>0</v>
      </c>
      <c r="BD299" s="192" t="n">
        <v>-0.009957423</v>
      </c>
      <c r="BF299" s="192" t="n">
        <v>-0.2</v>
      </c>
      <c r="BJ299" s="192" t="n">
        <v>0.875</v>
      </c>
    </row>
    <row r="300" customFormat="false" ht="12.75" hidden="false" customHeight="false" outlineLevel="0" collapsed="false">
      <c r="A300" s="194"/>
      <c r="B300" s="194"/>
      <c r="C300" s="200" t="n">
        <v>45748</v>
      </c>
      <c r="F300" s="194" t="n">
        <v>0.071667052258344</v>
      </c>
      <c r="V300" s="192" t="n">
        <v>0</v>
      </c>
      <c r="W300" s="192" t="n">
        <v>0.205</v>
      </c>
      <c r="X300" s="192" t="n">
        <v>0.25</v>
      </c>
      <c r="AM300" s="192" t="n">
        <v>0.45</v>
      </c>
      <c r="AN300" s="192" t="n">
        <v>0.084976639</v>
      </c>
      <c r="AO300" s="192" t="n">
        <v>0</v>
      </c>
      <c r="AP300" s="192" t="n">
        <v>0</v>
      </c>
      <c r="AQ300" s="192" t="n">
        <v>0</v>
      </c>
      <c r="AS300" s="192" t="n">
        <v>0</v>
      </c>
      <c r="AT300" s="192" t="n">
        <v>0</v>
      </c>
      <c r="AU300" s="192" t="n">
        <v>0</v>
      </c>
      <c r="AV300" s="192" t="n">
        <v>0</v>
      </c>
      <c r="AW300" s="192" t="n">
        <v>0</v>
      </c>
      <c r="AX300" s="192" t="n">
        <v>0</v>
      </c>
      <c r="BD300" s="192" t="n">
        <v>0.049976639</v>
      </c>
      <c r="BF300" s="192" t="n">
        <v>-0.2</v>
      </c>
      <c r="BJ300" s="192" t="n">
        <v>0.365</v>
      </c>
    </row>
    <row r="301" customFormat="false" ht="12.75" hidden="false" customHeight="false" outlineLevel="0" collapsed="false">
      <c r="A301" s="194"/>
      <c r="B301" s="194"/>
      <c r="C301" s="200" t="n">
        <v>45778</v>
      </c>
      <c r="F301" s="194" t="n">
        <v>0.071661838374882</v>
      </c>
      <c r="V301" s="192" t="n">
        <v>0</v>
      </c>
      <c r="W301" s="192" t="n">
        <v>0.1925</v>
      </c>
      <c r="X301" s="192" t="n">
        <v>0.2025</v>
      </c>
      <c r="AM301" s="192" t="n">
        <v>0.405</v>
      </c>
      <c r="AN301" s="192" t="n">
        <v>0.084968124</v>
      </c>
      <c r="AO301" s="192" t="n">
        <v>0</v>
      </c>
      <c r="AP301" s="192" t="n">
        <v>0</v>
      </c>
      <c r="AQ301" s="192" t="n">
        <v>0</v>
      </c>
      <c r="AS301" s="192" t="n">
        <v>0</v>
      </c>
      <c r="AT301" s="192" t="n">
        <v>0</v>
      </c>
      <c r="AU301" s="192" t="n">
        <v>0</v>
      </c>
      <c r="AV301" s="192" t="n">
        <v>0</v>
      </c>
      <c r="AW301" s="192" t="n">
        <v>0</v>
      </c>
      <c r="AX301" s="192" t="n">
        <v>0</v>
      </c>
      <c r="BD301" s="192" t="n">
        <v>0.049968124</v>
      </c>
      <c r="BF301" s="192" t="n">
        <v>-0.2</v>
      </c>
      <c r="BJ301" s="192" t="n">
        <v>0.2975</v>
      </c>
    </row>
    <row r="302" customFormat="false" ht="12.75" hidden="false" customHeight="false" outlineLevel="0" collapsed="false">
      <c r="A302" s="194"/>
      <c r="B302" s="194"/>
      <c r="C302" s="200" t="n">
        <v>45809</v>
      </c>
      <c r="F302" s="194" t="n">
        <v>0.071656450695312</v>
      </c>
      <c r="V302" s="192" t="n">
        <v>0</v>
      </c>
      <c r="W302" s="192" t="n">
        <v>0.1925</v>
      </c>
      <c r="X302" s="192" t="n">
        <v>0.2025</v>
      </c>
      <c r="AM302" s="192" t="n">
        <v>0.395</v>
      </c>
      <c r="AN302" s="192" t="n">
        <v>0.084968124</v>
      </c>
      <c r="AO302" s="192" t="n">
        <v>0</v>
      </c>
      <c r="AP302" s="192" t="n">
        <v>0</v>
      </c>
      <c r="AQ302" s="192" t="n">
        <v>0</v>
      </c>
      <c r="AS302" s="192" t="n">
        <v>0</v>
      </c>
      <c r="AT302" s="192" t="n">
        <v>0</v>
      </c>
      <c r="AU302" s="192" t="n">
        <v>0</v>
      </c>
      <c r="AV302" s="192" t="n">
        <v>0</v>
      </c>
      <c r="AW302" s="192" t="n">
        <v>0</v>
      </c>
      <c r="AX302" s="192" t="n">
        <v>0</v>
      </c>
      <c r="BD302" s="192" t="n">
        <v>0.049968124</v>
      </c>
      <c r="BF302" s="192" t="n">
        <v>-0.2</v>
      </c>
      <c r="BJ302" s="192" t="n">
        <v>0.2975</v>
      </c>
    </row>
    <row r="303" customFormat="false" ht="12.75" hidden="false" customHeight="false" outlineLevel="0" collapsed="false">
      <c r="A303" s="194"/>
      <c r="B303" s="194"/>
      <c r="C303" s="200" t="n">
        <v>45839</v>
      </c>
      <c r="F303" s="194" t="n">
        <v>0.071651236811868</v>
      </c>
      <c r="V303" s="192" t="n">
        <v>0</v>
      </c>
      <c r="W303" s="192" t="n">
        <v>0.1925</v>
      </c>
      <c r="X303" s="192" t="n">
        <v>0.215</v>
      </c>
      <c r="AM303" s="192" t="n">
        <v>0.43</v>
      </c>
      <c r="AN303" s="192" t="n">
        <v>0.084968124</v>
      </c>
      <c r="AO303" s="192" t="n">
        <v>0</v>
      </c>
      <c r="AP303" s="192" t="n">
        <v>0</v>
      </c>
      <c r="AQ303" s="192" t="n">
        <v>0</v>
      </c>
      <c r="AS303" s="192" t="n">
        <v>0</v>
      </c>
      <c r="AT303" s="192" t="n">
        <v>0</v>
      </c>
      <c r="AU303" s="192" t="n">
        <v>0</v>
      </c>
      <c r="AV303" s="192" t="n">
        <v>0</v>
      </c>
      <c r="AW303" s="192" t="n">
        <v>0</v>
      </c>
      <c r="AX303" s="192" t="n">
        <v>0</v>
      </c>
      <c r="BD303" s="192" t="n">
        <v>0.049968124</v>
      </c>
      <c r="BF303" s="192" t="n">
        <v>-0.2</v>
      </c>
      <c r="BJ303" s="192" t="n">
        <v>0.31</v>
      </c>
    </row>
    <row r="304" customFormat="false" ht="12.75" hidden="false" customHeight="false" outlineLevel="0" collapsed="false">
      <c r="A304" s="194"/>
      <c r="B304" s="194"/>
      <c r="C304" s="200" t="n">
        <v>45870</v>
      </c>
      <c r="F304" s="194" t="n">
        <v>0.071645849132318</v>
      </c>
      <c r="V304" s="192" t="n">
        <v>0</v>
      </c>
      <c r="W304" s="192" t="n">
        <v>0.1925</v>
      </c>
      <c r="X304" s="192" t="n">
        <v>0.215</v>
      </c>
      <c r="AM304" s="192" t="n">
        <v>0.495</v>
      </c>
      <c r="AN304" s="192" t="n">
        <v>0.084968124</v>
      </c>
      <c r="AO304" s="192" t="n">
        <v>0</v>
      </c>
      <c r="AP304" s="192" t="n">
        <v>0</v>
      </c>
      <c r="AQ304" s="192" t="n">
        <v>0</v>
      </c>
      <c r="AS304" s="192" t="n">
        <v>0</v>
      </c>
      <c r="AT304" s="192" t="n">
        <v>0</v>
      </c>
      <c r="AU304" s="192" t="n">
        <v>0</v>
      </c>
      <c r="AV304" s="192" t="n">
        <v>0</v>
      </c>
      <c r="AW304" s="192" t="n">
        <v>0</v>
      </c>
      <c r="AX304" s="192" t="n">
        <v>0</v>
      </c>
      <c r="BD304" s="192" t="n">
        <v>0.049968124</v>
      </c>
      <c r="BF304" s="192" t="n">
        <v>-0.2</v>
      </c>
      <c r="BJ304" s="192" t="n">
        <v>0.31</v>
      </c>
    </row>
    <row r="305" customFormat="false" ht="12.75" hidden="false" customHeight="false" outlineLevel="0" collapsed="false">
      <c r="A305" s="194"/>
      <c r="B305" s="194"/>
      <c r="C305" s="200" t="n">
        <v>45901</v>
      </c>
      <c r="F305" s="194" t="n">
        <v>0.071640461452778</v>
      </c>
      <c r="V305" s="192" t="n">
        <v>0</v>
      </c>
      <c r="W305" s="192" t="n">
        <v>0.1925</v>
      </c>
      <c r="X305" s="192" t="n">
        <v>0.195</v>
      </c>
      <c r="AM305" s="192" t="n">
        <v>0.395</v>
      </c>
      <c r="AN305" s="192" t="n">
        <v>0.084968124</v>
      </c>
      <c r="AO305" s="192" t="n">
        <v>0</v>
      </c>
      <c r="AP305" s="192" t="n">
        <v>0</v>
      </c>
      <c r="AQ305" s="192" t="n">
        <v>0</v>
      </c>
      <c r="AS305" s="192" t="n">
        <v>0</v>
      </c>
      <c r="AT305" s="192" t="n">
        <v>0</v>
      </c>
      <c r="AU305" s="192" t="n">
        <v>0</v>
      </c>
      <c r="AV305" s="192" t="n">
        <v>0</v>
      </c>
      <c r="AW305" s="192" t="n">
        <v>0</v>
      </c>
      <c r="AX305" s="192" t="n">
        <v>0</v>
      </c>
      <c r="BD305" s="192" t="n">
        <v>0.049968124</v>
      </c>
      <c r="BF305" s="192" t="n">
        <v>-0.2</v>
      </c>
      <c r="BJ305" s="192" t="n">
        <v>0.3</v>
      </c>
    </row>
    <row r="306" customFormat="false" ht="12.75" hidden="false" customHeight="false" outlineLevel="0" collapsed="false">
      <c r="A306" s="194"/>
      <c r="B306" s="194"/>
      <c r="C306" s="200" t="n">
        <v>45931</v>
      </c>
      <c r="F306" s="194" t="n">
        <v>0.07163524756936</v>
      </c>
      <c r="V306" s="192" t="n">
        <v>0</v>
      </c>
      <c r="W306" s="192" t="n">
        <v>0.1975</v>
      </c>
      <c r="X306" s="192" t="n">
        <v>0.215</v>
      </c>
      <c r="AM306" s="192" t="n">
        <v>0.461</v>
      </c>
      <c r="AN306" s="192" t="n">
        <v>0.084968124</v>
      </c>
      <c r="AO306" s="192" t="n">
        <v>0</v>
      </c>
      <c r="AP306" s="192" t="n">
        <v>0</v>
      </c>
      <c r="AQ306" s="192" t="n">
        <v>0</v>
      </c>
      <c r="AS306" s="192" t="n">
        <v>0</v>
      </c>
      <c r="AT306" s="192" t="n">
        <v>0</v>
      </c>
      <c r="AU306" s="192" t="n">
        <v>0</v>
      </c>
      <c r="AV306" s="192" t="n">
        <v>0</v>
      </c>
      <c r="AW306" s="192" t="n">
        <v>0</v>
      </c>
      <c r="AX306" s="192" t="n">
        <v>0</v>
      </c>
      <c r="BD306" s="192" t="n">
        <v>0.049968124</v>
      </c>
      <c r="BF306" s="192" t="n">
        <v>-0.2</v>
      </c>
      <c r="BJ306" s="192" t="n">
        <v>0.37253</v>
      </c>
    </row>
    <row r="307" customFormat="false" ht="12.75" hidden="false" customHeight="false" outlineLevel="0" collapsed="false">
      <c r="C307" s="200" t="n">
        <v>45962</v>
      </c>
      <c r="F307" s="194" t="n">
        <v>0.071629859889839</v>
      </c>
      <c r="V307" s="192" t="n">
        <v>0</v>
      </c>
      <c r="W307" s="192" t="n">
        <v>0.2725</v>
      </c>
      <c r="X307" s="192" t="n">
        <v>0.315</v>
      </c>
      <c r="AM307" s="192" t="n">
        <v>0.885</v>
      </c>
      <c r="AN307" s="192" t="n">
        <v>0.005011287</v>
      </c>
      <c r="AO307" s="192" t="n">
        <v>0</v>
      </c>
      <c r="AP307" s="192" t="n">
        <v>0</v>
      </c>
      <c r="AQ307" s="192" t="n">
        <v>0</v>
      </c>
      <c r="AS307" s="192" t="n">
        <v>0</v>
      </c>
      <c r="AT307" s="192" t="n">
        <v>0</v>
      </c>
      <c r="AU307" s="192" t="n">
        <v>0</v>
      </c>
      <c r="AV307" s="192" t="n">
        <v>0</v>
      </c>
      <c r="AW307" s="192" t="n">
        <v>0</v>
      </c>
      <c r="AX307" s="192" t="n">
        <v>0</v>
      </c>
      <c r="BD307" s="192" t="n">
        <v>-0.029988713</v>
      </c>
      <c r="BF307" s="192" t="n">
        <v>-0.2</v>
      </c>
      <c r="BJ307" s="192" t="n">
        <v>0.56</v>
      </c>
    </row>
    <row r="308" customFormat="false" ht="12.75" hidden="false" customHeight="false" outlineLevel="0" collapsed="false">
      <c r="C308" s="200" t="n">
        <v>45992</v>
      </c>
      <c r="F308" s="194" t="n">
        <v>0.07162464600644</v>
      </c>
      <c r="V308" s="192" t="n">
        <v>0</v>
      </c>
      <c r="W308" s="192" t="n">
        <v>0.3075</v>
      </c>
      <c r="X308" s="192" t="n">
        <v>0.395</v>
      </c>
      <c r="AM308" s="192" t="n">
        <v>1.31</v>
      </c>
      <c r="AN308" s="192" t="n">
        <v>-0.009951938</v>
      </c>
      <c r="AO308" s="192" t="n">
        <v>0</v>
      </c>
      <c r="AP308" s="192" t="n">
        <v>0</v>
      </c>
      <c r="AQ308" s="192" t="n">
        <v>0</v>
      </c>
      <c r="AS308" s="192" t="n">
        <v>0</v>
      </c>
      <c r="AT308" s="192" t="n">
        <v>0</v>
      </c>
      <c r="AU308" s="192" t="n">
        <v>0</v>
      </c>
      <c r="AV308" s="192" t="n">
        <v>0</v>
      </c>
      <c r="AW308" s="192" t="n">
        <v>0</v>
      </c>
      <c r="AX308" s="192" t="n">
        <v>0</v>
      </c>
      <c r="BD308" s="192" t="n">
        <v>-0.044951938</v>
      </c>
      <c r="BF308" s="192" t="n">
        <v>-0.2</v>
      </c>
      <c r="BJ308" s="192" t="n">
        <v>0.91</v>
      </c>
    </row>
    <row r="309" customFormat="false" ht="12.75" hidden="false" customHeight="false" outlineLevel="0" collapsed="false">
      <c r="C309" s="200" t="n">
        <v>46023</v>
      </c>
      <c r="F309" s="194" t="n">
        <v>0.071619258326937</v>
      </c>
      <c r="V309" s="192" t="n">
        <v>0</v>
      </c>
      <c r="W309" s="192" t="n">
        <v>0.3125</v>
      </c>
      <c r="X309" s="192" t="n">
        <v>0.465</v>
      </c>
      <c r="AM309" s="192" t="n">
        <v>1.645</v>
      </c>
      <c r="AN309" s="192" t="n">
        <v>-0.004955184</v>
      </c>
      <c r="AO309" s="192" t="n">
        <v>0</v>
      </c>
      <c r="AP309" s="192" t="n">
        <v>0</v>
      </c>
      <c r="AQ309" s="192" t="n">
        <v>0</v>
      </c>
      <c r="AS309" s="192" t="n">
        <v>0</v>
      </c>
      <c r="AT309" s="192" t="n">
        <v>0</v>
      </c>
      <c r="AU309" s="192" t="n">
        <v>0</v>
      </c>
      <c r="AV309" s="192" t="n">
        <v>0</v>
      </c>
      <c r="AW309" s="192" t="n">
        <v>0</v>
      </c>
      <c r="AX309" s="192" t="n">
        <v>0</v>
      </c>
      <c r="BD309" s="192" t="n">
        <v>-0.039955184</v>
      </c>
      <c r="BF309" s="192" t="n">
        <v>0</v>
      </c>
      <c r="BJ309" s="192" t="n">
        <v>1.235</v>
      </c>
    </row>
    <row r="310" customFormat="false" ht="12.75" hidden="false" customHeight="false" outlineLevel="0" collapsed="false">
      <c r="C310" s="200" t="n">
        <v>46054</v>
      </c>
      <c r="F310" s="194" t="n">
        <v>0.071613870647444</v>
      </c>
      <c r="V310" s="192" t="n">
        <v>0</v>
      </c>
      <c r="W310" s="192" t="n">
        <v>0.3125</v>
      </c>
      <c r="X310" s="192" t="n">
        <v>0.435</v>
      </c>
      <c r="AM310" s="192" t="n">
        <v>1.595</v>
      </c>
      <c r="AN310" s="192" t="n">
        <v>0.020042577</v>
      </c>
      <c r="AO310" s="192" t="n">
        <v>0</v>
      </c>
      <c r="AP310" s="192" t="n">
        <v>0</v>
      </c>
      <c r="AQ310" s="192" t="n">
        <v>0</v>
      </c>
      <c r="AS310" s="192" t="n">
        <v>0</v>
      </c>
      <c r="AT310" s="192" t="n">
        <v>0</v>
      </c>
      <c r="AU310" s="192" t="n">
        <v>0</v>
      </c>
      <c r="AV310" s="192" t="n">
        <v>0</v>
      </c>
      <c r="AW310" s="192" t="n">
        <v>0</v>
      </c>
      <c r="AX310" s="192" t="n">
        <v>0</v>
      </c>
      <c r="BD310" s="192" t="n">
        <v>-0.014957423</v>
      </c>
      <c r="BF310" s="192" t="n">
        <v>0</v>
      </c>
      <c r="BJ310" s="192" t="n">
        <v>1.235</v>
      </c>
    </row>
    <row r="311" customFormat="false" ht="12.75" hidden="false" customHeight="false" outlineLevel="0" collapsed="false">
      <c r="C311" s="200" t="n">
        <v>46082</v>
      </c>
      <c r="F311" s="194" t="n">
        <v>0.071609004356297</v>
      </c>
      <c r="V311" s="192" t="n">
        <v>0</v>
      </c>
      <c r="W311" s="192" t="n">
        <v>0.27</v>
      </c>
      <c r="X311" s="192" t="n">
        <v>0.39</v>
      </c>
      <c r="AM311" s="192" t="n">
        <v>0.965</v>
      </c>
      <c r="AN311" s="192" t="n">
        <v>0.030042577</v>
      </c>
      <c r="AO311" s="192" t="n">
        <v>0</v>
      </c>
      <c r="AP311" s="192" t="n">
        <v>0</v>
      </c>
      <c r="AQ311" s="192" t="n">
        <v>0</v>
      </c>
      <c r="AS311" s="192" t="n">
        <v>0</v>
      </c>
      <c r="AT311" s="192" t="n">
        <v>0</v>
      </c>
      <c r="AU311" s="192" t="n">
        <v>0</v>
      </c>
      <c r="AV311" s="192" t="n">
        <v>0</v>
      </c>
      <c r="AW311" s="192" t="n">
        <v>0</v>
      </c>
      <c r="AX311" s="192" t="n">
        <v>0</v>
      </c>
      <c r="BD311" s="192" t="n">
        <v>-0.004957423</v>
      </c>
      <c r="BF311" s="192" t="n">
        <v>0</v>
      </c>
      <c r="BJ311" s="192" t="n">
        <v>0.875</v>
      </c>
    </row>
    <row r="312" customFormat="false" ht="12.75" hidden="false" customHeight="false" outlineLevel="0" collapsed="false">
      <c r="C312" s="200" t="n">
        <v>46113</v>
      </c>
      <c r="F312" s="194" t="n">
        <v>0.071603616676822</v>
      </c>
      <c r="V312" s="192" t="n">
        <v>0</v>
      </c>
      <c r="W312" s="192" t="n">
        <v>0.205</v>
      </c>
      <c r="X312" s="192" t="n">
        <v>0.25</v>
      </c>
      <c r="AM312" s="192" t="n">
        <v>0.45</v>
      </c>
      <c r="AN312" s="192" t="n">
        <v>0.089976639</v>
      </c>
      <c r="AO312" s="192" t="n">
        <v>0</v>
      </c>
      <c r="AP312" s="192" t="n">
        <v>0</v>
      </c>
      <c r="AQ312" s="192" t="n">
        <v>0</v>
      </c>
      <c r="AS312" s="192" t="n">
        <v>0</v>
      </c>
      <c r="AT312" s="192" t="n">
        <v>0</v>
      </c>
      <c r="AU312" s="192" t="n">
        <v>0</v>
      </c>
      <c r="AV312" s="192" t="n">
        <v>0</v>
      </c>
      <c r="AW312" s="192" t="n">
        <v>0</v>
      </c>
      <c r="AX312" s="192" t="n">
        <v>0</v>
      </c>
      <c r="BD312" s="192" t="n">
        <v>0.054976639</v>
      </c>
      <c r="BF312" s="192" t="n">
        <v>0</v>
      </c>
      <c r="BJ312" s="192" t="n">
        <v>0.365</v>
      </c>
    </row>
    <row r="313" customFormat="false" ht="12.75" hidden="false" customHeight="false" outlineLevel="0" collapsed="false">
      <c r="C313" s="200" t="n">
        <v>46143</v>
      </c>
      <c r="F313" s="194" t="n">
        <v>0.071598402793469</v>
      </c>
      <c r="V313" s="192" t="n">
        <v>0</v>
      </c>
      <c r="W313" s="192" t="n">
        <v>0.1925</v>
      </c>
      <c r="X313" s="192" t="n">
        <v>0.2025</v>
      </c>
      <c r="AM313" s="192" t="n">
        <v>0.405</v>
      </c>
      <c r="AN313" s="192" t="n">
        <v>0.089968124</v>
      </c>
      <c r="AO313" s="192" t="n">
        <v>0</v>
      </c>
      <c r="AP313" s="192" t="n">
        <v>0</v>
      </c>
      <c r="AQ313" s="192" t="n">
        <v>0</v>
      </c>
      <c r="AS313" s="192" t="n">
        <v>0</v>
      </c>
      <c r="AT313" s="192" t="n">
        <v>0</v>
      </c>
      <c r="AU313" s="192" t="n">
        <v>0</v>
      </c>
      <c r="AV313" s="192" t="n">
        <v>0</v>
      </c>
      <c r="AW313" s="192" t="n">
        <v>0</v>
      </c>
      <c r="AX313" s="192" t="n">
        <v>0</v>
      </c>
      <c r="BD313" s="192" t="n">
        <v>0.054968124</v>
      </c>
      <c r="BF313" s="192" t="n">
        <v>0</v>
      </c>
      <c r="BJ313" s="192" t="n">
        <v>0.2975</v>
      </c>
    </row>
    <row r="314" customFormat="false" ht="12.75" hidden="false" customHeight="false" outlineLevel="0" collapsed="false">
      <c r="C314" s="200" t="n">
        <v>46174</v>
      </c>
      <c r="F314" s="194" t="n">
        <v>0.071593015114013</v>
      </c>
      <c r="V314" s="192" t="n">
        <v>0</v>
      </c>
      <c r="W314" s="192" t="n">
        <v>0.1925</v>
      </c>
      <c r="X314" s="192" t="n">
        <v>0.2025</v>
      </c>
      <c r="AM314" s="192" t="n">
        <v>0.395</v>
      </c>
      <c r="AN314" s="192" t="n">
        <v>0.089968124</v>
      </c>
      <c r="AO314" s="192" t="n">
        <v>0</v>
      </c>
      <c r="AP314" s="192" t="n">
        <v>0</v>
      </c>
      <c r="AQ314" s="192" t="n">
        <v>0</v>
      </c>
      <c r="AS314" s="192" t="n">
        <v>0</v>
      </c>
      <c r="AT314" s="192" t="n">
        <v>0</v>
      </c>
      <c r="AU314" s="192" t="n">
        <v>0</v>
      </c>
      <c r="AV314" s="192" t="n">
        <v>0</v>
      </c>
      <c r="AW314" s="192" t="n">
        <v>0</v>
      </c>
      <c r="AX314" s="192" t="n">
        <v>0</v>
      </c>
      <c r="BD314" s="192" t="n">
        <v>0.054968124</v>
      </c>
      <c r="BF314" s="192" t="n">
        <v>0</v>
      </c>
      <c r="BJ314" s="192" t="n">
        <v>0.2975</v>
      </c>
    </row>
    <row r="315" customFormat="false" ht="12.75" hidden="false" customHeight="false" outlineLevel="0" collapsed="false">
      <c r="C315" s="200" t="n">
        <v>46204</v>
      </c>
      <c r="F315" s="194" t="n">
        <v>0.071587801230677</v>
      </c>
      <c r="V315" s="192" t="n">
        <v>0</v>
      </c>
      <c r="W315" s="192" t="n">
        <v>0.1925</v>
      </c>
      <c r="X315" s="192" t="n">
        <v>0.215</v>
      </c>
      <c r="AM315" s="192" t="n">
        <v>0.43</v>
      </c>
      <c r="AN315" s="192" t="n">
        <v>0.089968124</v>
      </c>
      <c r="AO315" s="192" t="n">
        <v>0</v>
      </c>
      <c r="AP315" s="192" t="n">
        <v>0</v>
      </c>
      <c r="AQ315" s="192" t="n">
        <v>0</v>
      </c>
      <c r="AS315" s="192" t="n">
        <v>0</v>
      </c>
      <c r="AT315" s="192" t="n">
        <v>0</v>
      </c>
      <c r="AU315" s="192" t="n">
        <v>0</v>
      </c>
      <c r="AV315" s="192" t="n">
        <v>0</v>
      </c>
      <c r="AW315" s="192" t="n">
        <v>0</v>
      </c>
      <c r="AX315" s="192" t="n">
        <v>0</v>
      </c>
      <c r="BD315" s="192" t="n">
        <v>0.054968124</v>
      </c>
      <c r="BF315" s="192" t="n">
        <v>0</v>
      </c>
      <c r="BJ315" s="192" t="n">
        <v>0.31</v>
      </c>
    </row>
    <row r="316" customFormat="false" ht="12.75" hidden="false" customHeight="false" outlineLevel="0" collapsed="false">
      <c r="C316" s="200" t="n">
        <v>46235</v>
      </c>
      <c r="F316" s="194" t="n">
        <v>0.071582413551241</v>
      </c>
      <c r="V316" s="192" t="n">
        <v>0</v>
      </c>
      <c r="W316" s="192" t="n">
        <v>0.1925</v>
      </c>
      <c r="X316" s="192" t="n">
        <v>0.215</v>
      </c>
      <c r="AM316" s="192" t="n">
        <v>0.495</v>
      </c>
      <c r="AN316" s="192" t="n">
        <v>0.089968124</v>
      </c>
      <c r="AO316" s="192" t="n">
        <v>0</v>
      </c>
      <c r="AP316" s="192" t="n">
        <v>0</v>
      </c>
      <c r="AQ316" s="192" t="n">
        <v>0</v>
      </c>
      <c r="AS316" s="192" t="n">
        <v>0</v>
      </c>
      <c r="AT316" s="192" t="n">
        <v>0</v>
      </c>
      <c r="AU316" s="192" t="n">
        <v>0</v>
      </c>
      <c r="AV316" s="192" t="n">
        <v>0</v>
      </c>
      <c r="AW316" s="192" t="n">
        <v>0</v>
      </c>
      <c r="AX316" s="192" t="n">
        <v>0</v>
      </c>
      <c r="BD316" s="192" t="n">
        <v>0.054968124</v>
      </c>
      <c r="BF316" s="192" t="n">
        <v>0</v>
      </c>
      <c r="BJ316" s="192" t="n">
        <v>0.31</v>
      </c>
    </row>
    <row r="317" customFormat="false" ht="12.75" hidden="false" customHeight="false" outlineLevel="0" collapsed="false">
      <c r="C317" s="200" t="n">
        <v>46266</v>
      </c>
      <c r="F317" s="194" t="n">
        <v>0.071577025871813</v>
      </c>
      <c r="V317" s="192" t="n">
        <v>0</v>
      </c>
      <c r="W317" s="192" t="n">
        <v>0.1925</v>
      </c>
      <c r="X317" s="192" t="n">
        <v>0.195</v>
      </c>
      <c r="AM317" s="192" t="n">
        <v>0.395</v>
      </c>
      <c r="AN317" s="192" t="n">
        <v>0.089968124</v>
      </c>
      <c r="AO317" s="192" t="n">
        <v>0</v>
      </c>
      <c r="AP317" s="192" t="n">
        <v>0</v>
      </c>
      <c r="AQ317" s="192" t="n">
        <v>0</v>
      </c>
      <c r="AS317" s="192" t="n">
        <v>0</v>
      </c>
      <c r="AT317" s="192" t="n">
        <v>0</v>
      </c>
      <c r="AU317" s="192" t="n">
        <v>0</v>
      </c>
      <c r="AV317" s="192" t="n">
        <v>0</v>
      </c>
      <c r="AW317" s="192" t="n">
        <v>0</v>
      </c>
      <c r="AX317" s="192" t="n">
        <v>0</v>
      </c>
      <c r="BD317" s="192" t="n">
        <v>0.054968124</v>
      </c>
      <c r="BF317" s="192" t="n">
        <v>0</v>
      </c>
      <c r="BJ317" s="192" t="n">
        <v>0.3</v>
      </c>
    </row>
    <row r="318" customFormat="false" ht="12.75" hidden="false" customHeight="false" outlineLevel="0" collapsed="false">
      <c r="C318" s="200" t="n">
        <v>46296</v>
      </c>
      <c r="F318" s="194" t="n">
        <v>0.071571811988505</v>
      </c>
      <c r="V318" s="192" t="n">
        <v>0</v>
      </c>
      <c r="W318" s="192" t="n">
        <v>0.1975</v>
      </c>
      <c r="X318" s="192" t="n">
        <v>0.215</v>
      </c>
      <c r="AM318" s="192" t="n">
        <v>0.461</v>
      </c>
      <c r="AN318" s="192" t="n">
        <v>0.089968124</v>
      </c>
      <c r="AO318" s="192" t="n">
        <v>0</v>
      </c>
      <c r="AP318" s="192" t="n">
        <v>0</v>
      </c>
      <c r="AQ318" s="192" t="n">
        <v>0</v>
      </c>
      <c r="AS318" s="192" t="n">
        <v>0</v>
      </c>
      <c r="AT318" s="192" t="n">
        <v>0</v>
      </c>
      <c r="AU318" s="192" t="n">
        <v>0</v>
      </c>
      <c r="AV318" s="192" t="n">
        <v>0</v>
      </c>
      <c r="AW318" s="192" t="n">
        <v>0</v>
      </c>
      <c r="AX318" s="192" t="n">
        <v>0</v>
      </c>
      <c r="BD318" s="192" t="n">
        <v>0.054968124</v>
      </c>
      <c r="BF318" s="192" t="n">
        <v>0</v>
      </c>
      <c r="BJ318" s="192" t="n">
        <v>0.37253</v>
      </c>
    </row>
    <row r="319" customFormat="false" ht="12.75" hidden="false" customHeight="false" outlineLevel="0" collapsed="false">
      <c r="C319" s="200" t="n">
        <v>46327</v>
      </c>
      <c r="F319" s="194" t="n">
        <v>0.071566424309097</v>
      </c>
      <c r="V319" s="192" t="n">
        <v>0</v>
      </c>
      <c r="W319" s="192" t="n">
        <v>0.2725</v>
      </c>
      <c r="X319" s="192" t="n">
        <v>0.315</v>
      </c>
      <c r="AM319" s="192" t="n">
        <v>0.885</v>
      </c>
      <c r="AN319" s="192" t="n">
        <v>0.010011287</v>
      </c>
      <c r="AO319" s="192" t="n">
        <v>0</v>
      </c>
      <c r="AP319" s="192" t="n">
        <v>0</v>
      </c>
      <c r="AQ319" s="192" t="n">
        <v>0</v>
      </c>
      <c r="AS319" s="192" t="n">
        <v>0</v>
      </c>
      <c r="AT319" s="192" t="n">
        <v>0</v>
      </c>
      <c r="AU319" s="192" t="n">
        <v>0</v>
      </c>
      <c r="AV319" s="192" t="n">
        <v>0</v>
      </c>
      <c r="AW319" s="192" t="n">
        <v>0</v>
      </c>
      <c r="AX319" s="192" t="n">
        <v>0</v>
      </c>
      <c r="BD319" s="192" t="n">
        <v>-0.024988713</v>
      </c>
      <c r="BF319" s="192" t="n">
        <v>0</v>
      </c>
      <c r="BJ319" s="192" t="n">
        <v>0.56</v>
      </c>
    </row>
    <row r="320" customFormat="false" ht="12.75" hidden="false" customHeight="false" outlineLevel="0" collapsed="false">
      <c r="C320" s="200" t="n">
        <v>46357</v>
      </c>
      <c r="F320" s="194" t="n">
        <v>0.071561210425807</v>
      </c>
      <c r="V320" s="192" t="n">
        <v>0</v>
      </c>
      <c r="W320" s="192" t="n">
        <v>0.3075</v>
      </c>
      <c r="X320" s="192" t="n">
        <v>0.395</v>
      </c>
      <c r="AM320" s="192" t="n">
        <v>1.31</v>
      </c>
      <c r="AN320" s="192" t="n">
        <v>-0.004951938</v>
      </c>
      <c r="AO320" s="192" t="n">
        <v>0</v>
      </c>
      <c r="AP320" s="192" t="n">
        <v>0</v>
      </c>
      <c r="AQ320" s="192" t="n">
        <v>0</v>
      </c>
      <c r="AS320" s="192" t="n">
        <v>0</v>
      </c>
      <c r="AT320" s="192" t="n">
        <v>0</v>
      </c>
      <c r="AU320" s="192" t="n">
        <v>0</v>
      </c>
      <c r="AV320" s="192" t="n">
        <v>0</v>
      </c>
      <c r="AW320" s="192" t="n">
        <v>0</v>
      </c>
      <c r="AX320" s="192" t="n">
        <v>0</v>
      </c>
      <c r="BD320" s="192" t="n">
        <v>-0.039951938</v>
      </c>
      <c r="BF320" s="192" t="n">
        <v>0</v>
      </c>
      <c r="BJ320" s="192" t="n">
        <v>0.91</v>
      </c>
    </row>
    <row r="321" customFormat="false" ht="12.75" hidden="false" customHeight="false" outlineLevel="0" collapsed="false">
      <c r="C321" s="200" t="n">
        <v>46388</v>
      </c>
      <c r="F321" s="194" t="n">
        <v>0.071555822746417</v>
      </c>
      <c r="V321" s="192" t="n">
        <v>0</v>
      </c>
      <c r="W321" s="192" t="n">
        <v>0.3125</v>
      </c>
      <c r="X321" s="192" t="n">
        <v>0.465</v>
      </c>
      <c r="AM321" s="192" t="n">
        <v>1.645</v>
      </c>
      <c r="AN321" s="192" t="n">
        <v>4.4816E-005</v>
      </c>
      <c r="AO321" s="192" t="n">
        <v>0</v>
      </c>
      <c r="AP321" s="192" t="n">
        <v>0</v>
      </c>
      <c r="AQ321" s="192" t="n">
        <v>0</v>
      </c>
      <c r="AS321" s="192" t="n">
        <v>0</v>
      </c>
      <c r="AT321" s="192" t="n">
        <v>0</v>
      </c>
      <c r="AU321" s="192" t="n">
        <v>0</v>
      </c>
      <c r="AV321" s="192" t="n">
        <v>0</v>
      </c>
      <c r="AW321" s="192" t="n">
        <v>0</v>
      </c>
      <c r="AX321" s="192" t="n">
        <v>0</v>
      </c>
      <c r="BD321" s="192" t="n">
        <v>-0.034955184</v>
      </c>
      <c r="BF321" s="192" t="n">
        <v>0</v>
      </c>
      <c r="BJ321" s="192" t="n">
        <v>1.235</v>
      </c>
    </row>
    <row r="322" customFormat="false" ht="12.75" hidden="false" customHeight="false" outlineLevel="0" collapsed="false">
      <c r="C322" s="200" t="n">
        <v>46419</v>
      </c>
      <c r="F322" s="194" t="n">
        <v>0.071550435067037</v>
      </c>
      <c r="V322" s="192" t="n">
        <v>0</v>
      </c>
      <c r="W322" s="192" t="n">
        <v>0.3125</v>
      </c>
      <c r="X322" s="192" t="n">
        <v>0.435</v>
      </c>
      <c r="AM322" s="192" t="n">
        <v>1.595</v>
      </c>
      <c r="AN322" s="192" t="n">
        <v>0.025042577</v>
      </c>
      <c r="AO322" s="192" t="n">
        <v>0</v>
      </c>
      <c r="AP322" s="192" t="n">
        <v>0</v>
      </c>
      <c r="AQ322" s="192" t="n">
        <v>0</v>
      </c>
      <c r="AS322" s="192" t="n">
        <v>0</v>
      </c>
      <c r="AT322" s="192" t="n">
        <v>0</v>
      </c>
      <c r="AU322" s="192" t="n">
        <v>0</v>
      </c>
      <c r="AV322" s="192" t="n">
        <v>0</v>
      </c>
      <c r="AW322" s="192" t="n">
        <v>0</v>
      </c>
      <c r="AX322" s="192" t="n">
        <v>0</v>
      </c>
      <c r="BD322" s="192" t="n">
        <v>-0.009957423</v>
      </c>
      <c r="BF322" s="192" t="n">
        <v>0</v>
      </c>
      <c r="BJ322" s="192" t="n">
        <v>1.235</v>
      </c>
    </row>
    <row r="323" customFormat="false" ht="12.75" hidden="false" customHeight="false" outlineLevel="0" collapsed="false">
      <c r="C323" s="200" t="n">
        <v>46447</v>
      </c>
      <c r="F323" s="194" t="n">
        <v>0.071545568776</v>
      </c>
      <c r="V323" s="192" t="n">
        <v>0</v>
      </c>
      <c r="W323" s="192" t="n">
        <v>0.27</v>
      </c>
      <c r="X323" s="192" t="n">
        <v>0.39</v>
      </c>
      <c r="AM323" s="192" t="n">
        <v>0.965</v>
      </c>
      <c r="AN323" s="192" t="n">
        <v>0.035042577</v>
      </c>
      <c r="AO323" s="192" t="n">
        <v>0</v>
      </c>
      <c r="AP323" s="192" t="n">
        <v>0</v>
      </c>
      <c r="AQ323" s="192" t="n">
        <v>0</v>
      </c>
      <c r="AS323" s="192" t="n">
        <v>0</v>
      </c>
      <c r="AT323" s="192" t="n">
        <v>0</v>
      </c>
      <c r="AU323" s="192" t="n">
        <v>0</v>
      </c>
      <c r="AV323" s="192" t="n">
        <v>0</v>
      </c>
      <c r="AW323" s="192" t="n">
        <v>0</v>
      </c>
      <c r="AX323" s="192" t="n">
        <v>0</v>
      </c>
      <c r="BD323" s="192" t="n">
        <v>4.2577000000002E-005</v>
      </c>
      <c r="BF323" s="192" t="n">
        <v>0</v>
      </c>
      <c r="BJ323" s="192" t="n">
        <v>0.875</v>
      </c>
    </row>
    <row r="324" customFormat="false" ht="12.75" hidden="false" customHeight="false" outlineLevel="0" collapsed="false">
      <c r="C324" s="200" t="n">
        <v>46478</v>
      </c>
      <c r="F324" s="194" t="n">
        <v>0.07154018109663</v>
      </c>
      <c r="V324" s="192" t="n">
        <v>0</v>
      </c>
      <c r="W324" s="192" t="n">
        <v>0.205</v>
      </c>
      <c r="X324" s="192" t="n">
        <v>0.25</v>
      </c>
      <c r="AM324" s="192" t="n">
        <v>0.45</v>
      </c>
      <c r="AN324" s="192" t="n">
        <v>0.094976639</v>
      </c>
      <c r="AO324" s="192" t="n">
        <v>0</v>
      </c>
      <c r="AP324" s="192" t="n">
        <v>0</v>
      </c>
      <c r="AQ324" s="192" t="n">
        <v>0</v>
      </c>
      <c r="AS324" s="192" t="n">
        <v>0</v>
      </c>
      <c r="AT324" s="192" t="n">
        <v>0</v>
      </c>
      <c r="AU324" s="192" t="n">
        <v>0</v>
      </c>
      <c r="AV324" s="192" t="n">
        <v>0</v>
      </c>
      <c r="AW324" s="192" t="n">
        <v>0</v>
      </c>
      <c r="AX324" s="192" t="n">
        <v>0</v>
      </c>
      <c r="BD324" s="192" t="n">
        <v>0.059976639</v>
      </c>
      <c r="BF324" s="192" t="n">
        <v>0</v>
      </c>
      <c r="BJ324" s="192" t="n">
        <v>0.365</v>
      </c>
    </row>
    <row r="325" customFormat="false" ht="12.75" hidden="false" customHeight="false" outlineLevel="0" collapsed="false">
      <c r="C325" s="200" t="n">
        <v>46508</v>
      </c>
      <c r="F325" s="194" t="n">
        <v>0.071534967213386</v>
      </c>
      <c r="V325" s="192" t="n">
        <v>0</v>
      </c>
      <c r="W325" s="192" t="n">
        <v>0.1925</v>
      </c>
      <c r="X325" s="192" t="n">
        <v>0.2025</v>
      </c>
      <c r="AM325" s="192" t="n">
        <v>0.405</v>
      </c>
      <c r="AN325" s="192" t="n">
        <v>0.094968124</v>
      </c>
      <c r="AO325" s="192" t="n">
        <v>0</v>
      </c>
      <c r="AP325" s="192" t="n">
        <v>0</v>
      </c>
      <c r="AQ325" s="192" t="n">
        <v>0</v>
      </c>
      <c r="AS325" s="192" t="n">
        <v>0</v>
      </c>
      <c r="AT325" s="192" t="n">
        <v>0</v>
      </c>
      <c r="AU325" s="192" t="n">
        <v>0</v>
      </c>
      <c r="AV325" s="192" t="n">
        <v>0</v>
      </c>
      <c r="AW325" s="192" t="n">
        <v>0</v>
      </c>
      <c r="AX325" s="192" t="n">
        <v>0</v>
      </c>
      <c r="BD325" s="192" t="n">
        <v>0.059968124</v>
      </c>
      <c r="BF325" s="192" t="n">
        <v>0</v>
      </c>
      <c r="BJ325" s="192" t="n">
        <v>0.2975</v>
      </c>
    </row>
    <row r="326" customFormat="false" ht="12.75" hidden="false" customHeight="false" outlineLevel="0" collapsed="false">
      <c r="C326" s="200" t="n">
        <v>46539</v>
      </c>
      <c r="F326" s="194" t="n">
        <v>0.071529579534043</v>
      </c>
      <c r="V326" s="192" t="n">
        <v>0</v>
      </c>
      <c r="W326" s="192" t="n">
        <v>0.1925</v>
      </c>
      <c r="X326" s="192" t="n">
        <v>0.2025</v>
      </c>
      <c r="AM326" s="192" t="n">
        <v>0.395</v>
      </c>
      <c r="AN326" s="192" t="n">
        <v>0.094968124</v>
      </c>
      <c r="AO326" s="192" t="n">
        <v>0</v>
      </c>
      <c r="AP326" s="192" t="n">
        <v>0</v>
      </c>
      <c r="AQ326" s="192" t="n">
        <v>0</v>
      </c>
      <c r="AS326" s="192" t="n">
        <v>0</v>
      </c>
      <c r="AT326" s="192" t="n">
        <v>0</v>
      </c>
      <c r="AU326" s="192" t="n">
        <v>0</v>
      </c>
      <c r="AV326" s="192" t="n">
        <v>0</v>
      </c>
      <c r="AW326" s="192" t="n">
        <v>0</v>
      </c>
      <c r="AX326" s="192" t="n">
        <v>0</v>
      </c>
      <c r="BD326" s="192" t="n">
        <v>0.059968124</v>
      </c>
      <c r="BF326" s="192" t="n">
        <v>0</v>
      </c>
      <c r="BJ326" s="192" t="n">
        <v>0.2975</v>
      </c>
    </row>
    <row r="327" customFormat="false" ht="12.75" hidden="false" customHeight="false" outlineLevel="0" collapsed="false">
      <c r="C327" s="200" t="n">
        <v>46569</v>
      </c>
      <c r="F327" s="194" t="n">
        <v>0.071524365650817</v>
      </c>
      <c r="V327" s="192" t="n">
        <v>0</v>
      </c>
      <c r="W327" s="192" t="n">
        <v>0.1925</v>
      </c>
      <c r="X327" s="192" t="n">
        <v>0.215</v>
      </c>
      <c r="AM327" s="192" t="n">
        <v>0.43</v>
      </c>
      <c r="AN327" s="192" t="n">
        <v>0.094968124</v>
      </c>
      <c r="AO327" s="192" t="n">
        <v>0</v>
      </c>
      <c r="AP327" s="192" t="n">
        <v>0</v>
      </c>
      <c r="AQ327" s="192" t="n">
        <v>0</v>
      </c>
      <c r="AS327" s="192" t="n">
        <v>0</v>
      </c>
      <c r="AT327" s="192" t="n">
        <v>0</v>
      </c>
      <c r="AU327" s="192" t="n">
        <v>0</v>
      </c>
      <c r="AV327" s="192" t="n">
        <v>0</v>
      </c>
      <c r="AW327" s="192" t="n">
        <v>0</v>
      </c>
      <c r="AX327" s="192" t="n">
        <v>0</v>
      </c>
      <c r="BD327" s="192" t="n">
        <v>0.059968124</v>
      </c>
      <c r="BF327" s="192" t="n">
        <v>0</v>
      </c>
      <c r="BJ327" s="192" t="n">
        <v>0.31</v>
      </c>
    </row>
    <row r="328" customFormat="false" ht="12.75" hidden="false" customHeight="false" outlineLevel="0" collapsed="false">
      <c r="C328" s="200" t="n">
        <v>46600</v>
      </c>
      <c r="F328" s="194" t="n">
        <v>0.071518977971492</v>
      </c>
      <c r="V328" s="192" t="n">
        <v>0</v>
      </c>
      <c r="W328" s="192" t="n">
        <v>0.1925</v>
      </c>
      <c r="X328" s="192" t="n">
        <v>0.215</v>
      </c>
      <c r="AM328" s="192" t="n">
        <v>0.495</v>
      </c>
      <c r="AN328" s="192" t="n">
        <v>0.094968124</v>
      </c>
      <c r="AO328" s="192" t="n">
        <v>0</v>
      </c>
      <c r="AP328" s="192" t="n">
        <v>0</v>
      </c>
      <c r="AQ328" s="192" t="n">
        <v>0</v>
      </c>
      <c r="AS328" s="192" t="n">
        <v>0</v>
      </c>
      <c r="AT328" s="192" t="n">
        <v>0</v>
      </c>
      <c r="AU328" s="192" t="n">
        <v>0</v>
      </c>
      <c r="AV328" s="192" t="n">
        <v>0</v>
      </c>
      <c r="AW328" s="192" t="n">
        <v>0</v>
      </c>
      <c r="AX328" s="192" t="n">
        <v>0</v>
      </c>
      <c r="BD328" s="192" t="n">
        <v>0.059968124</v>
      </c>
      <c r="BF328" s="192" t="n">
        <v>0</v>
      </c>
      <c r="BJ328" s="192" t="n">
        <v>0.31</v>
      </c>
    </row>
    <row r="329" customFormat="false" ht="12.75" hidden="false" customHeight="false" outlineLevel="0" collapsed="false">
      <c r="C329" s="200" t="n">
        <v>46631</v>
      </c>
      <c r="F329" s="194" t="n">
        <v>0.071513590292178</v>
      </c>
      <c r="V329" s="192" t="n">
        <v>0</v>
      </c>
      <c r="W329" s="192" t="n">
        <v>0.1925</v>
      </c>
      <c r="X329" s="192" t="n">
        <v>0.195</v>
      </c>
      <c r="AM329" s="192" t="n">
        <v>0.395</v>
      </c>
      <c r="AN329" s="192" t="n">
        <v>0.094968124</v>
      </c>
      <c r="AO329" s="192" t="n">
        <v>0</v>
      </c>
      <c r="AP329" s="192" t="n">
        <v>0</v>
      </c>
      <c r="AQ329" s="192" t="n">
        <v>0</v>
      </c>
      <c r="AS329" s="192" t="n">
        <v>0</v>
      </c>
      <c r="AT329" s="192" t="n">
        <v>0</v>
      </c>
      <c r="AU329" s="192" t="n">
        <v>0</v>
      </c>
      <c r="AV329" s="192" t="n">
        <v>0</v>
      </c>
      <c r="AW329" s="192" t="n">
        <v>0</v>
      </c>
      <c r="AX329" s="192" t="n">
        <v>0</v>
      </c>
      <c r="BD329" s="192" t="n">
        <v>0.059968124</v>
      </c>
      <c r="BF329" s="192" t="n">
        <v>0</v>
      </c>
      <c r="BJ329" s="192" t="n">
        <v>0.3</v>
      </c>
    </row>
    <row r="330" customFormat="false" ht="12.75" hidden="false" customHeight="false" outlineLevel="0" collapsed="false">
      <c r="C330" s="200" t="n">
        <v>46661</v>
      </c>
      <c r="F330" s="194" t="n">
        <v>0.07150837640898</v>
      </c>
      <c r="V330" s="192" t="n">
        <v>0</v>
      </c>
      <c r="W330" s="192" t="n">
        <v>0.1975</v>
      </c>
      <c r="X330" s="192" t="n">
        <v>0.215</v>
      </c>
      <c r="AM330" s="192" t="n">
        <v>0.461</v>
      </c>
      <c r="AN330" s="192" t="n">
        <v>0.094968124</v>
      </c>
      <c r="AO330" s="192" t="n">
        <v>0</v>
      </c>
      <c r="AP330" s="192" t="n">
        <v>0</v>
      </c>
      <c r="AQ330" s="192" t="n">
        <v>0</v>
      </c>
      <c r="AS330" s="192" t="n">
        <v>0</v>
      </c>
      <c r="AT330" s="192" t="n">
        <v>0</v>
      </c>
      <c r="AU330" s="192" t="n">
        <v>0</v>
      </c>
      <c r="AV330" s="192" t="n">
        <v>0</v>
      </c>
      <c r="AW330" s="192" t="n">
        <v>0</v>
      </c>
      <c r="AX330" s="192" t="n">
        <v>0</v>
      </c>
      <c r="BD330" s="192" t="n">
        <v>0.059968124</v>
      </c>
      <c r="BF330" s="192" t="n">
        <v>0</v>
      </c>
      <c r="BJ330" s="192" t="n">
        <v>0.37253</v>
      </c>
    </row>
    <row r="331" customFormat="false" ht="12.75" hidden="false" customHeight="false" outlineLevel="0" collapsed="false">
      <c r="C331" s="200" t="n">
        <v>46692</v>
      </c>
      <c r="F331" s="194" t="n">
        <v>0.071502988729684</v>
      </c>
      <c r="V331" s="192" t="n">
        <v>0</v>
      </c>
      <c r="W331" s="192" t="n">
        <v>0.2725</v>
      </c>
      <c r="X331" s="192" t="n">
        <v>0.315</v>
      </c>
      <c r="AM331" s="192" t="n">
        <v>0.885</v>
      </c>
      <c r="AN331" s="192" t="n">
        <v>0.015011287</v>
      </c>
      <c r="AO331" s="192" t="n">
        <v>0</v>
      </c>
      <c r="AP331" s="192" t="n">
        <v>0</v>
      </c>
      <c r="AQ331" s="192" t="n">
        <v>0</v>
      </c>
      <c r="AS331" s="192" t="n">
        <v>0</v>
      </c>
      <c r="AT331" s="192" t="n">
        <v>0</v>
      </c>
      <c r="AU331" s="192" t="n">
        <v>0</v>
      </c>
      <c r="AV331" s="192" t="n">
        <v>0</v>
      </c>
      <c r="AW331" s="192" t="n">
        <v>0</v>
      </c>
      <c r="AX331" s="192" t="n">
        <v>0</v>
      </c>
      <c r="BD331" s="192" t="n">
        <v>-0.019988713</v>
      </c>
      <c r="BF331" s="192" t="n">
        <v>0</v>
      </c>
      <c r="BJ331" s="192" t="n">
        <v>0.56</v>
      </c>
    </row>
    <row r="332" customFormat="false" ht="12.75" hidden="false" customHeight="false" outlineLevel="0" collapsed="false">
      <c r="C332" s="200" t="n">
        <v>46722</v>
      </c>
      <c r="F332" s="194" t="n">
        <v>0.071497774846504</v>
      </c>
      <c r="V332" s="192" t="n">
        <v>0</v>
      </c>
      <c r="W332" s="192" t="n">
        <v>0.3075</v>
      </c>
      <c r="X332" s="192" t="n">
        <v>0.395</v>
      </c>
      <c r="AM332" s="192" t="n">
        <v>1.31</v>
      </c>
      <c r="AN332" s="192" t="n">
        <v>4.8062E-005</v>
      </c>
      <c r="AO332" s="192" t="n">
        <v>0</v>
      </c>
      <c r="AP332" s="192" t="n">
        <v>0</v>
      </c>
      <c r="AQ332" s="192" t="n">
        <v>0</v>
      </c>
      <c r="AS332" s="192" t="n">
        <v>0</v>
      </c>
      <c r="AT332" s="192" t="n">
        <v>0</v>
      </c>
      <c r="AU332" s="192" t="n">
        <v>0</v>
      </c>
      <c r="AV332" s="192" t="n">
        <v>0</v>
      </c>
      <c r="AW332" s="192" t="n">
        <v>0</v>
      </c>
      <c r="AX332" s="192" t="n">
        <v>0</v>
      </c>
      <c r="BD332" s="192" t="n">
        <v>-0.034951938</v>
      </c>
      <c r="BF332" s="192" t="n">
        <v>0</v>
      </c>
      <c r="BJ332" s="192" t="n">
        <v>0.91</v>
      </c>
    </row>
    <row r="333" customFormat="false" ht="12.75" hidden="false" customHeight="false" outlineLevel="0" collapsed="false">
      <c r="C333" s="200" t="n">
        <v>46753</v>
      </c>
      <c r="F333" s="194" t="n">
        <v>0.071492387167227</v>
      </c>
      <c r="V333" s="192" t="n">
        <v>0</v>
      </c>
      <c r="W333" s="192" t="n">
        <v>0.3125</v>
      </c>
      <c r="X333" s="192" t="n">
        <v>0.465</v>
      </c>
      <c r="AM333" s="192" t="n">
        <v>1.645</v>
      </c>
      <c r="AN333" s="192" t="n">
        <v>0.005044816</v>
      </c>
      <c r="AO333" s="192" t="n">
        <v>0</v>
      </c>
      <c r="AP333" s="192" t="n">
        <v>0</v>
      </c>
      <c r="AQ333" s="192" t="n">
        <v>0</v>
      </c>
      <c r="AS333" s="192" t="n">
        <v>0</v>
      </c>
      <c r="AT333" s="192" t="n">
        <v>0</v>
      </c>
      <c r="AU333" s="192" t="n">
        <v>0</v>
      </c>
      <c r="AV333" s="192" t="n">
        <v>0</v>
      </c>
      <c r="AW333" s="192" t="n">
        <v>0</v>
      </c>
      <c r="AX333" s="192" t="n">
        <v>0</v>
      </c>
      <c r="BD333" s="192" t="n">
        <v>-0.029955184</v>
      </c>
      <c r="BF333" s="192" t="n">
        <v>0</v>
      </c>
      <c r="BJ333" s="192" t="n">
        <v>1.235</v>
      </c>
    </row>
    <row r="334" customFormat="false" ht="12.75" hidden="false" customHeight="false" outlineLevel="0" collapsed="false">
      <c r="C334" s="200" t="n">
        <v>46784</v>
      </c>
      <c r="F334" s="194" t="n">
        <v>0.07148699948796</v>
      </c>
      <c r="V334" s="192" t="n">
        <v>0</v>
      </c>
      <c r="W334" s="192" t="n">
        <v>0.3125</v>
      </c>
      <c r="X334" s="192" t="n">
        <v>0.435</v>
      </c>
      <c r="AM334" s="192" t="n">
        <v>1.595</v>
      </c>
      <c r="AN334" s="192" t="n">
        <v>0.030042577</v>
      </c>
      <c r="AO334" s="192" t="n">
        <v>0</v>
      </c>
      <c r="AP334" s="192" t="n">
        <v>0</v>
      </c>
      <c r="AQ334" s="192" t="n">
        <v>0</v>
      </c>
      <c r="AS334" s="192" t="n">
        <v>0</v>
      </c>
      <c r="AT334" s="192" t="n">
        <v>0</v>
      </c>
      <c r="AU334" s="192" t="n">
        <v>0</v>
      </c>
      <c r="AV334" s="192" t="n">
        <v>0</v>
      </c>
      <c r="AW334" s="192" t="n">
        <v>0</v>
      </c>
      <c r="AX334" s="192" t="n">
        <v>0</v>
      </c>
      <c r="BD334" s="192" t="n">
        <v>-0.004957423</v>
      </c>
      <c r="BF334" s="192" t="n">
        <v>0</v>
      </c>
      <c r="BJ334" s="192" t="n">
        <v>1.235</v>
      </c>
    </row>
    <row r="335" customFormat="false" ht="12.75" hidden="false" customHeight="false" outlineLevel="0" collapsed="false">
      <c r="C335" s="200" t="n">
        <v>46813</v>
      </c>
      <c r="F335" s="194" t="n">
        <v>0.071481959400912</v>
      </c>
      <c r="V335" s="192" t="n">
        <v>0</v>
      </c>
      <c r="W335" s="192" t="n">
        <v>0.27</v>
      </c>
      <c r="X335" s="192" t="n">
        <v>0.39</v>
      </c>
      <c r="AM335" s="192" t="n">
        <v>0.965</v>
      </c>
      <c r="AN335" s="192" t="n">
        <v>0.040042577</v>
      </c>
      <c r="AO335" s="192" t="n">
        <v>0</v>
      </c>
      <c r="AP335" s="192" t="n">
        <v>0</v>
      </c>
      <c r="AQ335" s="192" t="n">
        <v>0</v>
      </c>
      <c r="AS335" s="192" t="n">
        <v>0</v>
      </c>
      <c r="AT335" s="192" t="n">
        <v>0</v>
      </c>
      <c r="AU335" s="192" t="n">
        <v>0</v>
      </c>
      <c r="AV335" s="192" t="n">
        <v>0</v>
      </c>
      <c r="AW335" s="192" t="n">
        <v>0</v>
      </c>
      <c r="AX335" s="192" t="n">
        <v>0</v>
      </c>
      <c r="BD335" s="192" t="n">
        <v>0.00504257700000001</v>
      </c>
      <c r="BF335" s="192" t="n">
        <v>0</v>
      </c>
      <c r="BJ335" s="192" t="n">
        <v>0.875</v>
      </c>
    </row>
    <row r="336" customFormat="false" ht="12.75" hidden="false" customHeight="false" outlineLevel="0" collapsed="false">
      <c r="C336" s="200" t="n">
        <v>46844</v>
      </c>
      <c r="F336" s="194" t="n">
        <v>0.071476571721663</v>
      </c>
      <c r="V336" s="192" t="n">
        <v>0</v>
      </c>
      <c r="W336" s="192" t="n">
        <v>0.205</v>
      </c>
      <c r="X336" s="192" t="n">
        <v>0.25</v>
      </c>
      <c r="AM336" s="192" t="n">
        <v>0.45</v>
      </c>
      <c r="AN336" s="192" t="n">
        <v>0.099976639</v>
      </c>
      <c r="AO336" s="192" t="n">
        <v>0</v>
      </c>
      <c r="AP336" s="192" t="n">
        <v>0</v>
      </c>
      <c r="AQ336" s="192" t="n">
        <v>0</v>
      </c>
      <c r="AS336" s="192" t="n">
        <v>0</v>
      </c>
      <c r="AT336" s="192" t="n">
        <v>0</v>
      </c>
      <c r="AU336" s="192" t="n">
        <v>0</v>
      </c>
      <c r="AV336" s="192" t="n">
        <v>0</v>
      </c>
      <c r="AW336" s="192" t="n">
        <v>0</v>
      </c>
      <c r="AX336" s="192" t="n">
        <v>0</v>
      </c>
      <c r="BD336" s="192" t="n">
        <v>0.064976639</v>
      </c>
      <c r="BF336" s="192" t="n">
        <v>0</v>
      </c>
      <c r="BJ336" s="192" t="n">
        <v>0.365</v>
      </c>
    </row>
    <row r="337" customFormat="false" ht="12.75" hidden="false" customHeight="false" outlineLevel="0" collapsed="false">
      <c r="C337" s="200" t="n">
        <v>46874</v>
      </c>
      <c r="F337" s="194" t="n">
        <v>0.071471357838528</v>
      </c>
      <c r="V337" s="192" t="n">
        <v>0</v>
      </c>
      <c r="W337" s="192" t="n">
        <v>0.1925</v>
      </c>
      <c r="X337" s="192" t="n">
        <v>0.2025</v>
      </c>
      <c r="AM337" s="192" t="n">
        <v>0.405</v>
      </c>
      <c r="AN337" s="192" t="n">
        <v>0.099968124</v>
      </c>
      <c r="AO337" s="192" t="n">
        <v>0</v>
      </c>
      <c r="AP337" s="192" t="n">
        <v>0</v>
      </c>
      <c r="AQ337" s="192" t="n">
        <v>0</v>
      </c>
      <c r="AS337" s="192" t="n">
        <v>0</v>
      </c>
      <c r="AT337" s="192" t="n">
        <v>0</v>
      </c>
      <c r="AU337" s="192" t="n">
        <v>0</v>
      </c>
      <c r="AV337" s="192" t="n">
        <v>0</v>
      </c>
      <c r="AW337" s="192" t="n">
        <v>0</v>
      </c>
      <c r="AX337" s="192" t="n">
        <v>0</v>
      </c>
      <c r="BD337" s="192" t="n">
        <v>0.064968124</v>
      </c>
      <c r="BF337" s="192" t="n">
        <v>0</v>
      </c>
      <c r="BJ337" s="192" t="n">
        <v>0.2975</v>
      </c>
    </row>
    <row r="338" customFormat="false" ht="12.75" hidden="false" customHeight="false" outlineLevel="0" collapsed="false">
      <c r="C338" s="200" t="n">
        <v>46905</v>
      </c>
      <c r="F338" s="194" t="n">
        <v>0.071465970159299</v>
      </c>
      <c r="V338" s="192" t="n">
        <v>0</v>
      </c>
      <c r="W338" s="192" t="n">
        <v>0.1925</v>
      </c>
      <c r="X338" s="192" t="n">
        <v>0.2025</v>
      </c>
      <c r="AM338" s="192" t="n">
        <v>0.395</v>
      </c>
      <c r="AN338" s="192" t="n">
        <v>0.099968124</v>
      </c>
      <c r="AO338" s="192" t="n">
        <v>0</v>
      </c>
      <c r="AP338" s="192" t="n">
        <v>0</v>
      </c>
      <c r="AQ338" s="192" t="n">
        <v>0</v>
      </c>
      <c r="AS338" s="192" t="n">
        <v>0</v>
      </c>
      <c r="AT338" s="192" t="n">
        <v>0</v>
      </c>
      <c r="AU338" s="192" t="n">
        <v>0</v>
      </c>
      <c r="AV338" s="192" t="n">
        <v>0</v>
      </c>
      <c r="AW338" s="192" t="n">
        <v>0</v>
      </c>
      <c r="AX338" s="192" t="n">
        <v>0</v>
      </c>
      <c r="BD338" s="192" t="n">
        <v>0.064968124</v>
      </c>
      <c r="BF338" s="192" t="n">
        <v>0</v>
      </c>
      <c r="BJ338" s="192" t="n">
        <v>0.2975</v>
      </c>
    </row>
    <row r="339" customFormat="false" ht="12.75" hidden="false" customHeight="false" outlineLevel="0" collapsed="false">
      <c r="C339" s="200" t="n">
        <v>46935</v>
      </c>
      <c r="F339" s="194" t="n">
        <v>0.071460756276182</v>
      </c>
      <c r="V339" s="192" t="n">
        <v>0</v>
      </c>
      <c r="W339" s="192" t="n">
        <v>0.1925</v>
      </c>
      <c r="X339" s="192" t="n">
        <v>0.215</v>
      </c>
      <c r="AM339" s="192" t="n">
        <v>0.43</v>
      </c>
      <c r="AN339" s="192" t="n">
        <v>0.099968124</v>
      </c>
      <c r="AO339" s="192" t="n">
        <v>0</v>
      </c>
      <c r="AP339" s="192" t="n">
        <v>0</v>
      </c>
      <c r="AQ339" s="192" t="n">
        <v>0</v>
      </c>
      <c r="AS339" s="192" t="n">
        <v>0</v>
      </c>
      <c r="AT339" s="192" t="n">
        <v>0</v>
      </c>
      <c r="AU339" s="192" t="n">
        <v>0</v>
      </c>
      <c r="AV339" s="192" t="n">
        <v>0</v>
      </c>
      <c r="AW339" s="192" t="n">
        <v>0</v>
      </c>
      <c r="AX339" s="192" t="n">
        <v>0</v>
      </c>
      <c r="BD339" s="192" t="n">
        <v>0.064968124</v>
      </c>
      <c r="BF339" s="192" t="n">
        <v>0</v>
      </c>
      <c r="BJ339" s="192" t="n">
        <v>0.31</v>
      </c>
    </row>
    <row r="340" customFormat="false" ht="12.75" hidden="false" customHeight="false" outlineLevel="0" collapsed="false">
      <c r="C340" s="200" t="n">
        <v>46966</v>
      </c>
      <c r="F340" s="194" t="n">
        <v>0.071455368596971</v>
      </c>
      <c r="V340" s="192" t="n">
        <v>0</v>
      </c>
      <c r="W340" s="192" t="n">
        <v>0.1925</v>
      </c>
      <c r="X340" s="192" t="n">
        <v>0.215</v>
      </c>
      <c r="AM340" s="192" t="n">
        <v>0.495</v>
      </c>
      <c r="AN340" s="192" t="n">
        <v>0.099968124</v>
      </c>
      <c r="AO340" s="192" t="n">
        <v>0</v>
      </c>
      <c r="AP340" s="192" t="n">
        <v>0</v>
      </c>
      <c r="AQ340" s="192" t="n">
        <v>0</v>
      </c>
      <c r="AS340" s="192" t="n">
        <v>0</v>
      </c>
      <c r="AT340" s="192" t="n">
        <v>0</v>
      </c>
      <c r="AU340" s="192" t="n">
        <v>0</v>
      </c>
      <c r="AV340" s="192" t="n">
        <v>0</v>
      </c>
      <c r="AW340" s="192" t="n">
        <v>0</v>
      </c>
      <c r="AX340" s="192" t="n">
        <v>0</v>
      </c>
      <c r="BD340" s="192" t="n">
        <v>0.064968124</v>
      </c>
      <c r="BF340" s="192" t="n">
        <v>0</v>
      </c>
      <c r="BJ340" s="192" t="n">
        <v>0.31</v>
      </c>
    </row>
    <row r="341" customFormat="false" ht="12.75" hidden="false" customHeight="false" outlineLevel="0" collapsed="false">
      <c r="C341" s="200" t="n">
        <v>46997</v>
      </c>
      <c r="F341" s="194" t="n">
        <v>0.07144998091777</v>
      </c>
      <c r="V341" s="192" t="n">
        <v>0</v>
      </c>
      <c r="W341" s="192" t="n">
        <v>0.1925</v>
      </c>
      <c r="X341" s="192" t="n">
        <v>0.195</v>
      </c>
      <c r="AM341" s="192" t="n">
        <v>0.395</v>
      </c>
      <c r="AN341" s="192" t="n">
        <v>0.099968124</v>
      </c>
      <c r="AO341" s="192" t="n">
        <v>0</v>
      </c>
      <c r="AP341" s="192" t="n">
        <v>0</v>
      </c>
      <c r="AQ341" s="192" t="n">
        <v>0</v>
      </c>
      <c r="AS341" s="192" t="n">
        <v>0</v>
      </c>
      <c r="AT341" s="192" t="n">
        <v>0</v>
      </c>
      <c r="AU341" s="192" t="n">
        <v>0</v>
      </c>
      <c r="AV341" s="192" t="n">
        <v>0</v>
      </c>
      <c r="AW341" s="192" t="n">
        <v>0</v>
      </c>
      <c r="AX341" s="192" t="n">
        <v>0</v>
      </c>
      <c r="BD341" s="192" t="n">
        <v>0.064968124</v>
      </c>
      <c r="BF341" s="192" t="n">
        <v>0</v>
      </c>
      <c r="BJ341" s="192" t="n">
        <v>0.3</v>
      </c>
    </row>
    <row r="342" customFormat="false" ht="12.75" hidden="false" customHeight="false" outlineLevel="0" collapsed="false">
      <c r="C342" s="200" t="n">
        <v>47027</v>
      </c>
      <c r="F342" s="194" t="n">
        <v>0.071444767034681</v>
      </c>
      <c r="V342" s="192" t="n">
        <v>0</v>
      </c>
      <c r="W342" s="192" t="n">
        <v>0.1975</v>
      </c>
      <c r="X342" s="192" t="n">
        <v>0.215</v>
      </c>
      <c r="AM342" s="192" t="n">
        <v>0.461</v>
      </c>
      <c r="AN342" s="192" t="n">
        <v>0.099968124</v>
      </c>
      <c r="AO342" s="192" t="n">
        <v>0</v>
      </c>
      <c r="AP342" s="192" t="n">
        <v>0</v>
      </c>
      <c r="AQ342" s="192" t="n">
        <v>0</v>
      </c>
      <c r="AS342" s="192" t="n">
        <v>0</v>
      </c>
      <c r="AT342" s="192" t="n">
        <v>0</v>
      </c>
      <c r="AU342" s="192" t="n">
        <v>0</v>
      </c>
      <c r="AV342" s="192" t="n">
        <v>0</v>
      </c>
      <c r="AW342" s="192" t="n">
        <v>0</v>
      </c>
      <c r="AX342" s="192" t="n">
        <v>0</v>
      </c>
      <c r="BD342" s="192" t="n">
        <v>0.064968124</v>
      </c>
      <c r="BF342" s="192" t="n">
        <v>0</v>
      </c>
      <c r="BJ342" s="192" t="n">
        <v>0.37253</v>
      </c>
    </row>
    <row r="343" customFormat="false" ht="12.75" hidden="false" customHeight="false" outlineLevel="0" collapsed="false">
      <c r="C343" s="200" t="n">
        <v>47058</v>
      </c>
      <c r="F343" s="194" t="n">
        <v>0.071439379355498</v>
      </c>
      <c r="V343" s="192" t="n">
        <v>0</v>
      </c>
      <c r="W343" s="192" t="n">
        <v>0.2725</v>
      </c>
      <c r="X343" s="192" t="n">
        <v>0.315</v>
      </c>
      <c r="AM343" s="192" t="n">
        <v>0.885</v>
      </c>
      <c r="AN343" s="192" t="n">
        <v>0.020011287</v>
      </c>
      <c r="AO343" s="192" t="n">
        <v>0</v>
      </c>
      <c r="AP343" s="192" t="n">
        <v>0</v>
      </c>
      <c r="AQ343" s="192" t="n">
        <v>0</v>
      </c>
      <c r="AS343" s="192" t="n">
        <v>0</v>
      </c>
      <c r="AT343" s="192" t="n">
        <v>0</v>
      </c>
      <c r="AU343" s="192" t="n">
        <v>0</v>
      </c>
      <c r="AV343" s="192" t="n">
        <v>0</v>
      </c>
      <c r="AW343" s="192" t="n">
        <v>0</v>
      </c>
      <c r="AX343" s="192" t="n">
        <v>0</v>
      </c>
      <c r="BD343" s="192" t="n">
        <v>-0.014988713</v>
      </c>
      <c r="BF343" s="192" t="n">
        <v>0</v>
      </c>
      <c r="BJ343" s="192" t="n">
        <v>0.56</v>
      </c>
    </row>
    <row r="344" customFormat="false" ht="12.75" hidden="false" customHeight="false" outlineLevel="0" collapsed="false">
      <c r="C344" s="200" t="n">
        <v>47088</v>
      </c>
      <c r="F344" s="194" t="n">
        <v>0.071434165472428</v>
      </c>
      <c r="V344" s="192" t="n">
        <v>0</v>
      </c>
      <c r="W344" s="192" t="n">
        <v>0.3075</v>
      </c>
      <c r="X344" s="192" t="n">
        <v>0.395</v>
      </c>
      <c r="AM344" s="192" t="n">
        <v>1.31</v>
      </c>
      <c r="AN344" s="192" t="n">
        <v>0.005048062</v>
      </c>
      <c r="AO344" s="192" t="n">
        <v>0</v>
      </c>
      <c r="AP344" s="192" t="n">
        <v>0</v>
      </c>
      <c r="AQ344" s="192" t="n">
        <v>0</v>
      </c>
      <c r="AS344" s="192" t="n">
        <v>0</v>
      </c>
      <c r="AT344" s="192" t="n">
        <v>0</v>
      </c>
      <c r="AU344" s="192" t="n">
        <v>0</v>
      </c>
      <c r="AV344" s="192" t="n">
        <v>0</v>
      </c>
      <c r="AW344" s="192" t="n">
        <v>0</v>
      </c>
      <c r="AX344" s="192" t="n">
        <v>0</v>
      </c>
      <c r="BD344" s="192" t="n">
        <v>-0.029951938</v>
      </c>
      <c r="BF344" s="192" t="n">
        <v>0</v>
      </c>
      <c r="BJ344" s="192" t="n">
        <v>0.91</v>
      </c>
    </row>
    <row r="345" customFormat="false" ht="12.75" hidden="false" customHeight="false" outlineLevel="0" collapsed="false">
      <c r="C345" s="200" t="n">
        <v>47119</v>
      </c>
      <c r="F345" s="194" t="n">
        <v>0.071428777793264</v>
      </c>
      <c r="V345" s="192" t="n">
        <v>0</v>
      </c>
      <c r="W345" s="192" t="n">
        <v>0.3125</v>
      </c>
      <c r="X345" s="192" t="n">
        <v>0.465</v>
      </c>
      <c r="AM345" s="192" t="n">
        <v>1.645</v>
      </c>
      <c r="AN345" s="192" t="n">
        <v>0.010044816</v>
      </c>
      <c r="AO345" s="192" t="n">
        <v>0</v>
      </c>
      <c r="AP345" s="192" t="n">
        <v>0</v>
      </c>
      <c r="AQ345" s="192" t="n">
        <v>0</v>
      </c>
      <c r="AS345" s="192" t="n">
        <v>0</v>
      </c>
      <c r="AT345" s="192" t="n">
        <v>0</v>
      </c>
      <c r="AU345" s="192" t="n">
        <v>0</v>
      </c>
      <c r="AV345" s="192" t="n">
        <v>0</v>
      </c>
      <c r="AW345" s="192" t="n">
        <v>0</v>
      </c>
      <c r="AX345" s="192" t="n">
        <v>0</v>
      </c>
      <c r="BD345" s="192" t="n">
        <v>-0.024955184</v>
      </c>
      <c r="BF345" s="192" t="n">
        <v>0</v>
      </c>
      <c r="BJ345" s="192" t="n">
        <v>1.235</v>
      </c>
    </row>
    <row r="346" customFormat="false" ht="12.75" hidden="false" customHeight="false" outlineLevel="0" collapsed="false">
      <c r="C346" s="200" t="n">
        <v>47150</v>
      </c>
      <c r="F346" s="194" t="n">
        <v>0.07142339011411</v>
      </c>
      <c r="V346" s="192" t="n">
        <v>0</v>
      </c>
      <c r="W346" s="192" t="n">
        <v>0.3125</v>
      </c>
      <c r="X346" s="192" t="n">
        <v>0.435</v>
      </c>
      <c r="AM346" s="192" t="n">
        <v>1.595</v>
      </c>
      <c r="AN346" s="192" t="n">
        <v>0.035042577</v>
      </c>
      <c r="AO346" s="192" t="n">
        <v>0</v>
      </c>
      <c r="AP346" s="192" t="n">
        <v>0</v>
      </c>
      <c r="AQ346" s="192" t="n">
        <v>0</v>
      </c>
      <c r="AS346" s="192" t="n">
        <v>0</v>
      </c>
      <c r="AT346" s="192" t="n">
        <v>0</v>
      </c>
      <c r="AU346" s="192" t="n">
        <v>0</v>
      </c>
      <c r="AV346" s="192" t="n">
        <v>0</v>
      </c>
      <c r="AW346" s="192" t="n">
        <v>0</v>
      </c>
      <c r="AX346" s="192" t="n">
        <v>0</v>
      </c>
      <c r="BD346" s="192" t="n">
        <v>4.2577000000002E-005</v>
      </c>
      <c r="BF346" s="192" t="n">
        <v>0</v>
      </c>
      <c r="BJ346" s="192" t="n">
        <v>1.235</v>
      </c>
    </row>
    <row r="347" customFormat="false" ht="12.75" hidden="false" customHeight="false" outlineLevel="0" collapsed="false">
      <c r="C347" s="200" t="n">
        <v>47178</v>
      </c>
      <c r="F347" s="194" t="n">
        <v>0.07141852382327</v>
      </c>
      <c r="V347" s="192" t="n">
        <v>0</v>
      </c>
      <c r="W347" s="192" t="n">
        <v>0.27</v>
      </c>
      <c r="X347" s="192" t="n">
        <v>0.39</v>
      </c>
      <c r="AM347" s="192" t="n">
        <v>0.965</v>
      </c>
      <c r="AN347" s="192" t="n">
        <v>0.045042577</v>
      </c>
      <c r="AO347" s="192" t="n">
        <v>0</v>
      </c>
      <c r="AP347" s="192" t="n">
        <v>0</v>
      </c>
      <c r="AQ347" s="192" t="n">
        <v>0</v>
      </c>
      <c r="AS347" s="192" t="n">
        <v>0</v>
      </c>
      <c r="AT347" s="192" t="n">
        <v>0</v>
      </c>
      <c r="AU347" s="192" t="n">
        <v>0</v>
      </c>
      <c r="AV347" s="192" t="n">
        <v>0</v>
      </c>
      <c r="AW347" s="192" t="n">
        <v>0</v>
      </c>
      <c r="AX347" s="192" t="n">
        <v>0</v>
      </c>
      <c r="BD347" s="192" t="n">
        <v>0.010042577</v>
      </c>
      <c r="BF347" s="192" t="n">
        <v>0</v>
      </c>
      <c r="BJ347" s="192" t="n">
        <v>0.875</v>
      </c>
    </row>
    <row r="348" customFormat="false" ht="12.75" hidden="false" customHeight="false" outlineLevel="0" collapsed="false">
      <c r="C348" s="200" t="n">
        <v>47209</v>
      </c>
      <c r="F348" s="194" t="n">
        <v>0.071413136144134</v>
      </c>
      <c r="V348" s="192" t="n">
        <v>0</v>
      </c>
      <c r="W348" s="192" t="n">
        <v>0.205</v>
      </c>
      <c r="X348" s="192" t="n">
        <v>0.25</v>
      </c>
      <c r="AM348" s="192" t="n">
        <v>0.45</v>
      </c>
      <c r="AN348" s="192" t="n">
        <v>0.104976639</v>
      </c>
      <c r="AO348" s="192" t="n">
        <v>0</v>
      </c>
      <c r="AP348" s="192" t="n">
        <v>0</v>
      </c>
      <c r="AQ348" s="192" t="n">
        <v>0</v>
      </c>
      <c r="AS348" s="192" t="n">
        <v>0</v>
      </c>
      <c r="AT348" s="192" t="n">
        <v>0</v>
      </c>
      <c r="AU348" s="192" t="n">
        <v>0</v>
      </c>
      <c r="AV348" s="192" t="n">
        <v>0</v>
      </c>
      <c r="AW348" s="192" t="n">
        <v>0</v>
      </c>
      <c r="AX348" s="192" t="n">
        <v>0</v>
      </c>
      <c r="BD348" s="192" t="n">
        <v>0.069976639</v>
      </c>
      <c r="BF348" s="192" t="n">
        <v>0</v>
      </c>
      <c r="BJ348" s="192" t="n">
        <v>0.365</v>
      </c>
    </row>
    <row r="349" customFormat="false" ht="12.75" hidden="false" customHeight="false" outlineLevel="0" collapsed="false">
      <c r="C349" s="200" t="n">
        <v>47239</v>
      </c>
      <c r="F349" s="194" t="n">
        <v>0.071407922261108</v>
      </c>
      <c r="V349" s="192" t="n">
        <v>0</v>
      </c>
      <c r="W349" s="192" t="n">
        <v>0.1925</v>
      </c>
      <c r="X349" s="192" t="n">
        <v>0.2025</v>
      </c>
      <c r="AM349" s="192" t="n">
        <v>0.405</v>
      </c>
      <c r="AN349" s="192" t="n">
        <v>0.104968124</v>
      </c>
      <c r="AO349" s="192" t="n">
        <v>0</v>
      </c>
      <c r="AP349" s="192" t="n">
        <v>0</v>
      </c>
      <c r="AQ349" s="192" t="n">
        <v>0</v>
      </c>
      <c r="AS349" s="192" t="n">
        <v>0</v>
      </c>
      <c r="AT349" s="192" t="n">
        <v>0</v>
      </c>
      <c r="AU349" s="192" t="n">
        <v>0</v>
      </c>
      <c r="AV349" s="192" t="n">
        <v>0</v>
      </c>
      <c r="AW349" s="192" t="n">
        <v>0</v>
      </c>
      <c r="AX349" s="192" t="n">
        <v>0</v>
      </c>
      <c r="BD349" s="192" t="n">
        <v>0.069968124</v>
      </c>
      <c r="BF349" s="192" t="n">
        <v>0</v>
      </c>
      <c r="BJ349" s="192" t="n">
        <v>0.2975</v>
      </c>
    </row>
    <row r="350" customFormat="false" ht="12.75" hidden="false" customHeight="false" outlineLevel="0" collapsed="false">
      <c r="C350" s="200" t="n">
        <v>47270</v>
      </c>
      <c r="F350" s="194" t="n">
        <v>0.071402534582</v>
      </c>
      <c r="V350" s="192" t="n">
        <v>0</v>
      </c>
      <c r="W350" s="192" t="n">
        <v>0.1925</v>
      </c>
      <c r="X350" s="192" t="n">
        <v>0.2025</v>
      </c>
      <c r="AM350" s="192" t="n">
        <v>0.395</v>
      </c>
      <c r="AN350" s="192" t="n">
        <v>0.104968124</v>
      </c>
      <c r="AO350" s="192" t="n">
        <v>0</v>
      </c>
      <c r="AP350" s="192" t="n">
        <v>0</v>
      </c>
      <c r="AQ350" s="192" t="n">
        <v>0</v>
      </c>
      <c r="AS350" s="192" t="n">
        <v>0</v>
      </c>
      <c r="AT350" s="192" t="n">
        <v>0</v>
      </c>
      <c r="AU350" s="192" t="n">
        <v>0</v>
      </c>
      <c r="AV350" s="192" t="n">
        <v>0</v>
      </c>
      <c r="AW350" s="192" t="n">
        <v>0</v>
      </c>
      <c r="AX350" s="192" t="n">
        <v>0</v>
      </c>
      <c r="BD350" s="192" t="n">
        <v>0.069968124</v>
      </c>
      <c r="BF350" s="192" t="n">
        <v>0</v>
      </c>
      <c r="BJ350" s="192" t="n">
        <v>0.2975</v>
      </c>
    </row>
    <row r="351" customFormat="false" ht="12.75" hidden="false" customHeight="false" outlineLevel="0" collapsed="false">
      <c r="C351" s="200" t="n">
        <v>47300</v>
      </c>
      <c r="F351" s="194" t="n">
        <v>0.071397320698984</v>
      </c>
      <c r="V351" s="192" t="n">
        <v>0</v>
      </c>
      <c r="W351" s="192" t="n">
        <v>0.1925</v>
      </c>
      <c r="X351" s="192" t="n">
        <v>0.215</v>
      </c>
      <c r="AM351" s="192" t="n">
        <v>0.43</v>
      </c>
      <c r="AN351" s="192" t="n">
        <v>0.104968124</v>
      </c>
      <c r="AO351" s="192" t="n">
        <v>0</v>
      </c>
      <c r="AP351" s="192" t="n">
        <v>0</v>
      </c>
      <c r="AQ351" s="192" t="n">
        <v>0</v>
      </c>
      <c r="AS351" s="192" t="n">
        <v>0</v>
      </c>
      <c r="AT351" s="192" t="n">
        <v>0</v>
      </c>
      <c r="AU351" s="192" t="n">
        <v>0</v>
      </c>
      <c r="AV351" s="192" t="n">
        <v>0</v>
      </c>
      <c r="AW351" s="192" t="n">
        <v>0</v>
      </c>
      <c r="AX351" s="192" t="n">
        <v>0</v>
      </c>
      <c r="BD351" s="192" t="n">
        <v>0.069968124</v>
      </c>
      <c r="BF351" s="192" t="n">
        <v>0</v>
      </c>
      <c r="BJ351" s="192" t="n">
        <v>0.31</v>
      </c>
    </row>
    <row r="352" customFormat="false" ht="12.75" hidden="false" customHeight="false" outlineLevel="0" collapsed="false">
      <c r="C352" s="200" t="n">
        <v>47331</v>
      </c>
      <c r="F352" s="194" t="n">
        <v>0.071391933019886</v>
      </c>
      <c r="V352" s="192" t="n">
        <v>0</v>
      </c>
      <c r="W352" s="192" t="n">
        <v>0.1925</v>
      </c>
      <c r="X352" s="192" t="n">
        <v>0.215</v>
      </c>
      <c r="AM352" s="192" t="n">
        <v>0.495</v>
      </c>
      <c r="AN352" s="192" t="n">
        <v>0.104968124</v>
      </c>
      <c r="AO352" s="192" t="n">
        <v>0</v>
      </c>
      <c r="AP352" s="192" t="n">
        <v>0</v>
      </c>
      <c r="AQ352" s="192" t="n">
        <v>0</v>
      </c>
      <c r="AS352" s="192" t="n">
        <v>0</v>
      </c>
      <c r="AT352" s="192" t="n">
        <v>0</v>
      </c>
      <c r="AU352" s="192" t="n">
        <v>0</v>
      </c>
      <c r="AV352" s="192" t="n">
        <v>0</v>
      </c>
      <c r="AW352" s="192" t="n">
        <v>0</v>
      </c>
      <c r="AX352" s="192" t="n">
        <v>0</v>
      </c>
      <c r="BD352" s="192" t="n">
        <v>0.069968124</v>
      </c>
      <c r="BF352" s="192" t="n">
        <v>0</v>
      </c>
      <c r="BJ352" s="192" t="n">
        <v>0.31</v>
      </c>
    </row>
    <row r="353" customFormat="false" ht="12.75" hidden="false" customHeight="false" outlineLevel="0" collapsed="false">
      <c r="C353" s="200" t="n">
        <v>47362</v>
      </c>
      <c r="F353" s="194" t="n">
        <v>0.071386545340798</v>
      </c>
      <c r="V353" s="192" t="n">
        <v>0</v>
      </c>
      <c r="W353" s="192" t="n">
        <v>0.1925</v>
      </c>
      <c r="X353" s="192" t="n">
        <v>0.195</v>
      </c>
      <c r="AM353" s="192" t="n">
        <v>0.395</v>
      </c>
      <c r="AN353" s="192" t="n">
        <v>0.104968124</v>
      </c>
      <c r="AO353" s="192" t="n">
        <v>0</v>
      </c>
      <c r="AP353" s="192" t="n">
        <v>0</v>
      </c>
      <c r="AQ353" s="192" t="n">
        <v>0</v>
      </c>
      <c r="AS353" s="192" t="n">
        <v>0</v>
      </c>
      <c r="AT353" s="192" t="n">
        <v>0</v>
      </c>
      <c r="AU353" s="192" t="n">
        <v>0</v>
      </c>
      <c r="AV353" s="192" t="n">
        <v>0</v>
      </c>
      <c r="AW353" s="192" t="n">
        <v>0</v>
      </c>
      <c r="AX353" s="192" t="n">
        <v>0</v>
      </c>
      <c r="BD353" s="192" t="n">
        <v>0.069968124</v>
      </c>
      <c r="BF353" s="192" t="n">
        <v>0</v>
      </c>
      <c r="BJ353" s="192" t="n">
        <v>0.3</v>
      </c>
    </row>
    <row r="354" customFormat="false" ht="12.75" hidden="false" customHeight="false" outlineLevel="0" collapsed="false">
      <c r="C354" s="200" t="n">
        <v>47392</v>
      </c>
      <c r="F354" s="194" t="n">
        <v>0.071381331457819</v>
      </c>
      <c r="V354" s="192" t="n">
        <v>0</v>
      </c>
      <c r="W354" s="192" t="n">
        <v>0.1975</v>
      </c>
      <c r="X354" s="192" t="n">
        <v>0.215</v>
      </c>
      <c r="AM354" s="192" t="n">
        <v>0.461</v>
      </c>
      <c r="AN354" s="192" t="n">
        <v>0.104968124</v>
      </c>
      <c r="AO354" s="192" t="n">
        <v>0</v>
      </c>
      <c r="AP354" s="192" t="n">
        <v>0</v>
      </c>
      <c r="AQ354" s="192" t="n">
        <v>0</v>
      </c>
      <c r="AS354" s="192" t="n">
        <v>0</v>
      </c>
      <c r="AT354" s="192" t="n">
        <v>0</v>
      </c>
      <c r="AU354" s="192" t="n">
        <v>0</v>
      </c>
      <c r="AV354" s="192" t="n">
        <v>0</v>
      </c>
      <c r="AW354" s="192" t="n">
        <v>0</v>
      </c>
      <c r="AX354" s="192" t="n">
        <v>0</v>
      </c>
      <c r="BD354" s="192" t="n">
        <v>0.069968124</v>
      </c>
      <c r="BF354" s="192" t="n">
        <v>0</v>
      </c>
      <c r="BJ354" s="192" t="n">
        <v>0.37253</v>
      </c>
    </row>
    <row r="355" customFormat="false" ht="12.75" hidden="false" customHeight="false" outlineLevel="0" collapsed="false">
      <c r="C355" s="200" t="n">
        <v>47423</v>
      </c>
      <c r="F355" s="194" t="n">
        <v>0.071375943778749</v>
      </c>
      <c r="V355" s="192" t="n">
        <v>0</v>
      </c>
      <c r="W355" s="192" t="n">
        <v>0.2725</v>
      </c>
      <c r="X355" s="192" t="n">
        <v>0.315</v>
      </c>
      <c r="AM355" s="192" t="n">
        <v>0.885</v>
      </c>
      <c r="AN355" s="192" t="n">
        <v>0.025011287</v>
      </c>
      <c r="AO355" s="192" t="n">
        <v>0</v>
      </c>
      <c r="AP355" s="192" t="n">
        <v>0</v>
      </c>
      <c r="AQ355" s="192" t="n">
        <v>0</v>
      </c>
      <c r="AS355" s="192" t="n">
        <v>0</v>
      </c>
      <c r="AT355" s="192" t="n">
        <v>0</v>
      </c>
      <c r="AU355" s="192" t="n">
        <v>0</v>
      </c>
      <c r="AV355" s="192" t="n">
        <v>0</v>
      </c>
      <c r="AW355" s="192" t="n">
        <v>0</v>
      </c>
      <c r="AX355" s="192" t="n">
        <v>0</v>
      </c>
      <c r="BD355" s="192" t="n">
        <v>-0.009988713</v>
      </c>
      <c r="BF355" s="192" t="n">
        <v>0</v>
      </c>
      <c r="BJ355" s="192" t="n">
        <v>0.56</v>
      </c>
    </row>
    <row r="356" customFormat="false" ht="12.75" hidden="false" customHeight="false" outlineLevel="0" collapsed="false">
      <c r="C356" s="200" t="n">
        <v>47453</v>
      </c>
      <c r="F356" s="194" t="n">
        <v>0.071370729895788</v>
      </c>
      <c r="V356" s="192" t="n">
        <v>0</v>
      </c>
      <c r="W356" s="192" t="n">
        <v>0.3075</v>
      </c>
      <c r="X356" s="192" t="n">
        <v>0.395</v>
      </c>
      <c r="AM356" s="192" t="n">
        <v>1.31</v>
      </c>
      <c r="AN356" s="192" t="n">
        <v>0.010048062</v>
      </c>
      <c r="AO356" s="192" t="n">
        <v>0</v>
      </c>
      <c r="AP356" s="192" t="n">
        <v>0</v>
      </c>
      <c r="AQ356" s="192" t="n">
        <v>0</v>
      </c>
      <c r="AS356" s="192" t="n">
        <v>0</v>
      </c>
      <c r="AT356" s="192" t="n">
        <v>0</v>
      </c>
      <c r="AU356" s="192" t="n">
        <v>0</v>
      </c>
      <c r="AV356" s="192" t="n">
        <v>0</v>
      </c>
      <c r="AW356" s="192" t="n">
        <v>0</v>
      </c>
      <c r="AX356" s="192" t="n">
        <v>0</v>
      </c>
      <c r="BD356" s="192" t="n">
        <v>-0.024951938</v>
      </c>
      <c r="BF356" s="192" t="n">
        <v>0</v>
      </c>
      <c r="BJ356" s="192" t="n">
        <v>0.91</v>
      </c>
    </row>
    <row r="357" customFormat="false" ht="12.75" hidden="false" customHeight="false" outlineLevel="0" collapsed="false">
      <c r="C357" s="200" t="n">
        <v>47484</v>
      </c>
      <c r="F357" s="194" t="n">
        <v>0.071365342216737</v>
      </c>
    </row>
    <row r="358" customFormat="false" ht="12.75" hidden="false" customHeight="false" outlineLevel="0" collapsed="false">
      <c r="C358" s="200" t="n">
        <v>47515</v>
      </c>
      <c r="F358" s="194" t="n">
        <v>0.071359954537696</v>
      </c>
    </row>
    <row r="359" customFormat="false" ht="12.75" hidden="false" customHeight="false" outlineLevel="0" collapsed="false">
      <c r="C359" s="200" t="n">
        <v>47543</v>
      </c>
      <c r="F359" s="194" t="n">
        <v>0.071355088246957</v>
      </c>
    </row>
    <row r="360" customFormat="false" ht="12.75" hidden="false" customHeight="false" outlineLevel="0" collapsed="false">
      <c r="C360" s="200" t="n">
        <v>47574</v>
      </c>
      <c r="F360" s="194" t="n">
        <v>0.071349700567934</v>
      </c>
    </row>
    <row r="361" customFormat="false" ht="12.75" hidden="false" customHeight="false" outlineLevel="0" collapsed="false">
      <c r="C361" s="200" t="n">
        <v>47604</v>
      </c>
      <c r="F361" s="194" t="n">
        <v>0.071344486685018</v>
      </c>
    </row>
    <row r="362" customFormat="false" ht="12.75" hidden="false" customHeight="false" outlineLevel="0" collapsed="false">
      <c r="C362" s="200" t="n">
        <v>47635</v>
      </c>
      <c r="F362" s="194" t="n">
        <v>0.071339099006015</v>
      </c>
    </row>
    <row r="363" customFormat="false" ht="12.75" hidden="false" customHeight="false" outlineLevel="0" collapsed="false">
      <c r="C363" s="200" t="n">
        <v>47665</v>
      </c>
      <c r="F363" s="194" t="n">
        <v>0.071333885123117</v>
      </c>
    </row>
    <row r="364" customFormat="false" ht="12.75" hidden="false" customHeight="false" outlineLevel="0" collapsed="false">
      <c r="C364" s="200" t="n">
        <v>47696</v>
      </c>
      <c r="F364" s="194" t="n">
        <v>0.071328497444131</v>
      </c>
    </row>
    <row r="365" customFormat="false" ht="12.75" hidden="false" customHeight="false" outlineLevel="0" collapsed="false">
      <c r="F365" s="194" t="n">
        <v>0.071323109765156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AO2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AE4" activePane="bottomRight" state="frozen"/>
      <selection pane="topLeft" activeCell="A1" activeCellId="0" sqref="A1"/>
      <selection pane="topRight" activeCell="AE1" activeCellId="0" sqref="AE1"/>
      <selection pane="bottomLeft" activeCell="A4" activeCellId="0" sqref="A4"/>
      <selection pane="bottomRight" activeCell="AI14" activeCellId="0" sqref="AI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13"/>
    <col collapsed="false" customWidth="true" hidden="false" outlineLevel="0" max="3" min="3" style="0" width="10.56"/>
    <col collapsed="false" customWidth="true" hidden="false" outlineLevel="0" max="4" min="4" style="0" width="15.41"/>
    <col collapsed="false" customWidth="true" hidden="false" outlineLevel="0" max="5" min="5" style="0" width="17.7"/>
    <col collapsed="false" customWidth="true" hidden="false" outlineLevel="0" max="6" min="6" style="0" width="11.13"/>
    <col collapsed="false" customWidth="true" hidden="false" outlineLevel="0" max="7" min="7" style="0" width="11.99"/>
    <col collapsed="false" customWidth="true" hidden="false" outlineLevel="0" max="8" min="8" style="0" width="15.13"/>
    <col collapsed="false" customWidth="true" hidden="false" outlineLevel="0" max="9" min="9" style="0" width="18.14"/>
    <col collapsed="false" customWidth="true" hidden="false" outlineLevel="0" max="10" min="10" style="0" width="12.99"/>
    <col collapsed="false" customWidth="true" hidden="false" outlineLevel="0" max="11" min="11" style="0" width="16.56"/>
    <col collapsed="false" customWidth="true" hidden="false" outlineLevel="0" max="12" min="12" style="0" width="13.28"/>
    <col collapsed="false" customWidth="true" hidden="false" outlineLevel="0" max="13" min="13" style="0" width="11.7"/>
    <col collapsed="false" customWidth="true" hidden="false" outlineLevel="0" max="14" min="14" style="0" width="12.7"/>
    <col collapsed="false" customWidth="true" hidden="false" outlineLevel="0" max="15" min="15" style="0" width="11.85"/>
    <col collapsed="false" customWidth="true" hidden="false" outlineLevel="0" max="16" min="16" style="0" width="11.99"/>
    <col collapsed="false" customWidth="true" hidden="false" outlineLevel="0" max="17" min="17" style="0" width="9.7"/>
    <col collapsed="false" customWidth="true" hidden="false" outlineLevel="0" max="18" min="18" style="0" width="13.99"/>
    <col collapsed="false" customWidth="true" hidden="false" outlineLevel="0" max="21" min="19" style="0" width="8.99"/>
    <col collapsed="false" customWidth="true" hidden="false" outlineLevel="0" max="23" min="23" style="0" width="10.85"/>
    <col collapsed="false" customWidth="true" hidden="false" outlineLevel="0" max="24" min="24" style="0" width="12.85"/>
    <col collapsed="false" customWidth="true" hidden="false" outlineLevel="0" max="25" min="25" style="0" width="13.7"/>
    <col collapsed="false" customWidth="true" hidden="false" outlineLevel="0" max="26" min="26" style="0" width="14.14"/>
    <col collapsed="false" customWidth="true" hidden="false" outlineLevel="0" max="27" min="27" style="0" width="12.28"/>
    <col collapsed="false" customWidth="true" hidden="false" outlineLevel="0" max="28" min="28" style="0" width="12.85"/>
    <col collapsed="false" customWidth="true" hidden="false" outlineLevel="0" max="29" min="29" style="0" width="10.41"/>
    <col collapsed="false" customWidth="true" hidden="false" outlineLevel="0" max="30" min="30" style="0" width="15.56"/>
    <col collapsed="false" customWidth="true" hidden="false" outlineLevel="0" max="31" min="31" style="0" width="16.99"/>
    <col collapsed="false" customWidth="true" hidden="false" outlineLevel="0" max="32" min="32" style="0" width="11.99"/>
    <col collapsed="false" customWidth="true" hidden="false" outlineLevel="0" max="33" min="33" style="0" width="14.14"/>
    <col collapsed="false" customWidth="true" hidden="false" outlineLevel="0" max="34" min="34" style="0" width="14.56"/>
    <col collapsed="false" customWidth="true" hidden="false" outlineLevel="0" max="35" min="35" style="0" width="14.28"/>
    <col collapsed="false" customWidth="true" hidden="false" outlineLevel="0" max="36" min="36" style="0" width="17.99"/>
    <col collapsed="false" customWidth="true" hidden="false" outlineLevel="0" max="37" min="37" style="0" width="17.85"/>
    <col collapsed="false" customWidth="true" hidden="false" outlineLevel="0" max="38" min="38" style="0" width="17.14"/>
    <col collapsed="false" customWidth="true" hidden="false" outlineLevel="0" max="39" min="39" style="0" width="10.85"/>
    <col collapsed="false" customWidth="true" hidden="false" outlineLevel="0" max="40" min="40" style="0" width="10.99"/>
    <col collapsed="false" customWidth="true" hidden="false" outlineLevel="0" max="41" min="41" style="0" width="5.56"/>
  </cols>
  <sheetData>
    <row r="3" customFormat="false" ht="12.75" hidden="false" customHeight="false" outlineLevel="0" collapsed="false">
      <c r="A3" s="167"/>
      <c r="B3" s="168" t="s">
        <v>73</v>
      </c>
      <c r="C3" s="168" t="s">
        <v>95</v>
      </c>
      <c r="D3" s="168" t="s">
        <v>96</v>
      </c>
      <c r="E3" s="168" t="s">
        <v>98</v>
      </c>
      <c r="F3" s="168" t="s">
        <v>99</v>
      </c>
      <c r="G3" s="168" t="s">
        <v>67</v>
      </c>
      <c r="H3" s="168" t="s">
        <v>32</v>
      </c>
      <c r="I3" s="168" t="s">
        <v>101</v>
      </c>
      <c r="J3" s="168" t="s">
        <v>47</v>
      </c>
      <c r="K3" s="168" t="s">
        <v>110</v>
      </c>
      <c r="L3" s="168" t="s">
        <v>89</v>
      </c>
      <c r="M3" s="168" t="s">
        <v>113</v>
      </c>
      <c r="N3" s="168" t="s">
        <v>197</v>
      </c>
      <c r="O3" s="168" t="s">
        <v>198</v>
      </c>
      <c r="P3" s="168" t="s">
        <v>58</v>
      </c>
      <c r="Q3" s="168" t="s">
        <v>199</v>
      </c>
      <c r="R3" s="168" t="s">
        <v>88</v>
      </c>
      <c r="S3" s="168" t="s">
        <v>90</v>
      </c>
      <c r="T3" s="168" t="s">
        <v>91</v>
      </c>
      <c r="U3" s="168" t="s">
        <v>92</v>
      </c>
      <c r="V3" s="168" t="s">
        <v>93</v>
      </c>
      <c r="W3" s="168" t="s">
        <v>71</v>
      </c>
      <c r="X3" s="168" t="s">
        <v>70</v>
      </c>
      <c r="Y3" s="168" t="s">
        <v>105</v>
      </c>
      <c r="Z3" s="168" t="s">
        <v>109</v>
      </c>
      <c r="AA3" s="168" t="s">
        <v>86</v>
      </c>
      <c r="AB3" s="168" t="s">
        <v>200</v>
      </c>
      <c r="AC3" s="168" t="s">
        <v>201</v>
      </c>
      <c r="AD3" s="168" t="s">
        <v>38</v>
      </c>
      <c r="AE3" s="168" t="s">
        <v>87</v>
      </c>
      <c r="AF3" s="168" t="s">
        <v>117</v>
      </c>
      <c r="AG3" s="168" t="s">
        <v>35</v>
      </c>
      <c r="AH3" s="168" t="s">
        <v>202</v>
      </c>
      <c r="AI3" s="168" t="s">
        <v>69</v>
      </c>
      <c r="AJ3" s="168" t="s">
        <v>37</v>
      </c>
      <c r="AK3" s="0" t="s">
        <v>100</v>
      </c>
      <c r="AL3" s="0" t="s">
        <v>64</v>
      </c>
      <c r="AM3" s="0" t="s">
        <v>42</v>
      </c>
      <c r="AN3" s="0" t="s">
        <v>75</v>
      </c>
      <c r="AO3" s="0" t="s">
        <v>203</v>
      </c>
    </row>
    <row r="4" customFormat="false" ht="12.75" hidden="false" customHeight="false" outlineLevel="0" collapsed="false">
      <c r="A4" s="167" t="n">
        <v>36800</v>
      </c>
      <c r="B4" s="168" t="n">
        <v>1</v>
      </c>
      <c r="C4" s="168" t="n">
        <v>1</v>
      </c>
      <c r="D4" s="168" t="n">
        <v>1</v>
      </c>
      <c r="E4" s="168" t="n">
        <v>1</v>
      </c>
      <c r="F4" s="168" t="n">
        <v>1</v>
      </c>
      <c r="G4" s="168" t="n">
        <v>1</v>
      </c>
      <c r="H4" s="168" t="n">
        <v>1</v>
      </c>
      <c r="I4" s="168" t="n">
        <v>1</v>
      </c>
      <c r="J4" s="168" t="n">
        <v>1</v>
      </c>
      <c r="K4" s="168" t="n">
        <v>1</v>
      </c>
      <c r="L4" s="168" t="n">
        <v>1</v>
      </c>
      <c r="M4" s="168" t="n">
        <v>1</v>
      </c>
      <c r="N4" s="168" t="n">
        <v>1</v>
      </c>
      <c r="O4" s="168" t="n">
        <v>1</v>
      </c>
      <c r="P4" s="168" t="n">
        <v>1.05</v>
      </c>
      <c r="Q4" s="168" t="n">
        <v>1</v>
      </c>
      <c r="R4" s="168" t="n">
        <v>1</v>
      </c>
      <c r="S4" s="168" t="n">
        <v>1.02</v>
      </c>
      <c r="T4" s="168" t="n">
        <v>1</v>
      </c>
      <c r="U4" s="168" t="n">
        <v>1</v>
      </c>
      <c r="V4" s="168" t="n">
        <v>1</v>
      </c>
      <c r="W4" s="168" t="n">
        <v>1</v>
      </c>
      <c r="X4" s="168" t="n">
        <v>1</v>
      </c>
      <c r="Y4" s="168" t="n">
        <v>1.02</v>
      </c>
      <c r="Z4" s="168" t="n">
        <v>1</v>
      </c>
      <c r="AA4" s="168" t="n">
        <v>1</v>
      </c>
      <c r="AB4" s="168" t="n">
        <v>1</v>
      </c>
      <c r="AC4" s="168" t="n">
        <v>1</v>
      </c>
      <c r="AD4" s="168" t="n">
        <v>0.98</v>
      </c>
      <c r="AE4" s="168" t="n">
        <v>0.98</v>
      </c>
      <c r="AF4" s="168" t="n">
        <v>0.98</v>
      </c>
      <c r="AG4" s="168" t="n">
        <v>0.98</v>
      </c>
      <c r="AH4" s="168" t="n">
        <v>1.05</v>
      </c>
      <c r="AI4" s="168" t="n">
        <v>0.94</v>
      </c>
      <c r="AJ4" s="168" t="n">
        <v>0.96</v>
      </c>
      <c r="AK4" s="168" t="n">
        <v>1.02</v>
      </c>
      <c r="AL4" s="168" t="n">
        <v>1</v>
      </c>
      <c r="AM4" s="168" t="n">
        <v>0.96</v>
      </c>
      <c r="AN4" s="168" t="n">
        <v>0.94</v>
      </c>
      <c r="AO4" s="168" t="n">
        <v>1</v>
      </c>
    </row>
    <row r="5" customFormat="false" ht="12.75" hidden="false" customHeight="false" outlineLevel="0" collapsed="false">
      <c r="A5" s="167" t="n">
        <v>36831</v>
      </c>
      <c r="B5" s="168" t="n">
        <v>1</v>
      </c>
      <c r="C5" s="168" t="n">
        <v>1</v>
      </c>
      <c r="D5" s="168" t="n">
        <v>1</v>
      </c>
      <c r="E5" s="168" t="n">
        <v>1</v>
      </c>
      <c r="F5" s="168" t="n">
        <v>1</v>
      </c>
      <c r="G5" s="168" t="n">
        <v>1.05</v>
      </c>
      <c r="H5" s="168" t="n">
        <v>1</v>
      </c>
      <c r="I5" s="168" t="n">
        <v>1</v>
      </c>
      <c r="J5" s="168" t="n">
        <v>1</v>
      </c>
      <c r="K5" s="168" t="n">
        <v>1</v>
      </c>
      <c r="L5" s="168" t="n">
        <v>1</v>
      </c>
      <c r="M5" s="168" t="n">
        <v>1</v>
      </c>
      <c r="N5" s="168" t="n">
        <v>1</v>
      </c>
      <c r="O5" s="168" t="n">
        <v>1</v>
      </c>
      <c r="P5" s="168" t="n">
        <v>1.05</v>
      </c>
      <c r="Q5" s="168" t="n">
        <v>1</v>
      </c>
      <c r="R5" s="168" t="n">
        <v>1</v>
      </c>
      <c r="S5" s="168" t="n">
        <v>1.02</v>
      </c>
      <c r="T5" s="168" t="n">
        <v>1</v>
      </c>
      <c r="U5" s="168" t="n">
        <v>1</v>
      </c>
      <c r="V5" s="168" t="n">
        <v>1</v>
      </c>
      <c r="W5" s="168" t="n">
        <v>1</v>
      </c>
      <c r="X5" s="168" t="n">
        <v>1</v>
      </c>
      <c r="Y5" s="168" t="n">
        <v>1</v>
      </c>
      <c r="Z5" s="168" t="n">
        <v>1</v>
      </c>
      <c r="AA5" s="168" t="n">
        <v>1</v>
      </c>
      <c r="AB5" s="168" t="n">
        <v>1</v>
      </c>
      <c r="AC5" s="168" t="n">
        <v>1</v>
      </c>
      <c r="AD5" s="168" t="n">
        <v>1</v>
      </c>
      <c r="AE5" s="168" t="n">
        <v>1.05</v>
      </c>
      <c r="AF5" s="168" t="n">
        <v>1.1</v>
      </c>
      <c r="AG5" s="168" t="n">
        <v>1.05</v>
      </c>
      <c r="AH5" s="168" t="n">
        <v>1.05</v>
      </c>
      <c r="AI5" s="168" t="n">
        <v>0.97</v>
      </c>
      <c r="AJ5" s="168" t="n">
        <v>0.96</v>
      </c>
      <c r="AK5" s="168" t="n">
        <v>1.05</v>
      </c>
      <c r="AL5" s="168" t="n">
        <v>1</v>
      </c>
      <c r="AM5" s="168" t="n">
        <v>0.96</v>
      </c>
      <c r="AN5" s="168" t="n">
        <v>0.97</v>
      </c>
      <c r="AO5" s="168" t="n">
        <v>1</v>
      </c>
    </row>
    <row r="6" customFormat="false" ht="12.75" hidden="false" customHeight="false" outlineLevel="0" collapsed="false">
      <c r="A6" s="167" t="n">
        <v>36861</v>
      </c>
      <c r="B6" s="168" t="n">
        <v>1</v>
      </c>
      <c r="C6" s="168" t="n">
        <v>1</v>
      </c>
      <c r="D6" s="168" t="n">
        <v>1</v>
      </c>
      <c r="E6" s="168" t="n">
        <v>1</v>
      </c>
      <c r="F6" s="168" t="n">
        <v>1</v>
      </c>
      <c r="G6" s="168" t="n">
        <v>1.05</v>
      </c>
      <c r="H6" s="168" t="n">
        <v>1</v>
      </c>
      <c r="I6" s="168" t="n">
        <v>1</v>
      </c>
      <c r="J6" s="168" t="n">
        <v>1</v>
      </c>
      <c r="K6" s="168" t="n">
        <v>1</v>
      </c>
      <c r="L6" s="168" t="n">
        <v>1</v>
      </c>
      <c r="M6" s="168" t="n">
        <v>1</v>
      </c>
      <c r="N6" s="168" t="n">
        <v>1</v>
      </c>
      <c r="O6" s="168" t="n">
        <v>1</v>
      </c>
      <c r="P6" s="168" t="n">
        <v>1.05</v>
      </c>
      <c r="Q6" s="168" t="n">
        <v>1</v>
      </c>
      <c r="R6" s="168" t="n">
        <v>1</v>
      </c>
      <c r="S6" s="168" t="n">
        <v>1.02</v>
      </c>
      <c r="T6" s="168" t="n">
        <v>1</v>
      </c>
      <c r="U6" s="168" t="n">
        <v>1</v>
      </c>
      <c r="V6" s="168" t="n">
        <v>1</v>
      </c>
      <c r="W6" s="168" t="n">
        <v>1</v>
      </c>
      <c r="X6" s="168" t="n">
        <v>1</v>
      </c>
      <c r="Y6" s="168" t="n">
        <v>1</v>
      </c>
      <c r="Z6" s="168" t="n">
        <v>1</v>
      </c>
      <c r="AA6" s="168" t="n">
        <v>1</v>
      </c>
      <c r="AB6" s="168" t="n">
        <v>1</v>
      </c>
      <c r="AC6" s="168" t="n">
        <v>1</v>
      </c>
      <c r="AD6" s="168" t="n">
        <v>1</v>
      </c>
      <c r="AE6" s="168" t="n">
        <v>1.05</v>
      </c>
      <c r="AF6" s="168" t="n">
        <v>1.1</v>
      </c>
      <c r="AG6" s="168" t="n">
        <v>1.3</v>
      </c>
      <c r="AH6" s="168" t="n">
        <v>1.05</v>
      </c>
      <c r="AI6" s="168" t="n">
        <v>0.97</v>
      </c>
      <c r="AJ6" s="168" t="n">
        <v>0.96</v>
      </c>
      <c r="AK6" s="168" t="n">
        <v>1.05</v>
      </c>
      <c r="AL6" s="168" t="n">
        <v>1</v>
      </c>
      <c r="AM6" s="168" t="n">
        <v>0.96</v>
      </c>
      <c r="AN6" s="168" t="n">
        <v>0.97</v>
      </c>
      <c r="AO6" s="168" t="n">
        <v>1</v>
      </c>
    </row>
    <row r="7" customFormat="false" ht="12.75" hidden="false" customHeight="false" outlineLevel="0" collapsed="false">
      <c r="A7" s="167" t="n">
        <v>36892</v>
      </c>
      <c r="B7" s="168" t="n">
        <v>1</v>
      </c>
      <c r="C7" s="168" t="n">
        <v>1</v>
      </c>
      <c r="D7" s="168" t="n">
        <v>1</v>
      </c>
      <c r="E7" s="168" t="n">
        <v>1</v>
      </c>
      <c r="F7" s="168" t="n">
        <v>1</v>
      </c>
      <c r="G7" s="168" t="n">
        <v>1.05</v>
      </c>
      <c r="H7" s="168" t="n">
        <v>1</v>
      </c>
      <c r="I7" s="168" t="n">
        <v>1</v>
      </c>
      <c r="J7" s="168" t="n">
        <v>1</v>
      </c>
      <c r="K7" s="168" t="n">
        <v>1</v>
      </c>
      <c r="L7" s="168" t="n">
        <v>1</v>
      </c>
      <c r="M7" s="168" t="n">
        <v>1</v>
      </c>
      <c r="N7" s="168" t="n">
        <v>1</v>
      </c>
      <c r="O7" s="168" t="n">
        <v>1</v>
      </c>
      <c r="P7" s="168" t="n">
        <v>1.05</v>
      </c>
      <c r="Q7" s="168" t="n">
        <v>1</v>
      </c>
      <c r="R7" s="168" t="n">
        <v>1</v>
      </c>
      <c r="S7" s="168" t="n">
        <v>1.02</v>
      </c>
      <c r="T7" s="168" t="n">
        <v>1</v>
      </c>
      <c r="U7" s="168" t="n">
        <v>1</v>
      </c>
      <c r="V7" s="168" t="n">
        <v>1</v>
      </c>
      <c r="W7" s="168" t="n">
        <v>1</v>
      </c>
      <c r="X7" s="168" t="n">
        <v>1</v>
      </c>
      <c r="Y7" s="168" t="n">
        <v>1</v>
      </c>
      <c r="Z7" s="168" t="n">
        <v>1</v>
      </c>
      <c r="AA7" s="168" t="n">
        <v>1</v>
      </c>
      <c r="AB7" s="168" t="n">
        <v>1</v>
      </c>
      <c r="AC7" s="168" t="n">
        <v>1</v>
      </c>
      <c r="AD7" s="168" t="n">
        <v>1</v>
      </c>
      <c r="AE7" s="168" t="n">
        <v>1.05</v>
      </c>
      <c r="AF7" s="168" t="n">
        <v>1.1</v>
      </c>
      <c r="AG7" s="168" t="n">
        <v>1.3</v>
      </c>
      <c r="AH7" s="168" t="n">
        <v>1.05</v>
      </c>
      <c r="AI7" s="168" t="n">
        <v>0.97</v>
      </c>
      <c r="AJ7" s="168" t="n">
        <v>0.96</v>
      </c>
      <c r="AK7" s="168" t="n">
        <v>1.05</v>
      </c>
      <c r="AL7" s="168" t="n">
        <v>1</v>
      </c>
      <c r="AM7" s="168" t="n">
        <v>0.96</v>
      </c>
      <c r="AN7" s="168" t="n">
        <v>0.97</v>
      </c>
      <c r="AO7" s="168" t="n">
        <v>1</v>
      </c>
    </row>
    <row r="8" customFormat="false" ht="12.75" hidden="false" customHeight="false" outlineLevel="0" collapsed="false">
      <c r="A8" s="167" t="n">
        <v>36923</v>
      </c>
      <c r="B8" s="168" t="n">
        <v>1</v>
      </c>
      <c r="C8" s="168" t="n">
        <v>1</v>
      </c>
      <c r="D8" s="168" t="n">
        <v>1</v>
      </c>
      <c r="E8" s="168" t="n">
        <v>1</v>
      </c>
      <c r="F8" s="168" t="n">
        <v>1</v>
      </c>
      <c r="G8" s="168" t="n">
        <v>1.05</v>
      </c>
      <c r="H8" s="168" t="n">
        <v>1</v>
      </c>
      <c r="I8" s="168" t="n">
        <v>1</v>
      </c>
      <c r="J8" s="168" t="n">
        <v>1</v>
      </c>
      <c r="K8" s="168" t="n">
        <v>1</v>
      </c>
      <c r="L8" s="168" t="n">
        <v>1</v>
      </c>
      <c r="M8" s="168" t="n">
        <v>1</v>
      </c>
      <c r="N8" s="168" t="n">
        <v>1</v>
      </c>
      <c r="O8" s="168" t="n">
        <v>1</v>
      </c>
      <c r="P8" s="168" t="n">
        <v>1.05</v>
      </c>
      <c r="Q8" s="168" t="n">
        <v>1</v>
      </c>
      <c r="R8" s="168" t="n">
        <v>1</v>
      </c>
      <c r="S8" s="168" t="n">
        <v>1.02</v>
      </c>
      <c r="T8" s="168" t="n">
        <v>1</v>
      </c>
      <c r="U8" s="168" t="n">
        <v>1</v>
      </c>
      <c r="V8" s="168" t="n">
        <v>1</v>
      </c>
      <c r="W8" s="168" t="n">
        <v>1</v>
      </c>
      <c r="X8" s="168" t="n">
        <v>1</v>
      </c>
      <c r="Y8" s="168" t="n">
        <v>1</v>
      </c>
      <c r="Z8" s="168" t="n">
        <v>1</v>
      </c>
      <c r="AA8" s="168" t="n">
        <v>1</v>
      </c>
      <c r="AB8" s="168" t="n">
        <v>1</v>
      </c>
      <c r="AC8" s="168" t="n">
        <v>1</v>
      </c>
      <c r="AD8" s="168" t="n">
        <v>1</v>
      </c>
      <c r="AE8" s="168" t="n">
        <v>1.05</v>
      </c>
      <c r="AF8" s="168" t="n">
        <v>1.1</v>
      </c>
      <c r="AG8" s="168" t="n">
        <v>1.3</v>
      </c>
      <c r="AH8" s="168" t="n">
        <v>1.05</v>
      </c>
      <c r="AI8" s="168" t="n">
        <v>0.97</v>
      </c>
      <c r="AJ8" s="168" t="n">
        <v>0.96</v>
      </c>
      <c r="AK8" s="168" t="n">
        <v>1.05</v>
      </c>
      <c r="AL8" s="168" t="n">
        <v>1</v>
      </c>
      <c r="AM8" s="168" t="n">
        <v>0.96</v>
      </c>
      <c r="AN8" s="168" t="n">
        <v>0.97</v>
      </c>
      <c r="AO8" s="168" t="n">
        <v>1</v>
      </c>
    </row>
    <row r="9" customFormat="false" ht="12.75" hidden="false" customHeight="false" outlineLevel="0" collapsed="false">
      <c r="A9" s="167" t="n">
        <v>36951</v>
      </c>
      <c r="B9" s="168" t="n">
        <v>1</v>
      </c>
      <c r="C9" s="168" t="n">
        <v>1</v>
      </c>
      <c r="D9" s="168" t="n">
        <v>1</v>
      </c>
      <c r="E9" s="168" t="n">
        <v>1</v>
      </c>
      <c r="F9" s="168" t="n">
        <v>1</v>
      </c>
      <c r="G9" s="168" t="n">
        <v>1.05</v>
      </c>
      <c r="H9" s="168" t="n">
        <v>1</v>
      </c>
      <c r="I9" s="168" t="n">
        <v>1</v>
      </c>
      <c r="J9" s="168" t="n">
        <v>1</v>
      </c>
      <c r="K9" s="168" t="n">
        <v>1</v>
      </c>
      <c r="L9" s="168" t="n">
        <v>1</v>
      </c>
      <c r="M9" s="168" t="n">
        <v>1</v>
      </c>
      <c r="N9" s="168" t="n">
        <v>1</v>
      </c>
      <c r="O9" s="168" t="n">
        <v>1</v>
      </c>
      <c r="P9" s="168" t="n">
        <v>1.05</v>
      </c>
      <c r="Q9" s="168" t="n">
        <v>1</v>
      </c>
      <c r="R9" s="168" t="n">
        <v>1</v>
      </c>
      <c r="S9" s="168" t="n">
        <v>1.02</v>
      </c>
      <c r="T9" s="168" t="n">
        <v>1</v>
      </c>
      <c r="U9" s="168" t="n">
        <v>1</v>
      </c>
      <c r="V9" s="168" t="n">
        <v>1</v>
      </c>
      <c r="W9" s="168" t="n">
        <v>1</v>
      </c>
      <c r="X9" s="168" t="n">
        <v>1</v>
      </c>
      <c r="Y9" s="168" t="n">
        <v>1</v>
      </c>
      <c r="Z9" s="168" t="n">
        <v>1</v>
      </c>
      <c r="AA9" s="168" t="n">
        <v>1</v>
      </c>
      <c r="AB9" s="168" t="n">
        <v>1</v>
      </c>
      <c r="AC9" s="168" t="n">
        <v>1</v>
      </c>
      <c r="AD9" s="168" t="n">
        <v>1</v>
      </c>
      <c r="AE9" s="168" t="n">
        <v>1.05</v>
      </c>
      <c r="AF9" s="168" t="n">
        <v>1.1</v>
      </c>
      <c r="AG9" s="168" t="n">
        <v>1.2</v>
      </c>
      <c r="AH9" s="168" t="n">
        <v>1.05</v>
      </c>
      <c r="AI9" s="168" t="n">
        <v>0.97</v>
      </c>
      <c r="AJ9" s="168" t="n">
        <v>0.96</v>
      </c>
      <c r="AK9" s="168" t="n">
        <v>1.05</v>
      </c>
      <c r="AL9" s="168" t="n">
        <v>1</v>
      </c>
      <c r="AM9" s="168" t="n">
        <v>0.96</v>
      </c>
      <c r="AN9" s="168" t="n">
        <v>0.97</v>
      </c>
      <c r="AO9" s="168" t="n">
        <v>1</v>
      </c>
    </row>
    <row r="10" customFormat="false" ht="12.75" hidden="false" customHeight="false" outlineLevel="0" collapsed="false">
      <c r="A10" s="167" t="n">
        <v>36982</v>
      </c>
      <c r="B10" s="168" t="n">
        <v>1</v>
      </c>
      <c r="C10" s="168" t="n">
        <v>1</v>
      </c>
      <c r="D10" s="168" t="n">
        <v>1</v>
      </c>
      <c r="E10" s="168" t="n">
        <v>1</v>
      </c>
      <c r="F10" s="168" t="n">
        <v>1</v>
      </c>
      <c r="G10" s="168" t="n">
        <v>1</v>
      </c>
      <c r="H10" s="168" t="n">
        <v>1</v>
      </c>
      <c r="I10" s="168" t="n">
        <v>1</v>
      </c>
      <c r="J10" s="168" t="n">
        <v>1</v>
      </c>
      <c r="K10" s="168" t="n">
        <v>1</v>
      </c>
      <c r="L10" s="168" t="n">
        <v>1</v>
      </c>
      <c r="M10" s="168" t="n">
        <v>1</v>
      </c>
      <c r="N10" s="168" t="n">
        <v>1</v>
      </c>
      <c r="O10" s="168" t="n">
        <v>1</v>
      </c>
      <c r="P10" s="168" t="n">
        <v>1.03</v>
      </c>
      <c r="Q10" s="168" t="n">
        <v>1</v>
      </c>
      <c r="R10" s="168" t="n">
        <v>1</v>
      </c>
      <c r="S10" s="168" t="n">
        <v>1.02</v>
      </c>
      <c r="T10" s="168" t="n">
        <v>1</v>
      </c>
      <c r="U10" s="168" t="n">
        <v>1</v>
      </c>
      <c r="V10" s="168" t="n">
        <v>1</v>
      </c>
      <c r="W10" s="168" t="n">
        <v>1</v>
      </c>
      <c r="X10" s="168" t="n">
        <v>1</v>
      </c>
      <c r="Y10" s="168" t="n">
        <v>1.02</v>
      </c>
      <c r="Z10" s="168" t="n">
        <v>1</v>
      </c>
      <c r="AA10" s="168" t="n">
        <v>1</v>
      </c>
      <c r="AB10" s="168" t="n">
        <v>1</v>
      </c>
      <c r="AC10" s="168" t="n">
        <v>1</v>
      </c>
      <c r="AD10" s="168" t="n">
        <v>0.98</v>
      </c>
      <c r="AE10" s="168" t="n">
        <v>0.98</v>
      </c>
      <c r="AF10" s="168" t="n">
        <v>0.98</v>
      </c>
      <c r="AG10" s="168" t="n">
        <v>0.98</v>
      </c>
      <c r="AH10" s="168" t="n">
        <v>1.05</v>
      </c>
      <c r="AI10" s="168" t="n">
        <v>1</v>
      </c>
      <c r="AJ10" s="168" t="n">
        <v>0.97</v>
      </c>
      <c r="AK10" s="168" t="n">
        <v>1.02</v>
      </c>
      <c r="AL10" s="168" t="n">
        <v>1</v>
      </c>
      <c r="AM10" s="168" t="n">
        <v>0.97</v>
      </c>
      <c r="AN10" s="168" t="n">
        <v>1</v>
      </c>
      <c r="AO10" s="168" t="n">
        <v>1</v>
      </c>
    </row>
    <row r="11" customFormat="false" ht="12.75" hidden="false" customHeight="false" outlineLevel="0" collapsed="false">
      <c r="A11" s="167" t="n">
        <v>37012</v>
      </c>
      <c r="B11" s="168" t="n">
        <v>1</v>
      </c>
      <c r="C11" s="168" t="n">
        <v>1</v>
      </c>
      <c r="D11" s="168" t="n">
        <v>1</v>
      </c>
      <c r="E11" s="168" t="n">
        <v>1</v>
      </c>
      <c r="F11" s="168" t="n">
        <v>1</v>
      </c>
      <c r="G11" s="168" t="n">
        <v>1</v>
      </c>
      <c r="H11" s="168" t="n">
        <v>1</v>
      </c>
      <c r="I11" s="168" t="n">
        <v>1</v>
      </c>
      <c r="J11" s="168" t="n">
        <v>1</v>
      </c>
      <c r="K11" s="168" t="n">
        <v>1</v>
      </c>
      <c r="L11" s="168" t="n">
        <v>1</v>
      </c>
      <c r="M11" s="168" t="n">
        <v>1</v>
      </c>
      <c r="N11" s="168" t="n">
        <v>1</v>
      </c>
      <c r="O11" s="168" t="n">
        <v>1</v>
      </c>
      <c r="P11" s="168" t="n">
        <v>1.03</v>
      </c>
      <c r="Q11" s="168" t="n">
        <v>1</v>
      </c>
      <c r="R11" s="168" t="n">
        <v>1</v>
      </c>
      <c r="S11" s="168" t="n">
        <v>1.02</v>
      </c>
      <c r="T11" s="168" t="n">
        <v>1</v>
      </c>
      <c r="U11" s="168" t="n">
        <v>1</v>
      </c>
      <c r="V11" s="168" t="n">
        <v>1</v>
      </c>
      <c r="W11" s="168" t="n">
        <v>1</v>
      </c>
      <c r="X11" s="168" t="n">
        <v>1</v>
      </c>
      <c r="Y11" s="168" t="n">
        <v>1.02</v>
      </c>
      <c r="Z11" s="168" t="n">
        <v>1</v>
      </c>
      <c r="AA11" s="168" t="n">
        <v>1</v>
      </c>
      <c r="AB11" s="168" t="n">
        <v>1</v>
      </c>
      <c r="AC11" s="168" t="n">
        <v>1</v>
      </c>
      <c r="AD11" s="168" t="n">
        <v>0.98</v>
      </c>
      <c r="AE11" s="168" t="n">
        <v>0.98</v>
      </c>
      <c r="AF11" s="168" t="n">
        <v>0.98</v>
      </c>
      <c r="AG11" s="168" t="n">
        <v>0.98</v>
      </c>
      <c r="AH11" s="168" t="n">
        <v>1.05</v>
      </c>
      <c r="AI11" s="168" t="n">
        <v>1</v>
      </c>
      <c r="AJ11" s="168" t="n">
        <v>0.97</v>
      </c>
      <c r="AK11" s="168" t="n">
        <v>1.02</v>
      </c>
      <c r="AL11" s="168" t="n">
        <v>1</v>
      </c>
      <c r="AM11" s="168" t="n">
        <v>0.97</v>
      </c>
      <c r="AN11" s="168" t="n">
        <v>1</v>
      </c>
      <c r="AO11" s="168" t="n">
        <v>1</v>
      </c>
    </row>
    <row r="12" customFormat="false" ht="12.75" hidden="false" customHeight="false" outlineLevel="0" collapsed="false">
      <c r="A12" s="167" t="n">
        <v>37043</v>
      </c>
      <c r="B12" s="168" t="n">
        <v>1</v>
      </c>
      <c r="C12" s="168" t="n">
        <v>1</v>
      </c>
      <c r="D12" s="168" t="n">
        <v>1</v>
      </c>
      <c r="E12" s="168" t="n">
        <v>1</v>
      </c>
      <c r="F12" s="168" t="n">
        <v>1</v>
      </c>
      <c r="G12" s="168" t="n">
        <v>1</v>
      </c>
      <c r="H12" s="168" t="n">
        <v>1</v>
      </c>
      <c r="I12" s="168" t="n">
        <v>1</v>
      </c>
      <c r="J12" s="168" t="n">
        <v>1</v>
      </c>
      <c r="K12" s="168" t="n">
        <v>1</v>
      </c>
      <c r="L12" s="168" t="n">
        <v>1</v>
      </c>
      <c r="M12" s="168" t="n">
        <v>1</v>
      </c>
      <c r="N12" s="168" t="n">
        <v>1</v>
      </c>
      <c r="O12" s="168" t="n">
        <v>1</v>
      </c>
      <c r="P12" s="168" t="n">
        <v>1.03</v>
      </c>
      <c r="Q12" s="168" t="n">
        <v>1</v>
      </c>
      <c r="R12" s="168" t="n">
        <v>1</v>
      </c>
      <c r="S12" s="168" t="n">
        <v>1.02</v>
      </c>
      <c r="T12" s="168" t="n">
        <v>1</v>
      </c>
      <c r="U12" s="168" t="n">
        <v>1</v>
      </c>
      <c r="V12" s="168" t="n">
        <v>1</v>
      </c>
      <c r="W12" s="168" t="n">
        <v>1</v>
      </c>
      <c r="X12" s="168" t="n">
        <v>1</v>
      </c>
      <c r="Y12" s="168" t="n">
        <v>1.02</v>
      </c>
      <c r="Z12" s="168" t="n">
        <v>1</v>
      </c>
      <c r="AA12" s="168" t="n">
        <v>1</v>
      </c>
      <c r="AB12" s="168" t="n">
        <v>1</v>
      </c>
      <c r="AC12" s="168" t="n">
        <v>1</v>
      </c>
      <c r="AD12" s="168" t="n">
        <v>0.98</v>
      </c>
      <c r="AE12" s="168" t="n">
        <v>0.98</v>
      </c>
      <c r="AF12" s="168" t="n">
        <v>0.98</v>
      </c>
      <c r="AG12" s="168" t="n">
        <v>0.98</v>
      </c>
      <c r="AH12" s="168" t="n">
        <v>1.05</v>
      </c>
      <c r="AI12" s="168" t="n">
        <v>1</v>
      </c>
      <c r="AJ12" s="168" t="n">
        <v>0.97</v>
      </c>
      <c r="AK12" s="168" t="n">
        <v>1.02</v>
      </c>
      <c r="AL12" s="168" t="n">
        <v>1</v>
      </c>
      <c r="AM12" s="168" t="n">
        <v>0.97</v>
      </c>
      <c r="AN12" s="168" t="n">
        <v>1</v>
      </c>
      <c r="AO12" s="168" t="n">
        <v>1</v>
      </c>
    </row>
    <row r="13" customFormat="false" ht="12.75" hidden="false" customHeight="false" outlineLevel="0" collapsed="false">
      <c r="A13" s="167" t="n">
        <v>37073</v>
      </c>
      <c r="B13" s="168" t="n">
        <v>1</v>
      </c>
      <c r="C13" s="168" t="n">
        <v>1</v>
      </c>
      <c r="D13" s="168" t="n">
        <v>1</v>
      </c>
      <c r="E13" s="168" t="n">
        <v>1</v>
      </c>
      <c r="F13" s="168" t="n">
        <v>1</v>
      </c>
      <c r="G13" s="168" t="n">
        <v>1</v>
      </c>
      <c r="H13" s="168" t="n">
        <v>1</v>
      </c>
      <c r="I13" s="168" t="n">
        <v>1</v>
      </c>
      <c r="J13" s="168" t="n">
        <v>1</v>
      </c>
      <c r="K13" s="168" t="n">
        <v>1</v>
      </c>
      <c r="L13" s="168" t="n">
        <v>1</v>
      </c>
      <c r="M13" s="168" t="n">
        <v>1</v>
      </c>
      <c r="N13" s="168" t="n">
        <v>1</v>
      </c>
      <c r="O13" s="168" t="n">
        <v>1</v>
      </c>
      <c r="P13" s="168" t="n">
        <v>1.03</v>
      </c>
      <c r="Q13" s="168" t="n">
        <v>1</v>
      </c>
      <c r="R13" s="168" t="n">
        <v>1</v>
      </c>
      <c r="S13" s="168" t="n">
        <v>1.02</v>
      </c>
      <c r="T13" s="168" t="n">
        <v>1</v>
      </c>
      <c r="U13" s="168" t="n">
        <v>1</v>
      </c>
      <c r="V13" s="168" t="n">
        <v>1</v>
      </c>
      <c r="W13" s="168" t="n">
        <v>1</v>
      </c>
      <c r="X13" s="168" t="n">
        <v>1</v>
      </c>
      <c r="Y13" s="168" t="n">
        <v>1.02</v>
      </c>
      <c r="Z13" s="168" t="n">
        <v>1</v>
      </c>
      <c r="AA13" s="168" t="n">
        <v>1</v>
      </c>
      <c r="AB13" s="168" t="n">
        <v>1</v>
      </c>
      <c r="AC13" s="168" t="n">
        <v>1</v>
      </c>
      <c r="AD13" s="168" t="n">
        <v>0.98</v>
      </c>
      <c r="AE13" s="168" t="n">
        <v>0.98</v>
      </c>
      <c r="AF13" s="168" t="n">
        <v>0.98</v>
      </c>
      <c r="AG13" s="168" t="n">
        <v>0.98</v>
      </c>
      <c r="AH13" s="168" t="n">
        <v>1.05</v>
      </c>
      <c r="AI13" s="168" t="n">
        <v>1</v>
      </c>
      <c r="AJ13" s="168" t="n">
        <v>0.97</v>
      </c>
      <c r="AK13" s="168" t="n">
        <v>1.02</v>
      </c>
      <c r="AL13" s="168" t="n">
        <v>1</v>
      </c>
      <c r="AM13" s="168" t="n">
        <v>0.97</v>
      </c>
      <c r="AN13" s="168" t="n">
        <v>1</v>
      </c>
      <c r="AO13" s="168" t="n">
        <v>1</v>
      </c>
    </row>
    <row r="14" customFormat="false" ht="12.75" hidden="false" customHeight="false" outlineLevel="0" collapsed="false">
      <c r="A14" s="167" t="n">
        <v>37104</v>
      </c>
      <c r="B14" s="168" t="n">
        <v>1</v>
      </c>
      <c r="C14" s="168" t="n">
        <v>1</v>
      </c>
      <c r="D14" s="168" t="n">
        <v>1</v>
      </c>
      <c r="E14" s="168" t="n">
        <v>1</v>
      </c>
      <c r="F14" s="168" t="n">
        <v>1</v>
      </c>
      <c r="G14" s="168" t="n">
        <v>1</v>
      </c>
      <c r="H14" s="168" t="n">
        <v>1</v>
      </c>
      <c r="I14" s="168" t="n">
        <v>1</v>
      </c>
      <c r="J14" s="168" t="n">
        <v>1</v>
      </c>
      <c r="K14" s="168" t="n">
        <v>1</v>
      </c>
      <c r="L14" s="168" t="n">
        <v>1</v>
      </c>
      <c r="M14" s="168" t="n">
        <v>1</v>
      </c>
      <c r="N14" s="168" t="n">
        <v>1</v>
      </c>
      <c r="O14" s="168" t="n">
        <v>1</v>
      </c>
      <c r="P14" s="168" t="n">
        <v>1.03</v>
      </c>
      <c r="Q14" s="168" t="n">
        <v>1</v>
      </c>
      <c r="R14" s="168" t="n">
        <v>1</v>
      </c>
      <c r="S14" s="168" t="n">
        <v>1.02</v>
      </c>
      <c r="T14" s="168" t="n">
        <v>1</v>
      </c>
      <c r="U14" s="168" t="n">
        <v>1</v>
      </c>
      <c r="V14" s="168" t="n">
        <v>1</v>
      </c>
      <c r="W14" s="168" t="n">
        <v>1</v>
      </c>
      <c r="X14" s="168" t="n">
        <v>1</v>
      </c>
      <c r="Y14" s="168" t="n">
        <v>1.02</v>
      </c>
      <c r="Z14" s="168" t="n">
        <v>1</v>
      </c>
      <c r="AA14" s="168" t="n">
        <v>1</v>
      </c>
      <c r="AB14" s="168" t="n">
        <v>1</v>
      </c>
      <c r="AC14" s="168" t="n">
        <v>1</v>
      </c>
      <c r="AD14" s="168" t="n">
        <v>0.98</v>
      </c>
      <c r="AE14" s="168" t="n">
        <v>0.98</v>
      </c>
      <c r="AF14" s="168" t="n">
        <v>0.98</v>
      </c>
      <c r="AG14" s="168" t="n">
        <v>0.98</v>
      </c>
      <c r="AH14" s="168" t="n">
        <v>1.05</v>
      </c>
      <c r="AI14" s="168" t="n">
        <v>1</v>
      </c>
      <c r="AJ14" s="168" t="n">
        <v>0.97</v>
      </c>
      <c r="AK14" s="168" t="n">
        <v>1.02</v>
      </c>
      <c r="AL14" s="168" t="n">
        <v>1</v>
      </c>
      <c r="AM14" s="168" t="n">
        <v>0.97</v>
      </c>
      <c r="AN14" s="168" t="n">
        <v>1</v>
      </c>
      <c r="AO14" s="168" t="n">
        <v>1</v>
      </c>
    </row>
    <row r="15" customFormat="false" ht="12.75" hidden="false" customHeight="false" outlineLevel="0" collapsed="false">
      <c r="A15" s="167" t="n">
        <v>37135</v>
      </c>
      <c r="B15" s="168" t="n">
        <v>1</v>
      </c>
      <c r="C15" s="168" t="n">
        <v>1</v>
      </c>
      <c r="D15" s="168" t="n">
        <v>1</v>
      </c>
      <c r="E15" s="168" t="n">
        <v>1</v>
      </c>
      <c r="F15" s="168" t="n">
        <v>1</v>
      </c>
      <c r="G15" s="168" t="n">
        <v>1</v>
      </c>
      <c r="H15" s="168" t="n">
        <v>1</v>
      </c>
      <c r="I15" s="168" t="n">
        <v>1</v>
      </c>
      <c r="J15" s="168" t="n">
        <v>1</v>
      </c>
      <c r="K15" s="168" t="n">
        <v>1</v>
      </c>
      <c r="L15" s="168" t="n">
        <v>1</v>
      </c>
      <c r="M15" s="168" t="n">
        <v>1</v>
      </c>
      <c r="N15" s="168" t="n">
        <v>1</v>
      </c>
      <c r="O15" s="168" t="n">
        <v>1</v>
      </c>
      <c r="P15" s="168" t="n">
        <v>1.03</v>
      </c>
      <c r="Q15" s="168" t="n">
        <v>1</v>
      </c>
      <c r="R15" s="168" t="n">
        <v>1</v>
      </c>
      <c r="S15" s="168" t="n">
        <v>1.02</v>
      </c>
      <c r="T15" s="168" t="n">
        <v>1</v>
      </c>
      <c r="U15" s="168" t="n">
        <v>1</v>
      </c>
      <c r="V15" s="168" t="n">
        <v>1</v>
      </c>
      <c r="W15" s="168" t="n">
        <v>1</v>
      </c>
      <c r="X15" s="168" t="n">
        <v>1</v>
      </c>
      <c r="Y15" s="168" t="n">
        <v>1.02</v>
      </c>
      <c r="Z15" s="168" t="n">
        <v>1</v>
      </c>
      <c r="AA15" s="168" t="n">
        <v>1</v>
      </c>
      <c r="AB15" s="168" t="n">
        <v>1</v>
      </c>
      <c r="AC15" s="168" t="n">
        <v>1</v>
      </c>
      <c r="AD15" s="168" t="n">
        <v>0.98</v>
      </c>
      <c r="AE15" s="168" t="n">
        <v>0.98</v>
      </c>
      <c r="AF15" s="168" t="n">
        <v>0.98</v>
      </c>
      <c r="AG15" s="168" t="n">
        <v>0.98</v>
      </c>
      <c r="AH15" s="168" t="n">
        <v>1.05</v>
      </c>
      <c r="AI15" s="168" t="n">
        <v>1</v>
      </c>
      <c r="AJ15" s="168" t="n">
        <v>0.97</v>
      </c>
      <c r="AK15" s="168" t="n">
        <v>1.02</v>
      </c>
      <c r="AL15" s="168" t="n">
        <v>1</v>
      </c>
      <c r="AM15" s="168" t="n">
        <v>0.97</v>
      </c>
      <c r="AN15" s="168" t="n">
        <v>1</v>
      </c>
      <c r="AO15" s="168" t="n">
        <v>1</v>
      </c>
    </row>
    <row r="16" customFormat="false" ht="12.75" hidden="false" customHeight="false" outlineLevel="0" collapsed="false">
      <c r="A16" s="167" t="n">
        <v>37165</v>
      </c>
      <c r="B16" s="168" t="n">
        <v>1</v>
      </c>
      <c r="C16" s="168" t="n">
        <v>1</v>
      </c>
      <c r="D16" s="168" t="n">
        <v>1</v>
      </c>
      <c r="E16" s="168" t="n">
        <v>1</v>
      </c>
      <c r="F16" s="168" t="n">
        <v>1</v>
      </c>
      <c r="G16" s="168" t="n">
        <v>1</v>
      </c>
      <c r="H16" s="168" t="n">
        <v>1</v>
      </c>
      <c r="I16" s="168" t="n">
        <v>1</v>
      </c>
      <c r="J16" s="168" t="n">
        <v>1</v>
      </c>
      <c r="K16" s="168" t="n">
        <v>1</v>
      </c>
      <c r="L16" s="168" t="n">
        <v>1</v>
      </c>
      <c r="M16" s="168" t="n">
        <v>1</v>
      </c>
      <c r="N16" s="168" t="n">
        <v>1</v>
      </c>
      <c r="O16" s="168" t="n">
        <v>1</v>
      </c>
      <c r="P16" s="168" t="n">
        <v>1.03</v>
      </c>
      <c r="Q16" s="168" t="n">
        <v>1</v>
      </c>
      <c r="R16" s="168" t="n">
        <v>1</v>
      </c>
      <c r="S16" s="168" t="n">
        <v>1.02</v>
      </c>
      <c r="T16" s="168" t="n">
        <v>1</v>
      </c>
      <c r="U16" s="168" t="n">
        <v>1</v>
      </c>
      <c r="V16" s="168" t="n">
        <v>1</v>
      </c>
      <c r="W16" s="168" t="n">
        <v>1</v>
      </c>
      <c r="X16" s="168" t="n">
        <v>1</v>
      </c>
      <c r="Y16" s="168" t="n">
        <v>1.02</v>
      </c>
      <c r="Z16" s="168" t="n">
        <v>1</v>
      </c>
      <c r="AA16" s="168" t="n">
        <v>1</v>
      </c>
      <c r="AB16" s="168" t="n">
        <v>1</v>
      </c>
      <c r="AC16" s="168" t="n">
        <v>1</v>
      </c>
      <c r="AD16" s="168" t="n">
        <v>0.98</v>
      </c>
      <c r="AE16" s="168" t="n">
        <v>0.98</v>
      </c>
      <c r="AF16" s="168" t="n">
        <v>0.98</v>
      </c>
      <c r="AG16" s="168" t="n">
        <v>0.98</v>
      </c>
      <c r="AH16" s="168" t="n">
        <v>1.05</v>
      </c>
      <c r="AI16" s="168" t="n">
        <v>1</v>
      </c>
      <c r="AJ16" s="168" t="n">
        <v>0.97</v>
      </c>
      <c r="AK16" s="168" t="n">
        <v>1.02</v>
      </c>
      <c r="AL16" s="168" t="n">
        <v>1</v>
      </c>
      <c r="AM16" s="168" t="n">
        <v>0.97</v>
      </c>
      <c r="AN16" s="168" t="n">
        <v>1</v>
      </c>
      <c r="AO16" s="168" t="n">
        <v>1</v>
      </c>
    </row>
    <row r="17" customFormat="false" ht="12.75" hidden="false" customHeight="false" outlineLevel="0" collapsed="false">
      <c r="A17" s="167" t="n">
        <v>37196</v>
      </c>
      <c r="B17" s="168" t="n">
        <v>1</v>
      </c>
      <c r="C17" s="168" t="n">
        <v>1</v>
      </c>
      <c r="D17" s="168" t="n">
        <v>1</v>
      </c>
      <c r="E17" s="168" t="n">
        <v>1</v>
      </c>
      <c r="F17" s="168" t="n">
        <v>1</v>
      </c>
      <c r="G17" s="168" t="n">
        <v>1</v>
      </c>
      <c r="H17" s="168" t="n">
        <v>1</v>
      </c>
      <c r="I17" s="168" t="n">
        <v>1</v>
      </c>
      <c r="J17" s="168" t="n">
        <v>1</v>
      </c>
      <c r="K17" s="168" t="n">
        <v>1</v>
      </c>
      <c r="L17" s="168" t="n">
        <v>1</v>
      </c>
      <c r="M17" s="168" t="n">
        <v>1</v>
      </c>
      <c r="N17" s="168" t="n">
        <v>1</v>
      </c>
      <c r="O17" s="168" t="n">
        <v>1</v>
      </c>
      <c r="P17" s="168" t="n">
        <v>1.03</v>
      </c>
      <c r="Q17" s="168" t="n">
        <v>1</v>
      </c>
      <c r="R17" s="168" t="n">
        <v>1</v>
      </c>
      <c r="S17" s="168" t="n">
        <v>1.02</v>
      </c>
      <c r="T17" s="168" t="n">
        <v>1</v>
      </c>
      <c r="U17" s="168" t="n">
        <v>1</v>
      </c>
      <c r="V17" s="168" t="n">
        <v>1</v>
      </c>
      <c r="W17" s="168" t="n">
        <v>1</v>
      </c>
      <c r="X17" s="168" t="n">
        <v>1</v>
      </c>
      <c r="Y17" s="168" t="n">
        <v>1</v>
      </c>
      <c r="Z17" s="168" t="n">
        <v>1</v>
      </c>
      <c r="AA17" s="168" t="n">
        <v>1</v>
      </c>
      <c r="AB17" s="168" t="n">
        <v>1</v>
      </c>
      <c r="AC17" s="168" t="n">
        <v>1</v>
      </c>
      <c r="AD17" s="168" t="n">
        <v>1</v>
      </c>
      <c r="AE17" s="168" t="n">
        <v>1</v>
      </c>
      <c r="AF17" s="168" t="n">
        <v>1.1</v>
      </c>
      <c r="AG17" s="168" t="n">
        <v>1.1</v>
      </c>
      <c r="AH17" s="168" t="n">
        <v>1.05</v>
      </c>
      <c r="AI17" s="168" t="n">
        <v>1</v>
      </c>
      <c r="AJ17" s="168" t="n">
        <v>0.97</v>
      </c>
      <c r="AK17" s="168" t="n">
        <v>1.02</v>
      </c>
      <c r="AL17" s="168" t="n">
        <v>1</v>
      </c>
      <c r="AM17" s="168" t="n">
        <v>0.97</v>
      </c>
      <c r="AN17" s="168" t="n">
        <v>1</v>
      </c>
      <c r="AO17" s="168" t="n">
        <v>1</v>
      </c>
    </row>
    <row r="18" customFormat="false" ht="12.75" hidden="false" customHeight="false" outlineLevel="0" collapsed="false">
      <c r="A18" s="167" t="n">
        <v>37226</v>
      </c>
      <c r="B18" s="168" t="n">
        <v>1</v>
      </c>
      <c r="C18" s="168" t="n">
        <v>1</v>
      </c>
      <c r="D18" s="168" t="n">
        <v>1</v>
      </c>
      <c r="E18" s="168" t="n">
        <v>1</v>
      </c>
      <c r="F18" s="168" t="n">
        <v>1</v>
      </c>
      <c r="G18" s="168" t="n">
        <v>1</v>
      </c>
      <c r="H18" s="168" t="n">
        <v>1</v>
      </c>
      <c r="I18" s="168" t="n">
        <v>1</v>
      </c>
      <c r="J18" s="168" t="n">
        <v>1</v>
      </c>
      <c r="K18" s="168" t="n">
        <v>1</v>
      </c>
      <c r="L18" s="168" t="n">
        <v>1</v>
      </c>
      <c r="M18" s="168" t="n">
        <v>1</v>
      </c>
      <c r="N18" s="168" t="n">
        <v>1</v>
      </c>
      <c r="O18" s="168" t="n">
        <v>1</v>
      </c>
      <c r="P18" s="168" t="n">
        <v>1.03</v>
      </c>
      <c r="Q18" s="168" t="n">
        <v>1</v>
      </c>
      <c r="R18" s="168" t="n">
        <v>1</v>
      </c>
      <c r="S18" s="168" t="n">
        <v>1.02</v>
      </c>
      <c r="T18" s="168" t="n">
        <v>1</v>
      </c>
      <c r="U18" s="168" t="n">
        <v>1</v>
      </c>
      <c r="V18" s="168" t="n">
        <v>1</v>
      </c>
      <c r="W18" s="168" t="n">
        <v>1</v>
      </c>
      <c r="X18" s="168" t="n">
        <v>1</v>
      </c>
      <c r="Y18" s="168" t="n">
        <v>1</v>
      </c>
      <c r="Z18" s="168" t="n">
        <v>1</v>
      </c>
      <c r="AA18" s="168" t="n">
        <v>1</v>
      </c>
      <c r="AB18" s="168" t="n">
        <v>1</v>
      </c>
      <c r="AC18" s="168" t="n">
        <v>1</v>
      </c>
      <c r="AD18" s="168" t="n">
        <v>1</v>
      </c>
      <c r="AE18" s="168" t="n">
        <v>1</v>
      </c>
      <c r="AF18" s="168" t="n">
        <v>1.1</v>
      </c>
      <c r="AG18" s="168" t="n">
        <v>1.1</v>
      </c>
      <c r="AH18" s="168" t="n">
        <v>1.05</v>
      </c>
      <c r="AI18" s="168" t="n">
        <v>1</v>
      </c>
      <c r="AJ18" s="168" t="n">
        <v>0.97</v>
      </c>
      <c r="AK18" s="168" t="n">
        <v>1.02</v>
      </c>
      <c r="AL18" s="168" t="n">
        <v>1</v>
      </c>
      <c r="AM18" s="168" t="n">
        <v>0.97</v>
      </c>
      <c r="AN18" s="168" t="n">
        <v>1</v>
      </c>
      <c r="AO18" s="168" t="n">
        <v>1</v>
      </c>
    </row>
    <row r="19" customFormat="false" ht="12.75" hidden="false" customHeight="false" outlineLevel="0" collapsed="false">
      <c r="A19" s="167" t="n">
        <v>37257</v>
      </c>
      <c r="B19" s="168" t="n">
        <v>1</v>
      </c>
      <c r="C19" s="168" t="n">
        <v>1</v>
      </c>
      <c r="D19" s="168" t="n">
        <v>1</v>
      </c>
      <c r="E19" s="168" t="n">
        <v>1</v>
      </c>
      <c r="F19" s="168" t="n">
        <v>1</v>
      </c>
      <c r="G19" s="168" t="n">
        <v>1</v>
      </c>
      <c r="H19" s="168" t="n">
        <v>1</v>
      </c>
      <c r="I19" s="168" t="n">
        <v>1</v>
      </c>
      <c r="J19" s="168" t="n">
        <v>1</v>
      </c>
      <c r="K19" s="168" t="n">
        <v>1</v>
      </c>
      <c r="L19" s="168" t="n">
        <v>1</v>
      </c>
      <c r="M19" s="168" t="n">
        <v>1</v>
      </c>
      <c r="N19" s="168" t="n">
        <v>1</v>
      </c>
      <c r="O19" s="168" t="n">
        <v>1</v>
      </c>
      <c r="P19" s="168" t="n">
        <v>1.03</v>
      </c>
      <c r="Q19" s="168" t="n">
        <v>1</v>
      </c>
      <c r="R19" s="168" t="n">
        <v>1</v>
      </c>
      <c r="S19" s="168" t="n">
        <v>1.02</v>
      </c>
      <c r="T19" s="168" t="n">
        <v>1</v>
      </c>
      <c r="U19" s="168" t="n">
        <v>1</v>
      </c>
      <c r="V19" s="168" t="n">
        <v>1</v>
      </c>
      <c r="W19" s="168" t="n">
        <v>1</v>
      </c>
      <c r="X19" s="168" t="n">
        <v>1</v>
      </c>
      <c r="Y19" s="168" t="n">
        <v>1</v>
      </c>
      <c r="Z19" s="168" t="n">
        <v>1</v>
      </c>
      <c r="AA19" s="168" t="n">
        <v>1</v>
      </c>
      <c r="AB19" s="168" t="n">
        <v>1</v>
      </c>
      <c r="AC19" s="168" t="n">
        <v>1</v>
      </c>
      <c r="AD19" s="168" t="n">
        <v>1</v>
      </c>
      <c r="AE19" s="168" t="n">
        <v>1</v>
      </c>
      <c r="AF19" s="168" t="n">
        <v>1</v>
      </c>
      <c r="AG19" s="168" t="n">
        <v>1.1</v>
      </c>
      <c r="AH19" s="168" t="n">
        <v>1.05</v>
      </c>
      <c r="AI19" s="168" t="n">
        <v>1</v>
      </c>
      <c r="AJ19" s="168" t="n">
        <v>0.97</v>
      </c>
      <c r="AK19" s="168" t="n">
        <v>1.02</v>
      </c>
      <c r="AL19" s="168" t="n">
        <v>1</v>
      </c>
      <c r="AM19" s="168" t="n">
        <v>0.97</v>
      </c>
      <c r="AN19" s="168" t="n">
        <v>1</v>
      </c>
      <c r="AO19" s="168" t="n">
        <v>1</v>
      </c>
    </row>
    <row r="20" customFormat="false" ht="12.75" hidden="false" customHeight="false" outlineLevel="0" collapsed="false">
      <c r="A20" s="167" t="n">
        <v>37288</v>
      </c>
      <c r="B20" s="168" t="n">
        <v>1</v>
      </c>
      <c r="C20" s="168" t="n">
        <v>1</v>
      </c>
      <c r="D20" s="168" t="n">
        <v>1</v>
      </c>
      <c r="E20" s="168" t="n">
        <v>1</v>
      </c>
      <c r="F20" s="168" t="n">
        <v>1</v>
      </c>
      <c r="G20" s="168" t="n">
        <v>1</v>
      </c>
      <c r="H20" s="168" t="n">
        <v>1</v>
      </c>
      <c r="I20" s="168" t="n">
        <v>1</v>
      </c>
      <c r="J20" s="168" t="n">
        <v>1</v>
      </c>
      <c r="K20" s="168" t="n">
        <v>1</v>
      </c>
      <c r="L20" s="168" t="n">
        <v>1</v>
      </c>
      <c r="M20" s="168" t="n">
        <v>1</v>
      </c>
      <c r="N20" s="168" t="n">
        <v>1</v>
      </c>
      <c r="O20" s="168" t="n">
        <v>1</v>
      </c>
      <c r="P20" s="168" t="n">
        <v>1.03</v>
      </c>
      <c r="Q20" s="168" t="n">
        <v>1</v>
      </c>
      <c r="R20" s="168" t="n">
        <v>1</v>
      </c>
      <c r="S20" s="168" t="n">
        <v>1.02</v>
      </c>
      <c r="T20" s="168" t="n">
        <v>1</v>
      </c>
      <c r="U20" s="168" t="n">
        <v>1</v>
      </c>
      <c r="V20" s="168" t="n">
        <v>1</v>
      </c>
      <c r="W20" s="168" t="n">
        <v>1</v>
      </c>
      <c r="X20" s="168" t="n">
        <v>1</v>
      </c>
      <c r="Y20" s="168" t="n">
        <v>1</v>
      </c>
      <c r="Z20" s="168" t="n">
        <v>1</v>
      </c>
      <c r="AA20" s="168" t="n">
        <v>1</v>
      </c>
      <c r="AB20" s="168" t="n">
        <v>1</v>
      </c>
      <c r="AC20" s="168" t="n">
        <v>1</v>
      </c>
      <c r="AD20" s="168" t="n">
        <v>1</v>
      </c>
      <c r="AE20" s="168" t="n">
        <v>1</v>
      </c>
      <c r="AF20" s="168" t="n">
        <v>1.1</v>
      </c>
      <c r="AG20" s="168" t="n">
        <v>1.1</v>
      </c>
      <c r="AH20" s="168" t="n">
        <v>1.05</v>
      </c>
      <c r="AI20" s="168" t="n">
        <v>1</v>
      </c>
      <c r="AJ20" s="168" t="n">
        <v>0.97</v>
      </c>
      <c r="AK20" s="168" t="n">
        <v>1.02</v>
      </c>
      <c r="AL20" s="168" t="n">
        <v>1</v>
      </c>
      <c r="AM20" s="168" t="n">
        <v>0.97</v>
      </c>
      <c r="AN20" s="168" t="n">
        <v>1</v>
      </c>
      <c r="AO20" s="168" t="n">
        <v>1</v>
      </c>
    </row>
    <row r="21" customFormat="false" ht="12.75" hidden="false" customHeight="false" outlineLevel="0" collapsed="false">
      <c r="A21" s="167" t="n">
        <v>37316</v>
      </c>
      <c r="B21" s="168" t="n">
        <v>1</v>
      </c>
      <c r="C21" s="168" t="n">
        <v>1</v>
      </c>
      <c r="D21" s="168" t="n">
        <v>1</v>
      </c>
      <c r="E21" s="168" t="n">
        <v>1</v>
      </c>
      <c r="F21" s="168" t="n">
        <v>1</v>
      </c>
      <c r="G21" s="168" t="n">
        <v>1</v>
      </c>
      <c r="H21" s="168" t="n">
        <v>1</v>
      </c>
      <c r="I21" s="168" t="n">
        <v>1</v>
      </c>
      <c r="J21" s="168" t="n">
        <v>1</v>
      </c>
      <c r="K21" s="168" t="n">
        <v>1</v>
      </c>
      <c r="L21" s="168" t="n">
        <v>1</v>
      </c>
      <c r="M21" s="168" t="n">
        <v>1</v>
      </c>
      <c r="N21" s="168" t="n">
        <v>1</v>
      </c>
      <c r="O21" s="168" t="n">
        <v>1</v>
      </c>
      <c r="P21" s="168" t="n">
        <v>1.03</v>
      </c>
      <c r="Q21" s="168" t="n">
        <v>1</v>
      </c>
      <c r="R21" s="168" t="n">
        <v>1</v>
      </c>
      <c r="S21" s="168" t="n">
        <v>1.02</v>
      </c>
      <c r="T21" s="168" t="n">
        <v>1</v>
      </c>
      <c r="U21" s="168" t="n">
        <v>1</v>
      </c>
      <c r="V21" s="168" t="n">
        <v>1</v>
      </c>
      <c r="W21" s="168" t="n">
        <v>1</v>
      </c>
      <c r="X21" s="168" t="n">
        <v>1</v>
      </c>
      <c r="Y21" s="168" t="n">
        <v>1</v>
      </c>
      <c r="Z21" s="168" t="n">
        <v>1</v>
      </c>
      <c r="AA21" s="168" t="n">
        <v>1</v>
      </c>
      <c r="AB21" s="168" t="n">
        <v>1</v>
      </c>
      <c r="AC21" s="168" t="n">
        <v>1</v>
      </c>
      <c r="AD21" s="168" t="n">
        <v>1</v>
      </c>
      <c r="AE21" s="168" t="n">
        <v>1</v>
      </c>
      <c r="AF21" s="168" t="n">
        <v>1.1</v>
      </c>
      <c r="AG21" s="168" t="n">
        <v>1.1</v>
      </c>
      <c r="AH21" s="168" t="n">
        <v>1.05</v>
      </c>
      <c r="AI21" s="168" t="n">
        <v>1</v>
      </c>
      <c r="AJ21" s="168" t="n">
        <v>0.97</v>
      </c>
      <c r="AK21" s="168" t="n">
        <v>1.02</v>
      </c>
      <c r="AL21" s="168" t="n">
        <v>1</v>
      </c>
      <c r="AM21" s="168" t="n">
        <v>0.97</v>
      </c>
      <c r="AN21" s="168" t="n">
        <v>1</v>
      </c>
      <c r="AO21" s="168" t="n">
        <v>1</v>
      </c>
    </row>
    <row r="22" customFormat="false" ht="12.75" hidden="false" customHeight="false" outlineLevel="0" collapsed="false">
      <c r="A22" s="167" t="n">
        <v>37347</v>
      </c>
      <c r="B22" s="168" t="n">
        <v>1</v>
      </c>
      <c r="C22" s="168" t="n">
        <v>1</v>
      </c>
      <c r="D22" s="168" t="n">
        <v>1</v>
      </c>
      <c r="E22" s="168" t="n">
        <v>1</v>
      </c>
      <c r="F22" s="168" t="n">
        <v>1</v>
      </c>
      <c r="G22" s="168" t="n">
        <v>1</v>
      </c>
      <c r="H22" s="168" t="n">
        <v>1</v>
      </c>
      <c r="I22" s="168" t="n">
        <v>1</v>
      </c>
      <c r="J22" s="168" t="n">
        <v>1</v>
      </c>
      <c r="K22" s="168" t="n">
        <v>1</v>
      </c>
      <c r="L22" s="168" t="n">
        <v>1</v>
      </c>
      <c r="M22" s="168" t="n">
        <v>1</v>
      </c>
      <c r="N22" s="168" t="n">
        <v>1</v>
      </c>
      <c r="O22" s="168" t="n">
        <v>1</v>
      </c>
      <c r="P22" s="168" t="n">
        <v>1.03</v>
      </c>
      <c r="Q22" s="168" t="n">
        <v>1</v>
      </c>
      <c r="R22" s="168" t="n">
        <v>1</v>
      </c>
      <c r="S22" s="168" t="n">
        <v>1.02</v>
      </c>
      <c r="T22" s="168" t="n">
        <v>1</v>
      </c>
      <c r="U22" s="168" t="n">
        <v>1</v>
      </c>
      <c r="V22" s="168" t="n">
        <v>1</v>
      </c>
      <c r="W22" s="168" t="n">
        <v>1</v>
      </c>
      <c r="X22" s="168" t="n">
        <v>1</v>
      </c>
      <c r="Y22" s="168" t="n">
        <v>1.02</v>
      </c>
      <c r="Z22" s="168" t="n">
        <v>1</v>
      </c>
      <c r="AA22" s="168" t="n">
        <v>1</v>
      </c>
      <c r="AB22" s="168" t="n">
        <v>1</v>
      </c>
      <c r="AC22" s="168" t="n">
        <v>1</v>
      </c>
      <c r="AD22" s="168" t="n">
        <v>0.98</v>
      </c>
      <c r="AE22" s="168" t="n">
        <v>0.98</v>
      </c>
      <c r="AF22" s="168" t="n">
        <v>0.98</v>
      </c>
      <c r="AG22" s="168" t="n">
        <v>0.98</v>
      </c>
      <c r="AH22" s="168" t="n">
        <v>1.05</v>
      </c>
      <c r="AI22" s="168" t="n">
        <v>1</v>
      </c>
      <c r="AJ22" s="168" t="n">
        <v>1</v>
      </c>
      <c r="AK22" s="168" t="n">
        <v>1.02</v>
      </c>
      <c r="AL22" s="168" t="n">
        <v>1</v>
      </c>
      <c r="AM22" s="168" t="n">
        <v>1</v>
      </c>
      <c r="AN22" s="168" t="n">
        <v>1</v>
      </c>
      <c r="AO22" s="168" t="n">
        <v>1</v>
      </c>
    </row>
    <row r="23" customFormat="false" ht="12.75" hidden="false" customHeight="false" outlineLevel="0" collapsed="false">
      <c r="A23" s="167" t="n">
        <v>37377</v>
      </c>
      <c r="B23" s="168" t="n">
        <v>1</v>
      </c>
      <c r="C23" s="168" t="n">
        <v>1</v>
      </c>
      <c r="D23" s="168" t="n">
        <v>1</v>
      </c>
      <c r="E23" s="168" t="n">
        <v>1</v>
      </c>
      <c r="F23" s="168" t="n">
        <v>1</v>
      </c>
      <c r="G23" s="168" t="n">
        <v>1</v>
      </c>
      <c r="H23" s="168" t="n">
        <v>1</v>
      </c>
      <c r="I23" s="168" t="n">
        <v>1</v>
      </c>
      <c r="J23" s="168" t="n">
        <v>1</v>
      </c>
      <c r="K23" s="168" t="n">
        <v>1</v>
      </c>
      <c r="L23" s="168" t="n">
        <v>1</v>
      </c>
      <c r="M23" s="168" t="n">
        <v>1</v>
      </c>
      <c r="N23" s="168" t="n">
        <v>1</v>
      </c>
      <c r="O23" s="168" t="n">
        <v>1</v>
      </c>
      <c r="P23" s="168" t="n">
        <v>1.03</v>
      </c>
      <c r="Q23" s="168" t="n">
        <v>1</v>
      </c>
      <c r="R23" s="168" t="n">
        <v>1</v>
      </c>
      <c r="S23" s="168" t="n">
        <v>1.02</v>
      </c>
      <c r="T23" s="168" t="n">
        <v>1</v>
      </c>
      <c r="U23" s="168" t="n">
        <v>1</v>
      </c>
      <c r="V23" s="168" t="n">
        <v>1</v>
      </c>
      <c r="W23" s="168" t="n">
        <v>1</v>
      </c>
      <c r="X23" s="168" t="n">
        <v>1</v>
      </c>
      <c r="Y23" s="168" t="n">
        <v>1.02</v>
      </c>
      <c r="Z23" s="168" t="n">
        <v>1</v>
      </c>
      <c r="AA23" s="168" t="n">
        <v>1</v>
      </c>
      <c r="AB23" s="168" t="n">
        <v>1</v>
      </c>
      <c r="AC23" s="168" t="n">
        <v>1</v>
      </c>
      <c r="AD23" s="168" t="n">
        <v>0.98</v>
      </c>
      <c r="AE23" s="168" t="n">
        <v>0.98</v>
      </c>
      <c r="AF23" s="168" t="n">
        <v>0.98</v>
      </c>
      <c r="AG23" s="168" t="n">
        <v>0.98</v>
      </c>
      <c r="AH23" s="168" t="n">
        <v>1.05</v>
      </c>
      <c r="AI23" s="168" t="n">
        <v>1</v>
      </c>
      <c r="AJ23" s="168" t="n">
        <v>1</v>
      </c>
      <c r="AK23" s="168" t="n">
        <v>1.02</v>
      </c>
      <c r="AL23" s="168" t="n">
        <v>1</v>
      </c>
      <c r="AM23" s="168" t="n">
        <v>1</v>
      </c>
      <c r="AN23" s="168" t="n">
        <v>1</v>
      </c>
      <c r="AO23" s="168" t="n">
        <v>1</v>
      </c>
    </row>
    <row r="24" customFormat="false" ht="12.75" hidden="false" customHeight="false" outlineLevel="0" collapsed="false">
      <c r="A24" s="167" t="n">
        <v>37408</v>
      </c>
      <c r="B24" s="168" t="n">
        <v>1</v>
      </c>
      <c r="C24" s="168" t="n">
        <v>1</v>
      </c>
      <c r="D24" s="168" t="n">
        <v>1</v>
      </c>
      <c r="E24" s="168" t="n">
        <v>1</v>
      </c>
      <c r="F24" s="168" t="n">
        <v>1</v>
      </c>
      <c r="G24" s="168" t="n">
        <v>1</v>
      </c>
      <c r="H24" s="168" t="n">
        <v>1</v>
      </c>
      <c r="I24" s="168" t="n">
        <v>1</v>
      </c>
      <c r="J24" s="168" t="n">
        <v>1</v>
      </c>
      <c r="K24" s="168" t="n">
        <v>1</v>
      </c>
      <c r="L24" s="168" t="n">
        <v>1</v>
      </c>
      <c r="M24" s="168" t="n">
        <v>1</v>
      </c>
      <c r="N24" s="168" t="n">
        <v>1</v>
      </c>
      <c r="O24" s="168" t="n">
        <v>1</v>
      </c>
      <c r="P24" s="168" t="n">
        <v>1.03</v>
      </c>
      <c r="Q24" s="168" t="n">
        <v>1</v>
      </c>
      <c r="R24" s="168" t="n">
        <v>1</v>
      </c>
      <c r="S24" s="168" t="n">
        <v>1.02</v>
      </c>
      <c r="T24" s="168" t="n">
        <v>1</v>
      </c>
      <c r="U24" s="168" t="n">
        <v>1</v>
      </c>
      <c r="V24" s="168" t="n">
        <v>1</v>
      </c>
      <c r="W24" s="168" t="n">
        <v>1</v>
      </c>
      <c r="X24" s="168" t="n">
        <v>1</v>
      </c>
      <c r="Y24" s="168" t="n">
        <v>1.02</v>
      </c>
      <c r="Z24" s="168" t="n">
        <v>1</v>
      </c>
      <c r="AA24" s="168" t="n">
        <v>1</v>
      </c>
      <c r="AB24" s="168" t="n">
        <v>1</v>
      </c>
      <c r="AC24" s="168" t="n">
        <v>1</v>
      </c>
      <c r="AD24" s="168" t="n">
        <v>0.98</v>
      </c>
      <c r="AE24" s="168" t="n">
        <v>0.98</v>
      </c>
      <c r="AF24" s="168" t="n">
        <v>0.98</v>
      </c>
      <c r="AG24" s="168" t="n">
        <v>0.98</v>
      </c>
      <c r="AH24" s="168" t="n">
        <v>1.05</v>
      </c>
      <c r="AI24" s="168" t="n">
        <v>1</v>
      </c>
      <c r="AJ24" s="168" t="n">
        <v>1</v>
      </c>
      <c r="AK24" s="168" t="n">
        <v>1.02</v>
      </c>
      <c r="AL24" s="168" t="n">
        <v>1</v>
      </c>
      <c r="AM24" s="168" t="n">
        <v>1</v>
      </c>
      <c r="AN24" s="168" t="n">
        <v>1</v>
      </c>
      <c r="AO24" s="168" t="n">
        <v>1</v>
      </c>
    </row>
    <row r="25" customFormat="false" ht="12.75" hidden="false" customHeight="false" outlineLevel="0" collapsed="false">
      <c r="A25" s="167" t="n">
        <v>37438</v>
      </c>
      <c r="B25" s="168" t="n">
        <v>1</v>
      </c>
      <c r="C25" s="168" t="n">
        <v>1</v>
      </c>
      <c r="D25" s="168" t="n">
        <v>1</v>
      </c>
      <c r="E25" s="168" t="n">
        <v>1</v>
      </c>
      <c r="F25" s="168" t="n">
        <v>1</v>
      </c>
      <c r="G25" s="168" t="n">
        <v>1</v>
      </c>
      <c r="H25" s="168" t="n">
        <v>1</v>
      </c>
      <c r="I25" s="168" t="n">
        <v>1</v>
      </c>
      <c r="J25" s="168" t="n">
        <v>1</v>
      </c>
      <c r="K25" s="168" t="n">
        <v>1</v>
      </c>
      <c r="L25" s="168" t="n">
        <v>1</v>
      </c>
      <c r="M25" s="168" t="n">
        <v>1</v>
      </c>
      <c r="N25" s="168" t="n">
        <v>1</v>
      </c>
      <c r="O25" s="168" t="n">
        <v>1</v>
      </c>
      <c r="P25" s="168" t="n">
        <v>1.03</v>
      </c>
      <c r="Q25" s="168" t="n">
        <v>1</v>
      </c>
      <c r="R25" s="168" t="n">
        <v>1</v>
      </c>
      <c r="S25" s="168" t="n">
        <v>1.02</v>
      </c>
      <c r="T25" s="168" t="n">
        <v>1</v>
      </c>
      <c r="U25" s="168" t="n">
        <v>1</v>
      </c>
      <c r="V25" s="168" t="n">
        <v>1</v>
      </c>
      <c r="W25" s="168" t="n">
        <v>1</v>
      </c>
      <c r="X25" s="168" t="n">
        <v>1</v>
      </c>
      <c r="Y25" s="168" t="n">
        <v>1.02</v>
      </c>
      <c r="Z25" s="168" t="n">
        <v>1</v>
      </c>
      <c r="AA25" s="168" t="n">
        <v>1</v>
      </c>
      <c r="AB25" s="168" t="n">
        <v>1</v>
      </c>
      <c r="AC25" s="168" t="n">
        <v>1</v>
      </c>
      <c r="AD25" s="168" t="n">
        <v>0.98</v>
      </c>
      <c r="AE25" s="168" t="n">
        <v>0.98</v>
      </c>
      <c r="AF25" s="168" t="n">
        <v>0.98</v>
      </c>
      <c r="AG25" s="168" t="n">
        <v>0.98</v>
      </c>
      <c r="AH25" s="168" t="n">
        <v>1.05</v>
      </c>
      <c r="AI25" s="168" t="n">
        <v>1</v>
      </c>
      <c r="AJ25" s="168" t="n">
        <v>1</v>
      </c>
      <c r="AK25" s="168" t="n">
        <v>1.02</v>
      </c>
      <c r="AL25" s="168" t="n">
        <v>1</v>
      </c>
      <c r="AM25" s="168" t="n">
        <v>1</v>
      </c>
      <c r="AN25" s="168" t="n">
        <v>1</v>
      </c>
      <c r="AO25" s="168" t="n">
        <v>1</v>
      </c>
    </row>
    <row r="26" customFormat="false" ht="12.75" hidden="false" customHeight="false" outlineLevel="0" collapsed="false">
      <c r="A26" s="167" t="n">
        <v>37469</v>
      </c>
      <c r="B26" s="168" t="n">
        <v>1</v>
      </c>
      <c r="C26" s="168" t="n">
        <v>1</v>
      </c>
      <c r="D26" s="168" t="n">
        <v>1</v>
      </c>
      <c r="E26" s="168" t="n">
        <v>1</v>
      </c>
      <c r="F26" s="168" t="n">
        <v>1</v>
      </c>
      <c r="G26" s="168" t="n">
        <v>1</v>
      </c>
      <c r="H26" s="168" t="n">
        <v>1</v>
      </c>
      <c r="I26" s="168" t="n">
        <v>1</v>
      </c>
      <c r="J26" s="168" t="n">
        <v>1</v>
      </c>
      <c r="K26" s="168" t="n">
        <v>1</v>
      </c>
      <c r="L26" s="168" t="n">
        <v>1</v>
      </c>
      <c r="M26" s="168" t="n">
        <v>1</v>
      </c>
      <c r="N26" s="168" t="n">
        <v>1</v>
      </c>
      <c r="O26" s="168" t="n">
        <v>1</v>
      </c>
      <c r="P26" s="168" t="n">
        <v>1.03</v>
      </c>
      <c r="Q26" s="168" t="n">
        <v>1</v>
      </c>
      <c r="R26" s="168" t="n">
        <v>1</v>
      </c>
      <c r="S26" s="168" t="n">
        <v>1.02</v>
      </c>
      <c r="T26" s="168" t="n">
        <v>1</v>
      </c>
      <c r="U26" s="168" t="n">
        <v>1</v>
      </c>
      <c r="V26" s="168" t="n">
        <v>1</v>
      </c>
      <c r="W26" s="168" t="n">
        <v>1</v>
      </c>
      <c r="X26" s="168" t="n">
        <v>1</v>
      </c>
      <c r="Y26" s="168" t="n">
        <v>1.02</v>
      </c>
      <c r="Z26" s="168" t="n">
        <v>1</v>
      </c>
      <c r="AA26" s="168" t="n">
        <v>1</v>
      </c>
      <c r="AB26" s="168" t="n">
        <v>1</v>
      </c>
      <c r="AC26" s="168" t="n">
        <v>1</v>
      </c>
      <c r="AD26" s="168" t="n">
        <v>0.98</v>
      </c>
      <c r="AE26" s="168" t="n">
        <v>0.98</v>
      </c>
      <c r="AF26" s="168" t="n">
        <v>0.98</v>
      </c>
      <c r="AG26" s="168" t="n">
        <v>0.98</v>
      </c>
      <c r="AH26" s="168" t="n">
        <v>1.05</v>
      </c>
      <c r="AI26" s="168" t="n">
        <v>1</v>
      </c>
      <c r="AJ26" s="168" t="n">
        <v>1</v>
      </c>
      <c r="AK26" s="168" t="n">
        <v>1.02</v>
      </c>
      <c r="AL26" s="168" t="n">
        <v>1</v>
      </c>
      <c r="AM26" s="168" t="n">
        <v>1</v>
      </c>
      <c r="AN26" s="168" t="n">
        <v>1</v>
      </c>
      <c r="AO26" s="168" t="n">
        <v>1</v>
      </c>
    </row>
    <row r="27" customFormat="false" ht="12.75" hidden="false" customHeight="false" outlineLevel="0" collapsed="false">
      <c r="A27" s="167" t="n">
        <v>37500</v>
      </c>
      <c r="B27" s="168" t="n">
        <v>1</v>
      </c>
      <c r="C27" s="168" t="n">
        <v>1</v>
      </c>
      <c r="D27" s="168" t="n">
        <v>1</v>
      </c>
      <c r="E27" s="168" t="n">
        <v>1</v>
      </c>
      <c r="F27" s="168" t="n">
        <v>1</v>
      </c>
      <c r="G27" s="168" t="n">
        <v>1</v>
      </c>
      <c r="H27" s="168" t="n">
        <v>1</v>
      </c>
      <c r="I27" s="168" t="n">
        <v>1</v>
      </c>
      <c r="J27" s="168" t="n">
        <v>1</v>
      </c>
      <c r="K27" s="168" t="n">
        <v>1</v>
      </c>
      <c r="L27" s="168" t="n">
        <v>1</v>
      </c>
      <c r="M27" s="168" t="n">
        <v>1</v>
      </c>
      <c r="N27" s="168" t="n">
        <v>1</v>
      </c>
      <c r="O27" s="168" t="n">
        <v>1</v>
      </c>
      <c r="P27" s="168" t="n">
        <v>1.03</v>
      </c>
      <c r="Q27" s="168" t="n">
        <v>1</v>
      </c>
      <c r="R27" s="168" t="n">
        <v>1</v>
      </c>
      <c r="S27" s="168" t="n">
        <v>1.02</v>
      </c>
      <c r="T27" s="168" t="n">
        <v>1</v>
      </c>
      <c r="U27" s="168" t="n">
        <v>1</v>
      </c>
      <c r="V27" s="168" t="n">
        <v>1</v>
      </c>
      <c r="W27" s="168" t="n">
        <v>1</v>
      </c>
      <c r="X27" s="168" t="n">
        <v>1</v>
      </c>
      <c r="Y27" s="168" t="n">
        <v>1.02</v>
      </c>
      <c r="Z27" s="168" t="n">
        <v>1</v>
      </c>
      <c r="AA27" s="168" t="n">
        <v>1</v>
      </c>
      <c r="AB27" s="168" t="n">
        <v>1</v>
      </c>
      <c r="AC27" s="168" t="n">
        <v>1</v>
      </c>
      <c r="AD27" s="168" t="n">
        <v>0.98</v>
      </c>
      <c r="AE27" s="168" t="n">
        <v>0.98</v>
      </c>
      <c r="AF27" s="168" t="n">
        <v>0.98</v>
      </c>
      <c r="AG27" s="168" t="n">
        <v>0.98</v>
      </c>
      <c r="AH27" s="168" t="n">
        <v>1.05</v>
      </c>
      <c r="AI27" s="168" t="n">
        <v>1</v>
      </c>
      <c r="AJ27" s="168" t="n">
        <v>1</v>
      </c>
      <c r="AK27" s="168" t="n">
        <v>1.02</v>
      </c>
      <c r="AL27" s="168" t="n">
        <v>1</v>
      </c>
      <c r="AM27" s="168" t="n">
        <v>1</v>
      </c>
      <c r="AN27" s="168" t="n">
        <v>1</v>
      </c>
      <c r="AO27" s="168" t="n">
        <v>1</v>
      </c>
    </row>
    <row r="28" customFormat="false" ht="12.75" hidden="false" customHeight="false" outlineLevel="0" collapsed="false">
      <c r="A28" s="167" t="n">
        <v>37530</v>
      </c>
      <c r="B28" s="168" t="n">
        <v>1</v>
      </c>
      <c r="C28" s="168" t="n">
        <v>1</v>
      </c>
      <c r="D28" s="168" t="n">
        <v>1</v>
      </c>
      <c r="E28" s="168" t="n">
        <v>1</v>
      </c>
      <c r="F28" s="168" t="n">
        <v>1</v>
      </c>
      <c r="G28" s="168" t="n">
        <v>1</v>
      </c>
      <c r="H28" s="168" t="n">
        <v>1</v>
      </c>
      <c r="I28" s="168" t="n">
        <v>1</v>
      </c>
      <c r="J28" s="168" t="n">
        <v>1</v>
      </c>
      <c r="K28" s="168" t="n">
        <v>1</v>
      </c>
      <c r="L28" s="168" t="n">
        <v>1</v>
      </c>
      <c r="M28" s="168" t="n">
        <v>1</v>
      </c>
      <c r="N28" s="168" t="n">
        <v>1</v>
      </c>
      <c r="O28" s="168" t="n">
        <v>1</v>
      </c>
      <c r="P28" s="168" t="n">
        <v>1.03</v>
      </c>
      <c r="Q28" s="168" t="n">
        <v>1</v>
      </c>
      <c r="R28" s="168" t="n">
        <v>1</v>
      </c>
      <c r="S28" s="168" t="n">
        <v>1.02</v>
      </c>
      <c r="T28" s="168" t="n">
        <v>1</v>
      </c>
      <c r="U28" s="168" t="n">
        <v>1</v>
      </c>
      <c r="V28" s="168" t="n">
        <v>1</v>
      </c>
      <c r="W28" s="168" t="n">
        <v>1</v>
      </c>
      <c r="X28" s="168" t="n">
        <v>1</v>
      </c>
      <c r="Y28" s="168" t="n">
        <v>1.02</v>
      </c>
      <c r="Z28" s="168" t="n">
        <v>1</v>
      </c>
      <c r="AA28" s="168" t="n">
        <v>1</v>
      </c>
      <c r="AB28" s="168" t="n">
        <v>1</v>
      </c>
      <c r="AC28" s="168" t="n">
        <v>1</v>
      </c>
      <c r="AD28" s="168" t="n">
        <v>0.98</v>
      </c>
      <c r="AE28" s="168" t="n">
        <v>0.98</v>
      </c>
      <c r="AF28" s="168" t="n">
        <v>0.98</v>
      </c>
      <c r="AG28" s="168" t="n">
        <v>0.98</v>
      </c>
      <c r="AH28" s="168" t="n">
        <v>1.05</v>
      </c>
      <c r="AI28" s="168" t="n">
        <v>1</v>
      </c>
      <c r="AJ28" s="168" t="n">
        <v>1</v>
      </c>
      <c r="AK28" s="168" t="n">
        <v>1.02</v>
      </c>
      <c r="AL28" s="168" t="n">
        <v>1</v>
      </c>
      <c r="AM28" s="168" t="n">
        <v>1</v>
      </c>
      <c r="AN28" s="168" t="n">
        <v>1</v>
      </c>
      <c r="AO28" s="168" t="n">
        <v>1</v>
      </c>
    </row>
    <row r="29" customFormat="false" ht="12.75" hidden="false" customHeight="false" outlineLevel="0" collapsed="false">
      <c r="A29" s="167" t="n">
        <v>37561</v>
      </c>
      <c r="B29" s="168" t="n">
        <v>1</v>
      </c>
      <c r="C29" s="168" t="n">
        <v>1</v>
      </c>
      <c r="D29" s="168" t="n">
        <v>1</v>
      </c>
      <c r="E29" s="168" t="n">
        <v>1</v>
      </c>
      <c r="F29" s="168" t="n">
        <v>1</v>
      </c>
      <c r="G29" s="168" t="n">
        <v>1</v>
      </c>
      <c r="H29" s="168" t="n">
        <v>1</v>
      </c>
      <c r="I29" s="168" t="n">
        <v>1</v>
      </c>
      <c r="J29" s="168" t="n">
        <v>1</v>
      </c>
      <c r="K29" s="168" t="n">
        <v>1</v>
      </c>
      <c r="L29" s="168" t="n">
        <v>1</v>
      </c>
      <c r="M29" s="168" t="n">
        <v>1</v>
      </c>
      <c r="N29" s="168" t="n">
        <v>1</v>
      </c>
      <c r="O29" s="168" t="n">
        <v>1</v>
      </c>
      <c r="P29" s="168" t="n">
        <v>1.03</v>
      </c>
      <c r="Q29" s="168" t="n">
        <v>1</v>
      </c>
      <c r="R29" s="168" t="n">
        <v>1</v>
      </c>
      <c r="S29" s="168" t="n">
        <v>1.02</v>
      </c>
      <c r="T29" s="168" t="n">
        <v>1</v>
      </c>
      <c r="U29" s="168" t="n">
        <v>1</v>
      </c>
      <c r="V29" s="168" t="n">
        <v>1</v>
      </c>
      <c r="W29" s="168" t="n">
        <v>1</v>
      </c>
      <c r="X29" s="168" t="n">
        <v>1</v>
      </c>
      <c r="Y29" s="168" t="n">
        <v>1</v>
      </c>
      <c r="Z29" s="168" t="n">
        <v>1</v>
      </c>
      <c r="AA29" s="168" t="n">
        <v>1</v>
      </c>
      <c r="AB29" s="168" t="n">
        <v>1</v>
      </c>
      <c r="AC29" s="168" t="n">
        <v>1</v>
      </c>
      <c r="AD29" s="168" t="n">
        <v>1</v>
      </c>
      <c r="AE29" s="168" t="n">
        <v>1</v>
      </c>
      <c r="AF29" s="168" t="n">
        <v>1.1</v>
      </c>
      <c r="AG29" s="168" t="n">
        <v>1.1</v>
      </c>
      <c r="AH29" s="168" t="n">
        <v>1.05</v>
      </c>
      <c r="AI29" s="168" t="n">
        <v>1</v>
      </c>
      <c r="AJ29" s="168" t="n">
        <v>1</v>
      </c>
      <c r="AK29" s="168" t="n">
        <v>1.02</v>
      </c>
      <c r="AL29" s="168" t="n">
        <v>1</v>
      </c>
      <c r="AM29" s="168" t="n">
        <v>1</v>
      </c>
      <c r="AN29" s="168" t="n">
        <v>1</v>
      </c>
      <c r="AO29" s="168" t="n">
        <v>1</v>
      </c>
    </row>
    <row r="30" customFormat="false" ht="12.75" hidden="false" customHeight="false" outlineLevel="0" collapsed="false">
      <c r="A30" s="167" t="n">
        <v>37591</v>
      </c>
      <c r="B30" s="168" t="n">
        <v>1</v>
      </c>
      <c r="C30" s="168" t="n">
        <v>1</v>
      </c>
      <c r="D30" s="168" t="n">
        <v>1</v>
      </c>
      <c r="E30" s="168" t="n">
        <v>1</v>
      </c>
      <c r="F30" s="168" t="n">
        <v>1</v>
      </c>
      <c r="G30" s="168" t="n">
        <v>1</v>
      </c>
      <c r="H30" s="168" t="n">
        <v>1</v>
      </c>
      <c r="I30" s="168" t="n">
        <v>1</v>
      </c>
      <c r="J30" s="168" t="n">
        <v>1</v>
      </c>
      <c r="K30" s="168" t="n">
        <v>1</v>
      </c>
      <c r="L30" s="168" t="n">
        <v>1</v>
      </c>
      <c r="M30" s="168" t="n">
        <v>1</v>
      </c>
      <c r="N30" s="168" t="n">
        <v>1</v>
      </c>
      <c r="O30" s="168" t="n">
        <v>1</v>
      </c>
      <c r="P30" s="168" t="n">
        <v>1.03</v>
      </c>
      <c r="Q30" s="168" t="n">
        <v>1</v>
      </c>
      <c r="R30" s="168" t="n">
        <v>1</v>
      </c>
      <c r="S30" s="168" t="n">
        <v>1.02</v>
      </c>
      <c r="T30" s="168" t="n">
        <v>1</v>
      </c>
      <c r="U30" s="168" t="n">
        <v>1</v>
      </c>
      <c r="V30" s="168" t="n">
        <v>1</v>
      </c>
      <c r="W30" s="168" t="n">
        <v>1</v>
      </c>
      <c r="X30" s="168" t="n">
        <v>1</v>
      </c>
      <c r="Y30" s="168" t="n">
        <v>1</v>
      </c>
      <c r="Z30" s="168" t="n">
        <v>1</v>
      </c>
      <c r="AA30" s="168" t="n">
        <v>1</v>
      </c>
      <c r="AB30" s="168" t="n">
        <v>1</v>
      </c>
      <c r="AC30" s="168" t="n">
        <v>1</v>
      </c>
      <c r="AD30" s="168" t="n">
        <v>1</v>
      </c>
      <c r="AE30" s="168" t="n">
        <v>1</v>
      </c>
      <c r="AF30" s="168" t="n">
        <v>1.1</v>
      </c>
      <c r="AG30" s="168" t="n">
        <v>1.1</v>
      </c>
      <c r="AH30" s="168" t="n">
        <v>1.05</v>
      </c>
      <c r="AI30" s="168" t="n">
        <v>1</v>
      </c>
      <c r="AJ30" s="168" t="n">
        <v>1</v>
      </c>
      <c r="AK30" s="168" t="n">
        <v>1.02</v>
      </c>
      <c r="AL30" s="168" t="n">
        <v>1</v>
      </c>
      <c r="AM30" s="168" t="n">
        <v>1</v>
      </c>
      <c r="AN30" s="168" t="n">
        <v>1</v>
      </c>
      <c r="AO30" s="168" t="n">
        <v>1</v>
      </c>
    </row>
    <row r="31" customFormat="false" ht="12.75" hidden="false" customHeight="false" outlineLevel="0" collapsed="false">
      <c r="A31" s="167" t="n">
        <v>37622</v>
      </c>
      <c r="B31" s="168" t="n">
        <v>1</v>
      </c>
      <c r="C31" s="168" t="n">
        <v>1</v>
      </c>
      <c r="D31" s="168" t="n">
        <v>1</v>
      </c>
      <c r="E31" s="168" t="n">
        <v>1</v>
      </c>
      <c r="F31" s="168" t="n">
        <v>1</v>
      </c>
      <c r="G31" s="168" t="n">
        <v>1</v>
      </c>
      <c r="H31" s="168" t="n">
        <v>1</v>
      </c>
      <c r="I31" s="168" t="n">
        <v>1</v>
      </c>
      <c r="J31" s="168" t="n">
        <v>1</v>
      </c>
      <c r="K31" s="168" t="n">
        <v>1</v>
      </c>
      <c r="L31" s="168" t="n">
        <v>1</v>
      </c>
      <c r="M31" s="168" t="n">
        <v>1</v>
      </c>
      <c r="N31" s="168" t="n">
        <v>1</v>
      </c>
      <c r="O31" s="168" t="n">
        <v>1</v>
      </c>
      <c r="P31" s="168" t="n">
        <v>1.03</v>
      </c>
      <c r="Q31" s="168" t="n">
        <v>1</v>
      </c>
      <c r="R31" s="168" t="n">
        <v>1</v>
      </c>
      <c r="S31" s="168" t="n">
        <v>1.02</v>
      </c>
      <c r="T31" s="168" t="n">
        <v>1</v>
      </c>
      <c r="U31" s="168" t="n">
        <v>1</v>
      </c>
      <c r="V31" s="168" t="n">
        <v>1</v>
      </c>
      <c r="W31" s="168" t="n">
        <v>1</v>
      </c>
      <c r="X31" s="168" t="n">
        <v>1</v>
      </c>
      <c r="Y31" s="168" t="n">
        <v>1</v>
      </c>
      <c r="Z31" s="168" t="n">
        <v>1</v>
      </c>
      <c r="AA31" s="168" t="n">
        <v>1</v>
      </c>
      <c r="AB31" s="168" t="n">
        <v>1</v>
      </c>
      <c r="AC31" s="168" t="n">
        <v>1</v>
      </c>
      <c r="AD31" s="168" t="n">
        <v>1</v>
      </c>
      <c r="AE31" s="168" t="n">
        <v>1</v>
      </c>
      <c r="AF31" s="168" t="n">
        <v>1.1</v>
      </c>
      <c r="AG31" s="168" t="n">
        <v>1.1</v>
      </c>
      <c r="AH31" s="168" t="n">
        <v>1.05</v>
      </c>
      <c r="AI31" s="168" t="n">
        <v>1</v>
      </c>
      <c r="AJ31" s="168" t="n">
        <v>1</v>
      </c>
      <c r="AK31" s="168" t="n">
        <v>1.02</v>
      </c>
      <c r="AL31" s="168" t="n">
        <v>1</v>
      </c>
      <c r="AM31" s="168" t="n">
        <v>1</v>
      </c>
      <c r="AN31" s="168" t="n">
        <v>1</v>
      </c>
      <c r="AO31" s="168" t="n">
        <v>1</v>
      </c>
    </row>
    <row r="32" customFormat="false" ht="12.75" hidden="false" customHeight="false" outlineLevel="0" collapsed="false">
      <c r="A32" s="167" t="n">
        <v>37653</v>
      </c>
      <c r="B32" s="168" t="n">
        <v>1</v>
      </c>
      <c r="C32" s="168" t="n">
        <v>1</v>
      </c>
      <c r="D32" s="168" t="n">
        <v>1</v>
      </c>
      <c r="E32" s="168" t="n">
        <v>1</v>
      </c>
      <c r="F32" s="168" t="n">
        <v>1</v>
      </c>
      <c r="G32" s="168" t="n">
        <v>1</v>
      </c>
      <c r="H32" s="168" t="n">
        <v>1</v>
      </c>
      <c r="I32" s="168" t="n">
        <v>1</v>
      </c>
      <c r="J32" s="168" t="n">
        <v>1</v>
      </c>
      <c r="K32" s="168" t="n">
        <v>1</v>
      </c>
      <c r="L32" s="168" t="n">
        <v>1</v>
      </c>
      <c r="M32" s="168" t="n">
        <v>1</v>
      </c>
      <c r="N32" s="168" t="n">
        <v>1</v>
      </c>
      <c r="O32" s="168" t="n">
        <v>1</v>
      </c>
      <c r="P32" s="168" t="n">
        <v>1.03</v>
      </c>
      <c r="Q32" s="168" t="n">
        <v>1</v>
      </c>
      <c r="R32" s="168" t="n">
        <v>1</v>
      </c>
      <c r="S32" s="168" t="n">
        <v>1.02</v>
      </c>
      <c r="T32" s="168" t="n">
        <v>1</v>
      </c>
      <c r="U32" s="168" t="n">
        <v>1</v>
      </c>
      <c r="V32" s="168" t="n">
        <v>1</v>
      </c>
      <c r="W32" s="168" t="n">
        <v>1</v>
      </c>
      <c r="X32" s="168" t="n">
        <v>1</v>
      </c>
      <c r="Y32" s="168" t="n">
        <v>1</v>
      </c>
      <c r="Z32" s="168" t="n">
        <v>1</v>
      </c>
      <c r="AA32" s="168" t="n">
        <v>1</v>
      </c>
      <c r="AB32" s="168" t="n">
        <v>1</v>
      </c>
      <c r="AC32" s="168" t="n">
        <v>1</v>
      </c>
      <c r="AD32" s="168" t="n">
        <v>1</v>
      </c>
      <c r="AE32" s="168" t="n">
        <v>1</v>
      </c>
      <c r="AF32" s="168" t="n">
        <v>1.1</v>
      </c>
      <c r="AG32" s="168" t="n">
        <v>1.1</v>
      </c>
      <c r="AH32" s="168" t="n">
        <v>1.05</v>
      </c>
      <c r="AI32" s="168" t="n">
        <v>1</v>
      </c>
      <c r="AJ32" s="168" t="n">
        <v>1</v>
      </c>
      <c r="AK32" s="168" t="n">
        <v>1.02</v>
      </c>
      <c r="AL32" s="168" t="n">
        <v>1</v>
      </c>
      <c r="AM32" s="168" t="n">
        <v>1</v>
      </c>
      <c r="AN32" s="168" t="n">
        <v>1</v>
      </c>
      <c r="AO32" s="168" t="n">
        <v>1</v>
      </c>
    </row>
    <row r="33" customFormat="false" ht="12.75" hidden="false" customHeight="false" outlineLevel="0" collapsed="false">
      <c r="A33" s="167" t="n">
        <v>37681</v>
      </c>
      <c r="B33" s="168" t="n">
        <v>1</v>
      </c>
      <c r="C33" s="168" t="n">
        <v>1</v>
      </c>
      <c r="D33" s="168" t="n">
        <v>1</v>
      </c>
      <c r="E33" s="168" t="n">
        <v>1</v>
      </c>
      <c r="F33" s="168" t="n">
        <v>1</v>
      </c>
      <c r="G33" s="168" t="n">
        <v>1</v>
      </c>
      <c r="H33" s="168" t="n">
        <v>1</v>
      </c>
      <c r="I33" s="168" t="n">
        <v>1</v>
      </c>
      <c r="J33" s="168" t="n">
        <v>1</v>
      </c>
      <c r="K33" s="168" t="n">
        <v>1</v>
      </c>
      <c r="L33" s="168" t="n">
        <v>1</v>
      </c>
      <c r="M33" s="168" t="n">
        <v>1</v>
      </c>
      <c r="N33" s="168" t="n">
        <v>1</v>
      </c>
      <c r="O33" s="168" t="n">
        <v>1</v>
      </c>
      <c r="P33" s="168" t="n">
        <v>1.03</v>
      </c>
      <c r="Q33" s="168" t="n">
        <v>1</v>
      </c>
      <c r="R33" s="168" t="n">
        <v>1</v>
      </c>
      <c r="S33" s="168" t="n">
        <v>1.02</v>
      </c>
      <c r="T33" s="168" t="n">
        <v>1</v>
      </c>
      <c r="U33" s="168" t="n">
        <v>1</v>
      </c>
      <c r="V33" s="168" t="n">
        <v>1</v>
      </c>
      <c r="W33" s="168" t="n">
        <v>1</v>
      </c>
      <c r="X33" s="168" t="n">
        <v>1</v>
      </c>
      <c r="Y33" s="168" t="n">
        <v>1</v>
      </c>
      <c r="Z33" s="168" t="n">
        <v>1</v>
      </c>
      <c r="AA33" s="168" t="n">
        <v>1</v>
      </c>
      <c r="AB33" s="168" t="n">
        <v>1</v>
      </c>
      <c r="AC33" s="168" t="n">
        <v>1</v>
      </c>
      <c r="AD33" s="168" t="n">
        <v>1</v>
      </c>
      <c r="AE33" s="168" t="n">
        <v>1</v>
      </c>
      <c r="AF33" s="168" t="n">
        <v>1.1</v>
      </c>
      <c r="AG33" s="168" t="n">
        <v>1.1</v>
      </c>
      <c r="AH33" s="168" t="n">
        <v>1.05</v>
      </c>
      <c r="AI33" s="168" t="n">
        <v>1</v>
      </c>
      <c r="AJ33" s="168" t="n">
        <v>1</v>
      </c>
      <c r="AK33" s="168" t="n">
        <v>1.02</v>
      </c>
      <c r="AL33" s="168" t="n">
        <v>1</v>
      </c>
      <c r="AM33" s="168" t="n">
        <v>1</v>
      </c>
      <c r="AN33" s="168" t="n">
        <v>1</v>
      </c>
      <c r="AO33" s="168" t="n">
        <v>1</v>
      </c>
    </row>
    <row r="34" customFormat="false" ht="12.75" hidden="false" customHeight="false" outlineLevel="0" collapsed="false">
      <c r="A34" s="167" t="n">
        <v>37712</v>
      </c>
      <c r="B34" s="168" t="n">
        <v>1</v>
      </c>
      <c r="C34" s="168" t="n">
        <v>1</v>
      </c>
      <c r="D34" s="168" t="n">
        <v>1</v>
      </c>
      <c r="E34" s="168" t="n">
        <v>1</v>
      </c>
      <c r="F34" s="168" t="n">
        <v>1</v>
      </c>
      <c r="G34" s="168" t="n">
        <v>1</v>
      </c>
      <c r="H34" s="168" t="n">
        <v>1</v>
      </c>
      <c r="I34" s="168" t="n">
        <v>1</v>
      </c>
      <c r="J34" s="168" t="n">
        <v>1</v>
      </c>
      <c r="K34" s="168" t="n">
        <v>1</v>
      </c>
      <c r="L34" s="168" t="n">
        <v>1</v>
      </c>
      <c r="M34" s="168" t="n">
        <v>1</v>
      </c>
      <c r="N34" s="168" t="n">
        <v>1</v>
      </c>
      <c r="O34" s="168" t="n">
        <v>1</v>
      </c>
      <c r="P34" s="168" t="n">
        <v>1.03</v>
      </c>
      <c r="Q34" s="168" t="n">
        <v>1</v>
      </c>
      <c r="R34" s="168" t="n">
        <v>1</v>
      </c>
      <c r="S34" s="168" t="n">
        <v>1.02</v>
      </c>
      <c r="T34" s="168" t="n">
        <v>1</v>
      </c>
      <c r="U34" s="168" t="n">
        <v>1</v>
      </c>
      <c r="V34" s="168" t="n">
        <v>1</v>
      </c>
      <c r="W34" s="168" t="n">
        <v>1</v>
      </c>
      <c r="X34" s="168" t="n">
        <v>1</v>
      </c>
      <c r="Y34" s="168" t="n">
        <v>1.02</v>
      </c>
      <c r="Z34" s="168" t="n">
        <v>1</v>
      </c>
      <c r="AA34" s="168" t="n">
        <v>1</v>
      </c>
      <c r="AB34" s="168" t="n">
        <v>1</v>
      </c>
      <c r="AC34" s="168" t="n">
        <v>1</v>
      </c>
      <c r="AD34" s="168" t="n">
        <v>0.98</v>
      </c>
      <c r="AE34" s="168" t="n">
        <v>0.98</v>
      </c>
      <c r="AF34" s="168" t="n">
        <v>0.98</v>
      </c>
      <c r="AG34" s="168" t="n">
        <v>0.98</v>
      </c>
      <c r="AH34" s="168" t="n">
        <v>1.05</v>
      </c>
      <c r="AI34" s="168" t="n">
        <v>1</v>
      </c>
      <c r="AJ34" s="168" t="n">
        <v>1</v>
      </c>
      <c r="AK34" s="168" t="n">
        <v>1.02</v>
      </c>
      <c r="AL34" s="168" t="n">
        <v>1</v>
      </c>
      <c r="AM34" s="168" t="n">
        <v>1</v>
      </c>
      <c r="AN34" s="168" t="n">
        <v>1</v>
      </c>
      <c r="AO34" s="168" t="n">
        <v>1</v>
      </c>
    </row>
    <row r="35" customFormat="false" ht="12.75" hidden="false" customHeight="false" outlineLevel="0" collapsed="false">
      <c r="A35" s="167" t="n">
        <v>37742</v>
      </c>
      <c r="B35" s="168" t="n">
        <v>1</v>
      </c>
      <c r="C35" s="168" t="n">
        <v>1</v>
      </c>
      <c r="D35" s="168" t="n">
        <v>1</v>
      </c>
      <c r="E35" s="168" t="n">
        <v>1</v>
      </c>
      <c r="F35" s="168" t="n">
        <v>1</v>
      </c>
      <c r="G35" s="168" t="n">
        <v>1</v>
      </c>
      <c r="H35" s="168" t="n">
        <v>1</v>
      </c>
      <c r="I35" s="168" t="n">
        <v>1</v>
      </c>
      <c r="J35" s="168" t="n">
        <v>1</v>
      </c>
      <c r="K35" s="168" t="n">
        <v>1</v>
      </c>
      <c r="L35" s="168" t="n">
        <v>1</v>
      </c>
      <c r="M35" s="168" t="n">
        <v>1</v>
      </c>
      <c r="N35" s="168" t="n">
        <v>1</v>
      </c>
      <c r="O35" s="168" t="n">
        <v>1</v>
      </c>
      <c r="P35" s="168" t="n">
        <v>1.03</v>
      </c>
      <c r="Q35" s="168" t="n">
        <v>1</v>
      </c>
      <c r="R35" s="168" t="n">
        <v>1</v>
      </c>
      <c r="S35" s="168" t="n">
        <v>1.02</v>
      </c>
      <c r="T35" s="168" t="n">
        <v>1</v>
      </c>
      <c r="U35" s="168" t="n">
        <v>1</v>
      </c>
      <c r="V35" s="168" t="n">
        <v>1</v>
      </c>
      <c r="W35" s="168" t="n">
        <v>1</v>
      </c>
      <c r="X35" s="168" t="n">
        <v>1</v>
      </c>
      <c r="Y35" s="168" t="n">
        <v>1.02</v>
      </c>
      <c r="Z35" s="168" t="n">
        <v>1</v>
      </c>
      <c r="AA35" s="168" t="n">
        <v>1</v>
      </c>
      <c r="AB35" s="168" t="n">
        <v>1</v>
      </c>
      <c r="AC35" s="168" t="n">
        <v>1</v>
      </c>
      <c r="AD35" s="168" t="n">
        <v>0.98</v>
      </c>
      <c r="AE35" s="168" t="n">
        <v>0.98</v>
      </c>
      <c r="AF35" s="168" t="n">
        <v>0.98</v>
      </c>
      <c r="AG35" s="168" t="n">
        <v>0.98</v>
      </c>
      <c r="AH35" s="168" t="n">
        <v>1.05</v>
      </c>
      <c r="AI35" s="168" t="n">
        <v>1</v>
      </c>
      <c r="AJ35" s="168" t="n">
        <v>1</v>
      </c>
      <c r="AK35" s="168" t="n">
        <v>1.02</v>
      </c>
      <c r="AL35" s="168" t="n">
        <v>1</v>
      </c>
      <c r="AM35" s="168" t="n">
        <v>1</v>
      </c>
      <c r="AN35" s="168" t="n">
        <v>1</v>
      </c>
      <c r="AO35" s="168" t="n">
        <v>1</v>
      </c>
    </row>
    <row r="36" customFormat="false" ht="12.75" hidden="false" customHeight="false" outlineLevel="0" collapsed="false">
      <c r="A36" s="167" t="n">
        <v>37773</v>
      </c>
      <c r="B36" s="168" t="n">
        <v>1</v>
      </c>
      <c r="C36" s="168" t="n">
        <v>1</v>
      </c>
      <c r="D36" s="168" t="n">
        <v>1</v>
      </c>
      <c r="E36" s="168" t="n">
        <v>1</v>
      </c>
      <c r="F36" s="168" t="n">
        <v>1</v>
      </c>
      <c r="G36" s="168" t="n">
        <v>1</v>
      </c>
      <c r="H36" s="168" t="n">
        <v>1</v>
      </c>
      <c r="I36" s="168" t="n">
        <v>1</v>
      </c>
      <c r="J36" s="168" t="n">
        <v>1</v>
      </c>
      <c r="K36" s="168" t="n">
        <v>1</v>
      </c>
      <c r="L36" s="168" t="n">
        <v>1</v>
      </c>
      <c r="M36" s="168" t="n">
        <v>1</v>
      </c>
      <c r="N36" s="168" t="n">
        <v>1</v>
      </c>
      <c r="O36" s="168" t="n">
        <v>1</v>
      </c>
      <c r="P36" s="168" t="n">
        <v>1.03</v>
      </c>
      <c r="Q36" s="168" t="n">
        <v>1</v>
      </c>
      <c r="R36" s="168" t="n">
        <v>1</v>
      </c>
      <c r="S36" s="168" t="n">
        <v>1.02</v>
      </c>
      <c r="T36" s="168" t="n">
        <v>1</v>
      </c>
      <c r="U36" s="168" t="n">
        <v>1</v>
      </c>
      <c r="V36" s="168" t="n">
        <v>1</v>
      </c>
      <c r="W36" s="168" t="n">
        <v>1</v>
      </c>
      <c r="X36" s="168" t="n">
        <v>1</v>
      </c>
      <c r="Y36" s="168" t="n">
        <v>1.02</v>
      </c>
      <c r="Z36" s="168" t="n">
        <v>1</v>
      </c>
      <c r="AA36" s="168" t="n">
        <v>1</v>
      </c>
      <c r="AB36" s="168" t="n">
        <v>1</v>
      </c>
      <c r="AC36" s="168" t="n">
        <v>1</v>
      </c>
      <c r="AD36" s="168" t="n">
        <v>0.98</v>
      </c>
      <c r="AE36" s="168" t="n">
        <v>0.98</v>
      </c>
      <c r="AF36" s="168" t="n">
        <v>0.98</v>
      </c>
      <c r="AG36" s="168" t="n">
        <v>0.98</v>
      </c>
      <c r="AH36" s="168" t="n">
        <v>1.05</v>
      </c>
      <c r="AI36" s="168" t="n">
        <v>1</v>
      </c>
      <c r="AJ36" s="168" t="n">
        <v>1</v>
      </c>
      <c r="AK36" s="168" t="n">
        <v>1.02</v>
      </c>
      <c r="AL36" s="168" t="n">
        <v>1</v>
      </c>
      <c r="AM36" s="168" t="n">
        <v>1</v>
      </c>
      <c r="AN36" s="168" t="n">
        <v>1</v>
      </c>
      <c r="AO36" s="168" t="n">
        <v>1</v>
      </c>
    </row>
    <row r="37" customFormat="false" ht="12.75" hidden="false" customHeight="false" outlineLevel="0" collapsed="false">
      <c r="A37" s="167" t="n">
        <v>37803</v>
      </c>
      <c r="B37" s="168" t="n">
        <v>1</v>
      </c>
      <c r="C37" s="168" t="n">
        <v>1</v>
      </c>
      <c r="D37" s="168" t="n">
        <v>1</v>
      </c>
      <c r="E37" s="168" t="n">
        <v>1</v>
      </c>
      <c r="F37" s="168" t="n">
        <v>1</v>
      </c>
      <c r="G37" s="168" t="n">
        <v>1</v>
      </c>
      <c r="H37" s="168" t="n">
        <v>1</v>
      </c>
      <c r="I37" s="168" t="n">
        <v>1</v>
      </c>
      <c r="J37" s="168" t="n">
        <v>1</v>
      </c>
      <c r="K37" s="168" t="n">
        <v>1</v>
      </c>
      <c r="L37" s="168" t="n">
        <v>1</v>
      </c>
      <c r="M37" s="168" t="n">
        <v>1</v>
      </c>
      <c r="N37" s="168" t="n">
        <v>1</v>
      </c>
      <c r="O37" s="168" t="n">
        <v>1</v>
      </c>
      <c r="P37" s="168" t="n">
        <v>1.03</v>
      </c>
      <c r="Q37" s="168" t="n">
        <v>1</v>
      </c>
      <c r="R37" s="168" t="n">
        <v>1</v>
      </c>
      <c r="S37" s="168" t="n">
        <v>1.02</v>
      </c>
      <c r="T37" s="168" t="n">
        <v>1</v>
      </c>
      <c r="U37" s="168" t="n">
        <v>1</v>
      </c>
      <c r="V37" s="168" t="n">
        <v>1</v>
      </c>
      <c r="W37" s="168" t="n">
        <v>1</v>
      </c>
      <c r="X37" s="168" t="n">
        <v>1</v>
      </c>
      <c r="Y37" s="168" t="n">
        <v>1.02</v>
      </c>
      <c r="Z37" s="168" t="n">
        <v>1</v>
      </c>
      <c r="AA37" s="168" t="n">
        <v>1</v>
      </c>
      <c r="AB37" s="168" t="n">
        <v>1</v>
      </c>
      <c r="AC37" s="168" t="n">
        <v>1</v>
      </c>
      <c r="AD37" s="168" t="n">
        <v>0.98</v>
      </c>
      <c r="AE37" s="168" t="n">
        <v>0.98</v>
      </c>
      <c r="AF37" s="168" t="n">
        <v>0.98</v>
      </c>
      <c r="AG37" s="168" t="n">
        <v>0.98</v>
      </c>
      <c r="AH37" s="168" t="n">
        <v>1.05</v>
      </c>
      <c r="AI37" s="168" t="n">
        <v>1</v>
      </c>
      <c r="AJ37" s="168" t="n">
        <v>1</v>
      </c>
      <c r="AK37" s="168" t="n">
        <v>1.02</v>
      </c>
      <c r="AL37" s="168" t="n">
        <v>1</v>
      </c>
      <c r="AM37" s="168" t="n">
        <v>1</v>
      </c>
      <c r="AN37" s="168" t="n">
        <v>1</v>
      </c>
      <c r="AO37" s="168" t="n">
        <v>1</v>
      </c>
    </row>
    <row r="38" customFormat="false" ht="12.75" hidden="false" customHeight="false" outlineLevel="0" collapsed="false">
      <c r="A38" s="167" t="n">
        <v>37834</v>
      </c>
      <c r="B38" s="168" t="n">
        <v>1</v>
      </c>
      <c r="C38" s="168" t="n">
        <v>1</v>
      </c>
      <c r="D38" s="168" t="n">
        <v>1</v>
      </c>
      <c r="E38" s="168" t="n">
        <v>1</v>
      </c>
      <c r="F38" s="168" t="n">
        <v>1</v>
      </c>
      <c r="G38" s="168" t="n">
        <v>1</v>
      </c>
      <c r="H38" s="168" t="n">
        <v>1</v>
      </c>
      <c r="I38" s="168" t="n">
        <v>1</v>
      </c>
      <c r="J38" s="168" t="n">
        <v>1</v>
      </c>
      <c r="K38" s="168" t="n">
        <v>1</v>
      </c>
      <c r="L38" s="168" t="n">
        <v>1</v>
      </c>
      <c r="M38" s="168" t="n">
        <v>1</v>
      </c>
      <c r="N38" s="168" t="n">
        <v>1</v>
      </c>
      <c r="O38" s="168" t="n">
        <v>1</v>
      </c>
      <c r="P38" s="168" t="n">
        <v>1.03</v>
      </c>
      <c r="Q38" s="168" t="n">
        <v>1</v>
      </c>
      <c r="R38" s="168" t="n">
        <v>1</v>
      </c>
      <c r="S38" s="168" t="n">
        <v>1.02</v>
      </c>
      <c r="T38" s="168" t="n">
        <v>1</v>
      </c>
      <c r="U38" s="168" t="n">
        <v>1</v>
      </c>
      <c r="V38" s="168" t="n">
        <v>1</v>
      </c>
      <c r="W38" s="168" t="n">
        <v>1</v>
      </c>
      <c r="X38" s="168" t="n">
        <v>1</v>
      </c>
      <c r="Y38" s="168" t="n">
        <v>1.02</v>
      </c>
      <c r="Z38" s="168" t="n">
        <v>1</v>
      </c>
      <c r="AA38" s="168" t="n">
        <v>1</v>
      </c>
      <c r="AB38" s="168" t="n">
        <v>1</v>
      </c>
      <c r="AC38" s="168" t="n">
        <v>1</v>
      </c>
      <c r="AD38" s="168" t="n">
        <v>0.98</v>
      </c>
      <c r="AE38" s="168" t="n">
        <v>0.98</v>
      </c>
      <c r="AF38" s="168" t="n">
        <v>0.98</v>
      </c>
      <c r="AG38" s="168" t="n">
        <v>0.98</v>
      </c>
      <c r="AH38" s="168" t="n">
        <v>1.05</v>
      </c>
      <c r="AI38" s="168" t="n">
        <v>1</v>
      </c>
      <c r="AJ38" s="168" t="n">
        <v>1</v>
      </c>
      <c r="AK38" s="168" t="n">
        <v>1.02</v>
      </c>
      <c r="AL38" s="168" t="n">
        <v>1</v>
      </c>
      <c r="AM38" s="168" t="n">
        <v>1</v>
      </c>
      <c r="AN38" s="168" t="n">
        <v>1</v>
      </c>
      <c r="AO38" s="168" t="n">
        <v>1</v>
      </c>
    </row>
    <row r="39" customFormat="false" ht="12.75" hidden="false" customHeight="false" outlineLevel="0" collapsed="false">
      <c r="A39" s="167" t="n">
        <v>37865</v>
      </c>
      <c r="B39" s="168" t="n">
        <v>1</v>
      </c>
      <c r="C39" s="168" t="n">
        <v>1</v>
      </c>
      <c r="D39" s="168" t="n">
        <v>1</v>
      </c>
      <c r="E39" s="168" t="n">
        <v>1</v>
      </c>
      <c r="F39" s="168" t="n">
        <v>1</v>
      </c>
      <c r="G39" s="168" t="n">
        <v>1</v>
      </c>
      <c r="H39" s="168" t="n">
        <v>1</v>
      </c>
      <c r="I39" s="168" t="n">
        <v>1</v>
      </c>
      <c r="J39" s="168" t="n">
        <v>1</v>
      </c>
      <c r="K39" s="168" t="n">
        <v>1</v>
      </c>
      <c r="L39" s="168" t="n">
        <v>1</v>
      </c>
      <c r="M39" s="168" t="n">
        <v>1</v>
      </c>
      <c r="N39" s="168" t="n">
        <v>1</v>
      </c>
      <c r="O39" s="168" t="n">
        <v>1</v>
      </c>
      <c r="P39" s="168" t="n">
        <v>1.03</v>
      </c>
      <c r="Q39" s="168" t="n">
        <v>1</v>
      </c>
      <c r="R39" s="168" t="n">
        <v>1</v>
      </c>
      <c r="S39" s="168" t="n">
        <v>1.02</v>
      </c>
      <c r="T39" s="168" t="n">
        <v>1</v>
      </c>
      <c r="U39" s="168" t="n">
        <v>1</v>
      </c>
      <c r="V39" s="168" t="n">
        <v>1</v>
      </c>
      <c r="W39" s="168" t="n">
        <v>1</v>
      </c>
      <c r="X39" s="168" t="n">
        <v>1</v>
      </c>
      <c r="Y39" s="168" t="n">
        <v>1.02</v>
      </c>
      <c r="Z39" s="168" t="n">
        <v>1</v>
      </c>
      <c r="AA39" s="168" t="n">
        <v>1</v>
      </c>
      <c r="AB39" s="168" t="n">
        <v>1</v>
      </c>
      <c r="AC39" s="168" t="n">
        <v>1</v>
      </c>
      <c r="AD39" s="168" t="n">
        <v>0.98</v>
      </c>
      <c r="AE39" s="168" t="n">
        <v>0.98</v>
      </c>
      <c r="AF39" s="168" t="n">
        <v>0.98</v>
      </c>
      <c r="AG39" s="168" t="n">
        <v>0.98</v>
      </c>
      <c r="AH39" s="168" t="n">
        <v>1.05</v>
      </c>
      <c r="AI39" s="168" t="n">
        <v>1</v>
      </c>
      <c r="AJ39" s="168" t="n">
        <v>1</v>
      </c>
      <c r="AK39" s="168" t="n">
        <v>1.02</v>
      </c>
      <c r="AL39" s="168" t="n">
        <v>1</v>
      </c>
      <c r="AM39" s="168" t="n">
        <v>1</v>
      </c>
      <c r="AN39" s="168" t="n">
        <v>1</v>
      </c>
      <c r="AO39" s="168" t="n">
        <v>1</v>
      </c>
    </row>
    <row r="40" customFormat="false" ht="12.75" hidden="false" customHeight="false" outlineLevel="0" collapsed="false">
      <c r="A40" s="167" t="n">
        <v>37895</v>
      </c>
      <c r="B40" s="168" t="n">
        <v>1</v>
      </c>
      <c r="C40" s="168" t="n">
        <v>1</v>
      </c>
      <c r="D40" s="168" t="n">
        <v>1</v>
      </c>
      <c r="E40" s="168" t="n">
        <v>1</v>
      </c>
      <c r="F40" s="168" t="n">
        <v>1</v>
      </c>
      <c r="G40" s="168" t="n">
        <v>1</v>
      </c>
      <c r="H40" s="168" t="n">
        <v>1</v>
      </c>
      <c r="I40" s="168" t="n">
        <v>1</v>
      </c>
      <c r="J40" s="168" t="n">
        <v>1</v>
      </c>
      <c r="K40" s="168" t="n">
        <v>1</v>
      </c>
      <c r="L40" s="168" t="n">
        <v>1</v>
      </c>
      <c r="M40" s="168" t="n">
        <v>1</v>
      </c>
      <c r="N40" s="168" t="n">
        <v>1</v>
      </c>
      <c r="O40" s="168" t="n">
        <v>1</v>
      </c>
      <c r="P40" s="168" t="n">
        <v>1.03</v>
      </c>
      <c r="Q40" s="168" t="n">
        <v>1</v>
      </c>
      <c r="R40" s="168" t="n">
        <v>1</v>
      </c>
      <c r="S40" s="168" t="n">
        <v>1.02</v>
      </c>
      <c r="T40" s="168" t="n">
        <v>1</v>
      </c>
      <c r="U40" s="168" t="n">
        <v>1</v>
      </c>
      <c r="V40" s="168" t="n">
        <v>1</v>
      </c>
      <c r="W40" s="168" t="n">
        <v>1</v>
      </c>
      <c r="X40" s="168" t="n">
        <v>1</v>
      </c>
      <c r="Y40" s="168" t="n">
        <v>1.02</v>
      </c>
      <c r="Z40" s="168" t="n">
        <v>1</v>
      </c>
      <c r="AA40" s="168" t="n">
        <v>1</v>
      </c>
      <c r="AB40" s="168" t="n">
        <v>1</v>
      </c>
      <c r="AC40" s="168" t="n">
        <v>1</v>
      </c>
      <c r="AD40" s="168" t="n">
        <v>0.98</v>
      </c>
      <c r="AE40" s="168" t="n">
        <v>0.98</v>
      </c>
      <c r="AF40" s="168" t="n">
        <v>0.98</v>
      </c>
      <c r="AG40" s="168" t="n">
        <v>0.98</v>
      </c>
      <c r="AH40" s="168" t="n">
        <v>1.05</v>
      </c>
      <c r="AI40" s="168" t="n">
        <v>1</v>
      </c>
      <c r="AJ40" s="168" t="n">
        <v>1</v>
      </c>
      <c r="AK40" s="168" t="n">
        <v>1.02</v>
      </c>
      <c r="AL40" s="168" t="n">
        <v>1</v>
      </c>
      <c r="AM40" s="168" t="n">
        <v>1</v>
      </c>
      <c r="AN40" s="168" t="n">
        <v>1</v>
      </c>
      <c r="AO40" s="168" t="n">
        <v>1</v>
      </c>
    </row>
    <row r="41" customFormat="false" ht="12.75" hidden="false" customHeight="false" outlineLevel="0" collapsed="false">
      <c r="A41" s="167" t="n">
        <v>37926</v>
      </c>
      <c r="B41" s="168" t="n">
        <v>1</v>
      </c>
      <c r="C41" s="168" t="n">
        <v>1</v>
      </c>
      <c r="D41" s="168" t="n">
        <v>1</v>
      </c>
      <c r="E41" s="168" t="n">
        <v>1</v>
      </c>
      <c r="F41" s="168" t="n">
        <v>1</v>
      </c>
      <c r="G41" s="168" t="n">
        <v>1</v>
      </c>
      <c r="H41" s="168" t="n">
        <v>1</v>
      </c>
      <c r="I41" s="168" t="n">
        <v>1</v>
      </c>
      <c r="J41" s="168" t="n">
        <v>1</v>
      </c>
      <c r="K41" s="168" t="n">
        <v>1</v>
      </c>
      <c r="L41" s="168" t="n">
        <v>1</v>
      </c>
      <c r="M41" s="168" t="n">
        <v>1</v>
      </c>
      <c r="N41" s="168" t="n">
        <v>1</v>
      </c>
      <c r="O41" s="168" t="n">
        <v>1</v>
      </c>
      <c r="P41" s="168" t="n">
        <v>1.03</v>
      </c>
      <c r="Q41" s="168" t="n">
        <v>1</v>
      </c>
      <c r="R41" s="168" t="n">
        <v>1</v>
      </c>
      <c r="S41" s="168" t="n">
        <v>1.02</v>
      </c>
      <c r="T41" s="168" t="n">
        <v>1</v>
      </c>
      <c r="U41" s="168" t="n">
        <v>1</v>
      </c>
      <c r="V41" s="168" t="n">
        <v>1</v>
      </c>
      <c r="W41" s="168" t="n">
        <v>1</v>
      </c>
      <c r="X41" s="168" t="n">
        <v>1</v>
      </c>
      <c r="Y41" s="168" t="n">
        <v>1</v>
      </c>
      <c r="Z41" s="168" t="n">
        <v>1</v>
      </c>
      <c r="AA41" s="168" t="n">
        <v>1</v>
      </c>
      <c r="AB41" s="168" t="n">
        <v>1</v>
      </c>
      <c r="AC41" s="168" t="n">
        <v>1</v>
      </c>
      <c r="AD41" s="168" t="n">
        <v>1</v>
      </c>
      <c r="AE41" s="168" t="n">
        <v>1</v>
      </c>
      <c r="AF41" s="168" t="n">
        <v>1.1</v>
      </c>
      <c r="AG41" s="168" t="n">
        <v>1.1</v>
      </c>
      <c r="AH41" s="168" t="n">
        <v>1.05</v>
      </c>
      <c r="AI41" s="168" t="n">
        <v>1</v>
      </c>
      <c r="AJ41" s="168" t="n">
        <v>1</v>
      </c>
      <c r="AK41" s="168" t="n">
        <v>1.02</v>
      </c>
      <c r="AL41" s="168" t="n">
        <v>1</v>
      </c>
      <c r="AM41" s="168" t="n">
        <v>1</v>
      </c>
      <c r="AN41" s="168" t="n">
        <v>1</v>
      </c>
      <c r="AO41" s="168" t="n">
        <v>1</v>
      </c>
    </row>
    <row r="42" customFormat="false" ht="12.75" hidden="false" customHeight="false" outlineLevel="0" collapsed="false">
      <c r="A42" s="167" t="n">
        <v>37956</v>
      </c>
      <c r="B42" s="168" t="n">
        <v>1</v>
      </c>
      <c r="C42" s="168" t="n">
        <v>1</v>
      </c>
      <c r="D42" s="168" t="n">
        <v>1</v>
      </c>
      <c r="E42" s="168" t="n">
        <v>1</v>
      </c>
      <c r="F42" s="168" t="n">
        <v>1</v>
      </c>
      <c r="G42" s="168" t="n">
        <v>1</v>
      </c>
      <c r="H42" s="168" t="n">
        <v>1</v>
      </c>
      <c r="I42" s="168" t="n">
        <v>1</v>
      </c>
      <c r="J42" s="168" t="n">
        <v>1</v>
      </c>
      <c r="K42" s="168" t="n">
        <v>1</v>
      </c>
      <c r="L42" s="168" t="n">
        <v>1</v>
      </c>
      <c r="M42" s="168" t="n">
        <v>1</v>
      </c>
      <c r="N42" s="168" t="n">
        <v>1</v>
      </c>
      <c r="O42" s="168" t="n">
        <v>1</v>
      </c>
      <c r="P42" s="168" t="n">
        <v>1.03</v>
      </c>
      <c r="Q42" s="168" t="n">
        <v>1</v>
      </c>
      <c r="R42" s="168" t="n">
        <v>1</v>
      </c>
      <c r="S42" s="168" t="n">
        <v>1.02</v>
      </c>
      <c r="T42" s="168" t="n">
        <v>1</v>
      </c>
      <c r="U42" s="168" t="n">
        <v>1</v>
      </c>
      <c r="V42" s="168" t="n">
        <v>1</v>
      </c>
      <c r="W42" s="168" t="n">
        <v>1</v>
      </c>
      <c r="X42" s="168" t="n">
        <v>1</v>
      </c>
      <c r="Y42" s="168" t="n">
        <v>1</v>
      </c>
      <c r="Z42" s="168" t="n">
        <v>1</v>
      </c>
      <c r="AA42" s="168" t="n">
        <v>1</v>
      </c>
      <c r="AB42" s="168" t="n">
        <v>1</v>
      </c>
      <c r="AC42" s="168" t="n">
        <v>1</v>
      </c>
      <c r="AD42" s="168" t="n">
        <v>1</v>
      </c>
      <c r="AE42" s="168" t="n">
        <v>1</v>
      </c>
      <c r="AF42" s="168" t="n">
        <v>1.1</v>
      </c>
      <c r="AG42" s="168" t="n">
        <v>1.1</v>
      </c>
      <c r="AH42" s="168" t="n">
        <v>1.05</v>
      </c>
      <c r="AI42" s="168" t="n">
        <v>1</v>
      </c>
      <c r="AJ42" s="168" t="n">
        <v>1</v>
      </c>
      <c r="AK42" s="168" t="n">
        <v>1.02</v>
      </c>
      <c r="AL42" s="168" t="n">
        <v>1</v>
      </c>
      <c r="AM42" s="168" t="n">
        <v>1</v>
      </c>
      <c r="AN42" s="168" t="n">
        <v>1</v>
      </c>
      <c r="AO42" s="168" t="n">
        <v>1</v>
      </c>
    </row>
    <row r="43" customFormat="false" ht="12.75" hidden="false" customHeight="false" outlineLevel="0" collapsed="false">
      <c r="A43" s="167" t="n">
        <v>37987</v>
      </c>
      <c r="B43" s="168" t="n">
        <v>1</v>
      </c>
      <c r="C43" s="168" t="n">
        <v>1</v>
      </c>
      <c r="D43" s="168" t="n">
        <v>1</v>
      </c>
      <c r="E43" s="168" t="n">
        <v>1</v>
      </c>
      <c r="F43" s="168" t="n">
        <v>1</v>
      </c>
      <c r="G43" s="168" t="n">
        <v>1</v>
      </c>
      <c r="H43" s="168" t="n">
        <v>1</v>
      </c>
      <c r="I43" s="168" t="n">
        <v>1</v>
      </c>
      <c r="J43" s="168" t="n">
        <v>1</v>
      </c>
      <c r="K43" s="168" t="n">
        <v>1</v>
      </c>
      <c r="L43" s="168" t="n">
        <v>1</v>
      </c>
      <c r="M43" s="168" t="n">
        <v>1</v>
      </c>
      <c r="N43" s="168" t="n">
        <v>1</v>
      </c>
      <c r="O43" s="168" t="n">
        <v>1</v>
      </c>
      <c r="P43" s="168" t="n">
        <v>1.03</v>
      </c>
      <c r="Q43" s="168" t="n">
        <v>1</v>
      </c>
      <c r="R43" s="168" t="n">
        <v>1</v>
      </c>
      <c r="S43" s="168" t="n">
        <v>1.02</v>
      </c>
      <c r="T43" s="168" t="n">
        <v>1</v>
      </c>
      <c r="U43" s="168" t="n">
        <v>1</v>
      </c>
      <c r="V43" s="168" t="n">
        <v>1</v>
      </c>
      <c r="W43" s="168" t="n">
        <v>1</v>
      </c>
      <c r="X43" s="168" t="n">
        <v>1</v>
      </c>
      <c r="Y43" s="168" t="n">
        <v>1</v>
      </c>
      <c r="Z43" s="168" t="n">
        <v>1</v>
      </c>
      <c r="AA43" s="168" t="n">
        <v>1</v>
      </c>
      <c r="AB43" s="168" t="n">
        <v>1</v>
      </c>
      <c r="AC43" s="168" t="n">
        <v>1</v>
      </c>
      <c r="AD43" s="168" t="n">
        <v>1</v>
      </c>
      <c r="AE43" s="168" t="n">
        <v>1</v>
      </c>
      <c r="AF43" s="168" t="n">
        <v>1.1</v>
      </c>
      <c r="AG43" s="168" t="n">
        <v>1.1</v>
      </c>
      <c r="AH43" s="168" t="n">
        <v>1.05</v>
      </c>
      <c r="AI43" s="168" t="n">
        <v>1</v>
      </c>
      <c r="AJ43" s="168" t="n">
        <v>1</v>
      </c>
      <c r="AK43" s="168" t="n">
        <v>1.02</v>
      </c>
      <c r="AL43" s="168" t="n">
        <v>1</v>
      </c>
      <c r="AM43" s="168" t="n">
        <v>1</v>
      </c>
      <c r="AN43" s="168" t="n">
        <v>1</v>
      </c>
      <c r="AO43" s="168" t="n">
        <v>1</v>
      </c>
    </row>
    <row r="44" customFormat="false" ht="12.75" hidden="false" customHeight="false" outlineLevel="0" collapsed="false">
      <c r="A44" s="167" t="n">
        <v>38018</v>
      </c>
      <c r="B44" s="168" t="n">
        <v>1</v>
      </c>
      <c r="C44" s="168" t="n">
        <v>1</v>
      </c>
      <c r="D44" s="168" t="n">
        <v>1</v>
      </c>
      <c r="E44" s="168" t="n">
        <v>1</v>
      </c>
      <c r="F44" s="168" t="n">
        <v>1</v>
      </c>
      <c r="G44" s="168" t="n">
        <v>1</v>
      </c>
      <c r="H44" s="168" t="n">
        <v>1</v>
      </c>
      <c r="I44" s="168" t="n">
        <v>1</v>
      </c>
      <c r="J44" s="168" t="n">
        <v>1</v>
      </c>
      <c r="K44" s="168" t="n">
        <v>1</v>
      </c>
      <c r="L44" s="168" t="n">
        <v>1</v>
      </c>
      <c r="M44" s="168" t="n">
        <v>1</v>
      </c>
      <c r="N44" s="168" t="n">
        <v>1</v>
      </c>
      <c r="O44" s="168" t="n">
        <v>1</v>
      </c>
      <c r="P44" s="168" t="n">
        <v>1.03</v>
      </c>
      <c r="Q44" s="168" t="n">
        <v>1</v>
      </c>
      <c r="R44" s="168" t="n">
        <v>1</v>
      </c>
      <c r="S44" s="168" t="n">
        <v>1.02</v>
      </c>
      <c r="T44" s="168" t="n">
        <v>1</v>
      </c>
      <c r="U44" s="168" t="n">
        <v>1</v>
      </c>
      <c r="V44" s="168" t="n">
        <v>1</v>
      </c>
      <c r="W44" s="168" t="n">
        <v>1</v>
      </c>
      <c r="X44" s="168" t="n">
        <v>1</v>
      </c>
      <c r="Y44" s="168" t="n">
        <v>1</v>
      </c>
      <c r="Z44" s="168" t="n">
        <v>1</v>
      </c>
      <c r="AA44" s="168" t="n">
        <v>1</v>
      </c>
      <c r="AB44" s="168" t="n">
        <v>1</v>
      </c>
      <c r="AC44" s="168" t="n">
        <v>1</v>
      </c>
      <c r="AD44" s="168" t="n">
        <v>1</v>
      </c>
      <c r="AE44" s="168" t="n">
        <v>1</v>
      </c>
      <c r="AF44" s="168" t="n">
        <v>1.1</v>
      </c>
      <c r="AG44" s="168" t="n">
        <v>1.1</v>
      </c>
      <c r="AH44" s="168" t="n">
        <v>1.05</v>
      </c>
      <c r="AI44" s="168" t="n">
        <v>1</v>
      </c>
      <c r="AJ44" s="168" t="n">
        <v>1</v>
      </c>
      <c r="AK44" s="168" t="n">
        <v>1.02</v>
      </c>
      <c r="AL44" s="168" t="n">
        <v>1</v>
      </c>
      <c r="AM44" s="168" t="n">
        <v>1</v>
      </c>
      <c r="AN44" s="168" t="n">
        <v>1</v>
      </c>
      <c r="AO44" s="168" t="n">
        <v>1</v>
      </c>
    </row>
    <row r="45" customFormat="false" ht="12.75" hidden="false" customHeight="false" outlineLevel="0" collapsed="false">
      <c r="A45" s="167" t="n">
        <v>38047</v>
      </c>
      <c r="B45" s="168" t="n">
        <v>1</v>
      </c>
      <c r="C45" s="168" t="n">
        <v>1</v>
      </c>
      <c r="D45" s="168" t="n">
        <v>1</v>
      </c>
      <c r="E45" s="168" t="n">
        <v>1</v>
      </c>
      <c r="F45" s="168" t="n">
        <v>1</v>
      </c>
      <c r="G45" s="168" t="n">
        <v>1</v>
      </c>
      <c r="H45" s="168" t="n">
        <v>1</v>
      </c>
      <c r="I45" s="168" t="n">
        <v>1</v>
      </c>
      <c r="J45" s="168" t="n">
        <v>1</v>
      </c>
      <c r="K45" s="168" t="n">
        <v>1</v>
      </c>
      <c r="L45" s="168" t="n">
        <v>1</v>
      </c>
      <c r="M45" s="168" t="n">
        <v>1</v>
      </c>
      <c r="N45" s="168" t="n">
        <v>1</v>
      </c>
      <c r="O45" s="168" t="n">
        <v>1</v>
      </c>
      <c r="P45" s="168" t="n">
        <v>1.03</v>
      </c>
      <c r="Q45" s="168" t="n">
        <v>1</v>
      </c>
      <c r="R45" s="168" t="n">
        <v>1</v>
      </c>
      <c r="S45" s="168" t="n">
        <v>1.02</v>
      </c>
      <c r="T45" s="168" t="n">
        <v>1</v>
      </c>
      <c r="U45" s="168" t="n">
        <v>1</v>
      </c>
      <c r="V45" s="168" t="n">
        <v>1</v>
      </c>
      <c r="W45" s="168" t="n">
        <v>1</v>
      </c>
      <c r="X45" s="168" t="n">
        <v>1</v>
      </c>
      <c r="Y45" s="168" t="n">
        <v>1</v>
      </c>
      <c r="Z45" s="168" t="n">
        <v>1</v>
      </c>
      <c r="AA45" s="168" t="n">
        <v>1</v>
      </c>
      <c r="AB45" s="168" t="n">
        <v>1</v>
      </c>
      <c r="AC45" s="168" t="n">
        <v>1</v>
      </c>
      <c r="AD45" s="168" t="n">
        <v>1</v>
      </c>
      <c r="AE45" s="168" t="n">
        <v>1</v>
      </c>
      <c r="AF45" s="168" t="n">
        <v>1.1</v>
      </c>
      <c r="AG45" s="168" t="n">
        <v>1.1</v>
      </c>
      <c r="AH45" s="168" t="n">
        <v>1.05</v>
      </c>
      <c r="AI45" s="168" t="n">
        <v>1</v>
      </c>
      <c r="AJ45" s="168" t="n">
        <v>1</v>
      </c>
      <c r="AK45" s="168" t="n">
        <v>1.02</v>
      </c>
      <c r="AL45" s="168" t="n">
        <v>1</v>
      </c>
      <c r="AM45" s="168" t="n">
        <v>1</v>
      </c>
      <c r="AN45" s="168" t="n">
        <v>1</v>
      </c>
      <c r="AO45" s="168" t="n">
        <v>1</v>
      </c>
    </row>
    <row r="46" customFormat="false" ht="12.75" hidden="false" customHeight="false" outlineLevel="0" collapsed="false">
      <c r="A46" s="167" t="n">
        <v>38078</v>
      </c>
      <c r="B46" s="168" t="n">
        <v>1</v>
      </c>
      <c r="C46" s="168" t="n">
        <v>1</v>
      </c>
      <c r="D46" s="168" t="n">
        <v>1</v>
      </c>
      <c r="E46" s="168" t="n">
        <v>1</v>
      </c>
      <c r="F46" s="168" t="n">
        <v>1</v>
      </c>
      <c r="G46" s="168" t="n">
        <v>1</v>
      </c>
      <c r="H46" s="168" t="n">
        <v>1</v>
      </c>
      <c r="I46" s="168" t="n">
        <v>1</v>
      </c>
      <c r="J46" s="168" t="n">
        <v>1</v>
      </c>
      <c r="K46" s="168" t="n">
        <v>1</v>
      </c>
      <c r="L46" s="168" t="n">
        <v>1</v>
      </c>
      <c r="M46" s="168" t="n">
        <v>1</v>
      </c>
      <c r="N46" s="168" t="n">
        <v>1</v>
      </c>
      <c r="O46" s="168" t="n">
        <v>1</v>
      </c>
      <c r="P46" s="168" t="n">
        <v>1.03</v>
      </c>
      <c r="Q46" s="168" t="n">
        <v>1</v>
      </c>
      <c r="R46" s="168" t="n">
        <v>1</v>
      </c>
      <c r="S46" s="168" t="n">
        <v>1.02</v>
      </c>
      <c r="T46" s="168" t="n">
        <v>1</v>
      </c>
      <c r="U46" s="168" t="n">
        <v>1</v>
      </c>
      <c r="V46" s="168" t="n">
        <v>1</v>
      </c>
      <c r="W46" s="168" t="n">
        <v>1</v>
      </c>
      <c r="X46" s="168" t="n">
        <v>1</v>
      </c>
      <c r="Y46" s="168" t="n">
        <v>1.02</v>
      </c>
      <c r="Z46" s="168" t="n">
        <v>1</v>
      </c>
      <c r="AA46" s="168" t="n">
        <v>1</v>
      </c>
      <c r="AB46" s="168" t="n">
        <v>1</v>
      </c>
      <c r="AC46" s="168" t="n">
        <v>1</v>
      </c>
      <c r="AD46" s="168" t="n">
        <v>0.98</v>
      </c>
      <c r="AE46" s="168" t="n">
        <v>0.98</v>
      </c>
      <c r="AF46" s="168" t="n">
        <v>0.98</v>
      </c>
      <c r="AG46" s="168" t="n">
        <v>0.98</v>
      </c>
      <c r="AH46" s="168" t="n">
        <v>1.05</v>
      </c>
      <c r="AI46" s="168" t="n">
        <v>1</v>
      </c>
      <c r="AJ46" s="168" t="n">
        <v>1</v>
      </c>
      <c r="AK46" s="168" t="n">
        <v>1.02</v>
      </c>
      <c r="AL46" s="168" t="n">
        <v>1</v>
      </c>
      <c r="AM46" s="168" t="n">
        <v>1</v>
      </c>
      <c r="AN46" s="168" t="n">
        <v>1</v>
      </c>
      <c r="AO46" s="168" t="n">
        <v>1</v>
      </c>
    </row>
    <row r="47" customFormat="false" ht="12.75" hidden="false" customHeight="false" outlineLevel="0" collapsed="false">
      <c r="A47" s="167" t="n">
        <v>38108</v>
      </c>
      <c r="B47" s="168" t="n">
        <v>1</v>
      </c>
      <c r="C47" s="168" t="n">
        <v>1</v>
      </c>
      <c r="D47" s="168" t="n">
        <v>1</v>
      </c>
      <c r="E47" s="168" t="n">
        <v>1</v>
      </c>
      <c r="F47" s="168" t="n">
        <v>1</v>
      </c>
      <c r="G47" s="168" t="n">
        <v>1</v>
      </c>
      <c r="H47" s="168" t="n">
        <v>1</v>
      </c>
      <c r="I47" s="168" t="n">
        <v>1</v>
      </c>
      <c r="J47" s="168" t="n">
        <v>1</v>
      </c>
      <c r="K47" s="168" t="n">
        <v>1</v>
      </c>
      <c r="L47" s="168" t="n">
        <v>1</v>
      </c>
      <c r="M47" s="168" t="n">
        <v>1</v>
      </c>
      <c r="N47" s="168" t="n">
        <v>1</v>
      </c>
      <c r="O47" s="168" t="n">
        <v>1</v>
      </c>
      <c r="P47" s="168" t="n">
        <v>1.03</v>
      </c>
      <c r="Q47" s="168" t="n">
        <v>1</v>
      </c>
      <c r="R47" s="168" t="n">
        <v>1</v>
      </c>
      <c r="S47" s="168" t="n">
        <v>1.02</v>
      </c>
      <c r="T47" s="168" t="n">
        <v>1</v>
      </c>
      <c r="U47" s="168" t="n">
        <v>1</v>
      </c>
      <c r="V47" s="168" t="n">
        <v>1</v>
      </c>
      <c r="W47" s="168" t="n">
        <v>1</v>
      </c>
      <c r="X47" s="168" t="n">
        <v>1</v>
      </c>
      <c r="Y47" s="168" t="n">
        <v>1.02</v>
      </c>
      <c r="Z47" s="168" t="n">
        <v>1</v>
      </c>
      <c r="AA47" s="168" t="n">
        <v>1</v>
      </c>
      <c r="AB47" s="168" t="n">
        <v>1</v>
      </c>
      <c r="AC47" s="168" t="n">
        <v>1</v>
      </c>
      <c r="AD47" s="168" t="n">
        <v>0.98</v>
      </c>
      <c r="AE47" s="168" t="n">
        <v>0.98</v>
      </c>
      <c r="AF47" s="168" t="n">
        <v>0.98</v>
      </c>
      <c r="AG47" s="168" t="n">
        <v>0.98</v>
      </c>
      <c r="AH47" s="168" t="n">
        <v>1.05</v>
      </c>
      <c r="AI47" s="168" t="n">
        <v>1</v>
      </c>
      <c r="AJ47" s="168" t="n">
        <v>1</v>
      </c>
      <c r="AK47" s="168" t="n">
        <v>1.02</v>
      </c>
      <c r="AL47" s="168" t="n">
        <v>1</v>
      </c>
      <c r="AM47" s="168" t="n">
        <v>1</v>
      </c>
      <c r="AN47" s="168" t="n">
        <v>1</v>
      </c>
      <c r="AO47" s="168" t="n">
        <v>1</v>
      </c>
    </row>
    <row r="48" customFormat="false" ht="12.75" hidden="false" customHeight="false" outlineLevel="0" collapsed="false">
      <c r="A48" s="167" t="n">
        <v>38139</v>
      </c>
      <c r="B48" s="168" t="n">
        <v>1</v>
      </c>
      <c r="C48" s="168" t="n">
        <v>1</v>
      </c>
      <c r="D48" s="168" t="n">
        <v>1</v>
      </c>
      <c r="E48" s="168" t="n">
        <v>1</v>
      </c>
      <c r="F48" s="168" t="n">
        <v>1</v>
      </c>
      <c r="G48" s="168" t="n">
        <v>1</v>
      </c>
      <c r="H48" s="168" t="n">
        <v>1</v>
      </c>
      <c r="I48" s="168" t="n">
        <v>1</v>
      </c>
      <c r="J48" s="168" t="n">
        <v>1</v>
      </c>
      <c r="K48" s="168" t="n">
        <v>1</v>
      </c>
      <c r="L48" s="168" t="n">
        <v>1</v>
      </c>
      <c r="M48" s="168" t="n">
        <v>1</v>
      </c>
      <c r="N48" s="168" t="n">
        <v>1</v>
      </c>
      <c r="O48" s="168" t="n">
        <v>1</v>
      </c>
      <c r="P48" s="168" t="n">
        <v>1.03</v>
      </c>
      <c r="Q48" s="168" t="n">
        <v>1</v>
      </c>
      <c r="R48" s="168" t="n">
        <v>1</v>
      </c>
      <c r="S48" s="168" t="n">
        <v>1.02</v>
      </c>
      <c r="T48" s="168" t="n">
        <v>1</v>
      </c>
      <c r="U48" s="168" t="n">
        <v>1</v>
      </c>
      <c r="V48" s="168" t="n">
        <v>1</v>
      </c>
      <c r="W48" s="168" t="n">
        <v>1</v>
      </c>
      <c r="X48" s="168" t="n">
        <v>1</v>
      </c>
      <c r="Y48" s="168" t="n">
        <v>1.02</v>
      </c>
      <c r="Z48" s="168" t="n">
        <v>1</v>
      </c>
      <c r="AA48" s="168" t="n">
        <v>1</v>
      </c>
      <c r="AB48" s="168" t="n">
        <v>1</v>
      </c>
      <c r="AC48" s="168" t="n">
        <v>1</v>
      </c>
      <c r="AD48" s="168" t="n">
        <v>0.98</v>
      </c>
      <c r="AE48" s="168" t="n">
        <v>0.98</v>
      </c>
      <c r="AF48" s="168" t="n">
        <v>0.98</v>
      </c>
      <c r="AG48" s="168" t="n">
        <v>0.98</v>
      </c>
      <c r="AH48" s="168" t="n">
        <v>1.05</v>
      </c>
      <c r="AI48" s="168" t="n">
        <v>1</v>
      </c>
      <c r="AJ48" s="168" t="n">
        <v>1</v>
      </c>
      <c r="AK48" s="168" t="n">
        <v>1.02</v>
      </c>
      <c r="AL48" s="168" t="n">
        <v>1</v>
      </c>
      <c r="AM48" s="168" t="n">
        <v>1</v>
      </c>
      <c r="AN48" s="168" t="n">
        <v>1</v>
      </c>
      <c r="AO48" s="168" t="n">
        <v>1</v>
      </c>
    </row>
    <row r="49" customFormat="false" ht="12.75" hidden="false" customHeight="false" outlineLevel="0" collapsed="false">
      <c r="A49" s="167" t="n">
        <v>38169</v>
      </c>
      <c r="B49" s="168" t="n">
        <v>1</v>
      </c>
      <c r="C49" s="168" t="n">
        <v>1</v>
      </c>
      <c r="D49" s="168" t="n">
        <v>1</v>
      </c>
      <c r="E49" s="168" t="n">
        <v>1</v>
      </c>
      <c r="F49" s="168" t="n">
        <v>1</v>
      </c>
      <c r="G49" s="168" t="n">
        <v>1</v>
      </c>
      <c r="H49" s="168" t="n">
        <v>1</v>
      </c>
      <c r="I49" s="168" t="n">
        <v>1</v>
      </c>
      <c r="J49" s="168" t="n">
        <v>1</v>
      </c>
      <c r="K49" s="168" t="n">
        <v>1</v>
      </c>
      <c r="L49" s="168" t="n">
        <v>1</v>
      </c>
      <c r="M49" s="168" t="n">
        <v>1</v>
      </c>
      <c r="N49" s="168" t="n">
        <v>1</v>
      </c>
      <c r="O49" s="168" t="n">
        <v>1</v>
      </c>
      <c r="P49" s="168" t="n">
        <v>1.03</v>
      </c>
      <c r="Q49" s="168" t="n">
        <v>1</v>
      </c>
      <c r="R49" s="168" t="n">
        <v>1</v>
      </c>
      <c r="S49" s="168" t="n">
        <v>1.02</v>
      </c>
      <c r="T49" s="168" t="n">
        <v>1</v>
      </c>
      <c r="U49" s="168" t="n">
        <v>1</v>
      </c>
      <c r="V49" s="168" t="n">
        <v>1</v>
      </c>
      <c r="W49" s="168" t="n">
        <v>1</v>
      </c>
      <c r="X49" s="168" t="n">
        <v>1</v>
      </c>
      <c r="Y49" s="168" t="n">
        <v>1.02</v>
      </c>
      <c r="Z49" s="168" t="n">
        <v>1</v>
      </c>
      <c r="AA49" s="168" t="n">
        <v>1</v>
      </c>
      <c r="AB49" s="168" t="n">
        <v>1</v>
      </c>
      <c r="AC49" s="168" t="n">
        <v>1</v>
      </c>
      <c r="AD49" s="168" t="n">
        <v>0.98</v>
      </c>
      <c r="AE49" s="168" t="n">
        <v>0.98</v>
      </c>
      <c r="AF49" s="168" t="n">
        <v>0.98</v>
      </c>
      <c r="AG49" s="168" t="n">
        <v>0.98</v>
      </c>
      <c r="AH49" s="168" t="n">
        <v>1.05</v>
      </c>
      <c r="AI49" s="168" t="n">
        <v>1</v>
      </c>
      <c r="AJ49" s="168" t="n">
        <v>1</v>
      </c>
      <c r="AK49" s="168" t="n">
        <v>1.02</v>
      </c>
      <c r="AL49" s="168" t="n">
        <v>1</v>
      </c>
      <c r="AM49" s="168" t="n">
        <v>1</v>
      </c>
      <c r="AN49" s="168" t="n">
        <v>1</v>
      </c>
      <c r="AO49" s="168" t="n">
        <v>1</v>
      </c>
    </row>
    <row r="50" customFormat="false" ht="12.75" hidden="false" customHeight="false" outlineLevel="0" collapsed="false">
      <c r="A50" s="167" t="n">
        <v>38200</v>
      </c>
      <c r="B50" s="168" t="n">
        <v>1</v>
      </c>
      <c r="C50" s="168" t="n">
        <v>1</v>
      </c>
      <c r="D50" s="168" t="n">
        <v>1</v>
      </c>
      <c r="E50" s="168" t="n">
        <v>1</v>
      </c>
      <c r="F50" s="168" t="n">
        <v>1</v>
      </c>
      <c r="G50" s="168" t="n">
        <v>1</v>
      </c>
      <c r="H50" s="168" t="n">
        <v>1</v>
      </c>
      <c r="I50" s="168" t="n">
        <v>1</v>
      </c>
      <c r="J50" s="168" t="n">
        <v>1</v>
      </c>
      <c r="K50" s="168" t="n">
        <v>1</v>
      </c>
      <c r="L50" s="168" t="n">
        <v>1</v>
      </c>
      <c r="M50" s="168" t="n">
        <v>1</v>
      </c>
      <c r="N50" s="168" t="n">
        <v>1</v>
      </c>
      <c r="O50" s="168" t="n">
        <v>1</v>
      </c>
      <c r="P50" s="168" t="n">
        <v>1.03</v>
      </c>
      <c r="Q50" s="168" t="n">
        <v>1</v>
      </c>
      <c r="R50" s="168" t="n">
        <v>1</v>
      </c>
      <c r="S50" s="168" t="n">
        <v>1.02</v>
      </c>
      <c r="T50" s="168" t="n">
        <v>1</v>
      </c>
      <c r="U50" s="168" t="n">
        <v>1</v>
      </c>
      <c r="V50" s="168" t="n">
        <v>1</v>
      </c>
      <c r="W50" s="168" t="n">
        <v>1</v>
      </c>
      <c r="X50" s="168" t="n">
        <v>1</v>
      </c>
      <c r="Y50" s="168" t="n">
        <v>1.02</v>
      </c>
      <c r="Z50" s="168" t="n">
        <v>1</v>
      </c>
      <c r="AA50" s="168" t="n">
        <v>1</v>
      </c>
      <c r="AB50" s="168" t="n">
        <v>1</v>
      </c>
      <c r="AC50" s="168" t="n">
        <v>1</v>
      </c>
      <c r="AD50" s="168" t="n">
        <v>0.98</v>
      </c>
      <c r="AE50" s="168" t="n">
        <v>0.98</v>
      </c>
      <c r="AF50" s="168" t="n">
        <v>0.98</v>
      </c>
      <c r="AG50" s="168" t="n">
        <v>0.98</v>
      </c>
      <c r="AH50" s="168" t="n">
        <v>1.05</v>
      </c>
      <c r="AI50" s="168" t="n">
        <v>1</v>
      </c>
      <c r="AJ50" s="168" t="n">
        <v>1</v>
      </c>
      <c r="AK50" s="168" t="n">
        <v>1.02</v>
      </c>
      <c r="AL50" s="168" t="n">
        <v>1</v>
      </c>
      <c r="AM50" s="168" t="n">
        <v>1</v>
      </c>
      <c r="AN50" s="168" t="n">
        <v>1</v>
      </c>
      <c r="AO50" s="168" t="n">
        <v>1</v>
      </c>
    </row>
    <row r="51" customFormat="false" ht="12.75" hidden="false" customHeight="false" outlineLevel="0" collapsed="false">
      <c r="A51" s="167" t="n">
        <v>38231</v>
      </c>
      <c r="B51" s="168" t="n">
        <v>1</v>
      </c>
      <c r="C51" s="168" t="n">
        <v>1</v>
      </c>
      <c r="D51" s="168" t="n">
        <v>1</v>
      </c>
      <c r="E51" s="168" t="n">
        <v>1</v>
      </c>
      <c r="F51" s="168" t="n">
        <v>1</v>
      </c>
      <c r="G51" s="168" t="n">
        <v>1</v>
      </c>
      <c r="H51" s="168" t="n">
        <v>1</v>
      </c>
      <c r="I51" s="168" t="n">
        <v>1</v>
      </c>
      <c r="J51" s="168" t="n">
        <v>1</v>
      </c>
      <c r="K51" s="168" t="n">
        <v>1</v>
      </c>
      <c r="L51" s="168" t="n">
        <v>1</v>
      </c>
      <c r="M51" s="168" t="n">
        <v>1</v>
      </c>
      <c r="N51" s="168" t="n">
        <v>1</v>
      </c>
      <c r="O51" s="168" t="n">
        <v>1</v>
      </c>
      <c r="P51" s="168" t="n">
        <v>1.03</v>
      </c>
      <c r="Q51" s="168" t="n">
        <v>1</v>
      </c>
      <c r="R51" s="168" t="n">
        <v>1</v>
      </c>
      <c r="S51" s="168" t="n">
        <v>1.02</v>
      </c>
      <c r="T51" s="168" t="n">
        <v>1</v>
      </c>
      <c r="U51" s="168" t="n">
        <v>1</v>
      </c>
      <c r="V51" s="168" t="n">
        <v>1</v>
      </c>
      <c r="W51" s="168" t="n">
        <v>1</v>
      </c>
      <c r="X51" s="168" t="n">
        <v>1</v>
      </c>
      <c r="Y51" s="168" t="n">
        <v>1.02</v>
      </c>
      <c r="Z51" s="168" t="n">
        <v>1</v>
      </c>
      <c r="AA51" s="168" t="n">
        <v>1</v>
      </c>
      <c r="AB51" s="168" t="n">
        <v>1</v>
      </c>
      <c r="AC51" s="168" t="n">
        <v>1</v>
      </c>
      <c r="AD51" s="168" t="n">
        <v>0.98</v>
      </c>
      <c r="AE51" s="168" t="n">
        <v>0.98</v>
      </c>
      <c r="AF51" s="168" t="n">
        <v>0.98</v>
      </c>
      <c r="AG51" s="168" t="n">
        <v>0.98</v>
      </c>
      <c r="AH51" s="168" t="n">
        <v>1.05</v>
      </c>
      <c r="AI51" s="168" t="n">
        <v>1</v>
      </c>
      <c r="AJ51" s="168" t="n">
        <v>1</v>
      </c>
      <c r="AK51" s="168" t="n">
        <v>1.02</v>
      </c>
      <c r="AL51" s="168" t="n">
        <v>1</v>
      </c>
      <c r="AM51" s="168" t="n">
        <v>1</v>
      </c>
      <c r="AN51" s="168" t="n">
        <v>1</v>
      </c>
      <c r="AO51" s="168" t="n">
        <v>1</v>
      </c>
    </row>
    <row r="52" customFormat="false" ht="12.75" hidden="false" customHeight="false" outlineLevel="0" collapsed="false">
      <c r="A52" s="167" t="n">
        <v>38261</v>
      </c>
      <c r="B52" s="168" t="n">
        <v>1</v>
      </c>
      <c r="C52" s="168" t="n">
        <v>1</v>
      </c>
      <c r="D52" s="168" t="n">
        <v>1</v>
      </c>
      <c r="E52" s="168" t="n">
        <v>1</v>
      </c>
      <c r="F52" s="168" t="n">
        <v>1</v>
      </c>
      <c r="G52" s="168" t="n">
        <v>1</v>
      </c>
      <c r="H52" s="168" t="n">
        <v>1</v>
      </c>
      <c r="I52" s="168" t="n">
        <v>1</v>
      </c>
      <c r="J52" s="168" t="n">
        <v>1</v>
      </c>
      <c r="K52" s="168" t="n">
        <v>1</v>
      </c>
      <c r="L52" s="168" t="n">
        <v>1</v>
      </c>
      <c r="M52" s="168" t="n">
        <v>1</v>
      </c>
      <c r="N52" s="168" t="n">
        <v>1</v>
      </c>
      <c r="O52" s="168" t="n">
        <v>1</v>
      </c>
      <c r="P52" s="168" t="n">
        <v>1.03</v>
      </c>
      <c r="Q52" s="168" t="n">
        <v>1</v>
      </c>
      <c r="R52" s="168" t="n">
        <v>1</v>
      </c>
      <c r="S52" s="168" t="n">
        <v>1.02</v>
      </c>
      <c r="T52" s="168" t="n">
        <v>1</v>
      </c>
      <c r="U52" s="168" t="n">
        <v>1</v>
      </c>
      <c r="V52" s="168" t="n">
        <v>1</v>
      </c>
      <c r="W52" s="168" t="n">
        <v>1</v>
      </c>
      <c r="X52" s="168" t="n">
        <v>1</v>
      </c>
      <c r="Y52" s="168" t="n">
        <v>1.02</v>
      </c>
      <c r="Z52" s="168" t="n">
        <v>1</v>
      </c>
      <c r="AA52" s="168" t="n">
        <v>1</v>
      </c>
      <c r="AB52" s="168" t="n">
        <v>1</v>
      </c>
      <c r="AC52" s="168" t="n">
        <v>1</v>
      </c>
      <c r="AD52" s="168" t="n">
        <v>0.98</v>
      </c>
      <c r="AE52" s="168" t="n">
        <v>0.98</v>
      </c>
      <c r="AF52" s="168" t="n">
        <v>0.98</v>
      </c>
      <c r="AG52" s="168" t="n">
        <v>0.98</v>
      </c>
      <c r="AH52" s="168" t="n">
        <v>1.05</v>
      </c>
      <c r="AI52" s="168" t="n">
        <v>1</v>
      </c>
      <c r="AJ52" s="168" t="n">
        <v>1</v>
      </c>
      <c r="AK52" s="168" t="n">
        <v>1.02</v>
      </c>
      <c r="AL52" s="168" t="n">
        <v>1</v>
      </c>
      <c r="AM52" s="168" t="n">
        <v>1</v>
      </c>
      <c r="AN52" s="168" t="n">
        <v>1</v>
      </c>
      <c r="AO52" s="168" t="n">
        <v>1</v>
      </c>
    </row>
    <row r="53" customFormat="false" ht="12.75" hidden="false" customHeight="false" outlineLevel="0" collapsed="false">
      <c r="A53" s="167" t="n">
        <v>38292</v>
      </c>
      <c r="B53" s="168" t="n">
        <v>1</v>
      </c>
      <c r="C53" s="168" t="n">
        <v>1</v>
      </c>
      <c r="D53" s="168" t="n">
        <v>1</v>
      </c>
      <c r="E53" s="168" t="n">
        <v>1</v>
      </c>
      <c r="F53" s="168" t="n">
        <v>1</v>
      </c>
      <c r="G53" s="168" t="n">
        <v>1</v>
      </c>
      <c r="H53" s="168" t="n">
        <v>1</v>
      </c>
      <c r="I53" s="168" t="n">
        <v>1</v>
      </c>
      <c r="J53" s="168" t="n">
        <v>1</v>
      </c>
      <c r="K53" s="168" t="n">
        <v>1</v>
      </c>
      <c r="L53" s="168" t="n">
        <v>1</v>
      </c>
      <c r="M53" s="168" t="n">
        <v>1</v>
      </c>
      <c r="N53" s="168" t="n">
        <v>1</v>
      </c>
      <c r="O53" s="168" t="n">
        <v>1</v>
      </c>
      <c r="P53" s="168" t="n">
        <v>1.03</v>
      </c>
      <c r="Q53" s="168" t="n">
        <v>1</v>
      </c>
      <c r="R53" s="168" t="n">
        <v>1</v>
      </c>
      <c r="S53" s="168" t="n">
        <v>1.02</v>
      </c>
      <c r="T53" s="168" t="n">
        <v>1</v>
      </c>
      <c r="U53" s="168" t="n">
        <v>1</v>
      </c>
      <c r="V53" s="168" t="n">
        <v>1</v>
      </c>
      <c r="W53" s="168" t="n">
        <v>1</v>
      </c>
      <c r="X53" s="168" t="n">
        <v>1</v>
      </c>
      <c r="Y53" s="168" t="n">
        <v>1</v>
      </c>
      <c r="Z53" s="168" t="n">
        <v>1</v>
      </c>
      <c r="AA53" s="168" t="n">
        <v>1</v>
      </c>
      <c r="AB53" s="168" t="n">
        <v>1</v>
      </c>
      <c r="AC53" s="168" t="n">
        <v>1</v>
      </c>
      <c r="AD53" s="168" t="n">
        <v>1</v>
      </c>
      <c r="AE53" s="168" t="n">
        <v>1</v>
      </c>
      <c r="AF53" s="168" t="n">
        <v>1.1</v>
      </c>
      <c r="AG53" s="168" t="n">
        <v>1.1</v>
      </c>
      <c r="AH53" s="168" t="n">
        <v>1.05</v>
      </c>
      <c r="AI53" s="168" t="n">
        <v>1</v>
      </c>
      <c r="AJ53" s="168" t="n">
        <v>1</v>
      </c>
      <c r="AK53" s="168" t="n">
        <v>1.02</v>
      </c>
      <c r="AL53" s="168" t="n">
        <v>1</v>
      </c>
      <c r="AM53" s="168" t="n">
        <v>1</v>
      </c>
      <c r="AN53" s="168" t="n">
        <v>1</v>
      </c>
      <c r="AO53" s="168" t="n">
        <v>1</v>
      </c>
    </row>
    <row r="54" customFormat="false" ht="12.75" hidden="false" customHeight="false" outlineLevel="0" collapsed="false">
      <c r="A54" s="167" t="n">
        <v>38322</v>
      </c>
      <c r="B54" s="168" t="n">
        <v>1</v>
      </c>
      <c r="C54" s="168" t="n">
        <v>1</v>
      </c>
      <c r="D54" s="168" t="n">
        <v>1</v>
      </c>
      <c r="E54" s="168" t="n">
        <v>1</v>
      </c>
      <c r="F54" s="168" t="n">
        <v>1</v>
      </c>
      <c r="G54" s="168" t="n">
        <v>1</v>
      </c>
      <c r="H54" s="168" t="n">
        <v>1</v>
      </c>
      <c r="I54" s="168" t="n">
        <v>1</v>
      </c>
      <c r="J54" s="168" t="n">
        <v>1</v>
      </c>
      <c r="K54" s="168" t="n">
        <v>1</v>
      </c>
      <c r="L54" s="168" t="n">
        <v>1</v>
      </c>
      <c r="M54" s="168" t="n">
        <v>1</v>
      </c>
      <c r="N54" s="168" t="n">
        <v>1</v>
      </c>
      <c r="O54" s="168" t="n">
        <v>1</v>
      </c>
      <c r="P54" s="168" t="n">
        <v>1.03</v>
      </c>
      <c r="Q54" s="168" t="n">
        <v>1</v>
      </c>
      <c r="R54" s="168" t="n">
        <v>1</v>
      </c>
      <c r="S54" s="168" t="n">
        <v>1.02</v>
      </c>
      <c r="T54" s="168" t="n">
        <v>1</v>
      </c>
      <c r="U54" s="168" t="n">
        <v>1</v>
      </c>
      <c r="V54" s="168" t="n">
        <v>1</v>
      </c>
      <c r="W54" s="168" t="n">
        <v>1</v>
      </c>
      <c r="X54" s="168" t="n">
        <v>1</v>
      </c>
      <c r="Y54" s="168" t="n">
        <v>1</v>
      </c>
      <c r="Z54" s="168" t="n">
        <v>1</v>
      </c>
      <c r="AA54" s="168" t="n">
        <v>1</v>
      </c>
      <c r="AB54" s="168" t="n">
        <v>1</v>
      </c>
      <c r="AC54" s="168" t="n">
        <v>1</v>
      </c>
      <c r="AD54" s="168" t="n">
        <v>1</v>
      </c>
      <c r="AE54" s="168" t="n">
        <v>1</v>
      </c>
      <c r="AF54" s="168" t="n">
        <v>1.1</v>
      </c>
      <c r="AG54" s="168" t="n">
        <v>1.1</v>
      </c>
      <c r="AH54" s="168" t="n">
        <v>1.05</v>
      </c>
      <c r="AI54" s="168" t="n">
        <v>1</v>
      </c>
      <c r="AJ54" s="168" t="n">
        <v>1</v>
      </c>
      <c r="AK54" s="168" t="n">
        <v>1.02</v>
      </c>
      <c r="AL54" s="168" t="n">
        <v>1</v>
      </c>
      <c r="AM54" s="168" t="n">
        <v>1</v>
      </c>
      <c r="AN54" s="168" t="n">
        <v>1</v>
      </c>
      <c r="AO54" s="168" t="n">
        <v>1</v>
      </c>
    </row>
    <row r="55" customFormat="false" ht="12.75" hidden="false" customHeight="false" outlineLevel="0" collapsed="false">
      <c r="A55" s="167" t="n">
        <v>38353</v>
      </c>
      <c r="B55" s="168" t="n">
        <v>1</v>
      </c>
      <c r="C55" s="168" t="n">
        <v>1</v>
      </c>
      <c r="D55" s="168" t="n">
        <v>1</v>
      </c>
      <c r="E55" s="168" t="n">
        <v>1</v>
      </c>
      <c r="F55" s="168" t="n">
        <v>1</v>
      </c>
      <c r="G55" s="168" t="n">
        <v>1</v>
      </c>
      <c r="H55" s="168" t="n">
        <v>1</v>
      </c>
      <c r="I55" s="168" t="n">
        <v>1</v>
      </c>
      <c r="J55" s="168" t="n">
        <v>1</v>
      </c>
      <c r="K55" s="168" t="n">
        <v>1</v>
      </c>
      <c r="L55" s="168" t="n">
        <v>1</v>
      </c>
      <c r="M55" s="168" t="n">
        <v>1</v>
      </c>
      <c r="N55" s="168" t="n">
        <v>1</v>
      </c>
      <c r="O55" s="168" t="n">
        <v>1</v>
      </c>
      <c r="P55" s="168" t="n">
        <v>1.03</v>
      </c>
      <c r="Q55" s="168" t="n">
        <v>1</v>
      </c>
      <c r="R55" s="168" t="n">
        <v>1</v>
      </c>
      <c r="S55" s="168" t="n">
        <v>1.02</v>
      </c>
      <c r="T55" s="168" t="n">
        <v>1</v>
      </c>
      <c r="U55" s="168" t="n">
        <v>1</v>
      </c>
      <c r="V55" s="168" t="n">
        <v>1</v>
      </c>
      <c r="W55" s="168" t="n">
        <v>1</v>
      </c>
      <c r="X55" s="168" t="n">
        <v>1</v>
      </c>
      <c r="Y55" s="168" t="n">
        <v>1</v>
      </c>
      <c r="Z55" s="168" t="n">
        <v>1</v>
      </c>
      <c r="AA55" s="168" t="n">
        <v>1</v>
      </c>
      <c r="AB55" s="168" t="n">
        <v>1</v>
      </c>
      <c r="AC55" s="168" t="n">
        <v>1</v>
      </c>
      <c r="AD55" s="168" t="n">
        <v>1</v>
      </c>
      <c r="AE55" s="168" t="n">
        <v>1</v>
      </c>
      <c r="AF55" s="168" t="n">
        <v>1.1</v>
      </c>
      <c r="AG55" s="168" t="n">
        <v>1.1</v>
      </c>
      <c r="AH55" s="168" t="n">
        <v>1.05</v>
      </c>
      <c r="AI55" s="168" t="n">
        <v>1</v>
      </c>
      <c r="AJ55" s="168" t="n">
        <v>1</v>
      </c>
      <c r="AK55" s="168" t="n">
        <v>1.02</v>
      </c>
      <c r="AL55" s="168" t="n">
        <v>1</v>
      </c>
      <c r="AM55" s="168" t="n">
        <v>1</v>
      </c>
      <c r="AN55" s="168" t="n">
        <v>1</v>
      </c>
      <c r="AO55" s="168" t="n">
        <v>1</v>
      </c>
    </row>
    <row r="56" customFormat="false" ht="12.75" hidden="false" customHeight="false" outlineLevel="0" collapsed="false">
      <c r="A56" s="167" t="n">
        <v>38384</v>
      </c>
      <c r="B56" s="168" t="n">
        <v>1</v>
      </c>
      <c r="C56" s="168" t="n">
        <v>1</v>
      </c>
      <c r="D56" s="168" t="n">
        <v>1</v>
      </c>
      <c r="E56" s="168" t="n">
        <v>1</v>
      </c>
      <c r="F56" s="168" t="n">
        <v>1</v>
      </c>
      <c r="G56" s="168" t="n">
        <v>1</v>
      </c>
      <c r="H56" s="168" t="n">
        <v>1</v>
      </c>
      <c r="I56" s="168" t="n">
        <v>1</v>
      </c>
      <c r="J56" s="168" t="n">
        <v>1</v>
      </c>
      <c r="K56" s="168" t="n">
        <v>1</v>
      </c>
      <c r="L56" s="168" t="n">
        <v>1</v>
      </c>
      <c r="M56" s="168" t="n">
        <v>1</v>
      </c>
      <c r="N56" s="168" t="n">
        <v>1</v>
      </c>
      <c r="O56" s="168" t="n">
        <v>1</v>
      </c>
      <c r="P56" s="168" t="n">
        <v>1.03</v>
      </c>
      <c r="Q56" s="168" t="n">
        <v>1</v>
      </c>
      <c r="R56" s="168" t="n">
        <v>1</v>
      </c>
      <c r="S56" s="168" t="n">
        <v>1.02</v>
      </c>
      <c r="T56" s="168" t="n">
        <v>1</v>
      </c>
      <c r="U56" s="168" t="n">
        <v>1</v>
      </c>
      <c r="V56" s="168" t="n">
        <v>1</v>
      </c>
      <c r="W56" s="168" t="n">
        <v>1</v>
      </c>
      <c r="X56" s="168" t="n">
        <v>1</v>
      </c>
      <c r="Y56" s="168" t="n">
        <v>1</v>
      </c>
      <c r="Z56" s="168" t="n">
        <v>1</v>
      </c>
      <c r="AA56" s="168" t="n">
        <v>1</v>
      </c>
      <c r="AB56" s="168" t="n">
        <v>1</v>
      </c>
      <c r="AC56" s="168" t="n">
        <v>1</v>
      </c>
      <c r="AD56" s="168" t="n">
        <v>1</v>
      </c>
      <c r="AE56" s="168" t="n">
        <v>1</v>
      </c>
      <c r="AF56" s="168" t="n">
        <v>1.1</v>
      </c>
      <c r="AG56" s="168" t="n">
        <v>1.1</v>
      </c>
      <c r="AH56" s="168" t="n">
        <v>1.05</v>
      </c>
      <c r="AI56" s="168" t="n">
        <v>1</v>
      </c>
      <c r="AJ56" s="168" t="n">
        <v>1</v>
      </c>
      <c r="AK56" s="168" t="n">
        <v>1.02</v>
      </c>
      <c r="AL56" s="168" t="n">
        <v>1</v>
      </c>
      <c r="AM56" s="168" t="n">
        <v>1</v>
      </c>
      <c r="AN56" s="168" t="n">
        <v>1</v>
      </c>
      <c r="AO56" s="168" t="n">
        <v>1</v>
      </c>
    </row>
    <row r="57" customFormat="false" ht="12.75" hidden="false" customHeight="false" outlineLevel="0" collapsed="false">
      <c r="A57" s="167" t="n">
        <v>38412</v>
      </c>
      <c r="B57" s="168" t="n">
        <v>1</v>
      </c>
      <c r="C57" s="168" t="n">
        <v>1</v>
      </c>
      <c r="D57" s="168" t="n">
        <v>1</v>
      </c>
      <c r="E57" s="168" t="n">
        <v>1</v>
      </c>
      <c r="F57" s="168" t="n">
        <v>1</v>
      </c>
      <c r="G57" s="168" t="n">
        <v>1</v>
      </c>
      <c r="H57" s="168" t="n">
        <v>1</v>
      </c>
      <c r="I57" s="168" t="n">
        <v>1</v>
      </c>
      <c r="J57" s="168" t="n">
        <v>1</v>
      </c>
      <c r="K57" s="168" t="n">
        <v>1</v>
      </c>
      <c r="L57" s="168" t="n">
        <v>1</v>
      </c>
      <c r="M57" s="168" t="n">
        <v>1</v>
      </c>
      <c r="N57" s="168" t="n">
        <v>1</v>
      </c>
      <c r="O57" s="168" t="n">
        <v>1</v>
      </c>
      <c r="P57" s="168" t="n">
        <v>1.03</v>
      </c>
      <c r="Q57" s="168" t="n">
        <v>1</v>
      </c>
      <c r="R57" s="168" t="n">
        <v>1</v>
      </c>
      <c r="S57" s="168" t="n">
        <v>1.02</v>
      </c>
      <c r="T57" s="168" t="n">
        <v>1</v>
      </c>
      <c r="U57" s="168" t="n">
        <v>1</v>
      </c>
      <c r="V57" s="168" t="n">
        <v>1</v>
      </c>
      <c r="W57" s="168" t="n">
        <v>1</v>
      </c>
      <c r="X57" s="168" t="n">
        <v>1</v>
      </c>
      <c r="Y57" s="168" t="n">
        <v>1</v>
      </c>
      <c r="Z57" s="168" t="n">
        <v>1</v>
      </c>
      <c r="AA57" s="168" t="n">
        <v>1</v>
      </c>
      <c r="AB57" s="168" t="n">
        <v>1</v>
      </c>
      <c r="AC57" s="168" t="n">
        <v>1</v>
      </c>
      <c r="AD57" s="168" t="n">
        <v>1</v>
      </c>
      <c r="AE57" s="168" t="n">
        <v>1</v>
      </c>
      <c r="AF57" s="168" t="n">
        <v>1.1</v>
      </c>
      <c r="AG57" s="168" t="n">
        <v>1.1</v>
      </c>
      <c r="AH57" s="168" t="n">
        <v>1.05</v>
      </c>
      <c r="AI57" s="168" t="n">
        <v>1</v>
      </c>
      <c r="AJ57" s="168" t="n">
        <v>1</v>
      </c>
      <c r="AK57" s="168" t="n">
        <v>1.02</v>
      </c>
      <c r="AL57" s="168" t="n">
        <v>1</v>
      </c>
      <c r="AM57" s="168" t="n">
        <v>1</v>
      </c>
      <c r="AN57" s="168" t="n">
        <v>1</v>
      </c>
      <c r="AO57" s="168" t="n">
        <v>1</v>
      </c>
    </row>
    <row r="58" customFormat="false" ht="12.75" hidden="false" customHeight="false" outlineLevel="0" collapsed="false">
      <c r="A58" s="167" t="n">
        <v>38443</v>
      </c>
      <c r="B58" s="168" t="n">
        <v>1</v>
      </c>
      <c r="C58" s="168" t="n">
        <v>1</v>
      </c>
      <c r="D58" s="168" t="n">
        <v>1</v>
      </c>
      <c r="E58" s="168" t="n">
        <v>1</v>
      </c>
      <c r="F58" s="168" t="n">
        <v>1</v>
      </c>
      <c r="G58" s="168" t="n">
        <v>1</v>
      </c>
      <c r="H58" s="168" t="n">
        <v>1</v>
      </c>
      <c r="I58" s="168" t="n">
        <v>1</v>
      </c>
      <c r="J58" s="168" t="n">
        <v>1</v>
      </c>
      <c r="K58" s="168" t="n">
        <v>1</v>
      </c>
      <c r="L58" s="168" t="n">
        <v>1</v>
      </c>
      <c r="M58" s="168" t="n">
        <v>1</v>
      </c>
      <c r="N58" s="168" t="n">
        <v>1</v>
      </c>
      <c r="O58" s="168" t="n">
        <v>1</v>
      </c>
      <c r="P58" s="168" t="n">
        <v>1.03</v>
      </c>
      <c r="Q58" s="168" t="n">
        <v>1</v>
      </c>
      <c r="R58" s="168" t="n">
        <v>1</v>
      </c>
      <c r="S58" s="168" t="n">
        <v>1.02</v>
      </c>
      <c r="T58" s="168" t="n">
        <v>1</v>
      </c>
      <c r="U58" s="168" t="n">
        <v>1</v>
      </c>
      <c r="V58" s="168" t="n">
        <v>1</v>
      </c>
      <c r="W58" s="168" t="n">
        <v>1</v>
      </c>
      <c r="X58" s="168" t="n">
        <v>1</v>
      </c>
      <c r="Y58" s="168" t="n">
        <v>1.02</v>
      </c>
      <c r="Z58" s="168" t="n">
        <v>1</v>
      </c>
      <c r="AA58" s="168" t="n">
        <v>1</v>
      </c>
      <c r="AB58" s="168" t="n">
        <v>1</v>
      </c>
      <c r="AC58" s="168" t="n">
        <v>1</v>
      </c>
      <c r="AD58" s="168" t="n">
        <v>0.98</v>
      </c>
      <c r="AE58" s="168" t="n">
        <v>0.98</v>
      </c>
      <c r="AF58" s="168" t="n">
        <v>0.98</v>
      </c>
      <c r="AG58" s="168" t="n">
        <v>0.98</v>
      </c>
      <c r="AH58" s="168" t="n">
        <v>1.05</v>
      </c>
      <c r="AI58" s="168" t="n">
        <v>1</v>
      </c>
      <c r="AJ58" s="168" t="n">
        <v>1</v>
      </c>
      <c r="AK58" s="168" t="n">
        <v>1.02</v>
      </c>
      <c r="AL58" s="168" t="n">
        <v>1</v>
      </c>
      <c r="AM58" s="168" t="n">
        <v>1</v>
      </c>
      <c r="AN58" s="168" t="n">
        <v>1</v>
      </c>
      <c r="AO58" s="168" t="n">
        <v>1</v>
      </c>
    </row>
    <row r="59" customFormat="false" ht="12.75" hidden="false" customHeight="false" outlineLevel="0" collapsed="false">
      <c r="A59" s="167" t="n">
        <v>38473</v>
      </c>
      <c r="B59" s="168" t="n">
        <v>1</v>
      </c>
      <c r="C59" s="168" t="n">
        <v>1</v>
      </c>
      <c r="D59" s="168" t="n">
        <v>1</v>
      </c>
      <c r="E59" s="168" t="n">
        <v>1</v>
      </c>
      <c r="F59" s="168" t="n">
        <v>1</v>
      </c>
      <c r="G59" s="168" t="n">
        <v>1</v>
      </c>
      <c r="H59" s="168" t="n">
        <v>1</v>
      </c>
      <c r="I59" s="168" t="n">
        <v>1</v>
      </c>
      <c r="J59" s="168" t="n">
        <v>1</v>
      </c>
      <c r="K59" s="168" t="n">
        <v>1</v>
      </c>
      <c r="L59" s="168" t="n">
        <v>1</v>
      </c>
      <c r="M59" s="168" t="n">
        <v>1</v>
      </c>
      <c r="N59" s="168" t="n">
        <v>1</v>
      </c>
      <c r="O59" s="168" t="n">
        <v>1</v>
      </c>
      <c r="P59" s="168" t="n">
        <v>1.03</v>
      </c>
      <c r="Q59" s="168" t="n">
        <v>1</v>
      </c>
      <c r="R59" s="168" t="n">
        <v>1</v>
      </c>
      <c r="S59" s="168" t="n">
        <v>1.02</v>
      </c>
      <c r="T59" s="168" t="n">
        <v>1</v>
      </c>
      <c r="U59" s="168" t="n">
        <v>1</v>
      </c>
      <c r="V59" s="168" t="n">
        <v>1</v>
      </c>
      <c r="W59" s="168" t="n">
        <v>1</v>
      </c>
      <c r="X59" s="168" t="n">
        <v>1</v>
      </c>
      <c r="Y59" s="168" t="n">
        <v>1.02</v>
      </c>
      <c r="Z59" s="168" t="n">
        <v>1</v>
      </c>
      <c r="AA59" s="168" t="n">
        <v>1</v>
      </c>
      <c r="AB59" s="168" t="n">
        <v>1</v>
      </c>
      <c r="AC59" s="168" t="n">
        <v>1</v>
      </c>
      <c r="AD59" s="168" t="n">
        <v>0.98</v>
      </c>
      <c r="AE59" s="168" t="n">
        <v>0.98</v>
      </c>
      <c r="AF59" s="168" t="n">
        <v>0.98</v>
      </c>
      <c r="AG59" s="168" t="n">
        <v>0.98</v>
      </c>
      <c r="AH59" s="168" t="n">
        <v>1.05</v>
      </c>
      <c r="AI59" s="168" t="n">
        <v>1</v>
      </c>
      <c r="AJ59" s="168" t="n">
        <v>1</v>
      </c>
      <c r="AK59" s="168" t="n">
        <v>1.02</v>
      </c>
      <c r="AL59" s="168" t="n">
        <v>1</v>
      </c>
      <c r="AM59" s="168" t="n">
        <v>1</v>
      </c>
      <c r="AN59" s="168" t="n">
        <v>1</v>
      </c>
      <c r="AO59" s="168" t="n">
        <v>1</v>
      </c>
    </row>
    <row r="60" customFormat="false" ht="12.75" hidden="false" customHeight="false" outlineLevel="0" collapsed="false">
      <c r="A60" s="167" t="n">
        <v>38504</v>
      </c>
      <c r="B60" s="168" t="n">
        <v>1</v>
      </c>
      <c r="C60" s="168" t="n">
        <v>1</v>
      </c>
      <c r="D60" s="168" t="n">
        <v>1</v>
      </c>
      <c r="E60" s="168" t="n">
        <v>1</v>
      </c>
      <c r="F60" s="168" t="n">
        <v>1</v>
      </c>
      <c r="G60" s="168" t="n">
        <v>1</v>
      </c>
      <c r="H60" s="168" t="n">
        <v>1</v>
      </c>
      <c r="I60" s="168" t="n">
        <v>1</v>
      </c>
      <c r="J60" s="168" t="n">
        <v>1</v>
      </c>
      <c r="K60" s="168" t="n">
        <v>1</v>
      </c>
      <c r="L60" s="168" t="n">
        <v>1</v>
      </c>
      <c r="M60" s="168" t="n">
        <v>1</v>
      </c>
      <c r="N60" s="168" t="n">
        <v>1</v>
      </c>
      <c r="O60" s="168" t="n">
        <v>1</v>
      </c>
      <c r="P60" s="168" t="n">
        <v>1.03</v>
      </c>
      <c r="Q60" s="168" t="n">
        <v>1</v>
      </c>
      <c r="R60" s="168" t="n">
        <v>1</v>
      </c>
      <c r="S60" s="168" t="n">
        <v>1.02</v>
      </c>
      <c r="T60" s="168" t="n">
        <v>1</v>
      </c>
      <c r="U60" s="168" t="n">
        <v>1</v>
      </c>
      <c r="V60" s="168" t="n">
        <v>1</v>
      </c>
      <c r="W60" s="168" t="n">
        <v>1</v>
      </c>
      <c r="X60" s="168" t="n">
        <v>1</v>
      </c>
      <c r="Y60" s="168" t="n">
        <v>1.02</v>
      </c>
      <c r="Z60" s="168" t="n">
        <v>1</v>
      </c>
      <c r="AA60" s="168" t="n">
        <v>1</v>
      </c>
      <c r="AB60" s="168" t="n">
        <v>1</v>
      </c>
      <c r="AC60" s="168" t="n">
        <v>1</v>
      </c>
      <c r="AD60" s="168" t="n">
        <v>0.98</v>
      </c>
      <c r="AE60" s="168" t="n">
        <v>0.98</v>
      </c>
      <c r="AF60" s="168" t="n">
        <v>0.98</v>
      </c>
      <c r="AG60" s="168" t="n">
        <v>0.98</v>
      </c>
      <c r="AH60" s="168" t="n">
        <v>1.05</v>
      </c>
      <c r="AI60" s="168" t="n">
        <v>1</v>
      </c>
      <c r="AJ60" s="168" t="n">
        <v>1</v>
      </c>
      <c r="AK60" s="168" t="n">
        <v>1.02</v>
      </c>
      <c r="AL60" s="168" t="n">
        <v>1</v>
      </c>
      <c r="AM60" s="168" t="n">
        <v>1</v>
      </c>
      <c r="AN60" s="168" t="n">
        <v>1</v>
      </c>
      <c r="AO60" s="168" t="n">
        <v>1</v>
      </c>
    </row>
    <row r="61" customFormat="false" ht="12.75" hidden="false" customHeight="false" outlineLevel="0" collapsed="false">
      <c r="A61" s="167" t="n">
        <v>38534</v>
      </c>
      <c r="B61" s="168" t="n">
        <v>1</v>
      </c>
      <c r="C61" s="168" t="n">
        <v>1</v>
      </c>
      <c r="D61" s="168" t="n">
        <v>1</v>
      </c>
      <c r="E61" s="168" t="n">
        <v>1</v>
      </c>
      <c r="F61" s="168" t="n">
        <v>1</v>
      </c>
      <c r="G61" s="168" t="n">
        <v>1</v>
      </c>
      <c r="H61" s="168" t="n">
        <v>1</v>
      </c>
      <c r="I61" s="168" t="n">
        <v>1</v>
      </c>
      <c r="J61" s="168" t="n">
        <v>1</v>
      </c>
      <c r="K61" s="168" t="n">
        <v>1</v>
      </c>
      <c r="L61" s="168" t="n">
        <v>1</v>
      </c>
      <c r="M61" s="168" t="n">
        <v>1</v>
      </c>
      <c r="N61" s="168" t="n">
        <v>1</v>
      </c>
      <c r="O61" s="168" t="n">
        <v>1</v>
      </c>
      <c r="P61" s="168" t="n">
        <v>1.03</v>
      </c>
      <c r="Q61" s="168" t="n">
        <v>1</v>
      </c>
      <c r="R61" s="168" t="n">
        <v>1</v>
      </c>
      <c r="S61" s="168" t="n">
        <v>1.02</v>
      </c>
      <c r="T61" s="168" t="n">
        <v>1</v>
      </c>
      <c r="U61" s="168" t="n">
        <v>1</v>
      </c>
      <c r="V61" s="168" t="n">
        <v>1</v>
      </c>
      <c r="W61" s="168" t="n">
        <v>1</v>
      </c>
      <c r="X61" s="168" t="n">
        <v>1</v>
      </c>
      <c r="Y61" s="168" t="n">
        <v>1.02</v>
      </c>
      <c r="Z61" s="168" t="n">
        <v>1</v>
      </c>
      <c r="AA61" s="168" t="n">
        <v>1</v>
      </c>
      <c r="AB61" s="168" t="n">
        <v>1</v>
      </c>
      <c r="AC61" s="168" t="n">
        <v>1</v>
      </c>
      <c r="AD61" s="168" t="n">
        <v>0.98</v>
      </c>
      <c r="AE61" s="168" t="n">
        <v>0.98</v>
      </c>
      <c r="AF61" s="168" t="n">
        <v>0.98</v>
      </c>
      <c r="AG61" s="168" t="n">
        <v>0.98</v>
      </c>
      <c r="AH61" s="168" t="n">
        <v>1.05</v>
      </c>
      <c r="AI61" s="168" t="n">
        <v>1</v>
      </c>
      <c r="AJ61" s="168" t="n">
        <v>1</v>
      </c>
      <c r="AK61" s="168" t="n">
        <v>1.02</v>
      </c>
      <c r="AL61" s="168" t="n">
        <v>1</v>
      </c>
      <c r="AM61" s="168" t="n">
        <v>1</v>
      </c>
      <c r="AN61" s="168" t="n">
        <v>1</v>
      </c>
      <c r="AO61" s="168" t="n">
        <v>1</v>
      </c>
    </row>
    <row r="62" customFormat="false" ht="12.75" hidden="false" customHeight="false" outlineLevel="0" collapsed="false">
      <c r="A62" s="167" t="n">
        <v>38565</v>
      </c>
      <c r="B62" s="168" t="n">
        <v>1</v>
      </c>
      <c r="C62" s="168" t="n">
        <v>1</v>
      </c>
      <c r="D62" s="168" t="n">
        <v>1</v>
      </c>
      <c r="E62" s="168" t="n">
        <v>1</v>
      </c>
      <c r="F62" s="168" t="n">
        <v>1</v>
      </c>
      <c r="G62" s="168" t="n">
        <v>1</v>
      </c>
      <c r="H62" s="168" t="n">
        <v>1</v>
      </c>
      <c r="I62" s="168" t="n">
        <v>1</v>
      </c>
      <c r="J62" s="168" t="n">
        <v>1</v>
      </c>
      <c r="K62" s="168" t="n">
        <v>1</v>
      </c>
      <c r="L62" s="168" t="n">
        <v>1</v>
      </c>
      <c r="M62" s="168" t="n">
        <v>1</v>
      </c>
      <c r="N62" s="168" t="n">
        <v>1</v>
      </c>
      <c r="O62" s="168" t="n">
        <v>1</v>
      </c>
      <c r="P62" s="168" t="n">
        <v>1.03</v>
      </c>
      <c r="Q62" s="168" t="n">
        <v>1</v>
      </c>
      <c r="R62" s="168" t="n">
        <v>1</v>
      </c>
      <c r="S62" s="168" t="n">
        <v>1.02</v>
      </c>
      <c r="T62" s="168" t="n">
        <v>1</v>
      </c>
      <c r="U62" s="168" t="n">
        <v>1</v>
      </c>
      <c r="V62" s="168" t="n">
        <v>1</v>
      </c>
      <c r="W62" s="168" t="n">
        <v>1</v>
      </c>
      <c r="X62" s="168" t="n">
        <v>1</v>
      </c>
      <c r="Y62" s="168" t="n">
        <v>1.02</v>
      </c>
      <c r="Z62" s="168" t="n">
        <v>1</v>
      </c>
      <c r="AA62" s="168" t="n">
        <v>1</v>
      </c>
      <c r="AB62" s="168" t="n">
        <v>1</v>
      </c>
      <c r="AC62" s="168" t="n">
        <v>1</v>
      </c>
      <c r="AD62" s="168" t="n">
        <v>0.98</v>
      </c>
      <c r="AE62" s="168" t="n">
        <v>0.98</v>
      </c>
      <c r="AF62" s="168" t="n">
        <v>0.98</v>
      </c>
      <c r="AG62" s="168" t="n">
        <v>0.98</v>
      </c>
      <c r="AH62" s="168" t="n">
        <v>1.05</v>
      </c>
      <c r="AI62" s="168" t="n">
        <v>1</v>
      </c>
      <c r="AJ62" s="168" t="n">
        <v>1</v>
      </c>
      <c r="AK62" s="168" t="n">
        <v>1.02</v>
      </c>
      <c r="AL62" s="168" t="n">
        <v>1</v>
      </c>
      <c r="AM62" s="168" t="n">
        <v>1</v>
      </c>
      <c r="AN62" s="168" t="n">
        <v>1</v>
      </c>
      <c r="AO62" s="168" t="n">
        <v>1</v>
      </c>
    </row>
    <row r="63" customFormat="false" ht="12.75" hidden="false" customHeight="false" outlineLevel="0" collapsed="false">
      <c r="A63" s="167" t="n">
        <v>38596</v>
      </c>
      <c r="B63" s="168" t="n">
        <v>1</v>
      </c>
      <c r="C63" s="168" t="n">
        <v>1</v>
      </c>
      <c r="D63" s="168" t="n">
        <v>1</v>
      </c>
      <c r="E63" s="168" t="n">
        <v>1</v>
      </c>
      <c r="F63" s="168" t="n">
        <v>1</v>
      </c>
      <c r="G63" s="168" t="n">
        <v>1</v>
      </c>
      <c r="H63" s="168" t="n">
        <v>1</v>
      </c>
      <c r="I63" s="168" t="n">
        <v>1</v>
      </c>
      <c r="J63" s="168" t="n">
        <v>1</v>
      </c>
      <c r="K63" s="168" t="n">
        <v>1</v>
      </c>
      <c r="L63" s="168" t="n">
        <v>1</v>
      </c>
      <c r="M63" s="168" t="n">
        <v>1</v>
      </c>
      <c r="N63" s="168" t="n">
        <v>1</v>
      </c>
      <c r="O63" s="168" t="n">
        <v>1</v>
      </c>
      <c r="P63" s="168" t="n">
        <v>1.03</v>
      </c>
      <c r="Q63" s="168" t="n">
        <v>1</v>
      </c>
      <c r="R63" s="168" t="n">
        <v>1</v>
      </c>
      <c r="S63" s="168" t="n">
        <v>1.02</v>
      </c>
      <c r="T63" s="168" t="n">
        <v>1</v>
      </c>
      <c r="U63" s="168" t="n">
        <v>1</v>
      </c>
      <c r="V63" s="168" t="n">
        <v>1</v>
      </c>
      <c r="W63" s="168" t="n">
        <v>1</v>
      </c>
      <c r="X63" s="168" t="n">
        <v>1</v>
      </c>
      <c r="Y63" s="168" t="n">
        <v>1.02</v>
      </c>
      <c r="Z63" s="168" t="n">
        <v>1</v>
      </c>
      <c r="AA63" s="168" t="n">
        <v>1</v>
      </c>
      <c r="AB63" s="168" t="n">
        <v>1</v>
      </c>
      <c r="AC63" s="168" t="n">
        <v>1</v>
      </c>
      <c r="AD63" s="168" t="n">
        <v>0.98</v>
      </c>
      <c r="AE63" s="168" t="n">
        <v>0.98</v>
      </c>
      <c r="AF63" s="168" t="n">
        <v>0.98</v>
      </c>
      <c r="AG63" s="168" t="n">
        <v>0.98</v>
      </c>
      <c r="AH63" s="168" t="n">
        <v>1.05</v>
      </c>
      <c r="AI63" s="168" t="n">
        <v>1</v>
      </c>
      <c r="AJ63" s="168" t="n">
        <v>1</v>
      </c>
      <c r="AK63" s="168" t="n">
        <v>1.02</v>
      </c>
      <c r="AL63" s="168" t="n">
        <v>1</v>
      </c>
      <c r="AM63" s="168" t="n">
        <v>1</v>
      </c>
      <c r="AN63" s="168" t="n">
        <v>1</v>
      </c>
      <c r="AO63" s="168" t="n">
        <v>1</v>
      </c>
    </row>
    <row r="64" customFormat="false" ht="12.75" hidden="false" customHeight="false" outlineLevel="0" collapsed="false">
      <c r="A64" s="167" t="n">
        <v>38626</v>
      </c>
      <c r="B64" s="168" t="n">
        <v>1</v>
      </c>
      <c r="C64" s="168" t="n">
        <v>1</v>
      </c>
      <c r="D64" s="168" t="n">
        <v>1</v>
      </c>
      <c r="E64" s="168" t="n">
        <v>1</v>
      </c>
      <c r="F64" s="168" t="n">
        <v>1</v>
      </c>
      <c r="G64" s="168" t="n">
        <v>1</v>
      </c>
      <c r="H64" s="168" t="n">
        <v>1</v>
      </c>
      <c r="I64" s="168" t="n">
        <v>1</v>
      </c>
      <c r="J64" s="168" t="n">
        <v>1</v>
      </c>
      <c r="K64" s="168" t="n">
        <v>1</v>
      </c>
      <c r="L64" s="168" t="n">
        <v>1</v>
      </c>
      <c r="M64" s="168" t="n">
        <v>1</v>
      </c>
      <c r="N64" s="168" t="n">
        <v>1</v>
      </c>
      <c r="O64" s="168" t="n">
        <v>1</v>
      </c>
      <c r="P64" s="168" t="n">
        <v>1.03</v>
      </c>
      <c r="Q64" s="168" t="n">
        <v>1</v>
      </c>
      <c r="R64" s="168" t="n">
        <v>1</v>
      </c>
      <c r="S64" s="168" t="n">
        <v>1.02</v>
      </c>
      <c r="T64" s="168" t="n">
        <v>1</v>
      </c>
      <c r="U64" s="168" t="n">
        <v>1</v>
      </c>
      <c r="V64" s="168" t="n">
        <v>1</v>
      </c>
      <c r="W64" s="168" t="n">
        <v>1</v>
      </c>
      <c r="X64" s="168" t="n">
        <v>1</v>
      </c>
      <c r="Y64" s="168" t="n">
        <v>1.02</v>
      </c>
      <c r="Z64" s="168" t="n">
        <v>1</v>
      </c>
      <c r="AA64" s="168" t="n">
        <v>1</v>
      </c>
      <c r="AB64" s="168" t="n">
        <v>1</v>
      </c>
      <c r="AC64" s="168" t="n">
        <v>1</v>
      </c>
      <c r="AD64" s="168" t="n">
        <v>0.98</v>
      </c>
      <c r="AE64" s="168" t="n">
        <v>0.98</v>
      </c>
      <c r="AF64" s="168" t="n">
        <v>0.98</v>
      </c>
      <c r="AG64" s="168" t="n">
        <v>0.98</v>
      </c>
      <c r="AH64" s="168" t="n">
        <v>1.05</v>
      </c>
      <c r="AI64" s="168" t="n">
        <v>1</v>
      </c>
      <c r="AJ64" s="168" t="n">
        <v>1</v>
      </c>
      <c r="AK64" s="168" t="n">
        <v>1.02</v>
      </c>
      <c r="AL64" s="168" t="n">
        <v>1</v>
      </c>
      <c r="AM64" s="168" t="n">
        <v>1</v>
      </c>
      <c r="AN64" s="168" t="n">
        <v>1</v>
      </c>
      <c r="AO64" s="168" t="n">
        <v>1</v>
      </c>
    </row>
    <row r="65" customFormat="false" ht="12.75" hidden="false" customHeight="false" outlineLevel="0" collapsed="false">
      <c r="A65" s="167" t="n">
        <v>38657</v>
      </c>
      <c r="B65" s="168" t="n">
        <v>1</v>
      </c>
      <c r="C65" s="168" t="n">
        <v>1</v>
      </c>
      <c r="D65" s="168" t="n">
        <v>1</v>
      </c>
      <c r="E65" s="168" t="n">
        <v>1</v>
      </c>
      <c r="F65" s="168" t="n">
        <v>1</v>
      </c>
      <c r="G65" s="168" t="n">
        <v>1</v>
      </c>
      <c r="H65" s="168" t="n">
        <v>1</v>
      </c>
      <c r="I65" s="168" t="n">
        <v>1</v>
      </c>
      <c r="J65" s="168" t="n">
        <v>1</v>
      </c>
      <c r="K65" s="168" t="n">
        <v>1</v>
      </c>
      <c r="L65" s="168" t="n">
        <v>1</v>
      </c>
      <c r="M65" s="168" t="n">
        <v>1</v>
      </c>
      <c r="N65" s="168" t="n">
        <v>1</v>
      </c>
      <c r="O65" s="168" t="n">
        <v>1</v>
      </c>
      <c r="P65" s="168" t="n">
        <v>1.03</v>
      </c>
      <c r="Q65" s="168" t="n">
        <v>1</v>
      </c>
      <c r="R65" s="168" t="n">
        <v>1</v>
      </c>
      <c r="S65" s="168" t="n">
        <v>1.02</v>
      </c>
      <c r="T65" s="168" t="n">
        <v>1</v>
      </c>
      <c r="U65" s="168" t="n">
        <v>1</v>
      </c>
      <c r="V65" s="168" t="n">
        <v>1</v>
      </c>
      <c r="W65" s="168" t="n">
        <v>1</v>
      </c>
      <c r="X65" s="168" t="n">
        <v>1</v>
      </c>
      <c r="Y65" s="168" t="n">
        <v>1</v>
      </c>
      <c r="Z65" s="168" t="n">
        <v>1</v>
      </c>
      <c r="AA65" s="168" t="n">
        <v>1</v>
      </c>
      <c r="AB65" s="168" t="n">
        <v>1</v>
      </c>
      <c r="AC65" s="168" t="n">
        <v>1</v>
      </c>
      <c r="AD65" s="168" t="n">
        <v>1</v>
      </c>
      <c r="AE65" s="168" t="n">
        <v>1</v>
      </c>
      <c r="AF65" s="168" t="n">
        <v>1.1</v>
      </c>
      <c r="AG65" s="168" t="n">
        <v>1.1</v>
      </c>
      <c r="AH65" s="168" t="n">
        <v>1.05</v>
      </c>
      <c r="AI65" s="168" t="n">
        <v>1</v>
      </c>
      <c r="AJ65" s="168" t="n">
        <v>1</v>
      </c>
      <c r="AK65" s="168" t="n">
        <v>1.02</v>
      </c>
      <c r="AL65" s="168" t="n">
        <v>1</v>
      </c>
      <c r="AM65" s="168" t="n">
        <v>1</v>
      </c>
      <c r="AN65" s="168" t="n">
        <v>1</v>
      </c>
      <c r="AO65" s="168" t="n">
        <v>1</v>
      </c>
    </row>
    <row r="66" customFormat="false" ht="12.75" hidden="false" customHeight="false" outlineLevel="0" collapsed="false">
      <c r="A66" s="167" t="n">
        <v>38687</v>
      </c>
      <c r="B66" s="168" t="n">
        <v>1</v>
      </c>
      <c r="C66" s="168" t="n">
        <v>1</v>
      </c>
      <c r="D66" s="168" t="n">
        <v>1</v>
      </c>
      <c r="E66" s="168" t="n">
        <v>1</v>
      </c>
      <c r="F66" s="168" t="n">
        <v>1</v>
      </c>
      <c r="G66" s="168" t="n">
        <v>1</v>
      </c>
      <c r="H66" s="168" t="n">
        <v>1</v>
      </c>
      <c r="I66" s="168" t="n">
        <v>1</v>
      </c>
      <c r="J66" s="168" t="n">
        <v>1</v>
      </c>
      <c r="K66" s="168" t="n">
        <v>1</v>
      </c>
      <c r="L66" s="168" t="n">
        <v>1</v>
      </c>
      <c r="M66" s="168" t="n">
        <v>1</v>
      </c>
      <c r="N66" s="168" t="n">
        <v>1</v>
      </c>
      <c r="O66" s="168" t="n">
        <v>1</v>
      </c>
      <c r="P66" s="168" t="n">
        <v>1.03</v>
      </c>
      <c r="Q66" s="168" t="n">
        <v>1</v>
      </c>
      <c r="R66" s="168" t="n">
        <v>1</v>
      </c>
      <c r="S66" s="168" t="n">
        <v>1.02</v>
      </c>
      <c r="T66" s="168" t="n">
        <v>1</v>
      </c>
      <c r="U66" s="168" t="n">
        <v>1</v>
      </c>
      <c r="V66" s="168" t="n">
        <v>1</v>
      </c>
      <c r="W66" s="168" t="n">
        <v>1</v>
      </c>
      <c r="X66" s="168" t="n">
        <v>1</v>
      </c>
      <c r="Y66" s="168" t="n">
        <v>1</v>
      </c>
      <c r="Z66" s="168" t="n">
        <v>1</v>
      </c>
      <c r="AA66" s="168" t="n">
        <v>1</v>
      </c>
      <c r="AB66" s="168" t="n">
        <v>1</v>
      </c>
      <c r="AC66" s="168" t="n">
        <v>1</v>
      </c>
      <c r="AD66" s="168" t="n">
        <v>1</v>
      </c>
      <c r="AE66" s="168" t="n">
        <v>1</v>
      </c>
      <c r="AF66" s="168" t="n">
        <v>1.1</v>
      </c>
      <c r="AG66" s="168" t="n">
        <v>1.1</v>
      </c>
      <c r="AH66" s="168" t="n">
        <v>1.05</v>
      </c>
      <c r="AI66" s="168" t="n">
        <v>1</v>
      </c>
      <c r="AJ66" s="168" t="n">
        <v>1</v>
      </c>
      <c r="AK66" s="168" t="n">
        <v>1.02</v>
      </c>
      <c r="AL66" s="168" t="n">
        <v>1</v>
      </c>
      <c r="AM66" s="168" t="n">
        <v>1</v>
      </c>
      <c r="AN66" s="168" t="n">
        <v>1</v>
      </c>
      <c r="AO66" s="168" t="n">
        <v>1</v>
      </c>
    </row>
    <row r="67" customFormat="false" ht="12.75" hidden="false" customHeight="false" outlineLevel="0" collapsed="false">
      <c r="A67" s="167" t="n">
        <v>38718</v>
      </c>
      <c r="B67" s="168" t="n">
        <v>1</v>
      </c>
      <c r="C67" s="168" t="n">
        <v>1</v>
      </c>
      <c r="D67" s="168" t="n">
        <v>1</v>
      </c>
      <c r="E67" s="168" t="n">
        <v>1</v>
      </c>
      <c r="F67" s="168" t="n">
        <v>1</v>
      </c>
      <c r="G67" s="168" t="n">
        <v>1</v>
      </c>
      <c r="H67" s="168" t="n">
        <v>1</v>
      </c>
      <c r="I67" s="168" t="n">
        <v>1</v>
      </c>
      <c r="J67" s="168" t="n">
        <v>1</v>
      </c>
      <c r="K67" s="168" t="n">
        <v>1</v>
      </c>
      <c r="L67" s="168" t="n">
        <v>1</v>
      </c>
      <c r="M67" s="168" t="n">
        <v>1</v>
      </c>
      <c r="N67" s="168" t="n">
        <v>1</v>
      </c>
      <c r="O67" s="168" t="n">
        <v>1</v>
      </c>
      <c r="P67" s="168" t="n">
        <v>1.03</v>
      </c>
      <c r="Q67" s="168" t="n">
        <v>1</v>
      </c>
      <c r="R67" s="168" t="n">
        <v>1</v>
      </c>
      <c r="S67" s="168" t="n">
        <v>1.02</v>
      </c>
      <c r="T67" s="168" t="n">
        <v>1</v>
      </c>
      <c r="U67" s="168" t="n">
        <v>1</v>
      </c>
      <c r="V67" s="168" t="n">
        <v>1</v>
      </c>
      <c r="W67" s="168" t="n">
        <v>1</v>
      </c>
      <c r="X67" s="168" t="n">
        <v>1</v>
      </c>
      <c r="Y67" s="168" t="n">
        <v>1</v>
      </c>
      <c r="Z67" s="168" t="n">
        <v>1</v>
      </c>
      <c r="AA67" s="168" t="n">
        <v>1</v>
      </c>
      <c r="AB67" s="168" t="n">
        <v>1</v>
      </c>
      <c r="AC67" s="168" t="n">
        <v>1</v>
      </c>
      <c r="AD67" s="168" t="n">
        <v>1</v>
      </c>
      <c r="AE67" s="168" t="n">
        <v>1</v>
      </c>
      <c r="AF67" s="168" t="n">
        <v>1.1</v>
      </c>
      <c r="AG67" s="168" t="n">
        <v>1.1</v>
      </c>
      <c r="AH67" s="168" t="n">
        <v>1.05</v>
      </c>
      <c r="AI67" s="168" t="n">
        <v>1</v>
      </c>
      <c r="AJ67" s="168" t="n">
        <v>1</v>
      </c>
      <c r="AK67" s="168" t="n">
        <v>1.02</v>
      </c>
      <c r="AL67" s="168" t="n">
        <v>1</v>
      </c>
      <c r="AM67" s="168" t="n">
        <v>1</v>
      </c>
      <c r="AN67" s="168" t="n">
        <v>1</v>
      </c>
      <c r="AO67" s="168" t="n">
        <v>1</v>
      </c>
    </row>
    <row r="68" customFormat="false" ht="12.75" hidden="false" customHeight="false" outlineLevel="0" collapsed="false">
      <c r="A68" s="167" t="n">
        <v>38749</v>
      </c>
      <c r="B68" s="168" t="n">
        <v>1</v>
      </c>
      <c r="C68" s="168" t="n">
        <v>1</v>
      </c>
      <c r="D68" s="168" t="n">
        <v>1</v>
      </c>
      <c r="E68" s="168" t="n">
        <v>1</v>
      </c>
      <c r="F68" s="168" t="n">
        <v>1</v>
      </c>
      <c r="G68" s="168" t="n">
        <v>1</v>
      </c>
      <c r="H68" s="168" t="n">
        <v>1</v>
      </c>
      <c r="I68" s="168" t="n">
        <v>1</v>
      </c>
      <c r="J68" s="168" t="n">
        <v>1</v>
      </c>
      <c r="K68" s="168" t="n">
        <v>1</v>
      </c>
      <c r="L68" s="168" t="n">
        <v>1</v>
      </c>
      <c r="M68" s="168" t="n">
        <v>1</v>
      </c>
      <c r="N68" s="168" t="n">
        <v>1</v>
      </c>
      <c r="O68" s="168" t="n">
        <v>1</v>
      </c>
      <c r="P68" s="168" t="n">
        <v>1.03</v>
      </c>
      <c r="Q68" s="168" t="n">
        <v>1</v>
      </c>
      <c r="R68" s="168" t="n">
        <v>1</v>
      </c>
      <c r="S68" s="168" t="n">
        <v>1.02</v>
      </c>
      <c r="T68" s="168" t="n">
        <v>1</v>
      </c>
      <c r="U68" s="168" t="n">
        <v>1</v>
      </c>
      <c r="V68" s="168" t="n">
        <v>1</v>
      </c>
      <c r="W68" s="168" t="n">
        <v>1</v>
      </c>
      <c r="X68" s="168" t="n">
        <v>1</v>
      </c>
      <c r="Y68" s="168" t="n">
        <v>1</v>
      </c>
      <c r="Z68" s="168" t="n">
        <v>1</v>
      </c>
      <c r="AA68" s="168" t="n">
        <v>1</v>
      </c>
      <c r="AB68" s="168" t="n">
        <v>1</v>
      </c>
      <c r="AC68" s="168" t="n">
        <v>1</v>
      </c>
      <c r="AD68" s="168" t="n">
        <v>1</v>
      </c>
      <c r="AE68" s="168" t="n">
        <v>1</v>
      </c>
      <c r="AF68" s="168" t="n">
        <v>1.1</v>
      </c>
      <c r="AG68" s="168" t="n">
        <v>1.1</v>
      </c>
      <c r="AH68" s="168" t="n">
        <v>1.05</v>
      </c>
      <c r="AI68" s="168" t="n">
        <v>1</v>
      </c>
      <c r="AJ68" s="168" t="n">
        <v>1</v>
      </c>
      <c r="AK68" s="168" t="n">
        <v>1.02</v>
      </c>
      <c r="AL68" s="168" t="n">
        <v>1</v>
      </c>
      <c r="AM68" s="168" t="n">
        <v>1</v>
      </c>
      <c r="AN68" s="168" t="n">
        <v>1</v>
      </c>
      <c r="AO68" s="168" t="n">
        <v>1</v>
      </c>
    </row>
    <row r="69" customFormat="false" ht="12.75" hidden="false" customHeight="false" outlineLevel="0" collapsed="false">
      <c r="A69" s="167" t="n">
        <v>38777</v>
      </c>
      <c r="B69" s="168" t="n">
        <v>1</v>
      </c>
      <c r="C69" s="168" t="n">
        <v>1</v>
      </c>
      <c r="D69" s="168" t="n">
        <v>1</v>
      </c>
      <c r="E69" s="168" t="n">
        <v>1</v>
      </c>
      <c r="F69" s="168" t="n">
        <v>1</v>
      </c>
      <c r="G69" s="168" t="n">
        <v>1</v>
      </c>
      <c r="H69" s="168" t="n">
        <v>1</v>
      </c>
      <c r="I69" s="168" t="n">
        <v>1</v>
      </c>
      <c r="J69" s="168" t="n">
        <v>1</v>
      </c>
      <c r="K69" s="168" t="n">
        <v>1</v>
      </c>
      <c r="L69" s="168" t="n">
        <v>1</v>
      </c>
      <c r="M69" s="168" t="n">
        <v>1</v>
      </c>
      <c r="N69" s="168" t="n">
        <v>1</v>
      </c>
      <c r="O69" s="168" t="n">
        <v>1</v>
      </c>
      <c r="P69" s="168" t="n">
        <v>1.03</v>
      </c>
      <c r="Q69" s="168" t="n">
        <v>1</v>
      </c>
      <c r="R69" s="168" t="n">
        <v>1</v>
      </c>
      <c r="S69" s="168" t="n">
        <v>1.02</v>
      </c>
      <c r="T69" s="168" t="n">
        <v>1</v>
      </c>
      <c r="U69" s="168" t="n">
        <v>1</v>
      </c>
      <c r="V69" s="168" t="n">
        <v>1</v>
      </c>
      <c r="W69" s="168" t="n">
        <v>1</v>
      </c>
      <c r="X69" s="168" t="n">
        <v>1</v>
      </c>
      <c r="Y69" s="168" t="n">
        <v>1</v>
      </c>
      <c r="Z69" s="168" t="n">
        <v>1</v>
      </c>
      <c r="AA69" s="168" t="n">
        <v>1</v>
      </c>
      <c r="AB69" s="168" t="n">
        <v>1</v>
      </c>
      <c r="AC69" s="168" t="n">
        <v>1</v>
      </c>
      <c r="AD69" s="168" t="n">
        <v>1</v>
      </c>
      <c r="AE69" s="168" t="n">
        <v>1</v>
      </c>
      <c r="AF69" s="168" t="n">
        <v>1.1</v>
      </c>
      <c r="AG69" s="168" t="n">
        <v>1.1</v>
      </c>
      <c r="AH69" s="168" t="n">
        <v>1.05</v>
      </c>
      <c r="AI69" s="168" t="n">
        <v>1</v>
      </c>
      <c r="AJ69" s="168" t="n">
        <v>1</v>
      </c>
      <c r="AK69" s="168" t="n">
        <v>1.02</v>
      </c>
      <c r="AL69" s="168" t="n">
        <v>1</v>
      </c>
      <c r="AM69" s="168" t="n">
        <v>1</v>
      </c>
      <c r="AN69" s="168" t="n">
        <v>1</v>
      </c>
      <c r="AO69" s="168" t="n">
        <v>1</v>
      </c>
    </row>
    <row r="70" customFormat="false" ht="12.75" hidden="false" customHeight="false" outlineLevel="0" collapsed="false">
      <c r="A70" s="167" t="n">
        <v>38808</v>
      </c>
      <c r="B70" s="168" t="n">
        <v>1</v>
      </c>
      <c r="C70" s="168" t="n">
        <v>1</v>
      </c>
      <c r="D70" s="168" t="n">
        <v>1</v>
      </c>
      <c r="E70" s="168" t="n">
        <v>1</v>
      </c>
      <c r="F70" s="168" t="n">
        <v>1</v>
      </c>
      <c r="G70" s="168" t="n">
        <v>1</v>
      </c>
      <c r="H70" s="168" t="n">
        <v>1</v>
      </c>
      <c r="I70" s="168" t="n">
        <v>1</v>
      </c>
      <c r="J70" s="168" t="n">
        <v>1</v>
      </c>
      <c r="K70" s="168" t="n">
        <v>1</v>
      </c>
      <c r="L70" s="168" t="n">
        <v>1</v>
      </c>
      <c r="M70" s="168" t="n">
        <v>1</v>
      </c>
      <c r="N70" s="168" t="n">
        <v>1</v>
      </c>
      <c r="O70" s="168" t="n">
        <v>1</v>
      </c>
      <c r="P70" s="168" t="n">
        <v>1.03</v>
      </c>
      <c r="Q70" s="168" t="n">
        <v>1</v>
      </c>
      <c r="R70" s="168" t="n">
        <v>1</v>
      </c>
      <c r="S70" s="168" t="n">
        <v>1.02</v>
      </c>
      <c r="T70" s="168" t="n">
        <v>1</v>
      </c>
      <c r="U70" s="168" t="n">
        <v>1</v>
      </c>
      <c r="V70" s="168" t="n">
        <v>1</v>
      </c>
      <c r="W70" s="168" t="n">
        <v>1</v>
      </c>
      <c r="X70" s="168" t="n">
        <v>1</v>
      </c>
      <c r="Y70" s="168" t="n">
        <v>1.02</v>
      </c>
      <c r="Z70" s="168" t="n">
        <v>1</v>
      </c>
      <c r="AA70" s="168" t="n">
        <v>1</v>
      </c>
      <c r="AB70" s="168" t="n">
        <v>1</v>
      </c>
      <c r="AC70" s="168" t="n">
        <v>1</v>
      </c>
      <c r="AD70" s="168" t="n">
        <v>0.98</v>
      </c>
      <c r="AE70" s="168" t="n">
        <v>0.98</v>
      </c>
      <c r="AF70" s="168" t="n">
        <v>0.98</v>
      </c>
      <c r="AG70" s="168" t="n">
        <v>0.98</v>
      </c>
      <c r="AH70" s="168" t="n">
        <v>1.05</v>
      </c>
      <c r="AI70" s="168" t="n">
        <v>1</v>
      </c>
      <c r="AJ70" s="168" t="n">
        <v>1</v>
      </c>
      <c r="AK70" s="168" t="n">
        <v>1.02</v>
      </c>
      <c r="AL70" s="168" t="n">
        <v>1</v>
      </c>
      <c r="AM70" s="168" t="n">
        <v>1</v>
      </c>
      <c r="AN70" s="168" t="n">
        <v>1</v>
      </c>
      <c r="AO70" s="168" t="n">
        <v>1</v>
      </c>
    </row>
    <row r="71" customFormat="false" ht="12.75" hidden="false" customHeight="false" outlineLevel="0" collapsed="false">
      <c r="A71" s="167" t="n">
        <v>38838</v>
      </c>
      <c r="B71" s="168" t="n">
        <v>1</v>
      </c>
      <c r="C71" s="168" t="n">
        <v>1</v>
      </c>
      <c r="D71" s="168" t="n">
        <v>1</v>
      </c>
      <c r="E71" s="168" t="n">
        <v>1</v>
      </c>
      <c r="F71" s="168" t="n">
        <v>1</v>
      </c>
      <c r="G71" s="168" t="n">
        <v>1</v>
      </c>
      <c r="H71" s="168" t="n">
        <v>1</v>
      </c>
      <c r="I71" s="168" t="n">
        <v>1</v>
      </c>
      <c r="J71" s="168" t="n">
        <v>1</v>
      </c>
      <c r="K71" s="168" t="n">
        <v>1</v>
      </c>
      <c r="L71" s="168" t="n">
        <v>1</v>
      </c>
      <c r="M71" s="168" t="n">
        <v>1</v>
      </c>
      <c r="N71" s="168" t="n">
        <v>1</v>
      </c>
      <c r="O71" s="168" t="n">
        <v>1</v>
      </c>
      <c r="P71" s="168" t="n">
        <v>1.03</v>
      </c>
      <c r="Q71" s="168" t="n">
        <v>1</v>
      </c>
      <c r="R71" s="168" t="n">
        <v>1</v>
      </c>
      <c r="S71" s="168" t="n">
        <v>1.02</v>
      </c>
      <c r="T71" s="168" t="n">
        <v>1</v>
      </c>
      <c r="U71" s="168" t="n">
        <v>1</v>
      </c>
      <c r="V71" s="168" t="n">
        <v>1</v>
      </c>
      <c r="W71" s="168" t="n">
        <v>1</v>
      </c>
      <c r="X71" s="168" t="n">
        <v>1</v>
      </c>
      <c r="Y71" s="168" t="n">
        <v>1.02</v>
      </c>
      <c r="Z71" s="168" t="n">
        <v>1</v>
      </c>
      <c r="AA71" s="168" t="n">
        <v>1</v>
      </c>
      <c r="AB71" s="168" t="n">
        <v>1</v>
      </c>
      <c r="AC71" s="168" t="n">
        <v>1</v>
      </c>
      <c r="AD71" s="168" t="n">
        <v>0.98</v>
      </c>
      <c r="AE71" s="168" t="n">
        <v>0.98</v>
      </c>
      <c r="AF71" s="168" t="n">
        <v>0.98</v>
      </c>
      <c r="AG71" s="168" t="n">
        <v>0.98</v>
      </c>
      <c r="AH71" s="168" t="n">
        <v>1.05</v>
      </c>
      <c r="AI71" s="168" t="n">
        <v>1</v>
      </c>
      <c r="AJ71" s="168" t="n">
        <v>1</v>
      </c>
      <c r="AK71" s="168" t="n">
        <v>1.02</v>
      </c>
      <c r="AL71" s="168" t="n">
        <v>1</v>
      </c>
      <c r="AM71" s="168" t="n">
        <v>1</v>
      </c>
      <c r="AN71" s="168" t="n">
        <v>1</v>
      </c>
      <c r="AO71" s="168" t="n">
        <v>1</v>
      </c>
    </row>
    <row r="72" customFormat="false" ht="12.75" hidden="false" customHeight="false" outlineLevel="0" collapsed="false">
      <c r="A72" s="167" t="n">
        <v>38869</v>
      </c>
      <c r="B72" s="168" t="n">
        <v>1</v>
      </c>
      <c r="C72" s="168" t="n">
        <v>1</v>
      </c>
      <c r="D72" s="168" t="n">
        <v>1</v>
      </c>
      <c r="E72" s="168" t="n">
        <v>1</v>
      </c>
      <c r="F72" s="168" t="n">
        <v>1</v>
      </c>
      <c r="G72" s="168" t="n">
        <v>1</v>
      </c>
      <c r="H72" s="168" t="n">
        <v>1</v>
      </c>
      <c r="I72" s="168" t="n">
        <v>1</v>
      </c>
      <c r="J72" s="168" t="n">
        <v>1</v>
      </c>
      <c r="K72" s="168" t="n">
        <v>1</v>
      </c>
      <c r="L72" s="168" t="n">
        <v>1</v>
      </c>
      <c r="M72" s="168" t="n">
        <v>1</v>
      </c>
      <c r="N72" s="168" t="n">
        <v>1</v>
      </c>
      <c r="O72" s="168" t="n">
        <v>1</v>
      </c>
      <c r="P72" s="168" t="n">
        <v>1.03</v>
      </c>
      <c r="Q72" s="168" t="n">
        <v>1</v>
      </c>
      <c r="R72" s="168" t="n">
        <v>1</v>
      </c>
      <c r="S72" s="168" t="n">
        <v>1.02</v>
      </c>
      <c r="T72" s="168" t="n">
        <v>1</v>
      </c>
      <c r="U72" s="168" t="n">
        <v>1</v>
      </c>
      <c r="V72" s="168" t="n">
        <v>1</v>
      </c>
      <c r="W72" s="168" t="n">
        <v>1</v>
      </c>
      <c r="X72" s="168" t="n">
        <v>1</v>
      </c>
      <c r="Y72" s="168" t="n">
        <v>1.02</v>
      </c>
      <c r="Z72" s="168" t="n">
        <v>1</v>
      </c>
      <c r="AA72" s="168" t="n">
        <v>1</v>
      </c>
      <c r="AB72" s="168" t="n">
        <v>1</v>
      </c>
      <c r="AC72" s="168" t="n">
        <v>1</v>
      </c>
      <c r="AD72" s="168" t="n">
        <v>0.98</v>
      </c>
      <c r="AE72" s="168" t="n">
        <v>0.98</v>
      </c>
      <c r="AF72" s="168" t="n">
        <v>0.98</v>
      </c>
      <c r="AG72" s="168" t="n">
        <v>0.98</v>
      </c>
      <c r="AH72" s="168" t="n">
        <v>1.05</v>
      </c>
      <c r="AI72" s="168" t="n">
        <v>1</v>
      </c>
      <c r="AJ72" s="168" t="n">
        <v>1</v>
      </c>
      <c r="AK72" s="168" t="n">
        <v>1.02</v>
      </c>
      <c r="AL72" s="168" t="n">
        <v>1</v>
      </c>
      <c r="AM72" s="168" t="n">
        <v>1</v>
      </c>
      <c r="AN72" s="168" t="n">
        <v>1</v>
      </c>
      <c r="AO72" s="168" t="n">
        <v>1</v>
      </c>
    </row>
    <row r="73" customFormat="false" ht="12.75" hidden="false" customHeight="false" outlineLevel="0" collapsed="false">
      <c r="A73" s="167" t="n">
        <v>38899</v>
      </c>
      <c r="B73" s="168" t="n">
        <v>1</v>
      </c>
      <c r="C73" s="168" t="n">
        <v>1</v>
      </c>
      <c r="D73" s="168" t="n">
        <v>1</v>
      </c>
      <c r="E73" s="168" t="n">
        <v>1</v>
      </c>
      <c r="F73" s="168" t="n">
        <v>1</v>
      </c>
      <c r="G73" s="168" t="n">
        <v>1</v>
      </c>
      <c r="H73" s="168" t="n">
        <v>1</v>
      </c>
      <c r="I73" s="168" t="n">
        <v>1</v>
      </c>
      <c r="J73" s="168" t="n">
        <v>1</v>
      </c>
      <c r="K73" s="168" t="n">
        <v>1</v>
      </c>
      <c r="L73" s="168" t="n">
        <v>1</v>
      </c>
      <c r="M73" s="168" t="n">
        <v>1</v>
      </c>
      <c r="N73" s="168" t="n">
        <v>1</v>
      </c>
      <c r="O73" s="168" t="n">
        <v>1</v>
      </c>
      <c r="P73" s="168" t="n">
        <v>1.03</v>
      </c>
      <c r="Q73" s="168" t="n">
        <v>1</v>
      </c>
      <c r="R73" s="168" t="n">
        <v>1</v>
      </c>
      <c r="S73" s="168" t="n">
        <v>1.02</v>
      </c>
      <c r="T73" s="168" t="n">
        <v>1</v>
      </c>
      <c r="U73" s="168" t="n">
        <v>1</v>
      </c>
      <c r="V73" s="168" t="n">
        <v>1</v>
      </c>
      <c r="W73" s="168" t="n">
        <v>1</v>
      </c>
      <c r="X73" s="168" t="n">
        <v>1</v>
      </c>
      <c r="Y73" s="168" t="n">
        <v>1.02</v>
      </c>
      <c r="Z73" s="168" t="n">
        <v>1</v>
      </c>
      <c r="AA73" s="168" t="n">
        <v>1</v>
      </c>
      <c r="AB73" s="168" t="n">
        <v>1</v>
      </c>
      <c r="AC73" s="168" t="n">
        <v>1</v>
      </c>
      <c r="AD73" s="168" t="n">
        <v>0.98</v>
      </c>
      <c r="AE73" s="168" t="n">
        <v>0.98</v>
      </c>
      <c r="AF73" s="168" t="n">
        <v>0.98</v>
      </c>
      <c r="AG73" s="168" t="n">
        <v>0.98</v>
      </c>
      <c r="AH73" s="168" t="n">
        <v>1.05</v>
      </c>
      <c r="AI73" s="168" t="n">
        <v>1</v>
      </c>
      <c r="AJ73" s="168" t="n">
        <v>1</v>
      </c>
      <c r="AK73" s="168" t="n">
        <v>1.02</v>
      </c>
      <c r="AL73" s="168" t="n">
        <v>1</v>
      </c>
      <c r="AM73" s="168" t="n">
        <v>1</v>
      </c>
      <c r="AN73" s="168" t="n">
        <v>1</v>
      </c>
      <c r="AO73" s="168" t="n">
        <v>1</v>
      </c>
    </row>
    <row r="74" customFormat="false" ht="12.75" hidden="false" customHeight="false" outlineLevel="0" collapsed="false">
      <c r="A74" s="167" t="n">
        <v>38930</v>
      </c>
      <c r="B74" s="168" t="n">
        <v>1</v>
      </c>
      <c r="C74" s="168" t="n">
        <v>1</v>
      </c>
      <c r="D74" s="168" t="n">
        <v>1</v>
      </c>
      <c r="E74" s="168" t="n">
        <v>1</v>
      </c>
      <c r="F74" s="168" t="n">
        <v>1</v>
      </c>
      <c r="G74" s="168" t="n">
        <v>1</v>
      </c>
      <c r="H74" s="168" t="n">
        <v>1</v>
      </c>
      <c r="I74" s="168" t="n">
        <v>1</v>
      </c>
      <c r="J74" s="168" t="n">
        <v>1</v>
      </c>
      <c r="K74" s="168" t="n">
        <v>1</v>
      </c>
      <c r="L74" s="168" t="n">
        <v>1</v>
      </c>
      <c r="M74" s="168" t="n">
        <v>1</v>
      </c>
      <c r="N74" s="168" t="n">
        <v>1</v>
      </c>
      <c r="O74" s="168" t="n">
        <v>1</v>
      </c>
      <c r="P74" s="168" t="n">
        <v>1.03</v>
      </c>
      <c r="Q74" s="168" t="n">
        <v>1</v>
      </c>
      <c r="R74" s="168" t="n">
        <v>1</v>
      </c>
      <c r="S74" s="168" t="n">
        <v>1.02</v>
      </c>
      <c r="T74" s="168" t="n">
        <v>1</v>
      </c>
      <c r="U74" s="168" t="n">
        <v>1</v>
      </c>
      <c r="V74" s="168" t="n">
        <v>1</v>
      </c>
      <c r="W74" s="168" t="n">
        <v>1</v>
      </c>
      <c r="X74" s="168" t="n">
        <v>1</v>
      </c>
      <c r="Y74" s="168" t="n">
        <v>1.02</v>
      </c>
      <c r="Z74" s="168" t="n">
        <v>1</v>
      </c>
      <c r="AA74" s="168" t="n">
        <v>1</v>
      </c>
      <c r="AB74" s="168" t="n">
        <v>1</v>
      </c>
      <c r="AC74" s="168" t="n">
        <v>1</v>
      </c>
      <c r="AD74" s="168" t="n">
        <v>0.98</v>
      </c>
      <c r="AE74" s="168" t="n">
        <v>0.98</v>
      </c>
      <c r="AF74" s="168" t="n">
        <v>0.98</v>
      </c>
      <c r="AG74" s="168" t="n">
        <v>0.98</v>
      </c>
      <c r="AH74" s="168" t="n">
        <v>1.05</v>
      </c>
      <c r="AI74" s="168" t="n">
        <v>1</v>
      </c>
      <c r="AJ74" s="168" t="n">
        <v>1</v>
      </c>
      <c r="AK74" s="168" t="n">
        <v>1.02</v>
      </c>
      <c r="AL74" s="168" t="n">
        <v>1</v>
      </c>
      <c r="AM74" s="168" t="n">
        <v>1</v>
      </c>
      <c r="AN74" s="168" t="n">
        <v>1</v>
      </c>
      <c r="AO74" s="168" t="n">
        <v>1</v>
      </c>
    </row>
    <row r="75" customFormat="false" ht="12.75" hidden="false" customHeight="false" outlineLevel="0" collapsed="false">
      <c r="A75" s="167" t="n">
        <v>38961</v>
      </c>
      <c r="B75" s="168" t="n">
        <v>1</v>
      </c>
      <c r="C75" s="168" t="n">
        <v>1</v>
      </c>
      <c r="D75" s="168" t="n">
        <v>1</v>
      </c>
      <c r="E75" s="168" t="n">
        <v>1</v>
      </c>
      <c r="F75" s="168" t="n">
        <v>1</v>
      </c>
      <c r="G75" s="168" t="n">
        <v>1</v>
      </c>
      <c r="H75" s="168" t="n">
        <v>1</v>
      </c>
      <c r="I75" s="168" t="n">
        <v>1</v>
      </c>
      <c r="J75" s="168" t="n">
        <v>1</v>
      </c>
      <c r="K75" s="168" t="n">
        <v>1</v>
      </c>
      <c r="L75" s="168" t="n">
        <v>1</v>
      </c>
      <c r="M75" s="168" t="n">
        <v>1</v>
      </c>
      <c r="N75" s="168" t="n">
        <v>1</v>
      </c>
      <c r="O75" s="168" t="n">
        <v>1</v>
      </c>
      <c r="P75" s="168" t="n">
        <v>1.03</v>
      </c>
      <c r="Q75" s="168" t="n">
        <v>1</v>
      </c>
      <c r="R75" s="168" t="n">
        <v>1</v>
      </c>
      <c r="S75" s="168" t="n">
        <v>1.02</v>
      </c>
      <c r="T75" s="168" t="n">
        <v>1</v>
      </c>
      <c r="U75" s="168" t="n">
        <v>1</v>
      </c>
      <c r="V75" s="168" t="n">
        <v>1</v>
      </c>
      <c r="W75" s="168" t="n">
        <v>1</v>
      </c>
      <c r="X75" s="168" t="n">
        <v>1</v>
      </c>
      <c r="Y75" s="168" t="n">
        <v>1.02</v>
      </c>
      <c r="Z75" s="168" t="n">
        <v>1</v>
      </c>
      <c r="AA75" s="168" t="n">
        <v>1</v>
      </c>
      <c r="AB75" s="168" t="n">
        <v>1</v>
      </c>
      <c r="AC75" s="168" t="n">
        <v>1</v>
      </c>
      <c r="AD75" s="168" t="n">
        <v>0.98</v>
      </c>
      <c r="AE75" s="168" t="n">
        <v>0.98</v>
      </c>
      <c r="AF75" s="168" t="n">
        <v>0.98</v>
      </c>
      <c r="AG75" s="168" t="n">
        <v>0.98</v>
      </c>
      <c r="AH75" s="168" t="n">
        <v>1.05</v>
      </c>
      <c r="AI75" s="168" t="n">
        <v>1</v>
      </c>
      <c r="AJ75" s="168" t="n">
        <v>1</v>
      </c>
      <c r="AK75" s="168" t="n">
        <v>1.02</v>
      </c>
      <c r="AL75" s="168" t="n">
        <v>1</v>
      </c>
      <c r="AM75" s="168" t="n">
        <v>1</v>
      </c>
      <c r="AN75" s="168" t="n">
        <v>1</v>
      </c>
      <c r="AO75" s="168" t="n">
        <v>1</v>
      </c>
    </row>
    <row r="76" customFormat="false" ht="12.75" hidden="false" customHeight="false" outlineLevel="0" collapsed="false">
      <c r="A76" s="167" t="n">
        <v>38991</v>
      </c>
      <c r="B76" s="168" t="n">
        <v>1</v>
      </c>
      <c r="C76" s="168" t="n">
        <v>1</v>
      </c>
      <c r="D76" s="168" t="n">
        <v>1</v>
      </c>
      <c r="E76" s="168" t="n">
        <v>1</v>
      </c>
      <c r="F76" s="168" t="n">
        <v>1</v>
      </c>
      <c r="G76" s="168" t="n">
        <v>1</v>
      </c>
      <c r="H76" s="168" t="n">
        <v>1</v>
      </c>
      <c r="I76" s="168" t="n">
        <v>1</v>
      </c>
      <c r="J76" s="168" t="n">
        <v>1</v>
      </c>
      <c r="K76" s="168" t="n">
        <v>1</v>
      </c>
      <c r="L76" s="168" t="n">
        <v>1</v>
      </c>
      <c r="M76" s="168" t="n">
        <v>1</v>
      </c>
      <c r="N76" s="168" t="n">
        <v>1</v>
      </c>
      <c r="O76" s="168" t="n">
        <v>1</v>
      </c>
      <c r="P76" s="168" t="n">
        <v>1.03</v>
      </c>
      <c r="Q76" s="168" t="n">
        <v>1</v>
      </c>
      <c r="R76" s="168" t="n">
        <v>1</v>
      </c>
      <c r="S76" s="168" t="n">
        <v>1.02</v>
      </c>
      <c r="T76" s="168" t="n">
        <v>1</v>
      </c>
      <c r="U76" s="168" t="n">
        <v>1</v>
      </c>
      <c r="V76" s="168" t="n">
        <v>1</v>
      </c>
      <c r="W76" s="168" t="n">
        <v>1</v>
      </c>
      <c r="X76" s="168" t="n">
        <v>1</v>
      </c>
      <c r="Y76" s="168" t="n">
        <v>1.02</v>
      </c>
      <c r="Z76" s="168" t="n">
        <v>1</v>
      </c>
      <c r="AA76" s="168" t="n">
        <v>1</v>
      </c>
      <c r="AB76" s="168" t="n">
        <v>1</v>
      </c>
      <c r="AC76" s="168" t="n">
        <v>1</v>
      </c>
      <c r="AD76" s="168" t="n">
        <v>0.98</v>
      </c>
      <c r="AE76" s="168" t="n">
        <v>0.98</v>
      </c>
      <c r="AF76" s="168" t="n">
        <v>0.98</v>
      </c>
      <c r="AG76" s="168" t="n">
        <v>0.98</v>
      </c>
      <c r="AH76" s="168" t="n">
        <v>1.05</v>
      </c>
      <c r="AI76" s="168" t="n">
        <v>1</v>
      </c>
      <c r="AJ76" s="168" t="n">
        <v>1</v>
      </c>
      <c r="AK76" s="168" t="n">
        <v>1.02</v>
      </c>
      <c r="AL76" s="168" t="n">
        <v>1</v>
      </c>
      <c r="AM76" s="168" t="n">
        <v>1</v>
      </c>
      <c r="AN76" s="168" t="n">
        <v>1</v>
      </c>
      <c r="AO76" s="168" t="n">
        <v>1</v>
      </c>
    </row>
    <row r="77" customFormat="false" ht="12.75" hidden="false" customHeight="false" outlineLevel="0" collapsed="false">
      <c r="A77" s="167" t="n">
        <v>39022</v>
      </c>
      <c r="B77" s="168" t="n">
        <v>1</v>
      </c>
      <c r="C77" s="168" t="n">
        <v>1</v>
      </c>
      <c r="D77" s="168" t="n">
        <v>1</v>
      </c>
      <c r="E77" s="168" t="n">
        <v>1</v>
      </c>
      <c r="F77" s="168" t="n">
        <v>1</v>
      </c>
      <c r="G77" s="168" t="n">
        <v>1</v>
      </c>
      <c r="H77" s="168" t="n">
        <v>1</v>
      </c>
      <c r="I77" s="168" t="n">
        <v>1</v>
      </c>
      <c r="J77" s="168" t="n">
        <v>1</v>
      </c>
      <c r="K77" s="168" t="n">
        <v>1</v>
      </c>
      <c r="L77" s="168" t="n">
        <v>1</v>
      </c>
      <c r="M77" s="168" t="n">
        <v>1</v>
      </c>
      <c r="N77" s="168" t="n">
        <v>1</v>
      </c>
      <c r="O77" s="168" t="n">
        <v>1</v>
      </c>
      <c r="P77" s="168" t="n">
        <v>1.03</v>
      </c>
      <c r="Q77" s="168" t="n">
        <v>1</v>
      </c>
      <c r="R77" s="168" t="n">
        <v>1</v>
      </c>
      <c r="S77" s="168" t="n">
        <v>1.02</v>
      </c>
      <c r="T77" s="168" t="n">
        <v>1</v>
      </c>
      <c r="U77" s="168" t="n">
        <v>1</v>
      </c>
      <c r="V77" s="168" t="n">
        <v>1</v>
      </c>
      <c r="W77" s="168" t="n">
        <v>1</v>
      </c>
      <c r="X77" s="168" t="n">
        <v>1</v>
      </c>
      <c r="Y77" s="168" t="n">
        <v>1</v>
      </c>
      <c r="Z77" s="168" t="n">
        <v>1</v>
      </c>
      <c r="AA77" s="168" t="n">
        <v>1</v>
      </c>
      <c r="AB77" s="168" t="n">
        <v>1</v>
      </c>
      <c r="AC77" s="168" t="n">
        <v>1</v>
      </c>
      <c r="AD77" s="168" t="n">
        <v>1</v>
      </c>
      <c r="AE77" s="168" t="n">
        <v>1</v>
      </c>
      <c r="AF77" s="168" t="n">
        <v>1.1</v>
      </c>
      <c r="AG77" s="168" t="n">
        <v>1.1</v>
      </c>
      <c r="AH77" s="168" t="n">
        <v>1.05</v>
      </c>
      <c r="AI77" s="168" t="n">
        <v>1</v>
      </c>
      <c r="AJ77" s="168" t="n">
        <v>1</v>
      </c>
      <c r="AK77" s="168" t="n">
        <v>1.02</v>
      </c>
      <c r="AL77" s="168" t="n">
        <v>1</v>
      </c>
      <c r="AM77" s="168" t="n">
        <v>1</v>
      </c>
      <c r="AN77" s="168" t="n">
        <v>1</v>
      </c>
      <c r="AO77" s="168" t="n">
        <v>1</v>
      </c>
    </row>
    <row r="78" customFormat="false" ht="12.75" hidden="false" customHeight="false" outlineLevel="0" collapsed="false">
      <c r="A78" s="167" t="n">
        <v>39052</v>
      </c>
      <c r="B78" s="168" t="n">
        <v>1</v>
      </c>
      <c r="C78" s="168" t="n">
        <v>1</v>
      </c>
      <c r="D78" s="168" t="n">
        <v>1</v>
      </c>
      <c r="E78" s="168" t="n">
        <v>1</v>
      </c>
      <c r="F78" s="168" t="n">
        <v>1</v>
      </c>
      <c r="G78" s="168" t="n">
        <v>1</v>
      </c>
      <c r="H78" s="168" t="n">
        <v>1</v>
      </c>
      <c r="I78" s="168" t="n">
        <v>1</v>
      </c>
      <c r="J78" s="168" t="n">
        <v>1</v>
      </c>
      <c r="K78" s="168" t="n">
        <v>1</v>
      </c>
      <c r="L78" s="168" t="n">
        <v>1</v>
      </c>
      <c r="M78" s="168" t="n">
        <v>1</v>
      </c>
      <c r="N78" s="168" t="n">
        <v>1</v>
      </c>
      <c r="O78" s="168" t="n">
        <v>1</v>
      </c>
      <c r="P78" s="168" t="n">
        <v>1.03</v>
      </c>
      <c r="Q78" s="168" t="n">
        <v>1</v>
      </c>
      <c r="R78" s="168" t="n">
        <v>1</v>
      </c>
      <c r="S78" s="168" t="n">
        <v>1.02</v>
      </c>
      <c r="T78" s="168" t="n">
        <v>1</v>
      </c>
      <c r="U78" s="168" t="n">
        <v>1</v>
      </c>
      <c r="V78" s="168" t="n">
        <v>1</v>
      </c>
      <c r="W78" s="168" t="n">
        <v>1</v>
      </c>
      <c r="X78" s="168" t="n">
        <v>1</v>
      </c>
      <c r="Y78" s="168" t="n">
        <v>1</v>
      </c>
      <c r="Z78" s="168" t="n">
        <v>1</v>
      </c>
      <c r="AA78" s="168" t="n">
        <v>1</v>
      </c>
      <c r="AB78" s="168" t="n">
        <v>1</v>
      </c>
      <c r="AC78" s="168" t="n">
        <v>1</v>
      </c>
      <c r="AD78" s="168" t="n">
        <v>1</v>
      </c>
      <c r="AE78" s="168" t="n">
        <v>1</v>
      </c>
      <c r="AF78" s="168" t="n">
        <v>1.1</v>
      </c>
      <c r="AG78" s="168" t="n">
        <v>1.1</v>
      </c>
      <c r="AH78" s="168" t="n">
        <v>1.05</v>
      </c>
      <c r="AI78" s="168" t="n">
        <v>1</v>
      </c>
      <c r="AJ78" s="168" t="n">
        <v>1</v>
      </c>
      <c r="AK78" s="168" t="n">
        <v>1.02</v>
      </c>
      <c r="AL78" s="168" t="n">
        <v>1</v>
      </c>
      <c r="AM78" s="168" t="n">
        <v>1</v>
      </c>
      <c r="AN78" s="168" t="n">
        <v>1</v>
      </c>
      <c r="AO78" s="168" t="n">
        <v>1</v>
      </c>
    </row>
    <row r="79" customFormat="false" ht="12.75" hidden="false" customHeight="false" outlineLevel="0" collapsed="false">
      <c r="A79" s="167" t="n">
        <v>39083</v>
      </c>
      <c r="B79" s="168" t="n">
        <v>1</v>
      </c>
      <c r="C79" s="168" t="n">
        <v>1</v>
      </c>
      <c r="D79" s="168" t="n">
        <v>1</v>
      </c>
      <c r="E79" s="168" t="n">
        <v>1</v>
      </c>
      <c r="F79" s="168" t="n">
        <v>1</v>
      </c>
      <c r="G79" s="168" t="n">
        <v>1</v>
      </c>
      <c r="H79" s="168" t="n">
        <v>1</v>
      </c>
      <c r="I79" s="168" t="n">
        <v>1</v>
      </c>
      <c r="J79" s="168" t="n">
        <v>1</v>
      </c>
      <c r="K79" s="168" t="n">
        <v>1</v>
      </c>
      <c r="L79" s="168" t="n">
        <v>1</v>
      </c>
      <c r="M79" s="168" t="n">
        <v>1</v>
      </c>
      <c r="N79" s="168" t="n">
        <v>1</v>
      </c>
      <c r="O79" s="168" t="n">
        <v>1</v>
      </c>
      <c r="P79" s="168" t="n">
        <v>1.03</v>
      </c>
      <c r="Q79" s="168" t="n">
        <v>1</v>
      </c>
      <c r="R79" s="168" t="n">
        <v>1</v>
      </c>
      <c r="S79" s="168" t="n">
        <v>1.02</v>
      </c>
      <c r="T79" s="168" t="n">
        <v>1</v>
      </c>
      <c r="U79" s="168" t="n">
        <v>1</v>
      </c>
      <c r="V79" s="168" t="n">
        <v>1</v>
      </c>
      <c r="W79" s="168" t="n">
        <v>1</v>
      </c>
      <c r="X79" s="168" t="n">
        <v>1</v>
      </c>
      <c r="Y79" s="168" t="n">
        <v>1</v>
      </c>
      <c r="Z79" s="168" t="n">
        <v>1</v>
      </c>
      <c r="AA79" s="168" t="n">
        <v>1</v>
      </c>
      <c r="AB79" s="168" t="n">
        <v>1</v>
      </c>
      <c r="AC79" s="168" t="n">
        <v>1</v>
      </c>
      <c r="AD79" s="168" t="n">
        <v>1</v>
      </c>
      <c r="AE79" s="168" t="n">
        <v>1</v>
      </c>
      <c r="AF79" s="168" t="n">
        <v>1.1</v>
      </c>
      <c r="AG79" s="168" t="n">
        <v>1.1</v>
      </c>
      <c r="AH79" s="168" t="n">
        <v>1.05</v>
      </c>
      <c r="AI79" s="168" t="n">
        <v>1</v>
      </c>
      <c r="AJ79" s="168" t="n">
        <v>1</v>
      </c>
      <c r="AK79" s="168" t="n">
        <v>1.02</v>
      </c>
      <c r="AL79" s="168" t="n">
        <v>1</v>
      </c>
      <c r="AM79" s="168" t="n">
        <v>1</v>
      </c>
      <c r="AN79" s="168" t="n">
        <v>1</v>
      </c>
      <c r="AO79" s="168" t="n">
        <v>1</v>
      </c>
    </row>
    <row r="80" customFormat="false" ht="12.75" hidden="false" customHeight="false" outlineLevel="0" collapsed="false">
      <c r="A80" s="167" t="n">
        <v>39114</v>
      </c>
      <c r="B80" s="168" t="n">
        <v>1</v>
      </c>
      <c r="C80" s="168" t="n">
        <v>1</v>
      </c>
      <c r="D80" s="168" t="n">
        <v>1</v>
      </c>
      <c r="E80" s="168" t="n">
        <v>1</v>
      </c>
      <c r="F80" s="168" t="n">
        <v>1</v>
      </c>
      <c r="G80" s="168" t="n">
        <v>1</v>
      </c>
      <c r="H80" s="168" t="n">
        <v>1</v>
      </c>
      <c r="I80" s="168" t="n">
        <v>1</v>
      </c>
      <c r="J80" s="168" t="n">
        <v>1</v>
      </c>
      <c r="K80" s="168" t="n">
        <v>1</v>
      </c>
      <c r="L80" s="168" t="n">
        <v>1</v>
      </c>
      <c r="M80" s="168" t="n">
        <v>1</v>
      </c>
      <c r="N80" s="168" t="n">
        <v>1</v>
      </c>
      <c r="O80" s="168" t="n">
        <v>1</v>
      </c>
      <c r="P80" s="168" t="n">
        <v>1.03</v>
      </c>
      <c r="Q80" s="168" t="n">
        <v>1</v>
      </c>
      <c r="R80" s="168" t="n">
        <v>1</v>
      </c>
      <c r="S80" s="168" t="n">
        <v>1.02</v>
      </c>
      <c r="T80" s="168" t="n">
        <v>1</v>
      </c>
      <c r="U80" s="168" t="n">
        <v>1</v>
      </c>
      <c r="V80" s="168" t="n">
        <v>1</v>
      </c>
      <c r="W80" s="168" t="n">
        <v>1</v>
      </c>
      <c r="X80" s="168" t="n">
        <v>1</v>
      </c>
      <c r="Y80" s="168" t="n">
        <v>1</v>
      </c>
      <c r="Z80" s="168" t="n">
        <v>1</v>
      </c>
      <c r="AA80" s="168" t="n">
        <v>1</v>
      </c>
      <c r="AB80" s="168" t="n">
        <v>1</v>
      </c>
      <c r="AC80" s="168" t="n">
        <v>1</v>
      </c>
      <c r="AD80" s="168" t="n">
        <v>1</v>
      </c>
      <c r="AE80" s="168" t="n">
        <v>1</v>
      </c>
      <c r="AF80" s="168" t="n">
        <v>1.1</v>
      </c>
      <c r="AG80" s="168" t="n">
        <v>1.1</v>
      </c>
      <c r="AH80" s="168" t="n">
        <v>1.05</v>
      </c>
      <c r="AI80" s="168" t="n">
        <v>1</v>
      </c>
      <c r="AJ80" s="168" t="n">
        <v>1</v>
      </c>
      <c r="AK80" s="168" t="n">
        <v>1.02</v>
      </c>
      <c r="AL80" s="168" t="n">
        <v>1</v>
      </c>
      <c r="AM80" s="168" t="n">
        <v>1</v>
      </c>
      <c r="AN80" s="168" t="n">
        <v>1</v>
      </c>
      <c r="AO80" s="168" t="n">
        <v>1</v>
      </c>
    </row>
    <row r="81" customFormat="false" ht="12.75" hidden="false" customHeight="false" outlineLevel="0" collapsed="false">
      <c r="A81" s="167" t="n">
        <v>39142</v>
      </c>
      <c r="B81" s="168" t="n">
        <v>1</v>
      </c>
      <c r="C81" s="168" t="n">
        <v>1</v>
      </c>
      <c r="D81" s="168" t="n">
        <v>1</v>
      </c>
      <c r="E81" s="168" t="n">
        <v>1</v>
      </c>
      <c r="F81" s="168" t="n">
        <v>1</v>
      </c>
      <c r="G81" s="168" t="n">
        <v>1</v>
      </c>
      <c r="H81" s="168" t="n">
        <v>1</v>
      </c>
      <c r="I81" s="168" t="n">
        <v>1</v>
      </c>
      <c r="J81" s="168" t="n">
        <v>1</v>
      </c>
      <c r="K81" s="168" t="n">
        <v>1</v>
      </c>
      <c r="L81" s="168" t="n">
        <v>1</v>
      </c>
      <c r="M81" s="168" t="n">
        <v>1</v>
      </c>
      <c r="N81" s="168" t="n">
        <v>1</v>
      </c>
      <c r="O81" s="168" t="n">
        <v>1</v>
      </c>
      <c r="P81" s="168" t="n">
        <v>1.03</v>
      </c>
      <c r="Q81" s="168" t="n">
        <v>1</v>
      </c>
      <c r="R81" s="168" t="n">
        <v>1</v>
      </c>
      <c r="S81" s="168" t="n">
        <v>1.02</v>
      </c>
      <c r="T81" s="168" t="n">
        <v>1</v>
      </c>
      <c r="U81" s="168" t="n">
        <v>1</v>
      </c>
      <c r="V81" s="168" t="n">
        <v>1</v>
      </c>
      <c r="W81" s="168" t="n">
        <v>1</v>
      </c>
      <c r="X81" s="168" t="n">
        <v>1</v>
      </c>
      <c r="Y81" s="168" t="n">
        <v>1</v>
      </c>
      <c r="Z81" s="168" t="n">
        <v>1</v>
      </c>
      <c r="AA81" s="168" t="n">
        <v>1</v>
      </c>
      <c r="AB81" s="168" t="n">
        <v>1</v>
      </c>
      <c r="AC81" s="168" t="n">
        <v>1</v>
      </c>
      <c r="AD81" s="168" t="n">
        <v>1</v>
      </c>
      <c r="AE81" s="168" t="n">
        <v>1</v>
      </c>
      <c r="AF81" s="168" t="n">
        <v>1.1</v>
      </c>
      <c r="AG81" s="168" t="n">
        <v>1.1</v>
      </c>
      <c r="AH81" s="168" t="n">
        <v>1.05</v>
      </c>
      <c r="AI81" s="168" t="n">
        <v>1</v>
      </c>
      <c r="AJ81" s="168" t="n">
        <v>1</v>
      </c>
      <c r="AK81" s="168" t="n">
        <v>1.02</v>
      </c>
      <c r="AL81" s="168" t="n">
        <v>1</v>
      </c>
      <c r="AM81" s="168" t="n">
        <v>1</v>
      </c>
      <c r="AN81" s="168" t="n">
        <v>1</v>
      </c>
      <c r="AO81" s="168" t="n">
        <v>1</v>
      </c>
    </row>
    <row r="82" customFormat="false" ht="12.75" hidden="false" customHeight="false" outlineLevel="0" collapsed="false">
      <c r="A82" s="167" t="n">
        <v>39173</v>
      </c>
      <c r="B82" s="168" t="n">
        <v>1</v>
      </c>
      <c r="C82" s="168" t="n">
        <v>1</v>
      </c>
      <c r="D82" s="168" t="n">
        <v>1</v>
      </c>
      <c r="E82" s="168" t="n">
        <v>1</v>
      </c>
      <c r="F82" s="168" t="n">
        <v>1</v>
      </c>
      <c r="G82" s="168" t="n">
        <v>1</v>
      </c>
      <c r="H82" s="168" t="n">
        <v>1</v>
      </c>
      <c r="I82" s="168" t="n">
        <v>1</v>
      </c>
      <c r="J82" s="168" t="n">
        <v>1</v>
      </c>
      <c r="K82" s="168" t="n">
        <v>1</v>
      </c>
      <c r="L82" s="168" t="n">
        <v>1</v>
      </c>
      <c r="M82" s="168" t="n">
        <v>1</v>
      </c>
      <c r="N82" s="168" t="n">
        <v>1</v>
      </c>
      <c r="O82" s="168" t="n">
        <v>1</v>
      </c>
      <c r="P82" s="168" t="n">
        <v>1.03</v>
      </c>
      <c r="Q82" s="168" t="n">
        <v>1</v>
      </c>
      <c r="R82" s="168" t="n">
        <v>1</v>
      </c>
      <c r="S82" s="168" t="n">
        <v>1.02</v>
      </c>
      <c r="T82" s="168" t="n">
        <v>1</v>
      </c>
      <c r="U82" s="168" t="n">
        <v>1</v>
      </c>
      <c r="V82" s="168" t="n">
        <v>1</v>
      </c>
      <c r="W82" s="168" t="n">
        <v>1</v>
      </c>
      <c r="X82" s="168" t="n">
        <v>1</v>
      </c>
      <c r="Y82" s="168" t="n">
        <v>1.02</v>
      </c>
      <c r="Z82" s="168" t="n">
        <v>1</v>
      </c>
      <c r="AA82" s="168" t="n">
        <v>1</v>
      </c>
      <c r="AB82" s="168" t="n">
        <v>1</v>
      </c>
      <c r="AC82" s="168" t="n">
        <v>1</v>
      </c>
      <c r="AD82" s="168" t="n">
        <v>0.98</v>
      </c>
      <c r="AE82" s="168" t="n">
        <v>0.98</v>
      </c>
      <c r="AF82" s="168" t="n">
        <v>0.98</v>
      </c>
      <c r="AG82" s="168" t="n">
        <v>0.98</v>
      </c>
      <c r="AH82" s="168" t="n">
        <v>1.05</v>
      </c>
      <c r="AI82" s="168" t="n">
        <v>1</v>
      </c>
      <c r="AJ82" s="168" t="n">
        <v>1</v>
      </c>
      <c r="AK82" s="168" t="n">
        <v>1.02</v>
      </c>
      <c r="AL82" s="168" t="n">
        <v>1</v>
      </c>
      <c r="AM82" s="168" t="n">
        <v>1</v>
      </c>
      <c r="AN82" s="168" t="n">
        <v>1</v>
      </c>
      <c r="AO82" s="168" t="n">
        <v>1</v>
      </c>
    </row>
    <row r="83" customFormat="false" ht="12.75" hidden="false" customHeight="false" outlineLevel="0" collapsed="false">
      <c r="A83" s="167" t="n">
        <v>39203</v>
      </c>
      <c r="B83" s="168" t="n">
        <v>1</v>
      </c>
      <c r="C83" s="168" t="n">
        <v>1</v>
      </c>
      <c r="D83" s="168" t="n">
        <v>1</v>
      </c>
      <c r="E83" s="168" t="n">
        <v>1</v>
      </c>
      <c r="F83" s="168" t="n">
        <v>1</v>
      </c>
      <c r="G83" s="168" t="n">
        <v>1</v>
      </c>
      <c r="H83" s="168" t="n">
        <v>1</v>
      </c>
      <c r="I83" s="168" t="n">
        <v>1</v>
      </c>
      <c r="J83" s="168" t="n">
        <v>1</v>
      </c>
      <c r="K83" s="168" t="n">
        <v>1</v>
      </c>
      <c r="L83" s="168" t="n">
        <v>1</v>
      </c>
      <c r="M83" s="168" t="n">
        <v>1</v>
      </c>
      <c r="N83" s="168" t="n">
        <v>1</v>
      </c>
      <c r="O83" s="168" t="n">
        <v>1</v>
      </c>
      <c r="P83" s="168" t="n">
        <v>1.03</v>
      </c>
      <c r="Q83" s="168" t="n">
        <v>1</v>
      </c>
      <c r="R83" s="168" t="n">
        <v>1</v>
      </c>
      <c r="S83" s="168" t="n">
        <v>1.02</v>
      </c>
      <c r="T83" s="168" t="n">
        <v>1</v>
      </c>
      <c r="U83" s="168" t="n">
        <v>1</v>
      </c>
      <c r="V83" s="168" t="n">
        <v>1</v>
      </c>
      <c r="W83" s="168" t="n">
        <v>1</v>
      </c>
      <c r="X83" s="168" t="n">
        <v>1</v>
      </c>
      <c r="Y83" s="168" t="n">
        <v>1.02</v>
      </c>
      <c r="Z83" s="168" t="n">
        <v>1</v>
      </c>
      <c r="AA83" s="168" t="n">
        <v>1</v>
      </c>
      <c r="AB83" s="168" t="n">
        <v>1</v>
      </c>
      <c r="AC83" s="168" t="n">
        <v>1</v>
      </c>
      <c r="AD83" s="168" t="n">
        <v>0.98</v>
      </c>
      <c r="AE83" s="168" t="n">
        <v>0.98</v>
      </c>
      <c r="AF83" s="168" t="n">
        <v>0.98</v>
      </c>
      <c r="AG83" s="168" t="n">
        <v>0.98</v>
      </c>
      <c r="AH83" s="168" t="n">
        <v>1.05</v>
      </c>
      <c r="AI83" s="168" t="n">
        <v>1</v>
      </c>
      <c r="AJ83" s="168" t="n">
        <v>1</v>
      </c>
      <c r="AK83" s="168" t="n">
        <v>1.02</v>
      </c>
      <c r="AL83" s="168" t="n">
        <v>1</v>
      </c>
      <c r="AM83" s="168" t="n">
        <v>1</v>
      </c>
      <c r="AN83" s="168" t="n">
        <v>1</v>
      </c>
      <c r="AO83" s="168" t="n">
        <v>1</v>
      </c>
    </row>
    <row r="84" customFormat="false" ht="12.75" hidden="false" customHeight="false" outlineLevel="0" collapsed="false">
      <c r="A84" s="167" t="n">
        <v>39234</v>
      </c>
      <c r="B84" s="168" t="n">
        <v>1</v>
      </c>
      <c r="C84" s="168" t="n">
        <v>1</v>
      </c>
      <c r="D84" s="168" t="n">
        <v>1</v>
      </c>
      <c r="E84" s="168" t="n">
        <v>1</v>
      </c>
      <c r="F84" s="168" t="n">
        <v>1</v>
      </c>
      <c r="G84" s="168" t="n">
        <v>1</v>
      </c>
      <c r="H84" s="168" t="n">
        <v>1</v>
      </c>
      <c r="I84" s="168" t="n">
        <v>1</v>
      </c>
      <c r="J84" s="168" t="n">
        <v>1</v>
      </c>
      <c r="K84" s="168" t="n">
        <v>1</v>
      </c>
      <c r="L84" s="168" t="n">
        <v>1</v>
      </c>
      <c r="M84" s="168" t="n">
        <v>1</v>
      </c>
      <c r="N84" s="168" t="n">
        <v>1</v>
      </c>
      <c r="O84" s="168" t="n">
        <v>1</v>
      </c>
      <c r="P84" s="168" t="n">
        <v>1.03</v>
      </c>
      <c r="Q84" s="168" t="n">
        <v>1</v>
      </c>
      <c r="R84" s="168" t="n">
        <v>1</v>
      </c>
      <c r="S84" s="168" t="n">
        <v>1.02</v>
      </c>
      <c r="T84" s="168" t="n">
        <v>1</v>
      </c>
      <c r="U84" s="168" t="n">
        <v>1</v>
      </c>
      <c r="V84" s="168" t="n">
        <v>1</v>
      </c>
      <c r="W84" s="168" t="n">
        <v>1</v>
      </c>
      <c r="X84" s="168" t="n">
        <v>1</v>
      </c>
      <c r="Y84" s="168" t="n">
        <v>1.02</v>
      </c>
      <c r="Z84" s="168" t="n">
        <v>1</v>
      </c>
      <c r="AA84" s="168" t="n">
        <v>1</v>
      </c>
      <c r="AB84" s="168" t="n">
        <v>1</v>
      </c>
      <c r="AC84" s="168" t="n">
        <v>1</v>
      </c>
      <c r="AD84" s="168" t="n">
        <v>0.98</v>
      </c>
      <c r="AE84" s="168" t="n">
        <v>0.98</v>
      </c>
      <c r="AF84" s="168" t="n">
        <v>0.98</v>
      </c>
      <c r="AG84" s="168" t="n">
        <v>0.98</v>
      </c>
      <c r="AH84" s="168" t="n">
        <v>1.05</v>
      </c>
      <c r="AI84" s="168" t="n">
        <v>1</v>
      </c>
      <c r="AJ84" s="168" t="n">
        <v>1</v>
      </c>
      <c r="AK84" s="168" t="n">
        <v>1.02</v>
      </c>
      <c r="AL84" s="168" t="n">
        <v>1</v>
      </c>
      <c r="AM84" s="168" t="n">
        <v>1</v>
      </c>
      <c r="AN84" s="168" t="n">
        <v>1</v>
      </c>
      <c r="AO84" s="168" t="n">
        <v>1</v>
      </c>
    </row>
    <row r="85" customFormat="false" ht="12.75" hidden="false" customHeight="false" outlineLevel="0" collapsed="false">
      <c r="A85" s="167" t="n">
        <v>39264</v>
      </c>
      <c r="B85" s="168" t="n">
        <v>1</v>
      </c>
      <c r="C85" s="168" t="n">
        <v>1</v>
      </c>
      <c r="D85" s="168" t="n">
        <v>1</v>
      </c>
      <c r="E85" s="168" t="n">
        <v>1</v>
      </c>
      <c r="F85" s="168" t="n">
        <v>1</v>
      </c>
      <c r="G85" s="168" t="n">
        <v>1</v>
      </c>
      <c r="H85" s="168" t="n">
        <v>1</v>
      </c>
      <c r="I85" s="168" t="n">
        <v>1</v>
      </c>
      <c r="J85" s="168" t="n">
        <v>1</v>
      </c>
      <c r="K85" s="168" t="n">
        <v>1</v>
      </c>
      <c r="L85" s="168" t="n">
        <v>1</v>
      </c>
      <c r="M85" s="168" t="n">
        <v>1</v>
      </c>
      <c r="N85" s="168" t="n">
        <v>1</v>
      </c>
      <c r="O85" s="168" t="n">
        <v>1</v>
      </c>
      <c r="P85" s="168" t="n">
        <v>1.03</v>
      </c>
      <c r="Q85" s="168" t="n">
        <v>1</v>
      </c>
      <c r="R85" s="168" t="n">
        <v>1</v>
      </c>
      <c r="S85" s="168" t="n">
        <v>1.02</v>
      </c>
      <c r="T85" s="168" t="n">
        <v>1</v>
      </c>
      <c r="U85" s="168" t="n">
        <v>1</v>
      </c>
      <c r="V85" s="168" t="n">
        <v>1</v>
      </c>
      <c r="W85" s="168" t="n">
        <v>1</v>
      </c>
      <c r="X85" s="168" t="n">
        <v>1</v>
      </c>
      <c r="Y85" s="168" t="n">
        <v>1.02</v>
      </c>
      <c r="Z85" s="168" t="n">
        <v>1</v>
      </c>
      <c r="AA85" s="168" t="n">
        <v>1</v>
      </c>
      <c r="AB85" s="168" t="n">
        <v>1</v>
      </c>
      <c r="AC85" s="168" t="n">
        <v>1</v>
      </c>
      <c r="AD85" s="168" t="n">
        <v>0.98</v>
      </c>
      <c r="AE85" s="168" t="n">
        <v>0.98</v>
      </c>
      <c r="AF85" s="168" t="n">
        <v>0.98</v>
      </c>
      <c r="AG85" s="168" t="n">
        <v>0.98</v>
      </c>
      <c r="AH85" s="168" t="n">
        <v>1.05</v>
      </c>
      <c r="AI85" s="168" t="n">
        <v>1</v>
      </c>
      <c r="AJ85" s="168" t="n">
        <v>1</v>
      </c>
      <c r="AK85" s="168" t="n">
        <v>1.02</v>
      </c>
      <c r="AL85" s="168" t="n">
        <v>1</v>
      </c>
      <c r="AM85" s="168" t="n">
        <v>1</v>
      </c>
      <c r="AN85" s="168" t="n">
        <v>1</v>
      </c>
      <c r="AO85" s="168" t="n">
        <v>1</v>
      </c>
    </row>
    <row r="86" customFormat="false" ht="12.75" hidden="false" customHeight="false" outlineLevel="0" collapsed="false">
      <c r="A86" s="167" t="n">
        <v>39295</v>
      </c>
      <c r="B86" s="168" t="n">
        <v>1</v>
      </c>
      <c r="C86" s="168" t="n">
        <v>1</v>
      </c>
      <c r="D86" s="168" t="n">
        <v>1</v>
      </c>
      <c r="E86" s="168" t="n">
        <v>1</v>
      </c>
      <c r="F86" s="168" t="n">
        <v>1</v>
      </c>
      <c r="G86" s="168" t="n">
        <v>1</v>
      </c>
      <c r="H86" s="168" t="n">
        <v>1</v>
      </c>
      <c r="I86" s="168" t="n">
        <v>1</v>
      </c>
      <c r="J86" s="168" t="n">
        <v>1</v>
      </c>
      <c r="K86" s="168" t="n">
        <v>1</v>
      </c>
      <c r="L86" s="168" t="n">
        <v>1</v>
      </c>
      <c r="M86" s="168" t="n">
        <v>1</v>
      </c>
      <c r="N86" s="168" t="n">
        <v>1</v>
      </c>
      <c r="O86" s="168" t="n">
        <v>1</v>
      </c>
      <c r="P86" s="168" t="n">
        <v>1.03</v>
      </c>
      <c r="Q86" s="168" t="n">
        <v>1</v>
      </c>
      <c r="R86" s="168" t="n">
        <v>1</v>
      </c>
      <c r="S86" s="168" t="n">
        <v>1.02</v>
      </c>
      <c r="T86" s="168" t="n">
        <v>1</v>
      </c>
      <c r="U86" s="168" t="n">
        <v>1</v>
      </c>
      <c r="V86" s="168" t="n">
        <v>1</v>
      </c>
      <c r="W86" s="168" t="n">
        <v>1</v>
      </c>
      <c r="X86" s="168" t="n">
        <v>1</v>
      </c>
      <c r="Y86" s="168" t="n">
        <v>1.02</v>
      </c>
      <c r="Z86" s="168" t="n">
        <v>1</v>
      </c>
      <c r="AA86" s="168" t="n">
        <v>1</v>
      </c>
      <c r="AB86" s="168" t="n">
        <v>1</v>
      </c>
      <c r="AC86" s="168" t="n">
        <v>1</v>
      </c>
      <c r="AD86" s="168" t="n">
        <v>0.98</v>
      </c>
      <c r="AE86" s="168" t="n">
        <v>0.98</v>
      </c>
      <c r="AF86" s="168" t="n">
        <v>0.98</v>
      </c>
      <c r="AG86" s="168" t="n">
        <v>0.98</v>
      </c>
      <c r="AH86" s="168" t="n">
        <v>1.05</v>
      </c>
      <c r="AI86" s="168" t="n">
        <v>1</v>
      </c>
      <c r="AJ86" s="168" t="n">
        <v>1</v>
      </c>
      <c r="AK86" s="168" t="n">
        <v>1.02</v>
      </c>
      <c r="AL86" s="168" t="n">
        <v>1</v>
      </c>
      <c r="AM86" s="168" t="n">
        <v>1</v>
      </c>
      <c r="AN86" s="168" t="n">
        <v>1</v>
      </c>
      <c r="AO86" s="168" t="n">
        <v>1</v>
      </c>
    </row>
    <row r="87" customFormat="false" ht="12.75" hidden="false" customHeight="false" outlineLevel="0" collapsed="false">
      <c r="A87" s="167" t="n">
        <v>39326</v>
      </c>
      <c r="B87" s="168" t="n">
        <v>1</v>
      </c>
      <c r="C87" s="168" t="n">
        <v>1</v>
      </c>
      <c r="D87" s="168" t="n">
        <v>1</v>
      </c>
      <c r="E87" s="168" t="n">
        <v>1</v>
      </c>
      <c r="F87" s="168" t="n">
        <v>1</v>
      </c>
      <c r="G87" s="168" t="n">
        <v>1</v>
      </c>
      <c r="H87" s="168" t="n">
        <v>1</v>
      </c>
      <c r="I87" s="168" t="n">
        <v>1</v>
      </c>
      <c r="J87" s="168" t="n">
        <v>1</v>
      </c>
      <c r="K87" s="168" t="n">
        <v>1</v>
      </c>
      <c r="L87" s="168" t="n">
        <v>1</v>
      </c>
      <c r="M87" s="168" t="n">
        <v>1</v>
      </c>
      <c r="N87" s="168" t="n">
        <v>1</v>
      </c>
      <c r="O87" s="168" t="n">
        <v>1</v>
      </c>
      <c r="P87" s="168" t="n">
        <v>1.03</v>
      </c>
      <c r="Q87" s="168" t="n">
        <v>1</v>
      </c>
      <c r="R87" s="168" t="n">
        <v>1</v>
      </c>
      <c r="S87" s="168" t="n">
        <v>1.02</v>
      </c>
      <c r="T87" s="168" t="n">
        <v>1</v>
      </c>
      <c r="U87" s="168" t="n">
        <v>1</v>
      </c>
      <c r="V87" s="168" t="n">
        <v>1</v>
      </c>
      <c r="W87" s="168" t="n">
        <v>1</v>
      </c>
      <c r="X87" s="168" t="n">
        <v>1</v>
      </c>
      <c r="Y87" s="168" t="n">
        <v>1.02</v>
      </c>
      <c r="Z87" s="168" t="n">
        <v>1</v>
      </c>
      <c r="AA87" s="168" t="n">
        <v>1</v>
      </c>
      <c r="AB87" s="168" t="n">
        <v>1</v>
      </c>
      <c r="AC87" s="168" t="n">
        <v>1</v>
      </c>
      <c r="AD87" s="168" t="n">
        <v>0.98</v>
      </c>
      <c r="AE87" s="168" t="n">
        <v>0.98</v>
      </c>
      <c r="AF87" s="168" t="n">
        <v>0.98</v>
      </c>
      <c r="AG87" s="168" t="n">
        <v>0.98</v>
      </c>
      <c r="AH87" s="168" t="n">
        <v>1.05</v>
      </c>
      <c r="AI87" s="168" t="n">
        <v>1</v>
      </c>
      <c r="AJ87" s="168" t="n">
        <v>1</v>
      </c>
      <c r="AK87" s="168" t="n">
        <v>1.02</v>
      </c>
      <c r="AL87" s="168" t="n">
        <v>1</v>
      </c>
      <c r="AM87" s="168" t="n">
        <v>1</v>
      </c>
      <c r="AN87" s="168" t="n">
        <v>1</v>
      </c>
      <c r="AO87" s="168" t="n">
        <v>1</v>
      </c>
    </row>
    <row r="88" customFormat="false" ht="12.75" hidden="false" customHeight="false" outlineLevel="0" collapsed="false">
      <c r="A88" s="167" t="n">
        <v>39356</v>
      </c>
      <c r="B88" s="168" t="n">
        <v>1</v>
      </c>
      <c r="C88" s="168" t="n">
        <v>1</v>
      </c>
      <c r="D88" s="168" t="n">
        <v>1</v>
      </c>
      <c r="E88" s="168" t="n">
        <v>1</v>
      </c>
      <c r="F88" s="168" t="n">
        <v>1</v>
      </c>
      <c r="G88" s="168" t="n">
        <v>1</v>
      </c>
      <c r="H88" s="168" t="n">
        <v>1</v>
      </c>
      <c r="I88" s="168" t="n">
        <v>1</v>
      </c>
      <c r="J88" s="168" t="n">
        <v>1</v>
      </c>
      <c r="K88" s="168" t="n">
        <v>1</v>
      </c>
      <c r="L88" s="168" t="n">
        <v>1</v>
      </c>
      <c r="M88" s="168" t="n">
        <v>1</v>
      </c>
      <c r="N88" s="168" t="n">
        <v>1</v>
      </c>
      <c r="O88" s="168" t="n">
        <v>1</v>
      </c>
      <c r="P88" s="168" t="n">
        <v>1.03</v>
      </c>
      <c r="Q88" s="168" t="n">
        <v>1</v>
      </c>
      <c r="R88" s="168" t="n">
        <v>1</v>
      </c>
      <c r="S88" s="168" t="n">
        <v>1.02</v>
      </c>
      <c r="T88" s="168" t="n">
        <v>1</v>
      </c>
      <c r="U88" s="168" t="n">
        <v>1</v>
      </c>
      <c r="V88" s="168" t="n">
        <v>1</v>
      </c>
      <c r="W88" s="168" t="n">
        <v>1</v>
      </c>
      <c r="X88" s="168" t="n">
        <v>1</v>
      </c>
      <c r="Y88" s="168" t="n">
        <v>1.02</v>
      </c>
      <c r="Z88" s="168" t="n">
        <v>1</v>
      </c>
      <c r="AA88" s="168" t="n">
        <v>1</v>
      </c>
      <c r="AB88" s="168" t="n">
        <v>1</v>
      </c>
      <c r="AC88" s="168" t="n">
        <v>1</v>
      </c>
      <c r="AD88" s="168" t="n">
        <v>0.98</v>
      </c>
      <c r="AE88" s="168" t="n">
        <v>0.98</v>
      </c>
      <c r="AF88" s="168" t="n">
        <v>0.98</v>
      </c>
      <c r="AG88" s="168" t="n">
        <v>0.98</v>
      </c>
      <c r="AH88" s="168" t="n">
        <v>1.05</v>
      </c>
      <c r="AI88" s="168" t="n">
        <v>1</v>
      </c>
      <c r="AJ88" s="168" t="n">
        <v>1</v>
      </c>
      <c r="AK88" s="168" t="n">
        <v>1.02</v>
      </c>
      <c r="AL88" s="168" t="n">
        <v>1</v>
      </c>
      <c r="AM88" s="168" t="n">
        <v>1</v>
      </c>
      <c r="AN88" s="168" t="n">
        <v>1</v>
      </c>
      <c r="AO88" s="168" t="n">
        <v>1</v>
      </c>
    </row>
    <row r="89" customFormat="false" ht="12.75" hidden="false" customHeight="false" outlineLevel="0" collapsed="false">
      <c r="A89" s="167" t="n">
        <v>39387</v>
      </c>
      <c r="B89" s="168" t="n">
        <v>1</v>
      </c>
      <c r="C89" s="168" t="n">
        <v>1</v>
      </c>
      <c r="D89" s="168" t="n">
        <v>1</v>
      </c>
      <c r="E89" s="168" t="n">
        <v>1</v>
      </c>
      <c r="F89" s="168" t="n">
        <v>1</v>
      </c>
      <c r="G89" s="168" t="n">
        <v>1</v>
      </c>
      <c r="H89" s="168" t="n">
        <v>1</v>
      </c>
      <c r="I89" s="168" t="n">
        <v>1</v>
      </c>
      <c r="J89" s="168" t="n">
        <v>1</v>
      </c>
      <c r="K89" s="168" t="n">
        <v>1</v>
      </c>
      <c r="L89" s="168" t="n">
        <v>1</v>
      </c>
      <c r="M89" s="168" t="n">
        <v>1</v>
      </c>
      <c r="N89" s="168" t="n">
        <v>1</v>
      </c>
      <c r="O89" s="168" t="n">
        <v>1</v>
      </c>
      <c r="P89" s="168" t="n">
        <v>1.03</v>
      </c>
      <c r="Q89" s="168" t="n">
        <v>1</v>
      </c>
      <c r="R89" s="168" t="n">
        <v>1</v>
      </c>
      <c r="S89" s="168" t="n">
        <v>1.02</v>
      </c>
      <c r="T89" s="168" t="n">
        <v>1</v>
      </c>
      <c r="U89" s="168" t="n">
        <v>1</v>
      </c>
      <c r="V89" s="168" t="n">
        <v>1</v>
      </c>
      <c r="W89" s="168" t="n">
        <v>1</v>
      </c>
      <c r="X89" s="168" t="n">
        <v>1</v>
      </c>
      <c r="Y89" s="168" t="n">
        <v>1</v>
      </c>
      <c r="Z89" s="168" t="n">
        <v>1</v>
      </c>
      <c r="AA89" s="168" t="n">
        <v>1</v>
      </c>
      <c r="AB89" s="168" t="n">
        <v>1</v>
      </c>
      <c r="AC89" s="168" t="n">
        <v>1</v>
      </c>
      <c r="AD89" s="168" t="n">
        <v>1</v>
      </c>
      <c r="AE89" s="168" t="n">
        <v>1</v>
      </c>
      <c r="AF89" s="168" t="n">
        <v>1.1</v>
      </c>
      <c r="AG89" s="168" t="n">
        <v>1.1</v>
      </c>
      <c r="AH89" s="168" t="n">
        <v>1.05</v>
      </c>
      <c r="AI89" s="168" t="n">
        <v>1</v>
      </c>
      <c r="AJ89" s="168" t="n">
        <v>1</v>
      </c>
      <c r="AK89" s="168" t="n">
        <v>1.02</v>
      </c>
      <c r="AL89" s="168" t="n">
        <v>1</v>
      </c>
      <c r="AM89" s="168" t="n">
        <v>1</v>
      </c>
      <c r="AN89" s="168" t="n">
        <v>1</v>
      </c>
      <c r="AO89" s="168" t="n">
        <v>1</v>
      </c>
    </row>
    <row r="90" customFormat="false" ht="12.75" hidden="false" customHeight="false" outlineLevel="0" collapsed="false">
      <c r="A90" s="167" t="n">
        <v>39417</v>
      </c>
      <c r="B90" s="168" t="n">
        <v>1</v>
      </c>
      <c r="C90" s="168" t="n">
        <v>1</v>
      </c>
      <c r="D90" s="168" t="n">
        <v>1</v>
      </c>
      <c r="E90" s="168" t="n">
        <v>1</v>
      </c>
      <c r="F90" s="168" t="n">
        <v>1</v>
      </c>
      <c r="G90" s="168" t="n">
        <v>1</v>
      </c>
      <c r="H90" s="168" t="n">
        <v>1</v>
      </c>
      <c r="I90" s="168" t="n">
        <v>1</v>
      </c>
      <c r="J90" s="168" t="n">
        <v>1</v>
      </c>
      <c r="K90" s="168" t="n">
        <v>1</v>
      </c>
      <c r="L90" s="168" t="n">
        <v>1</v>
      </c>
      <c r="M90" s="168" t="n">
        <v>1</v>
      </c>
      <c r="N90" s="168" t="n">
        <v>1</v>
      </c>
      <c r="O90" s="168" t="n">
        <v>1</v>
      </c>
      <c r="P90" s="168" t="n">
        <v>1.03</v>
      </c>
      <c r="Q90" s="168" t="n">
        <v>1</v>
      </c>
      <c r="R90" s="168" t="n">
        <v>1</v>
      </c>
      <c r="S90" s="168" t="n">
        <v>1.02</v>
      </c>
      <c r="T90" s="168" t="n">
        <v>1</v>
      </c>
      <c r="U90" s="168" t="n">
        <v>1</v>
      </c>
      <c r="V90" s="168" t="n">
        <v>1</v>
      </c>
      <c r="W90" s="168" t="n">
        <v>1</v>
      </c>
      <c r="X90" s="168" t="n">
        <v>1</v>
      </c>
      <c r="Y90" s="168" t="n">
        <v>1</v>
      </c>
      <c r="Z90" s="168" t="n">
        <v>1</v>
      </c>
      <c r="AA90" s="168" t="n">
        <v>1</v>
      </c>
      <c r="AB90" s="168" t="n">
        <v>1</v>
      </c>
      <c r="AC90" s="168" t="n">
        <v>1</v>
      </c>
      <c r="AD90" s="168" t="n">
        <v>1</v>
      </c>
      <c r="AE90" s="168" t="n">
        <v>1</v>
      </c>
      <c r="AF90" s="168" t="n">
        <v>1.1</v>
      </c>
      <c r="AG90" s="168" t="n">
        <v>1.1</v>
      </c>
      <c r="AH90" s="168" t="n">
        <v>1.05</v>
      </c>
      <c r="AI90" s="168" t="n">
        <v>1</v>
      </c>
      <c r="AJ90" s="168" t="n">
        <v>1</v>
      </c>
      <c r="AK90" s="168" t="n">
        <v>1.02</v>
      </c>
      <c r="AL90" s="168" t="n">
        <v>1</v>
      </c>
      <c r="AM90" s="168" t="n">
        <v>1</v>
      </c>
      <c r="AN90" s="168" t="n">
        <v>1</v>
      </c>
      <c r="AO90" s="168" t="n">
        <v>1</v>
      </c>
    </row>
    <row r="91" customFormat="false" ht="12.75" hidden="false" customHeight="false" outlineLevel="0" collapsed="false">
      <c r="A91" s="167" t="n">
        <v>39448</v>
      </c>
      <c r="B91" s="168" t="n">
        <v>1</v>
      </c>
      <c r="C91" s="168" t="n">
        <v>1</v>
      </c>
      <c r="D91" s="168" t="n">
        <v>1</v>
      </c>
      <c r="E91" s="168" t="n">
        <v>1</v>
      </c>
      <c r="F91" s="168" t="n">
        <v>1</v>
      </c>
      <c r="G91" s="168" t="n">
        <v>1</v>
      </c>
      <c r="H91" s="168" t="n">
        <v>1</v>
      </c>
      <c r="I91" s="168" t="n">
        <v>1</v>
      </c>
      <c r="J91" s="168" t="n">
        <v>1</v>
      </c>
      <c r="K91" s="168" t="n">
        <v>1</v>
      </c>
      <c r="L91" s="168" t="n">
        <v>1</v>
      </c>
      <c r="M91" s="168" t="n">
        <v>1</v>
      </c>
      <c r="N91" s="168" t="n">
        <v>1</v>
      </c>
      <c r="O91" s="168" t="n">
        <v>1</v>
      </c>
      <c r="P91" s="168" t="n">
        <v>1.03</v>
      </c>
      <c r="Q91" s="168" t="n">
        <v>1</v>
      </c>
      <c r="R91" s="168" t="n">
        <v>1</v>
      </c>
      <c r="S91" s="168" t="n">
        <v>1.02</v>
      </c>
      <c r="T91" s="168" t="n">
        <v>1</v>
      </c>
      <c r="U91" s="168" t="n">
        <v>1</v>
      </c>
      <c r="V91" s="168" t="n">
        <v>1</v>
      </c>
      <c r="W91" s="168" t="n">
        <v>1</v>
      </c>
      <c r="X91" s="168" t="n">
        <v>1</v>
      </c>
      <c r="Y91" s="168" t="n">
        <v>1</v>
      </c>
      <c r="Z91" s="168" t="n">
        <v>1</v>
      </c>
      <c r="AA91" s="168" t="n">
        <v>1</v>
      </c>
      <c r="AB91" s="168" t="n">
        <v>1</v>
      </c>
      <c r="AC91" s="168" t="n">
        <v>1</v>
      </c>
      <c r="AD91" s="168" t="n">
        <v>1</v>
      </c>
      <c r="AE91" s="168" t="n">
        <v>1</v>
      </c>
      <c r="AF91" s="168" t="n">
        <v>1.1</v>
      </c>
      <c r="AG91" s="168" t="n">
        <v>1.1</v>
      </c>
      <c r="AH91" s="168" t="n">
        <v>1.05</v>
      </c>
      <c r="AI91" s="168" t="n">
        <v>1</v>
      </c>
      <c r="AJ91" s="168" t="n">
        <v>1</v>
      </c>
      <c r="AK91" s="168" t="n">
        <v>1.02</v>
      </c>
      <c r="AL91" s="168" t="n">
        <v>1</v>
      </c>
      <c r="AM91" s="168" t="n">
        <v>1</v>
      </c>
      <c r="AN91" s="168" t="n">
        <v>1</v>
      </c>
      <c r="AO91" s="168" t="n">
        <v>1</v>
      </c>
    </row>
    <row r="92" customFormat="false" ht="12.75" hidden="false" customHeight="false" outlineLevel="0" collapsed="false">
      <c r="A92" s="167" t="n">
        <v>39479</v>
      </c>
      <c r="B92" s="168" t="n">
        <v>1</v>
      </c>
      <c r="C92" s="168" t="n">
        <v>1</v>
      </c>
      <c r="D92" s="168" t="n">
        <v>1</v>
      </c>
      <c r="E92" s="168" t="n">
        <v>1</v>
      </c>
      <c r="F92" s="168" t="n">
        <v>1</v>
      </c>
      <c r="G92" s="168" t="n">
        <v>1</v>
      </c>
      <c r="H92" s="168" t="n">
        <v>1</v>
      </c>
      <c r="I92" s="168" t="n">
        <v>1</v>
      </c>
      <c r="J92" s="168" t="n">
        <v>1</v>
      </c>
      <c r="K92" s="168" t="n">
        <v>1</v>
      </c>
      <c r="L92" s="168" t="n">
        <v>1</v>
      </c>
      <c r="M92" s="168" t="n">
        <v>1</v>
      </c>
      <c r="N92" s="168" t="n">
        <v>1</v>
      </c>
      <c r="O92" s="168" t="n">
        <v>1</v>
      </c>
      <c r="P92" s="168" t="n">
        <v>1.03</v>
      </c>
      <c r="Q92" s="168" t="n">
        <v>1</v>
      </c>
      <c r="R92" s="168" t="n">
        <v>1</v>
      </c>
      <c r="S92" s="168" t="n">
        <v>1.02</v>
      </c>
      <c r="T92" s="168" t="n">
        <v>1</v>
      </c>
      <c r="U92" s="168" t="n">
        <v>1</v>
      </c>
      <c r="V92" s="168" t="n">
        <v>1</v>
      </c>
      <c r="W92" s="168" t="n">
        <v>1</v>
      </c>
      <c r="X92" s="168" t="n">
        <v>1</v>
      </c>
      <c r="Y92" s="168" t="n">
        <v>1</v>
      </c>
      <c r="Z92" s="168" t="n">
        <v>1</v>
      </c>
      <c r="AA92" s="168" t="n">
        <v>1</v>
      </c>
      <c r="AB92" s="168" t="n">
        <v>1</v>
      </c>
      <c r="AC92" s="168" t="n">
        <v>1</v>
      </c>
      <c r="AD92" s="168" t="n">
        <v>1</v>
      </c>
      <c r="AE92" s="168" t="n">
        <v>1</v>
      </c>
      <c r="AF92" s="168" t="n">
        <v>1.1</v>
      </c>
      <c r="AG92" s="168" t="n">
        <v>1.1</v>
      </c>
      <c r="AH92" s="168" t="n">
        <v>1.05</v>
      </c>
      <c r="AI92" s="168" t="n">
        <v>1</v>
      </c>
      <c r="AJ92" s="168" t="n">
        <v>1</v>
      </c>
      <c r="AK92" s="168" t="n">
        <v>1.02</v>
      </c>
      <c r="AL92" s="168" t="n">
        <v>1</v>
      </c>
      <c r="AM92" s="168" t="n">
        <v>1</v>
      </c>
      <c r="AN92" s="168" t="n">
        <v>1</v>
      </c>
      <c r="AO92" s="168" t="n">
        <v>1</v>
      </c>
    </row>
    <row r="93" customFormat="false" ht="12.75" hidden="false" customHeight="false" outlineLevel="0" collapsed="false">
      <c r="A93" s="167" t="n">
        <v>39508</v>
      </c>
      <c r="B93" s="168" t="n">
        <v>1</v>
      </c>
      <c r="C93" s="168" t="n">
        <v>1</v>
      </c>
      <c r="D93" s="168" t="n">
        <v>1</v>
      </c>
      <c r="E93" s="168" t="n">
        <v>1</v>
      </c>
      <c r="F93" s="168" t="n">
        <v>1</v>
      </c>
      <c r="G93" s="168" t="n">
        <v>1</v>
      </c>
      <c r="H93" s="168" t="n">
        <v>1</v>
      </c>
      <c r="I93" s="168" t="n">
        <v>1</v>
      </c>
      <c r="J93" s="168" t="n">
        <v>1</v>
      </c>
      <c r="K93" s="168" t="n">
        <v>1</v>
      </c>
      <c r="L93" s="168" t="n">
        <v>1</v>
      </c>
      <c r="M93" s="168" t="n">
        <v>1</v>
      </c>
      <c r="N93" s="168" t="n">
        <v>1</v>
      </c>
      <c r="O93" s="168" t="n">
        <v>1</v>
      </c>
      <c r="P93" s="168" t="n">
        <v>1.03</v>
      </c>
      <c r="Q93" s="168" t="n">
        <v>1</v>
      </c>
      <c r="R93" s="168" t="n">
        <v>1</v>
      </c>
      <c r="S93" s="168" t="n">
        <v>1.02</v>
      </c>
      <c r="T93" s="168" t="n">
        <v>1</v>
      </c>
      <c r="U93" s="168" t="n">
        <v>1</v>
      </c>
      <c r="V93" s="168" t="n">
        <v>1</v>
      </c>
      <c r="W93" s="168" t="n">
        <v>1</v>
      </c>
      <c r="X93" s="168" t="n">
        <v>1</v>
      </c>
      <c r="Y93" s="168" t="n">
        <v>1</v>
      </c>
      <c r="Z93" s="168" t="n">
        <v>1</v>
      </c>
      <c r="AA93" s="168" t="n">
        <v>1</v>
      </c>
      <c r="AB93" s="168" t="n">
        <v>1</v>
      </c>
      <c r="AC93" s="168" t="n">
        <v>1</v>
      </c>
      <c r="AD93" s="168" t="n">
        <v>1</v>
      </c>
      <c r="AE93" s="168" t="n">
        <v>1</v>
      </c>
      <c r="AF93" s="168" t="n">
        <v>1.1</v>
      </c>
      <c r="AG93" s="168" t="n">
        <v>1.1</v>
      </c>
      <c r="AH93" s="168" t="n">
        <v>1.05</v>
      </c>
      <c r="AI93" s="168" t="n">
        <v>1</v>
      </c>
      <c r="AJ93" s="168" t="n">
        <v>1</v>
      </c>
      <c r="AK93" s="168" t="n">
        <v>1.02</v>
      </c>
      <c r="AL93" s="168" t="n">
        <v>1</v>
      </c>
      <c r="AM93" s="168" t="n">
        <v>1</v>
      </c>
      <c r="AN93" s="168" t="n">
        <v>1</v>
      </c>
      <c r="AO93" s="168" t="n">
        <v>1</v>
      </c>
    </row>
    <row r="94" customFormat="false" ht="12.75" hidden="false" customHeight="false" outlineLevel="0" collapsed="false">
      <c r="A94" s="167" t="n">
        <v>39539</v>
      </c>
      <c r="B94" s="168" t="n">
        <v>1</v>
      </c>
      <c r="C94" s="168" t="n">
        <v>1</v>
      </c>
      <c r="D94" s="168" t="n">
        <v>1</v>
      </c>
      <c r="E94" s="168" t="n">
        <v>1</v>
      </c>
      <c r="F94" s="168" t="n">
        <v>1</v>
      </c>
      <c r="G94" s="168" t="n">
        <v>1</v>
      </c>
      <c r="H94" s="168" t="n">
        <v>1</v>
      </c>
      <c r="I94" s="168" t="n">
        <v>1</v>
      </c>
      <c r="J94" s="168" t="n">
        <v>1</v>
      </c>
      <c r="K94" s="168" t="n">
        <v>1</v>
      </c>
      <c r="L94" s="168" t="n">
        <v>1</v>
      </c>
      <c r="M94" s="168" t="n">
        <v>1</v>
      </c>
      <c r="N94" s="168" t="n">
        <v>1</v>
      </c>
      <c r="O94" s="168" t="n">
        <v>1</v>
      </c>
      <c r="P94" s="168" t="n">
        <v>1.03</v>
      </c>
      <c r="Q94" s="168" t="n">
        <v>1</v>
      </c>
      <c r="R94" s="168" t="n">
        <v>1</v>
      </c>
      <c r="S94" s="168" t="n">
        <v>1.02</v>
      </c>
      <c r="T94" s="168" t="n">
        <v>1</v>
      </c>
      <c r="U94" s="168" t="n">
        <v>1</v>
      </c>
      <c r="V94" s="168" t="n">
        <v>1</v>
      </c>
      <c r="W94" s="168" t="n">
        <v>1</v>
      </c>
      <c r="X94" s="168" t="n">
        <v>1</v>
      </c>
      <c r="Y94" s="168" t="n">
        <v>1.02</v>
      </c>
      <c r="Z94" s="168" t="n">
        <v>1</v>
      </c>
      <c r="AA94" s="168" t="n">
        <v>1</v>
      </c>
      <c r="AB94" s="168" t="n">
        <v>1</v>
      </c>
      <c r="AC94" s="168" t="n">
        <v>1</v>
      </c>
      <c r="AD94" s="168" t="n">
        <v>0.98</v>
      </c>
      <c r="AE94" s="168" t="n">
        <v>0.98</v>
      </c>
      <c r="AF94" s="168" t="n">
        <v>0.98</v>
      </c>
      <c r="AG94" s="168" t="n">
        <v>0.98</v>
      </c>
      <c r="AH94" s="168" t="n">
        <v>1.05</v>
      </c>
      <c r="AI94" s="168" t="n">
        <v>1</v>
      </c>
      <c r="AJ94" s="168" t="n">
        <v>1</v>
      </c>
      <c r="AK94" s="168" t="n">
        <v>1.02</v>
      </c>
      <c r="AL94" s="168" t="n">
        <v>1</v>
      </c>
      <c r="AM94" s="168" t="n">
        <v>1</v>
      </c>
      <c r="AN94" s="168" t="n">
        <v>1</v>
      </c>
      <c r="AO94" s="168" t="n">
        <v>1</v>
      </c>
    </row>
    <row r="95" customFormat="false" ht="12.75" hidden="false" customHeight="false" outlineLevel="0" collapsed="false">
      <c r="A95" s="167" t="n">
        <v>39569</v>
      </c>
      <c r="B95" s="168" t="n">
        <v>1</v>
      </c>
      <c r="C95" s="168" t="n">
        <v>1</v>
      </c>
      <c r="D95" s="168" t="n">
        <v>1</v>
      </c>
      <c r="E95" s="168" t="n">
        <v>1</v>
      </c>
      <c r="F95" s="168" t="n">
        <v>1</v>
      </c>
      <c r="G95" s="168" t="n">
        <v>1</v>
      </c>
      <c r="H95" s="168" t="n">
        <v>1</v>
      </c>
      <c r="I95" s="168" t="n">
        <v>1</v>
      </c>
      <c r="J95" s="168" t="n">
        <v>1</v>
      </c>
      <c r="K95" s="168" t="n">
        <v>1</v>
      </c>
      <c r="L95" s="168" t="n">
        <v>1</v>
      </c>
      <c r="M95" s="168" t="n">
        <v>1</v>
      </c>
      <c r="N95" s="168" t="n">
        <v>1</v>
      </c>
      <c r="O95" s="168" t="n">
        <v>1</v>
      </c>
      <c r="P95" s="168" t="n">
        <v>1.03</v>
      </c>
      <c r="Q95" s="168" t="n">
        <v>1</v>
      </c>
      <c r="R95" s="168" t="n">
        <v>1</v>
      </c>
      <c r="S95" s="168" t="n">
        <v>1.02</v>
      </c>
      <c r="T95" s="168" t="n">
        <v>1</v>
      </c>
      <c r="U95" s="168" t="n">
        <v>1</v>
      </c>
      <c r="V95" s="168" t="n">
        <v>1</v>
      </c>
      <c r="W95" s="168" t="n">
        <v>1</v>
      </c>
      <c r="X95" s="168" t="n">
        <v>1</v>
      </c>
      <c r="Y95" s="168" t="n">
        <v>1.02</v>
      </c>
      <c r="Z95" s="168" t="n">
        <v>1</v>
      </c>
      <c r="AA95" s="168" t="n">
        <v>1</v>
      </c>
      <c r="AB95" s="168" t="n">
        <v>1</v>
      </c>
      <c r="AC95" s="168" t="n">
        <v>1</v>
      </c>
      <c r="AD95" s="168" t="n">
        <v>0.98</v>
      </c>
      <c r="AE95" s="168" t="n">
        <v>0.98</v>
      </c>
      <c r="AF95" s="168" t="n">
        <v>0.98</v>
      </c>
      <c r="AG95" s="168" t="n">
        <v>0.98</v>
      </c>
      <c r="AH95" s="168" t="n">
        <v>1.05</v>
      </c>
      <c r="AI95" s="168" t="n">
        <v>1</v>
      </c>
      <c r="AJ95" s="168" t="n">
        <v>1</v>
      </c>
      <c r="AK95" s="168" t="n">
        <v>1.02</v>
      </c>
      <c r="AL95" s="168" t="n">
        <v>1</v>
      </c>
      <c r="AM95" s="168" t="n">
        <v>1</v>
      </c>
      <c r="AN95" s="168" t="n">
        <v>1</v>
      </c>
      <c r="AO95" s="168" t="n">
        <v>1</v>
      </c>
    </row>
    <row r="96" customFormat="false" ht="12.75" hidden="false" customHeight="false" outlineLevel="0" collapsed="false">
      <c r="A96" s="167" t="n">
        <v>39600</v>
      </c>
      <c r="B96" s="168" t="n">
        <v>1</v>
      </c>
      <c r="C96" s="168" t="n">
        <v>1</v>
      </c>
      <c r="D96" s="168" t="n">
        <v>1</v>
      </c>
      <c r="E96" s="168" t="n">
        <v>1</v>
      </c>
      <c r="F96" s="168" t="n">
        <v>1</v>
      </c>
      <c r="G96" s="168" t="n">
        <v>1</v>
      </c>
      <c r="H96" s="168" t="n">
        <v>1</v>
      </c>
      <c r="I96" s="168" t="n">
        <v>1</v>
      </c>
      <c r="J96" s="168" t="n">
        <v>1</v>
      </c>
      <c r="K96" s="168" t="n">
        <v>1</v>
      </c>
      <c r="L96" s="168" t="n">
        <v>1</v>
      </c>
      <c r="M96" s="168" t="n">
        <v>1</v>
      </c>
      <c r="N96" s="168" t="n">
        <v>1</v>
      </c>
      <c r="O96" s="168" t="n">
        <v>1</v>
      </c>
      <c r="P96" s="168" t="n">
        <v>1.03</v>
      </c>
      <c r="Q96" s="168" t="n">
        <v>1</v>
      </c>
      <c r="R96" s="168" t="n">
        <v>1</v>
      </c>
      <c r="S96" s="168" t="n">
        <v>1.02</v>
      </c>
      <c r="T96" s="168" t="n">
        <v>1</v>
      </c>
      <c r="U96" s="168" t="n">
        <v>1</v>
      </c>
      <c r="V96" s="168" t="n">
        <v>1</v>
      </c>
      <c r="W96" s="168" t="n">
        <v>1</v>
      </c>
      <c r="X96" s="168" t="n">
        <v>1</v>
      </c>
      <c r="Y96" s="168" t="n">
        <v>1.02</v>
      </c>
      <c r="Z96" s="168" t="n">
        <v>1</v>
      </c>
      <c r="AA96" s="168" t="n">
        <v>1</v>
      </c>
      <c r="AB96" s="168" t="n">
        <v>1</v>
      </c>
      <c r="AC96" s="168" t="n">
        <v>1</v>
      </c>
      <c r="AD96" s="168" t="n">
        <v>0.98</v>
      </c>
      <c r="AE96" s="168" t="n">
        <v>0.98</v>
      </c>
      <c r="AF96" s="168" t="n">
        <v>0.98</v>
      </c>
      <c r="AG96" s="168" t="n">
        <v>0.98</v>
      </c>
      <c r="AH96" s="168" t="n">
        <v>1.05</v>
      </c>
      <c r="AI96" s="168" t="n">
        <v>1</v>
      </c>
      <c r="AJ96" s="168" t="n">
        <v>1</v>
      </c>
      <c r="AK96" s="168" t="n">
        <v>1.02</v>
      </c>
      <c r="AL96" s="168" t="n">
        <v>1</v>
      </c>
      <c r="AM96" s="168" t="n">
        <v>1</v>
      </c>
      <c r="AN96" s="168" t="n">
        <v>1</v>
      </c>
      <c r="AO96" s="168" t="n">
        <v>1</v>
      </c>
    </row>
    <row r="97" customFormat="false" ht="12.75" hidden="false" customHeight="false" outlineLevel="0" collapsed="false">
      <c r="A97" s="167" t="n">
        <v>39630</v>
      </c>
      <c r="B97" s="168" t="n">
        <v>1</v>
      </c>
      <c r="C97" s="168" t="n">
        <v>1</v>
      </c>
      <c r="D97" s="168" t="n">
        <v>1</v>
      </c>
      <c r="E97" s="168" t="n">
        <v>1</v>
      </c>
      <c r="F97" s="168" t="n">
        <v>1</v>
      </c>
      <c r="G97" s="168" t="n">
        <v>1</v>
      </c>
      <c r="H97" s="168" t="n">
        <v>1</v>
      </c>
      <c r="I97" s="168" t="n">
        <v>1</v>
      </c>
      <c r="J97" s="168" t="n">
        <v>1</v>
      </c>
      <c r="K97" s="168" t="n">
        <v>1</v>
      </c>
      <c r="L97" s="168" t="n">
        <v>1</v>
      </c>
      <c r="M97" s="168" t="n">
        <v>1</v>
      </c>
      <c r="N97" s="168" t="n">
        <v>1</v>
      </c>
      <c r="O97" s="168" t="n">
        <v>1</v>
      </c>
      <c r="P97" s="168" t="n">
        <v>1.03</v>
      </c>
      <c r="Q97" s="168" t="n">
        <v>1</v>
      </c>
      <c r="R97" s="168" t="n">
        <v>1</v>
      </c>
      <c r="S97" s="168" t="n">
        <v>1.02</v>
      </c>
      <c r="T97" s="168" t="n">
        <v>1</v>
      </c>
      <c r="U97" s="168" t="n">
        <v>1</v>
      </c>
      <c r="V97" s="168" t="n">
        <v>1</v>
      </c>
      <c r="W97" s="168" t="n">
        <v>1</v>
      </c>
      <c r="X97" s="168" t="n">
        <v>1</v>
      </c>
      <c r="Y97" s="168" t="n">
        <v>1.02</v>
      </c>
      <c r="Z97" s="168" t="n">
        <v>1</v>
      </c>
      <c r="AA97" s="168" t="n">
        <v>1</v>
      </c>
      <c r="AB97" s="168" t="n">
        <v>1</v>
      </c>
      <c r="AC97" s="168" t="n">
        <v>1</v>
      </c>
      <c r="AD97" s="168" t="n">
        <v>0.98</v>
      </c>
      <c r="AE97" s="168" t="n">
        <v>0.98</v>
      </c>
      <c r="AF97" s="168" t="n">
        <v>0.98</v>
      </c>
      <c r="AG97" s="168" t="n">
        <v>0.98</v>
      </c>
      <c r="AH97" s="168" t="n">
        <v>1.05</v>
      </c>
      <c r="AI97" s="168" t="n">
        <v>1</v>
      </c>
      <c r="AJ97" s="168" t="n">
        <v>1</v>
      </c>
      <c r="AK97" s="168" t="n">
        <v>1.02</v>
      </c>
      <c r="AL97" s="168" t="n">
        <v>1</v>
      </c>
      <c r="AM97" s="168" t="n">
        <v>1</v>
      </c>
      <c r="AN97" s="168" t="n">
        <v>1</v>
      </c>
      <c r="AO97" s="168" t="n">
        <v>1</v>
      </c>
    </row>
    <row r="98" customFormat="false" ht="12.75" hidden="false" customHeight="false" outlineLevel="0" collapsed="false">
      <c r="A98" s="167" t="n">
        <v>39661</v>
      </c>
      <c r="B98" s="168" t="n">
        <v>1</v>
      </c>
      <c r="C98" s="168" t="n">
        <v>1</v>
      </c>
      <c r="D98" s="168" t="n">
        <v>1</v>
      </c>
      <c r="E98" s="168" t="n">
        <v>1</v>
      </c>
      <c r="F98" s="168" t="n">
        <v>1</v>
      </c>
      <c r="G98" s="168" t="n">
        <v>1</v>
      </c>
      <c r="H98" s="168" t="n">
        <v>1</v>
      </c>
      <c r="I98" s="168" t="n">
        <v>1</v>
      </c>
      <c r="J98" s="168" t="n">
        <v>1</v>
      </c>
      <c r="K98" s="168" t="n">
        <v>1</v>
      </c>
      <c r="L98" s="168" t="n">
        <v>1</v>
      </c>
      <c r="M98" s="168" t="n">
        <v>1</v>
      </c>
      <c r="N98" s="168" t="n">
        <v>1</v>
      </c>
      <c r="O98" s="168" t="n">
        <v>1</v>
      </c>
      <c r="P98" s="168" t="n">
        <v>1.03</v>
      </c>
      <c r="Q98" s="168" t="n">
        <v>1</v>
      </c>
      <c r="R98" s="168" t="n">
        <v>1</v>
      </c>
      <c r="S98" s="168" t="n">
        <v>1.02</v>
      </c>
      <c r="T98" s="168" t="n">
        <v>1</v>
      </c>
      <c r="U98" s="168" t="n">
        <v>1</v>
      </c>
      <c r="V98" s="168" t="n">
        <v>1</v>
      </c>
      <c r="W98" s="168" t="n">
        <v>1</v>
      </c>
      <c r="X98" s="168" t="n">
        <v>1</v>
      </c>
      <c r="Y98" s="168" t="n">
        <v>1.02</v>
      </c>
      <c r="Z98" s="168" t="n">
        <v>1</v>
      </c>
      <c r="AA98" s="168" t="n">
        <v>1</v>
      </c>
      <c r="AB98" s="168" t="n">
        <v>1</v>
      </c>
      <c r="AC98" s="168" t="n">
        <v>1</v>
      </c>
      <c r="AD98" s="168" t="n">
        <v>0.98</v>
      </c>
      <c r="AE98" s="168" t="n">
        <v>0.98</v>
      </c>
      <c r="AF98" s="168" t="n">
        <v>0.98</v>
      </c>
      <c r="AG98" s="168" t="n">
        <v>0.98</v>
      </c>
      <c r="AH98" s="168" t="n">
        <v>1.05</v>
      </c>
      <c r="AI98" s="168" t="n">
        <v>1</v>
      </c>
      <c r="AJ98" s="168" t="n">
        <v>1</v>
      </c>
      <c r="AK98" s="168" t="n">
        <v>1.02</v>
      </c>
      <c r="AL98" s="168" t="n">
        <v>1</v>
      </c>
      <c r="AM98" s="168" t="n">
        <v>1</v>
      </c>
      <c r="AN98" s="168" t="n">
        <v>1</v>
      </c>
      <c r="AO98" s="168" t="n">
        <v>1</v>
      </c>
    </row>
    <row r="99" customFormat="false" ht="12.75" hidden="false" customHeight="false" outlineLevel="0" collapsed="false">
      <c r="A99" s="167" t="n">
        <v>39692</v>
      </c>
      <c r="B99" s="168" t="n">
        <v>1</v>
      </c>
      <c r="C99" s="168" t="n">
        <v>1</v>
      </c>
      <c r="D99" s="168" t="n">
        <v>1</v>
      </c>
      <c r="E99" s="168" t="n">
        <v>1</v>
      </c>
      <c r="F99" s="168" t="n">
        <v>1</v>
      </c>
      <c r="G99" s="168" t="n">
        <v>1</v>
      </c>
      <c r="H99" s="168" t="n">
        <v>1</v>
      </c>
      <c r="I99" s="168" t="n">
        <v>1</v>
      </c>
      <c r="J99" s="168" t="n">
        <v>1</v>
      </c>
      <c r="K99" s="168" t="n">
        <v>1</v>
      </c>
      <c r="L99" s="168" t="n">
        <v>1</v>
      </c>
      <c r="M99" s="168" t="n">
        <v>1</v>
      </c>
      <c r="N99" s="168" t="n">
        <v>1</v>
      </c>
      <c r="O99" s="168" t="n">
        <v>1</v>
      </c>
      <c r="P99" s="168" t="n">
        <v>1.03</v>
      </c>
      <c r="Q99" s="168" t="n">
        <v>1</v>
      </c>
      <c r="R99" s="168" t="n">
        <v>1</v>
      </c>
      <c r="S99" s="168" t="n">
        <v>1.02</v>
      </c>
      <c r="T99" s="168" t="n">
        <v>1</v>
      </c>
      <c r="U99" s="168" t="n">
        <v>1</v>
      </c>
      <c r="V99" s="168" t="n">
        <v>1</v>
      </c>
      <c r="W99" s="168" t="n">
        <v>1</v>
      </c>
      <c r="X99" s="168" t="n">
        <v>1</v>
      </c>
      <c r="Y99" s="168" t="n">
        <v>1.02</v>
      </c>
      <c r="Z99" s="168" t="n">
        <v>1</v>
      </c>
      <c r="AA99" s="168" t="n">
        <v>1</v>
      </c>
      <c r="AB99" s="168" t="n">
        <v>1</v>
      </c>
      <c r="AC99" s="168" t="n">
        <v>1</v>
      </c>
      <c r="AD99" s="168" t="n">
        <v>0.98</v>
      </c>
      <c r="AE99" s="168" t="n">
        <v>0.98</v>
      </c>
      <c r="AF99" s="168" t="n">
        <v>0.98</v>
      </c>
      <c r="AG99" s="168" t="n">
        <v>0.98</v>
      </c>
      <c r="AH99" s="168" t="n">
        <v>1.05</v>
      </c>
      <c r="AI99" s="168" t="n">
        <v>1</v>
      </c>
      <c r="AJ99" s="168" t="n">
        <v>1</v>
      </c>
      <c r="AK99" s="168" t="n">
        <v>1.02</v>
      </c>
      <c r="AL99" s="168" t="n">
        <v>1</v>
      </c>
      <c r="AM99" s="168" t="n">
        <v>1</v>
      </c>
      <c r="AN99" s="168" t="n">
        <v>1</v>
      </c>
      <c r="AO99" s="168" t="n">
        <v>1</v>
      </c>
    </row>
    <row r="100" customFormat="false" ht="12.75" hidden="false" customHeight="false" outlineLevel="0" collapsed="false">
      <c r="A100" s="167" t="n">
        <v>39722</v>
      </c>
      <c r="B100" s="168" t="n">
        <v>1</v>
      </c>
      <c r="C100" s="168" t="n">
        <v>1</v>
      </c>
      <c r="D100" s="168" t="n">
        <v>1</v>
      </c>
      <c r="E100" s="168" t="n">
        <v>1</v>
      </c>
      <c r="F100" s="168" t="n">
        <v>1</v>
      </c>
      <c r="G100" s="168" t="n">
        <v>1</v>
      </c>
      <c r="H100" s="168" t="n">
        <v>1</v>
      </c>
      <c r="I100" s="168" t="n">
        <v>1</v>
      </c>
      <c r="J100" s="168" t="n">
        <v>1</v>
      </c>
      <c r="K100" s="168" t="n">
        <v>1</v>
      </c>
      <c r="L100" s="168" t="n">
        <v>1</v>
      </c>
      <c r="M100" s="168" t="n">
        <v>1</v>
      </c>
      <c r="N100" s="168" t="n">
        <v>1</v>
      </c>
      <c r="O100" s="168" t="n">
        <v>1</v>
      </c>
      <c r="P100" s="168" t="n">
        <v>1.03</v>
      </c>
      <c r="Q100" s="168" t="n">
        <v>1</v>
      </c>
      <c r="R100" s="168" t="n">
        <v>1</v>
      </c>
      <c r="S100" s="168" t="n">
        <v>1.02</v>
      </c>
      <c r="T100" s="168" t="n">
        <v>1</v>
      </c>
      <c r="U100" s="168" t="n">
        <v>1</v>
      </c>
      <c r="V100" s="168" t="n">
        <v>1</v>
      </c>
      <c r="W100" s="168" t="n">
        <v>1</v>
      </c>
      <c r="X100" s="168" t="n">
        <v>1</v>
      </c>
      <c r="Y100" s="168" t="n">
        <v>1.02</v>
      </c>
      <c r="Z100" s="168" t="n">
        <v>1</v>
      </c>
      <c r="AA100" s="168" t="n">
        <v>1</v>
      </c>
      <c r="AB100" s="168" t="n">
        <v>1</v>
      </c>
      <c r="AC100" s="168" t="n">
        <v>1</v>
      </c>
      <c r="AD100" s="168" t="n">
        <v>0.98</v>
      </c>
      <c r="AE100" s="168" t="n">
        <v>0.98</v>
      </c>
      <c r="AF100" s="168" t="n">
        <v>0.98</v>
      </c>
      <c r="AG100" s="168" t="n">
        <v>0.98</v>
      </c>
      <c r="AH100" s="168" t="n">
        <v>1.05</v>
      </c>
      <c r="AI100" s="168" t="n">
        <v>1</v>
      </c>
      <c r="AJ100" s="168" t="n">
        <v>1</v>
      </c>
      <c r="AK100" s="168" t="n">
        <v>1.02</v>
      </c>
      <c r="AL100" s="168" t="n">
        <v>1</v>
      </c>
      <c r="AM100" s="168" t="n">
        <v>1</v>
      </c>
      <c r="AN100" s="168" t="n">
        <v>1</v>
      </c>
      <c r="AO100" s="168" t="n">
        <v>1</v>
      </c>
    </row>
    <row r="101" customFormat="false" ht="12.75" hidden="false" customHeight="false" outlineLevel="0" collapsed="false">
      <c r="A101" s="167" t="n">
        <v>39753</v>
      </c>
      <c r="B101" s="168" t="n">
        <v>1</v>
      </c>
      <c r="C101" s="168" t="n">
        <v>1</v>
      </c>
      <c r="D101" s="168" t="n">
        <v>1</v>
      </c>
      <c r="E101" s="168" t="n">
        <v>1</v>
      </c>
      <c r="F101" s="168" t="n">
        <v>1</v>
      </c>
      <c r="G101" s="168" t="n">
        <v>1</v>
      </c>
      <c r="H101" s="168" t="n">
        <v>1</v>
      </c>
      <c r="I101" s="168" t="n">
        <v>1</v>
      </c>
      <c r="J101" s="168" t="n">
        <v>1</v>
      </c>
      <c r="K101" s="168" t="n">
        <v>1</v>
      </c>
      <c r="L101" s="168" t="n">
        <v>1</v>
      </c>
      <c r="M101" s="168" t="n">
        <v>1</v>
      </c>
      <c r="N101" s="168" t="n">
        <v>1</v>
      </c>
      <c r="O101" s="168" t="n">
        <v>1</v>
      </c>
      <c r="P101" s="168" t="n">
        <v>1.03</v>
      </c>
      <c r="Q101" s="168" t="n">
        <v>1</v>
      </c>
      <c r="R101" s="168" t="n">
        <v>1</v>
      </c>
      <c r="S101" s="168" t="n">
        <v>1.02</v>
      </c>
      <c r="T101" s="168" t="n">
        <v>1</v>
      </c>
      <c r="U101" s="168" t="n">
        <v>1</v>
      </c>
      <c r="V101" s="168" t="n">
        <v>1</v>
      </c>
      <c r="W101" s="168" t="n">
        <v>1</v>
      </c>
      <c r="X101" s="168" t="n">
        <v>1</v>
      </c>
      <c r="Y101" s="168" t="n">
        <v>1</v>
      </c>
      <c r="Z101" s="168" t="n">
        <v>1</v>
      </c>
      <c r="AA101" s="168" t="n">
        <v>1</v>
      </c>
      <c r="AB101" s="168" t="n">
        <v>1</v>
      </c>
      <c r="AC101" s="168" t="n">
        <v>1</v>
      </c>
      <c r="AD101" s="168" t="n">
        <v>1</v>
      </c>
      <c r="AE101" s="168" t="n">
        <v>1</v>
      </c>
      <c r="AF101" s="168" t="n">
        <v>1.1</v>
      </c>
      <c r="AG101" s="168" t="n">
        <v>1.1</v>
      </c>
      <c r="AH101" s="168" t="n">
        <v>1.05</v>
      </c>
      <c r="AI101" s="168" t="n">
        <v>1</v>
      </c>
      <c r="AJ101" s="168" t="n">
        <v>1</v>
      </c>
      <c r="AK101" s="168" t="n">
        <v>1.02</v>
      </c>
      <c r="AL101" s="168" t="n">
        <v>1</v>
      </c>
      <c r="AM101" s="168" t="n">
        <v>1</v>
      </c>
      <c r="AN101" s="168" t="n">
        <v>1</v>
      </c>
      <c r="AO101" s="168" t="n">
        <v>1</v>
      </c>
    </row>
    <row r="102" customFormat="false" ht="12.75" hidden="false" customHeight="false" outlineLevel="0" collapsed="false">
      <c r="A102" s="167" t="n">
        <v>39783</v>
      </c>
      <c r="B102" s="168" t="n">
        <v>1</v>
      </c>
      <c r="C102" s="168" t="n">
        <v>1</v>
      </c>
      <c r="D102" s="168" t="n">
        <v>1</v>
      </c>
      <c r="E102" s="168" t="n">
        <v>1</v>
      </c>
      <c r="F102" s="168" t="n">
        <v>1</v>
      </c>
      <c r="G102" s="168" t="n">
        <v>1</v>
      </c>
      <c r="H102" s="168" t="n">
        <v>1</v>
      </c>
      <c r="I102" s="168" t="n">
        <v>1</v>
      </c>
      <c r="J102" s="168" t="n">
        <v>1</v>
      </c>
      <c r="K102" s="168" t="n">
        <v>1</v>
      </c>
      <c r="L102" s="168" t="n">
        <v>1</v>
      </c>
      <c r="M102" s="168" t="n">
        <v>1</v>
      </c>
      <c r="N102" s="168" t="n">
        <v>1</v>
      </c>
      <c r="O102" s="168" t="n">
        <v>1</v>
      </c>
      <c r="P102" s="168" t="n">
        <v>1.03</v>
      </c>
      <c r="Q102" s="168" t="n">
        <v>1</v>
      </c>
      <c r="R102" s="168" t="n">
        <v>1</v>
      </c>
      <c r="S102" s="168" t="n">
        <v>1.02</v>
      </c>
      <c r="T102" s="168" t="n">
        <v>1</v>
      </c>
      <c r="U102" s="168" t="n">
        <v>1</v>
      </c>
      <c r="V102" s="168" t="n">
        <v>1</v>
      </c>
      <c r="W102" s="168" t="n">
        <v>1</v>
      </c>
      <c r="X102" s="168" t="n">
        <v>1</v>
      </c>
      <c r="Y102" s="168" t="n">
        <v>1</v>
      </c>
      <c r="Z102" s="168" t="n">
        <v>1</v>
      </c>
      <c r="AA102" s="168" t="n">
        <v>1</v>
      </c>
      <c r="AB102" s="168" t="n">
        <v>1</v>
      </c>
      <c r="AC102" s="168" t="n">
        <v>1</v>
      </c>
      <c r="AD102" s="168" t="n">
        <v>1</v>
      </c>
      <c r="AE102" s="168" t="n">
        <v>1</v>
      </c>
      <c r="AF102" s="168" t="n">
        <v>1.1</v>
      </c>
      <c r="AG102" s="168" t="n">
        <v>1.1</v>
      </c>
      <c r="AH102" s="168" t="n">
        <v>1.05</v>
      </c>
      <c r="AI102" s="168" t="n">
        <v>1</v>
      </c>
      <c r="AJ102" s="168" t="n">
        <v>1</v>
      </c>
      <c r="AK102" s="168" t="n">
        <v>1.02</v>
      </c>
      <c r="AL102" s="168" t="n">
        <v>1</v>
      </c>
      <c r="AM102" s="168" t="n">
        <v>1</v>
      </c>
      <c r="AN102" s="168" t="n">
        <v>1</v>
      </c>
      <c r="AO102" s="168" t="n">
        <v>1</v>
      </c>
    </row>
    <row r="103" customFormat="false" ht="12.75" hidden="false" customHeight="false" outlineLevel="0" collapsed="false">
      <c r="A103" s="167" t="n">
        <v>39814</v>
      </c>
      <c r="B103" s="168" t="n">
        <v>1</v>
      </c>
      <c r="C103" s="168" t="n">
        <v>1</v>
      </c>
      <c r="D103" s="168" t="n">
        <v>1</v>
      </c>
      <c r="E103" s="168" t="n">
        <v>1</v>
      </c>
      <c r="F103" s="168" t="n">
        <v>1</v>
      </c>
      <c r="G103" s="168" t="n">
        <v>1</v>
      </c>
      <c r="H103" s="168" t="n">
        <v>1</v>
      </c>
      <c r="I103" s="168" t="n">
        <v>1</v>
      </c>
      <c r="J103" s="168" t="n">
        <v>1</v>
      </c>
      <c r="K103" s="168" t="n">
        <v>1</v>
      </c>
      <c r="L103" s="168" t="n">
        <v>1</v>
      </c>
      <c r="M103" s="168" t="n">
        <v>1</v>
      </c>
      <c r="N103" s="168" t="n">
        <v>1</v>
      </c>
      <c r="O103" s="168" t="n">
        <v>1</v>
      </c>
      <c r="P103" s="168" t="n">
        <v>1.03</v>
      </c>
      <c r="Q103" s="168" t="n">
        <v>1</v>
      </c>
      <c r="R103" s="168" t="n">
        <v>1</v>
      </c>
      <c r="S103" s="168" t="n">
        <v>1.02</v>
      </c>
      <c r="T103" s="168" t="n">
        <v>1</v>
      </c>
      <c r="U103" s="168" t="n">
        <v>1</v>
      </c>
      <c r="V103" s="168" t="n">
        <v>1</v>
      </c>
      <c r="W103" s="168" t="n">
        <v>1</v>
      </c>
      <c r="X103" s="168" t="n">
        <v>1</v>
      </c>
      <c r="Y103" s="168" t="n">
        <v>1</v>
      </c>
      <c r="Z103" s="168" t="n">
        <v>1</v>
      </c>
      <c r="AA103" s="168" t="n">
        <v>1</v>
      </c>
      <c r="AB103" s="168" t="n">
        <v>1</v>
      </c>
      <c r="AC103" s="168" t="n">
        <v>1</v>
      </c>
      <c r="AD103" s="168" t="n">
        <v>1</v>
      </c>
      <c r="AE103" s="168" t="n">
        <v>1</v>
      </c>
      <c r="AF103" s="168" t="n">
        <v>1.1</v>
      </c>
      <c r="AG103" s="168" t="n">
        <v>1.1</v>
      </c>
      <c r="AH103" s="168" t="n">
        <v>1.05</v>
      </c>
      <c r="AI103" s="168" t="n">
        <v>1</v>
      </c>
      <c r="AJ103" s="168" t="n">
        <v>1</v>
      </c>
      <c r="AK103" s="168" t="n">
        <v>1.02</v>
      </c>
      <c r="AL103" s="168" t="n">
        <v>1</v>
      </c>
      <c r="AM103" s="168" t="n">
        <v>1</v>
      </c>
      <c r="AN103" s="168" t="n">
        <v>1</v>
      </c>
      <c r="AO103" s="168" t="n">
        <v>1</v>
      </c>
    </row>
    <row r="104" customFormat="false" ht="12.75" hidden="false" customHeight="false" outlineLevel="0" collapsed="false">
      <c r="A104" s="167" t="n">
        <v>39845</v>
      </c>
      <c r="B104" s="168" t="n">
        <v>1</v>
      </c>
      <c r="C104" s="168" t="n">
        <v>1</v>
      </c>
      <c r="D104" s="168" t="n">
        <v>1</v>
      </c>
      <c r="E104" s="168" t="n">
        <v>1</v>
      </c>
      <c r="F104" s="168" t="n">
        <v>1</v>
      </c>
      <c r="G104" s="168" t="n">
        <v>1</v>
      </c>
      <c r="H104" s="168" t="n">
        <v>1</v>
      </c>
      <c r="I104" s="168" t="n">
        <v>1</v>
      </c>
      <c r="J104" s="168" t="n">
        <v>1</v>
      </c>
      <c r="K104" s="168" t="n">
        <v>1</v>
      </c>
      <c r="L104" s="168" t="n">
        <v>1</v>
      </c>
      <c r="M104" s="168" t="n">
        <v>1</v>
      </c>
      <c r="N104" s="168" t="n">
        <v>1</v>
      </c>
      <c r="O104" s="168" t="n">
        <v>1</v>
      </c>
      <c r="P104" s="168" t="n">
        <v>1.03</v>
      </c>
      <c r="Q104" s="168" t="n">
        <v>1</v>
      </c>
      <c r="R104" s="168" t="n">
        <v>1</v>
      </c>
      <c r="S104" s="168" t="n">
        <v>1.02</v>
      </c>
      <c r="T104" s="168" t="n">
        <v>1</v>
      </c>
      <c r="U104" s="168" t="n">
        <v>1</v>
      </c>
      <c r="V104" s="168" t="n">
        <v>1</v>
      </c>
      <c r="W104" s="168" t="n">
        <v>1</v>
      </c>
      <c r="X104" s="168" t="n">
        <v>1</v>
      </c>
      <c r="Y104" s="168" t="n">
        <v>1</v>
      </c>
      <c r="Z104" s="168" t="n">
        <v>1</v>
      </c>
      <c r="AA104" s="168" t="n">
        <v>1</v>
      </c>
      <c r="AB104" s="168" t="n">
        <v>1</v>
      </c>
      <c r="AC104" s="168" t="n">
        <v>1</v>
      </c>
      <c r="AD104" s="168" t="n">
        <v>1</v>
      </c>
      <c r="AE104" s="168" t="n">
        <v>1</v>
      </c>
      <c r="AF104" s="168" t="n">
        <v>1.1</v>
      </c>
      <c r="AG104" s="168" t="n">
        <v>1.1</v>
      </c>
      <c r="AH104" s="168" t="n">
        <v>1.05</v>
      </c>
      <c r="AI104" s="168" t="n">
        <v>1</v>
      </c>
      <c r="AJ104" s="168" t="n">
        <v>1</v>
      </c>
      <c r="AK104" s="168" t="n">
        <v>1.02</v>
      </c>
      <c r="AL104" s="168" t="n">
        <v>1</v>
      </c>
      <c r="AM104" s="168" t="n">
        <v>1</v>
      </c>
      <c r="AN104" s="168" t="n">
        <v>1</v>
      </c>
      <c r="AO104" s="168" t="n">
        <v>1</v>
      </c>
    </row>
    <row r="105" customFormat="false" ht="12.75" hidden="false" customHeight="false" outlineLevel="0" collapsed="false">
      <c r="A105" s="167" t="n">
        <v>39873</v>
      </c>
      <c r="B105" s="168" t="n">
        <v>1</v>
      </c>
      <c r="C105" s="168" t="n">
        <v>1</v>
      </c>
      <c r="D105" s="168" t="n">
        <v>1</v>
      </c>
      <c r="E105" s="168" t="n">
        <v>1</v>
      </c>
      <c r="F105" s="168" t="n">
        <v>1</v>
      </c>
      <c r="G105" s="168" t="n">
        <v>1</v>
      </c>
      <c r="H105" s="168" t="n">
        <v>1</v>
      </c>
      <c r="I105" s="168" t="n">
        <v>1</v>
      </c>
      <c r="J105" s="168" t="n">
        <v>1</v>
      </c>
      <c r="K105" s="168" t="n">
        <v>1</v>
      </c>
      <c r="L105" s="168" t="n">
        <v>1</v>
      </c>
      <c r="M105" s="168" t="n">
        <v>1</v>
      </c>
      <c r="N105" s="168" t="n">
        <v>1</v>
      </c>
      <c r="O105" s="168" t="n">
        <v>1</v>
      </c>
      <c r="P105" s="168" t="n">
        <v>1.03</v>
      </c>
      <c r="Q105" s="168" t="n">
        <v>1</v>
      </c>
      <c r="R105" s="168" t="n">
        <v>1</v>
      </c>
      <c r="S105" s="168" t="n">
        <v>1.02</v>
      </c>
      <c r="T105" s="168" t="n">
        <v>1</v>
      </c>
      <c r="U105" s="168" t="n">
        <v>1</v>
      </c>
      <c r="V105" s="168" t="n">
        <v>1</v>
      </c>
      <c r="W105" s="168" t="n">
        <v>1</v>
      </c>
      <c r="X105" s="168" t="n">
        <v>1</v>
      </c>
      <c r="Y105" s="168" t="n">
        <v>1</v>
      </c>
      <c r="Z105" s="168" t="n">
        <v>1</v>
      </c>
      <c r="AA105" s="168" t="n">
        <v>1</v>
      </c>
      <c r="AB105" s="168" t="n">
        <v>1</v>
      </c>
      <c r="AC105" s="168" t="n">
        <v>1</v>
      </c>
      <c r="AD105" s="168" t="n">
        <v>1</v>
      </c>
      <c r="AE105" s="168" t="n">
        <v>1</v>
      </c>
      <c r="AF105" s="168" t="n">
        <v>1.1</v>
      </c>
      <c r="AG105" s="168" t="n">
        <v>1.1</v>
      </c>
      <c r="AH105" s="168" t="n">
        <v>1.05</v>
      </c>
      <c r="AI105" s="168" t="n">
        <v>1</v>
      </c>
      <c r="AJ105" s="168" t="n">
        <v>1</v>
      </c>
      <c r="AK105" s="168" t="n">
        <v>1.02</v>
      </c>
      <c r="AL105" s="168" t="n">
        <v>1</v>
      </c>
      <c r="AM105" s="168" t="n">
        <v>1</v>
      </c>
      <c r="AN105" s="168" t="n">
        <v>1</v>
      </c>
      <c r="AO105" s="168" t="n">
        <v>1</v>
      </c>
    </row>
    <row r="106" customFormat="false" ht="12.75" hidden="false" customHeight="false" outlineLevel="0" collapsed="false">
      <c r="A106" s="167" t="n">
        <v>39904</v>
      </c>
      <c r="B106" s="168" t="n">
        <v>1</v>
      </c>
      <c r="C106" s="168" t="n">
        <v>1</v>
      </c>
      <c r="D106" s="168" t="n">
        <v>1</v>
      </c>
      <c r="E106" s="168" t="n">
        <v>1</v>
      </c>
      <c r="F106" s="168" t="n">
        <v>1</v>
      </c>
      <c r="G106" s="168" t="n">
        <v>1</v>
      </c>
      <c r="H106" s="168" t="n">
        <v>1</v>
      </c>
      <c r="I106" s="168" t="n">
        <v>1</v>
      </c>
      <c r="J106" s="168" t="n">
        <v>1</v>
      </c>
      <c r="K106" s="168" t="n">
        <v>1</v>
      </c>
      <c r="L106" s="168" t="n">
        <v>1</v>
      </c>
      <c r="M106" s="168" t="n">
        <v>1</v>
      </c>
      <c r="N106" s="168" t="n">
        <v>1</v>
      </c>
      <c r="O106" s="168" t="n">
        <v>1</v>
      </c>
      <c r="P106" s="168" t="n">
        <v>1.03</v>
      </c>
      <c r="Q106" s="168" t="n">
        <v>1</v>
      </c>
      <c r="R106" s="168" t="n">
        <v>1</v>
      </c>
      <c r="S106" s="168" t="n">
        <v>1.02</v>
      </c>
      <c r="T106" s="168" t="n">
        <v>1</v>
      </c>
      <c r="U106" s="168" t="n">
        <v>1</v>
      </c>
      <c r="V106" s="168" t="n">
        <v>1</v>
      </c>
      <c r="W106" s="168" t="n">
        <v>1</v>
      </c>
      <c r="X106" s="168" t="n">
        <v>1</v>
      </c>
      <c r="Y106" s="168" t="n">
        <v>1.02</v>
      </c>
      <c r="Z106" s="168" t="n">
        <v>1</v>
      </c>
      <c r="AA106" s="168" t="n">
        <v>1</v>
      </c>
      <c r="AB106" s="168" t="n">
        <v>1</v>
      </c>
      <c r="AC106" s="168" t="n">
        <v>1</v>
      </c>
      <c r="AD106" s="168" t="n">
        <v>0.98</v>
      </c>
      <c r="AE106" s="168" t="n">
        <v>0.98</v>
      </c>
      <c r="AF106" s="168" t="n">
        <v>0.98</v>
      </c>
      <c r="AG106" s="168" t="n">
        <v>0.98</v>
      </c>
      <c r="AH106" s="168" t="n">
        <v>1.05</v>
      </c>
      <c r="AI106" s="168" t="n">
        <v>1</v>
      </c>
      <c r="AJ106" s="168" t="n">
        <v>1</v>
      </c>
      <c r="AK106" s="168" t="n">
        <v>1.02</v>
      </c>
      <c r="AL106" s="168" t="n">
        <v>1</v>
      </c>
      <c r="AM106" s="168" t="n">
        <v>1</v>
      </c>
      <c r="AN106" s="168" t="n">
        <v>1</v>
      </c>
      <c r="AO106" s="168" t="n">
        <v>1</v>
      </c>
    </row>
    <row r="107" customFormat="false" ht="12.75" hidden="false" customHeight="false" outlineLevel="0" collapsed="false">
      <c r="A107" s="167" t="n">
        <v>39934</v>
      </c>
      <c r="B107" s="168" t="n">
        <v>1</v>
      </c>
      <c r="C107" s="168" t="n">
        <v>1</v>
      </c>
      <c r="D107" s="168" t="n">
        <v>1</v>
      </c>
      <c r="E107" s="168" t="n">
        <v>1</v>
      </c>
      <c r="F107" s="168" t="n">
        <v>1</v>
      </c>
      <c r="G107" s="168" t="n">
        <v>1</v>
      </c>
      <c r="H107" s="168" t="n">
        <v>1</v>
      </c>
      <c r="I107" s="168" t="n">
        <v>1</v>
      </c>
      <c r="J107" s="168" t="n">
        <v>1</v>
      </c>
      <c r="K107" s="168" t="n">
        <v>1</v>
      </c>
      <c r="L107" s="168" t="n">
        <v>1</v>
      </c>
      <c r="M107" s="168" t="n">
        <v>1</v>
      </c>
      <c r="N107" s="168" t="n">
        <v>1</v>
      </c>
      <c r="O107" s="168" t="n">
        <v>1</v>
      </c>
      <c r="P107" s="168" t="n">
        <v>1.03</v>
      </c>
      <c r="Q107" s="168" t="n">
        <v>1</v>
      </c>
      <c r="R107" s="168" t="n">
        <v>1</v>
      </c>
      <c r="S107" s="168" t="n">
        <v>1.02</v>
      </c>
      <c r="T107" s="168" t="n">
        <v>1</v>
      </c>
      <c r="U107" s="168" t="n">
        <v>1</v>
      </c>
      <c r="V107" s="168" t="n">
        <v>1</v>
      </c>
      <c r="W107" s="168" t="n">
        <v>1</v>
      </c>
      <c r="X107" s="168" t="n">
        <v>1</v>
      </c>
      <c r="Y107" s="168" t="n">
        <v>1.02</v>
      </c>
      <c r="Z107" s="168" t="n">
        <v>1</v>
      </c>
      <c r="AA107" s="168" t="n">
        <v>1</v>
      </c>
      <c r="AB107" s="168" t="n">
        <v>1</v>
      </c>
      <c r="AC107" s="168" t="n">
        <v>1</v>
      </c>
      <c r="AD107" s="168" t="n">
        <v>0.98</v>
      </c>
      <c r="AE107" s="168" t="n">
        <v>0.98</v>
      </c>
      <c r="AF107" s="168" t="n">
        <v>0.98</v>
      </c>
      <c r="AG107" s="168" t="n">
        <v>0.98</v>
      </c>
      <c r="AH107" s="168" t="n">
        <v>1.05</v>
      </c>
      <c r="AI107" s="168" t="n">
        <v>1</v>
      </c>
      <c r="AJ107" s="168" t="n">
        <v>1</v>
      </c>
      <c r="AK107" s="168" t="n">
        <v>1.02</v>
      </c>
      <c r="AL107" s="168" t="n">
        <v>1</v>
      </c>
      <c r="AM107" s="168" t="n">
        <v>1</v>
      </c>
      <c r="AN107" s="168" t="n">
        <v>1</v>
      </c>
      <c r="AO107" s="168" t="n">
        <v>1</v>
      </c>
    </row>
    <row r="108" customFormat="false" ht="12.75" hidden="false" customHeight="false" outlineLevel="0" collapsed="false">
      <c r="A108" s="167" t="n">
        <v>39965</v>
      </c>
      <c r="B108" s="168" t="n">
        <v>1</v>
      </c>
      <c r="C108" s="168" t="n">
        <v>1</v>
      </c>
      <c r="D108" s="168" t="n">
        <v>1</v>
      </c>
      <c r="E108" s="168" t="n">
        <v>1</v>
      </c>
      <c r="F108" s="168" t="n">
        <v>1</v>
      </c>
      <c r="G108" s="168" t="n">
        <v>1</v>
      </c>
      <c r="H108" s="168" t="n">
        <v>1</v>
      </c>
      <c r="I108" s="168" t="n">
        <v>1</v>
      </c>
      <c r="J108" s="168" t="n">
        <v>1</v>
      </c>
      <c r="K108" s="168" t="n">
        <v>1</v>
      </c>
      <c r="L108" s="168" t="n">
        <v>1</v>
      </c>
      <c r="M108" s="168" t="n">
        <v>1</v>
      </c>
      <c r="N108" s="168" t="n">
        <v>1</v>
      </c>
      <c r="O108" s="168" t="n">
        <v>1</v>
      </c>
      <c r="P108" s="168" t="n">
        <v>1.03</v>
      </c>
      <c r="Q108" s="168" t="n">
        <v>1</v>
      </c>
      <c r="R108" s="168" t="n">
        <v>1</v>
      </c>
      <c r="S108" s="168" t="n">
        <v>1.02</v>
      </c>
      <c r="T108" s="168" t="n">
        <v>1</v>
      </c>
      <c r="U108" s="168" t="n">
        <v>1</v>
      </c>
      <c r="V108" s="168" t="n">
        <v>1</v>
      </c>
      <c r="W108" s="168" t="n">
        <v>1</v>
      </c>
      <c r="X108" s="168" t="n">
        <v>1</v>
      </c>
      <c r="Y108" s="168" t="n">
        <v>1.02</v>
      </c>
      <c r="Z108" s="168" t="n">
        <v>1</v>
      </c>
      <c r="AA108" s="168" t="n">
        <v>1</v>
      </c>
      <c r="AB108" s="168" t="n">
        <v>1</v>
      </c>
      <c r="AC108" s="168" t="n">
        <v>1</v>
      </c>
      <c r="AD108" s="168" t="n">
        <v>0.98</v>
      </c>
      <c r="AE108" s="168" t="n">
        <v>0.98</v>
      </c>
      <c r="AF108" s="168" t="n">
        <v>0.98</v>
      </c>
      <c r="AG108" s="168" t="n">
        <v>0.98</v>
      </c>
      <c r="AH108" s="168" t="n">
        <v>1.05</v>
      </c>
      <c r="AI108" s="168" t="n">
        <v>1</v>
      </c>
      <c r="AJ108" s="168" t="n">
        <v>1</v>
      </c>
      <c r="AK108" s="168" t="n">
        <v>1.02</v>
      </c>
      <c r="AL108" s="168" t="n">
        <v>1</v>
      </c>
      <c r="AM108" s="168" t="n">
        <v>1</v>
      </c>
      <c r="AN108" s="168" t="n">
        <v>1</v>
      </c>
      <c r="AO108" s="168" t="n">
        <v>1</v>
      </c>
    </row>
    <row r="109" customFormat="false" ht="12.75" hidden="false" customHeight="false" outlineLevel="0" collapsed="false">
      <c r="A109" s="167" t="n">
        <v>39995</v>
      </c>
      <c r="B109" s="168" t="n">
        <v>1</v>
      </c>
      <c r="C109" s="168" t="n">
        <v>1</v>
      </c>
      <c r="D109" s="168" t="n">
        <v>1</v>
      </c>
      <c r="E109" s="168" t="n">
        <v>1</v>
      </c>
      <c r="F109" s="168" t="n">
        <v>1</v>
      </c>
      <c r="G109" s="168" t="n">
        <v>1</v>
      </c>
      <c r="H109" s="168" t="n">
        <v>1</v>
      </c>
      <c r="I109" s="168" t="n">
        <v>1</v>
      </c>
      <c r="J109" s="168" t="n">
        <v>1</v>
      </c>
      <c r="K109" s="168" t="n">
        <v>1</v>
      </c>
      <c r="L109" s="168" t="n">
        <v>1</v>
      </c>
      <c r="M109" s="168" t="n">
        <v>1</v>
      </c>
      <c r="N109" s="168" t="n">
        <v>1</v>
      </c>
      <c r="O109" s="168" t="n">
        <v>1</v>
      </c>
      <c r="P109" s="168" t="n">
        <v>1.03</v>
      </c>
      <c r="Q109" s="168" t="n">
        <v>1</v>
      </c>
      <c r="R109" s="168" t="n">
        <v>1</v>
      </c>
      <c r="S109" s="168" t="n">
        <v>1.02</v>
      </c>
      <c r="T109" s="168" t="n">
        <v>1</v>
      </c>
      <c r="U109" s="168" t="n">
        <v>1</v>
      </c>
      <c r="V109" s="168" t="n">
        <v>1</v>
      </c>
      <c r="W109" s="168" t="n">
        <v>1</v>
      </c>
      <c r="X109" s="168" t="n">
        <v>1</v>
      </c>
      <c r="Y109" s="168" t="n">
        <v>1.02</v>
      </c>
      <c r="Z109" s="168" t="n">
        <v>1</v>
      </c>
      <c r="AA109" s="168" t="n">
        <v>1</v>
      </c>
      <c r="AB109" s="168" t="n">
        <v>1</v>
      </c>
      <c r="AC109" s="168" t="n">
        <v>1</v>
      </c>
      <c r="AD109" s="168" t="n">
        <v>0.98</v>
      </c>
      <c r="AE109" s="168" t="n">
        <v>0.98</v>
      </c>
      <c r="AF109" s="168" t="n">
        <v>0.98</v>
      </c>
      <c r="AG109" s="168" t="n">
        <v>0.98</v>
      </c>
      <c r="AH109" s="168" t="n">
        <v>1.05</v>
      </c>
      <c r="AI109" s="168" t="n">
        <v>1</v>
      </c>
      <c r="AJ109" s="168" t="n">
        <v>1</v>
      </c>
      <c r="AK109" s="168" t="n">
        <v>1.02</v>
      </c>
      <c r="AL109" s="168" t="n">
        <v>1</v>
      </c>
      <c r="AM109" s="168" t="n">
        <v>1</v>
      </c>
      <c r="AN109" s="168" t="n">
        <v>1</v>
      </c>
      <c r="AO109" s="168" t="n">
        <v>1</v>
      </c>
    </row>
    <row r="110" customFormat="false" ht="12.75" hidden="false" customHeight="false" outlineLevel="0" collapsed="false">
      <c r="A110" s="167" t="n">
        <v>40026</v>
      </c>
      <c r="B110" s="168" t="n">
        <v>1</v>
      </c>
      <c r="C110" s="168" t="n">
        <v>1</v>
      </c>
      <c r="D110" s="168" t="n">
        <v>1</v>
      </c>
      <c r="E110" s="168" t="n">
        <v>1</v>
      </c>
      <c r="F110" s="168" t="n">
        <v>1</v>
      </c>
      <c r="G110" s="168" t="n">
        <v>1</v>
      </c>
      <c r="H110" s="168" t="n">
        <v>1</v>
      </c>
      <c r="I110" s="168" t="n">
        <v>1</v>
      </c>
      <c r="J110" s="168" t="n">
        <v>1</v>
      </c>
      <c r="K110" s="168" t="n">
        <v>1</v>
      </c>
      <c r="L110" s="168" t="n">
        <v>1</v>
      </c>
      <c r="M110" s="168" t="n">
        <v>1</v>
      </c>
      <c r="N110" s="168" t="n">
        <v>1</v>
      </c>
      <c r="O110" s="168" t="n">
        <v>1</v>
      </c>
      <c r="P110" s="168" t="n">
        <v>1.03</v>
      </c>
      <c r="Q110" s="168" t="n">
        <v>1</v>
      </c>
      <c r="R110" s="168" t="n">
        <v>1</v>
      </c>
      <c r="S110" s="168" t="n">
        <v>1.02</v>
      </c>
      <c r="T110" s="168" t="n">
        <v>1</v>
      </c>
      <c r="U110" s="168" t="n">
        <v>1</v>
      </c>
      <c r="V110" s="168" t="n">
        <v>1</v>
      </c>
      <c r="W110" s="168" t="n">
        <v>1</v>
      </c>
      <c r="X110" s="168" t="n">
        <v>1</v>
      </c>
      <c r="Y110" s="168" t="n">
        <v>1.02</v>
      </c>
      <c r="Z110" s="168" t="n">
        <v>1</v>
      </c>
      <c r="AA110" s="168" t="n">
        <v>1</v>
      </c>
      <c r="AB110" s="168" t="n">
        <v>1</v>
      </c>
      <c r="AC110" s="168" t="n">
        <v>1</v>
      </c>
      <c r="AD110" s="168" t="n">
        <v>0.98</v>
      </c>
      <c r="AE110" s="168" t="n">
        <v>0.98</v>
      </c>
      <c r="AF110" s="168" t="n">
        <v>0.98</v>
      </c>
      <c r="AG110" s="168" t="n">
        <v>0.98</v>
      </c>
      <c r="AH110" s="168" t="n">
        <v>1.05</v>
      </c>
      <c r="AI110" s="168" t="n">
        <v>1</v>
      </c>
      <c r="AJ110" s="168" t="n">
        <v>1</v>
      </c>
      <c r="AK110" s="168" t="n">
        <v>1.02</v>
      </c>
      <c r="AL110" s="168" t="n">
        <v>1</v>
      </c>
      <c r="AM110" s="168" t="n">
        <v>1</v>
      </c>
      <c r="AN110" s="168" t="n">
        <v>1</v>
      </c>
      <c r="AO110" s="168" t="n">
        <v>1</v>
      </c>
    </row>
    <row r="111" customFormat="false" ht="12.75" hidden="false" customHeight="false" outlineLevel="0" collapsed="false">
      <c r="A111" s="167" t="n">
        <v>40057</v>
      </c>
      <c r="B111" s="168" t="n">
        <v>1</v>
      </c>
      <c r="C111" s="168" t="n">
        <v>1</v>
      </c>
      <c r="D111" s="168" t="n">
        <v>1</v>
      </c>
      <c r="E111" s="168" t="n">
        <v>1</v>
      </c>
      <c r="F111" s="168" t="n">
        <v>1</v>
      </c>
      <c r="G111" s="168" t="n">
        <v>1</v>
      </c>
      <c r="H111" s="168" t="n">
        <v>1</v>
      </c>
      <c r="I111" s="168" t="n">
        <v>1</v>
      </c>
      <c r="J111" s="168" t="n">
        <v>1</v>
      </c>
      <c r="K111" s="168" t="n">
        <v>1</v>
      </c>
      <c r="L111" s="168" t="n">
        <v>1</v>
      </c>
      <c r="M111" s="168" t="n">
        <v>1</v>
      </c>
      <c r="N111" s="168" t="n">
        <v>1</v>
      </c>
      <c r="O111" s="168" t="n">
        <v>1</v>
      </c>
      <c r="P111" s="168" t="n">
        <v>1.03</v>
      </c>
      <c r="Q111" s="168" t="n">
        <v>1</v>
      </c>
      <c r="R111" s="168" t="n">
        <v>1</v>
      </c>
      <c r="S111" s="168" t="n">
        <v>1.02</v>
      </c>
      <c r="T111" s="168" t="n">
        <v>1</v>
      </c>
      <c r="U111" s="168" t="n">
        <v>1</v>
      </c>
      <c r="V111" s="168" t="n">
        <v>1</v>
      </c>
      <c r="W111" s="168" t="n">
        <v>1</v>
      </c>
      <c r="X111" s="168" t="n">
        <v>1</v>
      </c>
      <c r="Y111" s="168" t="n">
        <v>1.02</v>
      </c>
      <c r="Z111" s="168" t="n">
        <v>1</v>
      </c>
      <c r="AA111" s="168" t="n">
        <v>1</v>
      </c>
      <c r="AB111" s="168" t="n">
        <v>1</v>
      </c>
      <c r="AC111" s="168" t="n">
        <v>1</v>
      </c>
      <c r="AD111" s="168" t="n">
        <v>0.98</v>
      </c>
      <c r="AE111" s="168" t="n">
        <v>0.98</v>
      </c>
      <c r="AF111" s="168" t="n">
        <v>0.98</v>
      </c>
      <c r="AG111" s="168" t="n">
        <v>0.98</v>
      </c>
      <c r="AH111" s="168" t="n">
        <v>1.05</v>
      </c>
      <c r="AI111" s="168" t="n">
        <v>1</v>
      </c>
      <c r="AJ111" s="168" t="n">
        <v>1</v>
      </c>
      <c r="AK111" s="168" t="n">
        <v>1.02</v>
      </c>
      <c r="AL111" s="168" t="n">
        <v>1</v>
      </c>
      <c r="AM111" s="168" t="n">
        <v>1</v>
      </c>
      <c r="AN111" s="168" t="n">
        <v>1</v>
      </c>
      <c r="AO111" s="168" t="n">
        <v>1</v>
      </c>
    </row>
    <row r="112" customFormat="false" ht="12.75" hidden="false" customHeight="false" outlineLevel="0" collapsed="false">
      <c r="A112" s="167" t="n">
        <v>40087</v>
      </c>
      <c r="B112" s="168" t="n">
        <v>1</v>
      </c>
      <c r="C112" s="168" t="n">
        <v>1</v>
      </c>
      <c r="D112" s="168" t="n">
        <v>1</v>
      </c>
      <c r="E112" s="168" t="n">
        <v>1</v>
      </c>
      <c r="F112" s="168" t="n">
        <v>1</v>
      </c>
      <c r="G112" s="168" t="n">
        <v>1</v>
      </c>
      <c r="H112" s="168" t="n">
        <v>1</v>
      </c>
      <c r="I112" s="168" t="n">
        <v>1</v>
      </c>
      <c r="J112" s="168" t="n">
        <v>1</v>
      </c>
      <c r="K112" s="168" t="n">
        <v>1</v>
      </c>
      <c r="L112" s="168" t="n">
        <v>1</v>
      </c>
      <c r="M112" s="168" t="n">
        <v>1</v>
      </c>
      <c r="N112" s="168" t="n">
        <v>1</v>
      </c>
      <c r="O112" s="168" t="n">
        <v>1</v>
      </c>
      <c r="P112" s="168" t="n">
        <v>1.03</v>
      </c>
      <c r="Q112" s="168" t="n">
        <v>1</v>
      </c>
      <c r="R112" s="168" t="n">
        <v>1</v>
      </c>
      <c r="S112" s="168" t="n">
        <v>1.02</v>
      </c>
      <c r="T112" s="168" t="n">
        <v>1</v>
      </c>
      <c r="U112" s="168" t="n">
        <v>1</v>
      </c>
      <c r="V112" s="168" t="n">
        <v>1</v>
      </c>
      <c r="W112" s="168" t="n">
        <v>1</v>
      </c>
      <c r="X112" s="168" t="n">
        <v>1</v>
      </c>
      <c r="Y112" s="168" t="n">
        <v>1.02</v>
      </c>
      <c r="Z112" s="168" t="n">
        <v>1</v>
      </c>
      <c r="AA112" s="168" t="n">
        <v>1</v>
      </c>
      <c r="AB112" s="168" t="n">
        <v>1</v>
      </c>
      <c r="AC112" s="168" t="n">
        <v>1</v>
      </c>
      <c r="AD112" s="168" t="n">
        <v>0.98</v>
      </c>
      <c r="AE112" s="168" t="n">
        <v>0.98</v>
      </c>
      <c r="AF112" s="168" t="n">
        <v>0.98</v>
      </c>
      <c r="AG112" s="168" t="n">
        <v>0.98</v>
      </c>
      <c r="AH112" s="168" t="n">
        <v>1.05</v>
      </c>
      <c r="AI112" s="168" t="n">
        <v>1</v>
      </c>
      <c r="AJ112" s="168" t="n">
        <v>1</v>
      </c>
      <c r="AK112" s="168" t="n">
        <v>1.02</v>
      </c>
      <c r="AL112" s="168" t="n">
        <v>1</v>
      </c>
      <c r="AM112" s="168" t="n">
        <v>1</v>
      </c>
      <c r="AN112" s="168" t="n">
        <v>1</v>
      </c>
      <c r="AO112" s="168" t="n">
        <v>1</v>
      </c>
    </row>
    <row r="113" customFormat="false" ht="12.75" hidden="false" customHeight="false" outlineLevel="0" collapsed="false">
      <c r="A113" s="167" t="n">
        <v>40118</v>
      </c>
      <c r="B113" s="168" t="n">
        <v>1</v>
      </c>
      <c r="C113" s="168" t="n">
        <v>1</v>
      </c>
      <c r="D113" s="168" t="n">
        <v>1</v>
      </c>
      <c r="E113" s="168" t="n">
        <v>1</v>
      </c>
      <c r="F113" s="168" t="n">
        <v>1</v>
      </c>
      <c r="G113" s="168" t="n">
        <v>1</v>
      </c>
      <c r="H113" s="168" t="n">
        <v>1</v>
      </c>
      <c r="I113" s="168" t="n">
        <v>1</v>
      </c>
      <c r="J113" s="168" t="n">
        <v>1</v>
      </c>
      <c r="K113" s="168" t="n">
        <v>1</v>
      </c>
      <c r="L113" s="168" t="n">
        <v>1</v>
      </c>
      <c r="M113" s="168" t="n">
        <v>1</v>
      </c>
      <c r="N113" s="168" t="n">
        <v>1</v>
      </c>
      <c r="O113" s="168" t="n">
        <v>1</v>
      </c>
      <c r="P113" s="168" t="n">
        <v>1.03</v>
      </c>
      <c r="Q113" s="168" t="n">
        <v>1</v>
      </c>
      <c r="R113" s="168" t="n">
        <v>1</v>
      </c>
      <c r="S113" s="168" t="n">
        <v>1.02</v>
      </c>
      <c r="T113" s="168" t="n">
        <v>1</v>
      </c>
      <c r="U113" s="168" t="n">
        <v>1</v>
      </c>
      <c r="V113" s="168" t="n">
        <v>1</v>
      </c>
      <c r="W113" s="168" t="n">
        <v>1</v>
      </c>
      <c r="X113" s="168" t="n">
        <v>1</v>
      </c>
      <c r="Y113" s="168" t="n">
        <v>1</v>
      </c>
      <c r="Z113" s="168" t="n">
        <v>1</v>
      </c>
      <c r="AA113" s="168" t="n">
        <v>1</v>
      </c>
      <c r="AB113" s="168" t="n">
        <v>1</v>
      </c>
      <c r="AC113" s="168" t="n">
        <v>1</v>
      </c>
      <c r="AD113" s="168" t="n">
        <v>1</v>
      </c>
      <c r="AE113" s="168" t="n">
        <v>1</v>
      </c>
      <c r="AF113" s="168" t="n">
        <v>1.1</v>
      </c>
      <c r="AG113" s="168" t="n">
        <v>1.1</v>
      </c>
      <c r="AH113" s="168" t="n">
        <v>1.05</v>
      </c>
      <c r="AI113" s="168" t="n">
        <v>1</v>
      </c>
      <c r="AJ113" s="168" t="n">
        <v>1</v>
      </c>
      <c r="AK113" s="168" t="n">
        <v>1.02</v>
      </c>
      <c r="AL113" s="168" t="n">
        <v>1</v>
      </c>
      <c r="AM113" s="168" t="n">
        <v>1</v>
      </c>
      <c r="AN113" s="168" t="n">
        <v>1</v>
      </c>
      <c r="AO113" s="168" t="n">
        <v>1</v>
      </c>
    </row>
    <row r="114" customFormat="false" ht="12.75" hidden="false" customHeight="false" outlineLevel="0" collapsed="false">
      <c r="A114" s="167" t="n">
        <v>40148</v>
      </c>
      <c r="B114" s="168" t="n">
        <v>1</v>
      </c>
      <c r="C114" s="168" t="n">
        <v>1</v>
      </c>
      <c r="D114" s="168" t="n">
        <v>1</v>
      </c>
      <c r="E114" s="168" t="n">
        <v>1</v>
      </c>
      <c r="F114" s="168" t="n">
        <v>1</v>
      </c>
      <c r="G114" s="168" t="n">
        <v>1</v>
      </c>
      <c r="H114" s="168" t="n">
        <v>1</v>
      </c>
      <c r="I114" s="168" t="n">
        <v>1</v>
      </c>
      <c r="J114" s="168" t="n">
        <v>1</v>
      </c>
      <c r="K114" s="168" t="n">
        <v>1</v>
      </c>
      <c r="L114" s="168" t="n">
        <v>1</v>
      </c>
      <c r="M114" s="168" t="n">
        <v>1</v>
      </c>
      <c r="N114" s="168" t="n">
        <v>1</v>
      </c>
      <c r="O114" s="168" t="n">
        <v>1</v>
      </c>
      <c r="P114" s="168" t="n">
        <v>1.03</v>
      </c>
      <c r="Q114" s="168" t="n">
        <v>1</v>
      </c>
      <c r="R114" s="168" t="n">
        <v>1</v>
      </c>
      <c r="S114" s="168" t="n">
        <v>1.02</v>
      </c>
      <c r="T114" s="168" t="n">
        <v>1</v>
      </c>
      <c r="U114" s="168" t="n">
        <v>1</v>
      </c>
      <c r="V114" s="168" t="n">
        <v>1</v>
      </c>
      <c r="W114" s="168" t="n">
        <v>1</v>
      </c>
      <c r="X114" s="168" t="n">
        <v>1</v>
      </c>
      <c r="Y114" s="168" t="n">
        <v>1</v>
      </c>
      <c r="Z114" s="168" t="n">
        <v>1</v>
      </c>
      <c r="AA114" s="168" t="n">
        <v>1</v>
      </c>
      <c r="AB114" s="168" t="n">
        <v>1</v>
      </c>
      <c r="AC114" s="168" t="n">
        <v>1</v>
      </c>
      <c r="AD114" s="168" t="n">
        <v>1</v>
      </c>
      <c r="AE114" s="168" t="n">
        <v>1</v>
      </c>
      <c r="AF114" s="168" t="n">
        <v>1.1</v>
      </c>
      <c r="AG114" s="168" t="n">
        <v>1.1</v>
      </c>
      <c r="AH114" s="168" t="n">
        <v>1.05</v>
      </c>
      <c r="AI114" s="168" t="n">
        <v>1</v>
      </c>
      <c r="AJ114" s="168" t="n">
        <v>1</v>
      </c>
      <c r="AK114" s="168" t="n">
        <v>1.02</v>
      </c>
      <c r="AL114" s="168" t="n">
        <v>1</v>
      </c>
      <c r="AM114" s="168" t="n">
        <v>1</v>
      </c>
      <c r="AN114" s="168" t="n">
        <v>1</v>
      </c>
      <c r="AO114" s="168" t="n">
        <v>1</v>
      </c>
    </row>
    <row r="115" customFormat="false" ht="12.75" hidden="false" customHeight="false" outlineLevel="0" collapsed="false">
      <c r="A115" s="167" t="n">
        <v>40179</v>
      </c>
      <c r="B115" s="168" t="n">
        <v>1</v>
      </c>
      <c r="C115" s="168" t="n">
        <v>1</v>
      </c>
      <c r="D115" s="168" t="n">
        <v>1</v>
      </c>
      <c r="E115" s="168" t="n">
        <v>1</v>
      </c>
      <c r="F115" s="168" t="n">
        <v>1</v>
      </c>
      <c r="G115" s="168" t="n">
        <v>1</v>
      </c>
      <c r="H115" s="168" t="n">
        <v>1</v>
      </c>
      <c r="I115" s="168" t="n">
        <v>1</v>
      </c>
      <c r="J115" s="168" t="n">
        <v>1</v>
      </c>
      <c r="K115" s="168" t="n">
        <v>1</v>
      </c>
      <c r="L115" s="168" t="n">
        <v>1</v>
      </c>
      <c r="M115" s="168" t="n">
        <v>1</v>
      </c>
      <c r="N115" s="168" t="n">
        <v>1</v>
      </c>
      <c r="O115" s="168" t="n">
        <v>1</v>
      </c>
      <c r="P115" s="168" t="n">
        <v>1.03</v>
      </c>
      <c r="Q115" s="168" t="n">
        <v>1</v>
      </c>
      <c r="R115" s="168" t="n">
        <v>1</v>
      </c>
      <c r="S115" s="168" t="n">
        <v>1.02</v>
      </c>
      <c r="T115" s="168" t="n">
        <v>1</v>
      </c>
      <c r="U115" s="168" t="n">
        <v>1</v>
      </c>
      <c r="V115" s="168" t="n">
        <v>1</v>
      </c>
      <c r="W115" s="168" t="n">
        <v>1</v>
      </c>
      <c r="X115" s="168" t="n">
        <v>1</v>
      </c>
      <c r="Y115" s="168" t="n">
        <v>1</v>
      </c>
      <c r="Z115" s="168" t="n">
        <v>1</v>
      </c>
      <c r="AA115" s="168" t="n">
        <v>1</v>
      </c>
      <c r="AB115" s="168" t="n">
        <v>1</v>
      </c>
      <c r="AC115" s="168" t="n">
        <v>1</v>
      </c>
      <c r="AD115" s="168" t="n">
        <v>1</v>
      </c>
      <c r="AE115" s="168" t="n">
        <v>1</v>
      </c>
      <c r="AF115" s="168" t="n">
        <v>1.1</v>
      </c>
      <c r="AG115" s="168" t="n">
        <v>1.1</v>
      </c>
      <c r="AH115" s="168" t="n">
        <v>1.05</v>
      </c>
      <c r="AI115" s="168" t="n">
        <v>1</v>
      </c>
      <c r="AJ115" s="168" t="n">
        <v>1</v>
      </c>
      <c r="AK115" s="168" t="n">
        <v>1.02</v>
      </c>
      <c r="AL115" s="168" t="n">
        <v>1</v>
      </c>
      <c r="AM115" s="168" t="n">
        <v>1</v>
      </c>
      <c r="AN115" s="168" t="n">
        <v>1</v>
      </c>
      <c r="AO115" s="168" t="n">
        <v>1</v>
      </c>
    </row>
    <row r="116" customFormat="false" ht="12.75" hidden="false" customHeight="false" outlineLevel="0" collapsed="false">
      <c r="A116" s="167" t="n">
        <v>40210</v>
      </c>
      <c r="B116" s="168" t="n">
        <v>1</v>
      </c>
      <c r="C116" s="168" t="n">
        <v>1</v>
      </c>
      <c r="D116" s="168" t="n">
        <v>1</v>
      </c>
      <c r="E116" s="168" t="n">
        <v>1</v>
      </c>
      <c r="F116" s="168" t="n">
        <v>1</v>
      </c>
      <c r="G116" s="168" t="n">
        <v>1</v>
      </c>
      <c r="H116" s="168" t="n">
        <v>1</v>
      </c>
      <c r="I116" s="168" t="n">
        <v>1</v>
      </c>
      <c r="J116" s="168" t="n">
        <v>1</v>
      </c>
      <c r="K116" s="168" t="n">
        <v>1</v>
      </c>
      <c r="L116" s="168" t="n">
        <v>1</v>
      </c>
      <c r="M116" s="168" t="n">
        <v>1</v>
      </c>
      <c r="N116" s="168" t="n">
        <v>1</v>
      </c>
      <c r="O116" s="168" t="n">
        <v>1</v>
      </c>
      <c r="P116" s="168" t="n">
        <v>1.03</v>
      </c>
      <c r="Q116" s="168" t="n">
        <v>1</v>
      </c>
      <c r="R116" s="168" t="n">
        <v>1</v>
      </c>
      <c r="S116" s="168" t="n">
        <v>1.02</v>
      </c>
      <c r="T116" s="168" t="n">
        <v>1</v>
      </c>
      <c r="U116" s="168" t="n">
        <v>1</v>
      </c>
      <c r="V116" s="168" t="n">
        <v>1</v>
      </c>
      <c r="W116" s="168" t="n">
        <v>1</v>
      </c>
      <c r="X116" s="168" t="n">
        <v>1</v>
      </c>
      <c r="Y116" s="168" t="n">
        <v>1</v>
      </c>
      <c r="Z116" s="168" t="n">
        <v>1</v>
      </c>
      <c r="AA116" s="168" t="n">
        <v>1</v>
      </c>
      <c r="AB116" s="168" t="n">
        <v>1</v>
      </c>
      <c r="AC116" s="168" t="n">
        <v>1</v>
      </c>
      <c r="AD116" s="168" t="n">
        <v>1</v>
      </c>
      <c r="AE116" s="168" t="n">
        <v>1</v>
      </c>
      <c r="AF116" s="168" t="n">
        <v>1.1</v>
      </c>
      <c r="AG116" s="168" t="n">
        <v>1.1</v>
      </c>
      <c r="AH116" s="168" t="n">
        <v>1.05</v>
      </c>
      <c r="AI116" s="168" t="n">
        <v>1</v>
      </c>
      <c r="AJ116" s="168" t="n">
        <v>1</v>
      </c>
      <c r="AK116" s="168" t="n">
        <v>1.02</v>
      </c>
      <c r="AL116" s="168" t="n">
        <v>1</v>
      </c>
      <c r="AM116" s="168" t="n">
        <v>1</v>
      </c>
      <c r="AN116" s="168" t="n">
        <v>1</v>
      </c>
      <c r="AO116" s="168" t="n">
        <v>1</v>
      </c>
    </row>
    <row r="117" customFormat="false" ht="12.75" hidden="false" customHeight="false" outlineLevel="0" collapsed="false">
      <c r="A117" s="167" t="n">
        <v>40238</v>
      </c>
      <c r="B117" s="168" t="n">
        <v>1</v>
      </c>
      <c r="C117" s="168" t="n">
        <v>1</v>
      </c>
      <c r="D117" s="168" t="n">
        <v>1</v>
      </c>
      <c r="E117" s="168" t="n">
        <v>1</v>
      </c>
      <c r="F117" s="168" t="n">
        <v>1</v>
      </c>
      <c r="G117" s="168" t="n">
        <v>1</v>
      </c>
      <c r="H117" s="168" t="n">
        <v>1</v>
      </c>
      <c r="I117" s="168" t="n">
        <v>1</v>
      </c>
      <c r="J117" s="168" t="n">
        <v>1</v>
      </c>
      <c r="K117" s="168" t="n">
        <v>1</v>
      </c>
      <c r="L117" s="168" t="n">
        <v>1</v>
      </c>
      <c r="M117" s="168" t="n">
        <v>1</v>
      </c>
      <c r="N117" s="168" t="n">
        <v>1</v>
      </c>
      <c r="O117" s="168" t="n">
        <v>1</v>
      </c>
      <c r="P117" s="168" t="n">
        <v>1.03</v>
      </c>
      <c r="Q117" s="168" t="n">
        <v>1</v>
      </c>
      <c r="R117" s="168" t="n">
        <v>1</v>
      </c>
      <c r="S117" s="168" t="n">
        <v>1.02</v>
      </c>
      <c r="T117" s="168" t="n">
        <v>1</v>
      </c>
      <c r="U117" s="168" t="n">
        <v>1</v>
      </c>
      <c r="V117" s="168" t="n">
        <v>1</v>
      </c>
      <c r="W117" s="168" t="n">
        <v>1</v>
      </c>
      <c r="X117" s="168" t="n">
        <v>1</v>
      </c>
      <c r="Y117" s="168" t="n">
        <v>1</v>
      </c>
      <c r="Z117" s="168" t="n">
        <v>1</v>
      </c>
      <c r="AA117" s="168" t="n">
        <v>1</v>
      </c>
      <c r="AB117" s="168" t="n">
        <v>1</v>
      </c>
      <c r="AC117" s="168" t="n">
        <v>1</v>
      </c>
      <c r="AD117" s="168" t="n">
        <v>1</v>
      </c>
      <c r="AE117" s="168" t="n">
        <v>1</v>
      </c>
      <c r="AF117" s="168" t="n">
        <v>1.1</v>
      </c>
      <c r="AG117" s="168" t="n">
        <v>1.1</v>
      </c>
      <c r="AH117" s="168" t="n">
        <v>1.05</v>
      </c>
      <c r="AI117" s="168" t="n">
        <v>1</v>
      </c>
      <c r="AJ117" s="168" t="n">
        <v>1</v>
      </c>
      <c r="AK117" s="168" t="n">
        <v>1.02</v>
      </c>
      <c r="AL117" s="168" t="n">
        <v>1</v>
      </c>
      <c r="AM117" s="168" t="n">
        <v>1</v>
      </c>
      <c r="AN117" s="168" t="n">
        <v>1</v>
      </c>
      <c r="AO117" s="168" t="n">
        <v>1</v>
      </c>
    </row>
    <row r="118" customFormat="false" ht="12.75" hidden="false" customHeight="false" outlineLevel="0" collapsed="false">
      <c r="A118" s="167" t="n">
        <v>40269</v>
      </c>
      <c r="B118" s="168" t="n">
        <v>1</v>
      </c>
      <c r="C118" s="168" t="n">
        <v>1</v>
      </c>
      <c r="D118" s="168" t="n">
        <v>1</v>
      </c>
      <c r="E118" s="168" t="n">
        <v>1</v>
      </c>
      <c r="F118" s="168" t="n">
        <v>1</v>
      </c>
      <c r="G118" s="168" t="n">
        <v>1</v>
      </c>
      <c r="H118" s="168" t="n">
        <v>1</v>
      </c>
      <c r="I118" s="168" t="n">
        <v>1</v>
      </c>
      <c r="J118" s="168" t="n">
        <v>1</v>
      </c>
      <c r="K118" s="168" t="n">
        <v>1</v>
      </c>
      <c r="L118" s="168" t="n">
        <v>1</v>
      </c>
      <c r="M118" s="168" t="n">
        <v>1</v>
      </c>
      <c r="N118" s="168" t="n">
        <v>1</v>
      </c>
      <c r="O118" s="168" t="n">
        <v>1</v>
      </c>
      <c r="P118" s="168" t="n">
        <v>1.03</v>
      </c>
      <c r="Q118" s="168" t="n">
        <v>1</v>
      </c>
      <c r="R118" s="168" t="n">
        <v>1</v>
      </c>
      <c r="S118" s="168" t="n">
        <v>1.02</v>
      </c>
      <c r="T118" s="168" t="n">
        <v>1</v>
      </c>
      <c r="U118" s="168" t="n">
        <v>1</v>
      </c>
      <c r="V118" s="168" t="n">
        <v>1</v>
      </c>
      <c r="W118" s="168" t="n">
        <v>1</v>
      </c>
      <c r="X118" s="168" t="n">
        <v>1</v>
      </c>
      <c r="Y118" s="168" t="n">
        <v>1.02</v>
      </c>
      <c r="Z118" s="168" t="n">
        <v>1</v>
      </c>
      <c r="AA118" s="168" t="n">
        <v>1</v>
      </c>
      <c r="AB118" s="168" t="n">
        <v>1</v>
      </c>
      <c r="AC118" s="168" t="n">
        <v>1</v>
      </c>
      <c r="AD118" s="168" t="n">
        <v>0.98</v>
      </c>
      <c r="AE118" s="168" t="n">
        <v>0.98</v>
      </c>
      <c r="AF118" s="168" t="n">
        <v>0.98</v>
      </c>
      <c r="AG118" s="168" t="n">
        <v>0.98</v>
      </c>
      <c r="AH118" s="168" t="n">
        <v>1.05</v>
      </c>
      <c r="AI118" s="168" t="n">
        <v>1</v>
      </c>
      <c r="AJ118" s="168" t="n">
        <v>1</v>
      </c>
      <c r="AK118" s="168" t="n">
        <v>1.02</v>
      </c>
      <c r="AL118" s="168" t="n">
        <v>1</v>
      </c>
      <c r="AM118" s="168" t="n">
        <v>1</v>
      </c>
      <c r="AN118" s="168" t="n">
        <v>1</v>
      </c>
      <c r="AO118" s="168" t="n">
        <v>1</v>
      </c>
    </row>
    <row r="119" customFormat="false" ht="12.75" hidden="false" customHeight="false" outlineLevel="0" collapsed="false">
      <c r="A119" s="167" t="n">
        <v>40299</v>
      </c>
      <c r="B119" s="168" t="n">
        <v>1</v>
      </c>
      <c r="C119" s="168" t="n">
        <v>1</v>
      </c>
      <c r="D119" s="168" t="n">
        <v>1</v>
      </c>
      <c r="E119" s="168" t="n">
        <v>1</v>
      </c>
      <c r="F119" s="168" t="n">
        <v>1</v>
      </c>
      <c r="G119" s="168" t="n">
        <v>1</v>
      </c>
      <c r="H119" s="168" t="n">
        <v>1</v>
      </c>
      <c r="I119" s="168" t="n">
        <v>1</v>
      </c>
      <c r="J119" s="168" t="n">
        <v>1</v>
      </c>
      <c r="K119" s="168" t="n">
        <v>1</v>
      </c>
      <c r="L119" s="168" t="n">
        <v>1</v>
      </c>
      <c r="M119" s="168" t="n">
        <v>1</v>
      </c>
      <c r="N119" s="168" t="n">
        <v>1</v>
      </c>
      <c r="O119" s="168" t="n">
        <v>1</v>
      </c>
      <c r="P119" s="168" t="n">
        <v>1.03</v>
      </c>
      <c r="Q119" s="168" t="n">
        <v>1</v>
      </c>
      <c r="R119" s="168" t="n">
        <v>1</v>
      </c>
      <c r="S119" s="168" t="n">
        <v>1.02</v>
      </c>
      <c r="T119" s="168" t="n">
        <v>1</v>
      </c>
      <c r="U119" s="168" t="n">
        <v>1</v>
      </c>
      <c r="V119" s="168" t="n">
        <v>1</v>
      </c>
      <c r="W119" s="168" t="n">
        <v>1</v>
      </c>
      <c r="X119" s="168" t="n">
        <v>1</v>
      </c>
      <c r="Y119" s="168" t="n">
        <v>1.02</v>
      </c>
      <c r="Z119" s="168" t="n">
        <v>1</v>
      </c>
      <c r="AA119" s="168" t="n">
        <v>1</v>
      </c>
      <c r="AB119" s="168" t="n">
        <v>1</v>
      </c>
      <c r="AC119" s="168" t="n">
        <v>1</v>
      </c>
      <c r="AD119" s="168" t="n">
        <v>0.98</v>
      </c>
      <c r="AE119" s="168" t="n">
        <v>0.98</v>
      </c>
      <c r="AF119" s="168" t="n">
        <v>0.98</v>
      </c>
      <c r="AG119" s="168" t="n">
        <v>0.98</v>
      </c>
      <c r="AH119" s="168" t="n">
        <v>1.05</v>
      </c>
      <c r="AI119" s="168" t="n">
        <v>1</v>
      </c>
      <c r="AJ119" s="168" t="n">
        <v>1</v>
      </c>
      <c r="AK119" s="168" t="n">
        <v>1.02</v>
      </c>
      <c r="AL119" s="168" t="n">
        <v>1</v>
      </c>
      <c r="AM119" s="168" t="n">
        <v>1</v>
      </c>
      <c r="AN119" s="168" t="n">
        <v>1</v>
      </c>
      <c r="AO119" s="168" t="n">
        <v>1</v>
      </c>
    </row>
    <row r="120" customFormat="false" ht="12.75" hidden="false" customHeight="false" outlineLevel="0" collapsed="false">
      <c r="A120" s="167" t="n">
        <v>40330</v>
      </c>
      <c r="B120" s="168" t="n">
        <v>1</v>
      </c>
      <c r="C120" s="168" t="n">
        <v>1</v>
      </c>
      <c r="D120" s="168" t="n">
        <v>1</v>
      </c>
      <c r="E120" s="168" t="n">
        <v>1</v>
      </c>
      <c r="F120" s="168" t="n">
        <v>1</v>
      </c>
      <c r="G120" s="168" t="n">
        <v>1</v>
      </c>
      <c r="H120" s="168" t="n">
        <v>1</v>
      </c>
      <c r="I120" s="168" t="n">
        <v>1</v>
      </c>
      <c r="J120" s="168" t="n">
        <v>1</v>
      </c>
      <c r="K120" s="168" t="n">
        <v>1</v>
      </c>
      <c r="L120" s="168" t="n">
        <v>1</v>
      </c>
      <c r="M120" s="168" t="n">
        <v>1</v>
      </c>
      <c r="N120" s="168" t="n">
        <v>1</v>
      </c>
      <c r="O120" s="168" t="n">
        <v>1</v>
      </c>
      <c r="P120" s="168" t="n">
        <v>1.03</v>
      </c>
      <c r="Q120" s="168" t="n">
        <v>1</v>
      </c>
      <c r="R120" s="168" t="n">
        <v>1</v>
      </c>
      <c r="S120" s="168" t="n">
        <v>1.02</v>
      </c>
      <c r="T120" s="168" t="n">
        <v>1</v>
      </c>
      <c r="U120" s="168" t="n">
        <v>1</v>
      </c>
      <c r="V120" s="168" t="n">
        <v>1</v>
      </c>
      <c r="W120" s="168" t="n">
        <v>1</v>
      </c>
      <c r="X120" s="168" t="n">
        <v>1</v>
      </c>
      <c r="Y120" s="168" t="n">
        <v>1.02</v>
      </c>
      <c r="Z120" s="168" t="n">
        <v>1</v>
      </c>
      <c r="AA120" s="168" t="n">
        <v>1</v>
      </c>
      <c r="AB120" s="168" t="n">
        <v>1</v>
      </c>
      <c r="AC120" s="168" t="n">
        <v>1</v>
      </c>
      <c r="AD120" s="168" t="n">
        <v>0.98</v>
      </c>
      <c r="AE120" s="168" t="n">
        <v>0.98</v>
      </c>
      <c r="AF120" s="168" t="n">
        <v>0.98</v>
      </c>
      <c r="AG120" s="168" t="n">
        <v>0.98</v>
      </c>
      <c r="AH120" s="168" t="n">
        <v>1.05</v>
      </c>
      <c r="AI120" s="168" t="n">
        <v>1</v>
      </c>
      <c r="AJ120" s="168" t="n">
        <v>1</v>
      </c>
      <c r="AK120" s="168" t="n">
        <v>1.02</v>
      </c>
      <c r="AL120" s="168" t="n">
        <v>1</v>
      </c>
      <c r="AM120" s="168" t="n">
        <v>1</v>
      </c>
      <c r="AN120" s="168" t="n">
        <v>1</v>
      </c>
      <c r="AO120" s="168" t="n">
        <v>1</v>
      </c>
    </row>
    <row r="121" customFormat="false" ht="12.75" hidden="false" customHeight="false" outlineLevel="0" collapsed="false">
      <c r="A121" s="167" t="n">
        <v>40360</v>
      </c>
      <c r="B121" s="168" t="n">
        <v>1</v>
      </c>
      <c r="C121" s="168" t="n">
        <v>1</v>
      </c>
      <c r="D121" s="168" t="n">
        <v>1</v>
      </c>
      <c r="E121" s="168" t="n">
        <v>1</v>
      </c>
      <c r="F121" s="168" t="n">
        <v>1</v>
      </c>
      <c r="G121" s="168" t="n">
        <v>1</v>
      </c>
      <c r="H121" s="168" t="n">
        <v>1</v>
      </c>
      <c r="I121" s="168" t="n">
        <v>1</v>
      </c>
      <c r="J121" s="168" t="n">
        <v>1</v>
      </c>
      <c r="K121" s="168" t="n">
        <v>1</v>
      </c>
      <c r="L121" s="168" t="n">
        <v>1</v>
      </c>
      <c r="M121" s="168" t="n">
        <v>1</v>
      </c>
      <c r="N121" s="168" t="n">
        <v>1</v>
      </c>
      <c r="O121" s="168" t="n">
        <v>1</v>
      </c>
      <c r="P121" s="168" t="n">
        <v>1.03</v>
      </c>
      <c r="Q121" s="168" t="n">
        <v>1</v>
      </c>
      <c r="R121" s="168" t="n">
        <v>1</v>
      </c>
      <c r="S121" s="168" t="n">
        <v>1.02</v>
      </c>
      <c r="T121" s="168" t="n">
        <v>1</v>
      </c>
      <c r="U121" s="168" t="n">
        <v>1</v>
      </c>
      <c r="V121" s="168" t="n">
        <v>1</v>
      </c>
      <c r="W121" s="168" t="n">
        <v>1</v>
      </c>
      <c r="X121" s="168" t="n">
        <v>1</v>
      </c>
      <c r="Y121" s="168" t="n">
        <v>1.02</v>
      </c>
      <c r="Z121" s="168" t="n">
        <v>1</v>
      </c>
      <c r="AA121" s="168" t="n">
        <v>1</v>
      </c>
      <c r="AB121" s="168" t="n">
        <v>1</v>
      </c>
      <c r="AC121" s="168" t="n">
        <v>1</v>
      </c>
      <c r="AD121" s="168" t="n">
        <v>0.98</v>
      </c>
      <c r="AE121" s="168" t="n">
        <v>0.98</v>
      </c>
      <c r="AF121" s="168" t="n">
        <v>0.98</v>
      </c>
      <c r="AG121" s="168" t="n">
        <v>0.98</v>
      </c>
      <c r="AH121" s="168" t="n">
        <v>1.05</v>
      </c>
      <c r="AI121" s="168" t="n">
        <v>1</v>
      </c>
      <c r="AJ121" s="168" t="n">
        <v>1</v>
      </c>
      <c r="AK121" s="168" t="n">
        <v>1.02</v>
      </c>
      <c r="AL121" s="168" t="n">
        <v>1</v>
      </c>
      <c r="AM121" s="168" t="n">
        <v>1</v>
      </c>
      <c r="AN121" s="168" t="n">
        <v>1</v>
      </c>
      <c r="AO121" s="168" t="n">
        <v>1</v>
      </c>
    </row>
    <row r="122" customFormat="false" ht="12.75" hidden="false" customHeight="false" outlineLevel="0" collapsed="false">
      <c r="A122" s="167" t="n">
        <v>40391</v>
      </c>
      <c r="B122" s="168" t="n">
        <v>1</v>
      </c>
      <c r="C122" s="168" t="n">
        <v>1</v>
      </c>
      <c r="D122" s="168" t="n">
        <v>1</v>
      </c>
      <c r="E122" s="168" t="n">
        <v>1</v>
      </c>
      <c r="F122" s="168" t="n">
        <v>1</v>
      </c>
      <c r="G122" s="168" t="n">
        <v>1</v>
      </c>
      <c r="H122" s="168" t="n">
        <v>1</v>
      </c>
      <c r="I122" s="168" t="n">
        <v>1</v>
      </c>
      <c r="J122" s="168" t="n">
        <v>1</v>
      </c>
      <c r="K122" s="168" t="n">
        <v>1</v>
      </c>
      <c r="L122" s="168" t="n">
        <v>1</v>
      </c>
      <c r="M122" s="168" t="n">
        <v>1</v>
      </c>
      <c r="N122" s="168" t="n">
        <v>1</v>
      </c>
      <c r="O122" s="168" t="n">
        <v>1</v>
      </c>
      <c r="P122" s="168" t="n">
        <v>1.03</v>
      </c>
      <c r="Q122" s="168" t="n">
        <v>1</v>
      </c>
      <c r="R122" s="168" t="n">
        <v>1</v>
      </c>
      <c r="S122" s="168" t="n">
        <v>1.02</v>
      </c>
      <c r="T122" s="168" t="n">
        <v>1</v>
      </c>
      <c r="U122" s="168" t="n">
        <v>1</v>
      </c>
      <c r="V122" s="168" t="n">
        <v>1</v>
      </c>
      <c r="W122" s="168" t="n">
        <v>1</v>
      </c>
      <c r="X122" s="168" t="n">
        <v>1</v>
      </c>
      <c r="Y122" s="168" t="n">
        <v>1.02</v>
      </c>
      <c r="Z122" s="168" t="n">
        <v>1</v>
      </c>
      <c r="AA122" s="168" t="n">
        <v>1</v>
      </c>
      <c r="AB122" s="168" t="n">
        <v>1</v>
      </c>
      <c r="AC122" s="168" t="n">
        <v>1</v>
      </c>
      <c r="AD122" s="168" t="n">
        <v>0.98</v>
      </c>
      <c r="AE122" s="168" t="n">
        <v>0.98</v>
      </c>
      <c r="AF122" s="168" t="n">
        <v>0.98</v>
      </c>
      <c r="AG122" s="168" t="n">
        <v>0.98</v>
      </c>
      <c r="AH122" s="168" t="n">
        <v>1.05</v>
      </c>
      <c r="AI122" s="168" t="n">
        <v>1</v>
      </c>
      <c r="AJ122" s="168" t="n">
        <v>1</v>
      </c>
      <c r="AK122" s="168" t="n">
        <v>1.02</v>
      </c>
      <c r="AL122" s="168" t="n">
        <v>1</v>
      </c>
      <c r="AM122" s="168" t="n">
        <v>1</v>
      </c>
      <c r="AN122" s="168" t="n">
        <v>1</v>
      </c>
      <c r="AO122" s="168" t="n">
        <v>1</v>
      </c>
    </row>
    <row r="123" customFormat="false" ht="12.75" hidden="false" customHeight="false" outlineLevel="0" collapsed="false">
      <c r="A123" s="167" t="n">
        <v>40422</v>
      </c>
      <c r="B123" s="168" t="n">
        <v>1</v>
      </c>
      <c r="C123" s="168" t="n">
        <v>1</v>
      </c>
      <c r="D123" s="168" t="n">
        <v>1</v>
      </c>
      <c r="E123" s="168" t="n">
        <v>1</v>
      </c>
      <c r="F123" s="168" t="n">
        <v>1</v>
      </c>
      <c r="G123" s="168" t="n">
        <v>1</v>
      </c>
      <c r="H123" s="168" t="n">
        <v>1</v>
      </c>
      <c r="I123" s="168" t="n">
        <v>1</v>
      </c>
      <c r="J123" s="168" t="n">
        <v>1</v>
      </c>
      <c r="K123" s="168" t="n">
        <v>1</v>
      </c>
      <c r="L123" s="168" t="n">
        <v>1</v>
      </c>
      <c r="M123" s="168" t="n">
        <v>1</v>
      </c>
      <c r="N123" s="168" t="n">
        <v>1</v>
      </c>
      <c r="O123" s="168" t="n">
        <v>1</v>
      </c>
      <c r="P123" s="168" t="n">
        <v>1.03</v>
      </c>
      <c r="Q123" s="168" t="n">
        <v>1</v>
      </c>
      <c r="R123" s="168" t="n">
        <v>1</v>
      </c>
      <c r="S123" s="168" t="n">
        <v>1.02</v>
      </c>
      <c r="T123" s="168" t="n">
        <v>1</v>
      </c>
      <c r="U123" s="168" t="n">
        <v>1</v>
      </c>
      <c r="V123" s="168" t="n">
        <v>1</v>
      </c>
      <c r="W123" s="168" t="n">
        <v>1</v>
      </c>
      <c r="X123" s="168" t="n">
        <v>1</v>
      </c>
      <c r="Y123" s="168" t="n">
        <v>1.02</v>
      </c>
      <c r="Z123" s="168" t="n">
        <v>1</v>
      </c>
      <c r="AA123" s="168" t="n">
        <v>1</v>
      </c>
      <c r="AB123" s="168" t="n">
        <v>1</v>
      </c>
      <c r="AC123" s="168" t="n">
        <v>1</v>
      </c>
      <c r="AD123" s="168" t="n">
        <v>0.98</v>
      </c>
      <c r="AE123" s="168" t="n">
        <v>0.98</v>
      </c>
      <c r="AF123" s="168" t="n">
        <v>0.98</v>
      </c>
      <c r="AG123" s="168" t="n">
        <v>0.98</v>
      </c>
      <c r="AH123" s="168" t="n">
        <v>1.05</v>
      </c>
      <c r="AI123" s="168" t="n">
        <v>1</v>
      </c>
      <c r="AJ123" s="168" t="n">
        <v>1</v>
      </c>
      <c r="AK123" s="168" t="n">
        <v>1.02</v>
      </c>
      <c r="AL123" s="168" t="n">
        <v>1</v>
      </c>
      <c r="AM123" s="168" t="n">
        <v>1</v>
      </c>
      <c r="AN123" s="168" t="n">
        <v>1</v>
      </c>
      <c r="AO123" s="168" t="n">
        <v>1</v>
      </c>
    </row>
    <row r="124" customFormat="false" ht="12.75" hidden="false" customHeight="false" outlineLevel="0" collapsed="false">
      <c r="A124" s="167" t="n">
        <v>40452</v>
      </c>
      <c r="B124" s="168" t="n">
        <v>1</v>
      </c>
      <c r="C124" s="168" t="n">
        <v>1</v>
      </c>
      <c r="D124" s="168" t="n">
        <v>1</v>
      </c>
      <c r="E124" s="168" t="n">
        <v>1</v>
      </c>
      <c r="F124" s="168" t="n">
        <v>1</v>
      </c>
      <c r="G124" s="168" t="n">
        <v>1</v>
      </c>
      <c r="H124" s="168" t="n">
        <v>1</v>
      </c>
      <c r="I124" s="168" t="n">
        <v>1</v>
      </c>
      <c r="J124" s="168" t="n">
        <v>1</v>
      </c>
      <c r="K124" s="168" t="n">
        <v>1</v>
      </c>
      <c r="L124" s="168" t="n">
        <v>1</v>
      </c>
      <c r="M124" s="168" t="n">
        <v>1</v>
      </c>
      <c r="N124" s="168" t="n">
        <v>1</v>
      </c>
      <c r="O124" s="168" t="n">
        <v>1</v>
      </c>
      <c r="P124" s="168" t="n">
        <v>1.03</v>
      </c>
      <c r="Q124" s="168" t="n">
        <v>1</v>
      </c>
      <c r="R124" s="168" t="n">
        <v>1</v>
      </c>
      <c r="S124" s="168" t="n">
        <v>1.02</v>
      </c>
      <c r="T124" s="168" t="n">
        <v>1</v>
      </c>
      <c r="U124" s="168" t="n">
        <v>1</v>
      </c>
      <c r="V124" s="168" t="n">
        <v>1</v>
      </c>
      <c r="W124" s="168" t="n">
        <v>1</v>
      </c>
      <c r="X124" s="168" t="n">
        <v>1</v>
      </c>
      <c r="Y124" s="168" t="n">
        <v>1.02</v>
      </c>
      <c r="Z124" s="168" t="n">
        <v>1</v>
      </c>
      <c r="AA124" s="168" t="n">
        <v>1</v>
      </c>
      <c r="AB124" s="168" t="n">
        <v>1</v>
      </c>
      <c r="AC124" s="168" t="n">
        <v>1</v>
      </c>
      <c r="AD124" s="168" t="n">
        <v>0.98</v>
      </c>
      <c r="AE124" s="168" t="n">
        <v>0.98</v>
      </c>
      <c r="AF124" s="168" t="n">
        <v>0.98</v>
      </c>
      <c r="AG124" s="168" t="n">
        <v>0.98</v>
      </c>
      <c r="AH124" s="168" t="n">
        <v>1.05</v>
      </c>
      <c r="AI124" s="168" t="n">
        <v>1</v>
      </c>
      <c r="AJ124" s="168" t="n">
        <v>1</v>
      </c>
      <c r="AK124" s="168" t="n">
        <v>1.02</v>
      </c>
      <c r="AL124" s="168" t="n">
        <v>1</v>
      </c>
      <c r="AM124" s="168" t="n">
        <v>1</v>
      </c>
      <c r="AN124" s="168" t="n">
        <v>1</v>
      </c>
      <c r="AO124" s="168" t="n">
        <v>1</v>
      </c>
    </row>
    <row r="125" customFormat="false" ht="12.75" hidden="false" customHeight="false" outlineLevel="0" collapsed="false">
      <c r="A125" s="167" t="n">
        <v>40483</v>
      </c>
      <c r="B125" s="168" t="n">
        <v>1</v>
      </c>
      <c r="C125" s="168" t="n">
        <v>1</v>
      </c>
      <c r="D125" s="168" t="n">
        <v>1</v>
      </c>
      <c r="E125" s="168" t="n">
        <v>1</v>
      </c>
      <c r="F125" s="168" t="n">
        <v>1</v>
      </c>
      <c r="G125" s="168" t="n">
        <v>1</v>
      </c>
      <c r="H125" s="168" t="n">
        <v>1</v>
      </c>
      <c r="I125" s="168" t="n">
        <v>1</v>
      </c>
      <c r="J125" s="168" t="n">
        <v>1</v>
      </c>
      <c r="K125" s="168" t="n">
        <v>1</v>
      </c>
      <c r="L125" s="168" t="n">
        <v>1</v>
      </c>
      <c r="M125" s="168" t="n">
        <v>1</v>
      </c>
      <c r="N125" s="168" t="n">
        <v>1</v>
      </c>
      <c r="O125" s="168" t="n">
        <v>1</v>
      </c>
      <c r="P125" s="168" t="n">
        <v>1.03</v>
      </c>
      <c r="Q125" s="168" t="n">
        <v>1</v>
      </c>
      <c r="R125" s="168" t="n">
        <v>1</v>
      </c>
      <c r="S125" s="168" t="n">
        <v>1.02</v>
      </c>
      <c r="T125" s="168" t="n">
        <v>1</v>
      </c>
      <c r="U125" s="168" t="n">
        <v>1</v>
      </c>
      <c r="V125" s="168" t="n">
        <v>1</v>
      </c>
      <c r="W125" s="168" t="n">
        <v>1</v>
      </c>
      <c r="X125" s="168" t="n">
        <v>1</v>
      </c>
      <c r="Y125" s="168" t="n">
        <v>1</v>
      </c>
      <c r="Z125" s="168" t="n">
        <v>1</v>
      </c>
      <c r="AA125" s="168" t="n">
        <v>1</v>
      </c>
      <c r="AB125" s="168" t="n">
        <v>1</v>
      </c>
      <c r="AC125" s="168" t="n">
        <v>1</v>
      </c>
      <c r="AD125" s="168" t="n">
        <v>1</v>
      </c>
      <c r="AE125" s="168" t="n">
        <v>1</v>
      </c>
      <c r="AF125" s="168" t="n">
        <v>1.1</v>
      </c>
      <c r="AG125" s="168" t="n">
        <v>1.1</v>
      </c>
      <c r="AH125" s="168" t="n">
        <v>1.05</v>
      </c>
      <c r="AI125" s="168" t="n">
        <v>1</v>
      </c>
      <c r="AJ125" s="168" t="n">
        <v>1</v>
      </c>
      <c r="AK125" s="168" t="n">
        <v>1.02</v>
      </c>
      <c r="AL125" s="168" t="n">
        <v>1</v>
      </c>
      <c r="AM125" s="168" t="n">
        <v>1</v>
      </c>
      <c r="AN125" s="168" t="n">
        <v>1</v>
      </c>
      <c r="AO125" s="168" t="n">
        <v>1</v>
      </c>
    </row>
    <row r="126" customFormat="false" ht="12.75" hidden="false" customHeight="false" outlineLevel="0" collapsed="false">
      <c r="A126" s="167" t="n">
        <v>40513</v>
      </c>
      <c r="B126" s="168" t="n">
        <v>1</v>
      </c>
      <c r="C126" s="168" t="n">
        <v>1</v>
      </c>
      <c r="D126" s="168" t="n">
        <v>1</v>
      </c>
      <c r="E126" s="168" t="n">
        <v>1</v>
      </c>
      <c r="F126" s="168" t="n">
        <v>1</v>
      </c>
      <c r="G126" s="168" t="n">
        <v>1</v>
      </c>
      <c r="H126" s="168" t="n">
        <v>1</v>
      </c>
      <c r="I126" s="168" t="n">
        <v>1</v>
      </c>
      <c r="J126" s="168" t="n">
        <v>1</v>
      </c>
      <c r="K126" s="168" t="n">
        <v>1</v>
      </c>
      <c r="L126" s="168" t="n">
        <v>1</v>
      </c>
      <c r="M126" s="168" t="n">
        <v>1</v>
      </c>
      <c r="N126" s="168" t="n">
        <v>1</v>
      </c>
      <c r="O126" s="168" t="n">
        <v>1</v>
      </c>
      <c r="P126" s="168" t="n">
        <v>1.03</v>
      </c>
      <c r="Q126" s="168" t="n">
        <v>1</v>
      </c>
      <c r="R126" s="168" t="n">
        <v>1</v>
      </c>
      <c r="S126" s="168" t="n">
        <v>1.02</v>
      </c>
      <c r="T126" s="168" t="n">
        <v>1</v>
      </c>
      <c r="U126" s="168" t="n">
        <v>1</v>
      </c>
      <c r="V126" s="168" t="n">
        <v>1</v>
      </c>
      <c r="W126" s="168" t="n">
        <v>1</v>
      </c>
      <c r="X126" s="168" t="n">
        <v>1</v>
      </c>
      <c r="Y126" s="168" t="n">
        <v>1</v>
      </c>
      <c r="Z126" s="168" t="n">
        <v>1</v>
      </c>
      <c r="AA126" s="168" t="n">
        <v>1</v>
      </c>
      <c r="AB126" s="168" t="n">
        <v>1</v>
      </c>
      <c r="AC126" s="168" t="n">
        <v>1</v>
      </c>
      <c r="AD126" s="168" t="n">
        <v>1</v>
      </c>
      <c r="AE126" s="168" t="n">
        <v>1</v>
      </c>
      <c r="AF126" s="168" t="n">
        <v>1.1</v>
      </c>
      <c r="AG126" s="168" t="n">
        <v>1.1</v>
      </c>
      <c r="AH126" s="168" t="n">
        <v>1.05</v>
      </c>
      <c r="AI126" s="168" t="n">
        <v>1</v>
      </c>
      <c r="AJ126" s="168" t="n">
        <v>1</v>
      </c>
      <c r="AK126" s="168" t="n">
        <v>1.02</v>
      </c>
      <c r="AL126" s="168" t="n">
        <v>1</v>
      </c>
      <c r="AM126" s="168" t="n">
        <v>1</v>
      </c>
      <c r="AN126" s="168" t="n">
        <v>1</v>
      </c>
      <c r="AO126" s="168" t="n">
        <v>1</v>
      </c>
    </row>
    <row r="127" customFormat="false" ht="12.75" hidden="false" customHeight="false" outlineLevel="0" collapsed="false">
      <c r="A127" s="167" t="n">
        <v>40544</v>
      </c>
      <c r="B127" s="168" t="n">
        <v>1</v>
      </c>
      <c r="C127" s="168" t="n">
        <v>1</v>
      </c>
      <c r="D127" s="168" t="n">
        <v>1</v>
      </c>
      <c r="E127" s="168" t="n">
        <v>1</v>
      </c>
      <c r="F127" s="168" t="n">
        <v>1</v>
      </c>
      <c r="G127" s="168" t="n">
        <v>1</v>
      </c>
      <c r="H127" s="168" t="n">
        <v>1</v>
      </c>
      <c r="I127" s="168" t="n">
        <v>1</v>
      </c>
      <c r="J127" s="168" t="n">
        <v>1</v>
      </c>
      <c r="K127" s="168" t="n">
        <v>1</v>
      </c>
      <c r="L127" s="168" t="n">
        <v>1</v>
      </c>
      <c r="M127" s="168" t="n">
        <v>1</v>
      </c>
      <c r="N127" s="168" t="n">
        <v>1</v>
      </c>
      <c r="O127" s="168" t="n">
        <v>1</v>
      </c>
      <c r="P127" s="168" t="n">
        <v>1.03</v>
      </c>
      <c r="Q127" s="168" t="n">
        <v>1</v>
      </c>
      <c r="R127" s="168" t="n">
        <v>1</v>
      </c>
      <c r="S127" s="168" t="n">
        <v>1.02</v>
      </c>
      <c r="T127" s="168" t="n">
        <v>1</v>
      </c>
      <c r="U127" s="168" t="n">
        <v>1</v>
      </c>
      <c r="V127" s="168" t="n">
        <v>1</v>
      </c>
      <c r="W127" s="168" t="n">
        <v>1</v>
      </c>
      <c r="X127" s="168" t="n">
        <v>1</v>
      </c>
      <c r="Y127" s="168" t="n">
        <v>1</v>
      </c>
      <c r="Z127" s="168" t="n">
        <v>1</v>
      </c>
      <c r="AA127" s="168" t="n">
        <v>1</v>
      </c>
      <c r="AB127" s="168" t="n">
        <v>1</v>
      </c>
      <c r="AC127" s="168" t="n">
        <v>1</v>
      </c>
      <c r="AD127" s="168" t="n">
        <v>1</v>
      </c>
      <c r="AE127" s="168" t="n">
        <v>1</v>
      </c>
      <c r="AF127" s="168" t="n">
        <v>1.1</v>
      </c>
      <c r="AG127" s="168" t="n">
        <v>1.1</v>
      </c>
      <c r="AH127" s="168" t="n">
        <v>1.05</v>
      </c>
      <c r="AI127" s="168" t="n">
        <v>1</v>
      </c>
      <c r="AJ127" s="168" t="n">
        <v>1</v>
      </c>
      <c r="AK127" s="168" t="n">
        <v>1.02</v>
      </c>
      <c r="AL127" s="168" t="n">
        <v>1</v>
      </c>
      <c r="AM127" s="168" t="n">
        <v>1</v>
      </c>
      <c r="AN127" s="168" t="n">
        <v>1</v>
      </c>
      <c r="AO127" s="168" t="n">
        <v>1</v>
      </c>
    </row>
    <row r="128" customFormat="false" ht="12.75" hidden="false" customHeight="false" outlineLevel="0" collapsed="false">
      <c r="A128" s="167" t="n">
        <v>40575</v>
      </c>
      <c r="B128" s="168" t="n">
        <v>1</v>
      </c>
      <c r="C128" s="168" t="n">
        <v>1</v>
      </c>
      <c r="D128" s="168" t="n">
        <v>1</v>
      </c>
      <c r="E128" s="168" t="n">
        <v>1</v>
      </c>
      <c r="F128" s="168" t="n">
        <v>1</v>
      </c>
      <c r="G128" s="168" t="n">
        <v>1</v>
      </c>
      <c r="H128" s="168" t="n">
        <v>1</v>
      </c>
      <c r="I128" s="168" t="n">
        <v>1</v>
      </c>
      <c r="J128" s="168" t="n">
        <v>1</v>
      </c>
      <c r="K128" s="168" t="n">
        <v>1</v>
      </c>
      <c r="L128" s="168" t="n">
        <v>1</v>
      </c>
      <c r="M128" s="168" t="n">
        <v>1</v>
      </c>
      <c r="N128" s="168" t="n">
        <v>1</v>
      </c>
      <c r="O128" s="168" t="n">
        <v>1</v>
      </c>
      <c r="P128" s="168" t="n">
        <v>1.03</v>
      </c>
      <c r="Q128" s="168" t="n">
        <v>1</v>
      </c>
      <c r="R128" s="168" t="n">
        <v>1</v>
      </c>
      <c r="S128" s="168" t="n">
        <v>1.02</v>
      </c>
      <c r="T128" s="168" t="n">
        <v>1</v>
      </c>
      <c r="U128" s="168" t="n">
        <v>1</v>
      </c>
      <c r="V128" s="168" t="n">
        <v>1</v>
      </c>
      <c r="W128" s="168" t="n">
        <v>1</v>
      </c>
      <c r="X128" s="168" t="n">
        <v>1</v>
      </c>
      <c r="Y128" s="168" t="n">
        <v>1</v>
      </c>
      <c r="Z128" s="168" t="n">
        <v>1</v>
      </c>
      <c r="AA128" s="168" t="n">
        <v>1</v>
      </c>
      <c r="AB128" s="168" t="n">
        <v>1</v>
      </c>
      <c r="AC128" s="168" t="n">
        <v>1</v>
      </c>
      <c r="AD128" s="168" t="n">
        <v>1</v>
      </c>
      <c r="AE128" s="168" t="n">
        <v>1</v>
      </c>
      <c r="AF128" s="168" t="n">
        <v>1.1</v>
      </c>
      <c r="AG128" s="168" t="n">
        <v>1.1</v>
      </c>
      <c r="AH128" s="168" t="n">
        <v>1.05</v>
      </c>
      <c r="AI128" s="168" t="n">
        <v>1</v>
      </c>
      <c r="AJ128" s="168" t="n">
        <v>1</v>
      </c>
      <c r="AK128" s="168" t="n">
        <v>1.02</v>
      </c>
      <c r="AL128" s="168" t="n">
        <v>1</v>
      </c>
      <c r="AM128" s="168" t="n">
        <v>1</v>
      </c>
      <c r="AN128" s="168" t="n">
        <v>1</v>
      </c>
      <c r="AO128" s="168" t="n">
        <v>1</v>
      </c>
    </row>
    <row r="129" customFormat="false" ht="12.75" hidden="false" customHeight="false" outlineLevel="0" collapsed="false">
      <c r="A129" s="167" t="n">
        <v>40603</v>
      </c>
      <c r="B129" s="168" t="n">
        <v>1</v>
      </c>
      <c r="C129" s="168" t="n">
        <v>1</v>
      </c>
      <c r="D129" s="168" t="n">
        <v>1</v>
      </c>
      <c r="E129" s="168" t="n">
        <v>1</v>
      </c>
      <c r="F129" s="168" t="n">
        <v>1</v>
      </c>
      <c r="G129" s="168" t="n">
        <v>1</v>
      </c>
      <c r="H129" s="168" t="n">
        <v>1</v>
      </c>
      <c r="I129" s="168" t="n">
        <v>1</v>
      </c>
      <c r="J129" s="168" t="n">
        <v>1</v>
      </c>
      <c r="K129" s="168" t="n">
        <v>1</v>
      </c>
      <c r="L129" s="168" t="n">
        <v>1</v>
      </c>
      <c r="M129" s="168" t="n">
        <v>1</v>
      </c>
      <c r="N129" s="168" t="n">
        <v>1</v>
      </c>
      <c r="O129" s="168" t="n">
        <v>1</v>
      </c>
      <c r="P129" s="168" t="n">
        <v>1.03</v>
      </c>
      <c r="Q129" s="168" t="n">
        <v>1</v>
      </c>
      <c r="R129" s="168" t="n">
        <v>1</v>
      </c>
      <c r="S129" s="168" t="n">
        <v>1.02</v>
      </c>
      <c r="T129" s="168" t="n">
        <v>1</v>
      </c>
      <c r="U129" s="168" t="n">
        <v>1</v>
      </c>
      <c r="V129" s="168" t="n">
        <v>1</v>
      </c>
      <c r="W129" s="168" t="n">
        <v>1</v>
      </c>
      <c r="X129" s="168" t="n">
        <v>1</v>
      </c>
      <c r="Y129" s="168" t="n">
        <v>1</v>
      </c>
      <c r="Z129" s="168" t="n">
        <v>1</v>
      </c>
      <c r="AA129" s="168" t="n">
        <v>1</v>
      </c>
      <c r="AB129" s="168" t="n">
        <v>1</v>
      </c>
      <c r="AC129" s="168" t="n">
        <v>1</v>
      </c>
      <c r="AD129" s="168" t="n">
        <v>1</v>
      </c>
      <c r="AE129" s="168" t="n">
        <v>1</v>
      </c>
      <c r="AF129" s="168" t="n">
        <v>1.1</v>
      </c>
      <c r="AG129" s="168" t="n">
        <v>1.1</v>
      </c>
      <c r="AH129" s="168" t="n">
        <v>1.05</v>
      </c>
      <c r="AI129" s="168" t="n">
        <v>1</v>
      </c>
      <c r="AJ129" s="168" t="n">
        <v>1</v>
      </c>
      <c r="AK129" s="168" t="n">
        <v>1.02</v>
      </c>
      <c r="AL129" s="168" t="n">
        <v>1</v>
      </c>
      <c r="AM129" s="168" t="n">
        <v>1</v>
      </c>
      <c r="AN129" s="168" t="n">
        <v>1</v>
      </c>
      <c r="AO129" s="168" t="n">
        <v>1</v>
      </c>
    </row>
    <row r="130" customFormat="false" ht="12.75" hidden="false" customHeight="false" outlineLevel="0" collapsed="false">
      <c r="A130" s="167" t="n">
        <v>40634</v>
      </c>
      <c r="B130" s="168" t="n">
        <v>1</v>
      </c>
      <c r="C130" s="168" t="n">
        <v>1</v>
      </c>
      <c r="D130" s="168" t="n">
        <v>1</v>
      </c>
      <c r="E130" s="168" t="n">
        <v>1</v>
      </c>
      <c r="F130" s="168" t="n">
        <v>1</v>
      </c>
      <c r="G130" s="168" t="n">
        <v>1</v>
      </c>
      <c r="H130" s="168" t="n">
        <v>1</v>
      </c>
      <c r="I130" s="168" t="n">
        <v>1</v>
      </c>
      <c r="J130" s="168" t="n">
        <v>1</v>
      </c>
      <c r="K130" s="168" t="n">
        <v>1</v>
      </c>
      <c r="L130" s="168" t="n">
        <v>1</v>
      </c>
      <c r="M130" s="168" t="n">
        <v>1</v>
      </c>
      <c r="N130" s="168" t="n">
        <v>1</v>
      </c>
      <c r="O130" s="168" t="n">
        <v>1</v>
      </c>
      <c r="P130" s="168" t="n">
        <v>1.03</v>
      </c>
      <c r="Q130" s="168" t="n">
        <v>1</v>
      </c>
      <c r="R130" s="168" t="n">
        <v>1</v>
      </c>
      <c r="S130" s="168" t="n">
        <v>1.02</v>
      </c>
      <c r="T130" s="168" t="n">
        <v>1</v>
      </c>
      <c r="U130" s="168" t="n">
        <v>1</v>
      </c>
      <c r="V130" s="168" t="n">
        <v>1</v>
      </c>
      <c r="W130" s="168" t="n">
        <v>1</v>
      </c>
      <c r="X130" s="168" t="n">
        <v>1</v>
      </c>
      <c r="Y130" s="168" t="n">
        <v>1.02</v>
      </c>
      <c r="Z130" s="168" t="n">
        <v>1</v>
      </c>
      <c r="AA130" s="168" t="n">
        <v>1</v>
      </c>
      <c r="AB130" s="168" t="n">
        <v>1</v>
      </c>
      <c r="AC130" s="168" t="n">
        <v>1</v>
      </c>
      <c r="AD130" s="168" t="n">
        <v>0.98</v>
      </c>
      <c r="AE130" s="168" t="n">
        <v>0.98</v>
      </c>
      <c r="AF130" s="168" t="n">
        <v>0.98</v>
      </c>
      <c r="AG130" s="168" t="n">
        <v>0.98</v>
      </c>
      <c r="AH130" s="168" t="n">
        <v>1.05</v>
      </c>
      <c r="AI130" s="168" t="n">
        <v>1</v>
      </c>
      <c r="AJ130" s="168" t="n">
        <v>1</v>
      </c>
      <c r="AK130" s="168" t="n">
        <v>1.02</v>
      </c>
      <c r="AL130" s="168" t="n">
        <v>1</v>
      </c>
      <c r="AM130" s="168" t="n">
        <v>1</v>
      </c>
      <c r="AN130" s="168" t="n">
        <v>1</v>
      </c>
      <c r="AO130" s="168" t="n">
        <v>1</v>
      </c>
    </row>
    <row r="131" customFormat="false" ht="12.75" hidden="false" customHeight="false" outlineLevel="0" collapsed="false">
      <c r="A131" s="167" t="n">
        <v>40664</v>
      </c>
      <c r="B131" s="168" t="n">
        <v>1</v>
      </c>
      <c r="C131" s="168" t="n">
        <v>1</v>
      </c>
      <c r="D131" s="168" t="n">
        <v>1</v>
      </c>
      <c r="E131" s="168" t="n">
        <v>1</v>
      </c>
      <c r="F131" s="168" t="n">
        <v>1</v>
      </c>
      <c r="G131" s="168" t="n">
        <v>1</v>
      </c>
      <c r="H131" s="168" t="n">
        <v>1</v>
      </c>
      <c r="I131" s="168" t="n">
        <v>1</v>
      </c>
      <c r="J131" s="168" t="n">
        <v>1</v>
      </c>
      <c r="K131" s="168" t="n">
        <v>1</v>
      </c>
      <c r="L131" s="168" t="n">
        <v>1</v>
      </c>
      <c r="M131" s="168" t="n">
        <v>1</v>
      </c>
      <c r="N131" s="168" t="n">
        <v>1</v>
      </c>
      <c r="O131" s="168" t="n">
        <v>1</v>
      </c>
      <c r="P131" s="168" t="n">
        <v>1.03</v>
      </c>
      <c r="Q131" s="168" t="n">
        <v>1</v>
      </c>
      <c r="R131" s="168" t="n">
        <v>1</v>
      </c>
      <c r="S131" s="168" t="n">
        <v>1.02</v>
      </c>
      <c r="T131" s="168" t="n">
        <v>1</v>
      </c>
      <c r="U131" s="168" t="n">
        <v>1</v>
      </c>
      <c r="V131" s="168" t="n">
        <v>1</v>
      </c>
      <c r="W131" s="168" t="n">
        <v>1</v>
      </c>
      <c r="X131" s="168" t="n">
        <v>1</v>
      </c>
      <c r="Y131" s="168" t="n">
        <v>1.02</v>
      </c>
      <c r="Z131" s="168" t="n">
        <v>1</v>
      </c>
      <c r="AA131" s="168" t="n">
        <v>1</v>
      </c>
      <c r="AB131" s="168" t="n">
        <v>1</v>
      </c>
      <c r="AC131" s="168" t="n">
        <v>1</v>
      </c>
      <c r="AD131" s="168" t="n">
        <v>0.98</v>
      </c>
      <c r="AE131" s="168" t="n">
        <v>0.98</v>
      </c>
      <c r="AF131" s="168" t="n">
        <v>0.98</v>
      </c>
      <c r="AG131" s="168" t="n">
        <v>0.98</v>
      </c>
      <c r="AH131" s="168" t="n">
        <v>1.05</v>
      </c>
      <c r="AI131" s="168" t="n">
        <v>1</v>
      </c>
      <c r="AJ131" s="168" t="n">
        <v>1</v>
      </c>
      <c r="AK131" s="168" t="n">
        <v>1.02</v>
      </c>
      <c r="AL131" s="168" t="n">
        <v>1</v>
      </c>
      <c r="AM131" s="168" t="n">
        <v>1</v>
      </c>
      <c r="AN131" s="168" t="n">
        <v>1</v>
      </c>
      <c r="AO131" s="168" t="n">
        <v>1</v>
      </c>
    </row>
    <row r="132" customFormat="false" ht="12.75" hidden="false" customHeight="false" outlineLevel="0" collapsed="false">
      <c r="A132" s="167" t="n">
        <v>40695</v>
      </c>
      <c r="B132" s="168" t="n">
        <v>1</v>
      </c>
      <c r="C132" s="168" t="n">
        <v>1</v>
      </c>
      <c r="D132" s="168" t="n">
        <v>1</v>
      </c>
      <c r="E132" s="168" t="n">
        <v>1</v>
      </c>
      <c r="F132" s="168" t="n">
        <v>1</v>
      </c>
      <c r="G132" s="168" t="n">
        <v>1</v>
      </c>
      <c r="H132" s="168" t="n">
        <v>1</v>
      </c>
      <c r="I132" s="168" t="n">
        <v>1</v>
      </c>
      <c r="J132" s="168" t="n">
        <v>1</v>
      </c>
      <c r="K132" s="168" t="n">
        <v>1</v>
      </c>
      <c r="L132" s="168" t="n">
        <v>1</v>
      </c>
      <c r="M132" s="168" t="n">
        <v>1</v>
      </c>
      <c r="N132" s="168" t="n">
        <v>1</v>
      </c>
      <c r="O132" s="168" t="n">
        <v>1</v>
      </c>
      <c r="P132" s="168" t="n">
        <v>1.03</v>
      </c>
      <c r="Q132" s="168" t="n">
        <v>1</v>
      </c>
      <c r="R132" s="168" t="n">
        <v>1</v>
      </c>
      <c r="S132" s="168" t="n">
        <v>1.02</v>
      </c>
      <c r="T132" s="168" t="n">
        <v>1</v>
      </c>
      <c r="U132" s="168" t="n">
        <v>1</v>
      </c>
      <c r="V132" s="168" t="n">
        <v>1</v>
      </c>
      <c r="W132" s="168" t="n">
        <v>1</v>
      </c>
      <c r="X132" s="168" t="n">
        <v>1</v>
      </c>
      <c r="Y132" s="168" t="n">
        <v>1.02</v>
      </c>
      <c r="Z132" s="168" t="n">
        <v>1</v>
      </c>
      <c r="AA132" s="168" t="n">
        <v>1</v>
      </c>
      <c r="AB132" s="168" t="n">
        <v>1</v>
      </c>
      <c r="AC132" s="168" t="n">
        <v>1</v>
      </c>
      <c r="AD132" s="168" t="n">
        <v>0.98</v>
      </c>
      <c r="AE132" s="168" t="n">
        <v>0.98</v>
      </c>
      <c r="AF132" s="168" t="n">
        <v>0.98</v>
      </c>
      <c r="AG132" s="168" t="n">
        <v>0.98</v>
      </c>
      <c r="AH132" s="168" t="n">
        <v>1.05</v>
      </c>
      <c r="AI132" s="168" t="n">
        <v>1</v>
      </c>
      <c r="AJ132" s="168" t="n">
        <v>1</v>
      </c>
      <c r="AK132" s="168" t="n">
        <v>1.02</v>
      </c>
      <c r="AL132" s="168" t="n">
        <v>1</v>
      </c>
      <c r="AM132" s="168" t="n">
        <v>1</v>
      </c>
      <c r="AN132" s="168" t="n">
        <v>1</v>
      </c>
      <c r="AO132" s="168" t="n">
        <v>1</v>
      </c>
    </row>
    <row r="133" customFormat="false" ht="12.75" hidden="false" customHeight="false" outlineLevel="0" collapsed="false">
      <c r="A133" s="167" t="n">
        <v>40725</v>
      </c>
      <c r="B133" s="168" t="n">
        <v>1</v>
      </c>
      <c r="C133" s="168" t="n">
        <v>1</v>
      </c>
      <c r="D133" s="168" t="n">
        <v>1</v>
      </c>
      <c r="E133" s="168" t="n">
        <v>1</v>
      </c>
      <c r="F133" s="168" t="n">
        <v>1</v>
      </c>
      <c r="G133" s="168" t="n">
        <v>1</v>
      </c>
      <c r="H133" s="168" t="n">
        <v>1</v>
      </c>
      <c r="I133" s="168" t="n">
        <v>1</v>
      </c>
      <c r="J133" s="168" t="n">
        <v>1</v>
      </c>
      <c r="K133" s="168" t="n">
        <v>1</v>
      </c>
      <c r="L133" s="168" t="n">
        <v>1</v>
      </c>
      <c r="M133" s="168" t="n">
        <v>1</v>
      </c>
      <c r="N133" s="168" t="n">
        <v>1</v>
      </c>
      <c r="O133" s="168" t="n">
        <v>1</v>
      </c>
      <c r="P133" s="168" t="n">
        <v>1.03</v>
      </c>
      <c r="Q133" s="168" t="n">
        <v>1</v>
      </c>
      <c r="R133" s="168" t="n">
        <v>1</v>
      </c>
      <c r="S133" s="168" t="n">
        <v>1.02</v>
      </c>
      <c r="T133" s="168" t="n">
        <v>1</v>
      </c>
      <c r="U133" s="168" t="n">
        <v>1</v>
      </c>
      <c r="V133" s="168" t="n">
        <v>1</v>
      </c>
      <c r="W133" s="168" t="n">
        <v>1</v>
      </c>
      <c r="X133" s="168" t="n">
        <v>1</v>
      </c>
      <c r="Y133" s="168" t="n">
        <v>1.02</v>
      </c>
      <c r="Z133" s="168" t="n">
        <v>1</v>
      </c>
      <c r="AA133" s="168" t="n">
        <v>1</v>
      </c>
      <c r="AB133" s="168" t="n">
        <v>1</v>
      </c>
      <c r="AC133" s="168" t="n">
        <v>1</v>
      </c>
      <c r="AD133" s="168" t="n">
        <v>0.98</v>
      </c>
      <c r="AE133" s="168" t="n">
        <v>0.98</v>
      </c>
      <c r="AF133" s="168" t="n">
        <v>0.98</v>
      </c>
      <c r="AG133" s="168" t="n">
        <v>0.98</v>
      </c>
      <c r="AH133" s="168" t="n">
        <v>1.05</v>
      </c>
      <c r="AI133" s="168" t="n">
        <v>1</v>
      </c>
      <c r="AJ133" s="168" t="n">
        <v>1</v>
      </c>
      <c r="AK133" s="168" t="n">
        <v>1.02</v>
      </c>
      <c r="AL133" s="168" t="n">
        <v>1</v>
      </c>
      <c r="AM133" s="168" t="n">
        <v>1</v>
      </c>
      <c r="AN133" s="168" t="n">
        <v>1</v>
      </c>
      <c r="AO133" s="168" t="n">
        <v>1</v>
      </c>
    </row>
    <row r="134" customFormat="false" ht="12.75" hidden="false" customHeight="false" outlineLevel="0" collapsed="false">
      <c r="A134" s="167" t="n">
        <v>40756</v>
      </c>
      <c r="B134" s="168" t="n">
        <v>1</v>
      </c>
      <c r="C134" s="168" t="n">
        <v>1</v>
      </c>
      <c r="D134" s="168" t="n">
        <v>1</v>
      </c>
      <c r="E134" s="168" t="n">
        <v>1</v>
      </c>
      <c r="F134" s="168" t="n">
        <v>1</v>
      </c>
      <c r="G134" s="168" t="n">
        <v>1</v>
      </c>
      <c r="H134" s="168" t="n">
        <v>1</v>
      </c>
      <c r="I134" s="168" t="n">
        <v>1</v>
      </c>
      <c r="J134" s="168" t="n">
        <v>1</v>
      </c>
      <c r="K134" s="168" t="n">
        <v>1</v>
      </c>
      <c r="L134" s="168" t="n">
        <v>1</v>
      </c>
      <c r="M134" s="168" t="n">
        <v>1</v>
      </c>
      <c r="N134" s="168" t="n">
        <v>1</v>
      </c>
      <c r="O134" s="168" t="n">
        <v>1</v>
      </c>
      <c r="P134" s="168" t="n">
        <v>1.03</v>
      </c>
      <c r="Q134" s="168" t="n">
        <v>1</v>
      </c>
      <c r="R134" s="168" t="n">
        <v>1</v>
      </c>
      <c r="S134" s="168" t="n">
        <v>1.02</v>
      </c>
      <c r="T134" s="168" t="n">
        <v>1</v>
      </c>
      <c r="U134" s="168" t="n">
        <v>1</v>
      </c>
      <c r="V134" s="168" t="n">
        <v>1</v>
      </c>
      <c r="W134" s="168" t="n">
        <v>1</v>
      </c>
      <c r="X134" s="168" t="n">
        <v>1</v>
      </c>
      <c r="Y134" s="168" t="n">
        <v>1.02</v>
      </c>
      <c r="Z134" s="168" t="n">
        <v>1</v>
      </c>
      <c r="AA134" s="168" t="n">
        <v>1</v>
      </c>
      <c r="AB134" s="168" t="n">
        <v>1</v>
      </c>
      <c r="AC134" s="168" t="n">
        <v>1</v>
      </c>
      <c r="AD134" s="168" t="n">
        <v>0.98</v>
      </c>
      <c r="AE134" s="168" t="n">
        <v>0.98</v>
      </c>
      <c r="AF134" s="168" t="n">
        <v>0.98</v>
      </c>
      <c r="AG134" s="168" t="n">
        <v>0.98</v>
      </c>
      <c r="AH134" s="168" t="n">
        <v>1.05</v>
      </c>
      <c r="AI134" s="168" t="n">
        <v>1</v>
      </c>
      <c r="AJ134" s="168" t="n">
        <v>1</v>
      </c>
      <c r="AK134" s="168" t="n">
        <v>1.02</v>
      </c>
      <c r="AL134" s="168" t="n">
        <v>1</v>
      </c>
      <c r="AM134" s="168" t="n">
        <v>1</v>
      </c>
      <c r="AN134" s="168" t="n">
        <v>1</v>
      </c>
      <c r="AO134" s="168" t="n">
        <v>1</v>
      </c>
    </row>
    <row r="135" customFormat="false" ht="12.75" hidden="false" customHeight="false" outlineLevel="0" collapsed="false">
      <c r="A135" s="167" t="n">
        <v>40787</v>
      </c>
      <c r="B135" s="168" t="n">
        <v>1</v>
      </c>
      <c r="C135" s="168" t="n">
        <v>1</v>
      </c>
      <c r="D135" s="168" t="n">
        <v>1</v>
      </c>
      <c r="E135" s="168" t="n">
        <v>1</v>
      </c>
      <c r="F135" s="168" t="n">
        <v>1</v>
      </c>
      <c r="G135" s="168" t="n">
        <v>1</v>
      </c>
      <c r="H135" s="168" t="n">
        <v>1</v>
      </c>
      <c r="I135" s="168" t="n">
        <v>1</v>
      </c>
      <c r="J135" s="168" t="n">
        <v>1</v>
      </c>
      <c r="K135" s="168" t="n">
        <v>1</v>
      </c>
      <c r="L135" s="168" t="n">
        <v>1</v>
      </c>
      <c r="M135" s="168" t="n">
        <v>1</v>
      </c>
      <c r="N135" s="168" t="n">
        <v>1</v>
      </c>
      <c r="O135" s="168" t="n">
        <v>1</v>
      </c>
      <c r="P135" s="168" t="n">
        <v>1.03</v>
      </c>
      <c r="Q135" s="168" t="n">
        <v>1</v>
      </c>
      <c r="R135" s="168" t="n">
        <v>1</v>
      </c>
      <c r="S135" s="168" t="n">
        <v>1.02</v>
      </c>
      <c r="T135" s="168" t="n">
        <v>1</v>
      </c>
      <c r="U135" s="168" t="n">
        <v>1</v>
      </c>
      <c r="V135" s="168" t="n">
        <v>1</v>
      </c>
      <c r="W135" s="168" t="n">
        <v>1</v>
      </c>
      <c r="X135" s="168" t="n">
        <v>1</v>
      </c>
      <c r="Y135" s="168" t="n">
        <v>1.02</v>
      </c>
      <c r="Z135" s="168" t="n">
        <v>1</v>
      </c>
      <c r="AA135" s="168" t="n">
        <v>1</v>
      </c>
      <c r="AB135" s="168" t="n">
        <v>1</v>
      </c>
      <c r="AC135" s="168" t="n">
        <v>1</v>
      </c>
      <c r="AD135" s="168" t="n">
        <v>0.98</v>
      </c>
      <c r="AE135" s="168" t="n">
        <v>0.98</v>
      </c>
      <c r="AF135" s="168" t="n">
        <v>0.98</v>
      </c>
      <c r="AG135" s="168" t="n">
        <v>0.98</v>
      </c>
      <c r="AH135" s="168" t="n">
        <v>1.05</v>
      </c>
      <c r="AI135" s="168" t="n">
        <v>1</v>
      </c>
      <c r="AJ135" s="168" t="n">
        <v>1</v>
      </c>
      <c r="AK135" s="168" t="n">
        <v>1.02</v>
      </c>
      <c r="AL135" s="168" t="n">
        <v>1</v>
      </c>
      <c r="AM135" s="168" t="n">
        <v>1</v>
      </c>
      <c r="AN135" s="168" t="n">
        <v>1</v>
      </c>
      <c r="AO135" s="168" t="n">
        <v>1</v>
      </c>
    </row>
    <row r="136" customFormat="false" ht="12.75" hidden="false" customHeight="false" outlineLevel="0" collapsed="false">
      <c r="A136" s="167" t="n">
        <v>40817</v>
      </c>
      <c r="B136" s="168" t="n">
        <v>1</v>
      </c>
      <c r="C136" s="168" t="n">
        <v>1</v>
      </c>
      <c r="D136" s="168" t="n">
        <v>1</v>
      </c>
      <c r="E136" s="168" t="n">
        <v>1</v>
      </c>
      <c r="F136" s="168" t="n">
        <v>1</v>
      </c>
      <c r="G136" s="168" t="n">
        <v>1</v>
      </c>
      <c r="H136" s="168" t="n">
        <v>1</v>
      </c>
      <c r="I136" s="168" t="n">
        <v>1</v>
      </c>
      <c r="J136" s="168" t="n">
        <v>1</v>
      </c>
      <c r="K136" s="168" t="n">
        <v>1</v>
      </c>
      <c r="L136" s="168" t="n">
        <v>1</v>
      </c>
      <c r="M136" s="168" t="n">
        <v>1</v>
      </c>
      <c r="N136" s="168" t="n">
        <v>1</v>
      </c>
      <c r="O136" s="168" t="n">
        <v>1</v>
      </c>
      <c r="P136" s="168" t="n">
        <v>1.03</v>
      </c>
      <c r="Q136" s="168" t="n">
        <v>1</v>
      </c>
      <c r="R136" s="168" t="n">
        <v>1</v>
      </c>
      <c r="S136" s="168" t="n">
        <v>1.02</v>
      </c>
      <c r="T136" s="168" t="n">
        <v>1</v>
      </c>
      <c r="U136" s="168" t="n">
        <v>1</v>
      </c>
      <c r="V136" s="168" t="n">
        <v>1</v>
      </c>
      <c r="W136" s="168" t="n">
        <v>1</v>
      </c>
      <c r="X136" s="168" t="n">
        <v>1</v>
      </c>
      <c r="Y136" s="168" t="n">
        <v>1.02</v>
      </c>
      <c r="Z136" s="168" t="n">
        <v>1</v>
      </c>
      <c r="AA136" s="168" t="n">
        <v>1</v>
      </c>
      <c r="AB136" s="168" t="n">
        <v>1</v>
      </c>
      <c r="AC136" s="168" t="n">
        <v>1</v>
      </c>
      <c r="AD136" s="168" t="n">
        <v>0.98</v>
      </c>
      <c r="AE136" s="168" t="n">
        <v>0.98</v>
      </c>
      <c r="AF136" s="168" t="n">
        <v>0.98</v>
      </c>
      <c r="AG136" s="168" t="n">
        <v>0.98</v>
      </c>
      <c r="AH136" s="168" t="n">
        <v>1.05</v>
      </c>
      <c r="AI136" s="168" t="n">
        <v>1</v>
      </c>
      <c r="AJ136" s="168" t="n">
        <v>1</v>
      </c>
      <c r="AK136" s="168" t="n">
        <v>1.02</v>
      </c>
      <c r="AL136" s="168" t="n">
        <v>1</v>
      </c>
      <c r="AM136" s="168" t="n">
        <v>1</v>
      </c>
      <c r="AN136" s="168" t="n">
        <v>1</v>
      </c>
      <c r="AO136" s="168" t="n">
        <v>1</v>
      </c>
    </row>
    <row r="137" customFormat="false" ht="12.75" hidden="false" customHeight="false" outlineLevel="0" collapsed="false">
      <c r="A137" s="167" t="n">
        <v>40848</v>
      </c>
      <c r="B137" s="168" t="n">
        <v>1</v>
      </c>
      <c r="C137" s="168" t="n">
        <v>1</v>
      </c>
      <c r="D137" s="168" t="n">
        <v>1</v>
      </c>
      <c r="E137" s="168" t="n">
        <v>1</v>
      </c>
      <c r="F137" s="168" t="n">
        <v>1</v>
      </c>
      <c r="G137" s="168" t="n">
        <v>1</v>
      </c>
      <c r="H137" s="168" t="n">
        <v>1</v>
      </c>
      <c r="I137" s="168" t="n">
        <v>1</v>
      </c>
      <c r="J137" s="168" t="n">
        <v>1</v>
      </c>
      <c r="K137" s="168" t="n">
        <v>1</v>
      </c>
      <c r="L137" s="168" t="n">
        <v>1</v>
      </c>
      <c r="M137" s="168" t="n">
        <v>1</v>
      </c>
      <c r="N137" s="168" t="n">
        <v>1</v>
      </c>
      <c r="O137" s="168" t="n">
        <v>1</v>
      </c>
      <c r="P137" s="168" t="n">
        <v>1.03</v>
      </c>
      <c r="Q137" s="168" t="n">
        <v>1</v>
      </c>
      <c r="R137" s="168" t="n">
        <v>1</v>
      </c>
      <c r="S137" s="168" t="n">
        <v>1.02</v>
      </c>
      <c r="T137" s="168" t="n">
        <v>1</v>
      </c>
      <c r="U137" s="168" t="n">
        <v>1</v>
      </c>
      <c r="V137" s="168" t="n">
        <v>1</v>
      </c>
      <c r="W137" s="168" t="n">
        <v>1</v>
      </c>
      <c r="X137" s="168" t="n">
        <v>1</v>
      </c>
      <c r="Y137" s="168" t="n">
        <v>1</v>
      </c>
      <c r="Z137" s="168" t="n">
        <v>1</v>
      </c>
      <c r="AA137" s="168" t="n">
        <v>1</v>
      </c>
      <c r="AB137" s="168" t="n">
        <v>1</v>
      </c>
      <c r="AC137" s="168" t="n">
        <v>1</v>
      </c>
      <c r="AD137" s="168" t="n">
        <v>1</v>
      </c>
      <c r="AE137" s="168" t="n">
        <v>1</v>
      </c>
      <c r="AF137" s="168" t="n">
        <v>1.1</v>
      </c>
      <c r="AG137" s="168" t="n">
        <v>1.1</v>
      </c>
      <c r="AH137" s="168" t="n">
        <v>1.05</v>
      </c>
      <c r="AI137" s="168" t="n">
        <v>1</v>
      </c>
      <c r="AJ137" s="168" t="n">
        <v>1</v>
      </c>
      <c r="AK137" s="168" t="n">
        <v>1.02</v>
      </c>
      <c r="AL137" s="168" t="n">
        <v>1</v>
      </c>
      <c r="AM137" s="168" t="n">
        <v>1</v>
      </c>
      <c r="AN137" s="168" t="n">
        <v>1</v>
      </c>
      <c r="AO137" s="168" t="n">
        <v>1</v>
      </c>
    </row>
    <row r="138" customFormat="false" ht="12.75" hidden="false" customHeight="false" outlineLevel="0" collapsed="false">
      <c r="A138" s="167" t="n">
        <v>40878</v>
      </c>
      <c r="B138" s="168" t="n">
        <v>1</v>
      </c>
      <c r="C138" s="168" t="n">
        <v>1</v>
      </c>
      <c r="D138" s="168" t="n">
        <v>1</v>
      </c>
      <c r="E138" s="168" t="n">
        <v>1</v>
      </c>
      <c r="F138" s="168" t="n">
        <v>1</v>
      </c>
      <c r="G138" s="168" t="n">
        <v>1</v>
      </c>
      <c r="H138" s="168" t="n">
        <v>1</v>
      </c>
      <c r="I138" s="168" t="n">
        <v>1</v>
      </c>
      <c r="J138" s="168" t="n">
        <v>1</v>
      </c>
      <c r="K138" s="168" t="n">
        <v>1</v>
      </c>
      <c r="L138" s="168" t="n">
        <v>1</v>
      </c>
      <c r="M138" s="168" t="n">
        <v>1</v>
      </c>
      <c r="N138" s="168" t="n">
        <v>1</v>
      </c>
      <c r="O138" s="168" t="n">
        <v>1</v>
      </c>
      <c r="P138" s="168" t="n">
        <v>1.03</v>
      </c>
      <c r="Q138" s="168" t="n">
        <v>1</v>
      </c>
      <c r="R138" s="168" t="n">
        <v>1</v>
      </c>
      <c r="S138" s="168" t="n">
        <v>1.02</v>
      </c>
      <c r="T138" s="168" t="n">
        <v>1</v>
      </c>
      <c r="U138" s="168" t="n">
        <v>1</v>
      </c>
      <c r="V138" s="168" t="n">
        <v>1</v>
      </c>
      <c r="W138" s="168" t="n">
        <v>1</v>
      </c>
      <c r="X138" s="168" t="n">
        <v>1</v>
      </c>
      <c r="Y138" s="168" t="n">
        <v>1</v>
      </c>
      <c r="Z138" s="168" t="n">
        <v>1</v>
      </c>
      <c r="AA138" s="168" t="n">
        <v>1</v>
      </c>
      <c r="AB138" s="168" t="n">
        <v>1</v>
      </c>
      <c r="AC138" s="168" t="n">
        <v>1</v>
      </c>
      <c r="AD138" s="168" t="n">
        <v>1</v>
      </c>
      <c r="AE138" s="168" t="n">
        <v>1</v>
      </c>
      <c r="AF138" s="168" t="n">
        <v>1.1</v>
      </c>
      <c r="AG138" s="168" t="n">
        <v>1.1</v>
      </c>
      <c r="AH138" s="168" t="n">
        <v>1.05</v>
      </c>
      <c r="AI138" s="168" t="n">
        <v>1</v>
      </c>
      <c r="AJ138" s="168" t="n">
        <v>1</v>
      </c>
      <c r="AK138" s="168" t="n">
        <v>1.02</v>
      </c>
      <c r="AL138" s="168" t="n">
        <v>1</v>
      </c>
      <c r="AM138" s="168" t="n">
        <v>1</v>
      </c>
      <c r="AN138" s="168" t="n">
        <v>1</v>
      </c>
      <c r="AO138" s="168" t="n">
        <v>1</v>
      </c>
    </row>
    <row r="139" customFormat="false" ht="12.75" hidden="false" customHeight="false" outlineLevel="0" collapsed="false">
      <c r="A139" s="167" t="n">
        <v>40909</v>
      </c>
      <c r="B139" s="168" t="n">
        <v>1</v>
      </c>
      <c r="C139" s="168" t="n">
        <v>1</v>
      </c>
      <c r="D139" s="168" t="n">
        <v>1</v>
      </c>
      <c r="E139" s="168" t="n">
        <v>1</v>
      </c>
      <c r="F139" s="168" t="n">
        <v>1</v>
      </c>
      <c r="G139" s="168" t="n">
        <v>1</v>
      </c>
      <c r="H139" s="168" t="n">
        <v>1</v>
      </c>
      <c r="I139" s="168" t="n">
        <v>1</v>
      </c>
      <c r="J139" s="168" t="n">
        <v>1</v>
      </c>
      <c r="K139" s="168" t="n">
        <v>1</v>
      </c>
      <c r="L139" s="168" t="n">
        <v>1</v>
      </c>
      <c r="M139" s="168" t="n">
        <v>1</v>
      </c>
      <c r="N139" s="168" t="n">
        <v>1</v>
      </c>
      <c r="O139" s="168" t="n">
        <v>1</v>
      </c>
      <c r="P139" s="168" t="n">
        <v>1.03</v>
      </c>
      <c r="Q139" s="168" t="n">
        <v>1</v>
      </c>
      <c r="R139" s="168" t="n">
        <v>1</v>
      </c>
      <c r="S139" s="168" t="n">
        <v>1.02</v>
      </c>
      <c r="T139" s="168" t="n">
        <v>1</v>
      </c>
      <c r="U139" s="168" t="n">
        <v>1</v>
      </c>
      <c r="V139" s="168" t="n">
        <v>1</v>
      </c>
      <c r="W139" s="168" t="n">
        <v>1</v>
      </c>
      <c r="X139" s="168" t="n">
        <v>1</v>
      </c>
      <c r="Y139" s="168" t="n">
        <v>1</v>
      </c>
      <c r="Z139" s="168" t="n">
        <v>1</v>
      </c>
      <c r="AA139" s="168" t="n">
        <v>1</v>
      </c>
      <c r="AB139" s="168" t="n">
        <v>1</v>
      </c>
      <c r="AC139" s="168" t="n">
        <v>1</v>
      </c>
      <c r="AD139" s="168" t="n">
        <v>1</v>
      </c>
      <c r="AE139" s="168" t="n">
        <v>1</v>
      </c>
      <c r="AF139" s="168" t="n">
        <v>1.1</v>
      </c>
      <c r="AG139" s="168" t="n">
        <v>1.1</v>
      </c>
      <c r="AH139" s="168" t="n">
        <v>1.05</v>
      </c>
      <c r="AI139" s="168" t="n">
        <v>1</v>
      </c>
      <c r="AJ139" s="168" t="n">
        <v>1</v>
      </c>
      <c r="AK139" s="168" t="n">
        <v>1.02</v>
      </c>
      <c r="AL139" s="168" t="n">
        <v>1</v>
      </c>
      <c r="AM139" s="168" t="n">
        <v>1</v>
      </c>
      <c r="AN139" s="168" t="n">
        <v>1</v>
      </c>
      <c r="AO139" s="168" t="n">
        <v>1</v>
      </c>
    </row>
    <row r="140" customFormat="false" ht="12.75" hidden="false" customHeight="false" outlineLevel="0" collapsed="false">
      <c r="A140" s="167" t="n">
        <v>40940</v>
      </c>
      <c r="B140" s="168" t="n">
        <v>1</v>
      </c>
      <c r="C140" s="168" t="n">
        <v>1</v>
      </c>
      <c r="D140" s="168" t="n">
        <v>1</v>
      </c>
      <c r="E140" s="168" t="n">
        <v>1</v>
      </c>
      <c r="F140" s="168" t="n">
        <v>1</v>
      </c>
      <c r="G140" s="168" t="n">
        <v>1</v>
      </c>
      <c r="H140" s="168" t="n">
        <v>1</v>
      </c>
      <c r="I140" s="168" t="n">
        <v>1</v>
      </c>
      <c r="J140" s="168" t="n">
        <v>1</v>
      </c>
      <c r="K140" s="168" t="n">
        <v>1</v>
      </c>
      <c r="L140" s="168" t="n">
        <v>1</v>
      </c>
      <c r="M140" s="168" t="n">
        <v>1</v>
      </c>
      <c r="N140" s="168" t="n">
        <v>1</v>
      </c>
      <c r="O140" s="168" t="n">
        <v>1</v>
      </c>
      <c r="P140" s="168" t="n">
        <v>1.03</v>
      </c>
      <c r="Q140" s="168" t="n">
        <v>1</v>
      </c>
      <c r="R140" s="168" t="n">
        <v>1</v>
      </c>
      <c r="S140" s="168" t="n">
        <v>1.02</v>
      </c>
      <c r="T140" s="168" t="n">
        <v>1</v>
      </c>
      <c r="U140" s="168" t="n">
        <v>1</v>
      </c>
      <c r="V140" s="168" t="n">
        <v>1</v>
      </c>
      <c r="W140" s="168" t="n">
        <v>1</v>
      </c>
      <c r="X140" s="168" t="n">
        <v>1</v>
      </c>
      <c r="Y140" s="168" t="n">
        <v>1</v>
      </c>
      <c r="Z140" s="168" t="n">
        <v>1</v>
      </c>
      <c r="AA140" s="168" t="n">
        <v>1</v>
      </c>
      <c r="AB140" s="168" t="n">
        <v>1</v>
      </c>
      <c r="AC140" s="168" t="n">
        <v>1</v>
      </c>
      <c r="AD140" s="168" t="n">
        <v>1</v>
      </c>
      <c r="AE140" s="168" t="n">
        <v>1</v>
      </c>
      <c r="AF140" s="168" t="n">
        <v>1.1</v>
      </c>
      <c r="AG140" s="168" t="n">
        <v>1.1</v>
      </c>
      <c r="AH140" s="168" t="n">
        <v>1.05</v>
      </c>
      <c r="AI140" s="168" t="n">
        <v>1</v>
      </c>
      <c r="AJ140" s="168" t="n">
        <v>1</v>
      </c>
      <c r="AK140" s="168" t="n">
        <v>1.02</v>
      </c>
      <c r="AL140" s="168" t="n">
        <v>1</v>
      </c>
      <c r="AM140" s="168" t="n">
        <v>1</v>
      </c>
      <c r="AN140" s="168" t="n">
        <v>1</v>
      </c>
      <c r="AO140" s="168" t="n">
        <v>1</v>
      </c>
    </row>
    <row r="141" customFormat="false" ht="12.75" hidden="false" customHeight="false" outlineLevel="0" collapsed="false">
      <c r="A141" s="167" t="n">
        <v>40969</v>
      </c>
      <c r="B141" s="168" t="n">
        <v>1</v>
      </c>
      <c r="C141" s="168" t="n">
        <v>1</v>
      </c>
      <c r="D141" s="168" t="n">
        <v>1</v>
      </c>
      <c r="E141" s="168" t="n">
        <v>1</v>
      </c>
      <c r="F141" s="168" t="n">
        <v>1</v>
      </c>
      <c r="G141" s="168" t="n">
        <v>1</v>
      </c>
      <c r="H141" s="168" t="n">
        <v>1</v>
      </c>
      <c r="I141" s="168" t="n">
        <v>1</v>
      </c>
      <c r="J141" s="168" t="n">
        <v>1</v>
      </c>
      <c r="K141" s="168" t="n">
        <v>1</v>
      </c>
      <c r="L141" s="168" t="n">
        <v>1</v>
      </c>
      <c r="M141" s="168" t="n">
        <v>1</v>
      </c>
      <c r="N141" s="168" t="n">
        <v>1</v>
      </c>
      <c r="O141" s="168" t="n">
        <v>1</v>
      </c>
      <c r="P141" s="168" t="n">
        <v>1.03</v>
      </c>
      <c r="Q141" s="168" t="n">
        <v>1</v>
      </c>
      <c r="R141" s="168" t="n">
        <v>1</v>
      </c>
      <c r="S141" s="168" t="n">
        <v>1.02</v>
      </c>
      <c r="T141" s="168" t="n">
        <v>1</v>
      </c>
      <c r="U141" s="168" t="n">
        <v>1</v>
      </c>
      <c r="V141" s="168" t="n">
        <v>1</v>
      </c>
      <c r="W141" s="168" t="n">
        <v>1</v>
      </c>
      <c r="X141" s="168" t="n">
        <v>1</v>
      </c>
      <c r="Y141" s="168" t="n">
        <v>1</v>
      </c>
      <c r="Z141" s="168" t="n">
        <v>1</v>
      </c>
      <c r="AA141" s="168" t="n">
        <v>1</v>
      </c>
      <c r="AB141" s="168" t="n">
        <v>1</v>
      </c>
      <c r="AC141" s="168" t="n">
        <v>1</v>
      </c>
      <c r="AD141" s="168" t="n">
        <v>1</v>
      </c>
      <c r="AE141" s="168" t="n">
        <v>1</v>
      </c>
      <c r="AF141" s="168" t="n">
        <v>1.1</v>
      </c>
      <c r="AG141" s="168" t="n">
        <v>1.1</v>
      </c>
      <c r="AH141" s="168" t="n">
        <v>1.05</v>
      </c>
      <c r="AI141" s="168" t="n">
        <v>1</v>
      </c>
      <c r="AJ141" s="168" t="n">
        <v>1</v>
      </c>
      <c r="AK141" s="168" t="n">
        <v>1.02</v>
      </c>
      <c r="AL141" s="168" t="n">
        <v>1</v>
      </c>
      <c r="AM141" s="168" t="n">
        <v>1</v>
      </c>
      <c r="AN141" s="168" t="n">
        <v>1</v>
      </c>
      <c r="AO141" s="168" t="n">
        <v>1</v>
      </c>
    </row>
    <row r="142" customFormat="false" ht="12.75" hidden="false" customHeight="false" outlineLevel="0" collapsed="false">
      <c r="A142" s="167" t="n">
        <v>41000</v>
      </c>
      <c r="B142" s="168" t="n">
        <v>1</v>
      </c>
      <c r="C142" s="168" t="n">
        <v>1</v>
      </c>
      <c r="D142" s="168" t="n">
        <v>1</v>
      </c>
      <c r="E142" s="168" t="n">
        <v>1</v>
      </c>
      <c r="F142" s="168" t="n">
        <v>1</v>
      </c>
      <c r="G142" s="168" t="n">
        <v>1</v>
      </c>
      <c r="H142" s="168" t="n">
        <v>1</v>
      </c>
      <c r="I142" s="168" t="n">
        <v>1</v>
      </c>
      <c r="J142" s="168" t="n">
        <v>1</v>
      </c>
      <c r="K142" s="168" t="n">
        <v>1</v>
      </c>
      <c r="L142" s="168" t="n">
        <v>1</v>
      </c>
      <c r="M142" s="168" t="n">
        <v>1</v>
      </c>
      <c r="N142" s="168" t="n">
        <v>1</v>
      </c>
      <c r="O142" s="168" t="n">
        <v>1</v>
      </c>
      <c r="P142" s="168" t="n">
        <v>1.03</v>
      </c>
      <c r="Q142" s="168" t="n">
        <v>1</v>
      </c>
      <c r="R142" s="168" t="n">
        <v>1</v>
      </c>
      <c r="S142" s="168" t="n">
        <v>1.02</v>
      </c>
      <c r="T142" s="168" t="n">
        <v>1</v>
      </c>
      <c r="U142" s="168" t="n">
        <v>1</v>
      </c>
      <c r="V142" s="168" t="n">
        <v>1</v>
      </c>
      <c r="W142" s="168" t="n">
        <v>1</v>
      </c>
      <c r="X142" s="168" t="n">
        <v>1</v>
      </c>
      <c r="Y142" s="168" t="n">
        <v>1.02</v>
      </c>
      <c r="Z142" s="168" t="n">
        <v>1</v>
      </c>
      <c r="AA142" s="168" t="n">
        <v>1</v>
      </c>
      <c r="AB142" s="168" t="n">
        <v>1</v>
      </c>
      <c r="AC142" s="168" t="n">
        <v>1</v>
      </c>
      <c r="AD142" s="168" t="n">
        <v>0.98</v>
      </c>
      <c r="AE142" s="168" t="n">
        <v>0.98</v>
      </c>
      <c r="AF142" s="168" t="n">
        <v>0.98</v>
      </c>
      <c r="AG142" s="168" t="n">
        <v>0.98</v>
      </c>
      <c r="AH142" s="168" t="n">
        <v>1.05</v>
      </c>
      <c r="AI142" s="168" t="n">
        <v>1</v>
      </c>
      <c r="AJ142" s="168" t="n">
        <v>1</v>
      </c>
      <c r="AK142" s="168" t="n">
        <v>1.02</v>
      </c>
      <c r="AL142" s="168" t="n">
        <v>1</v>
      </c>
      <c r="AM142" s="168" t="n">
        <v>1</v>
      </c>
      <c r="AN142" s="168" t="n">
        <v>1</v>
      </c>
      <c r="AO142" s="168" t="n">
        <v>1</v>
      </c>
    </row>
    <row r="143" customFormat="false" ht="12.75" hidden="false" customHeight="false" outlineLevel="0" collapsed="false">
      <c r="A143" s="167" t="n">
        <v>41030</v>
      </c>
      <c r="B143" s="168" t="n">
        <v>1</v>
      </c>
      <c r="C143" s="168" t="n">
        <v>1</v>
      </c>
      <c r="D143" s="168" t="n">
        <v>1</v>
      </c>
      <c r="E143" s="168" t="n">
        <v>1</v>
      </c>
      <c r="F143" s="168" t="n">
        <v>1</v>
      </c>
      <c r="G143" s="168" t="n">
        <v>1</v>
      </c>
      <c r="H143" s="168" t="n">
        <v>1</v>
      </c>
      <c r="I143" s="168" t="n">
        <v>1</v>
      </c>
      <c r="J143" s="168" t="n">
        <v>1</v>
      </c>
      <c r="K143" s="168" t="n">
        <v>1</v>
      </c>
      <c r="L143" s="168" t="n">
        <v>1</v>
      </c>
      <c r="M143" s="168" t="n">
        <v>1</v>
      </c>
      <c r="N143" s="168" t="n">
        <v>1</v>
      </c>
      <c r="O143" s="168" t="n">
        <v>1</v>
      </c>
      <c r="P143" s="168" t="n">
        <v>1.03</v>
      </c>
      <c r="Q143" s="168" t="n">
        <v>1</v>
      </c>
      <c r="R143" s="168" t="n">
        <v>1</v>
      </c>
      <c r="S143" s="168" t="n">
        <v>1.02</v>
      </c>
      <c r="T143" s="168" t="n">
        <v>1</v>
      </c>
      <c r="U143" s="168" t="n">
        <v>1</v>
      </c>
      <c r="V143" s="168" t="n">
        <v>1</v>
      </c>
      <c r="W143" s="168" t="n">
        <v>1</v>
      </c>
      <c r="X143" s="168" t="n">
        <v>1</v>
      </c>
      <c r="Y143" s="168" t="n">
        <v>1.02</v>
      </c>
      <c r="Z143" s="168" t="n">
        <v>1</v>
      </c>
      <c r="AA143" s="168" t="n">
        <v>1</v>
      </c>
      <c r="AB143" s="168" t="n">
        <v>1</v>
      </c>
      <c r="AC143" s="168" t="n">
        <v>1</v>
      </c>
      <c r="AD143" s="168" t="n">
        <v>0.98</v>
      </c>
      <c r="AE143" s="168" t="n">
        <v>0.98</v>
      </c>
      <c r="AF143" s="168" t="n">
        <v>0.98</v>
      </c>
      <c r="AG143" s="168" t="n">
        <v>0.98</v>
      </c>
      <c r="AH143" s="168" t="n">
        <v>1.05</v>
      </c>
      <c r="AI143" s="168" t="n">
        <v>1</v>
      </c>
      <c r="AJ143" s="168" t="n">
        <v>1</v>
      </c>
      <c r="AK143" s="168" t="n">
        <v>1.02</v>
      </c>
      <c r="AL143" s="168" t="n">
        <v>1</v>
      </c>
      <c r="AM143" s="168" t="n">
        <v>1</v>
      </c>
      <c r="AN143" s="168" t="n">
        <v>1</v>
      </c>
      <c r="AO143" s="168" t="n">
        <v>1</v>
      </c>
    </row>
    <row r="144" customFormat="false" ht="12.75" hidden="false" customHeight="false" outlineLevel="0" collapsed="false">
      <c r="A144" s="167" t="n">
        <v>41061</v>
      </c>
      <c r="B144" s="168" t="n">
        <v>1</v>
      </c>
      <c r="C144" s="168" t="n">
        <v>1</v>
      </c>
      <c r="D144" s="168" t="n">
        <v>1</v>
      </c>
      <c r="E144" s="168" t="n">
        <v>1</v>
      </c>
      <c r="F144" s="168" t="n">
        <v>1</v>
      </c>
      <c r="G144" s="168" t="n">
        <v>1</v>
      </c>
      <c r="H144" s="168" t="n">
        <v>1</v>
      </c>
      <c r="I144" s="168" t="n">
        <v>1</v>
      </c>
      <c r="J144" s="168" t="n">
        <v>1</v>
      </c>
      <c r="K144" s="168" t="n">
        <v>1</v>
      </c>
      <c r="L144" s="168" t="n">
        <v>1</v>
      </c>
      <c r="M144" s="168" t="n">
        <v>1</v>
      </c>
      <c r="N144" s="168" t="n">
        <v>1</v>
      </c>
      <c r="O144" s="168" t="n">
        <v>1</v>
      </c>
      <c r="P144" s="168" t="n">
        <v>1.03</v>
      </c>
      <c r="Q144" s="168" t="n">
        <v>1</v>
      </c>
      <c r="R144" s="168" t="n">
        <v>1</v>
      </c>
      <c r="S144" s="168" t="n">
        <v>1.02</v>
      </c>
      <c r="T144" s="168" t="n">
        <v>1</v>
      </c>
      <c r="U144" s="168" t="n">
        <v>1</v>
      </c>
      <c r="V144" s="168" t="n">
        <v>1</v>
      </c>
      <c r="W144" s="168" t="n">
        <v>1</v>
      </c>
      <c r="X144" s="168" t="n">
        <v>1</v>
      </c>
      <c r="Y144" s="168" t="n">
        <v>1.02</v>
      </c>
      <c r="Z144" s="168" t="n">
        <v>1</v>
      </c>
      <c r="AA144" s="168" t="n">
        <v>1</v>
      </c>
      <c r="AB144" s="168" t="n">
        <v>1</v>
      </c>
      <c r="AC144" s="168" t="n">
        <v>1</v>
      </c>
      <c r="AD144" s="168" t="n">
        <v>0.98</v>
      </c>
      <c r="AE144" s="168" t="n">
        <v>0.98</v>
      </c>
      <c r="AF144" s="168" t="n">
        <v>0.98</v>
      </c>
      <c r="AG144" s="168" t="n">
        <v>0.98</v>
      </c>
      <c r="AH144" s="168" t="n">
        <v>1.05</v>
      </c>
      <c r="AI144" s="168" t="n">
        <v>1</v>
      </c>
      <c r="AJ144" s="168" t="n">
        <v>1</v>
      </c>
      <c r="AK144" s="168" t="n">
        <v>1.02</v>
      </c>
      <c r="AL144" s="168" t="n">
        <v>1</v>
      </c>
      <c r="AM144" s="168" t="n">
        <v>1</v>
      </c>
      <c r="AN144" s="168" t="n">
        <v>1</v>
      </c>
      <c r="AO144" s="168" t="n">
        <v>1</v>
      </c>
    </row>
    <row r="145" customFormat="false" ht="12.75" hidden="false" customHeight="false" outlineLevel="0" collapsed="false">
      <c r="A145" s="167" t="n">
        <v>41091</v>
      </c>
      <c r="B145" s="168" t="n">
        <v>1</v>
      </c>
      <c r="C145" s="168" t="n">
        <v>1</v>
      </c>
      <c r="D145" s="168" t="n">
        <v>1</v>
      </c>
      <c r="E145" s="168" t="n">
        <v>1</v>
      </c>
      <c r="F145" s="168" t="n">
        <v>1</v>
      </c>
      <c r="G145" s="168" t="n">
        <v>1</v>
      </c>
      <c r="H145" s="168" t="n">
        <v>1</v>
      </c>
      <c r="I145" s="168" t="n">
        <v>1</v>
      </c>
      <c r="J145" s="168" t="n">
        <v>1</v>
      </c>
      <c r="K145" s="168" t="n">
        <v>1</v>
      </c>
      <c r="L145" s="168" t="n">
        <v>1</v>
      </c>
      <c r="M145" s="168" t="n">
        <v>1</v>
      </c>
      <c r="N145" s="168" t="n">
        <v>1</v>
      </c>
      <c r="O145" s="168" t="n">
        <v>1</v>
      </c>
      <c r="P145" s="168" t="n">
        <v>1.03</v>
      </c>
      <c r="Q145" s="168" t="n">
        <v>1</v>
      </c>
      <c r="R145" s="168" t="n">
        <v>1</v>
      </c>
      <c r="S145" s="168" t="n">
        <v>1.02</v>
      </c>
      <c r="T145" s="168" t="n">
        <v>1</v>
      </c>
      <c r="U145" s="168" t="n">
        <v>1</v>
      </c>
      <c r="V145" s="168" t="n">
        <v>1</v>
      </c>
      <c r="W145" s="168" t="n">
        <v>1</v>
      </c>
      <c r="X145" s="168" t="n">
        <v>1</v>
      </c>
      <c r="Y145" s="168" t="n">
        <v>1.02</v>
      </c>
      <c r="Z145" s="168" t="n">
        <v>1</v>
      </c>
      <c r="AA145" s="168" t="n">
        <v>1</v>
      </c>
      <c r="AB145" s="168" t="n">
        <v>1</v>
      </c>
      <c r="AC145" s="168" t="n">
        <v>1</v>
      </c>
      <c r="AD145" s="168" t="n">
        <v>0.98</v>
      </c>
      <c r="AE145" s="168" t="n">
        <v>0.98</v>
      </c>
      <c r="AF145" s="168" t="n">
        <v>0.98</v>
      </c>
      <c r="AG145" s="168" t="n">
        <v>0.98</v>
      </c>
      <c r="AH145" s="168" t="n">
        <v>1.05</v>
      </c>
      <c r="AI145" s="168" t="n">
        <v>1</v>
      </c>
      <c r="AJ145" s="168" t="n">
        <v>1</v>
      </c>
      <c r="AK145" s="168" t="n">
        <v>1.02</v>
      </c>
      <c r="AL145" s="168" t="n">
        <v>1</v>
      </c>
      <c r="AM145" s="168" t="n">
        <v>1</v>
      </c>
      <c r="AN145" s="168" t="n">
        <v>1</v>
      </c>
      <c r="AO145" s="168" t="n">
        <v>1</v>
      </c>
    </row>
    <row r="146" customFormat="false" ht="12.75" hidden="false" customHeight="false" outlineLevel="0" collapsed="false">
      <c r="A146" s="167" t="n">
        <v>41122</v>
      </c>
      <c r="B146" s="168" t="n">
        <v>1</v>
      </c>
      <c r="C146" s="168" t="n">
        <v>1</v>
      </c>
      <c r="D146" s="168" t="n">
        <v>1</v>
      </c>
      <c r="E146" s="168" t="n">
        <v>1</v>
      </c>
      <c r="F146" s="168" t="n">
        <v>1</v>
      </c>
      <c r="G146" s="168" t="n">
        <v>1</v>
      </c>
      <c r="H146" s="168" t="n">
        <v>1</v>
      </c>
      <c r="I146" s="168" t="n">
        <v>1</v>
      </c>
      <c r="J146" s="168" t="n">
        <v>1</v>
      </c>
      <c r="K146" s="168" t="n">
        <v>1</v>
      </c>
      <c r="L146" s="168" t="n">
        <v>1</v>
      </c>
      <c r="M146" s="168" t="n">
        <v>1</v>
      </c>
      <c r="N146" s="168" t="n">
        <v>1</v>
      </c>
      <c r="O146" s="168" t="n">
        <v>1</v>
      </c>
      <c r="P146" s="168" t="n">
        <v>1.03</v>
      </c>
      <c r="Q146" s="168" t="n">
        <v>1</v>
      </c>
      <c r="R146" s="168" t="n">
        <v>1</v>
      </c>
      <c r="S146" s="168" t="n">
        <v>1.02</v>
      </c>
      <c r="T146" s="168" t="n">
        <v>1</v>
      </c>
      <c r="U146" s="168" t="n">
        <v>1</v>
      </c>
      <c r="V146" s="168" t="n">
        <v>1</v>
      </c>
      <c r="W146" s="168" t="n">
        <v>1</v>
      </c>
      <c r="X146" s="168" t="n">
        <v>1</v>
      </c>
      <c r="Y146" s="168" t="n">
        <v>1.02</v>
      </c>
      <c r="Z146" s="168" t="n">
        <v>1</v>
      </c>
      <c r="AA146" s="168" t="n">
        <v>1</v>
      </c>
      <c r="AB146" s="168" t="n">
        <v>1</v>
      </c>
      <c r="AC146" s="168" t="n">
        <v>1</v>
      </c>
      <c r="AD146" s="168" t="n">
        <v>0.98</v>
      </c>
      <c r="AE146" s="168" t="n">
        <v>0.98</v>
      </c>
      <c r="AF146" s="168" t="n">
        <v>0.98</v>
      </c>
      <c r="AG146" s="168" t="n">
        <v>0.98</v>
      </c>
      <c r="AH146" s="168" t="n">
        <v>1.05</v>
      </c>
      <c r="AI146" s="168" t="n">
        <v>1</v>
      </c>
      <c r="AJ146" s="168" t="n">
        <v>1</v>
      </c>
      <c r="AK146" s="168" t="n">
        <v>1.02</v>
      </c>
      <c r="AL146" s="168" t="n">
        <v>1</v>
      </c>
      <c r="AM146" s="168" t="n">
        <v>1</v>
      </c>
      <c r="AN146" s="168" t="n">
        <v>1</v>
      </c>
      <c r="AO146" s="168" t="n">
        <v>1</v>
      </c>
    </row>
    <row r="147" customFormat="false" ht="12.75" hidden="false" customHeight="false" outlineLevel="0" collapsed="false">
      <c r="A147" s="167" t="n">
        <v>41153</v>
      </c>
      <c r="B147" s="168" t="n">
        <v>1</v>
      </c>
      <c r="C147" s="168" t="n">
        <v>1</v>
      </c>
      <c r="D147" s="168" t="n">
        <v>1</v>
      </c>
      <c r="E147" s="168" t="n">
        <v>1</v>
      </c>
      <c r="F147" s="168" t="n">
        <v>1</v>
      </c>
      <c r="G147" s="168" t="n">
        <v>1</v>
      </c>
      <c r="H147" s="168" t="n">
        <v>1</v>
      </c>
      <c r="I147" s="168" t="n">
        <v>1</v>
      </c>
      <c r="J147" s="168" t="n">
        <v>1</v>
      </c>
      <c r="K147" s="168" t="n">
        <v>1</v>
      </c>
      <c r="L147" s="168" t="n">
        <v>1</v>
      </c>
      <c r="M147" s="168" t="n">
        <v>1</v>
      </c>
      <c r="N147" s="168" t="n">
        <v>1</v>
      </c>
      <c r="O147" s="168" t="n">
        <v>1</v>
      </c>
      <c r="P147" s="168" t="n">
        <v>1.03</v>
      </c>
      <c r="Q147" s="168" t="n">
        <v>1</v>
      </c>
      <c r="R147" s="168" t="n">
        <v>1</v>
      </c>
      <c r="S147" s="168" t="n">
        <v>1.02</v>
      </c>
      <c r="T147" s="168" t="n">
        <v>1</v>
      </c>
      <c r="U147" s="168" t="n">
        <v>1</v>
      </c>
      <c r="V147" s="168" t="n">
        <v>1</v>
      </c>
      <c r="W147" s="168" t="n">
        <v>1</v>
      </c>
      <c r="X147" s="168" t="n">
        <v>1</v>
      </c>
      <c r="Y147" s="168" t="n">
        <v>1.02</v>
      </c>
      <c r="Z147" s="168" t="n">
        <v>1</v>
      </c>
      <c r="AA147" s="168" t="n">
        <v>1</v>
      </c>
      <c r="AB147" s="168" t="n">
        <v>1</v>
      </c>
      <c r="AC147" s="168" t="n">
        <v>1</v>
      </c>
      <c r="AD147" s="168" t="n">
        <v>0.98</v>
      </c>
      <c r="AE147" s="168" t="n">
        <v>0.98</v>
      </c>
      <c r="AF147" s="168" t="n">
        <v>0.98</v>
      </c>
      <c r="AG147" s="168" t="n">
        <v>0.98</v>
      </c>
      <c r="AH147" s="168" t="n">
        <v>1.05</v>
      </c>
      <c r="AI147" s="168" t="n">
        <v>1</v>
      </c>
      <c r="AJ147" s="168" t="n">
        <v>1</v>
      </c>
      <c r="AK147" s="168" t="n">
        <v>1.02</v>
      </c>
      <c r="AL147" s="168" t="n">
        <v>1</v>
      </c>
      <c r="AM147" s="168" t="n">
        <v>1</v>
      </c>
      <c r="AN147" s="168" t="n">
        <v>1</v>
      </c>
      <c r="AO147" s="168" t="n">
        <v>1</v>
      </c>
    </row>
    <row r="148" customFormat="false" ht="12.75" hidden="false" customHeight="false" outlineLevel="0" collapsed="false">
      <c r="A148" s="167" t="n">
        <v>41183</v>
      </c>
      <c r="B148" s="168" t="n">
        <v>1</v>
      </c>
      <c r="C148" s="168" t="n">
        <v>1</v>
      </c>
      <c r="D148" s="168" t="n">
        <v>1</v>
      </c>
      <c r="E148" s="168" t="n">
        <v>1</v>
      </c>
      <c r="F148" s="168" t="n">
        <v>1</v>
      </c>
      <c r="G148" s="168" t="n">
        <v>1</v>
      </c>
      <c r="H148" s="168" t="n">
        <v>1</v>
      </c>
      <c r="I148" s="168" t="n">
        <v>1</v>
      </c>
      <c r="J148" s="168" t="n">
        <v>1</v>
      </c>
      <c r="K148" s="168" t="n">
        <v>1</v>
      </c>
      <c r="L148" s="168" t="n">
        <v>1</v>
      </c>
      <c r="M148" s="168" t="n">
        <v>1</v>
      </c>
      <c r="N148" s="168" t="n">
        <v>1</v>
      </c>
      <c r="O148" s="168" t="n">
        <v>1</v>
      </c>
      <c r="P148" s="168" t="n">
        <v>1.03</v>
      </c>
      <c r="Q148" s="168" t="n">
        <v>1</v>
      </c>
      <c r="R148" s="168" t="n">
        <v>1</v>
      </c>
      <c r="S148" s="168" t="n">
        <v>1.02</v>
      </c>
      <c r="T148" s="168" t="n">
        <v>1</v>
      </c>
      <c r="U148" s="168" t="n">
        <v>1</v>
      </c>
      <c r="V148" s="168" t="n">
        <v>1</v>
      </c>
      <c r="W148" s="168" t="n">
        <v>1</v>
      </c>
      <c r="X148" s="168" t="n">
        <v>1</v>
      </c>
      <c r="Y148" s="168" t="n">
        <v>1.02</v>
      </c>
      <c r="Z148" s="168" t="n">
        <v>1</v>
      </c>
      <c r="AA148" s="168" t="n">
        <v>1</v>
      </c>
      <c r="AB148" s="168" t="n">
        <v>1</v>
      </c>
      <c r="AC148" s="168" t="n">
        <v>1</v>
      </c>
      <c r="AD148" s="168" t="n">
        <v>0.98</v>
      </c>
      <c r="AE148" s="168" t="n">
        <v>0.98</v>
      </c>
      <c r="AF148" s="168" t="n">
        <v>0.98</v>
      </c>
      <c r="AG148" s="168" t="n">
        <v>0.98</v>
      </c>
      <c r="AH148" s="168" t="n">
        <v>1.05</v>
      </c>
      <c r="AI148" s="168" t="n">
        <v>1</v>
      </c>
      <c r="AJ148" s="168" t="n">
        <v>1</v>
      </c>
      <c r="AK148" s="168" t="n">
        <v>1.02</v>
      </c>
      <c r="AL148" s="168" t="n">
        <v>1</v>
      </c>
      <c r="AM148" s="168" t="n">
        <v>1</v>
      </c>
      <c r="AN148" s="168" t="n">
        <v>1</v>
      </c>
      <c r="AO148" s="168" t="n">
        <v>1</v>
      </c>
    </row>
    <row r="149" customFormat="false" ht="12.75" hidden="false" customHeight="false" outlineLevel="0" collapsed="false">
      <c r="A149" s="167" t="n">
        <v>41214</v>
      </c>
      <c r="B149" s="168" t="n">
        <v>1</v>
      </c>
      <c r="C149" s="168" t="n">
        <v>1</v>
      </c>
      <c r="D149" s="168" t="n">
        <v>1</v>
      </c>
      <c r="E149" s="168" t="n">
        <v>1</v>
      </c>
      <c r="F149" s="168" t="n">
        <v>1</v>
      </c>
      <c r="G149" s="168" t="n">
        <v>1</v>
      </c>
      <c r="H149" s="168" t="n">
        <v>1</v>
      </c>
      <c r="I149" s="168" t="n">
        <v>1</v>
      </c>
      <c r="J149" s="168" t="n">
        <v>1</v>
      </c>
      <c r="K149" s="168" t="n">
        <v>1</v>
      </c>
      <c r="L149" s="168" t="n">
        <v>1</v>
      </c>
      <c r="M149" s="168" t="n">
        <v>1</v>
      </c>
      <c r="N149" s="168" t="n">
        <v>1</v>
      </c>
      <c r="O149" s="168" t="n">
        <v>1</v>
      </c>
      <c r="P149" s="168" t="n">
        <v>1.03</v>
      </c>
      <c r="Q149" s="168" t="n">
        <v>1</v>
      </c>
      <c r="R149" s="168" t="n">
        <v>1</v>
      </c>
      <c r="S149" s="168" t="n">
        <v>1.02</v>
      </c>
      <c r="T149" s="168" t="n">
        <v>1</v>
      </c>
      <c r="U149" s="168" t="n">
        <v>1</v>
      </c>
      <c r="V149" s="168" t="n">
        <v>1</v>
      </c>
      <c r="W149" s="168" t="n">
        <v>1</v>
      </c>
      <c r="X149" s="168" t="n">
        <v>1</v>
      </c>
      <c r="Y149" s="168" t="n">
        <v>1</v>
      </c>
      <c r="Z149" s="168" t="n">
        <v>1</v>
      </c>
      <c r="AA149" s="168" t="n">
        <v>1</v>
      </c>
      <c r="AB149" s="168" t="n">
        <v>1</v>
      </c>
      <c r="AC149" s="168" t="n">
        <v>1</v>
      </c>
      <c r="AD149" s="168" t="n">
        <v>1</v>
      </c>
      <c r="AE149" s="168" t="n">
        <v>1</v>
      </c>
      <c r="AF149" s="168" t="n">
        <v>1.1</v>
      </c>
      <c r="AG149" s="168" t="n">
        <v>1.1</v>
      </c>
      <c r="AH149" s="168" t="n">
        <v>1.05</v>
      </c>
      <c r="AI149" s="168" t="n">
        <v>1</v>
      </c>
      <c r="AJ149" s="168" t="n">
        <v>1</v>
      </c>
      <c r="AK149" s="168" t="n">
        <v>1.02</v>
      </c>
      <c r="AL149" s="168" t="n">
        <v>1</v>
      </c>
      <c r="AM149" s="168" t="n">
        <v>1</v>
      </c>
      <c r="AN149" s="168" t="n">
        <v>1</v>
      </c>
      <c r="AO149" s="168" t="n">
        <v>1</v>
      </c>
    </row>
    <row r="150" customFormat="false" ht="12.75" hidden="false" customHeight="false" outlineLevel="0" collapsed="false">
      <c r="A150" s="167" t="n">
        <v>41244</v>
      </c>
      <c r="B150" s="168" t="n">
        <v>1</v>
      </c>
      <c r="C150" s="168" t="n">
        <v>1</v>
      </c>
      <c r="D150" s="168" t="n">
        <v>1</v>
      </c>
      <c r="E150" s="168" t="n">
        <v>1</v>
      </c>
      <c r="F150" s="168" t="n">
        <v>1</v>
      </c>
      <c r="G150" s="168" t="n">
        <v>1</v>
      </c>
      <c r="H150" s="168" t="n">
        <v>1</v>
      </c>
      <c r="I150" s="168" t="n">
        <v>1</v>
      </c>
      <c r="J150" s="168" t="n">
        <v>1</v>
      </c>
      <c r="K150" s="168" t="n">
        <v>1</v>
      </c>
      <c r="L150" s="168" t="n">
        <v>1</v>
      </c>
      <c r="M150" s="168" t="n">
        <v>1</v>
      </c>
      <c r="N150" s="168" t="n">
        <v>1</v>
      </c>
      <c r="O150" s="168" t="n">
        <v>1</v>
      </c>
      <c r="P150" s="168" t="n">
        <v>1.03</v>
      </c>
      <c r="Q150" s="168" t="n">
        <v>1</v>
      </c>
      <c r="R150" s="168" t="n">
        <v>1</v>
      </c>
      <c r="S150" s="168" t="n">
        <v>1.02</v>
      </c>
      <c r="T150" s="168" t="n">
        <v>1</v>
      </c>
      <c r="U150" s="168" t="n">
        <v>1</v>
      </c>
      <c r="V150" s="168" t="n">
        <v>1</v>
      </c>
      <c r="W150" s="168" t="n">
        <v>1</v>
      </c>
      <c r="X150" s="168" t="n">
        <v>1</v>
      </c>
      <c r="Y150" s="168" t="n">
        <v>1</v>
      </c>
      <c r="Z150" s="168" t="n">
        <v>1</v>
      </c>
      <c r="AA150" s="168" t="n">
        <v>1</v>
      </c>
      <c r="AB150" s="168" t="n">
        <v>1</v>
      </c>
      <c r="AC150" s="168" t="n">
        <v>1</v>
      </c>
      <c r="AD150" s="168" t="n">
        <v>1</v>
      </c>
      <c r="AE150" s="168" t="n">
        <v>1</v>
      </c>
      <c r="AF150" s="168" t="n">
        <v>1.1</v>
      </c>
      <c r="AG150" s="168" t="n">
        <v>1.1</v>
      </c>
      <c r="AH150" s="168" t="n">
        <v>1.05</v>
      </c>
      <c r="AI150" s="168" t="n">
        <v>1</v>
      </c>
      <c r="AJ150" s="168" t="n">
        <v>1</v>
      </c>
      <c r="AK150" s="168" t="n">
        <v>1.02</v>
      </c>
      <c r="AL150" s="168" t="n">
        <v>1</v>
      </c>
      <c r="AM150" s="168" t="n">
        <v>1</v>
      </c>
      <c r="AN150" s="168" t="n">
        <v>1</v>
      </c>
      <c r="AO150" s="168" t="n">
        <v>1</v>
      </c>
    </row>
    <row r="151" customFormat="false" ht="12.75" hidden="false" customHeight="false" outlineLevel="0" collapsed="false">
      <c r="A151" s="167" t="n">
        <v>41275</v>
      </c>
      <c r="B151" s="168" t="n">
        <v>1</v>
      </c>
      <c r="C151" s="168" t="n">
        <v>1</v>
      </c>
      <c r="D151" s="168" t="n">
        <v>1</v>
      </c>
      <c r="E151" s="168" t="n">
        <v>1</v>
      </c>
      <c r="F151" s="168" t="n">
        <v>1</v>
      </c>
      <c r="G151" s="168" t="n">
        <v>1</v>
      </c>
      <c r="H151" s="168" t="n">
        <v>1</v>
      </c>
      <c r="I151" s="168" t="n">
        <v>1</v>
      </c>
      <c r="J151" s="168" t="n">
        <v>1</v>
      </c>
      <c r="K151" s="168" t="n">
        <v>1</v>
      </c>
      <c r="L151" s="168" t="n">
        <v>1</v>
      </c>
      <c r="M151" s="168" t="n">
        <v>1</v>
      </c>
      <c r="N151" s="168" t="n">
        <v>1</v>
      </c>
      <c r="O151" s="168" t="n">
        <v>1</v>
      </c>
      <c r="P151" s="168" t="n">
        <v>1.03</v>
      </c>
      <c r="Q151" s="168" t="n">
        <v>1</v>
      </c>
      <c r="R151" s="168" t="n">
        <v>1</v>
      </c>
      <c r="S151" s="168" t="n">
        <v>1.02</v>
      </c>
      <c r="T151" s="168" t="n">
        <v>1</v>
      </c>
      <c r="U151" s="168" t="n">
        <v>1</v>
      </c>
      <c r="V151" s="168" t="n">
        <v>1</v>
      </c>
      <c r="W151" s="168" t="n">
        <v>1</v>
      </c>
      <c r="X151" s="168" t="n">
        <v>1</v>
      </c>
      <c r="Y151" s="168" t="n">
        <v>1</v>
      </c>
      <c r="Z151" s="168" t="n">
        <v>1</v>
      </c>
      <c r="AA151" s="168" t="n">
        <v>1</v>
      </c>
      <c r="AB151" s="168" t="n">
        <v>1</v>
      </c>
      <c r="AC151" s="168" t="n">
        <v>1</v>
      </c>
      <c r="AD151" s="168" t="n">
        <v>1</v>
      </c>
      <c r="AE151" s="168" t="n">
        <v>1</v>
      </c>
      <c r="AF151" s="168" t="n">
        <v>1.1</v>
      </c>
      <c r="AG151" s="168" t="n">
        <v>1.1</v>
      </c>
      <c r="AH151" s="168" t="n">
        <v>1.05</v>
      </c>
      <c r="AI151" s="168" t="n">
        <v>1</v>
      </c>
      <c r="AJ151" s="168" t="n">
        <v>1</v>
      </c>
      <c r="AK151" s="168" t="n">
        <v>1.02</v>
      </c>
      <c r="AL151" s="168" t="n">
        <v>1</v>
      </c>
      <c r="AM151" s="168" t="n">
        <v>1</v>
      </c>
      <c r="AN151" s="168" t="n">
        <v>1</v>
      </c>
      <c r="AO151" s="168" t="n">
        <v>1</v>
      </c>
    </row>
    <row r="152" customFormat="false" ht="12.75" hidden="false" customHeight="false" outlineLevel="0" collapsed="false">
      <c r="A152" s="167" t="n">
        <v>41306</v>
      </c>
      <c r="B152" s="168" t="n">
        <v>1</v>
      </c>
      <c r="C152" s="168" t="n">
        <v>1</v>
      </c>
      <c r="D152" s="168" t="n">
        <v>1</v>
      </c>
      <c r="E152" s="168" t="n">
        <v>1</v>
      </c>
      <c r="F152" s="168" t="n">
        <v>1</v>
      </c>
      <c r="G152" s="168" t="n">
        <v>1</v>
      </c>
      <c r="H152" s="168" t="n">
        <v>1</v>
      </c>
      <c r="I152" s="168" t="n">
        <v>1</v>
      </c>
      <c r="J152" s="168" t="n">
        <v>1</v>
      </c>
      <c r="K152" s="168" t="n">
        <v>1</v>
      </c>
      <c r="L152" s="168" t="n">
        <v>1</v>
      </c>
      <c r="M152" s="168" t="n">
        <v>1</v>
      </c>
      <c r="N152" s="168" t="n">
        <v>1</v>
      </c>
      <c r="O152" s="168" t="n">
        <v>1</v>
      </c>
      <c r="P152" s="168" t="n">
        <v>1.03</v>
      </c>
      <c r="Q152" s="168" t="n">
        <v>1</v>
      </c>
      <c r="R152" s="168" t="n">
        <v>1</v>
      </c>
      <c r="S152" s="168" t="n">
        <v>1.02</v>
      </c>
      <c r="T152" s="168" t="n">
        <v>1</v>
      </c>
      <c r="U152" s="168" t="n">
        <v>1</v>
      </c>
      <c r="V152" s="168" t="n">
        <v>1</v>
      </c>
      <c r="W152" s="168" t="n">
        <v>1</v>
      </c>
      <c r="X152" s="168" t="n">
        <v>1</v>
      </c>
      <c r="Y152" s="168" t="n">
        <v>1</v>
      </c>
      <c r="Z152" s="168" t="n">
        <v>1</v>
      </c>
      <c r="AA152" s="168" t="n">
        <v>1</v>
      </c>
      <c r="AB152" s="168" t="n">
        <v>1</v>
      </c>
      <c r="AC152" s="168" t="n">
        <v>1</v>
      </c>
      <c r="AD152" s="168" t="n">
        <v>1</v>
      </c>
      <c r="AE152" s="168" t="n">
        <v>1</v>
      </c>
      <c r="AF152" s="168" t="n">
        <v>1.1</v>
      </c>
      <c r="AG152" s="168" t="n">
        <v>1.1</v>
      </c>
      <c r="AH152" s="168" t="n">
        <v>1.05</v>
      </c>
      <c r="AI152" s="168" t="n">
        <v>1</v>
      </c>
      <c r="AJ152" s="168" t="n">
        <v>1</v>
      </c>
      <c r="AK152" s="168" t="n">
        <v>1.02</v>
      </c>
      <c r="AL152" s="168" t="n">
        <v>1</v>
      </c>
      <c r="AM152" s="168" t="n">
        <v>1</v>
      </c>
      <c r="AN152" s="168" t="n">
        <v>1</v>
      </c>
      <c r="AO152" s="168" t="n">
        <v>1</v>
      </c>
    </row>
    <row r="153" customFormat="false" ht="12.75" hidden="false" customHeight="false" outlineLevel="0" collapsed="false">
      <c r="A153" s="167" t="n">
        <v>41334</v>
      </c>
      <c r="B153" s="168" t="n">
        <v>1</v>
      </c>
      <c r="C153" s="168" t="n">
        <v>1</v>
      </c>
      <c r="D153" s="168" t="n">
        <v>1</v>
      </c>
      <c r="E153" s="168" t="n">
        <v>1</v>
      </c>
      <c r="F153" s="168" t="n">
        <v>1</v>
      </c>
      <c r="G153" s="168" t="n">
        <v>1</v>
      </c>
      <c r="H153" s="168" t="n">
        <v>1</v>
      </c>
      <c r="I153" s="168" t="n">
        <v>1</v>
      </c>
      <c r="J153" s="168" t="n">
        <v>1</v>
      </c>
      <c r="K153" s="168" t="n">
        <v>1</v>
      </c>
      <c r="L153" s="168" t="n">
        <v>1</v>
      </c>
      <c r="M153" s="168" t="n">
        <v>1</v>
      </c>
      <c r="N153" s="168" t="n">
        <v>1</v>
      </c>
      <c r="O153" s="168" t="n">
        <v>1</v>
      </c>
      <c r="P153" s="168" t="n">
        <v>1.03</v>
      </c>
      <c r="Q153" s="168" t="n">
        <v>1</v>
      </c>
      <c r="R153" s="168" t="n">
        <v>1</v>
      </c>
      <c r="S153" s="168" t="n">
        <v>1.02</v>
      </c>
      <c r="T153" s="168" t="n">
        <v>1</v>
      </c>
      <c r="U153" s="168" t="n">
        <v>1</v>
      </c>
      <c r="V153" s="168" t="n">
        <v>1</v>
      </c>
      <c r="W153" s="168" t="n">
        <v>1</v>
      </c>
      <c r="X153" s="168" t="n">
        <v>1</v>
      </c>
      <c r="Y153" s="168" t="n">
        <v>1</v>
      </c>
      <c r="Z153" s="168" t="n">
        <v>1</v>
      </c>
      <c r="AA153" s="168" t="n">
        <v>1</v>
      </c>
      <c r="AB153" s="168" t="n">
        <v>1</v>
      </c>
      <c r="AC153" s="168" t="n">
        <v>1</v>
      </c>
      <c r="AD153" s="168" t="n">
        <v>1</v>
      </c>
      <c r="AE153" s="168" t="n">
        <v>1</v>
      </c>
      <c r="AF153" s="168" t="n">
        <v>1.1</v>
      </c>
      <c r="AG153" s="168" t="n">
        <v>1.1</v>
      </c>
      <c r="AH153" s="168" t="n">
        <v>1.05</v>
      </c>
      <c r="AI153" s="168" t="n">
        <v>1</v>
      </c>
      <c r="AJ153" s="168" t="n">
        <v>1</v>
      </c>
      <c r="AK153" s="168" t="n">
        <v>1.02</v>
      </c>
      <c r="AL153" s="168" t="n">
        <v>1</v>
      </c>
      <c r="AM153" s="168" t="n">
        <v>1</v>
      </c>
      <c r="AN153" s="168" t="n">
        <v>1</v>
      </c>
      <c r="AO153" s="168" t="n">
        <v>1</v>
      </c>
    </row>
    <row r="154" customFormat="false" ht="12.75" hidden="false" customHeight="false" outlineLevel="0" collapsed="false">
      <c r="A154" s="167" t="n">
        <v>41365</v>
      </c>
      <c r="B154" s="168" t="n">
        <v>1</v>
      </c>
      <c r="C154" s="168" t="n">
        <v>1</v>
      </c>
      <c r="D154" s="168" t="n">
        <v>1</v>
      </c>
      <c r="E154" s="168" t="n">
        <v>1</v>
      </c>
      <c r="F154" s="168" t="n">
        <v>1</v>
      </c>
      <c r="G154" s="168" t="n">
        <v>1</v>
      </c>
      <c r="H154" s="168" t="n">
        <v>1</v>
      </c>
      <c r="I154" s="168" t="n">
        <v>1</v>
      </c>
      <c r="J154" s="168" t="n">
        <v>1</v>
      </c>
      <c r="K154" s="168" t="n">
        <v>1</v>
      </c>
      <c r="L154" s="168" t="n">
        <v>1</v>
      </c>
      <c r="M154" s="168" t="n">
        <v>1</v>
      </c>
      <c r="N154" s="168" t="n">
        <v>1</v>
      </c>
      <c r="O154" s="168" t="n">
        <v>1</v>
      </c>
      <c r="P154" s="168" t="n">
        <v>1.03</v>
      </c>
      <c r="Q154" s="168" t="n">
        <v>1</v>
      </c>
      <c r="R154" s="168" t="n">
        <v>1</v>
      </c>
      <c r="S154" s="168" t="n">
        <v>1.02</v>
      </c>
      <c r="T154" s="168" t="n">
        <v>1</v>
      </c>
      <c r="U154" s="168" t="n">
        <v>1</v>
      </c>
      <c r="V154" s="168" t="n">
        <v>1</v>
      </c>
      <c r="W154" s="168" t="n">
        <v>1</v>
      </c>
      <c r="X154" s="168" t="n">
        <v>1</v>
      </c>
      <c r="Y154" s="168" t="n">
        <v>1.02</v>
      </c>
      <c r="Z154" s="168" t="n">
        <v>1</v>
      </c>
      <c r="AA154" s="168" t="n">
        <v>1</v>
      </c>
      <c r="AB154" s="168" t="n">
        <v>1</v>
      </c>
      <c r="AC154" s="168" t="n">
        <v>1</v>
      </c>
      <c r="AD154" s="168" t="n">
        <v>0.98</v>
      </c>
      <c r="AE154" s="168" t="n">
        <v>0.98</v>
      </c>
      <c r="AF154" s="168" t="n">
        <v>0.98</v>
      </c>
      <c r="AG154" s="168" t="n">
        <v>0.98</v>
      </c>
      <c r="AH154" s="168" t="n">
        <v>1.05</v>
      </c>
      <c r="AI154" s="168" t="n">
        <v>1</v>
      </c>
      <c r="AJ154" s="168" t="n">
        <v>1</v>
      </c>
      <c r="AK154" s="168" t="n">
        <v>1.02</v>
      </c>
      <c r="AL154" s="168" t="n">
        <v>1</v>
      </c>
      <c r="AM154" s="168" t="n">
        <v>1</v>
      </c>
      <c r="AN154" s="168" t="n">
        <v>1</v>
      </c>
      <c r="AO154" s="168" t="n">
        <v>1</v>
      </c>
    </row>
    <row r="155" customFormat="false" ht="12.75" hidden="false" customHeight="false" outlineLevel="0" collapsed="false">
      <c r="A155" s="167" t="n">
        <v>41395</v>
      </c>
      <c r="B155" s="168" t="n">
        <v>1</v>
      </c>
      <c r="C155" s="168" t="n">
        <v>1</v>
      </c>
      <c r="D155" s="168" t="n">
        <v>1</v>
      </c>
      <c r="E155" s="168" t="n">
        <v>1</v>
      </c>
      <c r="F155" s="168" t="n">
        <v>1</v>
      </c>
      <c r="G155" s="168" t="n">
        <v>1</v>
      </c>
      <c r="H155" s="168" t="n">
        <v>1</v>
      </c>
      <c r="I155" s="168" t="n">
        <v>1</v>
      </c>
      <c r="J155" s="168" t="n">
        <v>1</v>
      </c>
      <c r="K155" s="168" t="n">
        <v>1</v>
      </c>
      <c r="L155" s="168" t="n">
        <v>1</v>
      </c>
      <c r="M155" s="168" t="n">
        <v>1</v>
      </c>
      <c r="N155" s="168" t="n">
        <v>1</v>
      </c>
      <c r="O155" s="168" t="n">
        <v>1</v>
      </c>
      <c r="P155" s="168" t="n">
        <v>1.03</v>
      </c>
      <c r="Q155" s="168" t="n">
        <v>1</v>
      </c>
      <c r="R155" s="168" t="n">
        <v>1</v>
      </c>
      <c r="S155" s="168" t="n">
        <v>1.02</v>
      </c>
      <c r="T155" s="168" t="n">
        <v>1</v>
      </c>
      <c r="U155" s="168" t="n">
        <v>1</v>
      </c>
      <c r="V155" s="168" t="n">
        <v>1</v>
      </c>
      <c r="W155" s="168" t="n">
        <v>1</v>
      </c>
      <c r="X155" s="168" t="n">
        <v>1</v>
      </c>
      <c r="Y155" s="168" t="n">
        <v>1.02</v>
      </c>
      <c r="Z155" s="168" t="n">
        <v>1</v>
      </c>
      <c r="AA155" s="168" t="n">
        <v>1</v>
      </c>
      <c r="AB155" s="168" t="n">
        <v>1</v>
      </c>
      <c r="AC155" s="168" t="n">
        <v>1</v>
      </c>
      <c r="AD155" s="168" t="n">
        <v>0.98</v>
      </c>
      <c r="AE155" s="168" t="n">
        <v>0.98</v>
      </c>
      <c r="AF155" s="168" t="n">
        <v>0.98</v>
      </c>
      <c r="AG155" s="168" t="n">
        <v>0.98</v>
      </c>
      <c r="AH155" s="168" t="n">
        <v>1.05</v>
      </c>
      <c r="AI155" s="168" t="n">
        <v>1</v>
      </c>
      <c r="AJ155" s="168" t="n">
        <v>1</v>
      </c>
      <c r="AK155" s="168" t="n">
        <v>1.02</v>
      </c>
      <c r="AL155" s="168" t="n">
        <v>1</v>
      </c>
      <c r="AM155" s="168" t="n">
        <v>1</v>
      </c>
      <c r="AN155" s="168" t="n">
        <v>1</v>
      </c>
      <c r="AO155" s="168" t="n">
        <v>1</v>
      </c>
    </row>
    <row r="156" customFormat="false" ht="12.75" hidden="false" customHeight="false" outlineLevel="0" collapsed="false">
      <c r="A156" s="167" t="n">
        <v>41426</v>
      </c>
      <c r="B156" s="168" t="n">
        <v>1</v>
      </c>
      <c r="C156" s="168" t="n">
        <v>1</v>
      </c>
      <c r="D156" s="168" t="n">
        <v>1</v>
      </c>
      <c r="E156" s="168" t="n">
        <v>1</v>
      </c>
      <c r="F156" s="168" t="n">
        <v>1</v>
      </c>
      <c r="G156" s="168" t="n">
        <v>1</v>
      </c>
      <c r="H156" s="168" t="n">
        <v>1</v>
      </c>
      <c r="I156" s="168" t="n">
        <v>1</v>
      </c>
      <c r="J156" s="168" t="n">
        <v>1</v>
      </c>
      <c r="K156" s="168" t="n">
        <v>1</v>
      </c>
      <c r="L156" s="168" t="n">
        <v>1</v>
      </c>
      <c r="M156" s="168" t="n">
        <v>1</v>
      </c>
      <c r="N156" s="168" t="n">
        <v>1</v>
      </c>
      <c r="O156" s="168" t="n">
        <v>1</v>
      </c>
      <c r="P156" s="168" t="n">
        <v>1.03</v>
      </c>
      <c r="Q156" s="168" t="n">
        <v>1</v>
      </c>
      <c r="R156" s="168" t="n">
        <v>1</v>
      </c>
      <c r="S156" s="168" t="n">
        <v>1.02</v>
      </c>
      <c r="T156" s="168" t="n">
        <v>1</v>
      </c>
      <c r="U156" s="168" t="n">
        <v>1</v>
      </c>
      <c r="V156" s="168" t="n">
        <v>1</v>
      </c>
      <c r="W156" s="168" t="n">
        <v>1</v>
      </c>
      <c r="X156" s="168" t="n">
        <v>1</v>
      </c>
      <c r="Y156" s="168" t="n">
        <v>1.02</v>
      </c>
      <c r="Z156" s="168" t="n">
        <v>1</v>
      </c>
      <c r="AA156" s="168" t="n">
        <v>1</v>
      </c>
      <c r="AB156" s="168" t="n">
        <v>1</v>
      </c>
      <c r="AC156" s="168" t="n">
        <v>1</v>
      </c>
      <c r="AD156" s="168" t="n">
        <v>0.98</v>
      </c>
      <c r="AE156" s="168" t="n">
        <v>0.98</v>
      </c>
      <c r="AF156" s="168" t="n">
        <v>0.98</v>
      </c>
      <c r="AG156" s="168" t="n">
        <v>0.98</v>
      </c>
      <c r="AH156" s="168" t="n">
        <v>1.05</v>
      </c>
      <c r="AI156" s="168" t="n">
        <v>1</v>
      </c>
      <c r="AJ156" s="168" t="n">
        <v>1</v>
      </c>
      <c r="AK156" s="168" t="n">
        <v>1.02</v>
      </c>
      <c r="AL156" s="168" t="n">
        <v>1</v>
      </c>
      <c r="AM156" s="168" t="n">
        <v>1</v>
      </c>
      <c r="AN156" s="168" t="n">
        <v>1</v>
      </c>
      <c r="AO156" s="168" t="n">
        <v>1</v>
      </c>
    </row>
    <row r="157" customFormat="false" ht="12.75" hidden="false" customHeight="false" outlineLevel="0" collapsed="false">
      <c r="A157" s="167" t="n">
        <v>41456</v>
      </c>
      <c r="B157" s="168" t="n">
        <v>1</v>
      </c>
      <c r="C157" s="168" t="n">
        <v>1</v>
      </c>
      <c r="D157" s="168" t="n">
        <v>1</v>
      </c>
      <c r="E157" s="168" t="n">
        <v>1</v>
      </c>
      <c r="F157" s="168" t="n">
        <v>1</v>
      </c>
      <c r="G157" s="168" t="n">
        <v>1</v>
      </c>
      <c r="H157" s="168" t="n">
        <v>1</v>
      </c>
      <c r="I157" s="168" t="n">
        <v>1</v>
      </c>
      <c r="J157" s="168" t="n">
        <v>1</v>
      </c>
      <c r="K157" s="168" t="n">
        <v>1</v>
      </c>
      <c r="L157" s="168" t="n">
        <v>1</v>
      </c>
      <c r="M157" s="168" t="n">
        <v>1</v>
      </c>
      <c r="N157" s="168" t="n">
        <v>1</v>
      </c>
      <c r="O157" s="168" t="n">
        <v>1</v>
      </c>
      <c r="P157" s="168" t="n">
        <v>1.03</v>
      </c>
      <c r="Q157" s="168" t="n">
        <v>1</v>
      </c>
      <c r="R157" s="168" t="n">
        <v>1</v>
      </c>
      <c r="S157" s="168" t="n">
        <v>1.02</v>
      </c>
      <c r="T157" s="168" t="n">
        <v>1</v>
      </c>
      <c r="U157" s="168" t="n">
        <v>1</v>
      </c>
      <c r="V157" s="168" t="n">
        <v>1</v>
      </c>
      <c r="W157" s="168" t="n">
        <v>1</v>
      </c>
      <c r="X157" s="168" t="n">
        <v>1</v>
      </c>
      <c r="Y157" s="168" t="n">
        <v>1.02</v>
      </c>
      <c r="Z157" s="168" t="n">
        <v>1</v>
      </c>
      <c r="AA157" s="168" t="n">
        <v>1</v>
      </c>
      <c r="AB157" s="168" t="n">
        <v>1</v>
      </c>
      <c r="AC157" s="168" t="n">
        <v>1</v>
      </c>
      <c r="AD157" s="168" t="n">
        <v>0.98</v>
      </c>
      <c r="AE157" s="168" t="n">
        <v>0.98</v>
      </c>
      <c r="AF157" s="168" t="n">
        <v>0.98</v>
      </c>
      <c r="AG157" s="168" t="n">
        <v>0.98</v>
      </c>
      <c r="AH157" s="168" t="n">
        <v>1.05</v>
      </c>
      <c r="AI157" s="168" t="n">
        <v>1</v>
      </c>
      <c r="AJ157" s="168" t="n">
        <v>1</v>
      </c>
      <c r="AK157" s="168" t="n">
        <v>1.02</v>
      </c>
      <c r="AL157" s="168" t="n">
        <v>1</v>
      </c>
      <c r="AM157" s="168" t="n">
        <v>1</v>
      </c>
      <c r="AN157" s="168" t="n">
        <v>1</v>
      </c>
      <c r="AO157" s="168" t="n">
        <v>1</v>
      </c>
    </row>
    <row r="158" customFormat="false" ht="12.75" hidden="false" customHeight="false" outlineLevel="0" collapsed="false">
      <c r="A158" s="167" t="n">
        <v>41487</v>
      </c>
      <c r="B158" s="168" t="n">
        <v>1</v>
      </c>
      <c r="C158" s="168" t="n">
        <v>1</v>
      </c>
      <c r="D158" s="168" t="n">
        <v>1</v>
      </c>
      <c r="E158" s="168" t="n">
        <v>1</v>
      </c>
      <c r="F158" s="168" t="n">
        <v>1</v>
      </c>
      <c r="G158" s="168" t="n">
        <v>1</v>
      </c>
      <c r="H158" s="168" t="n">
        <v>1</v>
      </c>
      <c r="I158" s="168" t="n">
        <v>1</v>
      </c>
      <c r="J158" s="168" t="n">
        <v>1</v>
      </c>
      <c r="K158" s="168" t="n">
        <v>1</v>
      </c>
      <c r="L158" s="168" t="n">
        <v>1</v>
      </c>
      <c r="M158" s="168" t="n">
        <v>1</v>
      </c>
      <c r="N158" s="168" t="n">
        <v>1</v>
      </c>
      <c r="O158" s="168" t="n">
        <v>1</v>
      </c>
      <c r="P158" s="168" t="n">
        <v>1.03</v>
      </c>
      <c r="Q158" s="168" t="n">
        <v>1</v>
      </c>
      <c r="R158" s="168" t="n">
        <v>1</v>
      </c>
      <c r="S158" s="168" t="n">
        <v>1.02</v>
      </c>
      <c r="T158" s="168" t="n">
        <v>1</v>
      </c>
      <c r="U158" s="168" t="n">
        <v>1</v>
      </c>
      <c r="V158" s="168" t="n">
        <v>1</v>
      </c>
      <c r="W158" s="168" t="n">
        <v>1</v>
      </c>
      <c r="X158" s="168" t="n">
        <v>1</v>
      </c>
      <c r="Y158" s="168" t="n">
        <v>1.02</v>
      </c>
      <c r="Z158" s="168" t="n">
        <v>1</v>
      </c>
      <c r="AA158" s="168" t="n">
        <v>1</v>
      </c>
      <c r="AB158" s="168" t="n">
        <v>1</v>
      </c>
      <c r="AC158" s="168" t="n">
        <v>1</v>
      </c>
      <c r="AD158" s="168" t="n">
        <v>0.98</v>
      </c>
      <c r="AE158" s="168" t="n">
        <v>0.98</v>
      </c>
      <c r="AF158" s="168" t="n">
        <v>0.98</v>
      </c>
      <c r="AG158" s="168" t="n">
        <v>0.98</v>
      </c>
      <c r="AH158" s="168" t="n">
        <v>1.05</v>
      </c>
      <c r="AI158" s="168" t="n">
        <v>1</v>
      </c>
      <c r="AJ158" s="168" t="n">
        <v>1</v>
      </c>
      <c r="AK158" s="168" t="n">
        <v>1.02</v>
      </c>
      <c r="AL158" s="168" t="n">
        <v>1</v>
      </c>
      <c r="AM158" s="168" t="n">
        <v>1</v>
      </c>
      <c r="AN158" s="168" t="n">
        <v>1</v>
      </c>
      <c r="AO158" s="168" t="n">
        <v>1</v>
      </c>
    </row>
    <row r="159" customFormat="false" ht="12.75" hidden="false" customHeight="false" outlineLevel="0" collapsed="false">
      <c r="A159" s="167" t="n">
        <v>41518</v>
      </c>
      <c r="B159" s="168" t="n">
        <v>1</v>
      </c>
      <c r="C159" s="168" t="n">
        <v>1</v>
      </c>
      <c r="D159" s="168" t="n">
        <v>1</v>
      </c>
      <c r="E159" s="168" t="n">
        <v>1</v>
      </c>
      <c r="F159" s="168" t="n">
        <v>1</v>
      </c>
      <c r="G159" s="168" t="n">
        <v>1</v>
      </c>
      <c r="H159" s="168" t="n">
        <v>1</v>
      </c>
      <c r="I159" s="168" t="n">
        <v>1</v>
      </c>
      <c r="J159" s="168" t="n">
        <v>1</v>
      </c>
      <c r="K159" s="168" t="n">
        <v>1</v>
      </c>
      <c r="L159" s="168" t="n">
        <v>1</v>
      </c>
      <c r="M159" s="168" t="n">
        <v>1</v>
      </c>
      <c r="N159" s="168" t="n">
        <v>1</v>
      </c>
      <c r="O159" s="168" t="n">
        <v>1</v>
      </c>
      <c r="P159" s="168" t="n">
        <v>1.03</v>
      </c>
      <c r="Q159" s="168" t="n">
        <v>1</v>
      </c>
      <c r="R159" s="168" t="n">
        <v>1</v>
      </c>
      <c r="S159" s="168" t="n">
        <v>1.02</v>
      </c>
      <c r="T159" s="168" t="n">
        <v>1</v>
      </c>
      <c r="U159" s="168" t="n">
        <v>1</v>
      </c>
      <c r="V159" s="168" t="n">
        <v>1</v>
      </c>
      <c r="W159" s="168" t="n">
        <v>1</v>
      </c>
      <c r="X159" s="168" t="n">
        <v>1</v>
      </c>
      <c r="Y159" s="168" t="n">
        <v>1.02</v>
      </c>
      <c r="Z159" s="168" t="n">
        <v>1</v>
      </c>
      <c r="AA159" s="168" t="n">
        <v>1</v>
      </c>
      <c r="AB159" s="168" t="n">
        <v>1</v>
      </c>
      <c r="AC159" s="168" t="n">
        <v>1</v>
      </c>
      <c r="AD159" s="168" t="n">
        <v>0.98</v>
      </c>
      <c r="AE159" s="168" t="n">
        <v>0.98</v>
      </c>
      <c r="AF159" s="168" t="n">
        <v>0.98</v>
      </c>
      <c r="AG159" s="168" t="n">
        <v>0.98</v>
      </c>
      <c r="AH159" s="168" t="n">
        <v>1.05</v>
      </c>
      <c r="AI159" s="168" t="n">
        <v>1</v>
      </c>
      <c r="AJ159" s="168" t="n">
        <v>1</v>
      </c>
      <c r="AK159" s="168" t="n">
        <v>1.02</v>
      </c>
      <c r="AL159" s="168" t="n">
        <v>1</v>
      </c>
      <c r="AM159" s="168" t="n">
        <v>1</v>
      </c>
      <c r="AN159" s="168" t="n">
        <v>1</v>
      </c>
      <c r="AO159" s="168" t="n">
        <v>1</v>
      </c>
    </row>
    <row r="160" customFormat="false" ht="12.75" hidden="false" customHeight="false" outlineLevel="0" collapsed="false">
      <c r="A160" s="167" t="n">
        <v>41548</v>
      </c>
      <c r="B160" s="168" t="n">
        <v>1</v>
      </c>
      <c r="C160" s="168" t="n">
        <v>1</v>
      </c>
      <c r="D160" s="168" t="n">
        <v>1</v>
      </c>
      <c r="E160" s="168" t="n">
        <v>1</v>
      </c>
      <c r="F160" s="168" t="n">
        <v>1</v>
      </c>
      <c r="G160" s="168" t="n">
        <v>1</v>
      </c>
      <c r="H160" s="168" t="n">
        <v>1</v>
      </c>
      <c r="I160" s="168" t="n">
        <v>1</v>
      </c>
      <c r="J160" s="168" t="n">
        <v>1</v>
      </c>
      <c r="K160" s="168" t="n">
        <v>1</v>
      </c>
      <c r="L160" s="168" t="n">
        <v>1</v>
      </c>
      <c r="M160" s="168" t="n">
        <v>1</v>
      </c>
      <c r="N160" s="168" t="n">
        <v>1</v>
      </c>
      <c r="O160" s="168" t="n">
        <v>1</v>
      </c>
      <c r="P160" s="168" t="n">
        <v>1.03</v>
      </c>
      <c r="Q160" s="168" t="n">
        <v>1</v>
      </c>
      <c r="R160" s="168" t="n">
        <v>1</v>
      </c>
      <c r="S160" s="168" t="n">
        <v>1.02</v>
      </c>
      <c r="T160" s="168" t="n">
        <v>1</v>
      </c>
      <c r="U160" s="168" t="n">
        <v>1</v>
      </c>
      <c r="V160" s="168" t="n">
        <v>1</v>
      </c>
      <c r="W160" s="168" t="n">
        <v>1</v>
      </c>
      <c r="X160" s="168" t="n">
        <v>1</v>
      </c>
      <c r="Y160" s="168" t="n">
        <v>1.02</v>
      </c>
      <c r="Z160" s="168" t="n">
        <v>1</v>
      </c>
      <c r="AA160" s="168" t="n">
        <v>1</v>
      </c>
      <c r="AB160" s="168" t="n">
        <v>1</v>
      </c>
      <c r="AC160" s="168" t="n">
        <v>1</v>
      </c>
      <c r="AD160" s="168" t="n">
        <v>0.98</v>
      </c>
      <c r="AE160" s="168" t="n">
        <v>0.98</v>
      </c>
      <c r="AF160" s="168" t="n">
        <v>0.98</v>
      </c>
      <c r="AG160" s="168" t="n">
        <v>0.98</v>
      </c>
      <c r="AH160" s="168" t="n">
        <v>1.05</v>
      </c>
      <c r="AI160" s="168" t="n">
        <v>1</v>
      </c>
      <c r="AJ160" s="168" t="n">
        <v>1</v>
      </c>
      <c r="AK160" s="168" t="n">
        <v>1.02</v>
      </c>
      <c r="AL160" s="168" t="n">
        <v>1</v>
      </c>
      <c r="AM160" s="168" t="n">
        <v>1</v>
      </c>
      <c r="AN160" s="168" t="n">
        <v>1</v>
      </c>
      <c r="AO160" s="168" t="n">
        <v>1</v>
      </c>
    </row>
    <row r="161" customFormat="false" ht="12.75" hidden="false" customHeight="false" outlineLevel="0" collapsed="false">
      <c r="A161" s="167" t="n">
        <v>41579</v>
      </c>
      <c r="B161" s="168" t="n">
        <v>1</v>
      </c>
      <c r="C161" s="168" t="n">
        <v>1</v>
      </c>
      <c r="D161" s="168" t="n">
        <v>1</v>
      </c>
      <c r="E161" s="168" t="n">
        <v>1</v>
      </c>
      <c r="F161" s="168" t="n">
        <v>1</v>
      </c>
      <c r="G161" s="168" t="n">
        <v>1</v>
      </c>
      <c r="H161" s="168" t="n">
        <v>1</v>
      </c>
      <c r="I161" s="168" t="n">
        <v>1</v>
      </c>
      <c r="J161" s="168" t="n">
        <v>1</v>
      </c>
      <c r="K161" s="168" t="n">
        <v>1</v>
      </c>
      <c r="L161" s="168" t="n">
        <v>1</v>
      </c>
      <c r="M161" s="168" t="n">
        <v>1</v>
      </c>
      <c r="N161" s="168" t="n">
        <v>1</v>
      </c>
      <c r="O161" s="168" t="n">
        <v>1</v>
      </c>
      <c r="P161" s="168" t="n">
        <v>1.03</v>
      </c>
      <c r="Q161" s="168" t="n">
        <v>1</v>
      </c>
      <c r="R161" s="168" t="n">
        <v>1</v>
      </c>
      <c r="S161" s="168" t="n">
        <v>1.02</v>
      </c>
      <c r="T161" s="168" t="n">
        <v>1</v>
      </c>
      <c r="U161" s="168" t="n">
        <v>1</v>
      </c>
      <c r="V161" s="168" t="n">
        <v>1</v>
      </c>
      <c r="W161" s="168" t="n">
        <v>1</v>
      </c>
      <c r="X161" s="168" t="n">
        <v>1</v>
      </c>
      <c r="Y161" s="168" t="n">
        <v>1</v>
      </c>
      <c r="Z161" s="168" t="n">
        <v>1</v>
      </c>
      <c r="AA161" s="168" t="n">
        <v>1</v>
      </c>
      <c r="AB161" s="168" t="n">
        <v>1</v>
      </c>
      <c r="AC161" s="168" t="n">
        <v>1</v>
      </c>
      <c r="AD161" s="168" t="n">
        <v>1</v>
      </c>
      <c r="AE161" s="168" t="n">
        <v>1</v>
      </c>
      <c r="AF161" s="168" t="n">
        <v>1.1</v>
      </c>
      <c r="AG161" s="168" t="n">
        <v>1.1</v>
      </c>
      <c r="AH161" s="168" t="n">
        <v>1.05</v>
      </c>
      <c r="AI161" s="168" t="n">
        <v>1</v>
      </c>
      <c r="AJ161" s="168" t="n">
        <v>1</v>
      </c>
      <c r="AK161" s="168" t="n">
        <v>1.02</v>
      </c>
      <c r="AL161" s="168" t="n">
        <v>1</v>
      </c>
      <c r="AM161" s="168" t="n">
        <v>1</v>
      </c>
      <c r="AN161" s="168" t="n">
        <v>1</v>
      </c>
      <c r="AO161" s="168" t="n">
        <v>1</v>
      </c>
    </row>
    <row r="162" customFormat="false" ht="12.75" hidden="false" customHeight="false" outlineLevel="0" collapsed="false">
      <c r="A162" s="167" t="n">
        <v>41609</v>
      </c>
      <c r="B162" s="168" t="n">
        <v>1</v>
      </c>
      <c r="C162" s="168" t="n">
        <v>1</v>
      </c>
      <c r="D162" s="168" t="n">
        <v>1</v>
      </c>
      <c r="E162" s="168" t="n">
        <v>1</v>
      </c>
      <c r="F162" s="168" t="n">
        <v>1</v>
      </c>
      <c r="G162" s="168" t="n">
        <v>1</v>
      </c>
      <c r="H162" s="168" t="n">
        <v>1</v>
      </c>
      <c r="I162" s="168" t="n">
        <v>1</v>
      </c>
      <c r="J162" s="168" t="n">
        <v>1</v>
      </c>
      <c r="K162" s="168" t="n">
        <v>1</v>
      </c>
      <c r="L162" s="168" t="n">
        <v>1</v>
      </c>
      <c r="M162" s="168" t="n">
        <v>1</v>
      </c>
      <c r="N162" s="168" t="n">
        <v>1</v>
      </c>
      <c r="O162" s="168" t="n">
        <v>1</v>
      </c>
      <c r="P162" s="168" t="n">
        <v>1.03</v>
      </c>
      <c r="Q162" s="168" t="n">
        <v>1</v>
      </c>
      <c r="R162" s="168" t="n">
        <v>1</v>
      </c>
      <c r="S162" s="168" t="n">
        <v>1.02</v>
      </c>
      <c r="T162" s="168" t="n">
        <v>1</v>
      </c>
      <c r="U162" s="168" t="n">
        <v>1</v>
      </c>
      <c r="V162" s="168" t="n">
        <v>1</v>
      </c>
      <c r="W162" s="168" t="n">
        <v>1</v>
      </c>
      <c r="X162" s="168" t="n">
        <v>1</v>
      </c>
      <c r="Y162" s="168" t="n">
        <v>1</v>
      </c>
      <c r="Z162" s="168" t="n">
        <v>1</v>
      </c>
      <c r="AA162" s="168" t="n">
        <v>1</v>
      </c>
      <c r="AB162" s="168" t="n">
        <v>1</v>
      </c>
      <c r="AC162" s="168" t="n">
        <v>1</v>
      </c>
      <c r="AD162" s="168" t="n">
        <v>1</v>
      </c>
      <c r="AE162" s="168" t="n">
        <v>1</v>
      </c>
      <c r="AF162" s="168" t="n">
        <v>1.1</v>
      </c>
      <c r="AG162" s="168" t="n">
        <v>1.1</v>
      </c>
      <c r="AH162" s="168" t="n">
        <v>1.05</v>
      </c>
      <c r="AI162" s="168" t="n">
        <v>1</v>
      </c>
      <c r="AJ162" s="168" t="n">
        <v>1</v>
      </c>
      <c r="AK162" s="168" t="n">
        <v>1.02</v>
      </c>
      <c r="AL162" s="168" t="n">
        <v>1</v>
      </c>
      <c r="AM162" s="168" t="n">
        <v>1</v>
      </c>
      <c r="AN162" s="168" t="n">
        <v>1</v>
      </c>
      <c r="AO162" s="168" t="n">
        <v>1</v>
      </c>
    </row>
    <row r="163" customFormat="false" ht="12.75" hidden="false" customHeight="false" outlineLevel="0" collapsed="false">
      <c r="A163" s="167" t="n">
        <v>41640</v>
      </c>
      <c r="B163" s="168" t="n">
        <v>1</v>
      </c>
      <c r="C163" s="168" t="n">
        <v>1</v>
      </c>
      <c r="D163" s="168" t="n">
        <v>1</v>
      </c>
      <c r="E163" s="168" t="n">
        <v>1</v>
      </c>
      <c r="F163" s="168" t="n">
        <v>1</v>
      </c>
      <c r="G163" s="168" t="n">
        <v>1</v>
      </c>
      <c r="H163" s="168" t="n">
        <v>1</v>
      </c>
      <c r="I163" s="168" t="n">
        <v>1</v>
      </c>
      <c r="J163" s="168" t="n">
        <v>1</v>
      </c>
      <c r="K163" s="168" t="n">
        <v>1</v>
      </c>
      <c r="L163" s="168" t="n">
        <v>1</v>
      </c>
      <c r="M163" s="168" t="n">
        <v>1</v>
      </c>
      <c r="N163" s="168" t="n">
        <v>1</v>
      </c>
      <c r="O163" s="168" t="n">
        <v>1</v>
      </c>
      <c r="P163" s="168" t="n">
        <v>1.03</v>
      </c>
      <c r="Q163" s="168" t="n">
        <v>1</v>
      </c>
      <c r="R163" s="168" t="n">
        <v>1</v>
      </c>
      <c r="S163" s="168" t="n">
        <v>1.02</v>
      </c>
      <c r="T163" s="168" t="n">
        <v>1</v>
      </c>
      <c r="U163" s="168" t="n">
        <v>1</v>
      </c>
      <c r="V163" s="168" t="n">
        <v>1</v>
      </c>
      <c r="W163" s="168" t="n">
        <v>1</v>
      </c>
      <c r="X163" s="168" t="n">
        <v>1</v>
      </c>
      <c r="Y163" s="168" t="n">
        <v>1</v>
      </c>
      <c r="Z163" s="168" t="n">
        <v>1</v>
      </c>
      <c r="AA163" s="168" t="n">
        <v>1</v>
      </c>
      <c r="AB163" s="168" t="n">
        <v>1</v>
      </c>
      <c r="AC163" s="168" t="n">
        <v>1</v>
      </c>
      <c r="AD163" s="168" t="n">
        <v>1</v>
      </c>
      <c r="AE163" s="168" t="n">
        <v>1</v>
      </c>
      <c r="AF163" s="168" t="n">
        <v>1.1</v>
      </c>
      <c r="AG163" s="168" t="n">
        <v>1.1</v>
      </c>
      <c r="AH163" s="168" t="n">
        <v>1.05</v>
      </c>
      <c r="AI163" s="168" t="n">
        <v>1</v>
      </c>
      <c r="AJ163" s="168" t="n">
        <v>1</v>
      </c>
      <c r="AK163" s="168" t="n">
        <v>1.02</v>
      </c>
      <c r="AL163" s="168" t="n">
        <v>1</v>
      </c>
      <c r="AM163" s="168" t="n">
        <v>1</v>
      </c>
      <c r="AN163" s="168" t="n">
        <v>1</v>
      </c>
      <c r="AO163" s="168" t="n">
        <v>1</v>
      </c>
    </row>
    <row r="164" customFormat="false" ht="12.75" hidden="false" customHeight="false" outlineLevel="0" collapsed="false">
      <c r="A164" s="167" t="n">
        <v>41671</v>
      </c>
      <c r="B164" s="168" t="n">
        <v>1</v>
      </c>
      <c r="C164" s="168" t="n">
        <v>1</v>
      </c>
      <c r="D164" s="168" t="n">
        <v>1</v>
      </c>
      <c r="E164" s="168" t="n">
        <v>1</v>
      </c>
      <c r="F164" s="168" t="n">
        <v>1</v>
      </c>
      <c r="G164" s="168" t="n">
        <v>1</v>
      </c>
      <c r="H164" s="168" t="n">
        <v>1</v>
      </c>
      <c r="I164" s="168" t="n">
        <v>1</v>
      </c>
      <c r="J164" s="168" t="n">
        <v>1</v>
      </c>
      <c r="K164" s="168" t="n">
        <v>1</v>
      </c>
      <c r="L164" s="168" t="n">
        <v>1</v>
      </c>
      <c r="M164" s="168" t="n">
        <v>1</v>
      </c>
      <c r="N164" s="168" t="n">
        <v>1</v>
      </c>
      <c r="O164" s="168" t="n">
        <v>1</v>
      </c>
      <c r="P164" s="168" t="n">
        <v>1.03</v>
      </c>
      <c r="Q164" s="168" t="n">
        <v>1</v>
      </c>
      <c r="R164" s="168" t="n">
        <v>1</v>
      </c>
      <c r="S164" s="168" t="n">
        <v>1.02</v>
      </c>
      <c r="T164" s="168" t="n">
        <v>1</v>
      </c>
      <c r="U164" s="168" t="n">
        <v>1</v>
      </c>
      <c r="V164" s="168" t="n">
        <v>1</v>
      </c>
      <c r="W164" s="168" t="n">
        <v>1</v>
      </c>
      <c r="X164" s="168" t="n">
        <v>1</v>
      </c>
      <c r="Y164" s="168" t="n">
        <v>1</v>
      </c>
      <c r="Z164" s="168" t="n">
        <v>1</v>
      </c>
      <c r="AA164" s="168" t="n">
        <v>1</v>
      </c>
      <c r="AB164" s="168" t="n">
        <v>1</v>
      </c>
      <c r="AC164" s="168" t="n">
        <v>1</v>
      </c>
      <c r="AD164" s="168" t="n">
        <v>1</v>
      </c>
      <c r="AE164" s="168" t="n">
        <v>1</v>
      </c>
      <c r="AF164" s="168" t="n">
        <v>1.1</v>
      </c>
      <c r="AG164" s="168" t="n">
        <v>1.1</v>
      </c>
      <c r="AH164" s="168" t="n">
        <v>1.05</v>
      </c>
      <c r="AI164" s="168" t="n">
        <v>1</v>
      </c>
      <c r="AJ164" s="168" t="n">
        <v>1</v>
      </c>
      <c r="AK164" s="168" t="n">
        <v>1.02</v>
      </c>
      <c r="AL164" s="168" t="n">
        <v>1</v>
      </c>
      <c r="AM164" s="168" t="n">
        <v>1</v>
      </c>
      <c r="AN164" s="168" t="n">
        <v>1</v>
      </c>
      <c r="AO164" s="168" t="n">
        <v>1</v>
      </c>
    </row>
    <row r="165" customFormat="false" ht="12.75" hidden="false" customHeight="false" outlineLevel="0" collapsed="false">
      <c r="A165" s="167" t="n">
        <v>41699</v>
      </c>
      <c r="B165" s="168" t="n">
        <v>1</v>
      </c>
      <c r="C165" s="168" t="n">
        <v>1</v>
      </c>
      <c r="D165" s="168" t="n">
        <v>1</v>
      </c>
      <c r="E165" s="168" t="n">
        <v>1</v>
      </c>
      <c r="F165" s="168" t="n">
        <v>1</v>
      </c>
      <c r="G165" s="168" t="n">
        <v>1</v>
      </c>
      <c r="H165" s="168" t="n">
        <v>1</v>
      </c>
      <c r="I165" s="168" t="n">
        <v>1</v>
      </c>
      <c r="J165" s="168" t="n">
        <v>1</v>
      </c>
      <c r="K165" s="168" t="n">
        <v>1</v>
      </c>
      <c r="L165" s="168" t="n">
        <v>1</v>
      </c>
      <c r="M165" s="168" t="n">
        <v>1</v>
      </c>
      <c r="N165" s="168" t="n">
        <v>1</v>
      </c>
      <c r="O165" s="168" t="n">
        <v>1</v>
      </c>
      <c r="P165" s="168" t="n">
        <v>1.03</v>
      </c>
      <c r="Q165" s="168" t="n">
        <v>1</v>
      </c>
      <c r="R165" s="168" t="n">
        <v>1</v>
      </c>
      <c r="S165" s="168" t="n">
        <v>1.02</v>
      </c>
      <c r="T165" s="168" t="n">
        <v>1</v>
      </c>
      <c r="U165" s="168" t="n">
        <v>1</v>
      </c>
      <c r="V165" s="168" t="n">
        <v>1</v>
      </c>
      <c r="W165" s="168" t="n">
        <v>1</v>
      </c>
      <c r="X165" s="168" t="n">
        <v>1</v>
      </c>
      <c r="Y165" s="168" t="n">
        <v>1</v>
      </c>
      <c r="Z165" s="168" t="n">
        <v>1</v>
      </c>
      <c r="AA165" s="168" t="n">
        <v>1</v>
      </c>
      <c r="AB165" s="168" t="n">
        <v>1</v>
      </c>
      <c r="AC165" s="168" t="n">
        <v>1</v>
      </c>
      <c r="AD165" s="168" t="n">
        <v>1</v>
      </c>
      <c r="AE165" s="168" t="n">
        <v>1</v>
      </c>
      <c r="AF165" s="168" t="n">
        <v>1.1</v>
      </c>
      <c r="AG165" s="168" t="n">
        <v>1.1</v>
      </c>
      <c r="AH165" s="168" t="n">
        <v>1.05</v>
      </c>
      <c r="AI165" s="168" t="n">
        <v>1</v>
      </c>
      <c r="AJ165" s="168" t="n">
        <v>1</v>
      </c>
      <c r="AK165" s="168" t="n">
        <v>1.02</v>
      </c>
      <c r="AL165" s="168" t="n">
        <v>1</v>
      </c>
      <c r="AM165" s="168" t="n">
        <v>1</v>
      </c>
      <c r="AN165" s="168" t="n">
        <v>1</v>
      </c>
      <c r="AO165" s="168" t="n">
        <v>1</v>
      </c>
    </row>
    <row r="166" customFormat="false" ht="12.75" hidden="false" customHeight="false" outlineLevel="0" collapsed="false">
      <c r="A166" s="167" t="n">
        <v>41730</v>
      </c>
      <c r="B166" s="168" t="n">
        <v>1</v>
      </c>
      <c r="C166" s="168" t="n">
        <v>1</v>
      </c>
      <c r="D166" s="168" t="n">
        <v>1</v>
      </c>
      <c r="E166" s="168" t="n">
        <v>1</v>
      </c>
      <c r="F166" s="168" t="n">
        <v>1</v>
      </c>
      <c r="G166" s="168" t="n">
        <v>1</v>
      </c>
      <c r="H166" s="168" t="n">
        <v>1</v>
      </c>
      <c r="I166" s="168" t="n">
        <v>1</v>
      </c>
      <c r="J166" s="168" t="n">
        <v>1</v>
      </c>
      <c r="K166" s="168" t="n">
        <v>1</v>
      </c>
      <c r="L166" s="168" t="n">
        <v>1</v>
      </c>
      <c r="M166" s="168" t="n">
        <v>1</v>
      </c>
      <c r="N166" s="168" t="n">
        <v>1</v>
      </c>
      <c r="O166" s="168" t="n">
        <v>1</v>
      </c>
      <c r="P166" s="168" t="n">
        <v>1.03</v>
      </c>
      <c r="Q166" s="168" t="n">
        <v>1</v>
      </c>
      <c r="R166" s="168" t="n">
        <v>1</v>
      </c>
      <c r="S166" s="168" t="n">
        <v>1.02</v>
      </c>
      <c r="T166" s="168" t="n">
        <v>1</v>
      </c>
      <c r="U166" s="168" t="n">
        <v>1</v>
      </c>
      <c r="V166" s="168" t="n">
        <v>1</v>
      </c>
      <c r="W166" s="168" t="n">
        <v>1</v>
      </c>
      <c r="X166" s="168" t="n">
        <v>1</v>
      </c>
      <c r="Y166" s="168" t="n">
        <v>1.02</v>
      </c>
      <c r="Z166" s="168" t="n">
        <v>1</v>
      </c>
      <c r="AA166" s="168" t="n">
        <v>1</v>
      </c>
      <c r="AB166" s="168" t="n">
        <v>1</v>
      </c>
      <c r="AC166" s="168" t="n">
        <v>1</v>
      </c>
      <c r="AD166" s="168" t="n">
        <v>0.98</v>
      </c>
      <c r="AE166" s="168" t="n">
        <v>0.98</v>
      </c>
      <c r="AF166" s="168" t="n">
        <v>0.98</v>
      </c>
      <c r="AG166" s="168" t="n">
        <v>0.98</v>
      </c>
      <c r="AH166" s="168" t="n">
        <v>1.05</v>
      </c>
      <c r="AI166" s="168" t="n">
        <v>1</v>
      </c>
      <c r="AJ166" s="168" t="n">
        <v>1</v>
      </c>
      <c r="AK166" s="168" t="n">
        <v>1.02</v>
      </c>
      <c r="AL166" s="168" t="n">
        <v>1</v>
      </c>
      <c r="AM166" s="168" t="n">
        <v>1</v>
      </c>
      <c r="AN166" s="168" t="n">
        <v>1</v>
      </c>
      <c r="AO166" s="168" t="n">
        <v>1</v>
      </c>
    </row>
    <row r="167" customFormat="false" ht="12.75" hidden="false" customHeight="false" outlineLevel="0" collapsed="false">
      <c r="A167" s="167" t="n">
        <v>41760</v>
      </c>
      <c r="B167" s="168" t="n">
        <v>1</v>
      </c>
      <c r="C167" s="168" t="n">
        <v>1</v>
      </c>
      <c r="D167" s="168" t="n">
        <v>1</v>
      </c>
      <c r="E167" s="168" t="n">
        <v>1</v>
      </c>
      <c r="F167" s="168" t="n">
        <v>1</v>
      </c>
      <c r="G167" s="168" t="n">
        <v>1</v>
      </c>
      <c r="H167" s="168" t="n">
        <v>1</v>
      </c>
      <c r="I167" s="168" t="n">
        <v>1</v>
      </c>
      <c r="J167" s="168" t="n">
        <v>1</v>
      </c>
      <c r="K167" s="168" t="n">
        <v>1</v>
      </c>
      <c r="L167" s="168" t="n">
        <v>1</v>
      </c>
      <c r="M167" s="168" t="n">
        <v>1</v>
      </c>
      <c r="N167" s="168" t="n">
        <v>1</v>
      </c>
      <c r="O167" s="168" t="n">
        <v>1</v>
      </c>
      <c r="P167" s="168" t="n">
        <v>1.03</v>
      </c>
      <c r="Q167" s="168" t="n">
        <v>1</v>
      </c>
      <c r="R167" s="168" t="n">
        <v>1</v>
      </c>
      <c r="S167" s="168" t="n">
        <v>1.02</v>
      </c>
      <c r="T167" s="168" t="n">
        <v>1</v>
      </c>
      <c r="U167" s="168" t="n">
        <v>1</v>
      </c>
      <c r="V167" s="168" t="n">
        <v>1</v>
      </c>
      <c r="W167" s="168" t="n">
        <v>1</v>
      </c>
      <c r="X167" s="168" t="n">
        <v>1</v>
      </c>
      <c r="Y167" s="168" t="n">
        <v>1.02</v>
      </c>
      <c r="Z167" s="168" t="n">
        <v>1</v>
      </c>
      <c r="AA167" s="168" t="n">
        <v>1</v>
      </c>
      <c r="AB167" s="168" t="n">
        <v>1</v>
      </c>
      <c r="AC167" s="168" t="n">
        <v>1</v>
      </c>
      <c r="AD167" s="168" t="n">
        <v>0.98</v>
      </c>
      <c r="AE167" s="168" t="n">
        <v>0.98</v>
      </c>
      <c r="AF167" s="168" t="n">
        <v>0.98</v>
      </c>
      <c r="AG167" s="168" t="n">
        <v>0.98</v>
      </c>
      <c r="AH167" s="168" t="n">
        <v>1.05</v>
      </c>
      <c r="AI167" s="168" t="n">
        <v>1</v>
      </c>
      <c r="AJ167" s="168" t="n">
        <v>1</v>
      </c>
      <c r="AK167" s="168" t="n">
        <v>1.02</v>
      </c>
      <c r="AL167" s="168" t="n">
        <v>1</v>
      </c>
      <c r="AM167" s="168" t="n">
        <v>1</v>
      </c>
      <c r="AN167" s="168" t="n">
        <v>1</v>
      </c>
      <c r="AO167" s="168" t="n">
        <v>1</v>
      </c>
    </row>
    <row r="168" customFormat="false" ht="12.75" hidden="false" customHeight="false" outlineLevel="0" collapsed="false">
      <c r="A168" s="167" t="n">
        <v>41791</v>
      </c>
      <c r="B168" s="168" t="n">
        <v>1</v>
      </c>
      <c r="C168" s="168" t="n">
        <v>1</v>
      </c>
      <c r="D168" s="168" t="n">
        <v>1</v>
      </c>
      <c r="E168" s="168" t="n">
        <v>1</v>
      </c>
      <c r="F168" s="168" t="n">
        <v>1</v>
      </c>
      <c r="G168" s="168" t="n">
        <v>1</v>
      </c>
      <c r="H168" s="168" t="n">
        <v>1</v>
      </c>
      <c r="I168" s="168" t="n">
        <v>1</v>
      </c>
      <c r="J168" s="168" t="n">
        <v>1</v>
      </c>
      <c r="K168" s="168" t="n">
        <v>1</v>
      </c>
      <c r="L168" s="168" t="n">
        <v>1</v>
      </c>
      <c r="M168" s="168" t="n">
        <v>1</v>
      </c>
      <c r="N168" s="168" t="n">
        <v>1</v>
      </c>
      <c r="O168" s="168" t="n">
        <v>1</v>
      </c>
      <c r="P168" s="168" t="n">
        <v>1.03</v>
      </c>
      <c r="Q168" s="168" t="n">
        <v>1</v>
      </c>
      <c r="R168" s="168" t="n">
        <v>1</v>
      </c>
      <c r="S168" s="168" t="n">
        <v>1.02</v>
      </c>
      <c r="T168" s="168" t="n">
        <v>1</v>
      </c>
      <c r="U168" s="168" t="n">
        <v>1</v>
      </c>
      <c r="V168" s="168" t="n">
        <v>1</v>
      </c>
      <c r="W168" s="168" t="n">
        <v>1</v>
      </c>
      <c r="X168" s="168" t="n">
        <v>1</v>
      </c>
      <c r="Y168" s="168" t="n">
        <v>1.02</v>
      </c>
      <c r="Z168" s="168" t="n">
        <v>1</v>
      </c>
      <c r="AA168" s="168" t="n">
        <v>1</v>
      </c>
      <c r="AB168" s="168" t="n">
        <v>1</v>
      </c>
      <c r="AC168" s="168" t="n">
        <v>1</v>
      </c>
      <c r="AD168" s="168" t="n">
        <v>0.98</v>
      </c>
      <c r="AE168" s="168" t="n">
        <v>0.98</v>
      </c>
      <c r="AF168" s="168" t="n">
        <v>0.98</v>
      </c>
      <c r="AG168" s="168" t="n">
        <v>0.98</v>
      </c>
      <c r="AH168" s="168" t="n">
        <v>1.05</v>
      </c>
      <c r="AI168" s="168" t="n">
        <v>1</v>
      </c>
      <c r="AJ168" s="168" t="n">
        <v>1</v>
      </c>
      <c r="AK168" s="168" t="n">
        <v>1.02</v>
      </c>
      <c r="AL168" s="168" t="n">
        <v>1</v>
      </c>
      <c r="AM168" s="168" t="n">
        <v>1</v>
      </c>
      <c r="AN168" s="168" t="n">
        <v>1</v>
      </c>
      <c r="AO168" s="168" t="n">
        <v>1</v>
      </c>
    </row>
    <row r="169" customFormat="false" ht="12.75" hidden="false" customHeight="false" outlineLevel="0" collapsed="false">
      <c r="A169" s="167" t="n">
        <v>41821</v>
      </c>
      <c r="B169" s="168" t="n">
        <v>1</v>
      </c>
      <c r="C169" s="168" t="n">
        <v>1</v>
      </c>
      <c r="D169" s="168" t="n">
        <v>1</v>
      </c>
      <c r="E169" s="168" t="n">
        <v>1</v>
      </c>
      <c r="F169" s="168" t="n">
        <v>1</v>
      </c>
      <c r="G169" s="168" t="n">
        <v>1</v>
      </c>
      <c r="H169" s="168" t="n">
        <v>1</v>
      </c>
      <c r="I169" s="168" t="n">
        <v>1</v>
      </c>
      <c r="J169" s="168" t="n">
        <v>1</v>
      </c>
      <c r="K169" s="168" t="n">
        <v>1</v>
      </c>
      <c r="L169" s="168" t="n">
        <v>1</v>
      </c>
      <c r="M169" s="168" t="n">
        <v>1</v>
      </c>
      <c r="N169" s="168" t="n">
        <v>1</v>
      </c>
      <c r="O169" s="168" t="n">
        <v>1</v>
      </c>
      <c r="P169" s="168" t="n">
        <v>1.03</v>
      </c>
      <c r="Q169" s="168" t="n">
        <v>1</v>
      </c>
      <c r="R169" s="168" t="n">
        <v>1</v>
      </c>
      <c r="S169" s="168" t="n">
        <v>1.02</v>
      </c>
      <c r="T169" s="168" t="n">
        <v>1</v>
      </c>
      <c r="U169" s="168" t="n">
        <v>1</v>
      </c>
      <c r="V169" s="168" t="n">
        <v>1</v>
      </c>
      <c r="W169" s="168" t="n">
        <v>1</v>
      </c>
      <c r="X169" s="168" t="n">
        <v>1</v>
      </c>
      <c r="Y169" s="168" t="n">
        <v>1.02</v>
      </c>
      <c r="Z169" s="168" t="n">
        <v>1</v>
      </c>
      <c r="AA169" s="168" t="n">
        <v>1</v>
      </c>
      <c r="AB169" s="168" t="n">
        <v>1</v>
      </c>
      <c r="AC169" s="168" t="n">
        <v>1</v>
      </c>
      <c r="AD169" s="168" t="n">
        <v>0.98</v>
      </c>
      <c r="AE169" s="168" t="n">
        <v>0.98</v>
      </c>
      <c r="AF169" s="168" t="n">
        <v>0.98</v>
      </c>
      <c r="AG169" s="168" t="n">
        <v>0.98</v>
      </c>
      <c r="AH169" s="168" t="n">
        <v>1.05</v>
      </c>
      <c r="AI169" s="168" t="n">
        <v>1</v>
      </c>
      <c r="AJ169" s="168" t="n">
        <v>1</v>
      </c>
      <c r="AK169" s="168" t="n">
        <v>1.02</v>
      </c>
      <c r="AL169" s="168" t="n">
        <v>1</v>
      </c>
      <c r="AM169" s="168" t="n">
        <v>1</v>
      </c>
      <c r="AN169" s="168" t="n">
        <v>1</v>
      </c>
      <c r="AO169" s="168" t="n">
        <v>1</v>
      </c>
    </row>
    <row r="170" customFormat="false" ht="12.75" hidden="false" customHeight="false" outlineLevel="0" collapsed="false">
      <c r="A170" s="167" t="n">
        <v>41852</v>
      </c>
      <c r="B170" s="168" t="n">
        <v>1</v>
      </c>
      <c r="C170" s="168" t="n">
        <v>1</v>
      </c>
      <c r="D170" s="168" t="n">
        <v>1</v>
      </c>
      <c r="E170" s="168" t="n">
        <v>1</v>
      </c>
      <c r="F170" s="168" t="n">
        <v>1</v>
      </c>
      <c r="G170" s="168" t="n">
        <v>1</v>
      </c>
      <c r="H170" s="168" t="n">
        <v>1</v>
      </c>
      <c r="I170" s="168" t="n">
        <v>1</v>
      </c>
      <c r="J170" s="168" t="n">
        <v>1</v>
      </c>
      <c r="K170" s="168" t="n">
        <v>1</v>
      </c>
      <c r="L170" s="168" t="n">
        <v>1</v>
      </c>
      <c r="M170" s="168" t="n">
        <v>1</v>
      </c>
      <c r="N170" s="168" t="n">
        <v>1</v>
      </c>
      <c r="O170" s="168" t="n">
        <v>1</v>
      </c>
      <c r="P170" s="168" t="n">
        <v>1.03</v>
      </c>
      <c r="Q170" s="168" t="n">
        <v>1</v>
      </c>
      <c r="R170" s="168" t="n">
        <v>1</v>
      </c>
      <c r="S170" s="168" t="n">
        <v>1.02</v>
      </c>
      <c r="T170" s="168" t="n">
        <v>1</v>
      </c>
      <c r="U170" s="168" t="n">
        <v>1</v>
      </c>
      <c r="V170" s="168" t="n">
        <v>1</v>
      </c>
      <c r="W170" s="168" t="n">
        <v>1</v>
      </c>
      <c r="X170" s="168" t="n">
        <v>1</v>
      </c>
      <c r="Y170" s="168" t="n">
        <v>1.02</v>
      </c>
      <c r="Z170" s="168" t="n">
        <v>1</v>
      </c>
      <c r="AA170" s="168" t="n">
        <v>1</v>
      </c>
      <c r="AB170" s="168" t="n">
        <v>1</v>
      </c>
      <c r="AC170" s="168" t="n">
        <v>1</v>
      </c>
      <c r="AD170" s="168" t="n">
        <v>0.98</v>
      </c>
      <c r="AE170" s="168" t="n">
        <v>0.98</v>
      </c>
      <c r="AF170" s="168" t="n">
        <v>0.98</v>
      </c>
      <c r="AG170" s="168" t="n">
        <v>0.98</v>
      </c>
      <c r="AH170" s="168" t="n">
        <v>1.05</v>
      </c>
      <c r="AI170" s="168" t="n">
        <v>1</v>
      </c>
      <c r="AJ170" s="168" t="n">
        <v>1</v>
      </c>
      <c r="AK170" s="168" t="n">
        <v>1.02</v>
      </c>
      <c r="AL170" s="168" t="n">
        <v>1</v>
      </c>
      <c r="AM170" s="168" t="n">
        <v>1</v>
      </c>
      <c r="AN170" s="168" t="n">
        <v>1</v>
      </c>
      <c r="AO170" s="168" t="n">
        <v>1</v>
      </c>
    </row>
    <row r="171" customFormat="false" ht="12.75" hidden="false" customHeight="false" outlineLevel="0" collapsed="false">
      <c r="A171" s="167" t="n">
        <v>41883</v>
      </c>
      <c r="B171" s="168" t="n">
        <v>1</v>
      </c>
      <c r="C171" s="168" t="n">
        <v>1</v>
      </c>
      <c r="D171" s="168" t="n">
        <v>1</v>
      </c>
      <c r="E171" s="168" t="n">
        <v>1</v>
      </c>
      <c r="F171" s="168" t="n">
        <v>1</v>
      </c>
      <c r="G171" s="168" t="n">
        <v>1</v>
      </c>
      <c r="H171" s="168" t="n">
        <v>1</v>
      </c>
      <c r="I171" s="168" t="n">
        <v>1</v>
      </c>
      <c r="J171" s="168" t="n">
        <v>1</v>
      </c>
      <c r="K171" s="168" t="n">
        <v>1</v>
      </c>
      <c r="L171" s="168" t="n">
        <v>1</v>
      </c>
      <c r="M171" s="168" t="n">
        <v>1</v>
      </c>
      <c r="N171" s="168" t="n">
        <v>1</v>
      </c>
      <c r="O171" s="168" t="n">
        <v>1</v>
      </c>
      <c r="P171" s="168" t="n">
        <v>1.03</v>
      </c>
      <c r="Q171" s="168" t="n">
        <v>1</v>
      </c>
      <c r="R171" s="168" t="n">
        <v>1</v>
      </c>
      <c r="S171" s="168" t="n">
        <v>1.02</v>
      </c>
      <c r="T171" s="168" t="n">
        <v>1</v>
      </c>
      <c r="U171" s="168" t="n">
        <v>1</v>
      </c>
      <c r="V171" s="168" t="n">
        <v>1</v>
      </c>
      <c r="W171" s="168" t="n">
        <v>1</v>
      </c>
      <c r="X171" s="168" t="n">
        <v>1</v>
      </c>
      <c r="Y171" s="168" t="n">
        <v>1.02</v>
      </c>
      <c r="Z171" s="168" t="n">
        <v>1</v>
      </c>
      <c r="AA171" s="168" t="n">
        <v>1</v>
      </c>
      <c r="AB171" s="168" t="n">
        <v>1</v>
      </c>
      <c r="AC171" s="168" t="n">
        <v>1</v>
      </c>
      <c r="AD171" s="168" t="n">
        <v>0.98</v>
      </c>
      <c r="AE171" s="168" t="n">
        <v>0.98</v>
      </c>
      <c r="AF171" s="168" t="n">
        <v>0.98</v>
      </c>
      <c r="AG171" s="168" t="n">
        <v>0.98</v>
      </c>
      <c r="AH171" s="168" t="n">
        <v>1.05</v>
      </c>
      <c r="AI171" s="168" t="n">
        <v>1</v>
      </c>
      <c r="AJ171" s="168" t="n">
        <v>1</v>
      </c>
      <c r="AK171" s="168" t="n">
        <v>1.02</v>
      </c>
      <c r="AL171" s="168" t="n">
        <v>1</v>
      </c>
      <c r="AM171" s="168" t="n">
        <v>1</v>
      </c>
      <c r="AN171" s="168" t="n">
        <v>1</v>
      </c>
      <c r="AO171" s="168" t="n">
        <v>1</v>
      </c>
    </row>
    <row r="172" customFormat="false" ht="12.75" hidden="false" customHeight="false" outlineLevel="0" collapsed="false">
      <c r="A172" s="167" t="n">
        <v>41913</v>
      </c>
      <c r="B172" s="168" t="n">
        <v>1</v>
      </c>
      <c r="C172" s="168" t="n">
        <v>1</v>
      </c>
      <c r="D172" s="168" t="n">
        <v>1</v>
      </c>
      <c r="E172" s="168" t="n">
        <v>1</v>
      </c>
      <c r="F172" s="168" t="n">
        <v>1</v>
      </c>
      <c r="G172" s="168" t="n">
        <v>1</v>
      </c>
      <c r="H172" s="168" t="n">
        <v>1</v>
      </c>
      <c r="I172" s="168" t="n">
        <v>1</v>
      </c>
      <c r="J172" s="168" t="n">
        <v>1</v>
      </c>
      <c r="K172" s="168" t="n">
        <v>1</v>
      </c>
      <c r="L172" s="168" t="n">
        <v>1</v>
      </c>
      <c r="M172" s="168" t="n">
        <v>1</v>
      </c>
      <c r="N172" s="168" t="n">
        <v>1</v>
      </c>
      <c r="O172" s="168" t="n">
        <v>1</v>
      </c>
      <c r="P172" s="168" t="n">
        <v>1.03</v>
      </c>
      <c r="Q172" s="168" t="n">
        <v>1</v>
      </c>
      <c r="R172" s="168" t="n">
        <v>1</v>
      </c>
      <c r="S172" s="168" t="n">
        <v>1.02</v>
      </c>
      <c r="T172" s="168" t="n">
        <v>1</v>
      </c>
      <c r="U172" s="168" t="n">
        <v>1</v>
      </c>
      <c r="V172" s="168" t="n">
        <v>1</v>
      </c>
      <c r="W172" s="168" t="n">
        <v>1</v>
      </c>
      <c r="X172" s="168" t="n">
        <v>1</v>
      </c>
      <c r="Y172" s="168" t="n">
        <v>1.02</v>
      </c>
      <c r="Z172" s="168" t="n">
        <v>1</v>
      </c>
      <c r="AA172" s="168" t="n">
        <v>1</v>
      </c>
      <c r="AB172" s="168" t="n">
        <v>1</v>
      </c>
      <c r="AC172" s="168" t="n">
        <v>1</v>
      </c>
      <c r="AD172" s="168" t="n">
        <v>0.98</v>
      </c>
      <c r="AE172" s="168" t="n">
        <v>0.98</v>
      </c>
      <c r="AF172" s="168" t="n">
        <v>0.98</v>
      </c>
      <c r="AG172" s="168" t="n">
        <v>0.98</v>
      </c>
      <c r="AH172" s="168" t="n">
        <v>1.05</v>
      </c>
      <c r="AI172" s="168" t="n">
        <v>1</v>
      </c>
      <c r="AJ172" s="168" t="n">
        <v>1</v>
      </c>
      <c r="AK172" s="168" t="n">
        <v>1.02</v>
      </c>
      <c r="AL172" s="168" t="n">
        <v>1</v>
      </c>
      <c r="AM172" s="168" t="n">
        <v>1</v>
      </c>
      <c r="AN172" s="168" t="n">
        <v>1</v>
      </c>
      <c r="AO172" s="168" t="n">
        <v>1</v>
      </c>
    </row>
    <row r="173" customFormat="false" ht="12.75" hidden="false" customHeight="false" outlineLevel="0" collapsed="false">
      <c r="A173" s="167" t="n">
        <v>41944</v>
      </c>
      <c r="B173" s="168" t="n">
        <v>1</v>
      </c>
      <c r="C173" s="168" t="n">
        <v>1</v>
      </c>
      <c r="D173" s="168" t="n">
        <v>1</v>
      </c>
      <c r="E173" s="168" t="n">
        <v>1</v>
      </c>
      <c r="F173" s="168" t="n">
        <v>1</v>
      </c>
      <c r="G173" s="168" t="n">
        <v>1</v>
      </c>
      <c r="H173" s="168" t="n">
        <v>1</v>
      </c>
      <c r="I173" s="168" t="n">
        <v>1</v>
      </c>
      <c r="J173" s="168" t="n">
        <v>1</v>
      </c>
      <c r="K173" s="168" t="n">
        <v>1</v>
      </c>
      <c r="L173" s="168" t="n">
        <v>1</v>
      </c>
      <c r="M173" s="168" t="n">
        <v>1</v>
      </c>
      <c r="N173" s="168" t="n">
        <v>1</v>
      </c>
      <c r="O173" s="168" t="n">
        <v>1</v>
      </c>
      <c r="P173" s="168" t="n">
        <v>1.03</v>
      </c>
      <c r="Q173" s="168" t="n">
        <v>1</v>
      </c>
      <c r="R173" s="168" t="n">
        <v>1</v>
      </c>
      <c r="S173" s="168" t="n">
        <v>1.02</v>
      </c>
      <c r="T173" s="168" t="n">
        <v>1</v>
      </c>
      <c r="U173" s="168" t="n">
        <v>1</v>
      </c>
      <c r="V173" s="168" t="n">
        <v>1</v>
      </c>
      <c r="W173" s="168" t="n">
        <v>1</v>
      </c>
      <c r="X173" s="168" t="n">
        <v>1</v>
      </c>
      <c r="Y173" s="168" t="n">
        <v>1</v>
      </c>
      <c r="Z173" s="168" t="n">
        <v>1</v>
      </c>
      <c r="AA173" s="168" t="n">
        <v>1</v>
      </c>
      <c r="AB173" s="168" t="n">
        <v>1</v>
      </c>
      <c r="AC173" s="168" t="n">
        <v>1</v>
      </c>
      <c r="AD173" s="168" t="n">
        <v>1</v>
      </c>
      <c r="AE173" s="168" t="n">
        <v>1</v>
      </c>
      <c r="AF173" s="168" t="n">
        <v>1.1</v>
      </c>
      <c r="AG173" s="168" t="n">
        <v>1.1</v>
      </c>
      <c r="AH173" s="168" t="n">
        <v>1.05</v>
      </c>
      <c r="AI173" s="168" t="n">
        <v>1</v>
      </c>
      <c r="AJ173" s="168" t="n">
        <v>1</v>
      </c>
      <c r="AK173" s="168" t="n">
        <v>1.02</v>
      </c>
      <c r="AL173" s="168" t="n">
        <v>1</v>
      </c>
      <c r="AM173" s="168" t="n">
        <v>1</v>
      </c>
      <c r="AN173" s="168" t="n">
        <v>1</v>
      </c>
      <c r="AO173" s="168" t="n">
        <v>1</v>
      </c>
    </row>
    <row r="174" customFormat="false" ht="12.75" hidden="false" customHeight="false" outlineLevel="0" collapsed="false">
      <c r="A174" s="167" t="n">
        <v>41974</v>
      </c>
      <c r="B174" s="168" t="n">
        <v>1</v>
      </c>
      <c r="C174" s="168" t="n">
        <v>1</v>
      </c>
      <c r="D174" s="168" t="n">
        <v>1</v>
      </c>
      <c r="E174" s="168" t="n">
        <v>1</v>
      </c>
      <c r="F174" s="168" t="n">
        <v>1</v>
      </c>
      <c r="G174" s="168" t="n">
        <v>1</v>
      </c>
      <c r="H174" s="168" t="n">
        <v>1</v>
      </c>
      <c r="I174" s="168" t="n">
        <v>1</v>
      </c>
      <c r="J174" s="168" t="n">
        <v>1</v>
      </c>
      <c r="K174" s="168" t="n">
        <v>1</v>
      </c>
      <c r="L174" s="168" t="n">
        <v>1</v>
      </c>
      <c r="M174" s="168" t="n">
        <v>1</v>
      </c>
      <c r="N174" s="168" t="n">
        <v>1</v>
      </c>
      <c r="O174" s="168" t="n">
        <v>1</v>
      </c>
      <c r="P174" s="168" t="n">
        <v>1.03</v>
      </c>
      <c r="Q174" s="168" t="n">
        <v>1</v>
      </c>
      <c r="R174" s="168" t="n">
        <v>1</v>
      </c>
      <c r="S174" s="168" t="n">
        <v>1.02</v>
      </c>
      <c r="T174" s="168" t="n">
        <v>1</v>
      </c>
      <c r="U174" s="168" t="n">
        <v>1</v>
      </c>
      <c r="V174" s="168" t="n">
        <v>1</v>
      </c>
      <c r="W174" s="168" t="n">
        <v>1</v>
      </c>
      <c r="X174" s="168" t="n">
        <v>1</v>
      </c>
      <c r="Y174" s="168" t="n">
        <v>1</v>
      </c>
      <c r="Z174" s="168" t="n">
        <v>1</v>
      </c>
      <c r="AA174" s="168" t="n">
        <v>1</v>
      </c>
      <c r="AB174" s="168" t="n">
        <v>1</v>
      </c>
      <c r="AC174" s="168" t="n">
        <v>1</v>
      </c>
      <c r="AD174" s="168" t="n">
        <v>1</v>
      </c>
      <c r="AE174" s="168" t="n">
        <v>1</v>
      </c>
      <c r="AF174" s="168" t="n">
        <v>1.1</v>
      </c>
      <c r="AG174" s="168" t="n">
        <v>1.1</v>
      </c>
      <c r="AH174" s="168" t="n">
        <v>1.05</v>
      </c>
      <c r="AI174" s="168" t="n">
        <v>1</v>
      </c>
      <c r="AJ174" s="168" t="n">
        <v>1</v>
      </c>
      <c r="AK174" s="168" t="n">
        <v>1.02</v>
      </c>
      <c r="AL174" s="168" t="n">
        <v>1</v>
      </c>
      <c r="AM174" s="168" t="n">
        <v>1</v>
      </c>
      <c r="AN174" s="168" t="n">
        <v>1</v>
      </c>
      <c r="AO174" s="168" t="n">
        <v>1</v>
      </c>
    </row>
    <row r="175" customFormat="false" ht="12.75" hidden="false" customHeight="false" outlineLevel="0" collapsed="false">
      <c r="A175" s="167" t="n">
        <v>42005</v>
      </c>
      <c r="B175" s="168" t="n">
        <v>1</v>
      </c>
      <c r="C175" s="168" t="n">
        <v>1</v>
      </c>
      <c r="D175" s="168" t="n">
        <v>1</v>
      </c>
      <c r="E175" s="168" t="n">
        <v>1</v>
      </c>
      <c r="F175" s="168" t="n">
        <v>1</v>
      </c>
      <c r="G175" s="168" t="n">
        <v>1</v>
      </c>
      <c r="H175" s="168" t="n">
        <v>1</v>
      </c>
      <c r="I175" s="168" t="n">
        <v>1</v>
      </c>
      <c r="J175" s="168" t="n">
        <v>1</v>
      </c>
      <c r="K175" s="168" t="n">
        <v>1</v>
      </c>
      <c r="L175" s="168" t="n">
        <v>1</v>
      </c>
      <c r="M175" s="168" t="n">
        <v>1</v>
      </c>
      <c r="N175" s="168" t="n">
        <v>1</v>
      </c>
      <c r="O175" s="168" t="n">
        <v>1</v>
      </c>
      <c r="P175" s="168" t="n">
        <v>1.03</v>
      </c>
      <c r="Q175" s="168" t="n">
        <v>1</v>
      </c>
      <c r="R175" s="168" t="n">
        <v>1</v>
      </c>
      <c r="S175" s="168" t="n">
        <v>1.02</v>
      </c>
      <c r="T175" s="168" t="n">
        <v>1</v>
      </c>
      <c r="U175" s="168" t="n">
        <v>1</v>
      </c>
      <c r="V175" s="168" t="n">
        <v>1</v>
      </c>
      <c r="W175" s="168" t="n">
        <v>1</v>
      </c>
      <c r="X175" s="168" t="n">
        <v>1</v>
      </c>
      <c r="Y175" s="168" t="n">
        <v>1</v>
      </c>
      <c r="Z175" s="168" t="n">
        <v>1</v>
      </c>
      <c r="AA175" s="168" t="n">
        <v>1</v>
      </c>
      <c r="AB175" s="168" t="n">
        <v>1</v>
      </c>
      <c r="AC175" s="168" t="n">
        <v>1</v>
      </c>
      <c r="AD175" s="168" t="n">
        <v>1</v>
      </c>
      <c r="AE175" s="168" t="n">
        <v>1</v>
      </c>
      <c r="AF175" s="168" t="n">
        <v>1.1</v>
      </c>
      <c r="AG175" s="168" t="n">
        <v>1.1</v>
      </c>
      <c r="AH175" s="168" t="n">
        <v>1.05</v>
      </c>
      <c r="AI175" s="168" t="n">
        <v>1</v>
      </c>
      <c r="AJ175" s="168" t="n">
        <v>1</v>
      </c>
      <c r="AK175" s="168" t="n">
        <v>1.02</v>
      </c>
      <c r="AL175" s="168" t="n">
        <v>1</v>
      </c>
      <c r="AM175" s="168" t="n">
        <v>1</v>
      </c>
      <c r="AN175" s="168" t="n">
        <v>1</v>
      </c>
      <c r="AO175" s="168" t="n">
        <v>1</v>
      </c>
    </row>
    <row r="176" customFormat="false" ht="12.75" hidden="false" customHeight="false" outlineLevel="0" collapsed="false">
      <c r="A176" s="167" t="n">
        <v>42036</v>
      </c>
      <c r="B176" s="168" t="n">
        <v>1</v>
      </c>
      <c r="C176" s="168" t="n">
        <v>1</v>
      </c>
      <c r="D176" s="168" t="n">
        <v>1</v>
      </c>
      <c r="E176" s="168" t="n">
        <v>1</v>
      </c>
      <c r="F176" s="168" t="n">
        <v>1</v>
      </c>
      <c r="G176" s="168" t="n">
        <v>1</v>
      </c>
      <c r="H176" s="168" t="n">
        <v>1</v>
      </c>
      <c r="I176" s="168" t="n">
        <v>1</v>
      </c>
      <c r="J176" s="168" t="n">
        <v>1</v>
      </c>
      <c r="K176" s="168" t="n">
        <v>1</v>
      </c>
      <c r="L176" s="168" t="n">
        <v>1</v>
      </c>
      <c r="M176" s="168" t="n">
        <v>1</v>
      </c>
      <c r="N176" s="168" t="n">
        <v>1</v>
      </c>
      <c r="O176" s="168" t="n">
        <v>1</v>
      </c>
      <c r="P176" s="168" t="n">
        <v>1.03</v>
      </c>
      <c r="Q176" s="168" t="n">
        <v>1</v>
      </c>
      <c r="R176" s="168" t="n">
        <v>1</v>
      </c>
      <c r="S176" s="168" t="n">
        <v>1.02</v>
      </c>
      <c r="T176" s="168" t="n">
        <v>1</v>
      </c>
      <c r="U176" s="168" t="n">
        <v>1</v>
      </c>
      <c r="V176" s="168" t="n">
        <v>1</v>
      </c>
      <c r="W176" s="168" t="n">
        <v>1</v>
      </c>
      <c r="X176" s="168" t="n">
        <v>1</v>
      </c>
      <c r="Y176" s="168" t="n">
        <v>1</v>
      </c>
      <c r="Z176" s="168" t="n">
        <v>1</v>
      </c>
      <c r="AA176" s="168" t="n">
        <v>1</v>
      </c>
      <c r="AB176" s="168" t="n">
        <v>1</v>
      </c>
      <c r="AC176" s="168" t="n">
        <v>1</v>
      </c>
      <c r="AD176" s="168" t="n">
        <v>1</v>
      </c>
      <c r="AE176" s="168" t="n">
        <v>1</v>
      </c>
      <c r="AF176" s="168" t="n">
        <v>1.1</v>
      </c>
      <c r="AG176" s="168" t="n">
        <v>1.1</v>
      </c>
      <c r="AH176" s="168" t="n">
        <v>1.05</v>
      </c>
      <c r="AI176" s="168" t="n">
        <v>1</v>
      </c>
      <c r="AJ176" s="168" t="n">
        <v>1</v>
      </c>
      <c r="AK176" s="168" t="n">
        <v>1.02</v>
      </c>
      <c r="AL176" s="168" t="n">
        <v>1</v>
      </c>
      <c r="AM176" s="168" t="n">
        <v>1</v>
      </c>
      <c r="AN176" s="168" t="n">
        <v>1</v>
      </c>
      <c r="AO176" s="168" t="n">
        <v>1</v>
      </c>
    </row>
    <row r="177" customFormat="false" ht="12.75" hidden="false" customHeight="false" outlineLevel="0" collapsed="false">
      <c r="A177" s="167" t="n">
        <v>42064</v>
      </c>
      <c r="B177" s="168" t="n">
        <v>1</v>
      </c>
      <c r="C177" s="168" t="n">
        <v>1</v>
      </c>
      <c r="D177" s="168" t="n">
        <v>1</v>
      </c>
      <c r="E177" s="168" t="n">
        <v>1</v>
      </c>
      <c r="F177" s="168" t="n">
        <v>1</v>
      </c>
      <c r="G177" s="168" t="n">
        <v>1</v>
      </c>
      <c r="H177" s="168" t="n">
        <v>1</v>
      </c>
      <c r="I177" s="168" t="n">
        <v>1</v>
      </c>
      <c r="J177" s="168" t="n">
        <v>1</v>
      </c>
      <c r="K177" s="168" t="n">
        <v>1</v>
      </c>
      <c r="L177" s="168" t="n">
        <v>1</v>
      </c>
      <c r="M177" s="168" t="n">
        <v>1</v>
      </c>
      <c r="N177" s="168" t="n">
        <v>1</v>
      </c>
      <c r="O177" s="168" t="n">
        <v>1</v>
      </c>
      <c r="P177" s="168" t="n">
        <v>1.03</v>
      </c>
      <c r="Q177" s="168" t="n">
        <v>1</v>
      </c>
      <c r="R177" s="168" t="n">
        <v>1</v>
      </c>
      <c r="S177" s="168" t="n">
        <v>1.02</v>
      </c>
      <c r="T177" s="168" t="n">
        <v>1</v>
      </c>
      <c r="U177" s="168" t="n">
        <v>1</v>
      </c>
      <c r="V177" s="168" t="n">
        <v>1</v>
      </c>
      <c r="W177" s="168" t="n">
        <v>1</v>
      </c>
      <c r="X177" s="168" t="n">
        <v>1</v>
      </c>
      <c r="Y177" s="168" t="n">
        <v>1</v>
      </c>
      <c r="Z177" s="168" t="n">
        <v>1</v>
      </c>
      <c r="AA177" s="168" t="n">
        <v>1</v>
      </c>
      <c r="AB177" s="168" t="n">
        <v>1</v>
      </c>
      <c r="AC177" s="168" t="n">
        <v>1</v>
      </c>
      <c r="AD177" s="168" t="n">
        <v>1</v>
      </c>
      <c r="AE177" s="168" t="n">
        <v>1</v>
      </c>
      <c r="AF177" s="168" t="n">
        <v>1.1</v>
      </c>
      <c r="AG177" s="168" t="n">
        <v>1.1</v>
      </c>
      <c r="AH177" s="168" t="n">
        <v>1.05</v>
      </c>
      <c r="AI177" s="168" t="n">
        <v>1</v>
      </c>
      <c r="AJ177" s="168" t="n">
        <v>1</v>
      </c>
      <c r="AK177" s="168" t="n">
        <v>1.02</v>
      </c>
      <c r="AL177" s="168" t="n">
        <v>1</v>
      </c>
      <c r="AM177" s="168" t="n">
        <v>1</v>
      </c>
      <c r="AN177" s="168" t="n">
        <v>1</v>
      </c>
      <c r="AO177" s="168" t="n">
        <v>1</v>
      </c>
    </row>
    <row r="178" customFormat="false" ht="12.75" hidden="false" customHeight="false" outlineLevel="0" collapsed="false">
      <c r="A178" s="167" t="n">
        <v>42095</v>
      </c>
      <c r="B178" s="168" t="n">
        <v>1</v>
      </c>
      <c r="C178" s="168" t="n">
        <v>1</v>
      </c>
      <c r="D178" s="168" t="n">
        <v>1</v>
      </c>
      <c r="E178" s="168" t="n">
        <v>1</v>
      </c>
      <c r="F178" s="168" t="n">
        <v>1</v>
      </c>
      <c r="G178" s="168" t="n">
        <v>1</v>
      </c>
      <c r="H178" s="168" t="n">
        <v>1</v>
      </c>
      <c r="I178" s="168" t="n">
        <v>1</v>
      </c>
      <c r="J178" s="168" t="n">
        <v>1</v>
      </c>
      <c r="K178" s="168" t="n">
        <v>1</v>
      </c>
      <c r="L178" s="168" t="n">
        <v>1</v>
      </c>
      <c r="M178" s="168" t="n">
        <v>1</v>
      </c>
      <c r="N178" s="168" t="n">
        <v>1</v>
      </c>
      <c r="O178" s="168" t="n">
        <v>1</v>
      </c>
      <c r="P178" s="168" t="n">
        <v>1.03</v>
      </c>
      <c r="Q178" s="168" t="n">
        <v>1</v>
      </c>
      <c r="R178" s="168" t="n">
        <v>1</v>
      </c>
      <c r="S178" s="168" t="n">
        <v>1.02</v>
      </c>
      <c r="T178" s="168" t="n">
        <v>1</v>
      </c>
      <c r="U178" s="168" t="n">
        <v>1</v>
      </c>
      <c r="V178" s="168" t="n">
        <v>1</v>
      </c>
      <c r="W178" s="168" t="n">
        <v>1</v>
      </c>
      <c r="X178" s="168" t="n">
        <v>1</v>
      </c>
      <c r="Y178" s="168" t="n">
        <v>1.02</v>
      </c>
      <c r="Z178" s="168" t="n">
        <v>1</v>
      </c>
      <c r="AA178" s="168" t="n">
        <v>1</v>
      </c>
      <c r="AB178" s="168" t="n">
        <v>1</v>
      </c>
      <c r="AC178" s="168" t="n">
        <v>1</v>
      </c>
      <c r="AD178" s="168" t="n">
        <v>0.98</v>
      </c>
      <c r="AE178" s="168" t="n">
        <v>0.98</v>
      </c>
      <c r="AF178" s="168" t="n">
        <v>0.98</v>
      </c>
      <c r="AG178" s="168" t="n">
        <v>0.98</v>
      </c>
      <c r="AH178" s="168" t="n">
        <v>1.05</v>
      </c>
      <c r="AI178" s="168" t="n">
        <v>1</v>
      </c>
      <c r="AJ178" s="168" t="n">
        <v>1</v>
      </c>
      <c r="AK178" s="168" t="n">
        <v>1.02</v>
      </c>
      <c r="AL178" s="168" t="n">
        <v>1</v>
      </c>
      <c r="AM178" s="168" t="n">
        <v>1</v>
      </c>
      <c r="AN178" s="168" t="n">
        <v>1</v>
      </c>
      <c r="AO178" s="168" t="n">
        <v>1</v>
      </c>
    </row>
    <row r="179" customFormat="false" ht="12.75" hidden="false" customHeight="false" outlineLevel="0" collapsed="false">
      <c r="A179" s="167" t="n">
        <v>42125</v>
      </c>
      <c r="B179" s="168" t="n">
        <v>1</v>
      </c>
      <c r="C179" s="168" t="n">
        <v>1</v>
      </c>
      <c r="D179" s="168" t="n">
        <v>1</v>
      </c>
      <c r="E179" s="168" t="n">
        <v>1</v>
      </c>
      <c r="F179" s="168" t="n">
        <v>1</v>
      </c>
      <c r="G179" s="168" t="n">
        <v>1</v>
      </c>
      <c r="H179" s="168" t="n">
        <v>1</v>
      </c>
      <c r="I179" s="168" t="n">
        <v>1</v>
      </c>
      <c r="J179" s="168" t="n">
        <v>1</v>
      </c>
      <c r="K179" s="168" t="n">
        <v>1</v>
      </c>
      <c r="L179" s="168" t="n">
        <v>1</v>
      </c>
      <c r="M179" s="168" t="n">
        <v>1</v>
      </c>
      <c r="N179" s="168" t="n">
        <v>1</v>
      </c>
      <c r="O179" s="168" t="n">
        <v>1</v>
      </c>
      <c r="P179" s="168" t="n">
        <v>1.03</v>
      </c>
      <c r="Q179" s="168" t="n">
        <v>1</v>
      </c>
      <c r="R179" s="168" t="n">
        <v>1</v>
      </c>
      <c r="S179" s="168" t="n">
        <v>1.02</v>
      </c>
      <c r="T179" s="168" t="n">
        <v>1</v>
      </c>
      <c r="U179" s="168" t="n">
        <v>1</v>
      </c>
      <c r="V179" s="168" t="n">
        <v>1</v>
      </c>
      <c r="W179" s="168" t="n">
        <v>1</v>
      </c>
      <c r="X179" s="168" t="n">
        <v>1</v>
      </c>
      <c r="Y179" s="168" t="n">
        <v>1.02</v>
      </c>
      <c r="Z179" s="168" t="n">
        <v>1</v>
      </c>
      <c r="AA179" s="168" t="n">
        <v>1</v>
      </c>
      <c r="AB179" s="168" t="n">
        <v>1</v>
      </c>
      <c r="AC179" s="168" t="n">
        <v>1</v>
      </c>
      <c r="AD179" s="168" t="n">
        <v>0.98</v>
      </c>
      <c r="AE179" s="168" t="n">
        <v>0.98</v>
      </c>
      <c r="AF179" s="168" t="n">
        <v>0.98</v>
      </c>
      <c r="AG179" s="168" t="n">
        <v>0.98</v>
      </c>
      <c r="AH179" s="168" t="n">
        <v>1.05</v>
      </c>
      <c r="AI179" s="168" t="n">
        <v>1</v>
      </c>
      <c r="AJ179" s="168" t="n">
        <v>1</v>
      </c>
      <c r="AK179" s="168" t="n">
        <v>1.02</v>
      </c>
      <c r="AL179" s="168" t="n">
        <v>1</v>
      </c>
      <c r="AM179" s="168" t="n">
        <v>1</v>
      </c>
      <c r="AN179" s="168" t="n">
        <v>1</v>
      </c>
      <c r="AO179" s="168" t="n">
        <v>1</v>
      </c>
    </row>
    <row r="180" customFormat="false" ht="12.75" hidden="false" customHeight="false" outlineLevel="0" collapsed="false">
      <c r="A180" s="167" t="n">
        <v>42156</v>
      </c>
      <c r="B180" s="168" t="n">
        <v>1</v>
      </c>
      <c r="C180" s="168" t="n">
        <v>1</v>
      </c>
      <c r="D180" s="168" t="n">
        <v>1</v>
      </c>
      <c r="E180" s="168" t="n">
        <v>1</v>
      </c>
      <c r="F180" s="168" t="n">
        <v>1</v>
      </c>
      <c r="G180" s="168" t="n">
        <v>1</v>
      </c>
      <c r="H180" s="168" t="n">
        <v>1</v>
      </c>
      <c r="I180" s="168" t="n">
        <v>1</v>
      </c>
      <c r="J180" s="168" t="n">
        <v>1</v>
      </c>
      <c r="K180" s="168" t="n">
        <v>1</v>
      </c>
      <c r="L180" s="168" t="n">
        <v>1</v>
      </c>
      <c r="M180" s="168" t="n">
        <v>1</v>
      </c>
      <c r="N180" s="168" t="n">
        <v>1</v>
      </c>
      <c r="O180" s="168" t="n">
        <v>1</v>
      </c>
      <c r="P180" s="168" t="n">
        <v>1.03</v>
      </c>
      <c r="Q180" s="168" t="n">
        <v>1</v>
      </c>
      <c r="R180" s="168" t="n">
        <v>1</v>
      </c>
      <c r="S180" s="168" t="n">
        <v>1.02</v>
      </c>
      <c r="T180" s="168" t="n">
        <v>1</v>
      </c>
      <c r="U180" s="168" t="n">
        <v>1</v>
      </c>
      <c r="V180" s="168" t="n">
        <v>1</v>
      </c>
      <c r="W180" s="168" t="n">
        <v>1</v>
      </c>
      <c r="X180" s="168" t="n">
        <v>1</v>
      </c>
      <c r="Y180" s="168" t="n">
        <v>1.02</v>
      </c>
      <c r="Z180" s="168" t="n">
        <v>1</v>
      </c>
      <c r="AA180" s="168" t="n">
        <v>1</v>
      </c>
      <c r="AB180" s="168" t="n">
        <v>1</v>
      </c>
      <c r="AC180" s="168" t="n">
        <v>1</v>
      </c>
      <c r="AD180" s="168" t="n">
        <v>0.98</v>
      </c>
      <c r="AE180" s="168" t="n">
        <v>0.98</v>
      </c>
      <c r="AF180" s="168" t="n">
        <v>0.98</v>
      </c>
      <c r="AG180" s="168" t="n">
        <v>0.98</v>
      </c>
      <c r="AH180" s="168" t="n">
        <v>1.05</v>
      </c>
      <c r="AI180" s="168" t="n">
        <v>1</v>
      </c>
      <c r="AJ180" s="168" t="n">
        <v>1</v>
      </c>
      <c r="AK180" s="168" t="n">
        <v>1.02</v>
      </c>
      <c r="AL180" s="168" t="n">
        <v>1</v>
      </c>
      <c r="AM180" s="168" t="n">
        <v>1</v>
      </c>
      <c r="AN180" s="168" t="n">
        <v>1</v>
      </c>
      <c r="AO180" s="168" t="n">
        <v>1</v>
      </c>
    </row>
    <row r="181" customFormat="false" ht="12.75" hidden="false" customHeight="false" outlineLevel="0" collapsed="false">
      <c r="A181" s="167" t="n">
        <v>42186</v>
      </c>
      <c r="B181" s="168" t="n">
        <v>1</v>
      </c>
      <c r="C181" s="168" t="n">
        <v>1</v>
      </c>
      <c r="D181" s="168" t="n">
        <v>1</v>
      </c>
      <c r="E181" s="168" t="n">
        <v>1</v>
      </c>
      <c r="F181" s="168" t="n">
        <v>1</v>
      </c>
      <c r="G181" s="168" t="n">
        <v>1</v>
      </c>
      <c r="H181" s="168" t="n">
        <v>1</v>
      </c>
      <c r="I181" s="168" t="n">
        <v>1</v>
      </c>
      <c r="J181" s="168" t="n">
        <v>1</v>
      </c>
      <c r="K181" s="168" t="n">
        <v>1</v>
      </c>
      <c r="L181" s="168" t="n">
        <v>1</v>
      </c>
      <c r="M181" s="168" t="n">
        <v>1</v>
      </c>
      <c r="N181" s="168" t="n">
        <v>1</v>
      </c>
      <c r="O181" s="168" t="n">
        <v>1</v>
      </c>
      <c r="P181" s="168" t="n">
        <v>1.03</v>
      </c>
      <c r="Q181" s="168" t="n">
        <v>1</v>
      </c>
      <c r="R181" s="168" t="n">
        <v>1</v>
      </c>
      <c r="S181" s="168" t="n">
        <v>1.02</v>
      </c>
      <c r="T181" s="168" t="n">
        <v>1</v>
      </c>
      <c r="U181" s="168" t="n">
        <v>1</v>
      </c>
      <c r="V181" s="168" t="n">
        <v>1</v>
      </c>
      <c r="W181" s="168" t="n">
        <v>1</v>
      </c>
      <c r="X181" s="168" t="n">
        <v>1</v>
      </c>
      <c r="Y181" s="168" t="n">
        <v>1.02</v>
      </c>
      <c r="Z181" s="168" t="n">
        <v>1</v>
      </c>
      <c r="AA181" s="168" t="n">
        <v>1</v>
      </c>
      <c r="AB181" s="168" t="n">
        <v>1</v>
      </c>
      <c r="AC181" s="168" t="n">
        <v>1</v>
      </c>
      <c r="AD181" s="168" t="n">
        <v>0.98</v>
      </c>
      <c r="AE181" s="168" t="n">
        <v>0.98</v>
      </c>
      <c r="AF181" s="168" t="n">
        <v>0.98</v>
      </c>
      <c r="AG181" s="168" t="n">
        <v>0.98</v>
      </c>
      <c r="AH181" s="168" t="n">
        <v>1.05</v>
      </c>
      <c r="AI181" s="168" t="n">
        <v>1</v>
      </c>
      <c r="AJ181" s="168" t="n">
        <v>1</v>
      </c>
      <c r="AK181" s="168" t="n">
        <v>1.02</v>
      </c>
      <c r="AL181" s="168" t="n">
        <v>1</v>
      </c>
      <c r="AM181" s="168" t="n">
        <v>1</v>
      </c>
      <c r="AN181" s="168" t="n">
        <v>1</v>
      </c>
      <c r="AO181" s="168" t="n">
        <v>1</v>
      </c>
    </row>
    <row r="182" customFormat="false" ht="12.75" hidden="false" customHeight="false" outlineLevel="0" collapsed="false">
      <c r="A182" s="167" t="n">
        <v>42217</v>
      </c>
      <c r="B182" s="168" t="n">
        <v>1</v>
      </c>
      <c r="C182" s="168" t="n">
        <v>1</v>
      </c>
      <c r="D182" s="168" t="n">
        <v>1</v>
      </c>
      <c r="E182" s="168" t="n">
        <v>1</v>
      </c>
      <c r="F182" s="168" t="n">
        <v>1</v>
      </c>
      <c r="G182" s="168" t="n">
        <v>1</v>
      </c>
      <c r="H182" s="168" t="n">
        <v>1</v>
      </c>
      <c r="I182" s="168" t="n">
        <v>1</v>
      </c>
      <c r="J182" s="168" t="n">
        <v>1</v>
      </c>
      <c r="K182" s="168" t="n">
        <v>1</v>
      </c>
      <c r="L182" s="168" t="n">
        <v>1</v>
      </c>
      <c r="M182" s="168" t="n">
        <v>1</v>
      </c>
      <c r="N182" s="168" t="n">
        <v>1</v>
      </c>
      <c r="O182" s="168" t="n">
        <v>1</v>
      </c>
      <c r="P182" s="168" t="n">
        <v>1.03</v>
      </c>
      <c r="Q182" s="168" t="n">
        <v>1</v>
      </c>
      <c r="R182" s="168" t="n">
        <v>1</v>
      </c>
      <c r="S182" s="168" t="n">
        <v>1.02</v>
      </c>
      <c r="T182" s="168" t="n">
        <v>1</v>
      </c>
      <c r="U182" s="168" t="n">
        <v>1</v>
      </c>
      <c r="V182" s="168" t="n">
        <v>1</v>
      </c>
      <c r="W182" s="168" t="n">
        <v>1</v>
      </c>
      <c r="X182" s="168" t="n">
        <v>1</v>
      </c>
      <c r="Y182" s="168" t="n">
        <v>1.02</v>
      </c>
      <c r="Z182" s="168" t="n">
        <v>1</v>
      </c>
      <c r="AA182" s="168" t="n">
        <v>1</v>
      </c>
      <c r="AB182" s="168" t="n">
        <v>1</v>
      </c>
      <c r="AC182" s="168" t="n">
        <v>1</v>
      </c>
      <c r="AD182" s="168" t="n">
        <v>0.98</v>
      </c>
      <c r="AE182" s="168" t="n">
        <v>0.98</v>
      </c>
      <c r="AF182" s="168" t="n">
        <v>0.98</v>
      </c>
      <c r="AG182" s="168" t="n">
        <v>0.98</v>
      </c>
      <c r="AH182" s="168" t="n">
        <v>1.05</v>
      </c>
      <c r="AI182" s="168" t="n">
        <v>1</v>
      </c>
      <c r="AJ182" s="168" t="n">
        <v>1</v>
      </c>
      <c r="AK182" s="168" t="n">
        <v>1.02</v>
      </c>
      <c r="AL182" s="168" t="n">
        <v>1</v>
      </c>
      <c r="AM182" s="168" t="n">
        <v>1</v>
      </c>
      <c r="AN182" s="168" t="n">
        <v>1</v>
      </c>
      <c r="AO182" s="168" t="n">
        <v>1</v>
      </c>
    </row>
    <row r="183" customFormat="false" ht="12.75" hidden="false" customHeight="false" outlineLevel="0" collapsed="false">
      <c r="A183" s="167" t="n">
        <v>42248</v>
      </c>
      <c r="B183" s="168" t="n">
        <v>1</v>
      </c>
      <c r="C183" s="168" t="n">
        <v>1</v>
      </c>
      <c r="D183" s="168" t="n">
        <v>1</v>
      </c>
      <c r="E183" s="168" t="n">
        <v>1</v>
      </c>
      <c r="F183" s="168" t="n">
        <v>1</v>
      </c>
      <c r="G183" s="168" t="n">
        <v>1</v>
      </c>
      <c r="H183" s="168" t="n">
        <v>1</v>
      </c>
      <c r="I183" s="168" t="n">
        <v>1</v>
      </c>
      <c r="J183" s="168" t="n">
        <v>1</v>
      </c>
      <c r="K183" s="168" t="n">
        <v>1</v>
      </c>
      <c r="L183" s="168" t="n">
        <v>1</v>
      </c>
      <c r="M183" s="168" t="n">
        <v>1</v>
      </c>
      <c r="N183" s="168" t="n">
        <v>1</v>
      </c>
      <c r="O183" s="168" t="n">
        <v>1</v>
      </c>
      <c r="P183" s="168" t="n">
        <v>1.03</v>
      </c>
      <c r="Q183" s="168" t="n">
        <v>1</v>
      </c>
      <c r="R183" s="168" t="n">
        <v>1</v>
      </c>
      <c r="S183" s="168" t="n">
        <v>1.02</v>
      </c>
      <c r="T183" s="168" t="n">
        <v>1</v>
      </c>
      <c r="U183" s="168" t="n">
        <v>1</v>
      </c>
      <c r="V183" s="168" t="n">
        <v>1</v>
      </c>
      <c r="W183" s="168" t="n">
        <v>1</v>
      </c>
      <c r="X183" s="168" t="n">
        <v>1</v>
      </c>
      <c r="Y183" s="168" t="n">
        <v>1.02</v>
      </c>
      <c r="Z183" s="168" t="n">
        <v>1</v>
      </c>
      <c r="AA183" s="168" t="n">
        <v>1</v>
      </c>
      <c r="AB183" s="168" t="n">
        <v>1</v>
      </c>
      <c r="AC183" s="168" t="n">
        <v>1</v>
      </c>
      <c r="AD183" s="168" t="n">
        <v>0.98</v>
      </c>
      <c r="AE183" s="168" t="n">
        <v>0.98</v>
      </c>
      <c r="AF183" s="168" t="n">
        <v>0.98</v>
      </c>
      <c r="AG183" s="168" t="n">
        <v>0.98</v>
      </c>
      <c r="AH183" s="168" t="n">
        <v>1.05</v>
      </c>
      <c r="AI183" s="168" t="n">
        <v>1</v>
      </c>
      <c r="AJ183" s="168" t="n">
        <v>1</v>
      </c>
      <c r="AK183" s="168" t="n">
        <v>1.02</v>
      </c>
      <c r="AL183" s="168" t="n">
        <v>1</v>
      </c>
      <c r="AM183" s="168" t="n">
        <v>1</v>
      </c>
      <c r="AN183" s="168" t="n">
        <v>1</v>
      </c>
      <c r="AO183" s="168" t="n">
        <v>1</v>
      </c>
    </row>
    <row r="184" customFormat="false" ht="12.75" hidden="false" customHeight="false" outlineLevel="0" collapsed="false">
      <c r="A184" s="167" t="n">
        <v>42278</v>
      </c>
      <c r="B184" s="168" t="n">
        <v>1</v>
      </c>
      <c r="C184" s="168" t="n">
        <v>1</v>
      </c>
      <c r="D184" s="168" t="n">
        <v>1</v>
      </c>
      <c r="E184" s="168" t="n">
        <v>1</v>
      </c>
      <c r="F184" s="168" t="n">
        <v>1</v>
      </c>
      <c r="G184" s="168" t="n">
        <v>1</v>
      </c>
      <c r="H184" s="168" t="n">
        <v>1</v>
      </c>
      <c r="I184" s="168" t="n">
        <v>1</v>
      </c>
      <c r="J184" s="168" t="n">
        <v>1</v>
      </c>
      <c r="K184" s="168" t="n">
        <v>1</v>
      </c>
      <c r="L184" s="168" t="n">
        <v>1</v>
      </c>
      <c r="M184" s="168" t="n">
        <v>1</v>
      </c>
      <c r="N184" s="168" t="n">
        <v>1</v>
      </c>
      <c r="O184" s="168" t="n">
        <v>1</v>
      </c>
      <c r="P184" s="168" t="n">
        <v>1.03</v>
      </c>
      <c r="Q184" s="168" t="n">
        <v>1</v>
      </c>
      <c r="R184" s="168" t="n">
        <v>1</v>
      </c>
      <c r="S184" s="168" t="n">
        <v>1.02</v>
      </c>
      <c r="T184" s="168" t="n">
        <v>1</v>
      </c>
      <c r="U184" s="168" t="n">
        <v>1</v>
      </c>
      <c r="V184" s="168" t="n">
        <v>1</v>
      </c>
      <c r="W184" s="168" t="n">
        <v>1</v>
      </c>
      <c r="X184" s="168" t="n">
        <v>1</v>
      </c>
      <c r="Y184" s="168" t="n">
        <v>1.02</v>
      </c>
      <c r="Z184" s="168" t="n">
        <v>1</v>
      </c>
      <c r="AA184" s="168" t="n">
        <v>1</v>
      </c>
      <c r="AB184" s="168" t="n">
        <v>1</v>
      </c>
      <c r="AC184" s="168" t="n">
        <v>1</v>
      </c>
      <c r="AD184" s="168" t="n">
        <v>0.98</v>
      </c>
      <c r="AE184" s="168" t="n">
        <v>0.98</v>
      </c>
      <c r="AF184" s="168" t="n">
        <v>0.98</v>
      </c>
      <c r="AG184" s="168" t="n">
        <v>0.98</v>
      </c>
      <c r="AH184" s="168" t="n">
        <v>1.05</v>
      </c>
      <c r="AI184" s="168" t="n">
        <v>1</v>
      </c>
      <c r="AJ184" s="168" t="n">
        <v>1</v>
      </c>
      <c r="AK184" s="168" t="n">
        <v>1.02</v>
      </c>
      <c r="AL184" s="168" t="n">
        <v>1</v>
      </c>
      <c r="AM184" s="168" t="n">
        <v>1</v>
      </c>
      <c r="AN184" s="168" t="n">
        <v>1</v>
      </c>
      <c r="AO184" s="168" t="n">
        <v>1</v>
      </c>
    </row>
    <row r="185" customFormat="false" ht="12.75" hidden="false" customHeight="false" outlineLevel="0" collapsed="false">
      <c r="A185" s="167" t="n">
        <v>42309</v>
      </c>
      <c r="B185" s="168" t="n">
        <v>1</v>
      </c>
      <c r="C185" s="168" t="n">
        <v>1</v>
      </c>
      <c r="D185" s="168" t="n">
        <v>1</v>
      </c>
      <c r="E185" s="168" t="n">
        <v>1</v>
      </c>
      <c r="F185" s="168" t="n">
        <v>1</v>
      </c>
      <c r="G185" s="168" t="n">
        <v>1</v>
      </c>
      <c r="H185" s="168" t="n">
        <v>1</v>
      </c>
      <c r="I185" s="168" t="n">
        <v>1</v>
      </c>
      <c r="J185" s="168" t="n">
        <v>1</v>
      </c>
      <c r="K185" s="168" t="n">
        <v>1</v>
      </c>
      <c r="L185" s="168" t="n">
        <v>1</v>
      </c>
      <c r="M185" s="168" t="n">
        <v>1</v>
      </c>
      <c r="N185" s="168" t="n">
        <v>1</v>
      </c>
      <c r="O185" s="168" t="n">
        <v>1</v>
      </c>
      <c r="P185" s="168" t="n">
        <v>1.03</v>
      </c>
      <c r="Q185" s="168" t="n">
        <v>1</v>
      </c>
      <c r="R185" s="168" t="n">
        <v>1</v>
      </c>
      <c r="S185" s="168" t="n">
        <v>1.02</v>
      </c>
      <c r="T185" s="168" t="n">
        <v>1</v>
      </c>
      <c r="U185" s="168" t="n">
        <v>1</v>
      </c>
      <c r="V185" s="168" t="n">
        <v>1</v>
      </c>
      <c r="W185" s="168" t="n">
        <v>1</v>
      </c>
      <c r="X185" s="168" t="n">
        <v>1</v>
      </c>
      <c r="Y185" s="168" t="n">
        <v>1</v>
      </c>
      <c r="Z185" s="168" t="n">
        <v>1</v>
      </c>
      <c r="AA185" s="168" t="n">
        <v>1</v>
      </c>
      <c r="AB185" s="168" t="n">
        <v>1</v>
      </c>
      <c r="AC185" s="168" t="n">
        <v>1</v>
      </c>
      <c r="AD185" s="168" t="n">
        <v>1</v>
      </c>
      <c r="AE185" s="168" t="n">
        <v>1</v>
      </c>
      <c r="AF185" s="168" t="n">
        <v>1.1</v>
      </c>
      <c r="AG185" s="168" t="n">
        <v>1.1</v>
      </c>
      <c r="AH185" s="168" t="n">
        <v>1.05</v>
      </c>
      <c r="AI185" s="168" t="n">
        <v>1</v>
      </c>
      <c r="AJ185" s="168" t="n">
        <v>1</v>
      </c>
      <c r="AK185" s="168" t="n">
        <v>1.02</v>
      </c>
      <c r="AL185" s="168" t="n">
        <v>1</v>
      </c>
      <c r="AM185" s="168" t="n">
        <v>1</v>
      </c>
      <c r="AN185" s="168" t="n">
        <v>1</v>
      </c>
      <c r="AO185" s="168" t="n">
        <v>1</v>
      </c>
    </row>
    <row r="186" customFormat="false" ht="12.75" hidden="false" customHeight="false" outlineLevel="0" collapsed="false">
      <c r="A186" s="167" t="n">
        <v>42339</v>
      </c>
      <c r="B186" s="168" t="n">
        <v>1</v>
      </c>
      <c r="C186" s="168" t="n">
        <v>1</v>
      </c>
      <c r="D186" s="168" t="n">
        <v>1</v>
      </c>
      <c r="E186" s="168" t="n">
        <v>1</v>
      </c>
      <c r="F186" s="168" t="n">
        <v>1</v>
      </c>
      <c r="G186" s="168" t="n">
        <v>1</v>
      </c>
      <c r="H186" s="168" t="n">
        <v>1</v>
      </c>
      <c r="I186" s="168" t="n">
        <v>1</v>
      </c>
      <c r="J186" s="168" t="n">
        <v>1</v>
      </c>
      <c r="K186" s="168" t="n">
        <v>1</v>
      </c>
      <c r="L186" s="168" t="n">
        <v>1</v>
      </c>
      <c r="M186" s="168" t="n">
        <v>1</v>
      </c>
      <c r="N186" s="168" t="n">
        <v>1</v>
      </c>
      <c r="O186" s="168" t="n">
        <v>1</v>
      </c>
      <c r="P186" s="168" t="n">
        <v>1.03</v>
      </c>
      <c r="Q186" s="168" t="n">
        <v>1</v>
      </c>
      <c r="R186" s="168" t="n">
        <v>1</v>
      </c>
      <c r="S186" s="168" t="n">
        <v>1.02</v>
      </c>
      <c r="T186" s="168" t="n">
        <v>1</v>
      </c>
      <c r="U186" s="168" t="n">
        <v>1</v>
      </c>
      <c r="V186" s="168" t="n">
        <v>1</v>
      </c>
      <c r="W186" s="168" t="n">
        <v>1</v>
      </c>
      <c r="X186" s="168" t="n">
        <v>1</v>
      </c>
      <c r="Y186" s="168" t="n">
        <v>1</v>
      </c>
      <c r="Z186" s="168" t="n">
        <v>1</v>
      </c>
      <c r="AA186" s="168" t="n">
        <v>1</v>
      </c>
      <c r="AB186" s="168" t="n">
        <v>1</v>
      </c>
      <c r="AC186" s="168" t="n">
        <v>1</v>
      </c>
      <c r="AD186" s="168" t="n">
        <v>1</v>
      </c>
      <c r="AE186" s="168" t="n">
        <v>1</v>
      </c>
      <c r="AF186" s="168" t="n">
        <v>1.1</v>
      </c>
      <c r="AG186" s="168" t="n">
        <v>1.1</v>
      </c>
      <c r="AH186" s="168" t="n">
        <v>1.05</v>
      </c>
      <c r="AI186" s="168" t="n">
        <v>1</v>
      </c>
      <c r="AJ186" s="168" t="n">
        <v>1</v>
      </c>
      <c r="AK186" s="168" t="n">
        <v>1.02</v>
      </c>
      <c r="AL186" s="168" t="n">
        <v>1</v>
      </c>
      <c r="AM186" s="168" t="n">
        <v>1</v>
      </c>
      <c r="AN186" s="168" t="n">
        <v>1</v>
      </c>
      <c r="AO186" s="168" t="n">
        <v>1</v>
      </c>
    </row>
    <row r="187" customFormat="false" ht="12.75" hidden="false" customHeight="false" outlineLevel="0" collapsed="false">
      <c r="A187" s="167" t="n">
        <v>42370</v>
      </c>
      <c r="B187" s="168" t="n">
        <v>1</v>
      </c>
      <c r="C187" s="168" t="n">
        <v>1</v>
      </c>
      <c r="D187" s="168" t="n">
        <v>1</v>
      </c>
      <c r="E187" s="168" t="n">
        <v>1</v>
      </c>
      <c r="F187" s="168" t="n">
        <v>1</v>
      </c>
      <c r="G187" s="168" t="n">
        <v>1</v>
      </c>
      <c r="H187" s="168" t="n">
        <v>1</v>
      </c>
      <c r="I187" s="168" t="n">
        <v>1</v>
      </c>
      <c r="J187" s="168" t="n">
        <v>1</v>
      </c>
      <c r="K187" s="168" t="n">
        <v>1</v>
      </c>
      <c r="L187" s="168" t="n">
        <v>1</v>
      </c>
      <c r="M187" s="168" t="n">
        <v>1</v>
      </c>
      <c r="N187" s="168" t="n">
        <v>1</v>
      </c>
      <c r="O187" s="168" t="n">
        <v>1</v>
      </c>
      <c r="P187" s="168" t="n">
        <v>1.03</v>
      </c>
      <c r="Q187" s="168" t="n">
        <v>1</v>
      </c>
      <c r="R187" s="168" t="n">
        <v>1</v>
      </c>
      <c r="S187" s="168" t="n">
        <v>1.02</v>
      </c>
      <c r="T187" s="168" t="n">
        <v>1</v>
      </c>
      <c r="U187" s="168" t="n">
        <v>1</v>
      </c>
      <c r="V187" s="168" t="n">
        <v>1</v>
      </c>
      <c r="W187" s="168" t="n">
        <v>1</v>
      </c>
      <c r="X187" s="168" t="n">
        <v>1</v>
      </c>
      <c r="Y187" s="168" t="n">
        <v>1</v>
      </c>
      <c r="Z187" s="168" t="n">
        <v>1</v>
      </c>
      <c r="AA187" s="168" t="n">
        <v>1</v>
      </c>
      <c r="AB187" s="168" t="n">
        <v>1</v>
      </c>
      <c r="AC187" s="168" t="n">
        <v>1</v>
      </c>
      <c r="AD187" s="168" t="n">
        <v>1</v>
      </c>
      <c r="AE187" s="168" t="n">
        <v>1</v>
      </c>
      <c r="AF187" s="168" t="n">
        <v>1.1</v>
      </c>
      <c r="AG187" s="168" t="n">
        <v>1.1</v>
      </c>
      <c r="AH187" s="168" t="n">
        <v>1.05</v>
      </c>
      <c r="AI187" s="168" t="n">
        <v>1</v>
      </c>
      <c r="AJ187" s="168" t="n">
        <v>1</v>
      </c>
      <c r="AK187" s="168" t="n">
        <v>1.02</v>
      </c>
      <c r="AL187" s="168" t="n">
        <v>1</v>
      </c>
      <c r="AM187" s="168" t="n">
        <v>1</v>
      </c>
      <c r="AN187" s="168" t="n">
        <v>1</v>
      </c>
      <c r="AO187" s="168" t="n">
        <v>1</v>
      </c>
    </row>
    <row r="188" customFormat="false" ht="12.75" hidden="false" customHeight="false" outlineLevel="0" collapsed="false">
      <c r="A188" s="167" t="n">
        <v>42401</v>
      </c>
      <c r="B188" s="168" t="n">
        <v>1</v>
      </c>
      <c r="C188" s="168" t="n">
        <v>1</v>
      </c>
      <c r="D188" s="168" t="n">
        <v>1</v>
      </c>
      <c r="E188" s="168" t="n">
        <v>1</v>
      </c>
      <c r="F188" s="168" t="n">
        <v>1</v>
      </c>
      <c r="G188" s="168" t="n">
        <v>1</v>
      </c>
      <c r="H188" s="168" t="n">
        <v>1</v>
      </c>
      <c r="I188" s="168" t="n">
        <v>1</v>
      </c>
      <c r="J188" s="168" t="n">
        <v>1</v>
      </c>
      <c r="K188" s="168" t="n">
        <v>1</v>
      </c>
      <c r="L188" s="168" t="n">
        <v>1</v>
      </c>
      <c r="M188" s="168" t="n">
        <v>1</v>
      </c>
      <c r="N188" s="168" t="n">
        <v>1</v>
      </c>
      <c r="O188" s="168" t="n">
        <v>1</v>
      </c>
      <c r="P188" s="168" t="n">
        <v>1.03</v>
      </c>
      <c r="Q188" s="168" t="n">
        <v>1</v>
      </c>
      <c r="R188" s="168" t="n">
        <v>1</v>
      </c>
      <c r="S188" s="168" t="n">
        <v>1.02</v>
      </c>
      <c r="T188" s="168" t="n">
        <v>1</v>
      </c>
      <c r="U188" s="168" t="n">
        <v>1</v>
      </c>
      <c r="V188" s="168" t="n">
        <v>1</v>
      </c>
      <c r="W188" s="168" t="n">
        <v>1</v>
      </c>
      <c r="X188" s="168" t="n">
        <v>1</v>
      </c>
      <c r="Y188" s="168" t="n">
        <v>1</v>
      </c>
      <c r="Z188" s="168" t="n">
        <v>1</v>
      </c>
      <c r="AA188" s="168" t="n">
        <v>1</v>
      </c>
      <c r="AB188" s="168" t="n">
        <v>1</v>
      </c>
      <c r="AC188" s="168" t="n">
        <v>1</v>
      </c>
      <c r="AD188" s="168" t="n">
        <v>1</v>
      </c>
      <c r="AE188" s="168" t="n">
        <v>1</v>
      </c>
      <c r="AF188" s="168" t="n">
        <v>1.1</v>
      </c>
      <c r="AG188" s="168" t="n">
        <v>1.1</v>
      </c>
      <c r="AH188" s="168" t="n">
        <v>1.05</v>
      </c>
      <c r="AI188" s="168" t="n">
        <v>1</v>
      </c>
      <c r="AJ188" s="168" t="n">
        <v>1</v>
      </c>
      <c r="AK188" s="168" t="n">
        <v>1.02</v>
      </c>
      <c r="AL188" s="168" t="n">
        <v>1</v>
      </c>
      <c r="AM188" s="168" t="n">
        <v>1</v>
      </c>
      <c r="AN188" s="168" t="n">
        <v>1</v>
      </c>
      <c r="AO188" s="168" t="n">
        <v>1</v>
      </c>
    </row>
    <row r="189" customFormat="false" ht="12.75" hidden="false" customHeight="false" outlineLevel="0" collapsed="false">
      <c r="A189" s="167" t="n">
        <v>42430</v>
      </c>
      <c r="B189" s="168" t="n">
        <v>1</v>
      </c>
      <c r="C189" s="168" t="n">
        <v>1</v>
      </c>
      <c r="D189" s="168" t="n">
        <v>1</v>
      </c>
      <c r="E189" s="168" t="n">
        <v>1</v>
      </c>
      <c r="F189" s="168" t="n">
        <v>1</v>
      </c>
      <c r="G189" s="168" t="n">
        <v>1</v>
      </c>
      <c r="H189" s="168" t="n">
        <v>1</v>
      </c>
      <c r="I189" s="168" t="n">
        <v>1</v>
      </c>
      <c r="J189" s="168" t="n">
        <v>1</v>
      </c>
      <c r="K189" s="168" t="n">
        <v>1</v>
      </c>
      <c r="L189" s="168" t="n">
        <v>1</v>
      </c>
      <c r="M189" s="168" t="n">
        <v>1</v>
      </c>
      <c r="N189" s="168" t="n">
        <v>1</v>
      </c>
      <c r="O189" s="168" t="n">
        <v>1</v>
      </c>
      <c r="P189" s="168" t="n">
        <v>1.03</v>
      </c>
      <c r="Q189" s="168" t="n">
        <v>1</v>
      </c>
      <c r="R189" s="168" t="n">
        <v>1</v>
      </c>
      <c r="S189" s="168" t="n">
        <v>1.02</v>
      </c>
      <c r="T189" s="168" t="n">
        <v>1</v>
      </c>
      <c r="U189" s="168" t="n">
        <v>1</v>
      </c>
      <c r="V189" s="168" t="n">
        <v>1</v>
      </c>
      <c r="W189" s="168" t="n">
        <v>1</v>
      </c>
      <c r="X189" s="168" t="n">
        <v>1</v>
      </c>
      <c r="Y189" s="168" t="n">
        <v>1</v>
      </c>
      <c r="Z189" s="168" t="n">
        <v>1</v>
      </c>
      <c r="AA189" s="168" t="n">
        <v>1</v>
      </c>
      <c r="AB189" s="168" t="n">
        <v>1</v>
      </c>
      <c r="AC189" s="168" t="n">
        <v>1</v>
      </c>
      <c r="AD189" s="168" t="n">
        <v>1</v>
      </c>
      <c r="AE189" s="168" t="n">
        <v>1</v>
      </c>
      <c r="AF189" s="168" t="n">
        <v>1.1</v>
      </c>
      <c r="AG189" s="168" t="n">
        <v>1.1</v>
      </c>
      <c r="AH189" s="168" t="n">
        <v>1.05</v>
      </c>
      <c r="AI189" s="168" t="n">
        <v>1</v>
      </c>
      <c r="AJ189" s="168" t="n">
        <v>1</v>
      </c>
      <c r="AK189" s="168" t="n">
        <v>1.02</v>
      </c>
      <c r="AL189" s="168" t="n">
        <v>1</v>
      </c>
      <c r="AM189" s="168" t="n">
        <v>1</v>
      </c>
      <c r="AN189" s="168" t="n">
        <v>1</v>
      </c>
      <c r="AO189" s="168" t="n">
        <v>1</v>
      </c>
    </row>
    <row r="190" customFormat="false" ht="12.75" hidden="false" customHeight="false" outlineLevel="0" collapsed="false">
      <c r="A190" s="167" t="n">
        <v>42461</v>
      </c>
      <c r="B190" s="168" t="n">
        <v>1</v>
      </c>
      <c r="C190" s="168" t="n">
        <v>1</v>
      </c>
      <c r="D190" s="168" t="n">
        <v>1</v>
      </c>
      <c r="E190" s="168" t="n">
        <v>1</v>
      </c>
      <c r="F190" s="168" t="n">
        <v>1</v>
      </c>
      <c r="G190" s="168" t="n">
        <v>1</v>
      </c>
      <c r="H190" s="168" t="n">
        <v>1</v>
      </c>
      <c r="I190" s="168" t="n">
        <v>1</v>
      </c>
      <c r="J190" s="168" t="n">
        <v>1</v>
      </c>
      <c r="K190" s="168" t="n">
        <v>1</v>
      </c>
      <c r="L190" s="168" t="n">
        <v>1</v>
      </c>
      <c r="M190" s="168" t="n">
        <v>1</v>
      </c>
      <c r="N190" s="168" t="n">
        <v>1</v>
      </c>
      <c r="O190" s="168" t="n">
        <v>1</v>
      </c>
      <c r="P190" s="168" t="n">
        <v>1.03</v>
      </c>
      <c r="Q190" s="168" t="n">
        <v>1</v>
      </c>
      <c r="R190" s="168" t="n">
        <v>1</v>
      </c>
      <c r="S190" s="168" t="n">
        <v>1.02</v>
      </c>
      <c r="T190" s="168" t="n">
        <v>1</v>
      </c>
      <c r="U190" s="168" t="n">
        <v>1</v>
      </c>
      <c r="V190" s="168" t="n">
        <v>1</v>
      </c>
      <c r="W190" s="168" t="n">
        <v>1</v>
      </c>
      <c r="X190" s="168" t="n">
        <v>1</v>
      </c>
      <c r="Y190" s="168" t="n">
        <v>1.02</v>
      </c>
      <c r="Z190" s="168" t="n">
        <v>1</v>
      </c>
      <c r="AA190" s="168" t="n">
        <v>1</v>
      </c>
      <c r="AB190" s="168" t="n">
        <v>1</v>
      </c>
      <c r="AC190" s="168" t="n">
        <v>1</v>
      </c>
      <c r="AD190" s="168" t="n">
        <v>0.98</v>
      </c>
      <c r="AE190" s="168" t="n">
        <v>0.98</v>
      </c>
      <c r="AF190" s="168" t="n">
        <v>0.98</v>
      </c>
      <c r="AG190" s="168" t="n">
        <v>0.98</v>
      </c>
      <c r="AH190" s="168" t="n">
        <v>1.05</v>
      </c>
      <c r="AI190" s="168" t="n">
        <v>1</v>
      </c>
      <c r="AJ190" s="168" t="n">
        <v>1</v>
      </c>
      <c r="AK190" s="168" t="n">
        <v>1.02</v>
      </c>
      <c r="AL190" s="168" t="n">
        <v>1</v>
      </c>
      <c r="AM190" s="168" t="n">
        <v>1</v>
      </c>
      <c r="AN190" s="168" t="n">
        <v>1</v>
      </c>
      <c r="AO190" s="168" t="n">
        <v>1</v>
      </c>
    </row>
    <row r="191" customFormat="false" ht="12.75" hidden="false" customHeight="false" outlineLevel="0" collapsed="false">
      <c r="A191" s="167" t="n">
        <v>42491</v>
      </c>
      <c r="B191" s="168" t="n">
        <v>1</v>
      </c>
      <c r="C191" s="168" t="n">
        <v>1</v>
      </c>
      <c r="D191" s="168" t="n">
        <v>1</v>
      </c>
      <c r="E191" s="168" t="n">
        <v>1</v>
      </c>
      <c r="F191" s="168" t="n">
        <v>1</v>
      </c>
      <c r="G191" s="168" t="n">
        <v>1</v>
      </c>
      <c r="H191" s="168" t="n">
        <v>1</v>
      </c>
      <c r="I191" s="168" t="n">
        <v>1</v>
      </c>
      <c r="J191" s="168" t="n">
        <v>1</v>
      </c>
      <c r="K191" s="168" t="n">
        <v>1</v>
      </c>
      <c r="L191" s="168" t="n">
        <v>1</v>
      </c>
      <c r="M191" s="168" t="n">
        <v>1</v>
      </c>
      <c r="N191" s="168" t="n">
        <v>1</v>
      </c>
      <c r="O191" s="168" t="n">
        <v>1</v>
      </c>
      <c r="P191" s="168" t="n">
        <v>1.03</v>
      </c>
      <c r="Q191" s="168" t="n">
        <v>1</v>
      </c>
      <c r="R191" s="168" t="n">
        <v>1</v>
      </c>
      <c r="S191" s="168" t="n">
        <v>1.02</v>
      </c>
      <c r="T191" s="168" t="n">
        <v>1</v>
      </c>
      <c r="U191" s="168" t="n">
        <v>1</v>
      </c>
      <c r="V191" s="168" t="n">
        <v>1</v>
      </c>
      <c r="W191" s="168" t="n">
        <v>1</v>
      </c>
      <c r="X191" s="168" t="n">
        <v>1</v>
      </c>
      <c r="Y191" s="168" t="n">
        <v>1.02</v>
      </c>
      <c r="Z191" s="168" t="n">
        <v>1</v>
      </c>
      <c r="AA191" s="168" t="n">
        <v>1</v>
      </c>
      <c r="AB191" s="168" t="n">
        <v>1</v>
      </c>
      <c r="AC191" s="168" t="n">
        <v>1</v>
      </c>
      <c r="AD191" s="168" t="n">
        <v>0.98</v>
      </c>
      <c r="AE191" s="168" t="n">
        <v>0.98</v>
      </c>
      <c r="AF191" s="168" t="n">
        <v>0.98</v>
      </c>
      <c r="AG191" s="168" t="n">
        <v>0.98</v>
      </c>
      <c r="AH191" s="168" t="n">
        <v>1.05</v>
      </c>
      <c r="AI191" s="168" t="n">
        <v>1</v>
      </c>
      <c r="AJ191" s="168" t="n">
        <v>1</v>
      </c>
      <c r="AK191" s="168" t="n">
        <v>1.02</v>
      </c>
      <c r="AL191" s="168" t="n">
        <v>1</v>
      </c>
      <c r="AM191" s="168" t="n">
        <v>1</v>
      </c>
      <c r="AN191" s="168" t="n">
        <v>1</v>
      </c>
      <c r="AO191" s="168" t="n">
        <v>1</v>
      </c>
    </row>
    <row r="192" customFormat="false" ht="12.75" hidden="false" customHeight="false" outlineLevel="0" collapsed="false">
      <c r="A192" s="167" t="n">
        <v>42522</v>
      </c>
      <c r="B192" s="168" t="n">
        <v>1</v>
      </c>
      <c r="C192" s="168" t="n">
        <v>1</v>
      </c>
      <c r="D192" s="168" t="n">
        <v>1</v>
      </c>
      <c r="E192" s="168" t="n">
        <v>1</v>
      </c>
      <c r="F192" s="168" t="n">
        <v>1</v>
      </c>
      <c r="G192" s="168" t="n">
        <v>1</v>
      </c>
      <c r="H192" s="168" t="n">
        <v>1</v>
      </c>
      <c r="I192" s="168" t="n">
        <v>1</v>
      </c>
      <c r="J192" s="168" t="n">
        <v>1</v>
      </c>
      <c r="K192" s="168" t="n">
        <v>1</v>
      </c>
      <c r="L192" s="168" t="n">
        <v>1</v>
      </c>
      <c r="M192" s="168" t="n">
        <v>1</v>
      </c>
      <c r="N192" s="168" t="n">
        <v>1</v>
      </c>
      <c r="O192" s="168" t="n">
        <v>1</v>
      </c>
      <c r="P192" s="168" t="n">
        <v>1.03</v>
      </c>
      <c r="Q192" s="168" t="n">
        <v>1</v>
      </c>
      <c r="R192" s="168" t="n">
        <v>1</v>
      </c>
      <c r="S192" s="168" t="n">
        <v>1.02</v>
      </c>
      <c r="T192" s="168" t="n">
        <v>1</v>
      </c>
      <c r="U192" s="168" t="n">
        <v>1</v>
      </c>
      <c r="V192" s="168" t="n">
        <v>1</v>
      </c>
      <c r="W192" s="168" t="n">
        <v>1</v>
      </c>
      <c r="X192" s="168" t="n">
        <v>1</v>
      </c>
      <c r="Y192" s="168" t="n">
        <v>1.02</v>
      </c>
      <c r="Z192" s="168" t="n">
        <v>1</v>
      </c>
      <c r="AA192" s="168" t="n">
        <v>1</v>
      </c>
      <c r="AB192" s="168" t="n">
        <v>1</v>
      </c>
      <c r="AC192" s="168" t="n">
        <v>1</v>
      </c>
      <c r="AD192" s="168" t="n">
        <v>0.98</v>
      </c>
      <c r="AE192" s="168" t="n">
        <v>0.98</v>
      </c>
      <c r="AF192" s="168" t="n">
        <v>0.98</v>
      </c>
      <c r="AG192" s="168" t="n">
        <v>0.98</v>
      </c>
      <c r="AH192" s="168" t="n">
        <v>1.05</v>
      </c>
      <c r="AI192" s="168" t="n">
        <v>1</v>
      </c>
      <c r="AJ192" s="168" t="n">
        <v>1</v>
      </c>
      <c r="AK192" s="168" t="n">
        <v>1.02</v>
      </c>
      <c r="AL192" s="168" t="n">
        <v>1</v>
      </c>
      <c r="AM192" s="168" t="n">
        <v>1</v>
      </c>
      <c r="AN192" s="168" t="n">
        <v>1</v>
      </c>
      <c r="AO192" s="168" t="n">
        <v>1</v>
      </c>
    </row>
    <row r="193" customFormat="false" ht="12.75" hidden="false" customHeight="false" outlineLevel="0" collapsed="false">
      <c r="A193" s="167" t="n">
        <v>42552</v>
      </c>
      <c r="B193" s="168" t="n">
        <v>1</v>
      </c>
      <c r="C193" s="168" t="n">
        <v>1</v>
      </c>
      <c r="D193" s="168" t="n">
        <v>1</v>
      </c>
      <c r="E193" s="168" t="n">
        <v>1</v>
      </c>
      <c r="F193" s="168" t="n">
        <v>1</v>
      </c>
      <c r="G193" s="168" t="n">
        <v>1</v>
      </c>
      <c r="H193" s="168" t="n">
        <v>1</v>
      </c>
      <c r="I193" s="168" t="n">
        <v>1</v>
      </c>
      <c r="J193" s="168" t="n">
        <v>1</v>
      </c>
      <c r="K193" s="168" t="n">
        <v>1</v>
      </c>
      <c r="L193" s="168" t="n">
        <v>1</v>
      </c>
      <c r="M193" s="168" t="n">
        <v>1</v>
      </c>
      <c r="N193" s="168" t="n">
        <v>1</v>
      </c>
      <c r="O193" s="168" t="n">
        <v>1</v>
      </c>
      <c r="P193" s="168" t="n">
        <v>1.03</v>
      </c>
      <c r="Q193" s="168" t="n">
        <v>1</v>
      </c>
      <c r="R193" s="168" t="n">
        <v>1</v>
      </c>
      <c r="S193" s="168" t="n">
        <v>1.02</v>
      </c>
      <c r="T193" s="168" t="n">
        <v>1</v>
      </c>
      <c r="U193" s="168" t="n">
        <v>1</v>
      </c>
      <c r="V193" s="168" t="n">
        <v>1</v>
      </c>
      <c r="W193" s="168" t="n">
        <v>1</v>
      </c>
      <c r="X193" s="168" t="n">
        <v>1</v>
      </c>
      <c r="Y193" s="168" t="n">
        <v>1.02</v>
      </c>
      <c r="Z193" s="168" t="n">
        <v>1</v>
      </c>
      <c r="AA193" s="168" t="n">
        <v>1</v>
      </c>
      <c r="AB193" s="168" t="n">
        <v>1</v>
      </c>
      <c r="AC193" s="168" t="n">
        <v>1</v>
      </c>
      <c r="AD193" s="168" t="n">
        <v>0.98</v>
      </c>
      <c r="AE193" s="168" t="n">
        <v>0.98</v>
      </c>
      <c r="AF193" s="168" t="n">
        <v>0.98</v>
      </c>
      <c r="AG193" s="168" t="n">
        <v>0.98</v>
      </c>
      <c r="AH193" s="168" t="n">
        <v>1.05</v>
      </c>
      <c r="AI193" s="168" t="n">
        <v>1</v>
      </c>
      <c r="AJ193" s="168" t="n">
        <v>1</v>
      </c>
      <c r="AK193" s="168" t="n">
        <v>1.02</v>
      </c>
      <c r="AL193" s="168" t="n">
        <v>1</v>
      </c>
      <c r="AM193" s="168" t="n">
        <v>1</v>
      </c>
      <c r="AN193" s="168" t="n">
        <v>1</v>
      </c>
      <c r="AO193" s="168" t="n">
        <v>1</v>
      </c>
    </row>
    <row r="194" customFormat="false" ht="12.75" hidden="false" customHeight="false" outlineLevel="0" collapsed="false">
      <c r="A194" s="167" t="n">
        <v>42583</v>
      </c>
      <c r="B194" s="168" t="n">
        <v>1</v>
      </c>
      <c r="C194" s="168" t="n">
        <v>1</v>
      </c>
      <c r="D194" s="168" t="n">
        <v>1</v>
      </c>
      <c r="E194" s="168" t="n">
        <v>1</v>
      </c>
      <c r="F194" s="168" t="n">
        <v>1</v>
      </c>
      <c r="G194" s="168" t="n">
        <v>1</v>
      </c>
      <c r="H194" s="168" t="n">
        <v>1</v>
      </c>
      <c r="I194" s="168" t="n">
        <v>1</v>
      </c>
      <c r="J194" s="168" t="n">
        <v>1</v>
      </c>
      <c r="K194" s="168" t="n">
        <v>1</v>
      </c>
      <c r="L194" s="168" t="n">
        <v>1</v>
      </c>
      <c r="M194" s="168" t="n">
        <v>1</v>
      </c>
      <c r="N194" s="168" t="n">
        <v>1</v>
      </c>
      <c r="O194" s="168" t="n">
        <v>1</v>
      </c>
      <c r="P194" s="168" t="n">
        <v>1.03</v>
      </c>
      <c r="Q194" s="168" t="n">
        <v>1</v>
      </c>
      <c r="R194" s="168" t="n">
        <v>1</v>
      </c>
      <c r="S194" s="168" t="n">
        <v>1.02</v>
      </c>
      <c r="T194" s="168" t="n">
        <v>1</v>
      </c>
      <c r="U194" s="168" t="n">
        <v>1</v>
      </c>
      <c r="V194" s="168" t="n">
        <v>1</v>
      </c>
      <c r="W194" s="168" t="n">
        <v>1</v>
      </c>
      <c r="X194" s="168" t="n">
        <v>1</v>
      </c>
      <c r="Y194" s="168" t="n">
        <v>1.02</v>
      </c>
      <c r="Z194" s="168" t="n">
        <v>1</v>
      </c>
      <c r="AA194" s="168" t="n">
        <v>1</v>
      </c>
      <c r="AB194" s="168" t="n">
        <v>1</v>
      </c>
      <c r="AC194" s="168" t="n">
        <v>1</v>
      </c>
      <c r="AD194" s="168" t="n">
        <v>0.98</v>
      </c>
      <c r="AE194" s="168" t="n">
        <v>0.98</v>
      </c>
      <c r="AF194" s="168" t="n">
        <v>0.98</v>
      </c>
      <c r="AG194" s="168" t="n">
        <v>0.98</v>
      </c>
      <c r="AH194" s="168" t="n">
        <v>1.05</v>
      </c>
      <c r="AI194" s="168" t="n">
        <v>1</v>
      </c>
      <c r="AJ194" s="168" t="n">
        <v>1</v>
      </c>
      <c r="AK194" s="168" t="n">
        <v>1.02</v>
      </c>
      <c r="AL194" s="168" t="n">
        <v>1</v>
      </c>
      <c r="AM194" s="168" t="n">
        <v>1</v>
      </c>
      <c r="AN194" s="168" t="n">
        <v>1</v>
      </c>
      <c r="AO194" s="168" t="n">
        <v>1</v>
      </c>
    </row>
    <row r="195" customFormat="false" ht="12.75" hidden="false" customHeight="false" outlineLevel="0" collapsed="false">
      <c r="A195" s="167" t="n">
        <v>42614</v>
      </c>
      <c r="B195" s="168" t="n">
        <v>1</v>
      </c>
      <c r="C195" s="168" t="n">
        <v>1</v>
      </c>
      <c r="D195" s="168" t="n">
        <v>1</v>
      </c>
      <c r="E195" s="168" t="n">
        <v>1</v>
      </c>
      <c r="F195" s="168" t="n">
        <v>1</v>
      </c>
      <c r="G195" s="168" t="n">
        <v>1</v>
      </c>
      <c r="H195" s="168" t="n">
        <v>1</v>
      </c>
      <c r="I195" s="168" t="n">
        <v>1</v>
      </c>
      <c r="J195" s="168" t="n">
        <v>1</v>
      </c>
      <c r="K195" s="168" t="n">
        <v>1</v>
      </c>
      <c r="L195" s="168" t="n">
        <v>1</v>
      </c>
      <c r="M195" s="168" t="n">
        <v>1</v>
      </c>
      <c r="N195" s="168" t="n">
        <v>1</v>
      </c>
      <c r="O195" s="168" t="n">
        <v>1</v>
      </c>
      <c r="P195" s="168" t="n">
        <v>1.03</v>
      </c>
      <c r="Q195" s="168" t="n">
        <v>1</v>
      </c>
      <c r="R195" s="168" t="n">
        <v>1</v>
      </c>
      <c r="S195" s="168" t="n">
        <v>1.02</v>
      </c>
      <c r="T195" s="168" t="n">
        <v>1</v>
      </c>
      <c r="U195" s="168" t="n">
        <v>1</v>
      </c>
      <c r="V195" s="168" t="n">
        <v>1</v>
      </c>
      <c r="W195" s="168" t="n">
        <v>1</v>
      </c>
      <c r="X195" s="168" t="n">
        <v>1</v>
      </c>
      <c r="Y195" s="168" t="n">
        <v>1.02</v>
      </c>
      <c r="Z195" s="168" t="n">
        <v>1</v>
      </c>
      <c r="AA195" s="168" t="n">
        <v>1</v>
      </c>
      <c r="AB195" s="168" t="n">
        <v>1</v>
      </c>
      <c r="AC195" s="168" t="n">
        <v>1</v>
      </c>
      <c r="AD195" s="168" t="n">
        <v>0.98</v>
      </c>
      <c r="AE195" s="168" t="n">
        <v>0.98</v>
      </c>
      <c r="AF195" s="168" t="n">
        <v>0.98</v>
      </c>
      <c r="AG195" s="168" t="n">
        <v>0.98</v>
      </c>
      <c r="AH195" s="168" t="n">
        <v>1.05</v>
      </c>
      <c r="AI195" s="168" t="n">
        <v>1</v>
      </c>
      <c r="AJ195" s="168" t="n">
        <v>1</v>
      </c>
      <c r="AK195" s="168" t="n">
        <v>1.02</v>
      </c>
      <c r="AL195" s="168" t="n">
        <v>1</v>
      </c>
      <c r="AM195" s="168" t="n">
        <v>1</v>
      </c>
      <c r="AN195" s="168" t="n">
        <v>1</v>
      </c>
      <c r="AO195" s="168" t="n">
        <v>1</v>
      </c>
    </row>
    <row r="196" customFormat="false" ht="12.75" hidden="false" customHeight="false" outlineLevel="0" collapsed="false">
      <c r="A196" s="167" t="n">
        <v>42644</v>
      </c>
      <c r="B196" s="168" t="n">
        <v>1</v>
      </c>
      <c r="C196" s="168" t="n">
        <v>1</v>
      </c>
      <c r="D196" s="168" t="n">
        <v>1</v>
      </c>
      <c r="E196" s="168" t="n">
        <v>1</v>
      </c>
      <c r="F196" s="168" t="n">
        <v>1</v>
      </c>
      <c r="G196" s="168" t="n">
        <v>1</v>
      </c>
      <c r="H196" s="168" t="n">
        <v>1</v>
      </c>
      <c r="I196" s="168" t="n">
        <v>1</v>
      </c>
      <c r="J196" s="168" t="n">
        <v>1</v>
      </c>
      <c r="K196" s="168" t="n">
        <v>1</v>
      </c>
      <c r="L196" s="168" t="n">
        <v>1</v>
      </c>
      <c r="M196" s="168" t="n">
        <v>1</v>
      </c>
      <c r="N196" s="168" t="n">
        <v>1</v>
      </c>
      <c r="O196" s="168" t="n">
        <v>1</v>
      </c>
      <c r="P196" s="168" t="n">
        <v>1.03</v>
      </c>
      <c r="Q196" s="168" t="n">
        <v>1</v>
      </c>
      <c r="R196" s="168" t="n">
        <v>1</v>
      </c>
      <c r="S196" s="168" t="n">
        <v>1.02</v>
      </c>
      <c r="T196" s="168" t="n">
        <v>1</v>
      </c>
      <c r="U196" s="168" t="n">
        <v>1</v>
      </c>
      <c r="V196" s="168" t="n">
        <v>1</v>
      </c>
      <c r="W196" s="168" t="n">
        <v>1</v>
      </c>
      <c r="X196" s="168" t="n">
        <v>1</v>
      </c>
      <c r="Y196" s="168" t="n">
        <v>1.02</v>
      </c>
      <c r="Z196" s="168" t="n">
        <v>1</v>
      </c>
      <c r="AA196" s="168" t="n">
        <v>1</v>
      </c>
      <c r="AB196" s="168" t="n">
        <v>1</v>
      </c>
      <c r="AC196" s="168" t="n">
        <v>1</v>
      </c>
      <c r="AD196" s="168" t="n">
        <v>0.98</v>
      </c>
      <c r="AE196" s="168" t="n">
        <v>0.98</v>
      </c>
      <c r="AF196" s="168" t="n">
        <v>0.98</v>
      </c>
      <c r="AG196" s="168" t="n">
        <v>0.98</v>
      </c>
      <c r="AH196" s="168" t="n">
        <v>1.05</v>
      </c>
      <c r="AI196" s="168" t="n">
        <v>1</v>
      </c>
      <c r="AJ196" s="168" t="n">
        <v>1</v>
      </c>
      <c r="AK196" s="168" t="n">
        <v>1.02</v>
      </c>
      <c r="AL196" s="168" t="n">
        <v>1</v>
      </c>
      <c r="AM196" s="168" t="n">
        <v>1</v>
      </c>
      <c r="AN196" s="168" t="n">
        <v>1</v>
      </c>
      <c r="AO196" s="168" t="n">
        <v>1</v>
      </c>
    </row>
    <row r="197" customFormat="false" ht="12.75" hidden="false" customHeight="false" outlineLevel="0" collapsed="false">
      <c r="A197" s="167" t="n">
        <v>42675</v>
      </c>
      <c r="B197" s="168" t="n">
        <v>1</v>
      </c>
      <c r="C197" s="168" t="n">
        <v>1</v>
      </c>
      <c r="D197" s="168" t="n">
        <v>1</v>
      </c>
      <c r="E197" s="168" t="n">
        <v>1</v>
      </c>
      <c r="F197" s="168" t="n">
        <v>1</v>
      </c>
      <c r="G197" s="168" t="n">
        <v>1</v>
      </c>
      <c r="H197" s="168" t="n">
        <v>1</v>
      </c>
      <c r="I197" s="168" t="n">
        <v>1</v>
      </c>
      <c r="J197" s="168" t="n">
        <v>1</v>
      </c>
      <c r="K197" s="168" t="n">
        <v>1</v>
      </c>
      <c r="L197" s="168" t="n">
        <v>1</v>
      </c>
      <c r="M197" s="168" t="n">
        <v>1</v>
      </c>
      <c r="N197" s="168" t="n">
        <v>1</v>
      </c>
      <c r="O197" s="168" t="n">
        <v>1</v>
      </c>
      <c r="P197" s="168" t="n">
        <v>1.03</v>
      </c>
      <c r="Q197" s="168" t="n">
        <v>1</v>
      </c>
      <c r="R197" s="168" t="n">
        <v>1</v>
      </c>
      <c r="S197" s="168" t="n">
        <v>1.02</v>
      </c>
      <c r="T197" s="168" t="n">
        <v>1</v>
      </c>
      <c r="U197" s="168" t="n">
        <v>1</v>
      </c>
      <c r="V197" s="168" t="n">
        <v>1</v>
      </c>
      <c r="W197" s="168" t="n">
        <v>1</v>
      </c>
      <c r="X197" s="168" t="n">
        <v>1</v>
      </c>
      <c r="Y197" s="168" t="n">
        <v>1</v>
      </c>
      <c r="Z197" s="168" t="n">
        <v>1</v>
      </c>
      <c r="AA197" s="168" t="n">
        <v>1</v>
      </c>
      <c r="AB197" s="168" t="n">
        <v>1</v>
      </c>
      <c r="AC197" s="168" t="n">
        <v>1</v>
      </c>
      <c r="AD197" s="168" t="n">
        <v>1</v>
      </c>
      <c r="AE197" s="168" t="n">
        <v>1</v>
      </c>
      <c r="AF197" s="168" t="n">
        <v>1.1</v>
      </c>
      <c r="AG197" s="168" t="n">
        <v>1.1</v>
      </c>
      <c r="AH197" s="168" t="n">
        <v>1.05</v>
      </c>
      <c r="AI197" s="168" t="n">
        <v>1</v>
      </c>
      <c r="AJ197" s="168" t="n">
        <v>1</v>
      </c>
      <c r="AK197" s="168" t="n">
        <v>1.02</v>
      </c>
      <c r="AL197" s="168" t="n">
        <v>1</v>
      </c>
      <c r="AM197" s="168" t="n">
        <v>1</v>
      </c>
      <c r="AN197" s="168" t="n">
        <v>1</v>
      </c>
      <c r="AO197" s="168" t="n">
        <v>1</v>
      </c>
    </row>
    <row r="198" customFormat="false" ht="12.75" hidden="false" customHeight="false" outlineLevel="0" collapsed="false">
      <c r="A198" s="167" t="n">
        <v>42705</v>
      </c>
      <c r="B198" s="168" t="n">
        <v>1</v>
      </c>
      <c r="C198" s="168" t="n">
        <v>1</v>
      </c>
      <c r="D198" s="168" t="n">
        <v>1</v>
      </c>
      <c r="E198" s="168" t="n">
        <v>1</v>
      </c>
      <c r="F198" s="168" t="n">
        <v>1</v>
      </c>
      <c r="G198" s="168" t="n">
        <v>1</v>
      </c>
      <c r="H198" s="168" t="n">
        <v>1</v>
      </c>
      <c r="I198" s="168" t="n">
        <v>1</v>
      </c>
      <c r="J198" s="168" t="n">
        <v>1</v>
      </c>
      <c r="K198" s="168" t="n">
        <v>1</v>
      </c>
      <c r="L198" s="168" t="n">
        <v>1</v>
      </c>
      <c r="M198" s="168" t="n">
        <v>1</v>
      </c>
      <c r="N198" s="168" t="n">
        <v>1</v>
      </c>
      <c r="O198" s="168" t="n">
        <v>1</v>
      </c>
      <c r="P198" s="168" t="n">
        <v>1.03</v>
      </c>
      <c r="Q198" s="168" t="n">
        <v>1</v>
      </c>
      <c r="R198" s="168" t="n">
        <v>1</v>
      </c>
      <c r="S198" s="168" t="n">
        <v>1.02</v>
      </c>
      <c r="T198" s="168" t="n">
        <v>1</v>
      </c>
      <c r="U198" s="168" t="n">
        <v>1</v>
      </c>
      <c r="V198" s="168" t="n">
        <v>1</v>
      </c>
      <c r="W198" s="168" t="n">
        <v>1</v>
      </c>
      <c r="X198" s="168" t="n">
        <v>1</v>
      </c>
      <c r="Y198" s="168" t="n">
        <v>1</v>
      </c>
      <c r="Z198" s="168" t="n">
        <v>1</v>
      </c>
      <c r="AA198" s="168" t="n">
        <v>1</v>
      </c>
      <c r="AB198" s="168" t="n">
        <v>1</v>
      </c>
      <c r="AC198" s="168" t="n">
        <v>1</v>
      </c>
      <c r="AD198" s="168" t="n">
        <v>1</v>
      </c>
      <c r="AE198" s="168" t="n">
        <v>1</v>
      </c>
      <c r="AF198" s="168" t="n">
        <v>1.1</v>
      </c>
      <c r="AG198" s="168" t="n">
        <v>1.1</v>
      </c>
      <c r="AH198" s="168" t="n">
        <v>1.05</v>
      </c>
      <c r="AI198" s="168" t="n">
        <v>1</v>
      </c>
      <c r="AJ198" s="168" t="n">
        <v>1</v>
      </c>
      <c r="AK198" s="168" t="n">
        <v>1.02</v>
      </c>
      <c r="AL198" s="168" t="n">
        <v>1</v>
      </c>
      <c r="AM198" s="168" t="n">
        <v>1</v>
      </c>
      <c r="AN198" s="168" t="n">
        <v>1</v>
      </c>
      <c r="AO198" s="168" t="n">
        <v>1</v>
      </c>
    </row>
    <row r="199" customFormat="false" ht="12.75" hidden="false" customHeight="false" outlineLevel="0" collapsed="false">
      <c r="A199" s="167" t="n">
        <v>42736</v>
      </c>
      <c r="B199" s="168" t="n">
        <v>1</v>
      </c>
      <c r="C199" s="168" t="n">
        <v>1</v>
      </c>
      <c r="D199" s="168" t="n">
        <v>1</v>
      </c>
      <c r="E199" s="168" t="n">
        <v>1</v>
      </c>
      <c r="F199" s="168" t="n">
        <v>1</v>
      </c>
      <c r="G199" s="168" t="n">
        <v>1</v>
      </c>
      <c r="H199" s="168" t="n">
        <v>1</v>
      </c>
      <c r="I199" s="168" t="n">
        <v>1</v>
      </c>
      <c r="J199" s="168" t="n">
        <v>1</v>
      </c>
      <c r="K199" s="168" t="n">
        <v>1</v>
      </c>
      <c r="L199" s="168" t="n">
        <v>1</v>
      </c>
      <c r="M199" s="168" t="n">
        <v>1</v>
      </c>
      <c r="N199" s="168" t="n">
        <v>1</v>
      </c>
      <c r="O199" s="168" t="n">
        <v>1</v>
      </c>
      <c r="P199" s="168" t="n">
        <v>1.03</v>
      </c>
      <c r="Q199" s="168" t="n">
        <v>1</v>
      </c>
      <c r="R199" s="168" t="n">
        <v>1</v>
      </c>
      <c r="S199" s="168" t="n">
        <v>1.02</v>
      </c>
      <c r="T199" s="168" t="n">
        <v>1</v>
      </c>
      <c r="U199" s="168" t="n">
        <v>1</v>
      </c>
      <c r="V199" s="168" t="n">
        <v>1</v>
      </c>
      <c r="W199" s="168" t="n">
        <v>1</v>
      </c>
      <c r="X199" s="168" t="n">
        <v>1</v>
      </c>
      <c r="Y199" s="168" t="n">
        <v>1</v>
      </c>
      <c r="Z199" s="168" t="n">
        <v>1</v>
      </c>
      <c r="AA199" s="168" t="n">
        <v>1</v>
      </c>
      <c r="AB199" s="168" t="n">
        <v>1</v>
      </c>
      <c r="AC199" s="168" t="n">
        <v>1</v>
      </c>
      <c r="AD199" s="168" t="n">
        <v>1</v>
      </c>
      <c r="AE199" s="168" t="n">
        <v>1</v>
      </c>
      <c r="AF199" s="168" t="n">
        <v>1.1</v>
      </c>
      <c r="AG199" s="168" t="n">
        <v>1.1</v>
      </c>
      <c r="AH199" s="168" t="n">
        <v>1.05</v>
      </c>
      <c r="AI199" s="168" t="n">
        <v>1</v>
      </c>
      <c r="AJ199" s="168" t="n">
        <v>1</v>
      </c>
      <c r="AK199" s="168" t="n">
        <v>1.02</v>
      </c>
      <c r="AL199" s="168" t="n">
        <v>1</v>
      </c>
      <c r="AM199" s="168" t="n">
        <v>1</v>
      </c>
      <c r="AN199" s="168" t="n">
        <v>1</v>
      </c>
      <c r="AO199" s="168" t="n">
        <v>1</v>
      </c>
    </row>
    <row r="200" customFormat="false" ht="12.75" hidden="false" customHeight="false" outlineLevel="0" collapsed="false">
      <c r="A200" s="167" t="n">
        <v>42767</v>
      </c>
      <c r="B200" s="168" t="n">
        <v>1</v>
      </c>
      <c r="C200" s="168" t="n">
        <v>1</v>
      </c>
      <c r="D200" s="168" t="n">
        <v>1</v>
      </c>
      <c r="E200" s="168" t="n">
        <v>1</v>
      </c>
      <c r="F200" s="168" t="n">
        <v>1</v>
      </c>
      <c r="G200" s="168" t="n">
        <v>1</v>
      </c>
      <c r="H200" s="168" t="n">
        <v>1</v>
      </c>
      <c r="I200" s="168" t="n">
        <v>1</v>
      </c>
      <c r="J200" s="168" t="n">
        <v>1</v>
      </c>
      <c r="K200" s="168" t="n">
        <v>1</v>
      </c>
      <c r="L200" s="168" t="n">
        <v>1</v>
      </c>
      <c r="M200" s="168" t="n">
        <v>1</v>
      </c>
      <c r="N200" s="168" t="n">
        <v>1</v>
      </c>
      <c r="O200" s="168" t="n">
        <v>1</v>
      </c>
      <c r="P200" s="168" t="n">
        <v>1.03</v>
      </c>
      <c r="Q200" s="168" t="n">
        <v>1</v>
      </c>
      <c r="R200" s="168" t="n">
        <v>1</v>
      </c>
      <c r="S200" s="168" t="n">
        <v>1.02</v>
      </c>
      <c r="T200" s="168" t="n">
        <v>1</v>
      </c>
      <c r="U200" s="168" t="n">
        <v>1</v>
      </c>
      <c r="V200" s="168" t="n">
        <v>1</v>
      </c>
      <c r="W200" s="168" t="n">
        <v>1</v>
      </c>
      <c r="X200" s="168" t="n">
        <v>1</v>
      </c>
      <c r="Y200" s="168" t="n">
        <v>1</v>
      </c>
      <c r="Z200" s="168" t="n">
        <v>1</v>
      </c>
      <c r="AA200" s="168" t="n">
        <v>1</v>
      </c>
      <c r="AB200" s="168" t="n">
        <v>1</v>
      </c>
      <c r="AC200" s="168" t="n">
        <v>1</v>
      </c>
      <c r="AD200" s="168" t="n">
        <v>1</v>
      </c>
      <c r="AE200" s="168" t="n">
        <v>1</v>
      </c>
      <c r="AF200" s="168" t="n">
        <v>1.1</v>
      </c>
      <c r="AG200" s="168" t="n">
        <v>1.1</v>
      </c>
      <c r="AH200" s="168" t="n">
        <v>1.05</v>
      </c>
      <c r="AI200" s="168" t="n">
        <v>1</v>
      </c>
      <c r="AJ200" s="168" t="n">
        <v>1</v>
      </c>
      <c r="AK200" s="168" t="n">
        <v>1.02</v>
      </c>
      <c r="AL200" s="168" t="n">
        <v>1</v>
      </c>
      <c r="AM200" s="168" t="n">
        <v>1</v>
      </c>
      <c r="AN200" s="168" t="n">
        <v>1</v>
      </c>
      <c r="AO200" s="168" t="n">
        <v>1</v>
      </c>
    </row>
    <row r="201" customFormat="false" ht="12.75" hidden="false" customHeight="false" outlineLevel="0" collapsed="false">
      <c r="A201" s="167" t="n">
        <v>42795</v>
      </c>
      <c r="B201" s="168" t="n">
        <v>1</v>
      </c>
      <c r="C201" s="168" t="n">
        <v>1</v>
      </c>
      <c r="D201" s="168" t="n">
        <v>1</v>
      </c>
      <c r="E201" s="168" t="n">
        <v>1</v>
      </c>
      <c r="F201" s="168" t="n">
        <v>1</v>
      </c>
      <c r="G201" s="168" t="n">
        <v>1</v>
      </c>
      <c r="H201" s="168" t="n">
        <v>1</v>
      </c>
      <c r="I201" s="168" t="n">
        <v>1</v>
      </c>
      <c r="J201" s="168" t="n">
        <v>1</v>
      </c>
      <c r="K201" s="168" t="n">
        <v>1</v>
      </c>
      <c r="L201" s="168" t="n">
        <v>1</v>
      </c>
      <c r="M201" s="168" t="n">
        <v>1</v>
      </c>
      <c r="N201" s="168" t="n">
        <v>1</v>
      </c>
      <c r="O201" s="168" t="n">
        <v>1</v>
      </c>
      <c r="P201" s="168" t="n">
        <v>1.03</v>
      </c>
      <c r="Q201" s="168" t="n">
        <v>1</v>
      </c>
      <c r="R201" s="168" t="n">
        <v>1</v>
      </c>
      <c r="S201" s="168" t="n">
        <v>1.02</v>
      </c>
      <c r="T201" s="168" t="n">
        <v>1</v>
      </c>
      <c r="U201" s="168" t="n">
        <v>1</v>
      </c>
      <c r="V201" s="168" t="n">
        <v>1</v>
      </c>
      <c r="W201" s="168" t="n">
        <v>1</v>
      </c>
      <c r="X201" s="168" t="n">
        <v>1</v>
      </c>
      <c r="Y201" s="168" t="n">
        <v>1</v>
      </c>
      <c r="Z201" s="168" t="n">
        <v>1</v>
      </c>
      <c r="AA201" s="168" t="n">
        <v>1</v>
      </c>
      <c r="AB201" s="168" t="n">
        <v>1</v>
      </c>
      <c r="AC201" s="168" t="n">
        <v>1</v>
      </c>
      <c r="AD201" s="168" t="n">
        <v>1</v>
      </c>
      <c r="AE201" s="168" t="n">
        <v>1</v>
      </c>
      <c r="AF201" s="168" t="n">
        <v>1.1</v>
      </c>
      <c r="AG201" s="168" t="n">
        <v>1.1</v>
      </c>
      <c r="AH201" s="168" t="n">
        <v>1.05</v>
      </c>
      <c r="AI201" s="168" t="n">
        <v>1</v>
      </c>
      <c r="AJ201" s="168" t="n">
        <v>1</v>
      </c>
      <c r="AK201" s="168" t="n">
        <v>1.02</v>
      </c>
      <c r="AL201" s="168" t="n">
        <v>1</v>
      </c>
      <c r="AM201" s="168" t="n">
        <v>1</v>
      </c>
      <c r="AN201" s="168" t="n">
        <v>1</v>
      </c>
      <c r="AO201" s="168" t="n">
        <v>1</v>
      </c>
    </row>
    <row r="202" customFormat="false" ht="12.75" hidden="false" customHeight="false" outlineLevel="0" collapsed="false">
      <c r="A202" s="167" t="n">
        <v>42826</v>
      </c>
      <c r="B202" s="168" t="n">
        <v>1</v>
      </c>
      <c r="C202" s="168" t="n">
        <v>1</v>
      </c>
      <c r="D202" s="168" t="n">
        <v>1</v>
      </c>
      <c r="E202" s="168" t="n">
        <v>1</v>
      </c>
      <c r="F202" s="168" t="n">
        <v>1</v>
      </c>
      <c r="G202" s="168" t="n">
        <v>1</v>
      </c>
      <c r="H202" s="168" t="n">
        <v>1</v>
      </c>
      <c r="I202" s="168" t="n">
        <v>1</v>
      </c>
      <c r="J202" s="168" t="n">
        <v>1</v>
      </c>
      <c r="K202" s="168" t="n">
        <v>1</v>
      </c>
      <c r="L202" s="168" t="n">
        <v>1</v>
      </c>
      <c r="M202" s="168" t="n">
        <v>1</v>
      </c>
      <c r="N202" s="168" t="n">
        <v>1</v>
      </c>
      <c r="O202" s="168" t="n">
        <v>1</v>
      </c>
      <c r="P202" s="168" t="n">
        <v>1.03</v>
      </c>
      <c r="Q202" s="168" t="n">
        <v>1</v>
      </c>
      <c r="R202" s="168" t="n">
        <v>1</v>
      </c>
      <c r="S202" s="168" t="n">
        <v>1.02</v>
      </c>
      <c r="T202" s="168" t="n">
        <v>1</v>
      </c>
      <c r="U202" s="168" t="n">
        <v>1</v>
      </c>
      <c r="V202" s="168" t="n">
        <v>1</v>
      </c>
      <c r="W202" s="168" t="n">
        <v>1</v>
      </c>
      <c r="X202" s="168" t="n">
        <v>1</v>
      </c>
      <c r="Y202" s="168" t="n">
        <v>1.02</v>
      </c>
      <c r="Z202" s="168" t="n">
        <v>1</v>
      </c>
      <c r="AA202" s="168" t="n">
        <v>1</v>
      </c>
      <c r="AB202" s="168" t="n">
        <v>1</v>
      </c>
      <c r="AC202" s="168" t="n">
        <v>1</v>
      </c>
      <c r="AD202" s="168" t="n">
        <v>0.98</v>
      </c>
      <c r="AE202" s="168" t="n">
        <v>0.98</v>
      </c>
      <c r="AF202" s="168" t="n">
        <v>0.98</v>
      </c>
      <c r="AG202" s="168" t="n">
        <v>0.98</v>
      </c>
      <c r="AH202" s="168" t="n">
        <v>1.05</v>
      </c>
      <c r="AI202" s="168" t="n">
        <v>1</v>
      </c>
      <c r="AJ202" s="168" t="n">
        <v>1</v>
      </c>
      <c r="AK202" s="168" t="n">
        <v>1.02</v>
      </c>
      <c r="AL202" s="168" t="n">
        <v>1</v>
      </c>
      <c r="AM202" s="168" t="n">
        <v>1</v>
      </c>
      <c r="AN202" s="168" t="n">
        <v>1</v>
      </c>
      <c r="AO202" s="168" t="n">
        <v>1</v>
      </c>
    </row>
    <row r="203" customFormat="false" ht="12.75" hidden="false" customHeight="false" outlineLevel="0" collapsed="false">
      <c r="A203" s="167" t="n">
        <v>42856</v>
      </c>
      <c r="B203" s="168" t="n">
        <v>1</v>
      </c>
      <c r="C203" s="168" t="n">
        <v>1</v>
      </c>
      <c r="D203" s="168" t="n">
        <v>1</v>
      </c>
      <c r="E203" s="168" t="n">
        <v>1</v>
      </c>
      <c r="F203" s="168" t="n">
        <v>1</v>
      </c>
      <c r="G203" s="168" t="n">
        <v>1</v>
      </c>
      <c r="H203" s="168" t="n">
        <v>1</v>
      </c>
      <c r="I203" s="168" t="n">
        <v>1</v>
      </c>
      <c r="J203" s="168" t="n">
        <v>1</v>
      </c>
      <c r="K203" s="168" t="n">
        <v>1</v>
      </c>
      <c r="L203" s="168" t="n">
        <v>1</v>
      </c>
      <c r="M203" s="168" t="n">
        <v>1</v>
      </c>
      <c r="N203" s="168" t="n">
        <v>1</v>
      </c>
      <c r="O203" s="168" t="n">
        <v>1</v>
      </c>
      <c r="P203" s="168" t="n">
        <v>1.03</v>
      </c>
      <c r="Q203" s="168" t="n">
        <v>1</v>
      </c>
      <c r="R203" s="168" t="n">
        <v>1</v>
      </c>
      <c r="S203" s="168" t="n">
        <v>1.02</v>
      </c>
      <c r="T203" s="168" t="n">
        <v>1</v>
      </c>
      <c r="U203" s="168" t="n">
        <v>1</v>
      </c>
      <c r="V203" s="168" t="n">
        <v>1</v>
      </c>
      <c r="W203" s="168" t="n">
        <v>1</v>
      </c>
      <c r="X203" s="168" t="n">
        <v>1</v>
      </c>
      <c r="Y203" s="168" t="n">
        <v>1.02</v>
      </c>
      <c r="Z203" s="168" t="n">
        <v>1</v>
      </c>
      <c r="AA203" s="168" t="n">
        <v>1</v>
      </c>
      <c r="AB203" s="168" t="n">
        <v>1</v>
      </c>
      <c r="AC203" s="168" t="n">
        <v>1</v>
      </c>
      <c r="AD203" s="168" t="n">
        <v>0.98</v>
      </c>
      <c r="AE203" s="168" t="n">
        <v>0.98</v>
      </c>
      <c r="AF203" s="168" t="n">
        <v>0.98</v>
      </c>
      <c r="AG203" s="168" t="n">
        <v>0.98</v>
      </c>
      <c r="AH203" s="168" t="n">
        <v>1.05</v>
      </c>
      <c r="AI203" s="168" t="n">
        <v>1</v>
      </c>
      <c r="AJ203" s="168" t="n">
        <v>1</v>
      </c>
      <c r="AK203" s="168" t="n">
        <v>1.02</v>
      </c>
      <c r="AL203" s="168" t="n">
        <v>1</v>
      </c>
      <c r="AM203" s="168" t="n">
        <v>1</v>
      </c>
      <c r="AN203" s="168" t="n">
        <v>1</v>
      </c>
      <c r="AO203" s="168" t="n">
        <v>1</v>
      </c>
    </row>
    <row r="204" customFormat="false" ht="12.75" hidden="false" customHeight="false" outlineLevel="0" collapsed="false">
      <c r="A204" s="167" t="n">
        <v>42887</v>
      </c>
      <c r="B204" s="168" t="n">
        <v>1</v>
      </c>
      <c r="C204" s="168" t="n">
        <v>1</v>
      </c>
      <c r="D204" s="168" t="n">
        <v>1</v>
      </c>
      <c r="E204" s="168" t="n">
        <v>1</v>
      </c>
      <c r="F204" s="168" t="n">
        <v>1</v>
      </c>
      <c r="G204" s="168" t="n">
        <v>1</v>
      </c>
      <c r="H204" s="168" t="n">
        <v>1</v>
      </c>
      <c r="I204" s="168" t="n">
        <v>1</v>
      </c>
      <c r="J204" s="168" t="n">
        <v>1</v>
      </c>
      <c r="K204" s="168" t="n">
        <v>1</v>
      </c>
      <c r="L204" s="168" t="n">
        <v>1</v>
      </c>
      <c r="M204" s="168" t="n">
        <v>1</v>
      </c>
      <c r="N204" s="168" t="n">
        <v>1</v>
      </c>
      <c r="O204" s="168" t="n">
        <v>1</v>
      </c>
      <c r="P204" s="168" t="n">
        <v>1.03</v>
      </c>
      <c r="Q204" s="168" t="n">
        <v>1</v>
      </c>
      <c r="R204" s="168" t="n">
        <v>1</v>
      </c>
      <c r="S204" s="168" t="n">
        <v>1.02</v>
      </c>
      <c r="T204" s="168" t="n">
        <v>1</v>
      </c>
      <c r="U204" s="168" t="n">
        <v>1</v>
      </c>
      <c r="V204" s="168" t="n">
        <v>1</v>
      </c>
      <c r="W204" s="168" t="n">
        <v>1</v>
      </c>
      <c r="X204" s="168" t="n">
        <v>1</v>
      </c>
      <c r="Y204" s="168" t="n">
        <v>1.02</v>
      </c>
      <c r="Z204" s="168" t="n">
        <v>1</v>
      </c>
      <c r="AA204" s="168" t="n">
        <v>1</v>
      </c>
      <c r="AB204" s="168" t="n">
        <v>1</v>
      </c>
      <c r="AC204" s="168" t="n">
        <v>1</v>
      </c>
      <c r="AD204" s="168" t="n">
        <v>0.98</v>
      </c>
      <c r="AE204" s="168" t="n">
        <v>0.98</v>
      </c>
      <c r="AF204" s="168" t="n">
        <v>0.98</v>
      </c>
      <c r="AG204" s="168" t="n">
        <v>0.98</v>
      </c>
      <c r="AH204" s="168" t="n">
        <v>1.05</v>
      </c>
      <c r="AI204" s="168" t="n">
        <v>1</v>
      </c>
      <c r="AJ204" s="168" t="n">
        <v>1</v>
      </c>
      <c r="AK204" s="168" t="n">
        <v>1.02</v>
      </c>
      <c r="AL204" s="168" t="n">
        <v>1</v>
      </c>
      <c r="AM204" s="168" t="n">
        <v>1</v>
      </c>
      <c r="AN204" s="168" t="n">
        <v>1</v>
      </c>
      <c r="AO204" s="168" t="n">
        <v>1</v>
      </c>
    </row>
    <row r="205" customFormat="false" ht="12.75" hidden="false" customHeight="false" outlineLevel="0" collapsed="false">
      <c r="A205" s="167" t="n">
        <v>42917</v>
      </c>
      <c r="B205" s="168" t="n">
        <v>1</v>
      </c>
      <c r="C205" s="168" t="n">
        <v>1</v>
      </c>
      <c r="D205" s="168" t="n">
        <v>1</v>
      </c>
      <c r="E205" s="168" t="n">
        <v>1</v>
      </c>
      <c r="F205" s="168" t="n">
        <v>1</v>
      </c>
      <c r="G205" s="168" t="n">
        <v>1</v>
      </c>
      <c r="H205" s="168" t="n">
        <v>1</v>
      </c>
      <c r="I205" s="168" t="n">
        <v>1</v>
      </c>
      <c r="J205" s="168" t="n">
        <v>1</v>
      </c>
      <c r="K205" s="168" t="n">
        <v>1</v>
      </c>
      <c r="L205" s="168" t="n">
        <v>1</v>
      </c>
      <c r="M205" s="168" t="n">
        <v>1</v>
      </c>
      <c r="N205" s="168" t="n">
        <v>1</v>
      </c>
      <c r="O205" s="168" t="n">
        <v>1</v>
      </c>
      <c r="P205" s="168" t="n">
        <v>1.03</v>
      </c>
      <c r="Q205" s="168" t="n">
        <v>1</v>
      </c>
      <c r="R205" s="168" t="n">
        <v>1</v>
      </c>
      <c r="S205" s="168" t="n">
        <v>1.02</v>
      </c>
      <c r="T205" s="168" t="n">
        <v>1</v>
      </c>
      <c r="U205" s="168" t="n">
        <v>1</v>
      </c>
      <c r="V205" s="168" t="n">
        <v>1</v>
      </c>
      <c r="W205" s="168" t="n">
        <v>1</v>
      </c>
      <c r="X205" s="168" t="n">
        <v>1</v>
      </c>
      <c r="Y205" s="168" t="n">
        <v>1.02</v>
      </c>
      <c r="Z205" s="168" t="n">
        <v>1</v>
      </c>
      <c r="AA205" s="168" t="n">
        <v>1</v>
      </c>
      <c r="AB205" s="168" t="n">
        <v>1</v>
      </c>
      <c r="AC205" s="168" t="n">
        <v>1</v>
      </c>
      <c r="AD205" s="168" t="n">
        <v>0.98</v>
      </c>
      <c r="AE205" s="168" t="n">
        <v>0.98</v>
      </c>
      <c r="AF205" s="168" t="n">
        <v>0.98</v>
      </c>
      <c r="AG205" s="168" t="n">
        <v>0.98</v>
      </c>
      <c r="AH205" s="168" t="n">
        <v>1.05</v>
      </c>
      <c r="AI205" s="168" t="n">
        <v>1</v>
      </c>
      <c r="AJ205" s="168" t="n">
        <v>1</v>
      </c>
      <c r="AK205" s="168" t="n">
        <v>1.02</v>
      </c>
      <c r="AL205" s="168" t="n">
        <v>1</v>
      </c>
      <c r="AM205" s="168" t="n">
        <v>1</v>
      </c>
      <c r="AN205" s="168" t="n">
        <v>1</v>
      </c>
      <c r="AO205" s="168" t="n">
        <v>1</v>
      </c>
    </row>
    <row r="206" customFormat="false" ht="12.75" hidden="false" customHeight="false" outlineLevel="0" collapsed="false">
      <c r="A206" s="167" t="n">
        <v>42948</v>
      </c>
      <c r="B206" s="168" t="n">
        <v>1</v>
      </c>
      <c r="C206" s="168" t="n">
        <v>1</v>
      </c>
      <c r="D206" s="168" t="n">
        <v>1</v>
      </c>
      <c r="E206" s="168" t="n">
        <v>1</v>
      </c>
      <c r="F206" s="168" t="n">
        <v>1</v>
      </c>
      <c r="G206" s="168" t="n">
        <v>1</v>
      </c>
      <c r="H206" s="168" t="n">
        <v>1</v>
      </c>
      <c r="I206" s="168" t="n">
        <v>1</v>
      </c>
      <c r="J206" s="168" t="n">
        <v>1</v>
      </c>
      <c r="K206" s="168" t="n">
        <v>1</v>
      </c>
      <c r="L206" s="168" t="n">
        <v>1</v>
      </c>
      <c r="M206" s="168" t="n">
        <v>1</v>
      </c>
      <c r="N206" s="168" t="n">
        <v>1</v>
      </c>
      <c r="O206" s="168" t="n">
        <v>1</v>
      </c>
      <c r="P206" s="168" t="n">
        <v>1.03</v>
      </c>
      <c r="Q206" s="168" t="n">
        <v>1</v>
      </c>
      <c r="R206" s="168" t="n">
        <v>1</v>
      </c>
      <c r="S206" s="168" t="n">
        <v>1.02</v>
      </c>
      <c r="T206" s="168" t="n">
        <v>1</v>
      </c>
      <c r="U206" s="168" t="n">
        <v>1</v>
      </c>
      <c r="V206" s="168" t="n">
        <v>1</v>
      </c>
      <c r="W206" s="168" t="n">
        <v>1</v>
      </c>
      <c r="X206" s="168" t="n">
        <v>1</v>
      </c>
      <c r="Y206" s="168" t="n">
        <v>1.02</v>
      </c>
      <c r="Z206" s="168" t="n">
        <v>1</v>
      </c>
      <c r="AA206" s="168" t="n">
        <v>1</v>
      </c>
      <c r="AB206" s="168" t="n">
        <v>1</v>
      </c>
      <c r="AC206" s="168" t="n">
        <v>1</v>
      </c>
      <c r="AD206" s="168" t="n">
        <v>0.98</v>
      </c>
      <c r="AE206" s="168" t="n">
        <v>0.98</v>
      </c>
      <c r="AF206" s="168" t="n">
        <v>0.98</v>
      </c>
      <c r="AG206" s="168" t="n">
        <v>0.98</v>
      </c>
      <c r="AH206" s="168" t="n">
        <v>1.05</v>
      </c>
      <c r="AI206" s="168" t="n">
        <v>1</v>
      </c>
      <c r="AJ206" s="168" t="n">
        <v>1</v>
      </c>
      <c r="AK206" s="168" t="n">
        <v>1.02</v>
      </c>
      <c r="AL206" s="168" t="n">
        <v>1</v>
      </c>
      <c r="AM206" s="168" t="n">
        <v>1</v>
      </c>
      <c r="AN206" s="168" t="n">
        <v>1</v>
      </c>
      <c r="AO206" s="168" t="n">
        <v>1</v>
      </c>
    </row>
    <row r="207" customFormat="false" ht="12.75" hidden="false" customHeight="false" outlineLevel="0" collapsed="false">
      <c r="A207" s="167" t="n">
        <v>42979</v>
      </c>
      <c r="B207" s="168" t="n">
        <v>1</v>
      </c>
      <c r="C207" s="168" t="n">
        <v>1</v>
      </c>
      <c r="D207" s="168" t="n">
        <v>1</v>
      </c>
      <c r="E207" s="168" t="n">
        <v>1</v>
      </c>
      <c r="F207" s="168" t="n">
        <v>1</v>
      </c>
      <c r="G207" s="168" t="n">
        <v>1</v>
      </c>
      <c r="H207" s="168" t="n">
        <v>1</v>
      </c>
      <c r="I207" s="168" t="n">
        <v>1</v>
      </c>
      <c r="J207" s="168" t="n">
        <v>1</v>
      </c>
      <c r="K207" s="168" t="n">
        <v>1</v>
      </c>
      <c r="L207" s="168" t="n">
        <v>1</v>
      </c>
      <c r="M207" s="168" t="n">
        <v>1</v>
      </c>
      <c r="N207" s="168" t="n">
        <v>1</v>
      </c>
      <c r="O207" s="168" t="n">
        <v>1</v>
      </c>
      <c r="P207" s="168" t="n">
        <v>1.03</v>
      </c>
      <c r="Q207" s="168" t="n">
        <v>1</v>
      </c>
      <c r="R207" s="168" t="n">
        <v>1</v>
      </c>
      <c r="S207" s="168" t="n">
        <v>1.02</v>
      </c>
      <c r="T207" s="168" t="n">
        <v>1</v>
      </c>
      <c r="U207" s="168" t="n">
        <v>1</v>
      </c>
      <c r="V207" s="168" t="n">
        <v>1</v>
      </c>
      <c r="W207" s="168" t="n">
        <v>1</v>
      </c>
      <c r="X207" s="168" t="n">
        <v>1</v>
      </c>
      <c r="Y207" s="168" t="n">
        <v>1.02</v>
      </c>
      <c r="Z207" s="168" t="n">
        <v>1</v>
      </c>
      <c r="AA207" s="168" t="n">
        <v>1</v>
      </c>
      <c r="AB207" s="168" t="n">
        <v>1</v>
      </c>
      <c r="AC207" s="168" t="n">
        <v>1</v>
      </c>
      <c r="AD207" s="168" t="n">
        <v>0.98</v>
      </c>
      <c r="AE207" s="168" t="n">
        <v>0.98</v>
      </c>
      <c r="AF207" s="168" t="n">
        <v>0.98</v>
      </c>
      <c r="AG207" s="168" t="n">
        <v>0.98</v>
      </c>
      <c r="AH207" s="168" t="n">
        <v>1.05</v>
      </c>
      <c r="AI207" s="168" t="n">
        <v>1</v>
      </c>
      <c r="AJ207" s="168" t="n">
        <v>1</v>
      </c>
      <c r="AK207" s="168" t="n">
        <v>1.02</v>
      </c>
      <c r="AL207" s="168" t="n">
        <v>1</v>
      </c>
      <c r="AM207" s="168" t="n">
        <v>1</v>
      </c>
      <c r="AN207" s="168" t="n">
        <v>1</v>
      </c>
      <c r="AO207" s="168" t="n">
        <v>1</v>
      </c>
    </row>
    <row r="208" customFormat="false" ht="12.75" hidden="false" customHeight="false" outlineLevel="0" collapsed="false">
      <c r="A208" s="167" t="n">
        <v>43009</v>
      </c>
      <c r="B208" s="168" t="n">
        <v>1</v>
      </c>
      <c r="C208" s="168" t="n">
        <v>1</v>
      </c>
      <c r="D208" s="168" t="n">
        <v>1</v>
      </c>
      <c r="E208" s="168" t="n">
        <v>1</v>
      </c>
      <c r="F208" s="168" t="n">
        <v>1</v>
      </c>
      <c r="G208" s="168" t="n">
        <v>1</v>
      </c>
      <c r="H208" s="168" t="n">
        <v>1</v>
      </c>
      <c r="I208" s="168" t="n">
        <v>1</v>
      </c>
      <c r="J208" s="168" t="n">
        <v>1</v>
      </c>
      <c r="K208" s="168" t="n">
        <v>1</v>
      </c>
      <c r="L208" s="168" t="n">
        <v>1</v>
      </c>
      <c r="M208" s="168" t="n">
        <v>1</v>
      </c>
      <c r="N208" s="168" t="n">
        <v>1</v>
      </c>
      <c r="O208" s="168" t="n">
        <v>1</v>
      </c>
      <c r="P208" s="168" t="n">
        <v>1.03</v>
      </c>
      <c r="Q208" s="168" t="n">
        <v>1</v>
      </c>
      <c r="R208" s="168" t="n">
        <v>1</v>
      </c>
      <c r="S208" s="168" t="n">
        <v>1.02</v>
      </c>
      <c r="T208" s="168" t="n">
        <v>1</v>
      </c>
      <c r="U208" s="168" t="n">
        <v>1</v>
      </c>
      <c r="V208" s="168" t="n">
        <v>1</v>
      </c>
      <c r="W208" s="168" t="n">
        <v>1</v>
      </c>
      <c r="X208" s="168" t="n">
        <v>1</v>
      </c>
      <c r="Y208" s="168" t="n">
        <v>1.02</v>
      </c>
      <c r="Z208" s="168" t="n">
        <v>1</v>
      </c>
      <c r="AA208" s="168" t="n">
        <v>1</v>
      </c>
      <c r="AB208" s="168" t="n">
        <v>1</v>
      </c>
      <c r="AC208" s="168" t="n">
        <v>1</v>
      </c>
      <c r="AD208" s="168" t="n">
        <v>0.98</v>
      </c>
      <c r="AE208" s="168" t="n">
        <v>0.98</v>
      </c>
      <c r="AF208" s="168" t="n">
        <v>0.98</v>
      </c>
      <c r="AG208" s="168" t="n">
        <v>0.98</v>
      </c>
      <c r="AH208" s="168" t="n">
        <v>1.05</v>
      </c>
      <c r="AI208" s="168" t="n">
        <v>1</v>
      </c>
      <c r="AJ208" s="168" t="n">
        <v>1</v>
      </c>
      <c r="AK208" s="168" t="n">
        <v>1.02</v>
      </c>
      <c r="AL208" s="168" t="n">
        <v>1</v>
      </c>
      <c r="AM208" s="168" t="n">
        <v>1</v>
      </c>
      <c r="AN208" s="168" t="n">
        <v>1</v>
      </c>
      <c r="AO208" s="168" t="n">
        <v>1</v>
      </c>
    </row>
    <row r="209" customFormat="false" ht="12.75" hidden="false" customHeight="false" outlineLevel="0" collapsed="false">
      <c r="A209" s="167" t="n">
        <v>43040</v>
      </c>
      <c r="B209" s="168" t="n">
        <v>1</v>
      </c>
      <c r="C209" s="168" t="n">
        <v>1</v>
      </c>
      <c r="D209" s="168" t="n">
        <v>1</v>
      </c>
      <c r="E209" s="168" t="n">
        <v>1</v>
      </c>
      <c r="F209" s="168" t="n">
        <v>1</v>
      </c>
      <c r="G209" s="168" t="n">
        <v>1</v>
      </c>
      <c r="H209" s="168" t="n">
        <v>1</v>
      </c>
      <c r="I209" s="168" t="n">
        <v>1</v>
      </c>
      <c r="J209" s="168" t="n">
        <v>1</v>
      </c>
      <c r="K209" s="168" t="n">
        <v>1</v>
      </c>
      <c r="L209" s="168" t="n">
        <v>1</v>
      </c>
      <c r="M209" s="168" t="n">
        <v>1</v>
      </c>
      <c r="N209" s="168" t="n">
        <v>1</v>
      </c>
      <c r="O209" s="168" t="n">
        <v>1</v>
      </c>
      <c r="P209" s="168" t="n">
        <v>1.03</v>
      </c>
      <c r="Q209" s="168" t="n">
        <v>1</v>
      </c>
      <c r="R209" s="168" t="n">
        <v>1</v>
      </c>
      <c r="S209" s="168" t="n">
        <v>1.02</v>
      </c>
      <c r="T209" s="168" t="n">
        <v>1</v>
      </c>
      <c r="U209" s="168" t="n">
        <v>1</v>
      </c>
      <c r="V209" s="168" t="n">
        <v>1</v>
      </c>
      <c r="W209" s="168" t="n">
        <v>1</v>
      </c>
      <c r="X209" s="168" t="n">
        <v>1</v>
      </c>
      <c r="Y209" s="168" t="n">
        <v>1</v>
      </c>
      <c r="Z209" s="168" t="n">
        <v>1</v>
      </c>
      <c r="AA209" s="168" t="n">
        <v>1</v>
      </c>
      <c r="AB209" s="168" t="n">
        <v>1</v>
      </c>
      <c r="AC209" s="168" t="n">
        <v>1</v>
      </c>
      <c r="AD209" s="168" t="n">
        <v>1</v>
      </c>
      <c r="AE209" s="168" t="n">
        <v>1</v>
      </c>
      <c r="AF209" s="168" t="n">
        <v>1.1</v>
      </c>
      <c r="AG209" s="168" t="n">
        <v>1.1</v>
      </c>
      <c r="AH209" s="168" t="n">
        <v>1.05</v>
      </c>
      <c r="AI209" s="168" t="n">
        <v>1</v>
      </c>
      <c r="AJ209" s="168" t="n">
        <v>1</v>
      </c>
      <c r="AK209" s="168" t="n">
        <v>1.02</v>
      </c>
      <c r="AL209" s="168" t="n">
        <v>1</v>
      </c>
      <c r="AM209" s="168" t="n">
        <v>1</v>
      </c>
      <c r="AN209" s="168" t="n">
        <v>1</v>
      </c>
      <c r="AO209" s="168" t="n">
        <v>1</v>
      </c>
    </row>
    <row r="210" customFormat="false" ht="12.75" hidden="false" customHeight="false" outlineLevel="0" collapsed="false">
      <c r="A210" s="167" t="n">
        <v>43070</v>
      </c>
      <c r="B210" s="168" t="n">
        <v>1</v>
      </c>
      <c r="C210" s="168" t="n">
        <v>1</v>
      </c>
      <c r="D210" s="168" t="n">
        <v>1</v>
      </c>
      <c r="E210" s="168" t="n">
        <v>1</v>
      </c>
      <c r="F210" s="168" t="n">
        <v>1</v>
      </c>
      <c r="G210" s="168" t="n">
        <v>1</v>
      </c>
      <c r="H210" s="168" t="n">
        <v>1</v>
      </c>
      <c r="I210" s="168" t="n">
        <v>1</v>
      </c>
      <c r="J210" s="168" t="n">
        <v>1</v>
      </c>
      <c r="K210" s="168" t="n">
        <v>1</v>
      </c>
      <c r="L210" s="168" t="n">
        <v>1</v>
      </c>
      <c r="M210" s="168" t="n">
        <v>1</v>
      </c>
      <c r="N210" s="168" t="n">
        <v>1</v>
      </c>
      <c r="O210" s="168" t="n">
        <v>1</v>
      </c>
      <c r="P210" s="168" t="n">
        <v>1.03</v>
      </c>
      <c r="Q210" s="168" t="n">
        <v>1</v>
      </c>
      <c r="R210" s="168" t="n">
        <v>1</v>
      </c>
      <c r="S210" s="168" t="n">
        <v>1.02</v>
      </c>
      <c r="T210" s="168" t="n">
        <v>1</v>
      </c>
      <c r="U210" s="168" t="n">
        <v>1</v>
      </c>
      <c r="V210" s="168" t="n">
        <v>1</v>
      </c>
      <c r="W210" s="168" t="n">
        <v>1</v>
      </c>
      <c r="X210" s="168" t="n">
        <v>1</v>
      </c>
      <c r="Y210" s="168" t="n">
        <v>1</v>
      </c>
      <c r="Z210" s="168" t="n">
        <v>1</v>
      </c>
      <c r="AA210" s="168" t="n">
        <v>1</v>
      </c>
      <c r="AB210" s="168" t="n">
        <v>1</v>
      </c>
      <c r="AC210" s="168" t="n">
        <v>1</v>
      </c>
      <c r="AD210" s="168" t="n">
        <v>1</v>
      </c>
      <c r="AE210" s="168" t="n">
        <v>1</v>
      </c>
      <c r="AF210" s="168" t="n">
        <v>1.1</v>
      </c>
      <c r="AG210" s="168" t="n">
        <v>1.1</v>
      </c>
      <c r="AH210" s="168" t="n">
        <v>1.05</v>
      </c>
      <c r="AI210" s="168" t="n">
        <v>1</v>
      </c>
      <c r="AJ210" s="168" t="n">
        <v>1</v>
      </c>
      <c r="AK210" s="168" t="n">
        <v>1.02</v>
      </c>
      <c r="AL210" s="168" t="n">
        <v>1</v>
      </c>
      <c r="AM210" s="168" t="n">
        <v>1</v>
      </c>
      <c r="AN210" s="168" t="n">
        <v>1</v>
      </c>
      <c r="AO210" s="168" t="n">
        <v>1</v>
      </c>
    </row>
    <row r="211" customFormat="false" ht="12.75" hidden="false" customHeight="false" outlineLevel="0" collapsed="false">
      <c r="B211" s="0" t="n">
        <v>1</v>
      </c>
      <c r="C211" s="0" t="n">
        <v>1</v>
      </c>
      <c r="D211" s="0" t="n">
        <v>1</v>
      </c>
      <c r="E211" s="0" t="n">
        <v>1</v>
      </c>
      <c r="F211" s="0" t="n">
        <v>1</v>
      </c>
      <c r="G211" s="0" t="n">
        <v>1</v>
      </c>
      <c r="H211" s="0" t="n">
        <v>1</v>
      </c>
      <c r="I211" s="0" t="n">
        <v>1</v>
      </c>
      <c r="J211" s="0" t="n">
        <v>1</v>
      </c>
      <c r="K211" s="0" t="n">
        <v>1</v>
      </c>
      <c r="L211" s="0" t="n">
        <v>1</v>
      </c>
      <c r="M211" s="0" t="n">
        <v>1</v>
      </c>
      <c r="N211" s="0" t="n">
        <v>1</v>
      </c>
      <c r="O211" s="0" t="n">
        <v>1</v>
      </c>
      <c r="P211" s="0" t="n">
        <v>1.03</v>
      </c>
      <c r="Q211" s="0" t="n">
        <v>1</v>
      </c>
      <c r="R211" s="0" t="n">
        <v>1</v>
      </c>
      <c r="S211" s="0" t="n">
        <v>1.02</v>
      </c>
      <c r="T211" s="0" t="n">
        <v>1</v>
      </c>
      <c r="U211" s="0" t="n">
        <v>1</v>
      </c>
      <c r="V211" s="0" t="n">
        <v>1</v>
      </c>
      <c r="W211" s="0" t="n">
        <v>1</v>
      </c>
      <c r="X211" s="0" t="n">
        <v>1</v>
      </c>
      <c r="Y211" s="0" t="n">
        <v>1</v>
      </c>
      <c r="Z211" s="0" t="n">
        <v>1</v>
      </c>
      <c r="AA211" s="0" t="n">
        <v>1</v>
      </c>
      <c r="AB211" s="0" t="n">
        <v>1</v>
      </c>
      <c r="AC211" s="0" t="n">
        <v>1</v>
      </c>
      <c r="AD211" s="0" t="n">
        <v>1</v>
      </c>
      <c r="AE211" s="0" t="n">
        <v>1</v>
      </c>
      <c r="AF211" s="0" t="n">
        <v>1.1</v>
      </c>
      <c r="AG211" s="0" t="n">
        <v>1.1</v>
      </c>
      <c r="AH211" s="0" t="n">
        <v>1.05</v>
      </c>
      <c r="AI211" s="0" t="n">
        <v>1</v>
      </c>
      <c r="AJ211" s="0" t="n">
        <v>1</v>
      </c>
      <c r="AK211" s="0" t="n">
        <v>1.02</v>
      </c>
      <c r="AL211" s="0" t="n">
        <v>1</v>
      </c>
      <c r="AM211" s="0" t="n">
        <v>1</v>
      </c>
      <c r="AN211" s="0" t="n">
        <v>1</v>
      </c>
      <c r="AO211" s="0" t="n">
        <v>1</v>
      </c>
    </row>
    <row r="212" customFormat="false" ht="12.75" hidden="false" customHeight="false" outlineLevel="0" collapsed="false">
      <c r="B212" s="0" t="n">
        <v>1</v>
      </c>
      <c r="C212" s="0" t="n">
        <v>1</v>
      </c>
      <c r="D212" s="0" t="n">
        <v>1</v>
      </c>
      <c r="E212" s="0" t="n">
        <v>1</v>
      </c>
      <c r="F212" s="0" t="n">
        <v>1</v>
      </c>
      <c r="G212" s="0" t="n">
        <v>1</v>
      </c>
      <c r="H212" s="0" t="n">
        <v>1</v>
      </c>
      <c r="I212" s="0" t="n">
        <v>1</v>
      </c>
      <c r="J212" s="0" t="n">
        <v>1</v>
      </c>
      <c r="K212" s="0" t="n">
        <v>1</v>
      </c>
      <c r="L212" s="0" t="n">
        <v>1</v>
      </c>
      <c r="M212" s="0" t="n">
        <v>1</v>
      </c>
      <c r="N212" s="0" t="n">
        <v>1</v>
      </c>
      <c r="O212" s="0" t="n">
        <v>1</v>
      </c>
      <c r="P212" s="0" t="n">
        <v>1.03</v>
      </c>
      <c r="Q212" s="0" t="n">
        <v>1</v>
      </c>
      <c r="R212" s="0" t="n">
        <v>1</v>
      </c>
      <c r="S212" s="0" t="n">
        <v>1.02</v>
      </c>
      <c r="T212" s="0" t="n">
        <v>1</v>
      </c>
      <c r="U212" s="0" t="n">
        <v>1</v>
      </c>
      <c r="V212" s="0" t="n">
        <v>1</v>
      </c>
      <c r="W212" s="0" t="n">
        <v>1</v>
      </c>
      <c r="X212" s="0" t="n">
        <v>1</v>
      </c>
      <c r="Y212" s="0" t="n">
        <v>1</v>
      </c>
      <c r="Z212" s="0" t="n">
        <v>1</v>
      </c>
      <c r="AA212" s="0" t="n">
        <v>1</v>
      </c>
      <c r="AB212" s="0" t="n">
        <v>1</v>
      </c>
      <c r="AC212" s="0" t="n">
        <v>1</v>
      </c>
      <c r="AD212" s="0" t="n">
        <v>1</v>
      </c>
      <c r="AE212" s="0" t="n">
        <v>1</v>
      </c>
      <c r="AF212" s="0" t="n">
        <v>1.1</v>
      </c>
      <c r="AG212" s="0" t="n">
        <v>1.1</v>
      </c>
      <c r="AH212" s="0" t="n">
        <v>1.05</v>
      </c>
      <c r="AI212" s="0" t="n">
        <v>1</v>
      </c>
      <c r="AJ212" s="0" t="n">
        <v>1</v>
      </c>
      <c r="AK212" s="0" t="n">
        <v>1.02</v>
      </c>
      <c r="AL212" s="0" t="n">
        <v>1</v>
      </c>
      <c r="AM212" s="0" t="n">
        <v>1</v>
      </c>
      <c r="AN212" s="0" t="n">
        <v>1</v>
      </c>
      <c r="AO212" s="0" t="n">
        <v>1</v>
      </c>
    </row>
    <row r="213" customFormat="false" ht="12.75" hidden="false" customHeight="false" outlineLevel="0" collapsed="false">
      <c r="B213" s="0" t="n">
        <v>1</v>
      </c>
      <c r="C213" s="0" t="n">
        <v>1</v>
      </c>
      <c r="D213" s="0" t="n">
        <v>1</v>
      </c>
      <c r="E213" s="0" t="n">
        <v>1</v>
      </c>
      <c r="F213" s="0" t="n">
        <v>1</v>
      </c>
      <c r="G213" s="0" t="n">
        <v>1</v>
      </c>
      <c r="H213" s="0" t="n">
        <v>1</v>
      </c>
      <c r="I213" s="0" t="n">
        <v>1</v>
      </c>
      <c r="J213" s="0" t="n">
        <v>1</v>
      </c>
      <c r="K213" s="0" t="n">
        <v>1</v>
      </c>
      <c r="L213" s="0" t="n">
        <v>1</v>
      </c>
      <c r="M213" s="0" t="n">
        <v>1</v>
      </c>
      <c r="N213" s="0" t="n">
        <v>1</v>
      </c>
      <c r="O213" s="0" t="n">
        <v>1</v>
      </c>
      <c r="P213" s="0" t="n">
        <v>1.03</v>
      </c>
      <c r="Q213" s="0" t="n">
        <v>1</v>
      </c>
      <c r="R213" s="0" t="n">
        <v>1</v>
      </c>
      <c r="S213" s="0" t="n">
        <v>1.02</v>
      </c>
      <c r="T213" s="0" t="n">
        <v>1</v>
      </c>
      <c r="U213" s="0" t="n">
        <v>1</v>
      </c>
      <c r="V213" s="0" t="n">
        <v>1</v>
      </c>
      <c r="W213" s="0" t="n">
        <v>1</v>
      </c>
      <c r="X213" s="0" t="n">
        <v>1</v>
      </c>
      <c r="Y213" s="0" t="n">
        <v>1</v>
      </c>
      <c r="Z213" s="0" t="n">
        <v>1</v>
      </c>
      <c r="AA213" s="0" t="n">
        <v>1</v>
      </c>
      <c r="AB213" s="0" t="n">
        <v>1</v>
      </c>
      <c r="AC213" s="0" t="n">
        <v>1</v>
      </c>
      <c r="AD213" s="0" t="n">
        <v>1</v>
      </c>
      <c r="AE213" s="0" t="n">
        <v>1</v>
      </c>
      <c r="AF213" s="0" t="n">
        <v>1.1</v>
      </c>
      <c r="AG213" s="0" t="n">
        <v>1.1</v>
      </c>
      <c r="AH213" s="0" t="n">
        <v>1.05</v>
      </c>
      <c r="AI213" s="0" t="n">
        <v>1</v>
      </c>
      <c r="AJ213" s="0" t="n">
        <v>1</v>
      </c>
      <c r="AK213" s="0" t="n">
        <v>1.02</v>
      </c>
      <c r="AL213" s="0" t="n">
        <v>1</v>
      </c>
      <c r="AM213" s="0" t="n">
        <v>1</v>
      </c>
      <c r="AN213" s="0" t="n">
        <v>1</v>
      </c>
      <c r="AO213" s="0" t="n">
        <v>1</v>
      </c>
    </row>
    <row r="214" customFormat="false" ht="12.75" hidden="false" customHeight="false" outlineLevel="0" collapsed="false">
      <c r="B214" s="0" t="n">
        <v>1</v>
      </c>
      <c r="C214" s="0" t="n">
        <v>1</v>
      </c>
      <c r="D214" s="0" t="n">
        <v>1</v>
      </c>
      <c r="E214" s="0" t="n">
        <v>1</v>
      </c>
      <c r="F214" s="0" t="n">
        <v>1</v>
      </c>
      <c r="G214" s="0" t="n">
        <v>1</v>
      </c>
      <c r="H214" s="0" t="n">
        <v>1</v>
      </c>
      <c r="I214" s="0" t="n">
        <v>1</v>
      </c>
      <c r="J214" s="0" t="n">
        <v>1</v>
      </c>
      <c r="K214" s="0" t="n">
        <v>1</v>
      </c>
      <c r="L214" s="0" t="n">
        <v>1</v>
      </c>
      <c r="M214" s="0" t="n">
        <v>1</v>
      </c>
      <c r="N214" s="0" t="n">
        <v>1</v>
      </c>
      <c r="O214" s="0" t="n">
        <v>1</v>
      </c>
      <c r="P214" s="0" t="n">
        <v>1.03</v>
      </c>
      <c r="Q214" s="0" t="n">
        <v>1</v>
      </c>
      <c r="R214" s="0" t="n">
        <v>1</v>
      </c>
      <c r="S214" s="0" t="n">
        <v>1.02</v>
      </c>
      <c r="T214" s="0" t="n">
        <v>1</v>
      </c>
      <c r="U214" s="0" t="n">
        <v>1</v>
      </c>
      <c r="V214" s="0" t="n">
        <v>1</v>
      </c>
      <c r="W214" s="0" t="n">
        <v>1</v>
      </c>
      <c r="X214" s="0" t="n">
        <v>1</v>
      </c>
      <c r="Y214" s="0" t="n">
        <v>1.02</v>
      </c>
      <c r="Z214" s="0" t="n">
        <v>1</v>
      </c>
      <c r="AA214" s="0" t="n">
        <v>1</v>
      </c>
      <c r="AB214" s="0" t="n">
        <v>1</v>
      </c>
      <c r="AC214" s="0" t="n">
        <v>1</v>
      </c>
      <c r="AD214" s="0" t="n">
        <v>0.98</v>
      </c>
      <c r="AE214" s="0" t="n">
        <v>0.98</v>
      </c>
      <c r="AF214" s="0" t="n">
        <v>0.98</v>
      </c>
      <c r="AG214" s="0" t="n">
        <v>0.98</v>
      </c>
      <c r="AH214" s="0" t="n">
        <v>1.05</v>
      </c>
      <c r="AI214" s="0" t="n">
        <v>1</v>
      </c>
      <c r="AJ214" s="0" t="n">
        <v>1</v>
      </c>
      <c r="AK214" s="0" t="n">
        <v>1.02</v>
      </c>
      <c r="AL214" s="0" t="n">
        <v>1</v>
      </c>
      <c r="AM214" s="0" t="n">
        <v>1</v>
      </c>
      <c r="AN214" s="0" t="n">
        <v>1</v>
      </c>
      <c r="AO214" s="0" t="n">
        <v>1</v>
      </c>
    </row>
    <row r="215" customFormat="false" ht="12.75" hidden="false" customHeight="false" outlineLevel="0" collapsed="false">
      <c r="B215" s="0" t="n">
        <v>1</v>
      </c>
      <c r="C215" s="0" t="n">
        <v>1</v>
      </c>
      <c r="D215" s="0" t="n">
        <v>1</v>
      </c>
      <c r="E215" s="0" t="n">
        <v>1</v>
      </c>
      <c r="F215" s="0" t="n">
        <v>1</v>
      </c>
      <c r="G215" s="0" t="n">
        <v>1</v>
      </c>
      <c r="H215" s="0" t="n">
        <v>1</v>
      </c>
      <c r="I215" s="0" t="n">
        <v>1</v>
      </c>
      <c r="J215" s="0" t="n">
        <v>1</v>
      </c>
      <c r="K215" s="0" t="n">
        <v>1</v>
      </c>
      <c r="L215" s="0" t="n">
        <v>1</v>
      </c>
      <c r="M215" s="0" t="n">
        <v>1</v>
      </c>
      <c r="N215" s="0" t="n">
        <v>1</v>
      </c>
      <c r="O215" s="0" t="n">
        <v>1</v>
      </c>
      <c r="P215" s="0" t="n">
        <v>1.03</v>
      </c>
      <c r="Q215" s="0" t="n">
        <v>1</v>
      </c>
      <c r="R215" s="0" t="n">
        <v>1</v>
      </c>
      <c r="S215" s="0" t="n">
        <v>1.02</v>
      </c>
      <c r="T215" s="0" t="n">
        <v>1</v>
      </c>
      <c r="U215" s="0" t="n">
        <v>1</v>
      </c>
      <c r="V215" s="0" t="n">
        <v>1</v>
      </c>
      <c r="W215" s="0" t="n">
        <v>1</v>
      </c>
      <c r="X215" s="0" t="n">
        <v>1</v>
      </c>
      <c r="Y215" s="0" t="n">
        <v>1.02</v>
      </c>
      <c r="Z215" s="0" t="n">
        <v>1</v>
      </c>
      <c r="AA215" s="0" t="n">
        <v>1</v>
      </c>
      <c r="AB215" s="0" t="n">
        <v>1</v>
      </c>
      <c r="AC215" s="0" t="n">
        <v>1</v>
      </c>
      <c r="AD215" s="0" t="n">
        <v>0.98</v>
      </c>
      <c r="AE215" s="0" t="n">
        <v>0.98</v>
      </c>
      <c r="AF215" s="0" t="n">
        <v>0.98</v>
      </c>
      <c r="AG215" s="0" t="n">
        <v>0.98</v>
      </c>
      <c r="AH215" s="0" t="n">
        <v>1.05</v>
      </c>
      <c r="AI215" s="0" t="n">
        <v>1</v>
      </c>
      <c r="AJ215" s="0" t="n">
        <v>1</v>
      </c>
      <c r="AK215" s="0" t="n">
        <v>1.02</v>
      </c>
      <c r="AL215" s="0" t="n">
        <v>1</v>
      </c>
      <c r="AM215" s="0" t="n">
        <v>1</v>
      </c>
      <c r="AN215" s="0" t="n">
        <v>1</v>
      </c>
      <c r="AO215" s="0" t="n">
        <v>1</v>
      </c>
    </row>
    <row r="216" customFormat="false" ht="12.75" hidden="false" customHeight="false" outlineLevel="0" collapsed="false">
      <c r="B216" s="0" t="n">
        <v>1</v>
      </c>
      <c r="C216" s="0" t="n">
        <v>1</v>
      </c>
      <c r="D216" s="0" t="n">
        <v>1</v>
      </c>
      <c r="E216" s="0" t="n">
        <v>1</v>
      </c>
      <c r="F216" s="0" t="n">
        <v>1</v>
      </c>
      <c r="G216" s="0" t="n">
        <v>1</v>
      </c>
      <c r="H216" s="0" t="n">
        <v>1</v>
      </c>
      <c r="I216" s="0" t="n">
        <v>1</v>
      </c>
      <c r="J216" s="0" t="n">
        <v>1</v>
      </c>
      <c r="K216" s="0" t="n">
        <v>1</v>
      </c>
      <c r="L216" s="0" t="n">
        <v>1</v>
      </c>
      <c r="M216" s="0" t="n">
        <v>1</v>
      </c>
      <c r="N216" s="0" t="n">
        <v>1</v>
      </c>
      <c r="O216" s="0" t="n">
        <v>1</v>
      </c>
      <c r="P216" s="0" t="n">
        <v>1.03</v>
      </c>
      <c r="Q216" s="0" t="n">
        <v>1</v>
      </c>
      <c r="R216" s="0" t="n">
        <v>1</v>
      </c>
      <c r="S216" s="0" t="n">
        <v>1.02</v>
      </c>
      <c r="T216" s="0" t="n">
        <v>1</v>
      </c>
      <c r="U216" s="0" t="n">
        <v>1</v>
      </c>
      <c r="V216" s="0" t="n">
        <v>1</v>
      </c>
      <c r="W216" s="0" t="n">
        <v>1</v>
      </c>
      <c r="X216" s="0" t="n">
        <v>1</v>
      </c>
      <c r="Y216" s="0" t="n">
        <v>1.02</v>
      </c>
      <c r="Z216" s="0" t="n">
        <v>1</v>
      </c>
      <c r="AA216" s="0" t="n">
        <v>1</v>
      </c>
      <c r="AB216" s="0" t="n">
        <v>1</v>
      </c>
      <c r="AC216" s="0" t="n">
        <v>1</v>
      </c>
      <c r="AD216" s="0" t="n">
        <v>0.98</v>
      </c>
      <c r="AE216" s="0" t="n">
        <v>0.98</v>
      </c>
      <c r="AF216" s="0" t="n">
        <v>0.98</v>
      </c>
      <c r="AG216" s="0" t="n">
        <v>0.98</v>
      </c>
      <c r="AH216" s="0" t="n">
        <v>1.05</v>
      </c>
      <c r="AI216" s="0" t="n">
        <v>1</v>
      </c>
      <c r="AJ216" s="0" t="n">
        <v>1</v>
      </c>
      <c r="AK216" s="0" t="n">
        <v>1.02</v>
      </c>
      <c r="AL216" s="0" t="n">
        <v>1</v>
      </c>
      <c r="AM216" s="0" t="n">
        <v>1</v>
      </c>
      <c r="AN216" s="0" t="n">
        <v>1</v>
      </c>
      <c r="AO216" s="0" t="n">
        <v>1</v>
      </c>
    </row>
    <row r="217" customFormat="false" ht="12.75" hidden="false" customHeight="false" outlineLevel="0" collapsed="false">
      <c r="B217" s="0" t="n">
        <v>1</v>
      </c>
      <c r="C217" s="0" t="n">
        <v>1</v>
      </c>
      <c r="D217" s="0" t="n">
        <v>1</v>
      </c>
      <c r="E217" s="0" t="n">
        <v>1</v>
      </c>
      <c r="F217" s="0" t="n">
        <v>1</v>
      </c>
      <c r="G217" s="0" t="n">
        <v>1</v>
      </c>
      <c r="H217" s="0" t="n">
        <v>1</v>
      </c>
      <c r="I217" s="0" t="n">
        <v>1</v>
      </c>
      <c r="J217" s="0" t="n">
        <v>1</v>
      </c>
      <c r="K217" s="0" t="n">
        <v>1</v>
      </c>
      <c r="L217" s="0" t="n">
        <v>1</v>
      </c>
      <c r="M217" s="0" t="n">
        <v>1</v>
      </c>
      <c r="N217" s="0" t="n">
        <v>1</v>
      </c>
      <c r="O217" s="0" t="n">
        <v>1</v>
      </c>
      <c r="P217" s="0" t="n">
        <v>1.03</v>
      </c>
      <c r="Q217" s="0" t="n">
        <v>1</v>
      </c>
      <c r="R217" s="0" t="n">
        <v>1</v>
      </c>
      <c r="S217" s="0" t="n">
        <v>1.02</v>
      </c>
      <c r="T217" s="0" t="n">
        <v>1</v>
      </c>
      <c r="U217" s="0" t="n">
        <v>1</v>
      </c>
      <c r="V217" s="0" t="n">
        <v>1</v>
      </c>
      <c r="W217" s="0" t="n">
        <v>1</v>
      </c>
      <c r="X217" s="0" t="n">
        <v>1</v>
      </c>
      <c r="Y217" s="0" t="n">
        <v>1.02</v>
      </c>
      <c r="Z217" s="0" t="n">
        <v>1</v>
      </c>
      <c r="AA217" s="0" t="n">
        <v>1</v>
      </c>
      <c r="AB217" s="0" t="n">
        <v>1</v>
      </c>
      <c r="AC217" s="0" t="n">
        <v>1</v>
      </c>
      <c r="AD217" s="0" t="n">
        <v>0.98</v>
      </c>
      <c r="AE217" s="0" t="n">
        <v>0.98</v>
      </c>
      <c r="AF217" s="0" t="n">
        <v>0.98</v>
      </c>
      <c r="AG217" s="0" t="n">
        <v>0.98</v>
      </c>
      <c r="AH217" s="0" t="n">
        <v>1.05</v>
      </c>
      <c r="AI217" s="0" t="n">
        <v>1</v>
      </c>
      <c r="AJ217" s="0" t="n">
        <v>1</v>
      </c>
      <c r="AK217" s="0" t="n">
        <v>1.02</v>
      </c>
      <c r="AL217" s="0" t="n">
        <v>1</v>
      </c>
      <c r="AM217" s="0" t="n">
        <v>1</v>
      </c>
      <c r="AN217" s="0" t="n">
        <v>1</v>
      </c>
      <c r="AO217" s="0" t="n">
        <v>1</v>
      </c>
    </row>
    <row r="218" customFormat="false" ht="12.75" hidden="false" customHeight="false" outlineLevel="0" collapsed="false">
      <c r="B218" s="0" t="n">
        <v>1</v>
      </c>
      <c r="C218" s="0" t="n">
        <v>1</v>
      </c>
      <c r="D218" s="0" t="n">
        <v>1</v>
      </c>
      <c r="E218" s="0" t="n">
        <v>1</v>
      </c>
      <c r="F218" s="0" t="n">
        <v>1</v>
      </c>
      <c r="G218" s="0" t="n">
        <v>1</v>
      </c>
      <c r="H218" s="0" t="n">
        <v>1</v>
      </c>
      <c r="I218" s="0" t="n">
        <v>1</v>
      </c>
      <c r="J218" s="0" t="n">
        <v>1</v>
      </c>
      <c r="K218" s="0" t="n">
        <v>1</v>
      </c>
      <c r="L218" s="0" t="n">
        <v>1</v>
      </c>
      <c r="M218" s="0" t="n">
        <v>1</v>
      </c>
      <c r="N218" s="0" t="n">
        <v>1</v>
      </c>
      <c r="O218" s="0" t="n">
        <v>1</v>
      </c>
      <c r="P218" s="0" t="n">
        <v>1.03</v>
      </c>
      <c r="Q218" s="0" t="n">
        <v>1</v>
      </c>
      <c r="R218" s="0" t="n">
        <v>1</v>
      </c>
      <c r="S218" s="0" t="n">
        <v>1.02</v>
      </c>
      <c r="T218" s="0" t="n">
        <v>1</v>
      </c>
      <c r="U218" s="0" t="n">
        <v>1</v>
      </c>
      <c r="V218" s="0" t="n">
        <v>1</v>
      </c>
      <c r="W218" s="0" t="n">
        <v>1</v>
      </c>
      <c r="X218" s="0" t="n">
        <v>1</v>
      </c>
      <c r="Y218" s="0" t="n">
        <v>1.02</v>
      </c>
      <c r="Z218" s="0" t="n">
        <v>1</v>
      </c>
      <c r="AA218" s="0" t="n">
        <v>1</v>
      </c>
      <c r="AB218" s="0" t="n">
        <v>1</v>
      </c>
      <c r="AC218" s="0" t="n">
        <v>1</v>
      </c>
      <c r="AD218" s="0" t="n">
        <v>0.98</v>
      </c>
      <c r="AE218" s="0" t="n">
        <v>0.98</v>
      </c>
      <c r="AF218" s="0" t="n">
        <v>0.98</v>
      </c>
      <c r="AG218" s="0" t="n">
        <v>0.98</v>
      </c>
      <c r="AH218" s="0" t="n">
        <v>1.05</v>
      </c>
      <c r="AI218" s="0" t="n">
        <v>1</v>
      </c>
      <c r="AJ218" s="0" t="n">
        <v>1</v>
      </c>
      <c r="AK218" s="0" t="n">
        <v>1.02</v>
      </c>
      <c r="AL218" s="0" t="n">
        <v>1</v>
      </c>
      <c r="AM218" s="0" t="n">
        <v>1</v>
      </c>
      <c r="AN218" s="0" t="n">
        <v>1</v>
      </c>
      <c r="AO218" s="0" t="n">
        <v>1</v>
      </c>
    </row>
    <row r="219" customFormat="false" ht="12.75" hidden="false" customHeight="false" outlineLevel="0" collapsed="false">
      <c r="B219" s="0" t="n">
        <v>1</v>
      </c>
      <c r="C219" s="0" t="n">
        <v>1</v>
      </c>
      <c r="D219" s="0" t="n">
        <v>1</v>
      </c>
      <c r="E219" s="0" t="n">
        <v>1</v>
      </c>
      <c r="F219" s="0" t="n">
        <v>1</v>
      </c>
      <c r="G219" s="0" t="n">
        <v>1</v>
      </c>
      <c r="H219" s="0" t="n">
        <v>1</v>
      </c>
      <c r="I219" s="0" t="n">
        <v>1</v>
      </c>
      <c r="J219" s="0" t="n">
        <v>1</v>
      </c>
      <c r="K219" s="0" t="n">
        <v>1</v>
      </c>
      <c r="L219" s="0" t="n">
        <v>1</v>
      </c>
      <c r="M219" s="0" t="n">
        <v>1</v>
      </c>
      <c r="N219" s="0" t="n">
        <v>1</v>
      </c>
      <c r="O219" s="0" t="n">
        <v>1</v>
      </c>
      <c r="P219" s="0" t="n">
        <v>1.03</v>
      </c>
      <c r="Q219" s="0" t="n">
        <v>1</v>
      </c>
      <c r="R219" s="0" t="n">
        <v>1</v>
      </c>
      <c r="S219" s="0" t="n">
        <v>1.02</v>
      </c>
      <c r="T219" s="0" t="n">
        <v>1</v>
      </c>
      <c r="U219" s="0" t="n">
        <v>1</v>
      </c>
      <c r="V219" s="0" t="n">
        <v>1</v>
      </c>
      <c r="W219" s="0" t="n">
        <v>1</v>
      </c>
      <c r="X219" s="0" t="n">
        <v>1</v>
      </c>
      <c r="Y219" s="0" t="n">
        <v>1.02</v>
      </c>
      <c r="Z219" s="0" t="n">
        <v>1</v>
      </c>
      <c r="AA219" s="0" t="n">
        <v>1</v>
      </c>
      <c r="AB219" s="0" t="n">
        <v>1</v>
      </c>
      <c r="AC219" s="0" t="n">
        <v>1</v>
      </c>
      <c r="AD219" s="0" t="n">
        <v>0.98</v>
      </c>
      <c r="AE219" s="0" t="n">
        <v>0.98</v>
      </c>
      <c r="AF219" s="0" t="n">
        <v>0.98</v>
      </c>
      <c r="AG219" s="0" t="n">
        <v>0.98</v>
      </c>
      <c r="AH219" s="0" t="n">
        <v>1.05</v>
      </c>
      <c r="AI219" s="0" t="n">
        <v>1</v>
      </c>
      <c r="AJ219" s="0" t="n">
        <v>1</v>
      </c>
      <c r="AK219" s="0" t="n">
        <v>1.02</v>
      </c>
      <c r="AL219" s="0" t="n">
        <v>1</v>
      </c>
      <c r="AM219" s="0" t="n">
        <v>1</v>
      </c>
      <c r="AN219" s="0" t="n">
        <v>1</v>
      </c>
      <c r="AO219" s="0" t="n">
        <v>1</v>
      </c>
    </row>
    <row r="220" customFormat="false" ht="12.75" hidden="false" customHeight="false" outlineLevel="0" collapsed="false">
      <c r="B220" s="0" t="n">
        <v>1</v>
      </c>
      <c r="C220" s="0" t="n">
        <v>1</v>
      </c>
      <c r="D220" s="0" t="n">
        <v>1</v>
      </c>
      <c r="E220" s="0" t="n">
        <v>1</v>
      </c>
      <c r="F220" s="0" t="n">
        <v>1</v>
      </c>
      <c r="G220" s="0" t="n">
        <v>1</v>
      </c>
      <c r="H220" s="0" t="n">
        <v>1</v>
      </c>
      <c r="I220" s="0" t="n">
        <v>1</v>
      </c>
      <c r="J220" s="0" t="n">
        <v>1</v>
      </c>
      <c r="K220" s="0" t="n">
        <v>1</v>
      </c>
      <c r="L220" s="0" t="n">
        <v>1</v>
      </c>
      <c r="M220" s="0" t="n">
        <v>1</v>
      </c>
      <c r="N220" s="0" t="n">
        <v>1</v>
      </c>
      <c r="O220" s="0" t="n">
        <v>1</v>
      </c>
      <c r="P220" s="0" t="n">
        <v>1.03</v>
      </c>
      <c r="Q220" s="0" t="n">
        <v>1</v>
      </c>
      <c r="R220" s="0" t="n">
        <v>1</v>
      </c>
      <c r="S220" s="0" t="n">
        <v>1.02</v>
      </c>
      <c r="T220" s="0" t="n">
        <v>1</v>
      </c>
      <c r="U220" s="0" t="n">
        <v>1</v>
      </c>
      <c r="V220" s="0" t="n">
        <v>1</v>
      </c>
      <c r="W220" s="0" t="n">
        <v>1</v>
      </c>
      <c r="X220" s="0" t="n">
        <v>1</v>
      </c>
      <c r="Y220" s="0" t="n">
        <v>1.02</v>
      </c>
      <c r="Z220" s="0" t="n">
        <v>1</v>
      </c>
      <c r="AA220" s="0" t="n">
        <v>1</v>
      </c>
      <c r="AB220" s="0" t="n">
        <v>1</v>
      </c>
      <c r="AC220" s="0" t="n">
        <v>1</v>
      </c>
      <c r="AD220" s="0" t="n">
        <v>0.98</v>
      </c>
      <c r="AE220" s="0" t="n">
        <v>0.98</v>
      </c>
      <c r="AF220" s="0" t="n">
        <v>0.98</v>
      </c>
      <c r="AG220" s="0" t="n">
        <v>0.98</v>
      </c>
      <c r="AH220" s="0" t="n">
        <v>1.05</v>
      </c>
      <c r="AI220" s="0" t="n">
        <v>1</v>
      </c>
      <c r="AJ220" s="0" t="n">
        <v>1</v>
      </c>
      <c r="AK220" s="0" t="n">
        <v>1.02</v>
      </c>
      <c r="AL220" s="0" t="n">
        <v>1</v>
      </c>
      <c r="AM220" s="0" t="n">
        <v>1</v>
      </c>
      <c r="AN220" s="0" t="n">
        <v>1</v>
      </c>
      <c r="AO220" s="0" t="n">
        <v>1</v>
      </c>
    </row>
    <row r="221" customFormat="false" ht="12.75" hidden="false" customHeight="false" outlineLevel="0" collapsed="false">
      <c r="B221" s="0" t="n">
        <v>1</v>
      </c>
      <c r="C221" s="0" t="n">
        <v>1</v>
      </c>
      <c r="D221" s="0" t="n">
        <v>1</v>
      </c>
      <c r="E221" s="0" t="n">
        <v>1</v>
      </c>
      <c r="F221" s="0" t="n">
        <v>1</v>
      </c>
      <c r="G221" s="0" t="n">
        <v>1</v>
      </c>
      <c r="H221" s="0" t="n">
        <v>1</v>
      </c>
      <c r="I221" s="0" t="n">
        <v>1</v>
      </c>
      <c r="J221" s="0" t="n">
        <v>1</v>
      </c>
      <c r="K221" s="0" t="n">
        <v>1</v>
      </c>
      <c r="L221" s="0" t="n">
        <v>1</v>
      </c>
      <c r="M221" s="0" t="n">
        <v>1</v>
      </c>
      <c r="N221" s="0" t="n">
        <v>1</v>
      </c>
      <c r="O221" s="0" t="n">
        <v>1</v>
      </c>
      <c r="P221" s="0" t="n">
        <v>1.03</v>
      </c>
      <c r="Q221" s="0" t="n">
        <v>1</v>
      </c>
      <c r="R221" s="0" t="n">
        <v>1</v>
      </c>
      <c r="S221" s="0" t="n">
        <v>1.02</v>
      </c>
      <c r="T221" s="0" t="n">
        <v>1</v>
      </c>
      <c r="U221" s="0" t="n">
        <v>1</v>
      </c>
      <c r="V221" s="0" t="n">
        <v>1</v>
      </c>
      <c r="W221" s="0" t="n">
        <v>1</v>
      </c>
      <c r="X221" s="0" t="n">
        <v>1</v>
      </c>
      <c r="Y221" s="0" t="n">
        <v>1</v>
      </c>
      <c r="Z221" s="0" t="n">
        <v>1</v>
      </c>
      <c r="AA221" s="0" t="n">
        <v>1</v>
      </c>
      <c r="AB221" s="0" t="n">
        <v>1</v>
      </c>
      <c r="AC221" s="0" t="n">
        <v>1</v>
      </c>
      <c r="AD221" s="0" t="n">
        <v>1</v>
      </c>
      <c r="AE221" s="0" t="n">
        <v>1</v>
      </c>
      <c r="AF221" s="0" t="n">
        <v>1.1</v>
      </c>
      <c r="AG221" s="0" t="n">
        <v>1.1</v>
      </c>
      <c r="AH221" s="0" t="n">
        <v>1.05</v>
      </c>
      <c r="AI221" s="0" t="n">
        <v>1</v>
      </c>
      <c r="AJ221" s="0" t="n">
        <v>1</v>
      </c>
      <c r="AK221" s="0" t="n">
        <v>1.02</v>
      </c>
      <c r="AL221" s="0" t="n">
        <v>1</v>
      </c>
      <c r="AM221" s="0" t="n">
        <v>1</v>
      </c>
      <c r="AN221" s="0" t="n">
        <v>1</v>
      </c>
      <c r="AO221" s="0" t="n">
        <v>1</v>
      </c>
    </row>
    <row r="222" customFormat="false" ht="12.75" hidden="false" customHeight="false" outlineLevel="0" collapsed="false">
      <c r="B222" s="0" t="n">
        <v>1</v>
      </c>
      <c r="C222" s="0" t="n">
        <v>1</v>
      </c>
      <c r="D222" s="0" t="n">
        <v>1</v>
      </c>
      <c r="E222" s="0" t="n">
        <v>1</v>
      </c>
      <c r="F222" s="0" t="n">
        <v>1</v>
      </c>
      <c r="G222" s="0" t="n">
        <v>1</v>
      </c>
      <c r="H222" s="0" t="n">
        <v>1</v>
      </c>
      <c r="I222" s="0" t="n">
        <v>1</v>
      </c>
      <c r="J222" s="0" t="n">
        <v>1</v>
      </c>
      <c r="K222" s="0" t="n">
        <v>1</v>
      </c>
      <c r="L222" s="0" t="n">
        <v>1</v>
      </c>
      <c r="M222" s="0" t="n">
        <v>1</v>
      </c>
      <c r="N222" s="0" t="n">
        <v>1</v>
      </c>
      <c r="O222" s="0" t="n">
        <v>1</v>
      </c>
      <c r="P222" s="0" t="n">
        <v>1.03</v>
      </c>
      <c r="Q222" s="0" t="n">
        <v>1</v>
      </c>
      <c r="R222" s="0" t="n">
        <v>1</v>
      </c>
      <c r="S222" s="0" t="n">
        <v>1.02</v>
      </c>
      <c r="T222" s="0" t="n">
        <v>1</v>
      </c>
      <c r="U222" s="0" t="n">
        <v>1</v>
      </c>
      <c r="V222" s="0" t="n">
        <v>1</v>
      </c>
      <c r="W222" s="0" t="n">
        <v>1</v>
      </c>
      <c r="X222" s="0" t="n">
        <v>1</v>
      </c>
      <c r="Y222" s="0" t="n">
        <v>1</v>
      </c>
      <c r="Z222" s="0" t="n">
        <v>1</v>
      </c>
      <c r="AA222" s="0" t="n">
        <v>1</v>
      </c>
      <c r="AB222" s="0" t="n">
        <v>1</v>
      </c>
      <c r="AC222" s="0" t="n">
        <v>1</v>
      </c>
      <c r="AD222" s="0" t="n">
        <v>1</v>
      </c>
      <c r="AE222" s="0" t="n">
        <v>1</v>
      </c>
      <c r="AF222" s="0" t="n">
        <v>1.1</v>
      </c>
      <c r="AG222" s="0" t="n">
        <v>1.1</v>
      </c>
      <c r="AH222" s="0" t="n">
        <v>1.05</v>
      </c>
      <c r="AI222" s="0" t="n">
        <v>1</v>
      </c>
      <c r="AJ222" s="0" t="n">
        <v>1</v>
      </c>
      <c r="AK222" s="0" t="n">
        <v>1.02</v>
      </c>
      <c r="AL222" s="0" t="n">
        <v>1</v>
      </c>
      <c r="AM222" s="0" t="n">
        <v>1</v>
      </c>
      <c r="AN222" s="0" t="n">
        <v>1</v>
      </c>
      <c r="AO222" s="0" t="n">
        <v>1</v>
      </c>
    </row>
    <row r="223" customFormat="false" ht="12.75" hidden="false" customHeight="false" outlineLevel="0" collapsed="false">
      <c r="B223" s="0" t="n">
        <v>1</v>
      </c>
      <c r="C223" s="0" t="n">
        <v>1</v>
      </c>
      <c r="D223" s="0" t="n">
        <v>1</v>
      </c>
      <c r="E223" s="0" t="n">
        <v>1</v>
      </c>
      <c r="F223" s="0" t="n">
        <v>1</v>
      </c>
      <c r="G223" s="0" t="n">
        <v>1</v>
      </c>
      <c r="H223" s="0" t="n">
        <v>1</v>
      </c>
      <c r="I223" s="0" t="n">
        <v>1</v>
      </c>
      <c r="J223" s="0" t="n">
        <v>1</v>
      </c>
      <c r="K223" s="0" t="n">
        <v>1</v>
      </c>
      <c r="L223" s="0" t="n">
        <v>1</v>
      </c>
      <c r="M223" s="0" t="n">
        <v>1</v>
      </c>
      <c r="N223" s="0" t="n">
        <v>1</v>
      </c>
      <c r="O223" s="0" t="n">
        <v>1</v>
      </c>
      <c r="P223" s="0" t="n">
        <v>1.03</v>
      </c>
      <c r="Q223" s="0" t="n">
        <v>1</v>
      </c>
      <c r="R223" s="0" t="n">
        <v>1</v>
      </c>
      <c r="S223" s="0" t="n">
        <v>1.02</v>
      </c>
      <c r="T223" s="0" t="n">
        <v>1</v>
      </c>
      <c r="U223" s="0" t="n">
        <v>1</v>
      </c>
      <c r="V223" s="0" t="n">
        <v>1</v>
      </c>
      <c r="W223" s="0" t="n">
        <v>1</v>
      </c>
      <c r="X223" s="0" t="n">
        <v>1</v>
      </c>
      <c r="Y223" s="0" t="n">
        <v>1</v>
      </c>
      <c r="Z223" s="0" t="n">
        <v>1</v>
      </c>
      <c r="AA223" s="0" t="n">
        <v>1</v>
      </c>
      <c r="AB223" s="0" t="n">
        <v>1</v>
      </c>
      <c r="AC223" s="0" t="n">
        <v>1</v>
      </c>
      <c r="AD223" s="0" t="n">
        <v>1</v>
      </c>
      <c r="AE223" s="0" t="n">
        <v>1</v>
      </c>
      <c r="AF223" s="0" t="n">
        <v>1.1</v>
      </c>
      <c r="AG223" s="0" t="n">
        <v>1.1</v>
      </c>
      <c r="AH223" s="0" t="n">
        <v>1.05</v>
      </c>
      <c r="AI223" s="0" t="n">
        <v>1</v>
      </c>
      <c r="AJ223" s="0" t="n">
        <v>1</v>
      </c>
      <c r="AK223" s="0" t="n">
        <v>1.02</v>
      </c>
      <c r="AL223" s="0" t="n">
        <v>1</v>
      </c>
      <c r="AM223" s="0" t="n">
        <v>1</v>
      </c>
      <c r="AN223" s="0" t="n">
        <v>1</v>
      </c>
      <c r="AO223" s="0" t="n">
        <v>1</v>
      </c>
    </row>
    <row r="224" customFormat="false" ht="12.75" hidden="false" customHeight="false" outlineLevel="0" collapsed="false">
      <c r="B224" s="0" t="n">
        <v>1</v>
      </c>
      <c r="C224" s="0" t="n">
        <v>1</v>
      </c>
      <c r="D224" s="0" t="n">
        <v>1</v>
      </c>
      <c r="E224" s="0" t="n">
        <v>1</v>
      </c>
      <c r="F224" s="0" t="n">
        <v>1</v>
      </c>
      <c r="G224" s="0" t="n">
        <v>1</v>
      </c>
      <c r="H224" s="0" t="n">
        <v>1</v>
      </c>
      <c r="I224" s="0" t="n">
        <v>1</v>
      </c>
      <c r="J224" s="0" t="n">
        <v>1</v>
      </c>
      <c r="K224" s="0" t="n">
        <v>1</v>
      </c>
      <c r="L224" s="0" t="n">
        <v>1</v>
      </c>
      <c r="M224" s="0" t="n">
        <v>1</v>
      </c>
      <c r="N224" s="0" t="n">
        <v>1</v>
      </c>
      <c r="O224" s="0" t="n">
        <v>1</v>
      </c>
      <c r="P224" s="0" t="n">
        <v>1.03</v>
      </c>
      <c r="Q224" s="0" t="n">
        <v>1</v>
      </c>
      <c r="R224" s="0" t="n">
        <v>1</v>
      </c>
      <c r="S224" s="0" t="n">
        <v>1.02</v>
      </c>
      <c r="T224" s="0" t="n">
        <v>1</v>
      </c>
      <c r="U224" s="0" t="n">
        <v>1</v>
      </c>
      <c r="V224" s="0" t="n">
        <v>1</v>
      </c>
      <c r="W224" s="0" t="n">
        <v>1</v>
      </c>
      <c r="X224" s="0" t="n">
        <v>1</v>
      </c>
      <c r="Y224" s="0" t="n">
        <v>1</v>
      </c>
      <c r="Z224" s="0" t="n">
        <v>1</v>
      </c>
      <c r="AA224" s="0" t="n">
        <v>1</v>
      </c>
      <c r="AB224" s="0" t="n">
        <v>1</v>
      </c>
      <c r="AC224" s="0" t="n">
        <v>1</v>
      </c>
      <c r="AD224" s="0" t="n">
        <v>1</v>
      </c>
      <c r="AE224" s="0" t="n">
        <v>1</v>
      </c>
      <c r="AF224" s="0" t="n">
        <v>1.1</v>
      </c>
      <c r="AG224" s="0" t="n">
        <v>1.1</v>
      </c>
      <c r="AH224" s="0" t="n">
        <v>1.05</v>
      </c>
      <c r="AI224" s="0" t="n">
        <v>1</v>
      </c>
      <c r="AJ224" s="0" t="n">
        <v>1</v>
      </c>
      <c r="AK224" s="0" t="n">
        <v>1.02</v>
      </c>
      <c r="AL224" s="0" t="n">
        <v>1</v>
      </c>
      <c r="AM224" s="0" t="n">
        <v>1</v>
      </c>
      <c r="AN224" s="0" t="n">
        <v>1</v>
      </c>
      <c r="AO224" s="0" t="n">
        <v>1</v>
      </c>
    </row>
    <row r="225" customFormat="false" ht="12.75" hidden="false" customHeight="false" outlineLevel="0" collapsed="false">
      <c r="B225" s="0" t="n">
        <v>1</v>
      </c>
      <c r="C225" s="0" t="n">
        <v>1</v>
      </c>
      <c r="D225" s="0" t="n">
        <v>1</v>
      </c>
      <c r="E225" s="0" t="n">
        <v>1</v>
      </c>
      <c r="F225" s="0" t="n">
        <v>1</v>
      </c>
      <c r="G225" s="0" t="n">
        <v>1</v>
      </c>
      <c r="H225" s="0" t="n">
        <v>1</v>
      </c>
      <c r="I225" s="0" t="n">
        <v>1</v>
      </c>
      <c r="J225" s="0" t="n">
        <v>1</v>
      </c>
      <c r="K225" s="0" t="n">
        <v>1</v>
      </c>
      <c r="L225" s="0" t="n">
        <v>1</v>
      </c>
      <c r="M225" s="0" t="n">
        <v>1</v>
      </c>
      <c r="N225" s="0" t="n">
        <v>1</v>
      </c>
      <c r="O225" s="0" t="n">
        <v>1</v>
      </c>
      <c r="P225" s="0" t="n">
        <v>1.03</v>
      </c>
      <c r="Q225" s="0" t="n">
        <v>1</v>
      </c>
      <c r="R225" s="0" t="n">
        <v>1</v>
      </c>
      <c r="S225" s="0" t="n">
        <v>1.02</v>
      </c>
      <c r="T225" s="0" t="n">
        <v>1</v>
      </c>
      <c r="U225" s="0" t="n">
        <v>1</v>
      </c>
      <c r="V225" s="0" t="n">
        <v>1</v>
      </c>
      <c r="W225" s="0" t="n">
        <v>1</v>
      </c>
      <c r="X225" s="0" t="n">
        <v>1</v>
      </c>
      <c r="Y225" s="0" t="n">
        <v>1</v>
      </c>
      <c r="Z225" s="0" t="n">
        <v>1</v>
      </c>
      <c r="AA225" s="0" t="n">
        <v>1</v>
      </c>
      <c r="AB225" s="0" t="n">
        <v>1</v>
      </c>
      <c r="AC225" s="0" t="n">
        <v>1</v>
      </c>
      <c r="AD225" s="0" t="n">
        <v>1</v>
      </c>
      <c r="AE225" s="0" t="n">
        <v>1</v>
      </c>
      <c r="AF225" s="0" t="n">
        <v>1.1</v>
      </c>
      <c r="AG225" s="0" t="n">
        <v>1.1</v>
      </c>
      <c r="AH225" s="0" t="n">
        <v>1.05</v>
      </c>
      <c r="AI225" s="0" t="n">
        <v>1</v>
      </c>
      <c r="AJ225" s="0" t="n">
        <v>1</v>
      </c>
      <c r="AK225" s="0" t="n">
        <v>1.02</v>
      </c>
      <c r="AL225" s="0" t="n">
        <v>1</v>
      </c>
      <c r="AM225" s="0" t="n">
        <v>1</v>
      </c>
      <c r="AN225" s="0" t="n">
        <v>1</v>
      </c>
      <c r="AO225" s="0" t="n">
        <v>1</v>
      </c>
    </row>
    <row r="226" customFormat="false" ht="12.75" hidden="false" customHeight="false" outlineLevel="0" collapsed="false">
      <c r="B226" s="0" t="n">
        <v>1</v>
      </c>
      <c r="C226" s="0" t="n">
        <v>1</v>
      </c>
      <c r="D226" s="0" t="n">
        <v>1</v>
      </c>
      <c r="E226" s="0" t="n">
        <v>1</v>
      </c>
      <c r="F226" s="0" t="n">
        <v>1</v>
      </c>
      <c r="G226" s="0" t="n">
        <v>1</v>
      </c>
      <c r="H226" s="0" t="n">
        <v>1</v>
      </c>
      <c r="I226" s="0" t="n">
        <v>1</v>
      </c>
      <c r="J226" s="0" t="n">
        <v>1</v>
      </c>
      <c r="K226" s="0" t="n">
        <v>1</v>
      </c>
      <c r="L226" s="0" t="n">
        <v>1</v>
      </c>
      <c r="M226" s="0" t="n">
        <v>1</v>
      </c>
      <c r="N226" s="0" t="n">
        <v>1</v>
      </c>
      <c r="O226" s="0" t="n">
        <v>1</v>
      </c>
      <c r="P226" s="0" t="n">
        <v>1.03</v>
      </c>
      <c r="Q226" s="0" t="n">
        <v>1</v>
      </c>
      <c r="R226" s="0" t="n">
        <v>1</v>
      </c>
      <c r="S226" s="0" t="n">
        <v>1.02</v>
      </c>
      <c r="T226" s="0" t="n">
        <v>1</v>
      </c>
      <c r="U226" s="0" t="n">
        <v>1</v>
      </c>
      <c r="V226" s="0" t="n">
        <v>1</v>
      </c>
      <c r="W226" s="0" t="n">
        <v>1</v>
      </c>
      <c r="X226" s="0" t="n">
        <v>1</v>
      </c>
      <c r="Y226" s="0" t="n">
        <v>1.02</v>
      </c>
      <c r="Z226" s="0" t="n">
        <v>1</v>
      </c>
      <c r="AA226" s="0" t="n">
        <v>1</v>
      </c>
      <c r="AB226" s="0" t="n">
        <v>1</v>
      </c>
      <c r="AC226" s="0" t="n">
        <v>1</v>
      </c>
      <c r="AD226" s="0" t="n">
        <v>0.98</v>
      </c>
      <c r="AE226" s="0" t="n">
        <v>0.98</v>
      </c>
      <c r="AF226" s="0" t="n">
        <v>0.98</v>
      </c>
      <c r="AG226" s="0" t="n">
        <v>0.98</v>
      </c>
      <c r="AH226" s="0" t="n">
        <v>1.05</v>
      </c>
      <c r="AI226" s="0" t="n">
        <v>1</v>
      </c>
      <c r="AJ226" s="0" t="n">
        <v>1</v>
      </c>
      <c r="AK226" s="0" t="n">
        <v>1.02</v>
      </c>
      <c r="AL226" s="0" t="n">
        <v>1</v>
      </c>
      <c r="AM226" s="0" t="n">
        <v>1</v>
      </c>
      <c r="AN226" s="0" t="n">
        <v>1</v>
      </c>
      <c r="AO226" s="0" t="n">
        <v>1</v>
      </c>
    </row>
    <row r="227" customFormat="false" ht="12.75" hidden="false" customHeight="false" outlineLevel="0" collapsed="false">
      <c r="B227" s="0" t="n">
        <v>1</v>
      </c>
      <c r="C227" s="0" t="n">
        <v>1</v>
      </c>
      <c r="D227" s="0" t="n">
        <v>1</v>
      </c>
      <c r="E227" s="0" t="n">
        <v>1</v>
      </c>
      <c r="F227" s="0" t="n">
        <v>1</v>
      </c>
      <c r="G227" s="0" t="n">
        <v>1</v>
      </c>
      <c r="H227" s="0" t="n">
        <v>1</v>
      </c>
      <c r="I227" s="0" t="n">
        <v>1</v>
      </c>
      <c r="J227" s="0" t="n">
        <v>1</v>
      </c>
      <c r="K227" s="0" t="n">
        <v>1</v>
      </c>
      <c r="L227" s="0" t="n">
        <v>1</v>
      </c>
      <c r="M227" s="0" t="n">
        <v>1</v>
      </c>
      <c r="N227" s="0" t="n">
        <v>1</v>
      </c>
      <c r="O227" s="0" t="n">
        <v>1</v>
      </c>
      <c r="P227" s="0" t="n">
        <v>1.03</v>
      </c>
      <c r="Q227" s="0" t="n">
        <v>1</v>
      </c>
      <c r="R227" s="0" t="n">
        <v>1</v>
      </c>
      <c r="S227" s="0" t="n">
        <v>1.02</v>
      </c>
      <c r="T227" s="0" t="n">
        <v>1</v>
      </c>
      <c r="U227" s="0" t="n">
        <v>1</v>
      </c>
      <c r="V227" s="0" t="n">
        <v>1</v>
      </c>
      <c r="W227" s="0" t="n">
        <v>1</v>
      </c>
      <c r="X227" s="0" t="n">
        <v>1</v>
      </c>
      <c r="Y227" s="0" t="n">
        <v>1.02</v>
      </c>
      <c r="Z227" s="0" t="n">
        <v>1</v>
      </c>
      <c r="AA227" s="0" t="n">
        <v>1</v>
      </c>
      <c r="AB227" s="0" t="n">
        <v>1</v>
      </c>
      <c r="AC227" s="0" t="n">
        <v>1</v>
      </c>
      <c r="AD227" s="0" t="n">
        <v>0.98</v>
      </c>
      <c r="AE227" s="0" t="n">
        <v>0.98</v>
      </c>
      <c r="AF227" s="0" t="n">
        <v>0.98</v>
      </c>
      <c r="AG227" s="0" t="n">
        <v>0.98</v>
      </c>
      <c r="AH227" s="0" t="n">
        <v>1.05</v>
      </c>
      <c r="AI227" s="0" t="n">
        <v>1</v>
      </c>
      <c r="AJ227" s="0" t="n">
        <v>1</v>
      </c>
      <c r="AK227" s="0" t="n">
        <v>1.02</v>
      </c>
      <c r="AL227" s="0" t="n">
        <v>1</v>
      </c>
      <c r="AM227" s="0" t="n">
        <v>1</v>
      </c>
      <c r="AN227" s="0" t="n">
        <v>1</v>
      </c>
      <c r="AO227" s="0" t="n">
        <v>1</v>
      </c>
    </row>
    <row r="228" customFormat="false" ht="12.75" hidden="false" customHeight="false" outlineLevel="0" collapsed="false">
      <c r="B228" s="0" t="n">
        <v>1</v>
      </c>
      <c r="C228" s="0" t="n">
        <v>1</v>
      </c>
      <c r="D228" s="0" t="n">
        <v>1</v>
      </c>
      <c r="E228" s="0" t="n">
        <v>1</v>
      </c>
      <c r="F228" s="0" t="n">
        <v>1</v>
      </c>
      <c r="G228" s="0" t="n">
        <v>1</v>
      </c>
      <c r="H228" s="0" t="n">
        <v>1</v>
      </c>
      <c r="I228" s="0" t="n">
        <v>1</v>
      </c>
      <c r="J228" s="0" t="n">
        <v>1</v>
      </c>
      <c r="K228" s="0" t="n">
        <v>1</v>
      </c>
      <c r="L228" s="0" t="n">
        <v>1</v>
      </c>
      <c r="M228" s="0" t="n">
        <v>1</v>
      </c>
      <c r="N228" s="0" t="n">
        <v>1</v>
      </c>
      <c r="O228" s="0" t="n">
        <v>1</v>
      </c>
      <c r="P228" s="0" t="n">
        <v>1.03</v>
      </c>
      <c r="Q228" s="0" t="n">
        <v>1</v>
      </c>
      <c r="R228" s="0" t="n">
        <v>1</v>
      </c>
      <c r="S228" s="0" t="n">
        <v>1.02</v>
      </c>
      <c r="T228" s="0" t="n">
        <v>1</v>
      </c>
      <c r="U228" s="0" t="n">
        <v>1</v>
      </c>
      <c r="V228" s="0" t="n">
        <v>1</v>
      </c>
      <c r="W228" s="0" t="n">
        <v>1</v>
      </c>
      <c r="X228" s="0" t="n">
        <v>1</v>
      </c>
      <c r="Y228" s="0" t="n">
        <v>1.02</v>
      </c>
      <c r="Z228" s="0" t="n">
        <v>1</v>
      </c>
      <c r="AA228" s="0" t="n">
        <v>1</v>
      </c>
      <c r="AB228" s="0" t="n">
        <v>1</v>
      </c>
      <c r="AC228" s="0" t="n">
        <v>1</v>
      </c>
      <c r="AD228" s="0" t="n">
        <v>0.98</v>
      </c>
      <c r="AE228" s="0" t="n">
        <v>0.98</v>
      </c>
      <c r="AF228" s="0" t="n">
        <v>0.98</v>
      </c>
      <c r="AG228" s="0" t="n">
        <v>0.98</v>
      </c>
      <c r="AH228" s="0" t="n">
        <v>1.05</v>
      </c>
      <c r="AI228" s="0" t="n">
        <v>1</v>
      </c>
      <c r="AJ228" s="0" t="n">
        <v>1</v>
      </c>
      <c r="AK228" s="0" t="n">
        <v>1.02</v>
      </c>
      <c r="AL228" s="0" t="n">
        <v>1</v>
      </c>
      <c r="AM228" s="0" t="n">
        <v>1</v>
      </c>
      <c r="AN228" s="0" t="n">
        <v>1</v>
      </c>
      <c r="AO228" s="0" t="n">
        <v>1</v>
      </c>
    </row>
    <row r="229" customFormat="false" ht="12.75" hidden="false" customHeight="false" outlineLevel="0" collapsed="false">
      <c r="B229" s="0" t="n">
        <v>1</v>
      </c>
      <c r="C229" s="0" t="n">
        <v>1</v>
      </c>
      <c r="D229" s="0" t="n">
        <v>1</v>
      </c>
      <c r="E229" s="0" t="n">
        <v>1</v>
      </c>
      <c r="F229" s="0" t="n">
        <v>1</v>
      </c>
      <c r="G229" s="0" t="n">
        <v>1</v>
      </c>
      <c r="H229" s="0" t="n">
        <v>1</v>
      </c>
      <c r="I229" s="0" t="n">
        <v>1</v>
      </c>
      <c r="J229" s="0" t="n">
        <v>1</v>
      </c>
      <c r="K229" s="0" t="n">
        <v>1</v>
      </c>
      <c r="L229" s="0" t="n">
        <v>1</v>
      </c>
      <c r="M229" s="0" t="n">
        <v>1</v>
      </c>
      <c r="N229" s="0" t="n">
        <v>1</v>
      </c>
      <c r="O229" s="0" t="n">
        <v>1</v>
      </c>
      <c r="P229" s="0" t="n">
        <v>1.03</v>
      </c>
      <c r="Q229" s="0" t="n">
        <v>1</v>
      </c>
      <c r="R229" s="0" t="n">
        <v>1</v>
      </c>
      <c r="S229" s="0" t="n">
        <v>1.02</v>
      </c>
      <c r="T229" s="0" t="n">
        <v>1</v>
      </c>
      <c r="U229" s="0" t="n">
        <v>1</v>
      </c>
      <c r="V229" s="0" t="n">
        <v>1</v>
      </c>
      <c r="W229" s="0" t="n">
        <v>1</v>
      </c>
      <c r="X229" s="0" t="n">
        <v>1</v>
      </c>
      <c r="Y229" s="0" t="n">
        <v>1.02</v>
      </c>
      <c r="Z229" s="0" t="n">
        <v>1</v>
      </c>
      <c r="AA229" s="0" t="n">
        <v>1</v>
      </c>
      <c r="AB229" s="0" t="n">
        <v>1</v>
      </c>
      <c r="AC229" s="0" t="n">
        <v>1</v>
      </c>
      <c r="AD229" s="0" t="n">
        <v>0.98</v>
      </c>
      <c r="AE229" s="0" t="n">
        <v>0.98</v>
      </c>
      <c r="AF229" s="0" t="n">
        <v>0.98</v>
      </c>
      <c r="AG229" s="0" t="n">
        <v>0.98</v>
      </c>
      <c r="AH229" s="0" t="n">
        <v>1.05</v>
      </c>
      <c r="AI229" s="0" t="n">
        <v>1</v>
      </c>
      <c r="AJ229" s="0" t="n">
        <v>1</v>
      </c>
      <c r="AK229" s="0" t="n">
        <v>1.02</v>
      </c>
      <c r="AL229" s="0" t="n">
        <v>1</v>
      </c>
      <c r="AM229" s="0" t="n">
        <v>1</v>
      </c>
      <c r="AN229" s="0" t="n">
        <v>1</v>
      </c>
      <c r="AO229" s="0" t="n">
        <v>1</v>
      </c>
    </row>
    <row r="230" customFormat="false" ht="12.75" hidden="false" customHeight="false" outlineLevel="0" collapsed="false">
      <c r="B230" s="0" t="n">
        <v>1</v>
      </c>
      <c r="C230" s="0" t="n">
        <v>1</v>
      </c>
      <c r="D230" s="0" t="n">
        <v>1</v>
      </c>
      <c r="E230" s="0" t="n">
        <v>1</v>
      </c>
      <c r="F230" s="0" t="n">
        <v>1</v>
      </c>
      <c r="G230" s="0" t="n">
        <v>1</v>
      </c>
      <c r="H230" s="0" t="n">
        <v>1</v>
      </c>
      <c r="I230" s="0" t="n">
        <v>1</v>
      </c>
      <c r="J230" s="0" t="n">
        <v>1</v>
      </c>
      <c r="K230" s="0" t="n">
        <v>1</v>
      </c>
      <c r="L230" s="0" t="n">
        <v>1</v>
      </c>
      <c r="M230" s="0" t="n">
        <v>1</v>
      </c>
      <c r="N230" s="0" t="n">
        <v>1</v>
      </c>
      <c r="O230" s="0" t="n">
        <v>1</v>
      </c>
      <c r="P230" s="0" t="n">
        <v>1.03</v>
      </c>
      <c r="Q230" s="0" t="n">
        <v>1</v>
      </c>
      <c r="R230" s="0" t="n">
        <v>1</v>
      </c>
      <c r="S230" s="0" t="n">
        <v>1.02</v>
      </c>
      <c r="T230" s="0" t="n">
        <v>1</v>
      </c>
      <c r="U230" s="0" t="n">
        <v>1</v>
      </c>
      <c r="V230" s="0" t="n">
        <v>1</v>
      </c>
      <c r="W230" s="0" t="n">
        <v>1</v>
      </c>
      <c r="X230" s="0" t="n">
        <v>1</v>
      </c>
      <c r="Y230" s="0" t="n">
        <v>1.02</v>
      </c>
      <c r="Z230" s="0" t="n">
        <v>1</v>
      </c>
      <c r="AA230" s="0" t="n">
        <v>1</v>
      </c>
      <c r="AB230" s="0" t="n">
        <v>1</v>
      </c>
      <c r="AC230" s="0" t="n">
        <v>1</v>
      </c>
      <c r="AD230" s="0" t="n">
        <v>0.98</v>
      </c>
      <c r="AE230" s="0" t="n">
        <v>0.98</v>
      </c>
      <c r="AF230" s="0" t="n">
        <v>0.98</v>
      </c>
      <c r="AG230" s="0" t="n">
        <v>0.98</v>
      </c>
      <c r="AH230" s="0" t="n">
        <v>1.05</v>
      </c>
      <c r="AI230" s="0" t="n">
        <v>1</v>
      </c>
      <c r="AJ230" s="0" t="n">
        <v>1</v>
      </c>
      <c r="AK230" s="0" t="n">
        <v>1.02</v>
      </c>
      <c r="AL230" s="0" t="n">
        <v>1</v>
      </c>
      <c r="AM230" s="0" t="n">
        <v>1</v>
      </c>
      <c r="AN230" s="0" t="n">
        <v>1</v>
      </c>
      <c r="AO230" s="0" t="n">
        <v>1</v>
      </c>
    </row>
    <row r="231" customFormat="false" ht="12.75" hidden="false" customHeight="false" outlineLevel="0" collapsed="false">
      <c r="B231" s="0" t="n">
        <v>1</v>
      </c>
      <c r="C231" s="0" t="n">
        <v>1</v>
      </c>
      <c r="D231" s="0" t="n">
        <v>1</v>
      </c>
      <c r="E231" s="0" t="n">
        <v>1</v>
      </c>
      <c r="F231" s="0" t="n">
        <v>1</v>
      </c>
      <c r="G231" s="0" t="n">
        <v>1</v>
      </c>
      <c r="H231" s="0" t="n">
        <v>1</v>
      </c>
      <c r="I231" s="0" t="n">
        <v>1</v>
      </c>
      <c r="J231" s="0" t="n">
        <v>1</v>
      </c>
      <c r="K231" s="0" t="n">
        <v>1</v>
      </c>
      <c r="L231" s="0" t="n">
        <v>1</v>
      </c>
      <c r="M231" s="0" t="n">
        <v>1</v>
      </c>
      <c r="N231" s="0" t="n">
        <v>1</v>
      </c>
      <c r="O231" s="0" t="n">
        <v>1</v>
      </c>
      <c r="P231" s="0" t="n">
        <v>1.03</v>
      </c>
      <c r="Q231" s="0" t="n">
        <v>1</v>
      </c>
      <c r="R231" s="0" t="n">
        <v>1</v>
      </c>
      <c r="S231" s="0" t="n">
        <v>1.02</v>
      </c>
      <c r="T231" s="0" t="n">
        <v>1</v>
      </c>
      <c r="U231" s="0" t="n">
        <v>1</v>
      </c>
      <c r="V231" s="0" t="n">
        <v>1</v>
      </c>
      <c r="W231" s="0" t="n">
        <v>1</v>
      </c>
      <c r="X231" s="0" t="n">
        <v>1</v>
      </c>
      <c r="Y231" s="0" t="n">
        <v>1.02</v>
      </c>
      <c r="Z231" s="0" t="n">
        <v>1</v>
      </c>
      <c r="AA231" s="0" t="n">
        <v>1</v>
      </c>
      <c r="AB231" s="0" t="n">
        <v>1</v>
      </c>
      <c r="AC231" s="0" t="n">
        <v>1</v>
      </c>
      <c r="AD231" s="0" t="n">
        <v>0.98</v>
      </c>
      <c r="AE231" s="0" t="n">
        <v>0.98</v>
      </c>
      <c r="AF231" s="0" t="n">
        <v>0.98</v>
      </c>
      <c r="AG231" s="0" t="n">
        <v>0.98</v>
      </c>
      <c r="AH231" s="0" t="n">
        <v>1.05</v>
      </c>
      <c r="AI231" s="0" t="n">
        <v>1</v>
      </c>
      <c r="AJ231" s="0" t="n">
        <v>1</v>
      </c>
      <c r="AK231" s="0" t="n">
        <v>1.02</v>
      </c>
      <c r="AL231" s="0" t="n">
        <v>1</v>
      </c>
      <c r="AM231" s="0" t="n">
        <v>1</v>
      </c>
      <c r="AN231" s="0" t="n">
        <v>1</v>
      </c>
      <c r="AO231" s="0" t="n">
        <v>1</v>
      </c>
    </row>
    <row r="232" customFormat="false" ht="12.75" hidden="false" customHeight="false" outlineLevel="0" collapsed="false">
      <c r="B232" s="0" t="n">
        <v>1</v>
      </c>
      <c r="C232" s="0" t="n">
        <v>1</v>
      </c>
      <c r="D232" s="0" t="n">
        <v>1</v>
      </c>
      <c r="E232" s="0" t="n">
        <v>1</v>
      </c>
      <c r="F232" s="0" t="n">
        <v>1</v>
      </c>
      <c r="G232" s="0" t="n">
        <v>1</v>
      </c>
      <c r="H232" s="0" t="n">
        <v>1</v>
      </c>
      <c r="I232" s="0" t="n">
        <v>1</v>
      </c>
      <c r="J232" s="0" t="n">
        <v>1</v>
      </c>
      <c r="K232" s="0" t="n">
        <v>1</v>
      </c>
      <c r="L232" s="0" t="n">
        <v>1</v>
      </c>
      <c r="M232" s="0" t="n">
        <v>1</v>
      </c>
      <c r="N232" s="0" t="n">
        <v>1</v>
      </c>
      <c r="O232" s="0" t="n">
        <v>1</v>
      </c>
      <c r="P232" s="0" t="n">
        <v>1.03</v>
      </c>
      <c r="Q232" s="0" t="n">
        <v>1</v>
      </c>
      <c r="R232" s="0" t="n">
        <v>1</v>
      </c>
      <c r="S232" s="0" t="n">
        <v>1.02</v>
      </c>
      <c r="T232" s="0" t="n">
        <v>1</v>
      </c>
      <c r="U232" s="0" t="n">
        <v>1</v>
      </c>
      <c r="V232" s="0" t="n">
        <v>1</v>
      </c>
      <c r="W232" s="0" t="n">
        <v>1</v>
      </c>
      <c r="X232" s="0" t="n">
        <v>1</v>
      </c>
      <c r="Y232" s="0" t="n">
        <v>1.02</v>
      </c>
      <c r="Z232" s="0" t="n">
        <v>1</v>
      </c>
      <c r="AA232" s="0" t="n">
        <v>1</v>
      </c>
      <c r="AB232" s="0" t="n">
        <v>1</v>
      </c>
      <c r="AC232" s="0" t="n">
        <v>1</v>
      </c>
      <c r="AD232" s="0" t="n">
        <v>0.98</v>
      </c>
      <c r="AE232" s="0" t="n">
        <v>0.98</v>
      </c>
      <c r="AF232" s="0" t="n">
        <v>0.98</v>
      </c>
      <c r="AG232" s="0" t="n">
        <v>0.98</v>
      </c>
      <c r="AH232" s="0" t="n">
        <v>1.05</v>
      </c>
      <c r="AI232" s="0" t="n">
        <v>1</v>
      </c>
      <c r="AJ232" s="0" t="n">
        <v>1</v>
      </c>
      <c r="AK232" s="0" t="n">
        <v>1.02</v>
      </c>
      <c r="AL232" s="0" t="n">
        <v>1</v>
      </c>
      <c r="AM232" s="0" t="n">
        <v>1</v>
      </c>
      <c r="AN232" s="0" t="n">
        <v>1</v>
      </c>
      <c r="AO232" s="0" t="n">
        <v>1</v>
      </c>
    </row>
    <row r="233" customFormat="false" ht="12.75" hidden="false" customHeight="false" outlineLevel="0" collapsed="false">
      <c r="B233" s="0" t="n">
        <v>1</v>
      </c>
      <c r="C233" s="0" t="n">
        <v>1</v>
      </c>
      <c r="D233" s="0" t="n">
        <v>1</v>
      </c>
      <c r="E233" s="0" t="n">
        <v>1</v>
      </c>
      <c r="F233" s="0" t="n">
        <v>1</v>
      </c>
      <c r="G233" s="0" t="n">
        <v>1</v>
      </c>
      <c r="H233" s="0" t="n">
        <v>1</v>
      </c>
      <c r="I233" s="0" t="n">
        <v>1</v>
      </c>
      <c r="J233" s="0" t="n">
        <v>1</v>
      </c>
      <c r="K233" s="0" t="n">
        <v>1</v>
      </c>
      <c r="L233" s="0" t="n">
        <v>1</v>
      </c>
      <c r="M233" s="0" t="n">
        <v>1</v>
      </c>
      <c r="N233" s="0" t="n">
        <v>1</v>
      </c>
      <c r="O233" s="0" t="n">
        <v>1</v>
      </c>
      <c r="P233" s="0" t="n">
        <v>1.03</v>
      </c>
      <c r="Q233" s="0" t="n">
        <v>1</v>
      </c>
      <c r="R233" s="0" t="n">
        <v>1</v>
      </c>
      <c r="S233" s="0" t="n">
        <v>1.02</v>
      </c>
      <c r="T233" s="0" t="n">
        <v>1</v>
      </c>
      <c r="U233" s="0" t="n">
        <v>1</v>
      </c>
      <c r="V233" s="0" t="n">
        <v>1</v>
      </c>
      <c r="W233" s="0" t="n">
        <v>1</v>
      </c>
      <c r="X233" s="0" t="n">
        <v>1</v>
      </c>
      <c r="Y233" s="0" t="n">
        <v>1</v>
      </c>
      <c r="Z233" s="0" t="n">
        <v>1</v>
      </c>
      <c r="AA233" s="0" t="n">
        <v>1</v>
      </c>
      <c r="AB233" s="0" t="n">
        <v>1</v>
      </c>
      <c r="AC233" s="0" t="n">
        <v>1</v>
      </c>
      <c r="AD233" s="0" t="n">
        <v>1</v>
      </c>
      <c r="AE233" s="0" t="n">
        <v>1</v>
      </c>
      <c r="AF233" s="0" t="n">
        <v>1.1</v>
      </c>
      <c r="AG233" s="0" t="n">
        <v>1.1</v>
      </c>
      <c r="AH233" s="0" t="n">
        <v>1.05</v>
      </c>
      <c r="AI233" s="0" t="n">
        <v>1</v>
      </c>
      <c r="AJ233" s="0" t="n">
        <v>1</v>
      </c>
      <c r="AK233" s="0" t="n">
        <v>1.02</v>
      </c>
      <c r="AL233" s="0" t="n">
        <v>1</v>
      </c>
      <c r="AM233" s="0" t="n">
        <v>1</v>
      </c>
      <c r="AN233" s="0" t="n">
        <v>1</v>
      </c>
      <c r="AO233" s="0" t="n">
        <v>1</v>
      </c>
    </row>
    <row r="234" customFormat="false" ht="12.75" hidden="false" customHeight="false" outlineLevel="0" collapsed="false">
      <c r="B234" s="0" t="n">
        <v>1</v>
      </c>
      <c r="C234" s="0" t="n">
        <v>1</v>
      </c>
      <c r="D234" s="0" t="n">
        <v>1</v>
      </c>
      <c r="E234" s="0" t="n">
        <v>1</v>
      </c>
      <c r="F234" s="0" t="n">
        <v>1</v>
      </c>
      <c r="G234" s="0" t="n">
        <v>1</v>
      </c>
      <c r="H234" s="0" t="n">
        <v>1</v>
      </c>
      <c r="I234" s="0" t="n">
        <v>1</v>
      </c>
      <c r="J234" s="0" t="n">
        <v>1</v>
      </c>
      <c r="K234" s="0" t="n">
        <v>1</v>
      </c>
      <c r="L234" s="0" t="n">
        <v>1</v>
      </c>
      <c r="M234" s="0" t="n">
        <v>1</v>
      </c>
      <c r="N234" s="0" t="n">
        <v>1</v>
      </c>
      <c r="O234" s="0" t="n">
        <v>1</v>
      </c>
      <c r="P234" s="0" t="n">
        <v>1.03</v>
      </c>
      <c r="Q234" s="0" t="n">
        <v>1</v>
      </c>
      <c r="R234" s="0" t="n">
        <v>1</v>
      </c>
      <c r="S234" s="0" t="n">
        <v>1.02</v>
      </c>
      <c r="T234" s="0" t="n">
        <v>1</v>
      </c>
      <c r="U234" s="0" t="n">
        <v>1</v>
      </c>
      <c r="V234" s="0" t="n">
        <v>1</v>
      </c>
      <c r="W234" s="0" t="n">
        <v>1</v>
      </c>
      <c r="X234" s="0" t="n">
        <v>1</v>
      </c>
      <c r="Y234" s="0" t="n">
        <v>1</v>
      </c>
      <c r="Z234" s="0" t="n">
        <v>1</v>
      </c>
      <c r="AA234" s="0" t="n">
        <v>1</v>
      </c>
      <c r="AB234" s="0" t="n">
        <v>1</v>
      </c>
      <c r="AC234" s="0" t="n">
        <v>1</v>
      </c>
      <c r="AD234" s="0" t="n">
        <v>1</v>
      </c>
      <c r="AE234" s="0" t="n">
        <v>1</v>
      </c>
      <c r="AF234" s="0" t="n">
        <v>1.1</v>
      </c>
      <c r="AG234" s="0" t="n">
        <v>1.1</v>
      </c>
      <c r="AH234" s="0" t="n">
        <v>1.05</v>
      </c>
      <c r="AI234" s="0" t="n">
        <v>1</v>
      </c>
      <c r="AJ234" s="0" t="n">
        <v>1</v>
      </c>
      <c r="AK234" s="0" t="n">
        <v>1.02</v>
      </c>
      <c r="AL234" s="0" t="n">
        <v>1</v>
      </c>
      <c r="AM234" s="0" t="n">
        <v>1</v>
      </c>
      <c r="AN234" s="0" t="n">
        <v>1</v>
      </c>
      <c r="AO234" s="0" t="n">
        <v>1</v>
      </c>
    </row>
    <row r="235" customFormat="false" ht="12.75" hidden="false" customHeight="false" outlineLevel="0" collapsed="false">
      <c r="B235" s="0" t="n">
        <v>1</v>
      </c>
      <c r="C235" s="0" t="n">
        <v>1</v>
      </c>
      <c r="D235" s="0" t="n">
        <v>1</v>
      </c>
      <c r="E235" s="0" t="n">
        <v>1</v>
      </c>
      <c r="F235" s="0" t="n">
        <v>1</v>
      </c>
      <c r="G235" s="0" t="n">
        <v>1</v>
      </c>
      <c r="H235" s="0" t="n">
        <v>1</v>
      </c>
      <c r="I235" s="0" t="n">
        <v>1</v>
      </c>
      <c r="J235" s="0" t="n">
        <v>1</v>
      </c>
      <c r="K235" s="0" t="n">
        <v>1</v>
      </c>
      <c r="L235" s="0" t="n">
        <v>1</v>
      </c>
      <c r="M235" s="0" t="n">
        <v>1</v>
      </c>
      <c r="N235" s="0" t="n">
        <v>1</v>
      </c>
      <c r="O235" s="0" t="n">
        <v>1</v>
      </c>
      <c r="P235" s="0" t="n">
        <v>1.03</v>
      </c>
      <c r="Q235" s="0" t="n">
        <v>1</v>
      </c>
      <c r="R235" s="0" t="n">
        <v>1</v>
      </c>
      <c r="S235" s="0" t="n">
        <v>1.02</v>
      </c>
      <c r="T235" s="0" t="n">
        <v>1</v>
      </c>
      <c r="U235" s="0" t="n">
        <v>1</v>
      </c>
      <c r="V235" s="0" t="n">
        <v>1</v>
      </c>
      <c r="W235" s="0" t="n">
        <v>1</v>
      </c>
      <c r="X235" s="0" t="n">
        <v>1</v>
      </c>
      <c r="Y235" s="0" t="n">
        <v>1</v>
      </c>
      <c r="Z235" s="0" t="n">
        <v>1</v>
      </c>
      <c r="AA235" s="0" t="n">
        <v>1</v>
      </c>
      <c r="AB235" s="0" t="n">
        <v>1</v>
      </c>
      <c r="AC235" s="0" t="n">
        <v>1</v>
      </c>
      <c r="AD235" s="0" t="n">
        <v>1</v>
      </c>
      <c r="AE235" s="0" t="n">
        <v>1</v>
      </c>
      <c r="AF235" s="0" t="n">
        <v>1.1</v>
      </c>
      <c r="AG235" s="0" t="n">
        <v>1.1</v>
      </c>
      <c r="AH235" s="0" t="n">
        <v>1.05</v>
      </c>
      <c r="AI235" s="0" t="n">
        <v>1</v>
      </c>
      <c r="AJ235" s="0" t="n">
        <v>1</v>
      </c>
      <c r="AK235" s="0" t="n">
        <v>1.02</v>
      </c>
      <c r="AL235" s="0" t="n">
        <v>1</v>
      </c>
      <c r="AM235" s="0" t="n">
        <v>1</v>
      </c>
      <c r="AN235" s="0" t="n">
        <v>1</v>
      </c>
      <c r="AO235" s="0" t="n">
        <v>1</v>
      </c>
    </row>
    <row r="236" customFormat="false" ht="12.75" hidden="false" customHeight="false" outlineLevel="0" collapsed="false">
      <c r="B236" s="0" t="n">
        <v>1</v>
      </c>
      <c r="C236" s="0" t="n">
        <v>1</v>
      </c>
      <c r="D236" s="0" t="n">
        <v>1</v>
      </c>
      <c r="E236" s="0" t="n">
        <v>1</v>
      </c>
      <c r="F236" s="0" t="n">
        <v>1</v>
      </c>
      <c r="G236" s="0" t="n">
        <v>1</v>
      </c>
      <c r="H236" s="0" t="n">
        <v>1</v>
      </c>
      <c r="I236" s="0" t="n">
        <v>1</v>
      </c>
      <c r="J236" s="0" t="n">
        <v>1</v>
      </c>
      <c r="K236" s="0" t="n">
        <v>1</v>
      </c>
      <c r="L236" s="0" t="n">
        <v>1</v>
      </c>
      <c r="M236" s="0" t="n">
        <v>1</v>
      </c>
      <c r="N236" s="0" t="n">
        <v>1</v>
      </c>
      <c r="O236" s="0" t="n">
        <v>1</v>
      </c>
      <c r="P236" s="0" t="n">
        <v>1.03</v>
      </c>
      <c r="Q236" s="0" t="n">
        <v>1</v>
      </c>
      <c r="R236" s="0" t="n">
        <v>1</v>
      </c>
      <c r="S236" s="0" t="n">
        <v>1.02</v>
      </c>
      <c r="T236" s="0" t="n">
        <v>1</v>
      </c>
      <c r="U236" s="0" t="n">
        <v>1</v>
      </c>
      <c r="V236" s="0" t="n">
        <v>1</v>
      </c>
      <c r="W236" s="0" t="n">
        <v>1</v>
      </c>
      <c r="X236" s="0" t="n">
        <v>1</v>
      </c>
      <c r="Y236" s="0" t="n">
        <v>1</v>
      </c>
      <c r="Z236" s="0" t="n">
        <v>1</v>
      </c>
      <c r="AA236" s="0" t="n">
        <v>1</v>
      </c>
      <c r="AB236" s="0" t="n">
        <v>1</v>
      </c>
      <c r="AC236" s="0" t="n">
        <v>1</v>
      </c>
      <c r="AD236" s="0" t="n">
        <v>1</v>
      </c>
      <c r="AE236" s="0" t="n">
        <v>1</v>
      </c>
      <c r="AF236" s="0" t="n">
        <v>1.1</v>
      </c>
      <c r="AG236" s="0" t="n">
        <v>1.1</v>
      </c>
      <c r="AH236" s="0" t="n">
        <v>1.05</v>
      </c>
      <c r="AI236" s="0" t="n">
        <v>1</v>
      </c>
      <c r="AJ236" s="0" t="n">
        <v>1</v>
      </c>
      <c r="AK236" s="0" t="n">
        <v>1.02</v>
      </c>
      <c r="AL236" s="0" t="n">
        <v>1</v>
      </c>
      <c r="AM236" s="0" t="n">
        <v>1</v>
      </c>
      <c r="AN236" s="0" t="n">
        <v>1</v>
      </c>
      <c r="AO236" s="0" t="n">
        <v>1</v>
      </c>
    </row>
    <row r="237" customFormat="false" ht="12.75" hidden="false" customHeight="false" outlineLevel="0" collapsed="false">
      <c r="B237" s="0" t="n">
        <v>1</v>
      </c>
      <c r="C237" s="0" t="n">
        <v>1</v>
      </c>
      <c r="D237" s="0" t="n">
        <v>1</v>
      </c>
      <c r="E237" s="0" t="n">
        <v>1</v>
      </c>
      <c r="F237" s="0" t="n">
        <v>1</v>
      </c>
      <c r="G237" s="0" t="n">
        <v>1</v>
      </c>
      <c r="H237" s="0" t="n">
        <v>1</v>
      </c>
      <c r="I237" s="0" t="n">
        <v>1</v>
      </c>
      <c r="J237" s="0" t="n">
        <v>1</v>
      </c>
      <c r="K237" s="0" t="n">
        <v>1</v>
      </c>
      <c r="L237" s="0" t="n">
        <v>1</v>
      </c>
      <c r="M237" s="0" t="n">
        <v>1</v>
      </c>
      <c r="N237" s="0" t="n">
        <v>1</v>
      </c>
      <c r="O237" s="0" t="n">
        <v>1</v>
      </c>
      <c r="P237" s="0" t="n">
        <v>1.03</v>
      </c>
      <c r="Q237" s="0" t="n">
        <v>1</v>
      </c>
      <c r="R237" s="0" t="n">
        <v>1</v>
      </c>
      <c r="S237" s="0" t="n">
        <v>1.02</v>
      </c>
      <c r="T237" s="0" t="n">
        <v>1</v>
      </c>
      <c r="U237" s="0" t="n">
        <v>1</v>
      </c>
      <c r="V237" s="0" t="n">
        <v>1</v>
      </c>
      <c r="W237" s="0" t="n">
        <v>1</v>
      </c>
      <c r="X237" s="0" t="n">
        <v>1</v>
      </c>
      <c r="Y237" s="0" t="n">
        <v>1</v>
      </c>
      <c r="Z237" s="0" t="n">
        <v>1</v>
      </c>
      <c r="AA237" s="0" t="n">
        <v>1</v>
      </c>
      <c r="AB237" s="0" t="n">
        <v>1</v>
      </c>
      <c r="AC237" s="0" t="n">
        <v>1</v>
      </c>
      <c r="AD237" s="0" t="n">
        <v>1</v>
      </c>
      <c r="AE237" s="0" t="n">
        <v>1</v>
      </c>
      <c r="AF237" s="0" t="n">
        <v>1.1</v>
      </c>
      <c r="AG237" s="0" t="n">
        <v>1.1</v>
      </c>
      <c r="AH237" s="0" t="n">
        <v>1.05</v>
      </c>
      <c r="AI237" s="0" t="n">
        <v>1</v>
      </c>
      <c r="AJ237" s="0" t="n">
        <v>1</v>
      </c>
      <c r="AK237" s="0" t="n">
        <v>1.02</v>
      </c>
      <c r="AL237" s="0" t="n">
        <v>1</v>
      </c>
      <c r="AM237" s="0" t="n">
        <v>1</v>
      </c>
      <c r="AN237" s="0" t="n">
        <v>1</v>
      </c>
      <c r="AO237" s="0" t="n">
        <v>1</v>
      </c>
    </row>
    <row r="238" customFormat="false" ht="12.75" hidden="false" customHeight="false" outlineLevel="0" collapsed="false">
      <c r="B238" s="0" t="n">
        <v>1</v>
      </c>
      <c r="C238" s="0" t="n">
        <v>1</v>
      </c>
      <c r="D238" s="0" t="n">
        <v>1</v>
      </c>
      <c r="E238" s="0" t="n">
        <v>1</v>
      </c>
      <c r="F238" s="0" t="n">
        <v>1</v>
      </c>
      <c r="G238" s="0" t="n">
        <v>1</v>
      </c>
      <c r="H238" s="0" t="n">
        <v>1</v>
      </c>
      <c r="I238" s="0" t="n">
        <v>1</v>
      </c>
      <c r="J238" s="0" t="n">
        <v>1</v>
      </c>
      <c r="K238" s="0" t="n">
        <v>1</v>
      </c>
      <c r="L238" s="0" t="n">
        <v>1</v>
      </c>
      <c r="M238" s="0" t="n">
        <v>1</v>
      </c>
      <c r="N238" s="0" t="n">
        <v>1</v>
      </c>
      <c r="O238" s="0" t="n">
        <v>1</v>
      </c>
      <c r="P238" s="0" t="n">
        <v>1.03</v>
      </c>
      <c r="Q238" s="0" t="n">
        <v>1</v>
      </c>
      <c r="R238" s="0" t="n">
        <v>1</v>
      </c>
      <c r="S238" s="0" t="n">
        <v>1.02</v>
      </c>
      <c r="T238" s="0" t="n">
        <v>1</v>
      </c>
      <c r="U238" s="0" t="n">
        <v>1</v>
      </c>
      <c r="V238" s="0" t="n">
        <v>1</v>
      </c>
      <c r="W238" s="0" t="n">
        <v>1</v>
      </c>
      <c r="X238" s="0" t="n">
        <v>1</v>
      </c>
      <c r="Y238" s="0" t="n">
        <v>1.02</v>
      </c>
      <c r="Z238" s="0" t="n">
        <v>1</v>
      </c>
      <c r="AA238" s="0" t="n">
        <v>1</v>
      </c>
      <c r="AB238" s="0" t="n">
        <v>1</v>
      </c>
      <c r="AC238" s="0" t="n">
        <v>1</v>
      </c>
      <c r="AD238" s="0" t="n">
        <v>0.98</v>
      </c>
      <c r="AE238" s="0" t="n">
        <v>0.98</v>
      </c>
      <c r="AF238" s="0" t="n">
        <v>0.98</v>
      </c>
      <c r="AG238" s="0" t="n">
        <v>0.98</v>
      </c>
      <c r="AH238" s="0" t="n">
        <v>1.05</v>
      </c>
      <c r="AI238" s="0" t="n">
        <v>1</v>
      </c>
      <c r="AJ238" s="0" t="n">
        <v>1</v>
      </c>
      <c r="AK238" s="0" t="n">
        <v>1.02</v>
      </c>
      <c r="AL238" s="0" t="n">
        <v>1</v>
      </c>
      <c r="AM238" s="0" t="n">
        <v>1</v>
      </c>
      <c r="AN238" s="0" t="n">
        <v>1</v>
      </c>
      <c r="AO238" s="0" t="n">
        <v>1</v>
      </c>
    </row>
    <row r="239" customFormat="false" ht="12.75" hidden="false" customHeight="false" outlineLevel="0" collapsed="false">
      <c r="B239" s="0" t="n">
        <v>1</v>
      </c>
      <c r="C239" s="0" t="n">
        <v>1</v>
      </c>
      <c r="D239" s="0" t="n">
        <v>1</v>
      </c>
      <c r="E239" s="0" t="n">
        <v>1</v>
      </c>
      <c r="F239" s="0" t="n">
        <v>1</v>
      </c>
      <c r="G239" s="0" t="n">
        <v>1</v>
      </c>
      <c r="H239" s="0" t="n">
        <v>1</v>
      </c>
      <c r="I239" s="0" t="n">
        <v>1</v>
      </c>
      <c r="J239" s="0" t="n">
        <v>1</v>
      </c>
      <c r="K239" s="0" t="n">
        <v>1</v>
      </c>
      <c r="L239" s="0" t="n">
        <v>1</v>
      </c>
      <c r="M239" s="0" t="n">
        <v>1</v>
      </c>
      <c r="N239" s="0" t="n">
        <v>1</v>
      </c>
      <c r="O239" s="0" t="n">
        <v>1</v>
      </c>
      <c r="P239" s="0" t="n">
        <v>1.03</v>
      </c>
      <c r="Q239" s="0" t="n">
        <v>1</v>
      </c>
      <c r="R239" s="0" t="n">
        <v>1</v>
      </c>
      <c r="S239" s="0" t="n">
        <v>1.02</v>
      </c>
      <c r="T239" s="0" t="n">
        <v>1</v>
      </c>
      <c r="U239" s="0" t="n">
        <v>1</v>
      </c>
      <c r="V239" s="0" t="n">
        <v>1</v>
      </c>
      <c r="W239" s="0" t="n">
        <v>1</v>
      </c>
      <c r="X239" s="0" t="n">
        <v>1</v>
      </c>
      <c r="Y239" s="0" t="n">
        <v>1.02</v>
      </c>
      <c r="Z239" s="0" t="n">
        <v>1</v>
      </c>
      <c r="AA239" s="0" t="n">
        <v>1</v>
      </c>
      <c r="AB239" s="0" t="n">
        <v>1</v>
      </c>
      <c r="AC239" s="0" t="n">
        <v>1</v>
      </c>
      <c r="AD239" s="0" t="n">
        <v>0.98</v>
      </c>
      <c r="AE239" s="0" t="n">
        <v>0.98</v>
      </c>
      <c r="AF239" s="0" t="n">
        <v>0.98</v>
      </c>
      <c r="AG239" s="0" t="n">
        <v>0.98</v>
      </c>
      <c r="AH239" s="0" t="n">
        <v>1.05</v>
      </c>
      <c r="AI239" s="0" t="n">
        <v>1</v>
      </c>
      <c r="AJ239" s="0" t="n">
        <v>1</v>
      </c>
      <c r="AK239" s="0" t="n">
        <v>1.02</v>
      </c>
      <c r="AL239" s="0" t="n">
        <v>1</v>
      </c>
      <c r="AM239" s="0" t="n">
        <v>1</v>
      </c>
      <c r="AN239" s="0" t="n">
        <v>1</v>
      </c>
      <c r="AO239" s="0" t="n">
        <v>1</v>
      </c>
    </row>
    <row r="240" customFormat="false" ht="12.75" hidden="false" customHeight="false" outlineLevel="0" collapsed="false">
      <c r="B240" s="0" t="n">
        <v>1</v>
      </c>
      <c r="C240" s="0" t="n">
        <v>1</v>
      </c>
      <c r="D240" s="0" t="n">
        <v>1</v>
      </c>
      <c r="E240" s="0" t="n">
        <v>1</v>
      </c>
      <c r="F240" s="0" t="n">
        <v>1</v>
      </c>
      <c r="G240" s="0" t="n">
        <v>1</v>
      </c>
      <c r="H240" s="0" t="n">
        <v>1</v>
      </c>
      <c r="I240" s="0" t="n">
        <v>1</v>
      </c>
      <c r="J240" s="0" t="n">
        <v>1</v>
      </c>
      <c r="K240" s="0" t="n">
        <v>1</v>
      </c>
      <c r="L240" s="0" t="n">
        <v>1</v>
      </c>
      <c r="M240" s="0" t="n">
        <v>1</v>
      </c>
      <c r="N240" s="0" t="n">
        <v>1</v>
      </c>
      <c r="O240" s="0" t="n">
        <v>1</v>
      </c>
      <c r="P240" s="0" t="n">
        <v>1.03</v>
      </c>
      <c r="Q240" s="0" t="n">
        <v>1</v>
      </c>
      <c r="R240" s="0" t="n">
        <v>1</v>
      </c>
      <c r="S240" s="0" t="n">
        <v>1.02</v>
      </c>
      <c r="T240" s="0" t="n">
        <v>1</v>
      </c>
      <c r="U240" s="0" t="n">
        <v>1</v>
      </c>
      <c r="V240" s="0" t="n">
        <v>1</v>
      </c>
      <c r="W240" s="0" t="n">
        <v>1</v>
      </c>
      <c r="X240" s="0" t="n">
        <v>1</v>
      </c>
      <c r="Y240" s="0" t="n">
        <v>1.02</v>
      </c>
      <c r="Z240" s="0" t="n">
        <v>1</v>
      </c>
      <c r="AA240" s="0" t="n">
        <v>1</v>
      </c>
      <c r="AB240" s="0" t="n">
        <v>1</v>
      </c>
      <c r="AC240" s="0" t="n">
        <v>1</v>
      </c>
      <c r="AD240" s="0" t="n">
        <v>0.98</v>
      </c>
      <c r="AE240" s="0" t="n">
        <v>0.98</v>
      </c>
      <c r="AF240" s="0" t="n">
        <v>0.98</v>
      </c>
      <c r="AG240" s="0" t="n">
        <v>0.98</v>
      </c>
      <c r="AH240" s="0" t="n">
        <v>1.05</v>
      </c>
      <c r="AI240" s="0" t="n">
        <v>1</v>
      </c>
      <c r="AJ240" s="0" t="n">
        <v>1</v>
      </c>
      <c r="AK240" s="0" t="n">
        <v>1.02</v>
      </c>
      <c r="AL240" s="0" t="n">
        <v>1</v>
      </c>
      <c r="AM240" s="0" t="n">
        <v>1</v>
      </c>
      <c r="AN240" s="0" t="n">
        <v>1</v>
      </c>
      <c r="AO240" s="0" t="n">
        <v>1</v>
      </c>
    </row>
    <row r="241" customFormat="false" ht="12.75" hidden="false" customHeight="false" outlineLevel="0" collapsed="false">
      <c r="B241" s="0" t="n">
        <v>1</v>
      </c>
      <c r="C241" s="0" t="n">
        <v>1</v>
      </c>
      <c r="D241" s="0" t="n">
        <v>1</v>
      </c>
      <c r="E241" s="0" t="n">
        <v>1</v>
      </c>
      <c r="F241" s="0" t="n">
        <v>1</v>
      </c>
      <c r="G241" s="0" t="n">
        <v>1</v>
      </c>
      <c r="H241" s="0" t="n">
        <v>1</v>
      </c>
      <c r="I241" s="0" t="n">
        <v>1</v>
      </c>
      <c r="J241" s="0" t="n">
        <v>1</v>
      </c>
      <c r="K241" s="0" t="n">
        <v>1</v>
      </c>
      <c r="L241" s="0" t="n">
        <v>1</v>
      </c>
      <c r="M241" s="0" t="n">
        <v>1</v>
      </c>
      <c r="N241" s="0" t="n">
        <v>1</v>
      </c>
      <c r="O241" s="0" t="n">
        <v>1</v>
      </c>
      <c r="P241" s="0" t="n">
        <v>1.03</v>
      </c>
      <c r="Q241" s="0" t="n">
        <v>1</v>
      </c>
      <c r="R241" s="0" t="n">
        <v>1</v>
      </c>
      <c r="S241" s="0" t="n">
        <v>1.02</v>
      </c>
      <c r="T241" s="0" t="n">
        <v>1</v>
      </c>
      <c r="U241" s="0" t="n">
        <v>1</v>
      </c>
      <c r="V241" s="0" t="n">
        <v>1</v>
      </c>
      <c r="W241" s="0" t="n">
        <v>1</v>
      </c>
      <c r="X241" s="0" t="n">
        <v>1</v>
      </c>
      <c r="Y241" s="0" t="n">
        <v>1.02</v>
      </c>
      <c r="Z241" s="0" t="n">
        <v>1</v>
      </c>
      <c r="AA241" s="0" t="n">
        <v>1</v>
      </c>
      <c r="AB241" s="0" t="n">
        <v>1</v>
      </c>
      <c r="AC241" s="0" t="n">
        <v>1</v>
      </c>
      <c r="AD241" s="0" t="n">
        <v>0.98</v>
      </c>
      <c r="AE241" s="0" t="n">
        <v>0.98</v>
      </c>
      <c r="AF241" s="0" t="n">
        <v>0.98</v>
      </c>
      <c r="AG241" s="0" t="n">
        <v>0.98</v>
      </c>
      <c r="AH241" s="0" t="n">
        <v>1.05</v>
      </c>
      <c r="AI241" s="0" t="n">
        <v>1</v>
      </c>
      <c r="AJ241" s="0" t="n">
        <v>1</v>
      </c>
      <c r="AK241" s="0" t="n">
        <v>1.02</v>
      </c>
      <c r="AL241" s="0" t="n">
        <v>1</v>
      </c>
      <c r="AM241" s="0" t="n">
        <v>1</v>
      </c>
      <c r="AN241" s="0" t="n">
        <v>1</v>
      </c>
      <c r="AO241" s="0" t="n">
        <v>1</v>
      </c>
    </row>
    <row r="242" customFormat="false" ht="12.75" hidden="false" customHeight="false" outlineLevel="0" collapsed="false">
      <c r="B242" s="0" t="n">
        <v>1</v>
      </c>
      <c r="C242" s="0" t="n">
        <v>1</v>
      </c>
      <c r="D242" s="0" t="n">
        <v>1</v>
      </c>
      <c r="E242" s="0" t="n">
        <v>1</v>
      </c>
      <c r="F242" s="0" t="n">
        <v>1</v>
      </c>
      <c r="G242" s="0" t="n">
        <v>1</v>
      </c>
      <c r="H242" s="0" t="n">
        <v>1</v>
      </c>
      <c r="I242" s="0" t="n">
        <v>1</v>
      </c>
      <c r="J242" s="0" t="n">
        <v>1</v>
      </c>
      <c r="K242" s="0" t="n">
        <v>1</v>
      </c>
      <c r="L242" s="0" t="n">
        <v>1</v>
      </c>
      <c r="M242" s="0" t="n">
        <v>1</v>
      </c>
      <c r="N242" s="0" t="n">
        <v>1</v>
      </c>
      <c r="O242" s="0" t="n">
        <v>1</v>
      </c>
      <c r="P242" s="0" t="n">
        <v>1.03</v>
      </c>
      <c r="Q242" s="0" t="n">
        <v>1</v>
      </c>
      <c r="R242" s="0" t="n">
        <v>1</v>
      </c>
      <c r="S242" s="0" t="n">
        <v>1.02</v>
      </c>
      <c r="T242" s="0" t="n">
        <v>1</v>
      </c>
      <c r="U242" s="0" t="n">
        <v>1</v>
      </c>
      <c r="V242" s="0" t="n">
        <v>1</v>
      </c>
      <c r="W242" s="0" t="n">
        <v>1</v>
      </c>
      <c r="X242" s="0" t="n">
        <v>1</v>
      </c>
      <c r="Y242" s="0" t="n">
        <v>1.02</v>
      </c>
      <c r="Z242" s="0" t="n">
        <v>1</v>
      </c>
      <c r="AA242" s="0" t="n">
        <v>1</v>
      </c>
      <c r="AB242" s="0" t="n">
        <v>1</v>
      </c>
      <c r="AC242" s="0" t="n">
        <v>1</v>
      </c>
      <c r="AD242" s="0" t="n">
        <v>0.98</v>
      </c>
      <c r="AE242" s="0" t="n">
        <v>0.98</v>
      </c>
      <c r="AF242" s="0" t="n">
        <v>0.98</v>
      </c>
      <c r="AG242" s="0" t="n">
        <v>0.98</v>
      </c>
      <c r="AH242" s="0" t="n">
        <v>1.05</v>
      </c>
      <c r="AI242" s="0" t="n">
        <v>1</v>
      </c>
      <c r="AJ242" s="0" t="n">
        <v>1</v>
      </c>
      <c r="AK242" s="0" t="n">
        <v>1.02</v>
      </c>
      <c r="AL242" s="0" t="n">
        <v>1</v>
      </c>
      <c r="AM242" s="0" t="n">
        <v>1</v>
      </c>
      <c r="AN242" s="0" t="n">
        <v>1</v>
      </c>
      <c r="AO242" s="0" t="n">
        <v>1</v>
      </c>
    </row>
    <row r="243" customFormat="false" ht="12.75" hidden="false" customHeight="false" outlineLevel="0" collapsed="false">
      <c r="B243" s="0" t="n">
        <v>1</v>
      </c>
      <c r="C243" s="0" t="n">
        <v>1</v>
      </c>
      <c r="D243" s="0" t="n">
        <v>1</v>
      </c>
      <c r="E243" s="0" t="n">
        <v>1</v>
      </c>
      <c r="F243" s="0" t="n">
        <v>1</v>
      </c>
      <c r="G243" s="0" t="n">
        <v>1</v>
      </c>
      <c r="H243" s="0" t="n">
        <v>1</v>
      </c>
      <c r="I243" s="0" t="n">
        <v>1</v>
      </c>
      <c r="J243" s="0" t="n">
        <v>1</v>
      </c>
      <c r="K243" s="0" t="n">
        <v>1</v>
      </c>
      <c r="L243" s="0" t="n">
        <v>1</v>
      </c>
      <c r="M243" s="0" t="n">
        <v>1</v>
      </c>
      <c r="N243" s="0" t="n">
        <v>1</v>
      </c>
      <c r="O243" s="0" t="n">
        <v>1</v>
      </c>
      <c r="P243" s="0" t="n">
        <v>1.03</v>
      </c>
      <c r="Q243" s="0" t="n">
        <v>1</v>
      </c>
      <c r="R243" s="0" t="n">
        <v>1</v>
      </c>
      <c r="S243" s="0" t="n">
        <v>1.02</v>
      </c>
      <c r="T243" s="0" t="n">
        <v>1</v>
      </c>
      <c r="U243" s="0" t="n">
        <v>1</v>
      </c>
      <c r="V243" s="0" t="n">
        <v>1</v>
      </c>
      <c r="W243" s="0" t="n">
        <v>1</v>
      </c>
      <c r="X243" s="0" t="n">
        <v>1</v>
      </c>
      <c r="Y243" s="0" t="n">
        <v>1.02</v>
      </c>
      <c r="Z243" s="0" t="n">
        <v>1</v>
      </c>
      <c r="AA243" s="0" t="n">
        <v>1</v>
      </c>
      <c r="AB243" s="0" t="n">
        <v>1</v>
      </c>
      <c r="AC243" s="0" t="n">
        <v>1</v>
      </c>
      <c r="AD243" s="0" t="n">
        <v>0.98</v>
      </c>
      <c r="AE243" s="0" t="n">
        <v>0.98</v>
      </c>
      <c r="AF243" s="0" t="n">
        <v>0.98</v>
      </c>
      <c r="AG243" s="0" t="n">
        <v>0.98</v>
      </c>
      <c r="AH243" s="0" t="n">
        <v>1.05</v>
      </c>
      <c r="AI243" s="0" t="n">
        <v>1</v>
      </c>
      <c r="AJ243" s="0" t="n">
        <v>1</v>
      </c>
      <c r="AK243" s="0" t="n">
        <v>1.02</v>
      </c>
      <c r="AL243" s="0" t="n">
        <v>1</v>
      </c>
      <c r="AM243" s="0" t="n">
        <v>1</v>
      </c>
      <c r="AN243" s="0" t="n">
        <v>1</v>
      </c>
      <c r="AO243" s="0" t="n">
        <v>1</v>
      </c>
    </row>
    <row r="244" customFormat="false" ht="12.75" hidden="false" customHeight="false" outlineLevel="0" collapsed="false">
      <c r="B244" s="0" t="n">
        <v>1</v>
      </c>
      <c r="C244" s="0" t="n">
        <v>1</v>
      </c>
      <c r="D244" s="0" t="n">
        <v>1</v>
      </c>
      <c r="E244" s="0" t="n">
        <v>1</v>
      </c>
      <c r="F244" s="0" t="n">
        <v>1</v>
      </c>
      <c r="G244" s="0" t="n">
        <v>1</v>
      </c>
      <c r="H244" s="0" t="n">
        <v>1</v>
      </c>
      <c r="I244" s="0" t="n">
        <v>1</v>
      </c>
      <c r="J244" s="0" t="n">
        <v>1</v>
      </c>
      <c r="K244" s="0" t="n">
        <v>1</v>
      </c>
      <c r="L244" s="0" t="n">
        <v>1</v>
      </c>
      <c r="M244" s="0" t="n">
        <v>1</v>
      </c>
      <c r="N244" s="0" t="n">
        <v>1</v>
      </c>
      <c r="O244" s="0" t="n">
        <v>1</v>
      </c>
      <c r="P244" s="0" t="n">
        <v>1.03</v>
      </c>
      <c r="Q244" s="0" t="n">
        <v>1</v>
      </c>
      <c r="R244" s="0" t="n">
        <v>1</v>
      </c>
      <c r="S244" s="0" t="n">
        <v>1.02</v>
      </c>
      <c r="T244" s="0" t="n">
        <v>1</v>
      </c>
      <c r="U244" s="0" t="n">
        <v>1</v>
      </c>
      <c r="V244" s="0" t="n">
        <v>1</v>
      </c>
      <c r="W244" s="0" t="n">
        <v>1</v>
      </c>
      <c r="X244" s="0" t="n">
        <v>1</v>
      </c>
      <c r="Y244" s="0" t="n">
        <v>1.02</v>
      </c>
      <c r="Z244" s="0" t="n">
        <v>1</v>
      </c>
      <c r="AA244" s="0" t="n">
        <v>1</v>
      </c>
      <c r="AB244" s="0" t="n">
        <v>1</v>
      </c>
      <c r="AC244" s="0" t="n">
        <v>1</v>
      </c>
      <c r="AD244" s="0" t="n">
        <v>0.98</v>
      </c>
      <c r="AE244" s="0" t="n">
        <v>0.98</v>
      </c>
      <c r="AF244" s="0" t="n">
        <v>0.98</v>
      </c>
      <c r="AG244" s="0" t="n">
        <v>0.98</v>
      </c>
      <c r="AH244" s="0" t="n">
        <v>1.05</v>
      </c>
      <c r="AI244" s="0" t="n">
        <v>1</v>
      </c>
      <c r="AJ244" s="0" t="n">
        <v>1</v>
      </c>
      <c r="AK244" s="0" t="n">
        <v>1.02</v>
      </c>
      <c r="AL244" s="0" t="n">
        <v>1</v>
      </c>
      <c r="AM244" s="0" t="n">
        <v>1</v>
      </c>
      <c r="AN244" s="0" t="n">
        <v>1</v>
      </c>
      <c r="AO244" s="0" t="n">
        <v>1</v>
      </c>
    </row>
    <row r="245" customFormat="false" ht="12.75" hidden="false" customHeight="false" outlineLevel="0" collapsed="false">
      <c r="B245" s="0" t="n">
        <v>1</v>
      </c>
      <c r="C245" s="0" t="n">
        <v>1</v>
      </c>
      <c r="D245" s="0" t="n">
        <v>1</v>
      </c>
      <c r="E245" s="0" t="n">
        <v>1</v>
      </c>
      <c r="F245" s="0" t="n">
        <v>1</v>
      </c>
      <c r="G245" s="0" t="n">
        <v>1</v>
      </c>
      <c r="H245" s="0" t="n">
        <v>1</v>
      </c>
      <c r="I245" s="0" t="n">
        <v>1</v>
      </c>
      <c r="J245" s="0" t="n">
        <v>1</v>
      </c>
      <c r="K245" s="0" t="n">
        <v>1</v>
      </c>
      <c r="L245" s="0" t="n">
        <v>1</v>
      </c>
      <c r="M245" s="0" t="n">
        <v>1</v>
      </c>
      <c r="N245" s="0" t="n">
        <v>1</v>
      </c>
      <c r="O245" s="0" t="n">
        <v>1</v>
      </c>
      <c r="P245" s="0" t="n">
        <v>1.03</v>
      </c>
      <c r="Q245" s="0" t="n">
        <v>1</v>
      </c>
      <c r="R245" s="0" t="n">
        <v>1</v>
      </c>
      <c r="S245" s="0" t="n">
        <v>1.02</v>
      </c>
      <c r="T245" s="0" t="n">
        <v>1</v>
      </c>
      <c r="U245" s="0" t="n">
        <v>1</v>
      </c>
      <c r="V245" s="0" t="n">
        <v>1</v>
      </c>
      <c r="W245" s="0" t="n">
        <v>1</v>
      </c>
      <c r="X245" s="0" t="n">
        <v>1</v>
      </c>
      <c r="Y245" s="0" t="n">
        <v>1</v>
      </c>
      <c r="Z245" s="0" t="n">
        <v>1</v>
      </c>
      <c r="AA245" s="0" t="n">
        <v>1</v>
      </c>
      <c r="AB245" s="0" t="n">
        <v>1</v>
      </c>
      <c r="AC245" s="0" t="n">
        <v>1</v>
      </c>
      <c r="AD245" s="0" t="n">
        <v>1</v>
      </c>
      <c r="AE245" s="0" t="n">
        <v>1</v>
      </c>
      <c r="AF245" s="0" t="n">
        <v>1.1</v>
      </c>
      <c r="AG245" s="0" t="n">
        <v>1.1</v>
      </c>
      <c r="AH245" s="0" t="n">
        <v>1.05</v>
      </c>
      <c r="AI245" s="0" t="n">
        <v>1</v>
      </c>
      <c r="AJ245" s="0" t="n">
        <v>1</v>
      </c>
      <c r="AK245" s="0" t="n">
        <v>1.02</v>
      </c>
      <c r="AL245" s="0" t="n">
        <v>1</v>
      </c>
      <c r="AM245" s="0" t="n">
        <v>1</v>
      </c>
      <c r="AN245" s="0" t="n">
        <v>1</v>
      </c>
      <c r="AO245" s="0" t="n">
        <v>1</v>
      </c>
    </row>
    <row r="246" customFormat="false" ht="12.75" hidden="false" customHeight="false" outlineLevel="0" collapsed="false">
      <c r="B246" s="0" t="n">
        <v>1</v>
      </c>
      <c r="C246" s="0" t="n">
        <v>1</v>
      </c>
      <c r="D246" s="0" t="n">
        <v>1</v>
      </c>
      <c r="E246" s="0" t="n">
        <v>1</v>
      </c>
      <c r="F246" s="0" t="n">
        <v>1</v>
      </c>
      <c r="G246" s="0" t="n">
        <v>1</v>
      </c>
      <c r="H246" s="0" t="n">
        <v>1</v>
      </c>
      <c r="I246" s="0" t="n">
        <v>1</v>
      </c>
      <c r="J246" s="0" t="n">
        <v>1</v>
      </c>
      <c r="K246" s="0" t="n">
        <v>1</v>
      </c>
      <c r="L246" s="0" t="n">
        <v>1</v>
      </c>
      <c r="M246" s="0" t="n">
        <v>1</v>
      </c>
      <c r="N246" s="0" t="n">
        <v>1</v>
      </c>
      <c r="O246" s="0" t="n">
        <v>1</v>
      </c>
      <c r="P246" s="0" t="n">
        <v>1.03</v>
      </c>
      <c r="Q246" s="0" t="n">
        <v>1</v>
      </c>
      <c r="R246" s="0" t="n">
        <v>1</v>
      </c>
      <c r="S246" s="0" t="n">
        <v>1.02</v>
      </c>
      <c r="T246" s="0" t="n">
        <v>1</v>
      </c>
      <c r="U246" s="0" t="n">
        <v>1</v>
      </c>
      <c r="V246" s="0" t="n">
        <v>1</v>
      </c>
      <c r="W246" s="0" t="n">
        <v>1</v>
      </c>
      <c r="X246" s="0" t="n">
        <v>1</v>
      </c>
      <c r="Y246" s="0" t="n">
        <v>1</v>
      </c>
      <c r="Z246" s="0" t="n">
        <v>1</v>
      </c>
      <c r="AA246" s="0" t="n">
        <v>1</v>
      </c>
      <c r="AB246" s="0" t="n">
        <v>1</v>
      </c>
      <c r="AC246" s="0" t="n">
        <v>1</v>
      </c>
      <c r="AD246" s="0" t="n">
        <v>1</v>
      </c>
      <c r="AE246" s="0" t="n">
        <v>1</v>
      </c>
      <c r="AF246" s="0" t="n">
        <v>1.1</v>
      </c>
      <c r="AG246" s="0" t="n">
        <v>1.1</v>
      </c>
      <c r="AH246" s="0" t="n">
        <v>1.05</v>
      </c>
      <c r="AI246" s="0" t="n">
        <v>1</v>
      </c>
      <c r="AJ246" s="0" t="n">
        <v>1</v>
      </c>
      <c r="AK246" s="0" t="n">
        <v>1.02</v>
      </c>
      <c r="AL246" s="0" t="n">
        <v>1</v>
      </c>
      <c r="AM246" s="0" t="n">
        <v>1</v>
      </c>
      <c r="AN246" s="0" t="n">
        <v>1</v>
      </c>
      <c r="AO246" s="0" t="n">
        <v>1</v>
      </c>
    </row>
    <row r="247" customFormat="false" ht="12.75" hidden="false" customHeight="false" outlineLevel="0" collapsed="false">
      <c r="B247" s="0" t="n">
        <v>1</v>
      </c>
      <c r="C247" s="0" t="n">
        <v>1</v>
      </c>
      <c r="D247" s="0" t="n">
        <v>1</v>
      </c>
      <c r="E247" s="0" t="n">
        <v>1</v>
      </c>
      <c r="F247" s="0" t="n">
        <v>1</v>
      </c>
      <c r="G247" s="0" t="n">
        <v>1</v>
      </c>
      <c r="H247" s="0" t="n">
        <v>1</v>
      </c>
      <c r="I247" s="0" t="n">
        <v>1</v>
      </c>
      <c r="J247" s="0" t="n">
        <v>1</v>
      </c>
      <c r="K247" s="0" t="n">
        <v>1</v>
      </c>
      <c r="L247" s="0" t="n">
        <v>1</v>
      </c>
      <c r="M247" s="0" t="n">
        <v>1</v>
      </c>
      <c r="N247" s="0" t="n">
        <v>1</v>
      </c>
      <c r="O247" s="0" t="n">
        <v>1</v>
      </c>
      <c r="P247" s="0" t="n">
        <v>1.03</v>
      </c>
      <c r="Q247" s="0" t="n">
        <v>1</v>
      </c>
      <c r="R247" s="0" t="n">
        <v>1</v>
      </c>
      <c r="S247" s="0" t="n">
        <v>1.02</v>
      </c>
      <c r="T247" s="0" t="n">
        <v>1</v>
      </c>
      <c r="U247" s="0" t="n">
        <v>1</v>
      </c>
      <c r="V247" s="0" t="n">
        <v>1</v>
      </c>
      <c r="W247" s="0" t="n">
        <v>1</v>
      </c>
      <c r="X247" s="0" t="n">
        <v>1</v>
      </c>
      <c r="Y247" s="0" t="n">
        <v>1</v>
      </c>
      <c r="Z247" s="0" t="n">
        <v>1</v>
      </c>
      <c r="AA247" s="0" t="n">
        <v>1</v>
      </c>
      <c r="AB247" s="0" t="n">
        <v>1</v>
      </c>
      <c r="AC247" s="0" t="n">
        <v>1</v>
      </c>
      <c r="AD247" s="0" t="n">
        <v>1</v>
      </c>
      <c r="AE247" s="0" t="n">
        <v>1</v>
      </c>
      <c r="AF247" s="0" t="n">
        <v>1.1</v>
      </c>
      <c r="AG247" s="0" t="n">
        <v>1.1</v>
      </c>
      <c r="AH247" s="0" t="n">
        <v>1.05</v>
      </c>
      <c r="AI247" s="0" t="n">
        <v>1</v>
      </c>
      <c r="AJ247" s="0" t="n">
        <v>1</v>
      </c>
      <c r="AK247" s="0" t="n">
        <v>1.02</v>
      </c>
      <c r="AL247" s="0" t="n">
        <v>1</v>
      </c>
      <c r="AM247" s="0" t="n">
        <v>1</v>
      </c>
      <c r="AN247" s="0" t="n">
        <v>1</v>
      </c>
      <c r="AO247" s="0" t="n">
        <v>1</v>
      </c>
    </row>
    <row r="248" customFormat="false" ht="12.75" hidden="false" customHeight="false" outlineLevel="0" collapsed="false">
      <c r="B248" s="0" t="n">
        <v>1</v>
      </c>
      <c r="C248" s="0" t="n">
        <v>1</v>
      </c>
      <c r="D248" s="0" t="n">
        <v>1</v>
      </c>
      <c r="E248" s="0" t="n">
        <v>1</v>
      </c>
      <c r="F248" s="0" t="n">
        <v>1</v>
      </c>
      <c r="G248" s="0" t="n">
        <v>1</v>
      </c>
      <c r="H248" s="0" t="n">
        <v>1</v>
      </c>
      <c r="I248" s="0" t="n">
        <v>1</v>
      </c>
      <c r="J248" s="0" t="n">
        <v>1</v>
      </c>
      <c r="K248" s="0" t="n">
        <v>1</v>
      </c>
      <c r="L248" s="0" t="n">
        <v>1</v>
      </c>
      <c r="M248" s="0" t="n">
        <v>1</v>
      </c>
      <c r="N248" s="0" t="n">
        <v>1</v>
      </c>
      <c r="O248" s="0" t="n">
        <v>1</v>
      </c>
      <c r="P248" s="0" t="n">
        <v>1.03</v>
      </c>
      <c r="Q248" s="0" t="n">
        <v>1</v>
      </c>
      <c r="R248" s="0" t="n">
        <v>1</v>
      </c>
      <c r="S248" s="0" t="n">
        <v>1.02</v>
      </c>
      <c r="T248" s="0" t="n">
        <v>1</v>
      </c>
      <c r="U248" s="0" t="n">
        <v>1</v>
      </c>
      <c r="V248" s="0" t="n">
        <v>1</v>
      </c>
      <c r="W248" s="0" t="n">
        <v>1</v>
      </c>
      <c r="X248" s="0" t="n">
        <v>1</v>
      </c>
      <c r="Y248" s="0" t="n">
        <v>1</v>
      </c>
      <c r="Z248" s="0" t="n">
        <v>1</v>
      </c>
      <c r="AA248" s="0" t="n">
        <v>1</v>
      </c>
      <c r="AB248" s="0" t="n">
        <v>1</v>
      </c>
      <c r="AC248" s="0" t="n">
        <v>1</v>
      </c>
      <c r="AD248" s="0" t="n">
        <v>1</v>
      </c>
      <c r="AE248" s="0" t="n">
        <v>1</v>
      </c>
      <c r="AF248" s="0" t="n">
        <v>1.1</v>
      </c>
      <c r="AG248" s="0" t="n">
        <v>1.1</v>
      </c>
      <c r="AH248" s="0" t="n">
        <v>1.05</v>
      </c>
      <c r="AI248" s="0" t="n">
        <v>1</v>
      </c>
      <c r="AJ248" s="0" t="n">
        <v>1</v>
      </c>
      <c r="AK248" s="0" t="n">
        <v>1.02</v>
      </c>
      <c r="AL248" s="0" t="n">
        <v>1</v>
      </c>
      <c r="AM248" s="0" t="n">
        <v>1</v>
      </c>
      <c r="AN248" s="0" t="n">
        <v>1</v>
      </c>
      <c r="AO248" s="0" t="n">
        <v>1</v>
      </c>
    </row>
    <row r="249" customFormat="false" ht="12.75" hidden="false" customHeight="false" outlineLevel="0" collapsed="false">
      <c r="B249" s="0" t="n">
        <v>1</v>
      </c>
      <c r="C249" s="0" t="n">
        <v>1</v>
      </c>
      <c r="D249" s="0" t="n">
        <v>1</v>
      </c>
      <c r="E249" s="0" t="n">
        <v>1</v>
      </c>
      <c r="F249" s="0" t="n">
        <v>1</v>
      </c>
      <c r="G249" s="0" t="n">
        <v>1</v>
      </c>
      <c r="H249" s="0" t="n">
        <v>1</v>
      </c>
      <c r="I249" s="0" t="n">
        <v>1</v>
      </c>
      <c r="J249" s="0" t="n">
        <v>1</v>
      </c>
      <c r="K249" s="0" t="n">
        <v>1</v>
      </c>
      <c r="L249" s="0" t="n">
        <v>1</v>
      </c>
      <c r="M249" s="0" t="n">
        <v>1</v>
      </c>
      <c r="N249" s="0" t="n">
        <v>1</v>
      </c>
      <c r="O249" s="0" t="n">
        <v>1</v>
      </c>
      <c r="P249" s="0" t="n">
        <v>1.03</v>
      </c>
      <c r="Q249" s="0" t="n">
        <v>1</v>
      </c>
      <c r="R249" s="0" t="n">
        <v>1</v>
      </c>
      <c r="S249" s="0" t="n">
        <v>1.02</v>
      </c>
      <c r="T249" s="0" t="n">
        <v>1</v>
      </c>
      <c r="U249" s="0" t="n">
        <v>1</v>
      </c>
      <c r="V249" s="0" t="n">
        <v>1</v>
      </c>
      <c r="W249" s="0" t="n">
        <v>1</v>
      </c>
      <c r="X249" s="0" t="n">
        <v>1</v>
      </c>
      <c r="Y249" s="0" t="n">
        <v>1</v>
      </c>
      <c r="Z249" s="0" t="n">
        <v>1</v>
      </c>
      <c r="AA249" s="0" t="n">
        <v>1</v>
      </c>
      <c r="AB249" s="0" t="n">
        <v>1</v>
      </c>
      <c r="AC249" s="0" t="n">
        <v>1</v>
      </c>
      <c r="AD249" s="0" t="n">
        <v>1</v>
      </c>
      <c r="AE249" s="0" t="n">
        <v>1</v>
      </c>
      <c r="AF249" s="0" t="n">
        <v>1.1</v>
      </c>
      <c r="AG249" s="0" t="n">
        <v>1.1</v>
      </c>
      <c r="AH249" s="0" t="n">
        <v>1.05</v>
      </c>
      <c r="AI249" s="0" t="n">
        <v>1</v>
      </c>
      <c r="AJ249" s="0" t="n">
        <v>1</v>
      </c>
      <c r="AK249" s="0" t="n">
        <v>1.02</v>
      </c>
      <c r="AL249" s="0" t="n">
        <v>1</v>
      </c>
      <c r="AM249" s="0" t="n">
        <v>1</v>
      </c>
      <c r="AN249" s="0" t="n">
        <v>1</v>
      </c>
      <c r="AO249" s="0" t="n">
        <v>1</v>
      </c>
    </row>
    <row r="250" customFormat="false" ht="12.75" hidden="false" customHeight="false" outlineLevel="0" collapsed="false">
      <c r="B250" s="0" t="n">
        <v>1</v>
      </c>
      <c r="C250" s="0" t="n">
        <v>1</v>
      </c>
      <c r="D250" s="0" t="n">
        <v>1</v>
      </c>
      <c r="E250" s="0" t="n">
        <v>1</v>
      </c>
      <c r="F250" s="0" t="n">
        <v>1</v>
      </c>
      <c r="G250" s="0" t="n">
        <v>1</v>
      </c>
      <c r="H250" s="0" t="n">
        <v>1</v>
      </c>
      <c r="I250" s="0" t="n">
        <v>1</v>
      </c>
      <c r="J250" s="0" t="n">
        <v>1</v>
      </c>
      <c r="K250" s="0" t="n">
        <v>1</v>
      </c>
      <c r="L250" s="0" t="n">
        <v>1</v>
      </c>
      <c r="M250" s="0" t="n">
        <v>1</v>
      </c>
      <c r="N250" s="0" t="n">
        <v>1</v>
      </c>
      <c r="O250" s="0" t="n">
        <v>1</v>
      </c>
      <c r="P250" s="0" t="n">
        <v>1.03</v>
      </c>
      <c r="Q250" s="0" t="n">
        <v>1</v>
      </c>
      <c r="R250" s="0" t="n">
        <v>1</v>
      </c>
      <c r="S250" s="0" t="n">
        <v>1.02</v>
      </c>
      <c r="T250" s="0" t="n">
        <v>1</v>
      </c>
      <c r="U250" s="0" t="n">
        <v>1</v>
      </c>
      <c r="V250" s="0" t="n">
        <v>1</v>
      </c>
      <c r="W250" s="0" t="n">
        <v>1</v>
      </c>
      <c r="X250" s="0" t="n">
        <v>1</v>
      </c>
      <c r="Y250" s="0" t="n">
        <v>1.02</v>
      </c>
      <c r="Z250" s="0" t="n">
        <v>1</v>
      </c>
      <c r="AA250" s="0" t="n">
        <v>1</v>
      </c>
      <c r="AB250" s="0" t="n">
        <v>1</v>
      </c>
      <c r="AC250" s="0" t="n">
        <v>1</v>
      </c>
      <c r="AD250" s="0" t="n">
        <v>0.98</v>
      </c>
      <c r="AE250" s="0" t="n">
        <v>0.98</v>
      </c>
      <c r="AF250" s="0" t="n">
        <v>0.98</v>
      </c>
      <c r="AG250" s="0" t="n">
        <v>0.98</v>
      </c>
      <c r="AH250" s="0" t="n">
        <v>1.05</v>
      </c>
      <c r="AI250" s="0" t="n">
        <v>1</v>
      </c>
      <c r="AJ250" s="0" t="n">
        <v>1</v>
      </c>
      <c r="AK250" s="0" t="n">
        <v>1.02</v>
      </c>
      <c r="AL250" s="0" t="n">
        <v>1</v>
      </c>
      <c r="AM250" s="0" t="n">
        <v>1</v>
      </c>
      <c r="AN250" s="0" t="n">
        <v>1</v>
      </c>
      <c r="AO250" s="0" t="n">
        <v>1</v>
      </c>
    </row>
    <row r="251" customFormat="false" ht="12.75" hidden="false" customHeight="false" outlineLevel="0" collapsed="false">
      <c r="B251" s="0" t="n">
        <v>1</v>
      </c>
      <c r="C251" s="0" t="n">
        <v>1</v>
      </c>
      <c r="D251" s="0" t="n">
        <v>1</v>
      </c>
      <c r="E251" s="0" t="n">
        <v>1</v>
      </c>
      <c r="F251" s="0" t="n">
        <v>1</v>
      </c>
      <c r="G251" s="0" t="n">
        <v>1</v>
      </c>
      <c r="H251" s="0" t="n">
        <v>1</v>
      </c>
      <c r="I251" s="0" t="n">
        <v>1</v>
      </c>
      <c r="J251" s="0" t="n">
        <v>1</v>
      </c>
      <c r="K251" s="0" t="n">
        <v>1</v>
      </c>
      <c r="L251" s="0" t="n">
        <v>1</v>
      </c>
      <c r="M251" s="0" t="n">
        <v>1</v>
      </c>
      <c r="N251" s="0" t="n">
        <v>1</v>
      </c>
      <c r="O251" s="0" t="n">
        <v>1</v>
      </c>
      <c r="P251" s="0" t="n">
        <v>1.03</v>
      </c>
      <c r="Q251" s="0" t="n">
        <v>1</v>
      </c>
      <c r="R251" s="0" t="n">
        <v>1</v>
      </c>
      <c r="S251" s="0" t="n">
        <v>1.02</v>
      </c>
      <c r="T251" s="0" t="n">
        <v>1</v>
      </c>
      <c r="U251" s="0" t="n">
        <v>1</v>
      </c>
      <c r="V251" s="0" t="n">
        <v>1</v>
      </c>
      <c r="W251" s="0" t="n">
        <v>1</v>
      </c>
      <c r="X251" s="0" t="n">
        <v>1</v>
      </c>
      <c r="Y251" s="0" t="n">
        <v>1.02</v>
      </c>
      <c r="Z251" s="0" t="n">
        <v>1</v>
      </c>
      <c r="AA251" s="0" t="n">
        <v>1</v>
      </c>
      <c r="AB251" s="0" t="n">
        <v>1</v>
      </c>
      <c r="AC251" s="0" t="n">
        <v>1</v>
      </c>
      <c r="AD251" s="0" t="n">
        <v>0.98</v>
      </c>
      <c r="AE251" s="0" t="n">
        <v>0.98</v>
      </c>
      <c r="AF251" s="0" t="n">
        <v>0.98</v>
      </c>
      <c r="AG251" s="0" t="n">
        <v>0.98</v>
      </c>
      <c r="AH251" s="0" t="n">
        <v>1.05</v>
      </c>
      <c r="AI251" s="0" t="n">
        <v>1</v>
      </c>
      <c r="AJ251" s="0" t="n">
        <v>1</v>
      </c>
      <c r="AK251" s="0" t="n">
        <v>1.02</v>
      </c>
      <c r="AL251" s="0" t="n">
        <v>1</v>
      </c>
      <c r="AM251" s="0" t="n">
        <v>1</v>
      </c>
      <c r="AN251" s="0" t="n">
        <v>1</v>
      </c>
      <c r="AO251" s="0" t="n">
        <v>1</v>
      </c>
    </row>
    <row r="252" customFormat="false" ht="12.75" hidden="false" customHeight="false" outlineLevel="0" collapsed="false">
      <c r="B252" s="0" t="n">
        <v>1</v>
      </c>
      <c r="C252" s="0" t="n">
        <v>1</v>
      </c>
      <c r="D252" s="0" t="n">
        <v>1</v>
      </c>
      <c r="E252" s="0" t="n">
        <v>1</v>
      </c>
      <c r="F252" s="0" t="n">
        <v>1</v>
      </c>
      <c r="G252" s="0" t="n">
        <v>1</v>
      </c>
      <c r="H252" s="0" t="n">
        <v>1</v>
      </c>
      <c r="I252" s="0" t="n">
        <v>1</v>
      </c>
      <c r="J252" s="0" t="n">
        <v>1</v>
      </c>
      <c r="K252" s="0" t="n">
        <v>1</v>
      </c>
      <c r="L252" s="0" t="n">
        <v>1</v>
      </c>
      <c r="M252" s="0" t="n">
        <v>1</v>
      </c>
      <c r="N252" s="0" t="n">
        <v>1</v>
      </c>
      <c r="O252" s="0" t="n">
        <v>1</v>
      </c>
      <c r="P252" s="0" t="n">
        <v>1.03</v>
      </c>
      <c r="Q252" s="0" t="n">
        <v>1</v>
      </c>
      <c r="R252" s="0" t="n">
        <v>1</v>
      </c>
      <c r="S252" s="0" t="n">
        <v>1.02</v>
      </c>
      <c r="T252" s="0" t="n">
        <v>1</v>
      </c>
      <c r="U252" s="0" t="n">
        <v>1</v>
      </c>
      <c r="V252" s="0" t="n">
        <v>1</v>
      </c>
      <c r="W252" s="0" t="n">
        <v>1</v>
      </c>
      <c r="X252" s="0" t="n">
        <v>1</v>
      </c>
      <c r="Y252" s="0" t="n">
        <v>1.02</v>
      </c>
      <c r="Z252" s="0" t="n">
        <v>1</v>
      </c>
      <c r="AA252" s="0" t="n">
        <v>1</v>
      </c>
      <c r="AB252" s="0" t="n">
        <v>1</v>
      </c>
      <c r="AC252" s="0" t="n">
        <v>1</v>
      </c>
      <c r="AD252" s="0" t="n">
        <v>0.98</v>
      </c>
      <c r="AE252" s="0" t="n">
        <v>0.98</v>
      </c>
      <c r="AF252" s="0" t="n">
        <v>0.98</v>
      </c>
      <c r="AG252" s="0" t="n">
        <v>0.98</v>
      </c>
      <c r="AH252" s="0" t="n">
        <v>1.05</v>
      </c>
      <c r="AI252" s="0" t="n">
        <v>1</v>
      </c>
      <c r="AJ252" s="0" t="n">
        <v>1</v>
      </c>
      <c r="AK252" s="0" t="n">
        <v>1.02</v>
      </c>
      <c r="AL252" s="0" t="n">
        <v>1</v>
      </c>
      <c r="AM252" s="0" t="n">
        <v>1</v>
      </c>
      <c r="AN252" s="0" t="n">
        <v>1</v>
      </c>
      <c r="AO252" s="0" t="n">
        <v>1</v>
      </c>
    </row>
    <row r="253" customFormat="false" ht="12.75" hidden="false" customHeight="false" outlineLevel="0" collapsed="false">
      <c r="B253" s="0" t="n">
        <v>1</v>
      </c>
      <c r="C253" s="0" t="n">
        <v>1</v>
      </c>
      <c r="D253" s="0" t="n">
        <v>1</v>
      </c>
      <c r="E253" s="0" t="n">
        <v>1</v>
      </c>
      <c r="F253" s="0" t="n">
        <v>1</v>
      </c>
      <c r="G253" s="0" t="n">
        <v>1</v>
      </c>
      <c r="H253" s="0" t="n">
        <v>1</v>
      </c>
      <c r="I253" s="0" t="n">
        <v>1</v>
      </c>
      <c r="J253" s="0" t="n">
        <v>1</v>
      </c>
      <c r="K253" s="0" t="n">
        <v>1</v>
      </c>
      <c r="L253" s="0" t="n">
        <v>1</v>
      </c>
      <c r="M253" s="0" t="n">
        <v>1</v>
      </c>
      <c r="N253" s="0" t="n">
        <v>1</v>
      </c>
      <c r="O253" s="0" t="n">
        <v>1</v>
      </c>
      <c r="P253" s="0" t="n">
        <v>1.03</v>
      </c>
      <c r="Q253" s="0" t="n">
        <v>1</v>
      </c>
      <c r="R253" s="0" t="n">
        <v>1</v>
      </c>
      <c r="S253" s="0" t="n">
        <v>1.02</v>
      </c>
      <c r="T253" s="0" t="n">
        <v>1</v>
      </c>
      <c r="U253" s="0" t="n">
        <v>1</v>
      </c>
      <c r="V253" s="0" t="n">
        <v>1</v>
      </c>
      <c r="W253" s="0" t="n">
        <v>1</v>
      </c>
      <c r="X253" s="0" t="n">
        <v>1</v>
      </c>
      <c r="Y253" s="0" t="n">
        <v>1.02</v>
      </c>
      <c r="Z253" s="0" t="n">
        <v>1</v>
      </c>
      <c r="AA253" s="0" t="n">
        <v>1</v>
      </c>
      <c r="AB253" s="0" t="n">
        <v>1</v>
      </c>
      <c r="AC253" s="0" t="n">
        <v>1</v>
      </c>
      <c r="AD253" s="0" t="n">
        <v>0.98</v>
      </c>
      <c r="AE253" s="0" t="n">
        <v>0.98</v>
      </c>
      <c r="AF253" s="0" t="n">
        <v>0.98</v>
      </c>
      <c r="AG253" s="0" t="n">
        <v>0.98</v>
      </c>
      <c r="AH253" s="0" t="n">
        <v>1.05</v>
      </c>
      <c r="AI253" s="0" t="n">
        <v>1</v>
      </c>
      <c r="AJ253" s="0" t="n">
        <v>1</v>
      </c>
      <c r="AK253" s="0" t="n">
        <v>1.02</v>
      </c>
      <c r="AL253" s="0" t="n">
        <v>1</v>
      </c>
      <c r="AM253" s="0" t="n">
        <v>1</v>
      </c>
      <c r="AN253" s="0" t="n">
        <v>1</v>
      </c>
      <c r="AO253" s="0" t="n">
        <v>1</v>
      </c>
    </row>
    <row r="254" customFormat="false" ht="12.75" hidden="false" customHeight="false" outlineLevel="0" collapsed="false">
      <c r="B254" s="0" t="n">
        <v>1</v>
      </c>
      <c r="C254" s="0" t="n">
        <v>1</v>
      </c>
      <c r="D254" s="0" t="n">
        <v>1</v>
      </c>
      <c r="E254" s="0" t="n">
        <v>1</v>
      </c>
      <c r="F254" s="0" t="n">
        <v>1</v>
      </c>
      <c r="G254" s="0" t="n">
        <v>1</v>
      </c>
      <c r="H254" s="0" t="n">
        <v>1</v>
      </c>
      <c r="I254" s="0" t="n">
        <v>1</v>
      </c>
      <c r="J254" s="0" t="n">
        <v>1</v>
      </c>
      <c r="K254" s="0" t="n">
        <v>1</v>
      </c>
      <c r="L254" s="0" t="n">
        <v>1</v>
      </c>
      <c r="M254" s="0" t="n">
        <v>1</v>
      </c>
      <c r="N254" s="0" t="n">
        <v>1</v>
      </c>
      <c r="O254" s="0" t="n">
        <v>1</v>
      </c>
      <c r="P254" s="0" t="n">
        <v>1.03</v>
      </c>
      <c r="Q254" s="0" t="n">
        <v>1</v>
      </c>
      <c r="R254" s="0" t="n">
        <v>1</v>
      </c>
      <c r="S254" s="0" t="n">
        <v>1.02</v>
      </c>
      <c r="T254" s="0" t="n">
        <v>1</v>
      </c>
      <c r="U254" s="0" t="n">
        <v>1</v>
      </c>
      <c r="V254" s="0" t="n">
        <v>1</v>
      </c>
      <c r="W254" s="0" t="n">
        <v>1</v>
      </c>
      <c r="X254" s="0" t="n">
        <v>1</v>
      </c>
      <c r="Y254" s="0" t="n">
        <v>1.02</v>
      </c>
      <c r="Z254" s="0" t="n">
        <v>1</v>
      </c>
      <c r="AA254" s="0" t="n">
        <v>1</v>
      </c>
      <c r="AB254" s="0" t="n">
        <v>1</v>
      </c>
      <c r="AC254" s="0" t="n">
        <v>1</v>
      </c>
      <c r="AD254" s="0" t="n">
        <v>0.98</v>
      </c>
      <c r="AE254" s="0" t="n">
        <v>0.98</v>
      </c>
      <c r="AF254" s="0" t="n">
        <v>0.98</v>
      </c>
      <c r="AG254" s="0" t="n">
        <v>0.98</v>
      </c>
      <c r="AH254" s="0" t="n">
        <v>1.05</v>
      </c>
      <c r="AI254" s="0" t="n">
        <v>1</v>
      </c>
      <c r="AJ254" s="0" t="n">
        <v>1</v>
      </c>
      <c r="AK254" s="0" t="n">
        <v>1.02</v>
      </c>
      <c r="AL254" s="0" t="n">
        <v>1</v>
      </c>
      <c r="AM254" s="0" t="n">
        <v>1</v>
      </c>
      <c r="AN254" s="0" t="n">
        <v>1</v>
      </c>
      <c r="AO254" s="0" t="n">
        <v>1</v>
      </c>
    </row>
    <row r="255" customFormat="false" ht="12.75" hidden="false" customHeight="false" outlineLevel="0" collapsed="false">
      <c r="B255" s="0" t="n">
        <v>1</v>
      </c>
      <c r="C255" s="0" t="n">
        <v>1</v>
      </c>
      <c r="D255" s="0" t="n">
        <v>1</v>
      </c>
      <c r="E255" s="0" t="n">
        <v>1</v>
      </c>
      <c r="F255" s="0" t="n">
        <v>1</v>
      </c>
      <c r="G255" s="0" t="n">
        <v>1</v>
      </c>
      <c r="H255" s="0" t="n">
        <v>1</v>
      </c>
      <c r="I255" s="0" t="n">
        <v>1</v>
      </c>
      <c r="J255" s="0" t="n">
        <v>1</v>
      </c>
      <c r="K255" s="0" t="n">
        <v>1</v>
      </c>
      <c r="L255" s="0" t="n">
        <v>1</v>
      </c>
      <c r="M255" s="0" t="n">
        <v>1</v>
      </c>
      <c r="N255" s="0" t="n">
        <v>1</v>
      </c>
      <c r="O255" s="0" t="n">
        <v>1</v>
      </c>
      <c r="P255" s="0" t="n">
        <v>1.03</v>
      </c>
      <c r="Q255" s="0" t="n">
        <v>1</v>
      </c>
      <c r="R255" s="0" t="n">
        <v>1</v>
      </c>
      <c r="S255" s="0" t="n">
        <v>1.02</v>
      </c>
      <c r="T255" s="0" t="n">
        <v>1</v>
      </c>
      <c r="U255" s="0" t="n">
        <v>1</v>
      </c>
      <c r="V255" s="0" t="n">
        <v>1</v>
      </c>
      <c r="W255" s="0" t="n">
        <v>1</v>
      </c>
      <c r="X255" s="0" t="n">
        <v>1</v>
      </c>
      <c r="Y255" s="0" t="n">
        <v>1.02</v>
      </c>
      <c r="Z255" s="0" t="n">
        <v>1</v>
      </c>
      <c r="AA255" s="0" t="n">
        <v>1</v>
      </c>
      <c r="AB255" s="0" t="n">
        <v>1</v>
      </c>
      <c r="AC255" s="0" t="n">
        <v>1</v>
      </c>
      <c r="AD255" s="0" t="n">
        <v>0.98</v>
      </c>
      <c r="AE255" s="0" t="n">
        <v>0.98</v>
      </c>
      <c r="AF255" s="0" t="n">
        <v>0.98</v>
      </c>
      <c r="AG255" s="0" t="n">
        <v>0.98</v>
      </c>
      <c r="AH255" s="0" t="n">
        <v>1.05</v>
      </c>
      <c r="AI255" s="0" t="n">
        <v>1</v>
      </c>
      <c r="AJ255" s="0" t="n">
        <v>1</v>
      </c>
      <c r="AK255" s="0" t="n">
        <v>1.02</v>
      </c>
      <c r="AL255" s="0" t="n">
        <v>1</v>
      </c>
      <c r="AM255" s="0" t="n">
        <v>1</v>
      </c>
      <c r="AN255" s="0" t="n">
        <v>1</v>
      </c>
      <c r="AO255" s="0" t="n">
        <v>1</v>
      </c>
    </row>
    <row r="256" customFormat="false" ht="12.75" hidden="false" customHeight="false" outlineLevel="0" collapsed="false">
      <c r="B256" s="0" t="n">
        <v>1</v>
      </c>
      <c r="C256" s="0" t="n">
        <v>1</v>
      </c>
      <c r="D256" s="0" t="n">
        <v>1</v>
      </c>
      <c r="E256" s="0" t="n">
        <v>1</v>
      </c>
      <c r="F256" s="0" t="n">
        <v>1</v>
      </c>
      <c r="G256" s="0" t="n">
        <v>1</v>
      </c>
      <c r="H256" s="0" t="n">
        <v>1</v>
      </c>
      <c r="I256" s="0" t="n">
        <v>1</v>
      </c>
      <c r="J256" s="0" t="n">
        <v>1</v>
      </c>
      <c r="K256" s="0" t="n">
        <v>1</v>
      </c>
      <c r="L256" s="0" t="n">
        <v>1</v>
      </c>
      <c r="M256" s="0" t="n">
        <v>1</v>
      </c>
      <c r="N256" s="0" t="n">
        <v>1</v>
      </c>
      <c r="O256" s="0" t="n">
        <v>1</v>
      </c>
      <c r="P256" s="0" t="n">
        <v>1.03</v>
      </c>
      <c r="Q256" s="0" t="n">
        <v>1</v>
      </c>
      <c r="R256" s="0" t="n">
        <v>1</v>
      </c>
      <c r="S256" s="0" t="n">
        <v>1.02</v>
      </c>
      <c r="T256" s="0" t="n">
        <v>1</v>
      </c>
      <c r="U256" s="0" t="n">
        <v>1</v>
      </c>
      <c r="V256" s="0" t="n">
        <v>1</v>
      </c>
      <c r="W256" s="0" t="n">
        <v>1</v>
      </c>
      <c r="X256" s="0" t="n">
        <v>1</v>
      </c>
      <c r="Y256" s="0" t="n">
        <v>1.02</v>
      </c>
      <c r="Z256" s="0" t="n">
        <v>1</v>
      </c>
      <c r="AA256" s="0" t="n">
        <v>1</v>
      </c>
      <c r="AB256" s="0" t="n">
        <v>1</v>
      </c>
      <c r="AC256" s="0" t="n">
        <v>1</v>
      </c>
      <c r="AD256" s="0" t="n">
        <v>0.98</v>
      </c>
      <c r="AE256" s="0" t="n">
        <v>0.98</v>
      </c>
      <c r="AF256" s="0" t="n">
        <v>0.98</v>
      </c>
      <c r="AG256" s="0" t="n">
        <v>0.98</v>
      </c>
      <c r="AH256" s="0" t="n">
        <v>1.05</v>
      </c>
      <c r="AI256" s="0" t="n">
        <v>1</v>
      </c>
      <c r="AJ256" s="0" t="n">
        <v>1</v>
      </c>
      <c r="AK256" s="0" t="n">
        <v>1.02</v>
      </c>
      <c r="AL256" s="0" t="n">
        <v>1</v>
      </c>
      <c r="AM256" s="0" t="n">
        <v>1</v>
      </c>
      <c r="AN256" s="0" t="n">
        <v>1</v>
      </c>
      <c r="AO256" s="0" t="n">
        <v>1</v>
      </c>
    </row>
    <row r="257" customFormat="false" ht="12.75" hidden="false" customHeight="false" outlineLevel="0" collapsed="false">
      <c r="B257" s="0" t="n">
        <v>1</v>
      </c>
      <c r="C257" s="0" t="n">
        <v>1</v>
      </c>
      <c r="D257" s="0" t="n">
        <v>1</v>
      </c>
      <c r="E257" s="0" t="n">
        <v>1</v>
      </c>
      <c r="F257" s="0" t="n">
        <v>1</v>
      </c>
      <c r="G257" s="0" t="n">
        <v>1</v>
      </c>
      <c r="H257" s="0" t="n">
        <v>1</v>
      </c>
      <c r="I257" s="0" t="n">
        <v>1</v>
      </c>
      <c r="J257" s="0" t="n">
        <v>1</v>
      </c>
      <c r="K257" s="0" t="n">
        <v>1</v>
      </c>
      <c r="L257" s="0" t="n">
        <v>1</v>
      </c>
      <c r="M257" s="0" t="n">
        <v>1</v>
      </c>
      <c r="N257" s="0" t="n">
        <v>1</v>
      </c>
      <c r="O257" s="0" t="n">
        <v>1</v>
      </c>
      <c r="P257" s="0" t="n">
        <v>1.03</v>
      </c>
      <c r="Q257" s="0" t="n">
        <v>1</v>
      </c>
      <c r="R257" s="0" t="n">
        <v>1</v>
      </c>
      <c r="S257" s="0" t="n">
        <v>1.02</v>
      </c>
      <c r="T257" s="0" t="n">
        <v>1</v>
      </c>
      <c r="U257" s="0" t="n">
        <v>1</v>
      </c>
      <c r="V257" s="0" t="n">
        <v>1</v>
      </c>
      <c r="W257" s="0" t="n">
        <v>1</v>
      </c>
      <c r="X257" s="0" t="n">
        <v>1</v>
      </c>
      <c r="Y257" s="0" t="n">
        <v>1</v>
      </c>
      <c r="Z257" s="0" t="n">
        <v>1</v>
      </c>
      <c r="AA257" s="0" t="n">
        <v>1</v>
      </c>
      <c r="AB257" s="0" t="n">
        <v>1</v>
      </c>
      <c r="AC257" s="0" t="n">
        <v>1</v>
      </c>
      <c r="AD257" s="0" t="n">
        <v>1</v>
      </c>
      <c r="AE257" s="0" t="n">
        <v>1</v>
      </c>
      <c r="AF257" s="0" t="n">
        <v>1.1</v>
      </c>
      <c r="AG257" s="0" t="n">
        <v>1.1</v>
      </c>
      <c r="AH257" s="0" t="n">
        <v>1.05</v>
      </c>
      <c r="AI257" s="0" t="n">
        <v>1</v>
      </c>
      <c r="AJ257" s="0" t="n">
        <v>1</v>
      </c>
      <c r="AK257" s="0" t="n">
        <v>1.02</v>
      </c>
      <c r="AL257" s="0" t="n">
        <v>1</v>
      </c>
      <c r="AM257" s="0" t="n">
        <v>1</v>
      </c>
      <c r="AN257" s="0" t="n">
        <v>1</v>
      </c>
      <c r="AO257" s="0" t="n">
        <v>1</v>
      </c>
    </row>
    <row r="258" customFormat="false" ht="12.75" hidden="false" customHeight="false" outlineLevel="0" collapsed="false">
      <c r="B258" s="0" t="n">
        <v>1</v>
      </c>
      <c r="C258" s="0" t="n">
        <v>1</v>
      </c>
      <c r="D258" s="0" t="n">
        <v>1</v>
      </c>
      <c r="E258" s="0" t="n">
        <v>1</v>
      </c>
      <c r="F258" s="0" t="n">
        <v>1</v>
      </c>
      <c r="G258" s="0" t="n">
        <v>1</v>
      </c>
      <c r="H258" s="0" t="n">
        <v>1</v>
      </c>
      <c r="I258" s="0" t="n">
        <v>1</v>
      </c>
      <c r="J258" s="0" t="n">
        <v>1</v>
      </c>
      <c r="K258" s="0" t="n">
        <v>1</v>
      </c>
      <c r="L258" s="0" t="n">
        <v>1</v>
      </c>
      <c r="M258" s="0" t="n">
        <v>1</v>
      </c>
      <c r="N258" s="0" t="n">
        <v>1</v>
      </c>
      <c r="O258" s="0" t="n">
        <v>1</v>
      </c>
      <c r="P258" s="0" t="n">
        <v>1.03</v>
      </c>
      <c r="Q258" s="0" t="n">
        <v>1</v>
      </c>
      <c r="R258" s="0" t="n">
        <v>1</v>
      </c>
      <c r="S258" s="0" t="n">
        <v>1.02</v>
      </c>
      <c r="T258" s="0" t="n">
        <v>1</v>
      </c>
      <c r="U258" s="0" t="n">
        <v>1</v>
      </c>
      <c r="V258" s="0" t="n">
        <v>1</v>
      </c>
      <c r="W258" s="0" t="n">
        <v>1</v>
      </c>
      <c r="X258" s="0" t="n">
        <v>1</v>
      </c>
      <c r="Y258" s="0" t="n">
        <v>1</v>
      </c>
      <c r="Z258" s="0" t="n">
        <v>1</v>
      </c>
      <c r="AA258" s="0" t="n">
        <v>1</v>
      </c>
      <c r="AB258" s="0" t="n">
        <v>1</v>
      </c>
      <c r="AC258" s="0" t="n">
        <v>1</v>
      </c>
      <c r="AD258" s="0" t="n">
        <v>1</v>
      </c>
      <c r="AE258" s="0" t="n">
        <v>1</v>
      </c>
      <c r="AF258" s="0" t="n">
        <v>1.1</v>
      </c>
      <c r="AG258" s="0" t="n">
        <v>1.1</v>
      </c>
      <c r="AH258" s="0" t="n">
        <v>1.05</v>
      </c>
      <c r="AI258" s="0" t="n">
        <v>1</v>
      </c>
      <c r="AJ258" s="0" t="n">
        <v>1</v>
      </c>
      <c r="AK258" s="0" t="n">
        <v>1.02</v>
      </c>
      <c r="AL258" s="0" t="n">
        <v>1</v>
      </c>
      <c r="AM258" s="0" t="n">
        <v>1</v>
      </c>
      <c r="AN258" s="0" t="n">
        <v>1</v>
      </c>
      <c r="AO258" s="0" t="n">
        <v>1</v>
      </c>
    </row>
    <row r="259" customFormat="false" ht="12.75" hidden="false" customHeight="false" outlineLevel="0" collapsed="false">
      <c r="B259" s="0" t="n">
        <v>1</v>
      </c>
      <c r="C259" s="0" t="n">
        <v>1</v>
      </c>
      <c r="D259" s="0" t="n">
        <v>1</v>
      </c>
      <c r="E259" s="0" t="n">
        <v>1</v>
      </c>
      <c r="F259" s="0" t="n">
        <v>1</v>
      </c>
      <c r="G259" s="0" t="n">
        <v>1</v>
      </c>
      <c r="H259" s="0" t="n">
        <v>1</v>
      </c>
      <c r="I259" s="0" t="n">
        <v>1</v>
      </c>
      <c r="J259" s="0" t="n">
        <v>1</v>
      </c>
      <c r="K259" s="0" t="n">
        <v>1</v>
      </c>
      <c r="L259" s="0" t="n">
        <v>1</v>
      </c>
      <c r="M259" s="0" t="n">
        <v>1</v>
      </c>
      <c r="N259" s="0" t="n">
        <v>1</v>
      </c>
      <c r="O259" s="0" t="n">
        <v>1</v>
      </c>
      <c r="P259" s="0" t="n">
        <v>1.03</v>
      </c>
      <c r="Q259" s="0" t="n">
        <v>1</v>
      </c>
      <c r="R259" s="0" t="n">
        <v>1</v>
      </c>
      <c r="S259" s="0" t="n">
        <v>1.02</v>
      </c>
      <c r="T259" s="0" t="n">
        <v>1</v>
      </c>
      <c r="U259" s="0" t="n">
        <v>1</v>
      </c>
      <c r="V259" s="0" t="n">
        <v>1</v>
      </c>
      <c r="W259" s="0" t="n">
        <v>1</v>
      </c>
      <c r="X259" s="0" t="n">
        <v>1</v>
      </c>
      <c r="Y259" s="0" t="n">
        <v>1</v>
      </c>
      <c r="Z259" s="0" t="n">
        <v>1</v>
      </c>
      <c r="AA259" s="0" t="n">
        <v>1</v>
      </c>
      <c r="AB259" s="0" t="n">
        <v>1</v>
      </c>
      <c r="AC259" s="0" t="n">
        <v>1</v>
      </c>
      <c r="AD259" s="0" t="n">
        <v>1</v>
      </c>
      <c r="AE259" s="0" t="n">
        <v>1</v>
      </c>
      <c r="AF259" s="0" t="n">
        <v>1.1</v>
      </c>
      <c r="AG259" s="0" t="n">
        <v>1.1</v>
      </c>
      <c r="AH259" s="0" t="n">
        <v>1.05</v>
      </c>
      <c r="AI259" s="0" t="n">
        <v>1</v>
      </c>
      <c r="AJ259" s="0" t="n">
        <v>1</v>
      </c>
      <c r="AK259" s="0" t="n">
        <v>1.02</v>
      </c>
      <c r="AL259" s="0" t="n">
        <v>1</v>
      </c>
      <c r="AM259" s="0" t="n">
        <v>1</v>
      </c>
      <c r="AN259" s="0" t="n">
        <v>1</v>
      </c>
      <c r="AO259" s="0" t="n">
        <v>1</v>
      </c>
    </row>
    <row r="260" customFormat="false" ht="12.75" hidden="false" customHeight="false" outlineLevel="0" collapsed="false">
      <c r="B260" s="0" t="n">
        <v>1</v>
      </c>
      <c r="C260" s="0" t="n">
        <v>1</v>
      </c>
      <c r="D260" s="0" t="n">
        <v>1</v>
      </c>
      <c r="E260" s="0" t="n">
        <v>1</v>
      </c>
      <c r="F260" s="0" t="n">
        <v>1</v>
      </c>
      <c r="G260" s="0" t="n">
        <v>1</v>
      </c>
      <c r="H260" s="0" t="n">
        <v>1</v>
      </c>
      <c r="I260" s="0" t="n">
        <v>1</v>
      </c>
      <c r="J260" s="0" t="n">
        <v>1</v>
      </c>
      <c r="K260" s="0" t="n">
        <v>1</v>
      </c>
      <c r="L260" s="0" t="n">
        <v>1</v>
      </c>
      <c r="M260" s="0" t="n">
        <v>1</v>
      </c>
      <c r="N260" s="0" t="n">
        <v>1</v>
      </c>
      <c r="O260" s="0" t="n">
        <v>1</v>
      </c>
      <c r="P260" s="0" t="n">
        <v>1.03</v>
      </c>
      <c r="Q260" s="0" t="n">
        <v>1</v>
      </c>
      <c r="R260" s="0" t="n">
        <v>1</v>
      </c>
      <c r="S260" s="0" t="n">
        <v>1.02</v>
      </c>
      <c r="T260" s="0" t="n">
        <v>1</v>
      </c>
      <c r="U260" s="0" t="n">
        <v>1</v>
      </c>
      <c r="V260" s="0" t="n">
        <v>1</v>
      </c>
      <c r="W260" s="0" t="n">
        <v>1</v>
      </c>
      <c r="X260" s="0" t="n">
        <v>1</v>
      </c>
      <c r="Y260" s="0" t="n">
        <v>1</v>
      </c>
      <c r="Z260" s="0" t="n">
        <v>1</v>
      </c>
      <c r="AA260" s="0" t="n">
        <v>1</v>
      </c>
      <c r="AB260" s="0" t="n">
        <v>1</v>
      </c>
      <c r="AC260" s="0" t="n">
        <v>1</v>
      </c>
      <c r="AD260" s="0" t="n">
        <v>1</v>
      </c>
      <c r="AE260" s="0" t="n">
        <v>1</v>
      </c>
      <c r="AF260" s="0" t="n">
        <v>1.1</v>
      </c>
      <c r="AG260" s="0" t="n">
        <v>1.1</v>
      </c>
      <c r="AH260" s="0" t="n">
        <v>1.05</v>
      </c>
      <c r="AI260" s="0" t="n">
        <v>1</v>
      </c>
      <c r="AJ260" s="0" t="n">
        <v>1</v>
      </c>
      <c r="AK260" s="0" t="n">
        <v>1.02</v>
      </c>
      <c r="AL260" s="0" t="n">
        <v>1</v>
      </c>
      <c r="AM260" s="0" t="n">
        <v>1</v>
      </c>
      <c r="AN260" s="0" t="n">
        <v>1</v>
      </c>
      <c r="AO260" s="0" t="n">
        <v>1</v>
      </c>
    </row>
    <row r="261" customFormat="false" ht="12.75" hidden="false" customHeight="false" outlineLevel="0" collapsed="false">
      <c r="B261" s="0" t="n">
        <v>1</v>
      </c>
      <c r="C261" s="0" t="n">
        <v>1</v>
      </c>
      <c r="D261" s="0" t="n">
        <v>1</v>
      </c>
      <c r="E261" s="0" t="n">
        <v>1</v>
      </c>
      <c r="F261" s="0" t="n">
        <v>1</v>
      </c>
      <c r="G261" s="0" t="n">
        <v>1</v>
      </c>
      <c r="H261" s="0" t="n">
        <v>1</v>
      </c>
      <c r="I261" s="0" t="n">
        <v>1</v>
      </c>
      <c r="J261" s="0" t="n">
        <v>1</v>
      </c>
      <c r="K261" s="0" t="n">
        <v>1</v>
      </c>
      <c r="L261" s="0" t="n">
        <v>1</v>
      </c>
      <c r="M261" s="0" t="n">
        <v>1</v>
      </c>
      <c r="N261" s="0" t="n">
        <v>1</v>
      </c>
      <c r="O261" s="0" t="n">
        <v>1</v>
      </c>
      <c r="P261" s="0" t="n">
        <v>1.03</v>
      </c>
      <c r="Q261" s="0" t="n">
        <v>1</v>
      </c>
      <c r="R261" s="0" t="n">
        <v>1</v>
      </c>
      <c r="S261" s="0" t="n">
        <v>1.02</v>
      </c>
      <c r="T261" s="0" t="n">
        <v>1</v>
      </c>
      <c r="U261" s="0" t="n">
        <v>1</v>
      </c>
      <c r="V261" s="0" t="n">
        <v>1</v>
      </c>
      <c r="W261" s="0" t="n">
        <v>1</v>
      </c>
      <c r="X261" s="0" t="n">
        <v>1</v>
      </c>
      <c r="Y261" s="0" t="n">
        <v>1</v>
      </c>
      <c r="Z261" s="0" t="n">
        <v>1</v>
      </c>
      <c r="AA261" s="0" t="n">
        <v>1</v>
      </c>
      <c r="AB261" s="0" t="n">
        <v>1</v>
      </c>
      <c r="AC261" s="0" t="n">
        <v>1</v>
      </c>
      <c r="AD261" s="0" t="n">
        <v>1</v>
      </c>
      <c r="AE261" s="0" t="n">
        <v>1</v>
      </c>
      <c r="AF261" s="0" t="n">
        <v>1.1</v>
      </c>
      <c r="AG261" s="0" t="n">
        <v>1.1</v>
      </c>
      <c r="AH261" s="0" t="n">
        <v>1.05</v>
      </c>
      <c r="AI261" s="0" t="n">
        <v>1</v>
      </c>
      <c r="AJ261" s="0" t="n">
        <v>1</v>
      </c>
      <c r="AK261" s="0" t="n">
        <v>1.02</v>
      </c>
      <c r="AL261" s="0" t="n">
        <v>1</v>
      </c>
      <c r="AM261" s="0" t="n">
        <v>1</v>
      </c>
      <c r="AN261" s="0" t="n">
        <v>1</v>
      </c>
      <c r="AO261" s="0" t="n">
        <v>1</v>
      </c>
    </row>
    <row r="262" customFormat="false" ht="12.75" hidden="false" customHeight="false" outlineLevel="0" collapsed="false">
      <c r="B262" s="0" t="n">
        <v>1</v>
      </c>
      <c r="C262" s="0" t="n">
        <v>1</v>
      </c>
      <c r="D262" s="0" t="n">
        <v>1</v>
      </c>
      <c r="E262" s="0" t="n">
        <v>1</v>
      </c>
      <c r="F262" s="0" t="n">
        <v>1</v>
      </c>
      <c r="G262" s="0" t="n">
        <v>1</v>
      </c>
      <c r="H262" s="0" t="n">
        <v>1</v>
      </c>
      <c r="I262" s="0" t="n">
        <v>1</v>
      </c>
      <c r="J262" s="0" t="n">
        <v>1</v>
      </c>
      <c r="K262" s="0" t="n">
        <v>1</v>
      </c>
      <c r="L262" s="0" t="n">
        <v>1</v>
      </c>
      <c r="M262" s="0" t="n">
        <v>1</v>
      </c>
      <c r="N262" s="0" t="n">
        <v>1</v>
      </c>
      <c r="O262" s="0" t="n">
        <v>1</v>
      </c>
      <c r="P262" s="0" t="n">
        <v>1.03</v>
      </c>
      <c r="Q262" s="0" t="n">
        <v>1</v>
      </c>
      <c r="R262" s="0" t="n">
        <v>1</v>
      </c>
      <c r="S262" s="0" t="n">
        <v>1.02</v>
      </c>
      <c r="T262" s="0" t="n">
        <v>1</v>
      </c>
      <c r="U262" s="0" t="n">
        <v>1</v>
      </c>
      <c r="V262" s="0" t="n">
        <v>1</v>
      </c>
      <c r="W262" s="0" t="n">
        <v>1</v>
      </c>
      <c r="X262" s="0" t="n">
        <v>1</v>
      </c>
      <c r="Y262" s="0" t="n">
        <v>1.02</v>
      </c>
      <c r="Z262" s="0" t="n">
        <v>1</v>
      </c>
      <c r="AA262" s="0" t="n">
        <v>1</v>
      </c>
      <c r="AB262" s="0" t="n">
        <v>1</v>
      </c>
      <c r="AC262" s="0" t="n">
        <v>1</v>
      </c>
      <c r="AD262" s="0" t="n">
        <v>0.98</v>
      </c>
      <c r="AE262" s="0" t="n">
        <v>0.98</v>
      </c>
      <c r="AF262" s="0" t="n">
        <v>0.98</v>
      </c>
      <c r="AG262" s="0" t="n">
        <v>0.98</v>
      </c>
      <c r="AH262" s="0" t="n">
        <v>1.05</v>
      </c>
      <c r="AI262" s="0" t="n">
        <v>1</v>
      </c>
      <c r="AJ262" s="0" t="n">
        <v>1</v>
      </c>
      <c r="AK262" s="0" t="n">
        <v>1.02</v>
      </c>
      <c r="AL262" s="0" t="n">
        <v>1</v>
      </c>
      <c r="AM262" s="0" t="n">
        <v>1</v>
      </c>
      <c r="AN262" s="0" t="n">
        <v>1</v>
      </c>
      <c r="AO262" s="0" t="n">
        <v>1</v>
      </c>
    </row>
    <row r="263" customFormat="false" ht="12.75" hidden="false" customHeight="false" outlineLevel="0" collapsed="false">
      <c r="B263" s="0" t="n">
        <v>1</v>
      </c>
      <c r="C263" s="0" t="n">
        <v>1</v>
      </c>
      <c r="D263" s="0" t="n">
        <v>1</v>
      </c>
      <c r="E263" s="0" t="n">
        <v>1</v>
      </c>
      <c r="F263" s="0" t="n">
        <v>1</v>
      </c>
      <c r="G263" s="0" t="n">
        <v>1</v>
      </c>
      <c r="H263" s="0" t="n">
        <v>1</v>
      </c>
      <c r="I263" s="0" t="n">
        <v>1</v>
      </c>
      <c r="J263" s="0" t="n">
        <v>1</v>
      </c>
      <c r="K263" s="0" t="n">
        <v>1</v>
      </c>
      <c r="L263" s="0" t="n">
        <v>1</v>
      </c>
      <c r="M263" s="0" t="n">
        <v>1</v>
      </c>
      <c r="N263" s="0" t="n">
        <v>1</v>
      </c>
      <c r="O263" s="0" t="n">
        <v>1</v>
      </c>
      <c r="P263" s="0" t="n">
        <v>1.03</v>
      </c>
      <c r="Q263" s="0" t="n">
        <v>1</v>
      </c>
      <c r="R263" s="0" t="n">
        <v>1</v>
      </c>
      <c r="S263" s="0" t="n">
        <v>1.02</v>
      </c>
      <c r="T263" s="0" t="n">
        <v>1</v>
      </c>
      <c r="U263" s="0" t="n">
        <v>1</v>
      </c>
      <c r="V263" s="0" t="n">
        <v>1</v>
      </c>
      <c r="W263" s="0" t="n">
        <v>1</v>
      </c>
      <c r="X263" s="0" t="n">
        <v>1</v>
      </c>
      <c r="Y263" s="0" t="n">
        <v>1.02</v>
      </c>
      <c r="Z263" s="0" t="n">
        <v>1</v>
      </c>
      <c r="AA263" s="0" t="n">
        <v>1</v>
      </c>
      <c r="AB263" s="0" t="n">
        <v>1</v>
      </c>
      <c r="AC263" s="0" t="n">
        <v>1</v>
      </c>
      <c r="AD263" s="0" t="n">
        <v>0.98</v>
      </c>
      <c r="AE263" s="0" t="n">
        <v>0.98</v>
      </c>
      <c r="AF263" s="0" t="n">
        <v>0.98</v>
      </c>
      <c r="AG263" s="0" t="n">
        <v>0.98</v>
      </c>
      <c r="AH263" s="0" t="n">
        <v>1.05</v>
      </c>
      <c r="AI263" s="0" t="n">
        <v>1</v>
      </c>
      <c r="AJ263" s="0" t="n">
        <v>1</v>
      </c>
      <c r="AK263" s="0" t="n">
        <v>1.02</v>
      </c>
      <c r="AL263" s="0" t="n">
        <v>1</v>
      </c>
      <c r="AM263" s="0" t="n">
        <v>1</v>
      </c>
      <c r="AN263" s="0" t="n">
        <v>1</v>
      </c>
      <c r="AO263" s="0" t="n">
        <v>1</v>
      </c>
    </row>
    <row r="264" customFormat="false" ht="12.75" hidden="false" customHeight="false" outlineLevel="0" collapsed="false">
      <c r="B264" s="0" t="n">
        <v>1</v>
      </c>
      <c r="C264" s="0" t="n">
        <v>1</v>
      </c>
      <c r="D264" s="0" t="n">
        <v>1</v>
      </c>
      <c r="E264" s="0" t="n">
        <v>1</v>
      </c>
      <c r="F264" s="0" t="n">
        <v>1</v>
      </c>
      <c r="G264" s="0" t="n">
        <v>1</v>
      </c>
      <c r="H264" s="0" t="n">
        <v>1</v>
      </c>
      <c r="I264" s="0" t="n">
        <v>1</v>
      </c>
      <c r="J264" s="0" t="n">
        <v>1</v>
      </c>
      <c r="K264" s="0" t="n">
        <v>1</v>
      </c>
      <c r="L264" s="0" t="n">
        <v>1</v>
      </c>
      <c r="M264" s="0" t="n">
        <v>1</v>
      </c>
      <c r="N264" s="0" t="n">
        <v>1</v>
      </c>
      <c r="O264" s="0" t="n">
        <v>1</v>
      </c>
      <c r="P264" s="0" t="n">
        <v>1.03</v>
      </c>
      <c r="Q264" s="0" t="n">
        <v>1</v>
      </c>
      <c r="R264" s="0" t="n">
        <v>1</v>
      </c>
      <c r="S264" s="0" t="n">
        <v>1.02</v>
      </c>
      <c r="T264" s="0" t="n">
        <v>1</v>
      </c>
      <c r="U264" s="0" t="n">
        <v>1</v>
      </c>
      <c r="V264" s="0" t="n">
        <v>1</v>
      </c>
      <c r="W264" s="0" t="n">
        <v>1</v>
      </c>
      <c r="X264" s="0" t="n">
        <v>1</v>
      </c>
      <c r="Y264" s="0" t="n">
        <v>1.02</v>
      </c>
      <c r="Z264" s="0" t="n">
        <v>1</v>
      </c>
      <c r="AA264" s="0" t="n">
        <v>1</v>
      </c>
      <c r="AB264" s="0" t="n">
        <v>1</v>
      </c>
      <c r="AC264" s="0" t="n">
        <v>1</v>
      </c>
      <c r="AD264" s="0" t="n">
        <v>0.98</v>
      </c>
      <c r="AE264" s="0" t="n">
        <v>0.98</v>
      </c>
      <c r="AF264" s="0" t="n">
        <v>0.98</v>
      </c>
      <c r="AG264" s="0" t="n">
        <v>0.98</v>
      </c>
      <c r="AH264" s="0" t="n">
        <v>1.05</v>
      </c>
      <c r="AI264" s="0" t="n">
        <v>1</v>
      </c>
      <c r="AJ264" s="0" t="n">
        <v>1</v>
      </c>
      <c r="AK264" s="0" t="n">
        <v>1.02</v>
      </c>
      <c r="AL264" s="0" t="n">
        <v>1</v>
      </c>
      <c r="AM264" s="0" t="n">
        <v>1</v>
      </c>
      <c r="AN264" s="0" t="n">
        <v>1</v>
      </c>
      <c r="AO264" s="0" t="n">
        <v>1</v>
      </c>
    </row>
    <row r="265" customFormat="false" ht="12.75" hidden="false" customHeight="false" outlineLevel="0" collapsed="false">
      <c r="B265" s="0" t="n">
        <v>1</v>
      </c>
      <c r="C265" s="0" t="n">
        <v>1</v>
      </c>
      <c r="D265" s="0" t="n">
        <v>1</v>
      </c>
      <c r="E265" s="0" t="n">
        <v>1</v>
      </c>
      <c r="F265" s="0" t="n">
        <v>1</v>
      </c>
      <c r="G265" s="0" t="n">
        <v>1</v>
      </c>
      <c r="H265" s="0" t="n">
        <v>1</v>
      </c>
      <c r="I265" s="0" t="n">
        <v>1</v>
      </c>
      <c r="J265" s="0" t="n">
        <v>1</v>
      </c>
      <c r="K265" s="0" t="n">
        <v>1</v>
      </c>
      <c r="L265" s="0" t="n">
        <v>1</v>
      </c>
      <c r="M265" s="0" t="n">
        <v>1</v>
      </c>
      <c r="N265" s="0" t="n">
        <v>1</v>
      </c>
      <c r="O265" s="0" t="n">
        <v>1</v>
      </c>
      <c r="P265" s="0" t="n">
        <v>1.03</v>
      </c>
      <c r="Q265" s="0" t="n">
        <v>1</v>
      </c>
      <c r="R265" s="0" t="n">
        <v>1</v>
      </c>
      <c r="S265" s="0" t="n">
        <v>1.02</v>
      </c>
      <c r="T265" s="0" t="n">
        <v>1</v>
      </c>
      <c r="U265" s="0" t="n">
        <v>1</v>
      </c>
      <c r="V265" s="0" t="n">
        <v>1</v>
      </c>
      <c r="W265" s="0" t="n">
        <v>1</v>
      </c>
      <c r="X265" s="0" t="n">
        <v>1</v>
      </c>
      <c r="Y265" s="0" t="n">
        <v>1.02</v>
      </c>
      <c r="Z265" s="0" t="n">
        <v>1</v>
      </c>
      <c r="AA265" s="0" t="n">
        <v>1</v>
      </c>
      <c r="AB265" s="0" t="n">
        <v>1</v>
      </c>
      <c r="AC265" s="0" t="n">
        <v>1</v>
      </c>
      <c r="AD265" s="0" t="n">
        <v>0.98</v>
      </c>
      <c r="AE265" s="0" t="n">
        <v>0.98</v>
      </c>
      <c r="AF265" s="0" t="n">
        <v>0.98</v>
      </c>
      <c r="AG265" s="0" t="n">
        <v>0.98</v>
      </c>
      <c r="AH265" s="0" t="n">
        <v>1.05</v>
      </c>
      <c r="AI265" s="0" t="n">
        <v>1</v>
      </c>
      <c r="AJ265" s="0" t="n">
        <v>1</v>
      </c>
      <c r="AK265" s="0" t="n">
        <v>1.02</v>
      </c>
      <c r="AL265" s="0" t="n">
        <v>1</v>
      </c>
      <c r="AM265" s="0" t="n">
        <v>1</v>
      </c>
      <c r="AN265" s="0" t="n">
        <v>1</v>
      </c>
      <c r="AO265" s="0" t="n">
        <v>1</v>
      </c>
    </row>
    <row r="266" customFormat="false" ht="12.75" hidden="false" customHeight="false" outlineLevel="0" collapsed="false">
      <c r="B266" s="0" t="n">
        <v>1</v>
      </c>
      <c r="C266" s="0" t="n">
        <v>1</v>
      </c>
      <c r="D266" s="0" t="n">
        <v>1</v>
      </c>
      <c r="E266" s="0" t="n">
        <v>1</v>
      </c>
      <c r="F266" s="0" t="n">
        <v>1</v>
      </c>
      <c r="G266" s="0" t="n">
        <v>1</v>
      </c>
      <c r="H266" s="0" t="n">
        <v>1</v>
      </c>
      <c r="I266" s="0" t="n">
        <v>1</v>
      </c>
      <c r="J266" s="0" t="n">
        <v>1</v>
      </c>
      <c r="K266" s="0" t="n">
        <v>1</v>
      </c>
      <c r="L266" s="0" t="n">
        <v>1</v>
      </c>
      <c r="M266" s="0" t="n">
        <v>1</v>
      </c>
      <c r="N266" s="0" t="n">
        <v>1</v>
      </c>
      <c r="O266" s="0" t="n">
        <v>1</v>
      </c>
      <c r="P266" s="0" t="n">
        <v>1.03</v>
      </c>
      <c r="Q266" s="0" t="n">
        <v>1</v>
      </c>
      <c r="R266" s="0" t="n">
        <v>1</v>
      </c>
      <c r="S266" s="0" t="n">
        <v>1.02</v>
      </c>
      <c r="T266" s="0" t="n">
        <v>1</v>
      </c>
      <c r="U266" s="0" t="n">
        <v>1</v>
      </c>
      <c r="V266" s="0" t="n">
        <v>1</v>
      </c>
      <c r="W266" s="0" t="n">
        <v>1</v>
      </c>
      <c r="X266" s="0" t="n">
        <v>1</v>
      </c>
      <c r="Y266" s="0" t="n">
        <v>1.02</v>
      </c>
      <c r="Z266" s="0" t="n">
        <v>1</v>
      </c>
      <c r="AA266" s="0" t="n">
        <v>1</v>
      </c>
      <c r="AB266" s="0" t="n">
        <v>1</v>
      </c>
      <c r="AC266" s="0" t="n">
        <v>1</v>
      </c>
      <c r="AD266" s="0" t="n">
        <v>0.98</v>
      </c>
      <c r="AE266" s="0" t="n">
        <v>0.98</v>
      </c>
      <c r="AF266" s="0" t="n">
        <v>0.98</v>
      </c>
      <c r="AG266" s="0" t="n">
        <v>0.98</v>
      </c>
      <c r="AH266" s="0" t="n">
        <v>1.05</v>
      </c>
      <c r="AI266" s="0" t="n">
        <v>1</v>
      </c>
      <c r="AJ266" s="0" t="n">
        <v>1</v>
      </c>
      <c r="AK266" s="0" t="n">
        <v>1.02</v>
      </c>
      <c r="AL266" s="0" t="n">
        <v>1</v>
      </c>
      <c r="AM266" s="0" t="n">
        <v>1</v>
      </c>
      <c r="AN266" s="0" t="n">
        <v>1</v>
      </c>
      <c r="AO266" s="0" t="n">
        <v>1</v>
      </c>
    </row>
    <row r="267" customFormat="false" ht="12.75" hidden="false" customHeight="false" outlineLevel="0" collapsed="false">
      <c r="B267" s="0" t="n">
        <v>1</v>
      </c>
      <c r="C267" s="0" t="n">
        <v>1</v>
      </c>
      <c r="D267" s="0" t="n">
        <v>1</v>
      </c>
      <c r="E267" s="0" t="n">
        <v>1</v>
      </c>
      <c r="F267" s="0" t="n">
        <v>1</v>
      </c>
      <c r="G267" s="0" t="n">
        <v>1</v>
      </c>
      <c r="H267" s="0" t="n">
        <v>1</v>
      </c>
      <c r="I267" s="0" t="n">
        <v>1</v>
      </c>
      <c r="J267" s="0" t="n">
        <v>1</v>
      </c>
      <c r="K267" s="0" t="n">
        <v>1</v>
      </c>
      <c r="L267" s="0" t="n">
        <v>1</v>
      </c>
      <c r="M267" s="0" t="n">
        <v>1</v>
      </c>
      <c r="N267" s="0" t="n">
        <v>1</v>
      </c>
      <c r="O267" s="0" t="n">
        <v>1</v>
      </c>
      <c r="P267" s="0" t="n">
        <v>1.03</v>
      </c>
      <c r="Q267" s="0" t="n">
        <v>1</v>
      </c>
      <c r="R267" s="0" t="n">
        <v>1</v>
      </c>
      <c r="S267" s="0" t="n">
        <v>1.02</v>
      </c>
      <c r="T267" s="0" t="n">
        <v>1</v>
      </c>
      <c r="U267" s="0" t="n">
        <v>1</v>
      </c>
      <c r="V267" s="0" t="n">
        <v>1</v>
      </c>
      <c r="W267" s="0" t="n">
        <v>1</v>
      </c>
      <c r="X267" s="0" t="n">
        <v>1</v>
      </c>
      <c r="Y267" s="0" t="n">
        <v>1.02</v>
      </c>
      <c r="Z267" s="0" t="n">
        <v>1</v>
      </c>
      <c r="AA267" s="0" t="n">
        <v>1</v>
      </c>
      <c r="AB267" s="0" t="n">
        <v>1</v>
      </c>
      <c r="AC267" s="0" t="n">
        <v>1</v>
      </c>
      <c r="AD267" s="0" t="n">
        <v>0.98</v>
      </c>
      <c r="AE267" s="0" t="n">
        <v>0.98</v>
      </c>
      <c r="AF267" s="0" t="n">
        <v>0.98</v>
      </c>
      <c r="AG267" s="0" t="n">
        <v>0.98</v>
      </c>
      <c r="AH267" s="0" t="n">
        <v>1.05</v>
      </c>
      <c r="AI267" s="0" t="n">
        <v>1</v>
      </c>
      <c r="AJ267" s="0" t="n">
        <v>1</v>
      </c>
      <c r="AK267" s="0" t="n">
        <v>1.02</v>
      </c>
      <c r="AL267" s="0" t="n">
        <v>1</v>
      </c>
      <c r="AM267" s="0" t="n">
        <v>1</v>
      </c>
      <c r="AN267" s="0" t="n">
        <v>1</v>
      </c>
      <c r="AO267" s="0" t="n">
        <v>1</v>
      </c>
    </row>
    <row r="268" customFormat="false" ht="12.75" hidden="false" customHeight="false" outlineLevel="0" collapsed="false">
      <c r="B268" s="0" t="n">
        <v>1</v>
      </c>
      <c r="C268" s="0" t="n">
        <v>1</v>
      </c>
      <c r="D268" s="0" t="n">
        <v>1</v>
      </c>
      <c r="E268" s="0" t="n">
        <v>1</v>
      </c>
      <c r="F268" s="0" t="n">
        <v>1</v>
      </c>
      <c r="G268" s="0" t="n">
        <v>1</v>
      </c>
      <c r="H268" s="0" t="n">
        <v>1</v>
      </c>
      <c r="I268" s="0" t="n">
        <v>1</v>
      </c>
      <c r="J268" s="0" t="n">
        <v>1</v>
      </c>
      <c r="K268" s="0" t="n">
        <v>1</v>
      </c>
      <c r="L268" s="0" t="n">
        <v>1</v>
      </c>
      <c r="M268" s="0" t="n">
        <v>1</v>
      </c>
      <c r="N268" s="0" t="n">
        <v>1</v>
      </c>
      <c r="O268" s="0" t="n">
        <v>1</v>
      </c>
      <c r="P268" s="0" t="n">
        <v>1.03</v>
      </c>
      <c r="Q268" s="0" t="n">
        <v>1</v>
      </c>
      <c r="R268" s="0" t="n">
        <v>1</v>
      </c>
      <c r="S268" s="0" t="n">
        <v>1.02</v>
      </c>
      <c r="T268" s="0" t="n">
        <v>1</v>
      </c>
      <c r="U268" s="0" t="n">
        <v>1</v>
      </c>
      <c r="V268" s="0" t="n">
        <v>1</v>
      </c>
      <c r="W268" s="0" t="n">
        <v>1</v>
      </c>
      <c r="X268" s="0" t="n">
        <v>1</v>
      </c>
      <c r="Y268" s="0" t="n">
        <v>1.02</v>
      </c>
      <c r="Z268" s="0" t="n">
        <v>1</v>
      </c>
      <c r="AA268" s="0" t="n">
        <v>1</v>
      </c>
      <c r="AB268" s="0" t="n">
        <v>1</v>
      </c>
      <c r="AC268" s="0" t="n">
        <v>1</v>
      </c>
      <c r="AD268" s="0" t="n">
        <v>0.98</v>
      </c>
      <c r="AE268" s="0" t="n">
        <v>0.98</v>
      </c>
      <c r="AF268" s="0" t="n">
        <v>0.98</v>
      </c>
      <c r="AG268" s="0" t="n">
        <v>0.98</v>
      </c>
      <c r="AH268" s="0" t="n">
        <v>1.05</v>
      </c>
      <c r="AI268" s="0" t="n">
        <v>1</v>
      </c>
      <c r="AJ268" s="0" t="n">
        <v>1</v>
      </c>
      <c r="AK268" s="0" t="n">
        <v>1.02</v>
      </c>
      <c r="AL268" s="0" t="n">
        <v>1</v>
      </c>
      <c r="AM268" s="0" t="n">
        <v>1</v>
      </c>
      <c r="AN268" s="0" t="n">
        <v>1</v>
      </c>
      <c r="AO268" s="0" t="n">
        <v>1</v>
      </c>
    </row>
    <row r="269" customFormat="false" ht="12.75" hidden="false" customHeight="false" outlineLevel="0" collapsed="false">
      <c r="B269" s="0" t="n">
        <v>1</v>
      </c>
      <c r="C269" s="0" t="n">
        <v>1</v>
      </c>
      <c r="D269" s="0" t="n">
        <v>1</v>
      </c>
      <c r="E269" s="0" t="n">
        <v>1</v>
      </c>
      <c r="F269" s="0" t="n">
        <v>1</v>
      </c>
      <c r="G269" s="0" t="n">
        <v>1</v>
      </c>
      <c r="H269" s="0" t="n">
        <v>1</v>
      </c>
      <c r="I269" s="0" t="n">
        <v>1</v>
      </c>
      <c r="J269" s="0" t="n">
        <v>1</v>
      </c>
      <c r="K269" s="0" t="n">
        <v>1</v>
      </c>
      <c r="L269" s="0" t="n">
        <v>1</v>
      </c>
      <c r="M269" s="0" t="n">
        <v>1</v>
      </c>
      <c r="N269" s="0" t="n">
        <v>1</v>
      </c>
      <c r="O269" s="0" t="n">
        <v>1</v>
      </c>
      <c r="P269" s="0" t="n">
        <v>1.03</v>
      </c>
      <c r="Q269" s="0" t="n">
        <v>1</v>
      </c>
      <c r="R269" s="0" t="n">
        <v>1</v>
      </c>
      <c r="S269" s="0" t="n">
        <v>1.02</v>
      </c>
      <c r="T269" s="0" t="n">
        <v>1</v>
      </c>
      <c r="U269" s="0" t="n">
        <v>1</v>
      </c>
      <c r="V269" s="0" t="n">
        <v>1</v>
      </c>
      <c r="W269" s="0" t="n">
        <v>1</v>
      </c>
      <c r="X269" s="0" t="n">
        <v>1</v>
      </c>
      <c r="Y269" s="0" t="n">
        <v>1</v>
      </c>
      <c r="Z269" s="0" t="n">
        <v>1</v>
      </c>
      <c r="AA269" s="0" t="n">
        <v>1</v>
      </c>
      <c r="AB269" s="0" t="n">
        <v>1</v>
      </c>
      <c r="AC269" s="0" t="n">
        <v>1</v>
      </c>
      <c r="AD269" s="0" t="n">
        <v>1</v>
      </c>
      <c r="AE269" s="0" t="n">
        <v>1</v>
      </c>
      <c r="AF269" s="0" t="n">
        <v>1.1</v>
      </c>
      <c r="AG269" s="0" t="n">
        <v>1.1</v>
      </c>
      <c r="AH269" s="0" t="n">
        <v>1.05</v>
      </c>
      <c r="AI269" s="0" t="n">
        <v>1</v>
      </c>
      <c r="AJ269" s="0" t="n">
        <v>1</v>
      </c>
      <c r="AK269" s="0" t="n">
        <v>1.02</v>
      </c>
      <c r="AL269" s="0" t="n">
        <v>1</v>
      </c>
      <c r="AM269" s="0" t="n">
        <v>1</v>
      </c>
      <c r="AN269" s="0" t="n">
        <v>1</v>
      </c>
      <c r="AO269" s="0" t="n">
        <v>1</v>
      </c>
    </row>
    <row r="270" customFormat="false" ht="12.75" hidden="false" customHeight="false" outlineLevel="0" collapsed="false">
      <c r="B270" s="0" t="n">
        <v>1</v>
      </c>
      <c r="C270" s="0" t="n">
        <v>1</v>
      </c>
      <c r="D270" s="0" t="n">
        <v>1</v>
      </c>
      <c r="E270" s="0" t="n">
        <v>1</v>
      </c>
      <c r="F270" s="0" t="n">
        <v>1</v>
      </c>
      <c r="G270" s="0" t="n">
        <v>1</v>
      </c>
      <c r="H270" s="0" t="n">
        <v>1</v>
      </c>
      <c r="I270" s="0" t="n">
        <v>1</v>
      </c>
      <c r="J270" s="0" t="n">
        <v>1</v>
      </c>
      <c r="K270" s="0" t="n">
        <v>1</v>
      </c>
      <c r="L270" s="0" t="n">
        <v>1</v>
      </c>
      <c r="M270" s="0" t="n">
        <v>1</v>
      </c>
      <c r="N270" s="0" t="n">
        <v>1</v>
      </c>
      <c r="O270" s="0" t="n">
        <v>1</v>
      </c>
      <c r="P270" s="0" t="n">
        <v>1.03</v>
      </c>
      <c r="Q270" s="0" t="n">
        <v>1</v>
      </c>
      <c r="R270" s="0" t="n">
        <v>1</v>
      </c>
      <c r="S270" s="0" t="n">
        <v>1.02</v>
      </c>
      <c r="T270" s="0" t="n">
        <v>1</v>
      </c>
      <c r="U270" s="0" t="n">
        <v>1</v>
      </c>
      <c r="V270" s="0" t="n">
        <v>1</v>
      </c>
      <c r="W270" s="0" t="n">
        <v>1</v>
      </c>
      <c r="X270" s="0" t="n">
        <v>1</v>
      </c>
      <c r="Y270" s="0" t="n">
        <v>1</v>
      </c>
      <c r="Z270" s="0" t="n">
        <v>1</v>
      </c>
      <c r="AA270" s="0" t="n">
        <v>1</v>
      </c>
      <c r="AB270" s="0" t="n">
        <v>1</v>
      </c>
      <c r="AC270" s="0" t="n">
        <v>1</v>
      </c>
      <c r="AD270" s="0" t="n">
        <v>1</v>
      </c>
      <c r="AE270" s="0" t="n">
        <v>1</v>
      </c>
      <c r="AF270" s="0" t="n">
        <v>1.1</v>
      </c>
      <c r="AG270" s="0" t="n">
        <v>1.1</v>
      </c>
      <c r="AH270" s="0" t="n">
        <v>1.05</v>
      </c>
      <c r="AI270" s="0" t="n">
        <v>1</v>
      </c>
      <c r="AJ270" s="0" t="n">
        <v>1</v>
      </c>
      <c r="AK270" s="0" t="n">
        <v>1.02</v>
      </c>
      <c r="AL270" s="0" t="n">
        <v>1</v>
      </c>
      <c r="AM270" s="0" t="n">
        <v>1</v>
      </c>
      <c r="AN270" s="0" t="n">
        <v>1</v>
      </c>
      <c r="AO270" s="0" t="n">
        <v>1</v>
      </c>
    </row>
    <row r="271" customFormat="false" ht="12.75" hidden="false" customHeight="false" outlineLevel="0" collapsed="false">
      <c r="B271" s="0" t="n">
        <v>1</v>
      </c>
      <c r="C271" s="0" t="n">
        <v>1</v>
      </c>
      <c r="D271" s="0" t="n">
        <v>1</v>
      </c>
      <c r="E271" s="0" t="n">
        <v>1</v>
      </c>
      <c r="F271" s="0" t="n">
        <v>1</v>
      </c>
      <c r="G271" s="0" t="n">
        <v>1</v>
      </c>
      <c r="H271" s="0" t="n">
        <v>1</v>
      </c>
      <c r="I271" s="0" t="n">
        <v>1</v>
      </c>
      <c r="J271" s="0" t="n">
        <v>1</v>
      </c>
      <c r="K271" s="0" t="n">
        <v>1</v>
      </c>
      <c r="L271" s="0" t="n">
        <v>1</v>
      </c>
      <c r="M271" s="0" t="n">
        <v>1</v>
      </c>
      <c r="N271" s="0" t="n">
        <v>1</v>
      </c>
      <c r="O271" s="0" t="n">
        <v>1</v>
      </c>
      <c r="P271" s="0" t="n">
        <v>1.03</v>
      </c>
      <c r="Q271" s="0" t="n">
        <v>1</v>
      </c>
      <c r="R271" s="0" t="n">
        <v>1</v>
      </c>
      <c r="S271" s="0" t="n">
        <v>1.02</v>
      </c>
      <c r="T271" s="0" t="n">
        <v>1</v>
      </c>
      <c r="U271" s="0" t="n">
        <v>1</v>
      </c>
      <c r="V271" s="0" t="n">
        <v>1</v>
      </c>
      <c r="W271" s="0" t="n">
        <v>1</v>
      </c>
      <c r="X271" s="0" t="n">
        <v>1</v>
      </c>
      <c r="Y271" s="0" t="n">
        <v>1</v>
      </c>
      <c r="Z271" s="0" t="n">
        <v>1</v>
      </c>
      <c r="AA271" s="0" t="n">
        <v>1</v>
      </c>
      <c r="AB271" s="0" t="n">
        <v>1</v>
      </c>
      <c r="AC271" s="0" t="n">
        <v>1</v>
      </c>
      <c r="AD271" s="0" t="n">
        <v>1</v>
      </c>
      <c r="AE271" s="0" t="n">
        <v>1</v>
      </c>
      <c r="AF271" s="0" t="n">
        <v>1.1</v>
      </c>
      <c r="AG271" s="0" t="n">
        <v>1.1</v>
      </c>
      <c r="AH271" s="0" t="n">
        <v>1.05</v>
      </c>
      <c r="AI271" s="0" t="n">
        <v>1</v>
      </c>
      <c r="AJ271" s="0" t="n">
        <v>1</v>
      </c>
      <c r="AK271" s="0" t="n">
        <v>1.02</v>
      </c>
      <c r="AL271" s="0" t="n">
        <v>1</v>
      </c>
      <c r="AM271" s="0" t="n">
        <v>1</v>
      </c>
      <c r="AN271" s="0" t="n">
        <v>1</v>
      </c>
      <c r="AO271" s="0" t="n">
        <v>1</v>
      </c>
    </row>
    <row r="272" customFormat="false" ht="12.75" hidden="false" customHeight="false" outlineLevel="0" collapsed="false">
      <c r="B272" s="0" t="n">
        <v>1</v>
      </c>
      <c r="C272" s="0" t="n">
        <v>1</v>
      </c>
      <c r="D272" s="0" t="n">
        <v>1</v>
      </c>
      <c r="E272" s="0" t="n">
        <v>1</v>
      </c>
      <c r="F272" s="0" t="n">
        <v>1</v>
      </c>
      <c r="G272" s="0" t="n">
        <v>1</v>
      </c>
      <c r="H272" s="0" t="n">
        <v>1</v>
      </c>
      <c r="I272" s="0" t="n">
        <v>1</v>
      </c>
      <c r="J272" s="0" t="n">
        <v>1</v>
      </c>
      <c r="K272" s="0" t="n">
        <v>1</v>
      </c>
      <c r="L272" s="0" t="n">
        <v>1</v>
      </c>
      <c r="M272" s="0" t="n">
        <v>1</v>
      </c>
      <c r="N272" s="0" t="n">
        <v>1</v>
      </c>
      <c r="O272" s="0" t="n">
        <v>1</v>
      </c>
      <c r="P272" s="0" t="n">
        <v>1.03</v>
      </c>
      <c r="Q272" s="0" t="n">
        <v>1</v>
      </c>
      <c r="R272" s="0" t="n">
        <v>1</v>
      </c>
      <c r="S272" s="0" t="n">
        <v>1.02</v>
      </c>
      <c r="T272" s="0" t="n">
        <v>1</v>
      </c>
      <c r="U272" s="0" t="n">
        <v>1</v>
      </c>
      <c r="V272" s="0" t="n">
        <v>1</v>
      </c>
      <c r="W272" s="0" t="n">
        <v>1</v>
      </c>
      <c r="X272" s="0" t="n">
        <v>1</v>
      </c>
      <c r="Y272" s="0" t="n">
        <v>1</v>
      </c>
      <c r="Z272" s="0" t="n">
        <v>1</v>
      </c>
      <c r="AA272" s="0" t="n">
        <v>1</v>
      </c>
      <c r="AB272" s="0" t="n">
        <v>1</v>
      </c>
      <c r="AC272" s="0" t="n">
        <v>1</v>
      </c>
      <c r="AD272" s="0" t="n">
        <v>1</v>
      </c>
      <c r="AE272" s="0" t="n">
        <v>1</v>
      </c>
      <c r="AF272" s="0" t="n">
        <v>1.1</v>
      </c>
      <c r="AG272" s="0" t="n">
        <v>1.1</v>
      </c>
      <c r="AH272" s="0" t="n">
        <v>1.05</v>
      </c>
      <c r="AI272" s="0" t="n">
        <v>1</v>
      </c>
      <c r="AJ272" s="0" t="n">
        <v>1</v>
      </c>
      <c r="AK272" s="0" t="n">
        <v>1.02</v>
      </c>
      <c r="AL272" s="0" t="n">
        <v>1</v>
      </c>
      <c r="AM272" s="0" t="n">
        <v>1</v>
      </c>
      <c r="AN272" s="0" t="n">
        <v>1</v>
      </c>
      <c r="AO272" s="0" t="n">
        <v>1</v>
      </c>
    </row>
    <row r="273" customFormat="false" ht="12.75" hidden="false" customHeight="false" outlineLevel="0" collapsed="false">
      <c r="B273" s="0" t="n">
        <v>1</v>
      </c>
      <c r="C273" s="0" t="n">
        <v>1</v>
      </c>
      <c r="D273" s="0" t="n">
        <v>1</v>
      </c>
      <c r="E273" s="0" t="n">
        <v>1</v>
      </c>
      <c r="F273" s="0" t="n">
        <v>1</v>
      </c>
      <c r="G273" s="0" t="n">
        <v>1</v>
      </c>
      <c r="H273" s="0" t="n">
        <v>1</v>
      </c>
      <c r="I273" s="0" t="n">
        <v>1</v>
      </c>
      <c r="J273" s="0" t="n">
        <v>1</v>
      </c>
      <c r="K273" s="0" t="n">
        <v>1</v>
      </c>
      <c r="L273" s="0" t="n">
        <v>1</v>
      </c>
      <c r="M273" s="0" t="n">
        <v>1</v>
      </c>
      <c r="N273" s="0" t="n">
        <v>1</v>
      </c>
      <c r="O273" s="0" t="n">
        <v>1</v>
      </c>
      <c r="P273" s="0" t="n">
        <v>1.03</v>
      </c>
      <c r="Q273" s="0" t="n">
        <v>1</v>
      </c>
      <c r="R273" s="0" t="n">
        <v>1</v>
      </c>
      <c r="S273" s="0" t="n">
        <v>1.02</v>
      </c>
      <c r="T273" s="0" t="n">
        <v>1</v>
      </c>
      <c r="U273" s="0" t="n">
        <v>1</v>
      </c>
      <c r="V273" s="0" t="n">
        <v>1</v>
      </c>
      <c r="W273" s="0" t="n">
        <v>1</v>
      </c>
      <c r="X273" s="0" t="n">
        <v>1</v>
      </c>
      <c r="Y273" s="0" t="n">
        <v>1</v>
      </c>
      <c r="Z273" s="0" t="n">
        <v>1</v>
      </c>
      <c r="AA273" s="0" t="n">
        <v>1</v>
      </c>
      <c r="AB273" s="0" t="n">
        <v>1</v>
      </c>
      <c r="AC273" s="0" t="n">
        <v>1</v>
      </c>
      <c r="AD273" s="0" t="n">
        <v>1</v>
      </c>
      <c r="AE273" s="0" t="n">
        <v>1</v>
      </c>
      <c r="AF273" s="0" t="n">
        <v>1.1</v>
      </c>
      <c r="AG273" s="0" t="n">
        <v>1.1</v>
      </c>
      <c r="AH273" s="0" t="n">
        <v>1.05</v>
      </c>
      <c r="AI273" s="0" t="n">
        <v>1</v>
      </c>
      <c r="AJ273" s="0" t="n">
        <v>1</v>
      </c>
      <c r="AK273" s="0" t="n">
        <v>1.02</v>
      </c>
      <c r="AL273" s="0" t="n">
        <v>1</v>
      </c>
      <c r="AM273" s="0" t="n">
        <v>1</v>
      </c>
      <c r="AN273" s="0" t="n">
        <v>1</v>
      </c>
      <c r="AO273" s="0" t="n">
        <v>1</v>
      </c>
    </row>
    <row r="274" customFormat="false" ht="12.75" hidden="false" customHeight="false" outlineLevel="0" collapsed="false">
      <c r="B274" s="0" t="n">
        <v>1</v>
      </c>
      <c r="C274" s="0" t="n">
        <v>1</v>
      </c>
      <c r="D274" s="0" t="n">
        <v>1</v>
      </c>
      <c r="E274" s="0" t="n">
        <v>1</v>
      </c>
      <c r="F274" s="0" t="n">
        <v>1</v>
      </c>
      <c r="G274" s="0" t="n">
        <v>1</v>
      </c>
      <c r="H274" s="0" t="n">
        <v>1</v>
      </c>
      <c r="I274" s="0" t="n">
        <v>1</v>
      </c>
      <c r="J274" s="0" t="n">
        <v>1</v>
      </c>
      <c r="K274" s="0" t="n">
        <v>1</v>
      </c>
      <c r="L274" s="0" t="n">
        <v>1</v>
      </c>
      <c r="M274" s="0" t="n">
        <v>1</v>
      </c>
      <c r="N274" s="0" t="n">
        <v>1</v>
      </c>
      <c r="O274" s="0" t="n">
        <v>1</v>
      </c>
      <c r="P274" s="0" t="n">
        <v>1.03</v>
      </c>
      <c r="Q274" s="0" t="n">
        <v>1</v>
      </c>
      <c r="R274" s="0" t="n">
        <v>1</v>
      </c>
      <c r="S274" s="0" t="n">
        <v>1.02</v>
      </c>
      <c r="T274" s="0" t="n">
        <v>1</v>
      </c>
      <c r="U274" s="0" t="n">
        <v>1</v>
      </c>
      <c r="V274" s="0" t="n">
        <v>1</v>
      </c>
      <c r="W274" s="0" t="n">
        <v>1</v>
      </c>
      <c r="X274" s="0" t="n">
        <v>1</v>
      </c>
      <c r="Y274" s="0" t="n">
        <v>1.02</v>
      </c>
      <c r="Z274" s="0" t="n">
        <v>1</v>
      </c>
      <c r="AA274" s="0" t="n">
        <v>1</v>
      </c>
      <c r="AB274" s="0" t="n">
        <v>1</v>
      </c>
      <c r="AC274" s="0" t="n">
        <v>1</v>
      </c>
      <c r="AD274" s="0" t="n">
        <v>0.98</v>
      </c>
      <c r="AE274" s="0" t="n">
        <v>0.98</v>
      </c>
      <c r="AF274" s="0" t="n">
        <v>0.98</v>
      </c>
      <c r="AG274" s="0" t="n">
        <v>0.98</v>
      </c>
      <c r="AH274" s="0" t="n">
        <v>1.05</v>
      </c>
      <c r="AI274" s="0" t="n">
        <v>1</v>
      </c>
      <c r="AJ274" s="0" t="n">
        <v>1</v>
      </c>
      <c r="AK274" s="0" t="n">
        <v>1.02</v>
      </c>
      <c r="AL274" s="0" t="n">
        <v>1</v>
      </c>
      <c r="AM274" s="0" t="n">
        <v>1</v>
      </c>
      <c r="AN274" s="0" t="n">
        <v>1</v>
      </c>
      <c r="AO274" s="0" t="n">
        <v>1</v>
      </c>
    </row>
    <row r="275" customFormat="false" ht="12.75" hidden="false" customHeight="false" outlineLevel="0" collapsed="false">
      <c r="B275" s="0" t="n">
        <v>1</v>
      </c>
      <c r="C275" s="0" t="n">
        <v>1</v>
      </c>
      <c r="D275" s="0" t="n">
        <v>1</v>
      </c>
      <c r="E275" s="0" t="n">
        <v>1</v>
      </c>
      <c r="F275" s="0" t="n">
        <v>1</v>
      </c>
      <c r="G275" s="0" t="n">
        <v>1</v>
      </c>
      <c r="H275" s="0" t="n">
        <v>1</v>
      </c>
      <c r="I275" s="0" t="n">
        <v>1</v>
      </c>
      <c r="J275" s="0" t="n">
        <v>1</v>
      </c>
      <c r="K275" s="0" t="n">
        <v>1</v>
      </c>
      <c r="L275" s="0" t="n">
        <v>1</v>
      </c>
      <c r="M275" s="0" t="n">
        <v>1</v>
      </c>
      <c r="N275" s="0" t="n">
        <v>1</v>
      </c>
      <c r="O275" s="0" t="n">
        <v>1</v>
      </c>
      <c r="P275" s="0" t="n">
        <v>1.03</v>
      </c>
      <c r="Q275" s="0" t="n">
        <v>1</v>
      </c>
      <c r="R275" s="0" t="n">
        <v>1</v>
      </c>
      <c r="S275" s="0" t="n">
        <v>1.02</v>
      </c>
      <c r="T275" s="0" t="n">
        <v>1</v>
      </c>
      <c r="U275" s="0" t="n">
        <v>1</v>
      </c>
      <c r="V275" s="0" t="n">
        <v>1</v>
      </c>
      <c r="W275" s="0" t="n">
        <v>1</v>
      </c>
      <c r="X275" s="0" t="n">
        <v>1</v>
      </c>
      <c r="Y275" s="0" t="n">
        <v>1.02</v>
      </c>
      <c r="Z275" s="0" t="n">
        <v>1</v>
      </c>
      <c r="AA275" s="0" t="n">
        <v>1</v>
      </c>
      <c r="AB275" s="0" t="n">
        <v>1</v>
      </c>
      <c r="AC275" s="0" t="n">
        <v>1</v>
      </c>
      <c r="AD275" s="0" t="n">
        <v>0.98</v>
      </c>
      <c r="AE275" s="0" t="n">
        <v>0.98</v>
      </c>
      <c r="AF275" s="0" t="n">
        <v>0.98</v>
      </c>
      <c r="AG275" s="0" t="n">
        <v>0.98</v>
      </c>
      <c r="AH275" s="0" t="n">
        <v>1.05</v>
      </c>
      <c r="AI275" s="0" t="n">
        <v>1</v>
      </c>
      <c r="AJ275" s="0" t="n">
        <v>1</v>
      </c>
      <c r="AK275" s="0" t="n">
        <v>1.02</v>
      </c>
      <c r="AL275" s="0" t="n">
        <v>1</v>
      </c>
      <c r="AM275" s="0" t="n">
        <v>1</v>
      </c>
      <c r="AN275" s="0" t="n">
        <v>1</v>
      </c>
      <c r="AO275" s="0" t="n">
        <v>1</v>
      </c>
    </row>
    <row r="276" customFormat="false" ht="12.75" hidden="false" customHeight="false" outlineLevel="0" collapsed="false">
      <c r="B276" s="0" t="n">
        <v>1</v>
      </c>
      <c r="C276" s="0" t="n">
        <v>1</v>
      </c>
      <c r="D276" s="0" t="n">
        <v>1</v>
      </c>
      <c r="E276" s="0" t="n">
        <v>1</v>
      </c>
      <c r="F276" s="0" t="n">
        <v>1</v>
      </c>
      <c r="G276" s="0" t="n">
        <v>1</v>
      </c>
      <c r="H276" s="0" t="n">
        <v>1</v>
      </c>
      <c r="I276" s="0" t="n">
        <v>1</v>
      </c>
      <c r="J276" s="0" t="n">
        <v>1</v>
      </c>
      <c r="K276" s="0" t="n">
        <v>1</v>
      </c>
      <c r="L276" s="0" t="n">
        <v>1</v>
      </c>
      <c r="M276" s="0" t="n">
        <v>1</v>
      </c>
      <c r="N276" s="0" t="n">
        <v>1</v>
      </c>
      <c r="O276" s="0" t="n">
        <v>1</v>
      </c>
      <c r="P276" s="0" t="n">
        <v>1.03</v>
      </c>
      <c r="Q276" s="0" t="n">
        <v>1</v>
      </c>
      <c r="R276" s="0" t="n">
        <v>1</v>
      </c>
      <c r="S276" s="0" t="n">
        <v>1.02</v>
      </c>
      <c r="T276" s="0" t="n">
        <v>1</v>
      </c>
      <c r="U276" s="0" t="n">
        <v>1</v>
      </c>
      <c r="V276" s="0" t="n">
        <v>1</v>
      </c>
      <c r="W276" s="0" t="n">
        <v>1</v>
      </c>
      <c r="X276" s="0" t="n">
        <v>1</v>
      </c>
      <c r="Y276" s="0" t="n">
        <v>1.02</v>
      </c>
      <c r="Z276" s="0" t="n">
        <v>1</v>
      </c>
      <c r="AA276" s="0" t="n">
        <v>1</v>
      </c>
      <c r="AB276" s="0" t="n">
        <v>1</v>
      </c>
      <c r="AC276" s="0" t="n">
        <v>1</v>
      </c>
      <c r="AD276" s="0" t="n">
        <v>0.98</v>
      </c>
      <c r="AE276" s="0" t="n">
        <v>0.98</v>
      </c>
      <c r="AF276" s="0" t="n">
        <v>0.98</v>
      </c>
      <c r="AG276" s="0" t="n">
        <v>0.98</v>
      </c>
      <c r="AH276" s="0" t="n">
        <v>1.05</v>
      </c>
      <c r="AI276" s="0" t="n">
        <v>1</v>
      </c>
      <c r="AJ276" s="0" t="n">
        <v>1</v>
      </c>
      <c r="AK276" s="0" t="n">
        <v>1.02</v>
      </c>
      <c r="AL276" s="0" t="n">
        <v>1</v>
      </c>
      <c r="AM276" s="0" t="n">
        <v>1</v>
      </c>
      <c r="AN276" s="0" t="n">
        <v>1</v>
      </c>
      <c r="AO276" s="0" t="n">
        <v>1</v>
      </c>
    </row>
    <row r="277" customFormat="false" ht="12.75" hidden="false" customHeight="false" outlineLevel="0" collapsed="false">
      <c r="B277" s="0" t="n">
        <v>1</v>
      </c>
      <c r="C277" s="0" t="n">
        <v>1</v>
      </c>
      <c r="D277" s="0" t="n">
        <v>1</v>
      </c>
      <c r="E277" s="0" t="n">
        <v>1</v>
      </c>
      <c r="F277" s="0" t="n">
        <v>1</v>
      </c>
      <c r="G277" s="0" t="n">
        <v>1</v>
      </c>
      <c r="H277" s="0" t="n">
        <v>1</v>
      </c>
      <c r="I277" s="0" t="n">
        <v>1</v>
      </c>
      <c r="J277" s="0" t="n">
        <v>1</v>
      </c>
      <c r="K277" s="0" t="n">
        <v>1</v>
      </c>
      <c r="L277" s="0" t="n">
        <v>1</v>
      </c>
      <c r="M277" s="0" t="n">
        <v>1</v>
      </c>
      <c r="N277" s="0" t="n">
        <v>1</v>
      </c>
      <c r="O277" s="0" t="n">
        <v>1</v>
      </c>
      <c r="P277" s="0" t="n">
        <v>1.03</v>
      </c>
      <c r="Q277" s="0" t="n">
        <v>1</v>
      </c>
      <c r="R277" s="0" t="n">
        <v>1</v>
      </c>
      <c r="S277" s="0" t="n">
        <v>1.02</v>
      </c>
      <c r="T277" s="0" t="n">
        <v>1</v>
      </c>
      <c r="U277" s="0" t="n">
        <v>1</v>
      </c>
      <c r="V277" s="0" t="n">
        <v>1</v>
      </c>
      <c r="W277" s="0" t="n">
        <v>1</v>
      </c>
      <c r="X277" s="0" t="n">
        <v>1</v>
      </c>
      <c r="Y277" s="0" t="n">
        <v>1.02</v>
      </c>
      <c r="Z277" s="0" t="n">
        <v>1</v>
      </c>
      <c r="AA277" s="0" t="n">
        <v>1</v>
      </c>
      <c r="AB277" s="0" t="n">
        <v>1</v>
      </c>
      <c r="AC277" s="0" t="n">
        <v>1</v>
      </c>
      <c r="AD277" s="0" t="n">
        <v>0.98</v>
      </c>
      <c r="AE277" s="0" t="n">
        <v>0.98</v>
      </c>
      <c r="AF277" s="0" t="n">
        <v>0.98</v>
      </c>
      <c r="AG277" s="0" t="n">
        <v>0.98</v>
      </c>
      <c r="AH277" s="0" t="n">
        <v>1.05</v>
      </c>
      <c r="AI277" s="0" t="n">
        <v>1</v>
      </c>
      <c r="AJ277" s="0" t="n">
        <v>1</v>
      </c>
      <c r="AK277" s="0" t="n">
        <v>1.02</v>
      </c>
      <c r="AL277" s="0" t="n">
        <v>1</v>
      </c>
      <c r="AM277" s="0" t="n">
        <v>1</v>
      </c>
      <c r="AN277" s="0" t="n">
        <v>1</v>
      </c>
      <c r="AO277" s="0" t="n">
        <v>1</v>
      </c>
    </row>
    <row r="278" customFormat="false" ht="12.75" hidden="false" customHeight="false" outlineLevel="0" collapsed="false">
      <c r="B278" s="0" t="n">
        <v>1</v>
      </c>
      <c r="C278" s="0" t="n">
        <v>1</v>
      </c>
      <c r="D278" s="0" t="n">
        <v>1</v>
      </c>
      <c r="E278" s="0" t="n">
        <v>1</v>
      </c>
      <c r="F278" s="0" t="n">
        <v>1</v>
      </c>
      <c r="G278" s="0" t="n">
        <v>1</v>
      </c>
      <c r="H278" s="0" t="n">
        <v>1</v>
      </c>
      <c r="I278" s="0" t="n">
        <v>1</v>
      </c>
      <c r="J278" s="0" t="n">
        <v>1</v>
      </c>
      <c r="K278" s="0" t="n">
        <v>1</v>
      </c>
      <c r="L278" s="0" t="n">
        <v>1</v>
      </c>
      <c r="M278" s="0" t="n">
        <v>1</v>
      </c>
      <c r="N278" s="0" t="n">
        <v>1</v>
      </c>
      <c r="O278" s="0" t="n">
        <v>1</v>
      </c>
      <c r="P278" s="0" t="n">
        <v>1.03</v>
      </c>
      <c r="Q278" s="0" t="n">
        <v>1</v>
      </c>
      <c r="R278" s="0" t="n">
        <v>1</v>
      </c>
      <c r="S278" s="0" t="n">
        <v>1.02</v>
      </c>
      <c r="T278" s="0" t="n">
        <v>1</v>
      </c>
      <c r="U278" s="0" t="n">
        <v>1</v>
      </c>
      <c r="V278" s="0" t="n">
        <v>1</v>
      </c>
      <c r="W278" s="0" t="n">
        <v>1</v>
      </c>
      <c r="X278" s="0" t="n">
        <v>1</v>
      </c>
      <c r="Y278" s="0" t="n">
        <v>1.02</v>
      </c>
      <c r="Z278" s="0" t="n">
        <v>1</v>
      </c>
      <c r="AA278" s="0" t="n">
        <v>1</v>
      </c>
      <c r="AB278" s="0" t="n">
        <v>1</v>
      </c>
      <c r="AC278" s="0" t="n">
        <v>1</v>
      </c>
      <c r="AD278" s="0" t="n">
        <v>0.98</v>
      </c>
      <c r="AE278" s="0" t="n">
        <v>0.98</v>
      </c>
      <c r="AF278" s="0" t="n">
        <v>0.98</v>
      </c>
      <c r="AG278" s="0" t="n">
        <v>0.98</v>
      </c>
      <c r="AH278" s="0" t="n">
        <v>1.05</v>
      </c>
      <c r="AI278" s="0" t="n">
        <v>1</v>
      </c>
      <c r="AJ278" s="0" t="n">
        <v>1</v>
      </c>
      <c r="AK278" s="0" t="n">
        <v>1.02</v>
      </c>
      <c r="AL278" s="0" t="n">
        <v>1</v>
      </c>
      <c r="AM278" s="0" t="n">
        <v>1</v>
      </c>
      <c r="AN278" s="0" t="n">
        <v>1</v>
      </c>
      <c r="AO278" s="0" t="n"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O27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AG3" activePane="bottomRight" state="frozen"/>
      <selection pane="topLeft" activeCell="A1" activeCellId="0" sqref="A1"/>
      <selection pane="topRight" activeCell="AG1" activeCellId="0" sqref="AG1"/>
      <selection pane="bottomLeft" activeCell="A3" activeCellId="0" sqref="A3"/>
      <selection pane="bottomRight" activeCell="AJ9" activeCellId="0" sqref="AJ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28"/>
    <col collapsed="false" customWidth="true" hidden="false" outlineLevel="0" max="3" min="3" style="0" width="10.99"/>
    <col collapsed="false" customWidth="true" hidden="false" outlineLevel="0" max="4" min="4" style="0" width="15.99"/>
    <col collapsed="false" customWidth="true" hidden="false" outlineLevel="0" max="5" min="5" style="0" width="17.7"/>
    <col collapsed="false" customWidth="true" hidden="false" outlineLevel="0" max="6" min="6" style="0" width="11.42"/>
    <col collapsed="false" customWidth="true" hidden="false" outlineLevel="0" max="7" min="7" style="0" width="12.28"/>
    <col collapsed="false" customWidth="true" hidden="false" outlineLevel="0" max="8" min="8" style="0" width="15.13"/>
    <col collapsed="false" customWidth="true" hidden="false" outlineLevel="0" max="9" min="9" style="0" width="18.41"/>
    <col collapsed="false" customWidth="true" hidden="false" outlineLevel="0" max="10" min="10" style="0" width="13.14"/>
    <col collapsed="false" customWidth="true" hidden="false" outlineLevel="0" max="11" min="11" style="0" width="16.84"/>
    <col collapsed="false" customWidth="true" hidden="false" outlineLevel="0" max="12" min="12" style="0" width="13.41"/>
    <col collapsed="false" customWidth="true" hidden="false" outlineLevel="0" max="13" min="13" style="0" width="11.99"/>
    <col collapsed="false" customWidth="true" hidden="false" outlineLevel="0" max="14" min="14" style="0" width="12.99"/>
    <col collapsed="false" customWidth="true" hidden="false" outlineLevel="0" max="15" min="15" style="0" width="12.28"/>
    <col collapsed="false" customWidth="true" hidden="false" outlineLevel="0" max="16" min="16" style="0" width="12.42"/>
    <col collapsed="false" customWidth="true" hidden="false" outlineLevel="0" max="17" min="17" style="0" width="9.7"/>
    <col collapsed="false" customWidth="true" hidden="false" outlineLevel="0" max="18" min="18" style="0" width="14.56"/>
    <col collapsed="false" customWidth="true" hidden="false" outlineLevel="0" max="21" min="19" style="0" width="9.28"/>
    <col collapsed="false" customWidth="true" hidden="false" outlineLevel="0" max="23" min="23" style="0" width="10.85"/>
    <col collapsed="false" customWidth="true" hidden="false" outlineLevel="0" max="24" min="24" style="0" width="13.14"/>
    <col collapsed="false" customWidth="true" hidden="false" outlineLevel="0" max="25" min="25" style="0" width="13.99"/>
    <col collapsed="false" customWidth="true" hidden="false" outlineLevel="0" max="26" min="26" style="0" width="14.7"/>
    <col collapsed="false" customWidth="true" hidden="false" outlineLevel="0" max="27" min="27" style="0" width="12.42"/>
    <col collapsed="false" customWidth="true" hidden="false" outlineLevel="0" max="28" min="28" style="0" width="13.14"/>
    <col collapsed="false" customWidth="true" hidden="false" outlineLevel="0" max="29" min="29" style="0" width="10.99"/>
    <col collapsed="false" customWidth="true" hidden="false" outlineLevel="0" max="30" min="30" style="0" width="15.99"/>
    <col collapsed="false" customWidth="true" hidden="false" outlineLevel="0" max="31" min="31" style="0" width="17.42"/>
    <col collapsed="false" customWidth="true" hidden="false" outlineLevel="0" max="32" min="32" style="0" width="12.28"/>
    <col collapsed="false" customWidth="true" hidden="false" outlineLevel="0" max="33" min="33" style="0" width="14.7"/>
    <col collapsed="false" customWidth="true" hidden="false" outlineLevel="0" max="34" min="34" style="0" width="15.13"/>
    <col collapsed="false" customWidth="true" hidden="false" outlineLevel="0" max="35" min="35" style="0" width="14.56"/>
    <col collapsed="false" customWidth="true" hidden="false" outlineLevel="0" max="36" min="36" style="0" width="18.56"/>
    <col collapsed="false" customWidth="true" hidden="false" outlineLevel="0" max="37" min="37" style="0" width="17.99"/>
    <col collapsed="false" customWidth="true" hidden="false" outlineLevel="0" max="38" min="38" style="0" width="17.14"/>
    <col collapsed="false" customWidth="true" hidden="false" outlineLevel="0" max="39" min="39" style="0" width="10.85"/>
    <col collapsed="false" customWidth="true" hidden="false" outlineLevel="0" max="40" min="40" style="0" width="10.99"/>
    <col collapsed="false" customWidth="true" hidden="false" outlineLevel="0" max="41" min="41" style="0" width="5.85"/>
  </cols>
  <sheetData>
    <row r="1" customFormat="false" ht="12.75" hidden="false" customHeight="false" outlineLevel="0" collapsed="false">
      <c r="A1" s="201" t="s">
        <v>234</v>
      </c>
      <c r="B1" s="202" t="str">
        <f aca="false">B3</f>
        <v>IF-ANR/OK</v>
      </c>
      <c r="C1" s="202" t="str">
        <f aca="false">C3</f>
        <v>IF-NGPL/LA</v>
      </c>
      <c r="D1" s="202" t="str">
        <f aca="false">D3</f>
        <v>IF-NGPL/MIDCON</v>
      </c>
      <c r="E1" s="202" t="str">
        <f aca="false">E3</f>
        <v>IF-NNG/DEMARCAT</v>
      </c>
      <c r="F1" s="202" t="str">
        <f aca="false">F3</f>
        <v>IF-NNG/TOK</v>
      </c>
      <c r="G1" s="202" t="str">
        <f aca="false">G3</f>
        <v>IF-NNG/VENT</v>
      </c>
      <c r="H1" s="202" t="str">
        <f aca="false">H3</f>
        <v>IF-NORAM/EAST</v>
      </c>
      <c r="I1" s="202" t="str">
        <f aca="false">I3</f>
        <v>IF-ONG/OKLAHOMA</v>
      </c>
      <c r="J1" s="202" t="str">
        <f aca="false">J3</f>
        <v>IF-PAN/TX/OK</v>
      </c>
      <c r="K1" s="202" t="str">
        <f aca="false">K3</f>
        <v>IF-TRUNKL/FLDZN</v>
      </c>
      <c r="L1" s="202" t="str">
        <f aca="false">L3</f>
        <v>IF-TRUNKL/LA</v>
      </c>
      <c r="M1" s="202" t="str">
        <f aca="false">M3</f>
        <v>IF-WNG/TOK</v>
      </c>
      <c r="N1" s="202" t="str">
        <f aca="false">N3</f>
        <v>NGI/CHI.GATE</v>
      </c>
      <c r="O1" s="202" t="str">
        <f aca="false">O3</f>
        <v>CGPR-DAWN</v>
      </c>
      <c r="P1" s="202" t="str">
        <f aca="false">P3</f>
        <v>MICH_CG-GD</v>
      </c>
      <c r="Q1" s="202" t="str">
        <f aca="false">Q3</f>
        <v>MRT-GDM</v>
      </c>
      <c r="R1" s="202" t="str">
        <f aca="false">R3</f>
        <v>IF-COLGULF/LA</v>
      </c>
      <c r="S1" s="202" t="str">
        <f aca="false">S3</f>
        <v>IF-FGT/Z1</v>
      </c>
      <c r="T1" s="202" t="str">
        <f aca="false">T3</f>
        <v>IF-FGT/Z2</v>
      </c>
      <c r="U1" s="202" t="str">
        <f aca="false">U3</f>
        <v>IF-FGT/Z3</v>
      </c>
      <c r="V1" s="202" t="str">
        <f aca="false">V3</f>
        <v>IF-HEHUB</v>
      </c>
      <c r="W1" s="202" t="str">
        <f aca="false">W3</f>
        <v>IF-TENN/LA</v>
      </c>
      <c r="X1" s="202" t="str">
        <f aca="false">X3</f>
        <v>IF-TETCO/ELA</v>
      </c>
      <c r="Y1" s="202" t="str">
        <f aca="false">Y3</f>
        <v>IF-TETCO/WLA</v>
      </c>
      <c r="Z1" s="202" t="str">
        <f aca="false">Z3</f>
        <v>IF-TRANSCO/Z3</v>
      </c>
      <c r="AA1" s="202" t="str">
        <f aca="false">AA3</f>
        <v>IF-SONAT/LA</v>
      </c>
      <c r="AB1" s="202" t="str">
        <f aca="false">AB3</f>
        <v>IF-TETCO/ETX</v>
      </c>
      <c r="AC1" s="202" t="str">
        <f aca="false">AC3</f>
        <v>IF-HPL/HSC</v>
      </c>
      <c r="AD1" s="202" t="str">
        <f aca="false">AD3</f>
        <v>IF-CGT/APPALAC</v>
      </c>
      <c r="AE1" s="202" t="str">
        <f aca="false">AE3</f>
        <v>IF-CNG/APPALACH</v>
      </c>
      <c r="AF1" s="202" t="str">
        <f aca="false">AF3</f>
        <v>IF-TETCO/M3</v>
      </c>
      <c r="AG1" s="202" t="str">
        <f aca="false">AG3</f>
        <v>IF-TRANSCO/Z6</v>
      </c>
      <c r="AH1" s="202" t="str">
        <f aca="false">AH3</f>
        <v>DJ/BASIN/WEST</v>
      </c>
      <c r="AI1" s="202" t="str">
        <f aca="false">AI3</f>
        <v>IF-CIG/RKYMTN</v>
      </c>
      <c r="AJ1" s="202" t="str">
        <f aca="false">AJ3</f>
        <v>IF-NWPL_ROCKY_M</v>
      </c>
      <c r="AK1" s="202" t="str">
        <f aca="false">AK3</f>
        <v>IF-NTHWST/CANBR</v>
      </c>
      <c r="AL1" s="202" t="str">
        <f aca="false">AL3</f>
        <v>IF-ELPO/PERMIAN</v>
      </c>
      <c r="AM1" s="202" t="str">
        <f aca="false">AM3</f>
        <v>IF-ELPO/SJ</v>
      </c>
      <c r="AN1" s="202" t="str">
        <f aca="false">AN3</f>
        <v>NGI-SOCAL</v>
      </c>
      <c r="AO1" s="202" t="str">
        <f aca="false">AO3</f>
        <v>KNX1</v>
      </c>
    </row>
    <row r="2" customFormat="false" ht="12.75" hidden="false" customHeight="false" outlineLevel="0" collapsed="false">
      <c r="A2" s="203"/>
      <c r="B2" s="204" t="n">
        <v>2</v>
      </c>
      <c r="C2" s="204" t="n">
        <f aca="false">B2+1</f>
        <v>3</v>
      </c>
      <c r="D2" s="204" t="n">
        <f aca="false">C2+1</f>
        <v>4</v>
      </c>
      <c r="E2" s="204" t="n">
        <f aca="false">D2+1</f>
        <v>5</v>
      </c>
      <c r="F2" s="204" t="n">
        <f aca="false">E2+1</f>
        <v>6</v>
      </c>
      <c r="G2" s="204" t="n">
        <f aca="false">F2+1</f>
        <v>7</v>
      </c>
      <c r="H2" s="204" t="n">
        <f aca="false">G2+1</f>
        <v>8</v>
      </c>
      <c r="I2" s="204" t="n">
        <f aca="false">H2+1</f>
        <v>9</v>
      </c>
      <c r="J2" s="204" t="n">
        <f aca="false">I2+1</f>
        <v>10</v>
      </c>
      <c r="K2" s="204" t="n">
        <f aca="false">J2+1</f>
        <v>11</v>
      </c>
      <c r="L2" s="204" t="n">
        <f aca="false">K2+1</f>
        <v>12</v>
      </c>
      <c r="M2" s="204" t="n">
        <f aca="false">L2+1</f>
        <v>13</v>
      </c>
      <c r="N2" s="204" t="n">
        <f aca="false">M2+1</f>
        <v>14</v>
      </c>
      <c r="O2" s="204" t="n">
        <f aca="false">N2+1</f>
        <v>15</v>
      </c>
      <c r="P2" s="204" t="n">
        <f aca="false">O2+1</f>
        <v>16</v>
      </c>
      <c r="Q2" s="204" t="n">
        <f aca="false">P2+1</f>
        <v>17</v>
      </c>
      <c r="R2" s="204" t="n">
        <f aca="false">Q2+1</f>
        <v>18</v>
      </c>
      <c r="S2" s="204" t="n">
        <f aca="false">R2+1</f>
        <v>19</v>
      </c>
      <c r="T2" s="204" t="n">
        <f aca="false">S2+1</f>
        <v>20</v>
      </c>
      <c r="U2" s="204" t="n">
        <f aca="false">T2+1</f>
        <v>21</v>
      </c>
      <c r="V2" s="204" t="n">
        <f aca="false">U2+1</f>
        <v>22</v>
      </c>
      <c r="W2" s="204" t="n">
        <f aca="false">V2+1</f>
        <v>23</v>
      </c>
      <c r="X2" s="204" t="n">
        <f aca="false">W2+1</f>
        <v>24</v>
      </c>
      <c r="Y2" s="204" t="n">
        <f aca="false">X2+1</f>
        <v>25</v>
      </c>
      <c r="Z2" s="204" t="n">
        <f aca="false">Y2+1</f>
        <v>26</v>
      </c>
      <c r="AA2" s="204" t="n">
        <f aca="false">Z2+1</f>
        <v>27</v>
      </c>
      <c r="AB2" s="204" t="n">
        <f aca="false">AA2+1</f>
        <v>28</v>
      </c>
      <c r="AC2" s="204" t="n">
        <f aca="false">AB2+1</f>
        <v>29</v>
      </c>
      <c r="AD2" s="204" t="n">
        <f aca="false">AC2+1</f>
        <v>30</v>
      </c>
      <c r="AE2" s="204" t="n">
        <f aca="false">AD2+1</f>
        <v>31</v>
      </c>
      <c r="AF2" s="204" t="n">
        <f aca="false">AE2+1</f>
        <v>32</v>
      </c>
      <c r="AG2" s="204" t="n">
        <f aca="false">AF2+1</f>
        <v>33</v>
      </c>
      <c r="AH2" s="204" t="n">
        <f aca="false">AG2+1</f>
        <v>34</v>
      </c>
      <c r="AI2" s="204" t="n">
        <f aca="false">AH2+1</f>
        <v>35</v>
      </c>
      <c r="AJ2" s="204" t="n">
        <f aca="false">AI2+1</f>
        <v>36</v>
      </c>
      <c r="AK2" s="204" t="n">
        <f aca="false">AJ2+1</f>
        <v>37</v>
      </c>
      <c r="AL2" s="204" t="n">
        <f aca="false">AK2+1</f>
        <v>38</v>
      </c>
      <c r="AM2" s="204" t="n">
        <f aca="false">AL2+1</f>
        <v>39</v>
      </c>
      <c r="AN2" s="204" t="n">
        <f aca="false">AM2+1</f>
        <v>40</v>
      </c>
      <c r="AO2" s="204" t="n">
        <f aca="false">AN2+1</f>
        <v>41</v>
      </c>
    </row>
    <row r="3" customFormat="false" ht="12.75" hidden="false" customHeight="false" outlineLevel="0" collapsed="false">
      <c r="A3" s="167"/>
      <c r="B3" s="168" t="s">
        <v>73</v>
      </c>
      <c r="C3" s="168" t="s">
        <v>95</v>
      </c>
      <c r="D3" s="168" t="s">
        <v>96</v>
      </c>
      <c r="E3" s="168" t="s">
        <v>98</v>
      </c>
      <c r="F3" s="168" t="s">
        <v>99</v>
      </c>
      <c r="G3" s="168" t="s">
        <v>67</v>
      </c>
      <c r="H3" s="168" t="s">
        <v>32</v>
      </c>
      <c r="I3" s="168" t="s">
        <v>101</v>
      </c>
      <c r="J3" s="168" t="s">
        <v>47</v>
      </c>
      <c r="K3" s="168" t="s">
        <v>110</v>
      </c>
      <c r="L3" s="168" t="s">
        <v>89</v>
      </c>
      <c r="M3" s="168" t="s">
        <v>113</v>
      </c>
      <c r="N3" s="168" t="s">
        <v>197</v>
      </c>
      <c r="O3" s="168" t="s">
        <v>198</v>
      </c>
      <c r="P3" s="168" t="s">
        <v>58</v>
      </c>
      <c r="Q3" s="168" t="s">
        <v>199</v>
      </c>
      <c r="R3" s="168" t="s">
        <v>88</v>
      </c>
      <c r="S3" s="168" t="s">
        <v>90</v>
      </c>
      <c r="T3" s="168" t="s">
        <v>91</v>
      </c>
      <c r="U3" s="168" t="s">
        <v>92</v>
      </c>
      <c r="V3" s="168" t="s">
        <v>93</v>
      </c>
      <c r="W3" s="168" t="s">
        <v>71</v>
      </c>
      <c r="X3" s="168" t="s">
        <v>70</v>
      </c>
      <c r="Y3" s="168" t="s">
        <v>105</v>
      </c>
      <c r="Z3" s="168" t="s">
        <v>109</v>
      </c>
      <c r="AA3" s="168" t="s">
        <v>86</v>
      </c>
      <c r="AB3" s="168" t="s">
        <v>200</v>
      </c>
      <c r="AC3" s="168" t="s">
        <v>201</v>
      </c>
      <c r="AD3" s="168" t="s">
        <v>38</v>
      </c>
      <c r="AE3" s="168" t="s">
        <v>87</v>
      </c>
      <c r="AF3" s="168" t="s">
        <v>117</v>
      </c>
      <c r="AG3" s="168" t="s">
        <v>35</v>
      </c>
      <c r="AH3" s="168" t="s">
        <v>202</v>
      </c>
      <c r="AI3" s="168" t="s">
        <v>69</v>
      </c>
      <c r="AJ3" s="168" t="s">
        <v>37</v>
      </c>
      <c r="AK3" s="0" t="s">
        <v>100</v>
      </c>
      <c r="AL3" s="0" t="s">
        <v>64</v>
      </c>
      <c r="AM3" s="0" t="s">
        <v>42</v>
      </c>
      <c r="AN3" s="0" t="s">
        <v>75</v>
      </c>
      <c r="AO3" s="0" t="s">
        <v>203</v>
      </c>
    </row>
    <row r="4" customFormat="false" ht="12.75" hidden="false" customHeight="false" outlineLevel="0" collapsed="false">
      <c r="A4" s="167" t="n">
        <v>36800</v>
      </c>
      <c r="B4" s="168" t="n">
        <f aca="false">'VOL DWNLD'!B4+'VOL DELTA'!B4</f>
        <v>1</v>
      </c>
      <c r="C4" s="168" t="n">
        <f aca="false">'VOL DWNLD'!C4+'VOL DELTA'!C4</f>
        <v>1</v>
      </c>
      <c r="D4" s="168" t="n">
        <f aca="false">'VOL DWNLD'!D4+'VOL DELTA'!D4</f>
        <v>1</v>
      </c>
      <c r="E4" s="168" t="n">
        <f aca="false">'VOL DWNLD'!E4+'VOL DELTA'!E4</f>
        <v>1</v>
      </c>
      <c r="F4" s="168" t="n">
        <f aca="false">'VOL DWNLD'!F4+'VOL DELTA'!F4</f>
        <v>1</v>
      </c>
      <c r="G4" s="168" t="n">
        <f aca="false">'VOL DWNLD'!G4+'VOL DELTA'!G4</f>
        <v>1</v>
      </c>
      <c r="H4" s="168" t="n">
        <f aca="false">'VOL DWNLD'!H4+'VOL DELTA'!H4</f>
        <v>1</v>
      </c>
      <c r="I4" s="168" t="n">
        <f aca="false">'VOL DWNLD'!I4+'VOL DELTA'!I4</f>
        <v>1</v>
      </c>
      <c r="J4" s="168" t="n">
        <f aca="false">'VOL DWNLD'!J4+'VOL DELTA'!J4</f>
        <v>1</v>
      </c>
      <c r="K4" s="168" t="n">
        <f aca="false">'VOL DWNLD'!K4+'VOL DELTA'!K4</f>
        <v>1</v>
      </c>
      <c r="L4" s="168" t="n">
        <f aca="false">'VOL DWNLD'!L4+'VOL DELTA'!L4</f>
        <v>1</v>
      </c>
      <c r="M4" s="168" t="n">
        <f aca="false">'VOL DWNLD'!M4+'VOL DELTA'!M4</f>
        <v>1</v>
      </c>
      <c r="N4" s="168" t="n">
        <f aca="false">'VOL DWNLD'!N4+'VOL DELTA'!N4</f>
        <v>1</v>
      </c>
      <c r="O4" s="168" t="n">
        <f aca="false">'VOL DWNLD'!O4+'VOL DELTA'!O4</f>
        <v>1</v>
      </c>
      <c r="P4" s="168" t="n">
        <f aca="false">'VOL DWNLD'!P4+'VOL DELTA'!P4</f>
        <v>1.05</v>
      </c>
      <c r="Q4" s="168" t="n">
        <f aca="false">'VOL DWNLD'!Q4+'VOL DELTA'!Q4</f>
        <v>1</v>
      </c>
      <c r="R4" s="168" t="n">
        <f aca="false">'VOL DWNLD'!R4+'VOL DELTA'!R4</f>
        <v>1</v>
      </c>
      <c r="S4" s="168" t="n">
        <f aca="false">'VOL DWNLD'!S4+'VOL DELTA'!S4</f>
        <v>1.02</v>
      </c>
      <c r="T4" s="168" t="n">
        <f aca="false">'VOL DWNLD'!T4+'VOL DELTA'!T4</f>
        <v>1</v>
      </c>
      <c r="U4" s="168" t="n">
        <f aca="false">'VOL DWNLD'!U4+'VOL DELTA'!U4</f>
        <v>1</v>
      </c>
      <c r="V4" s="168" t="n">
        <f aca="false">'VOL DWNLD'!V4+'VOL DELTA'!V4</f>
        <v>1</v>
      </c>
      <c r="W4" s="168" t="n">
        <f aca="false">'VOL DWNLD'!W4+'VOL DELTA'!W4</f>
        <v>1</v>
      </c>
      <c r="X4" s="168" t="n">
        <f aca="false">'VOL DWNLD'!X4+'VOL DELTA'!X4</f>
        <v>1</v>
      </c>
      <c r="Y4" s="168" t="n">
        <f aca="false">'VOL DWNLD'!Y4+'VOL DELTA'!Y4</f>
        <v>1.02</v>
      </c>
      <c r="Z4" s="168" t="n">
        <f aca="false">'VOL DWNLD'!Z4+'VOL DELTA'!Z4</f>
        <v>1</v>
      </c>
      <c r="AA4" s="168" t="n">
        <f aca="false">'VOL DWNLD'!AA4+'VOL DELTA'!AA4</f>
        <v>1</v>
      </c>
      <c r="AB4" s="168" t="n">
        <f aca="false">'VOL DWNLD'!AB4+'VOL DELTA'!AB4</f>
        <v>1</v>
      </c>
      <c r="AC4" s="168" t="n">
        <f aca="false">'VOL DWNLD'!AC4+'VOL DELTA'!AC4</f>
        <v>1</v>
      </c>
      <c r="AD4" s="168" t="n">
        <f aca="false">'VOL DWNLD'!AD4+'VOL DELTA'!AD4</f>
        <v>0.98</v>
      </c>
      <c r="AE4" s="168" t="n">
        <f aca="false">'VOL DWNLD'!AE4+'VOL DELTA'!AE4</f>
        <v>0.98</v>
      </c>
      <c r="AF4" s="168" t="n">
        <f aca="false">'VOL DWNLD'!AF4+'VOL DELTA'!AF4</f>
        <v>0.98</v>
      </c>
      <c r="AG4" s="168" t="n">
        <f aca="false">'VOL DWNLD'!AG4+'VOL DELTA'!AG4</f>
        <v>0.98</v>
      </c>
      <c r="AH4" s="168" t="n">
        <f aca="false">'VOL DWNLD'!AH4+'VOL DELTA'!AH4</f>
        <v>1.05</v>
      </c>
      <c r="AI4" s="168" t="n">
        <f aca="false">'VOL DWNLD'!AI4+'VOL DELTA'!AI4</f>
        <v>0.94</v>
      </c>
      <c r="AJ4" s="168" t="n">
        <f aca="false">'VOL DWNLD'!AJ4+'VOL DELTA'!AJ4</f>
        <v>0.96</v>
      </c>
      <c r="AK4" s="168" t="n">
        <f aca="false">'VOL DWNLD'!AK4+'VOL DELTA'!AK4</f>
        <v>1.02</v>
      </c>
      <c r="AL4" s="168" t="n">
        <f aca="false">'VOL DWNLD'!AL4+'VOL DELTA'!AL4</f>
        <v>1</v>
      </c>
      <c r="AM4" s="168" t="n">
        <f aca="false">'VOL DWNLD'!AM4+'VOL DELTA'!AM4</f>
        <v>0.96</v>
      </c>
      <c r="AN4" s="168" t="n">
        <f aca="false">'VOL DWNLD'!AN4+'VOL DELTA'!AN4</f>
        <v>0.94</v>
      </c>
      <c r="AO4" s="168" t="n">
        <f aca="false">'VOL DWNLD'!AO4+'VOL DELTA'!AO4</f>
        <v>1</v>
      </c>
    </row>
    <row r="5" customFormat="false" ht="12.75" hidden="false" customHeight="false" outlineLevel="0" collapsed="false">
      <c r="A5" s="167" t="n">
        <v>36831</v>
      </c>
      <c r="B5" s="168" t="n">
        <f aca="false">'VOL DWNLD'!B5+'VOL DELTA'!B5</f>
        <v>1</v>
      </c>
      <c r="C5" s="168" t="n">
        <f aca="false">'VOL DWNLD'!C5+'VOL DELTA'!C5</f>
        <v>1</v>
      </c>
      <c r="D5" s="168" t="n">
        <f aca="false">'VOL DWNLD'!D5+'VOL DELTA'!D5</f>
        <v>1</v>
      </c>
      <c r="E5" s="168" t="n">
        <f aca="false">'VOL DWNLD'!E5+'VOL DELTA'!E5</f>
        <v>1</v>
      </c>
      <c r="F5" s="168" t="n">
        <f aca="false">'VOL DWNLD'!F5+'VOL DELTA'!F5</f>
        <v>1</v>
      </c>
      <c r="G5" s="168" t="n">
        <f aca="false">'VOL DWNLD'!G5+'VOL DELTA'!G5</f>
        <v>1.05</v>
      </c>
      <c r="H5" s="168" t="n">
        <f aca="false">'VOL DWNLD'!H5+'VOL DELTA'!H5</f>
        <v>1</v>
      </c>
      <c r="I5" s="168" t="n">
        <f aca="false">'VOL DWNLD'!I5+'VOL DELTA'!I5</f>
        <v>1</v>
      </c>
      <c r="J5" s="168" t="n">
        <f aca="false">'VOL DWNLD'!J5+'VOL DELTA'!J5</f>
        <v>1</v>
      </c>
      <c r="K5" s="168" t="n">
        <f aca="false">'VOL DWNLD'!K5+'VOL DELTA'!K5</f>
        <v>1</v>
      </c>
      <c r="L5" s="168" t="n">
        <f aca="false">'VOL DWNLD'!L5+'VOL DELTA'!L5</f>
        <v>1</v>
      </c>
      <c r="M5" s="168" t="n">
        <f aca="false">'VOL DWNLD'!M5+'VOL DELTA'!M5</f>
        <v>1</v>
      </c>
      <c r="N5" s="168" t="n">
        <f aca="false">'VOL DWNLD'!N5+'VOL DELTA'!N5</f>
        <v>1</v>
      </c>
      <c r="O5" s="168" t="n">
        <f aca="false">'VOL DWNLD'!O5+'VOL DELTA'!O5</f>
        <v>1</v>
      </c>
      <c r="P5" s="168" t="n">
        <f aca="false">'VOL DWNLD'!P5+'VOL DELTA'!P5</f>
        <v>1.05</v>
      </c>
      <c r="Q5" s="168" t="n">
        <f aca="false">'VOL DWNLD'!Q5+'VOL DELTA'!Q5</f>
        <v>1</v>
      </c>
      <c r="R5" s="168" t="n">
        <f aca="false">'VOL DWNLD'!R5+'VOL DELTA'!R5</f>
        <v>1</v>
      </c>
      <c r="S5" s="168" t="n">
        <f aca="false">'VOL DWNLD'!S5+'VOL DELTA'!S5</f>
        <v>1.02</v>
      </c>
      <c r="T5" s="168" t="n">
        <f aca="false">'VOL DWNLD'!T5+'VOL DELTA'!T5</f>
        <v>1</v>
      </c>
      <c r="U5" s="168" t="n">
        <f aca="false">'VOL DWNLD'!U5+'VOL DELTA'!U5</f>
        <v>1</v>
      </c>
      <c r="V5" s="168" t="n">
        <f aca="false">'VOL DWNLD'!V5+'VOL DELTA'!V5</f>
        <v>1</v>
      </c>
      <c r="W5" s="168" t="n">
        <f aca="false">'VOL DWNLD'!W5+'VOL DELTA'!W5</f>
        <v>1</v>
      </c>
      <c r="X5" s="168" t="n">
        <f aca="false">'VOL DWNLD'!X5+'VOL DELTA'!X5</f>
        <v>1</v>
      </c>
      <c r="Y5" s="168" t="n">
        <f aca="false">'VOL DWNLD'!Y5+'VOL DELTA'!Y5</f>
        <v>1</v>
      </c>
      <c r="Z5" s="168" t="n">
        <f aca="false">'VOL DWNLD'!Z5+'VOL DELTA'!Z5</f>
        <v>1</v>
      </c>
      <c r="AA5" s="168" t="n">
        <f aca="false">'VOL DWNLD'!AA5+'VOL DELTA'!AA5</f>
        <v>1</v>
      </c>
      <c r="AB5" s="168" t="n">
        <f aca="false">'VOL DWNLD'!AB5+'VOL DELTA'!AB5</f>
        <v>1</v>
      </c>
      <c r="AC5" s="168" t="n">
        <f aca="false">'VOL DWNLD'!AC5+'VOL DELTA'!AC5</f>
        <v>1</v>
      </c>
      <c r="AD5" s="168" t="n">
        <f aca="false">'VOL DWNLD'!AD5+'VOL DELTA'!AD5</f>
        <v>1</v>
      </c>
      <c r="AE5" s="168" t="n">
        <f aca="false">'VOL DWNLD'!AE5+'VOL DELTA'!AE5</f>
        <v>1.05</v>
      </c>
      <c r="AF5" s="168" t="n">
        <f aca="false">'VOL DWNLD'!AF5+'VOL DELTA'!AF5</f>
        <v>1.1</v>
      </c>
      <c r="AG5" s="168" t="n">
        <f aca="false">'VOL DWNLD'!AG5+'VOL DELTA'!AG5</f>
        <v>1.05</v>
      </c>
      <c r="AH5" s="168" t="n">
        <f aca="false">'VOL DWNLD'!AH5+'VOL DELTA'!AH5</f>
        <v>1.05</v>
      </c>
      <c r="AI5" s="168" t="n">
        <f aca="false">'VOL DWNLD'!AI5+'VOL DELTA'!AI5</f>
        <v>0.97</v>
      </c>
      <c r="AJ5" s="168" t="n">
        <f aca="false">'VOL DWNLD'!AJ5+'VOL DELTA'!AJ5</f>
        <v>0.96</v>
      </c>
      <c r="AK5" s="168" t="n">
        <f aca="false">'VOL DWNLD'!AK5+'VOL DELTA'!AK5</f>
        <v>1.05</v>
      </c>
      <c r="AL5" s="168" t="n">
        <f aca="false">'VOL DWNLD'!AL5+'VOL DELTA'!AL5</f>
        <v>1</v>
      </c>
      <c r="AM5" s="168" t="n">
        <f aca="false">'VOL DWNLD'!AM5+'VOL DELTA'!AM5</f>
        <v>0.96</v>
      </c>
      <c r="AN5" s="168" t="n">
        <f aca="false">'VOL DWNLD'!AN5+'VOL DELTA'!AN5</f>
        <v>0.97</v>
      </c>
      <c r="AO5" s="168" t="n">
        <f aca="false">'VOL DWNLD'!AO5+'VOL DELTA'!AO5</f>
        <v>1</v>
      </c>
    </row>
    <row r="6" customFormat="false" ht="12.75" hidden="false" customHeight="false" outlineLevel="0" collapsed="false">
      <c r="A6" s="167" t="n">
        <v>36861</v>
      </c>
      <c r="B6" s="168" t="n">
        <f aca="false">'VOL DWNLD'!B6+'VOL DELTA'!B6</f>
        <v>1</v>
      </c>
      <c r="C6" s="168" t="n">
        <f aca="false">'VOL DWNLD'!C6+'VOL DELTA'!C6</f>
        <v>1</v>
      </c>
      <c r="D6" s="168" t="n">
        <f aca="false">'VOL DWNLD'!D6+'VOL DELTA'!D6</f>
        <v>1</v>
      </c>
      <c r="E6" s="168" t="n">
        <f aca="false">'VOL DWNLD'!E6+'VOL DELTA'!E6</f>
        <v>1</v>
      </c>
      <c r="F6" s="168" t="n">
        <f aca="false">'VOL DWNLD'!F6+'VOL DELTA'!F6</f>
        <v>1</v>
      </c>
      <c r="G6" s="168" t="n">
        <f aca="false">'VOL DWNLD'!G6+'VOL DELTA'!G6</f>
        <v>1.05</v>
      </c>
      <c r="H6" s="168" t="n">
        <f aca="false">'VOL DWNLD'!H6+'VOL DELTA'!H6</f>
        <v>1</v>
      </c>
      <c r="I6" s="168" t="n">
        <f aca="false">'VOL DWNLD'!I6+'VOL DELTA'!I6</f>
        <v>1</v>
      </c>
      <c r="J6" s="168" t="n">
        <f aca="false">'VOL DWNLD'!J6+'VOL DELTA'!J6</f>
        <v>1</v>
      </c>
      <c r="K6" s="168" t="n">
        <f aca="false">'VOL DWNLD'!K6+'VOL DELTA'!K6</f>
        <v>1</v>
      </c>
      <c r="L6" s="168" t="n">
        <f aca="false">'VOL DWNLD'!L6+'VOL DELTA'!L6</f>
        <v>1</v>
      </c>
      <c r="M6" s="168" t="n">
        <f aca="false">'VOL DWNLD'!M6+'VOL DELTA'!M6</f>
        <v>1</v>
      </c>
      <c r="N6" s="168" t="n">
        <f aca="false">'VOL DWNLD'!N6+'VOL DELTA'!N6</f>
        <v>1</v>
      </c>
      <c r="O6" s="168" t="n">
        <f aca="false">'VOL DWNLD'!O6+'VOL DELTA'!O6</f>
        <v>1</v>
      </c>
      <c r="P6" s="168" t="n">
        <f aca="false">'VOL DWNLD'!P6+'VOL DELTA'!P6</f>
        <v>1.05</v>
      </c>
      <c r="Q6" s="168" t="n">
        <f aca="false">'VOL DWNLD'!Q6+'VOL DELTA'!Q6</f>
        <v>1</v>
      </c>
      <c r="R6" s="168" t="n">
        <f aca="false">'VOL DWNLD'!R6+'VOL DELTA'!R6</f>
        <v>1</v>
      </c>
      <c r="S6" s="168" t="n">
        <f aca="false">'VOL DWNLD'!S6+'VOL DELTA'!S6</f>
        <v>1.02</v>
      </c>
      <c r="T6" s="168" t="n">
        <f aca="false">'VOL DWNLD'!T6+'VOL DELTA'!T6</f>
        <v>1</v>
      </c>
      <c r="U6" s="168" t="n">
        <f aca="false">'VOL DWNLD'!U6+'VOL DELTA'!U6</f>
        <v>1</v>
      </c>
      <c r="V6" s="168" t="n">
        <f aca="false">'VOL DWNLD'!V6+'VOL DELTA'!V6</f>
        <v>1</v>
      </c>
      <c r="W6" s="168" t="n">
        <f aca="false">'VOL DWNLD'!W6+'VOL DELTA'!W6</f>
        <v>1</v>
      </c>
      <c r="X6" s="168" t="n">
        <f aca="false">'VOL DWNLD'!X6+'VOL DELTA'!X6</f>
        <v>1</v>
      </c>
      <c r="Y6" s="168" t="n">
        <f aca="false">'VOL DWNLD'!Y6+'VOL DELTA'!Y6</f>
        <v>1</v>
      </c>
      <c r="Z6" s="168" t="n">
        <f aca="false">'VOL DWNLD'!Z6+'VOL DELTA'!Z6</f>
        <v>1</v>
      </c>
      <c r="AA6" s="168" t="n">
        <f aca="false">'VOL DWNLD'!AA6+'VOL DELTA'!AA6</f>
        <v>1</v>
      </c>
      <c r="AB6" s="168" t="n">
        <f aca="false">'VOL DWNLD'!AB6+'VOL DELTA'!AB6</f>
        <v>1</v>
      </c>
      <c r="AC6" s="168" t="n">
        <f aca="false">'VOL DWNLD'!AC6+'VOL DELTA'!AC6</f>
        <v>1</v>
      </c>
      <c r="AD6" s="168" t="n">
        <f aca="false">'VOL DWNLD'!AD6+'VOL DELTA'!AD6</f>
        <v>1</v>
      </c>
      <c r="AE6" s="168" t="n">
        <f aca="false">'VOL DWNLD'!AE6+'VOL DELTA'!AE6</f>
        <v>1.05</v>
      </c>
      <c r="AF6" s="168" t="n">
        <f aca="false">'VOL DWNLD'!AF6+'VOL DELTA'!AF6</f>
        <v>1.1</v>
      </c>
      <c r="AG6" s="168" t="n">
        <f aca="false">'VOL DWNLD'!AG6+'VOL DELTA'!AG6</f>
        <v>1.3</v>
      </c>
      <c r="AH6" s="168" t="n">
        <f aca="false">'VOL DWNLD'!AH6+'VOL DELTA'!AH6</f>
        <v>1.05</v>
      </c>
      <c r="AI6" s="168" t="n">
        <f aca="false">'VOL DWNLD'!AI6+'VOL DELTA'!AI6</f>
        <v>0.97</v>
      </c>
      <c r="AJ6" s="168" t="n">
        <f aca="false">'VOL DWNLD'!AJ6+'VOL DELTA'!AJ6</f>
        <v>0.96</v>
      </c>
      <c r="AK6" s="168" t="n">
        <f aca="false">'VOL DWNLD'!AK6+'VOL DELTA'!AK6</f>
        <v>1.05</v>
      </c>
      <c r="AL6" s="168" t="n">
        <f aca="false">'VOL DWNLD'!AL6+'VOL DELTA'!AL6</f>
        <v>1</v>
      </c>
      <c r="AM6" s="168" t="n">
        <f aca="false">'VOL DWNLD'!AM6+'VOL DELTA'!AM6</f>
        <v>0.96</v>
      </c>
      <c r="AN6" s="168" t="n">
        <f aca="false">'VOL DWNLD'!AN6+'VOL DELTA'!AN6</f>
        <v>0.97</v>
      </c>
      <c r="AO6" s="168" t="n">
        <f aca="false">'VOL DWNLD'!AO6+'VOL DELTA'!AO6</f>
        <v>1</v>
      </c>
    </row>
    <row r="7" customFormat="false" ht="12.75" hidden="false" customHeight="false" outlineLevel="0" collapsed="false">
      <c r="A7" s="167" t="n">
        <v>36892</v>
      </c>
      <c r="B7" s="168" t="n">
        <f aca="false">'VOL DWNLD'!B7+'VOL DELTA'!B7</f>
        <v>1</v>
      </c>
      <c r="C7" s="168" t="n">
        <f aca="false">'VOL DWNLD'!C7+'VOL DELTA'!C7</f>
        <v>1</v>
      </c>
      <c r="D7" s="168" t="n">
        <f aca="false">'VOL DWNLD'!D7+'VOL DELTA'!D7</f>
        <v>1</v>
      </c>
      <c r="E7" s="168" t="n">
        <f aca="false">'VOL DWNLD'!E7+'VOL DELTA'!E7</f>
        <v>1</v>
      </c>
      <c r="F7" s="168" t="n">
        <f aca="false">'VOL DWNLD'!F7+'VOL DELTA'!F7</f>
        <v>1</v>
      </c>
      <c r="G7" s="168" t="n">
        <f aca="false">'VOL DWNLD'!G7+'VOL DELTA'!G7</f>
        <v>1.05</v>
      </c>
      <c r="H7" s="168" t="n">
        <f aca="false">'VOL DWNLD'!H7+'VOL DELTA'!H7</f>
        <v>1</v>
      </c>
      <c r="I7" s="168" t="n">
        <f aca="false">'VOL DWNLD'!I7+'VOL DELTA'!I7</f>
        <v>1</v>
      </c>
      <c r="J7" s="168" t="n">
        <f aca="false">'VOL DWNLD'!J7+'VOL DELTA'!J7</f>
        <v>1</v>
      </c>
      <c r="K7" s="168" t="n">
        <f aca="false">'VOL DWNLD'!K7+'VOL DELTA'!K7</f>
        <v>1</v>
      </c>
      <c r="L7" s="168" t="n">
        <f aca="false">'VOL DWNLD'!L7+'VOL DELTA'!L7</f>
        <v>1</v>
      </c>
      <c r="M7" s="168" t="n">
        <f aca="false">'VOL DWNLD'!M7+'VOL DELTA'!M7</f>
        <v>1</v>
      </c>
      <c r="N7" s="168" t="n">
        <f aca="false">'VOL DWNLD'!N7+'VOL DELTA'!N7</f>
        <v>1</v>
      </c>
      <c r="O7" s="168" t="n">
        <f aca="false">'VOL DWNLD'!O7+'VOL DELTA'!O7</f>
        <v>1</v>
      </c>
      <c r="P7" s="168" t="n">
        <f aca="false">'VOL DWNLD'!P7+'VOL DELTA'!P7</f>
        <v>1.05</v>
      </c>
      <c r="Q7" s="168" t="n">
        <f aca="false">'VOL DWNLD'!Q7+'VOL DELTA'!Q7</f>
        <v>1</v>
      </c>
      <c r="R7" s="168" t="n">
        <f aca="false">'VOL DWNLD'!R7+'VOL DELTA'!R7</f>
        <v>1</v>
      </c>
      <c r="S7" s="168" t="n">
        <f aca="false">'VOL DWNLD'!S7+'VOL DELTA'!S7</f>
        <v>1.02</v>
      </c>
      <c r="T7" s="168" t="n">
        <f aca="false">'VOL DWNLD'!T7+'VOL DELTA'!T7</f>
        <v>1</v>
      </c>
      <c r="U7" s="168" t="n">
        <f aca="false">'VOL DWNLD'!U7+'VOL DELTA'!U7</f>
        <v>1</v>
      </c>
      <c r="V7" s="168" t="n">
        <f aca="false">'VOL DWNLD'!V7+'VOL DELTA'!V7</f>
        <v>1</v>
      </c>
      <c r="W7" s="168" t="n">
        <f aca="false">'VOL DWNLD'!W7+'VOL DELTA'!W7</f>
        <v>1</v>
      </c>
      <c r="X7" s="168" t="n">
        <f aca="false">'VOL DWNLD'!X7+'VOL DELTA'!X7</f>
        <v>1</v>
      </c>
      <c r="Y7" s="168" t="n">
        <f aca="false">'VOL DWNLD'!Y7+'VOL DELTA'!Y7</f>
        <v>1</v>
      </c>
      <c r="Z7" s="168" t="n">
        <f aca="false">'VOL DWNLD'!Z7+'VOL DELTA'!Z7</f>
        <v>1</v>
      </c>
      <c r="AA7" s="168" t="n">
        <f aca="false">'VOL DWNLD'!AA7+'VOL DELTA'!AA7</f>
        <v>1</v>
      </c>
      <c r="AB7" s="168" t="n">
        <f aca="false">'VOL DWNLD'!AB7+'VOL DELTA'!AB7</f>
        <v>1</v>
      </c>
      <c r="AC7" s="168" t="n">
        <f aca="false">'VOL DWNLD'!AC7+'VOL DELTA'!AC7</f>
        <v>1</v>
      </c>
      <c r="AD7" s="168" t="n">
        <f aca="false">'VOL DWNLD'!AD7+'VOL DELTA'!AD7</f>
        <v>1</v>
      </c>
      <c r="AE7" s="168" t="n">
        <f aca="false">'VOL DWNLD'!AE7+'VOL DELTA'!AE7</f>
        <v>1.05</v>
      </c>
      <c r="AF7" s="168" t="n">
        <f aca="false">'VOL DWNLD'!AF7+'VOL DELTA'!AF7</f>
        <v>1.1</v>
      </c>
      <c r="AG7" s="168" t="n">
        <f aca="false">'VOL DWNLD'!AG7+'VOL DELTA'!AG7</f>
        <v>1.3</v>
      </c>
      <c r="AH7" s="168" t="n">
        <f aca="false">'VOL DWNLD'!AH7+'VOL DELTA'!AH7</f>
        <v>1.05</v>
      </c>
      <c r="AI7" s="168" t="n">
        <f aca="false">'VOL DWNLD'!AI7+'VOL DELTA'!AI7</f>
        <v>0.97</v>
      </c>
      <c r="AJ7" s="168" t="n">
        <f aca="false">'VOL DWNLD'!AJ7+'VOL DELTA'!AJ7</f>
        <v>0.96</v>
      </c>
      <c r="AK7" s="168" t="n">
        <f aca="false">'VOL DWNLD'!AK7+'VOL DELTA'!AK7</f>
        <v>1.05</v>
      </c>
      <c r="AL7" s="168" t="n">
        <f aca="false">'VOL DWNLD'!AL7+'VOL DELTA'!AL7</f>
        <v>1</v>
      </c>
      <c r="AM7" s="168" t="n">
        <f aca="false">'VOL DWNLD'!AM7+'VOL DELTA'!AM7</f>
        <v>0.96</v>
      </c>
      <c r="AN7" s="168" t="n">
        <f aca="false">'VOL DWNLD'!AN7+'VOL DELTA'!AN7</f>
        <v>0.97</v>
      </c>
      <c r="AO7" s="168" t="n">
        <f aca="false">'VOL DWNLD'!AO7+'VOL DELTA'!AO7</f>
        <v>1</v>
      </c>
    </row>
    <row r="8" customFormat="false" ht="12.75" hidden="false" customHeight="false" outlineLevel="0" collapsed="false">
      <c r="A8" s="167" t="n">
        <v>36923</v>
      </c>
      <c r="B8" s="168" t="n">
        <f aca="false">'VOL DWNLD'!B8+'VOL DELTA'!B8</f>
        <v>1</v>
      </c>
      <c r="C8" s="168" t="n">
        <f aca="false">'VOL DWNLD'!C8+'VOL DELTA'!C8</f>
        <v>1</v>
      </c>
      <c r="D8" s="168" t="n">
        <f aca="false">'VOL DWNLD'!D8+'VOL DELTA'!D8</f>
        <v>1</v>
      </c>
      <c r="E8" s="168" t="n">
        <f aca="false">'VOL DWNLD'!E8+'VOL DELTA'!E8</f>
        <v>1</v>
      </c>
      <c r="F8" s="168" t="n">
        <f aca="false">'VOL DWNLD'!F8+'VOL DELTA'!F8</f>
        <v>1</v>
      </c>
      <c r="G8" s="168" t="n">
        <f aca="false">'VOL DWNLD'!G8+'VOL DELTA'!G8</f>
        <v>1.05</v>
      </c>
      <c r="H8" s="168" t="n">
        <f aca="false">'VOL DWNLD'!H8+'VOL DELTA'!H8</f>
        <v>1</v>
      </c>
      <c r="I8" s="168" t="n">
        <f aca="false">'VOL DWNLD'!I8+'VOL DELTA'!I8</f>
        <v>1</v>
      </c>
      <c r="J8" s="168" t="n">
        <f aca="false">'VOL DWNLD'!J8+'VOL DELTA'!J8</f>
        <v>1</v>
      </c>
      <c r="K8" s="168" t="n">
        <f aca="false">'VOL DWNLD'!K8+'VOL DELTA'!K8</f>
        <v>1</v>
      </c>
      <c r="L8" s="168" t="n">
        <f aca="false">'VOL DWNLD'!L8+'VOL DELTA'!L8</f>
        <v>1</v>
      </c>
      <c r="M8" s="168" t="n">
        <f aca="false">'VOL DWNLD'!M8+'VOL DELTA'!M8</f>
        <v>1</v>
      </c>
      <c r="N8" s="168" t="n">
        <f aca="false">'VOL DWNLD'!N8+'VOL DELTA'!N8</f>
        <v>1</v>
      </c>
      <c r="O8" s="168" t="n">
        <f aca="false">'VOL DWNLD'!O8+'VOL DELTA'!O8</f>
        <v>1</v>
      </c>
      <c r="P8" s="168" t="n">
        <f aca="false">'VOL DWNLD'!P8+'VOL DELTA'!P8</f>
        <v>1.05</v>
      </c>
      <c r="Q8" s="168" t="n">
        <f aca="false">'VOL DWNLD'!Q8+'VOL DELTA'!Q8</f>
        <v>1</v>
      </c>
      <c r="R8" s="168" t="n">
        <f aca="false">'VOL DWNLD'!R8+'VOL DELTA'!R8</f>
        <v>1</v>
      </c>
      <c r="S8" s="168" t="n">
        <f aca="false">'VOL DWNLD'!S8+'VOL DELTA'!S8</f>
        <v>1.02</v>
      </c>
      <c r="T8" s="168" t="n">
        <f aca="false">'VOL DWNLD'!T8+'VOL DELTA'!T8</f>
        <v>1</v>
      </c>
      <c r="U8" s="168" t="n">
        <f aca="false">'VOL DWNLD'!U8+'VOL DELTA'!U8</f>
        <v>1</v>
      </c>
      <c r="V8" s="168" t="n">
        <f aca="false">'VOL DWNLD'!V8+'VOL DELTA'!V8</f>
        <v>1</v>
      </c>
      <c r="W8" s="168" t="n">
        <f aca="false">'VOL DWNLD'!W8+'VOL DELTA'!W8</f>
        <v>1</v>
      </c>
      <c r="X8" s="168" t="n">
        <f aca="false">'VOL DWNLD'!X8+'VOL DELTA'!X8</f>
        <v>1</v>
      </c>
      <c r="Y8" s="168" t="n">
        <f aca="false">'VOL DWNLD'!Y8+'VOL DELTA'!Y8</f>
        <v>1</v>
      </c>
      <c r="Z8" s="168" t="n">
        <f aca="false">'VOL DWNLD'!Z8+'VOL DELTA'!Z8</f>
        <v>1</v>
      </c>
      <c r="AA8" s="168" t="n">
        <f aca="false">'VOL DWNLD'!AA8+'VOL DELTA'!AA8</f>
        <v>1</v>
      </c>
      <c r="AB8" s="168" t="n">
        <f aca="false">'VOL DWNLD'!AB8+'VOL DELTA'!AB8</f>
        <v>1</v>
      </c>
      <c r="AC8" s="168" t="n">
        <f aca="false">'VOL DWNLD'!AC8+'VOL DELTA'!AC8</f>
        <v>1</v>
      </c>
      <c r="AD8" s="168" t="n">
        <f aca="false">'VOL DWNLD'!AD8+'VOL DELTA'!AD8</f>
        <v>1</v>
      </c>
      <c r="AE8" s="168" t="n">
        <f aca="false">'VOL DWNLD'!AE8+'VOL DELTA'!AE8</f>
        <v>1.05</v>
      </c>
      <c r="AF8" s="168" t="n">
        <f aca="false">'VOL DWNLD'!AF8+'VOL DELTA'!AF8</f>
        <v>1.1</v>
      </c>
      <c r="AG8" s="168" t="n">
        <f aca="false">'VOL DWNLD'!AG8+'VOL DELTA'!AG8</f>
        <v>1.3</v>
      </c>
      <c r="AH8" s="168" t="n">
        <f aca="false">'VOL DWNLD'!AH8+'VOL DELTA'!AH8</f>
        <v>1.05</v>
      </c>
      <c r="AI8" s="168" t="n">
        <f aca="false">'VOL DWNLD'!AI8+'VOL DELTA'!AI8</f>
        <v>0.97</v>
      </c>
      <c r="AJ8" s="168" t="n">
        <f aca="false">'VOL DWNLD'!AJ8+'VOL DELTA'!AJ8</f>
        <v>0.96</v>
      </c>
      <c r="AK8" s="168" t="n">
        <f aca="false">'VOL DWNLD'!AK8+'VOL DELTA'!AK8</f>
        <v>1.05</v>
      </c>
      <c r="AL8" s="168" t="n">
        <f aca="false">'VOL DWNLD'!AL8+'VOL DELTA'!AL8</f>
        <v>1</v>
      </c>
      <c r="AM8" s="168" t="n">
        <f aca="false">'VOL DWNLD'!AM8+'VOL DELTA'!AM8</f>
        <v>0.96</v>
      </c>
      <c r="AN8" s="168" t="n">
        <f aca="false">'VOL DWNLD'!AN8+'VOL DELTA'!AN8</f>
        <v>0.97</v>
      </c>
      <c r="AO8" s="168" t="n">
        <f aca="false">'VOL DWNLD'!AO8+'VOL DELTA'!AO8</f>
        <v>1</v>
      </c>
    </row>
    <row r="9" customFormat="false" ht="12.75" hidden="false" customHeight="false" outlineLevel="0" collapsed="false">
      <c r="A9" s="167" t="n">
        <v>36951</v>
      </c>
      <c r="B9" s="168" t="n">
        <f aca="false">'VOL DWNLD'!B9+'VOL DELTA'!B9</f>
        <v>1</v>
      </c>
      <c r="C9" s="168" t="n">
        <f aca="false">'VOL DWNLD'!C9+'VOL DELTA'!C9</f>
        <v>1</v>
      </c>
      <c r="D9" s="168" t="n">
        <f aca="false">'VOL DWNLD'!D9+'VOL DELTA'!D9</f>
        <v>1</v>
      </c>
      <c r="E9" s="168" t="n">
        <f aca="false">'VOL DWNLD'!E9+'VOL DELTA'!E9</f>
        <v>1</v>
      </c>
      <c r="F9" s="168" t="n">
        <f aca="false">'VOL DWNLD'!F9+'VOL DELTA'!F9</f>
        <v>1</v>
      </c>
      <c r="G9" s="168" t="n">
        <f aca="false">'VOL DWNLD'!G9+'VOL DELTA'!G9</f>
        <v>1.05</v>
      </c>
      <c r="H9" s="168" t="n">
        <f aca="false">'VOL DWNLD'!H9+'VOL DELTA'!H9</f>
        <v>1</v>
      </c>
      <c r="I9" s="168" t="n">
        <f aca="false">'VOL DWNLD'!I9+'VOL DELTA'!I9</f>
        <v>1</v>
      </c>
      <c r="J9" s="168" t="n">
        <f aca="false">'VOL DWNLD'!J9+'VOL DELTA'!J9</f>
        <v>1</v>
      </c>
      <c r="K9" s="168" t="n">
        <f aca="false">'VOL DWNLD'!K9+'VOL DELTA'!K9</f>
        <v>1</v>
      </c>
      <c r="L9" s="168" t="n">
        <f aca="false">'VOL DWNLD'!L9+'VOL DELTA'!L9</f>
        <v>1</v>
      </c>
      <c r="M9" s="168" t="n">
        <f aca="false">'VOL DWNLD'!M9+'VOL DELTA'!M9</f>
        <v>1</v>
      </c>
      <c r="N9" s="168" t="n">
        <f aca="false">'VOL DWNLD'!N9+'VOL DELTA'!N9</f>
        <v>1</v>
      </c>
      <c r="O9" s="168" t="n">
        <f aca="false">'VOL DWNLD'!O9+'VOL DELTA'!O9</f>
        <v>1</v>
      </c>
      <c r="P9" s="168" t="n">
        <f aca="false">'VOL DWNLD'!P9+'VOL DELTA'!P9</f>
        <v>1.05</v>
      </c>
      <c r="Q9" s="168" t="n">
        <f aca="false">'VOL DWNLD'!Q9+'VOL DELTA'!Q9</f>
        <v>1</v>
      </c>
      <c r="R9" s="168" t="n">
        <f aca="false">'VOL DWNLD'!R9+'VOL DELTA'!R9</f>
        <v>1</v>
      </c>
      <c r="S9" s="168" t="n">
        <f aca="false">'VOL DWNLD'!S9+'VOL DELTA'!S9</f>
        <v>1.02</v>
      </c>
      <c r="T9" s="168" t="n">
        <f aca="false">'VOL DWNLD'!T9+'VOL DELTA'!T9</f>
        <v>1</v>
      </c>
      <c r="U9" s="168" t="n">
        <f aca="false">'VOL DWNLD'!U9+'VOL DELTA'!U9</f>
        <v>1</v>
      </c>
      <c r="V9" s="168" t="n">
        <f aca="false">'VOL DWNLD'!V9+'VOL DELTA'!V9</f>
        <v>1</v>
      </c>
      <c r="W9" s="168" t="n">
        <f aca="false">'VOL DWNLD'!W9+'VOL DELTA'!W9</f>
        <v>1</v>
      </c>
      <c r="X9" s="168" t="n">
        <f aca="false">'VOL DWNLD'!X9+'VOL DELTA'!X9</f>
        <v>1</v>
      </c>
      <c r="Y9" s="168" t="n">
        <f aca="false">'VOL DWNLD'!Y9+'VOL DELTA'!Y9</f>
        <v>1</v>
      </c>
      <c r="Z9" s="168" t="n">
        <f aca="false">'VOL DWNLD'!Z9+'VOL DELTA'!Z9</f>
        <v>1</v>
      </c>
      <c r="AA9" s="168" t="n">
        <f aca="false">'VOL DWNLD'!AA9+'VOL DELTA'!AA9</f>
        <v>1</v>
      </c>
      <c r="AB9" s="168" t="n">
        <f aca="false">'VOL DWNLD'!AB9+'VOL DELTA'!AB9</f>
        <v>1</v>
      </c>
      <c r="AC9" s="168" t="n">
        <f aca="false">'VOL DWNLD'!AC9+'VOL DELTA'!AC9</f>
        <v>1</v>
      </c>
      <c r="AD9" s="168" t="n">
        <f aca="false">'VOL DWNLD'!AD9+'VOL DELTA'!AD9</f>
        <v>1</v>
      </c>
      <c r="AE9" s="168" t="n">
        <f aca="false">'VOL DWNLD'!AE9+'VOL DELTA'!AE9</f>
        <v>1.05</v>
      </c>
      <c r="AF9" s="168" t="n">
        <f aca="false">'VOL DWNLD'!AF9+'VOL DELTA'!AF9</f>
        <v>1.1</v>
      </c>
      <c r="AG9" s="168" t="n">
        <f aca="false">'VOL DWNLD'!AG9+'VOL DELTA'!AG9</f>
        <v>1.2</v>
      </c>
      <c r="AH9" s="168" t="n">
        <f aca="false">'VOL DWNLD'!AH9+'VOL DELTA'!AH9</f>
        <v>1.05</v>
      </c>
      <c r="AI9" s="168" t="n">
        <f aca="false">'VOL DWNLD'!AI9+'VOL DELTA'!AI9</f>
        <v>0.97</v>
      </c>
      <c r="AJ9" s="168" t="n">
        <f aca="false">'VOL DWNLD'!AJ9+'VOL DELTA'!AJ9</f>
        <v>0.96</v>
      </c>
      <c r="AK9" s="168" t="n">
        <f aca="false">'VOL DWNLD'!AK9+'VOL DELTA'!AK9</f>
        <v>1.05</v>
      </c>
      <c r="AL9" s="168" t="n">
        <f aca="false">'VOL DWNLD'!AL9+'VOL DELTA'!AL9</f>
        <v>1</v>
      </c>
      <c r="AM9" s="168" t="n">
        <f aca="false">'VOL DWNLD'!AM9+'VOL DELTA'!AM9</f>
        <v>0.96</v>
      </c>
      <c r="AN9" s="168" t="n">
        <f aca="false">'VOL DWNLD'!AN9+'VOL DELTA'!AN9</f>
        <v>0.97</v>
      </c>
      <c r="AO9" s="168" t="n">
        <f aca="false">'VOL DWNLD'!AO9+'VOL DELTA'!AO9</f>
        <v>1</v>
      </c>
    </row>
    <row r="10" customFormat="false" ht="12.75" hidden="false" customHeight="false" outlineLevel="0" collapsed="false">
      <c r="A10" s="167" t="n">
        <v>36982</v>
      </c>
      <c r="B10" s="168" t="n">
        <f aca="false">'VOL DWNLD'!B10+'VOL DELTA'!B10</f>
        <v>1</v>
      </c>
      <c r="C10" s="168" t="n">
        <f aca="false">'VOL DWNLD'!C10+'VOL DELTA'!C10</f>
        <v>1</v>
      </c>
      <c r="D10" s="168" t="n">
        <f aca="false">'VOL DWNLD'!D10+'VOL DELTA'!D10</f>
        <v>1</v>
      </c>
      <c r="E10" s="168" t="n">
        <f aca="false">'VOL DWNLD'!E10+'VOL DELTA'!E10</f>
        <v>1</v>
      </c>
      <c r="F10" s="168" t="n">
        <f aca="false">'VOL DWNLD'!F10+'VOL DELTA'!F10</f>
        <v>1</v>
      </c>
      <c r="G10" s="168" t="n">
        <f aca="false">'VOL DWNLD'!G10+'VOL DELTA'!G10</f>
        <v>1</v>
      </c>
      <c r="H10" s="168" t="n">
        <f aca="false">'VOL DWNLD'!H10+'VOL DELTA'!H10</f>
        <v>1</v>
      </c>
      <c r="I10" s="168" t="n">
        <f aca="false">'VOL DWNLD'!I10+'VOL DELTA'!I10</f>
        <v>1</v>
      </c>
      <c r="J10" s="168" t="n">
        <f aca="false">'VOL DWNLD'!J10+'VOL DELTA'!J10</f>
        <v>1</v>
      </c>
      <c r="K10" s="168" t="n">
        <f aca="false">'VOL DWNLD'!K10+'VOL DELTA'!K10</f>
        <v>1</v>
      </c>
      <c r="L10" s="168" t="n">
        <f aca="false">'VOL DWNLD'!L10+'VOL DELTA'!L10</f>
        <v>1</v>
      </c>
      <c r="M10" s="168" t="n">
        <f aca="false">'VOL DWNLD'!M10+'VOL DELTA'!M10</f>
        <v>1</v>
      </c>
      <c r="N10" s="168" t="n">
        <f aca="false">'VOL DWNLD'!N10+'VOL DELTA'!N10</f>
        <v>1</v>
      </c>
      <c r="O10" s="168" t="n">
        <f aca="false">'VOL DWNLD'!O10+'VOL DELTA'!O10</f>
        <v>1</v>
      </c>
      <c r="P10" s="168" t="n">
        <f aca="false">'VOL DWNLD'!P10+'VOL DELTA'!P10</f>
        <v>1.03</v>
      </c>
      <c r="Q10" s="168" t="n">
        <f aca="false">'VOL DWNLD'!Q10+'VOL DELTA'!Q10</f>
        <v>1</v>
      </c>
      <c r="R10" s="168" t="n">
        <f aca="false">'VOL DWNLD'!R10+'VOL DELTA'!R10</f>
        <v>1</v>
      </c>
      <c r="S10" s="168" t="n">
        <f aca="false">'VOL DWNLD'!S10+'VOL DELTA'!S10</f>
        <v>1.02</v>
      </c>
      <c r="T10" s="168" t="n">
        <f aca="false">'VOL DWNLD'!T10+'VOL DELTA'!T10</f>
        <v>1</v>
      </c>
      <c r="U10" s="168" t="n">
        <f aca="false">'VOL DWNLD'!U10+'VOL DELTA'!U10</f>
        <v>1</v>
      </c>
      <c r="V10" s="168" t="n">
        <f aca="false">'VOL DWNLD'!V10+'VOL DELTA'!V10</f>
        <v>1</v>
      </c>
      <c r="W10" s="168" t="n">
        <f aca="false">'VOL DWNLD'!W10+'VOL DELTA'!W10</f>
        <v>1</v>
      </c>
      <c r="X10" s="168" t="n">
        <f aca="false">'VOL DWNLD'!X10+'VOL DELTA'!X10</f>
        <v>1</v>
      </c>
      <c r="Y10" s="168" t="n">
        <f aca="false">'VOL DWNLD'!Y10+'VOL DELTA'!Y10</f>
        <v>1.02</v>
      </c>
      <c r="Z10" s="168" t="n">
        <f aca="false">'VOL DWNLD'!Z10+'VOL DELTA'!Z10</f>
        <v>1</v>
      </c>
      <c r="AA10" s="168" t="n">
        <f aca="false">'VOL DWNLD'!AA10+'VOL DELTA'!AA10</f>
        <v>1</v>
      </c>
      <c r="AB10" s="168" t="n">
        <f aca="false">'VOL DWNLD'!AB10+'VOL DELTA'!AB10</f>
        <v>1</v>
      </c>
      <c r="AC10" s="168" t="n">
        <f aca="false">'VOL DWNLD'!AC10+'VOL DELTA'!AC10</f>
        <v>1</v>
      </c>
      <c r="AD10" s="168" t="n">
        <f aca="false">'VOL DWNLD'!AD10+'VOL DELTA'!AD10</f>
        <v>0.98</v>
      </c>
      <c r="AE10" s="168" t="n">
        <f aca="false">'VOL DWNLD'!AE10+'VOL DELTA'!AE10</f>
        <v>0.98</v>
      </c>
      <c r="AF10" s="168" t="n">
        <f aca="false">'VOL DWNLD'!AF10+'VOL DELTA'!AF10</f>
        <v>0.98</v>
      </c>
      <c r="AG10" s="168" t="n">
        <f aca="false">'VOL DWNLD'!AG10+'VOL DELTA'!AG10</f>
        <v>0.98</v>
      </c>
      <c r="AH10" s="168" t="n">
        <f aca="false">'VOL DWNLD'!AH10+'VOL DELTA'!AH10</f>
        <v>1.05</v>
      </c>
      <c r="AI10" s="168" t="n">
        <f aca="false">'VOL DWNLD'!AI10+'VOL DELTA'!AI10</f>
        <v>1</v>
      </c>
      <c r="AJ10" s="168" t="n">
        <f aca="false">'VOL DWNLD'!AJ10+'VOL DELTA'!AJ10</f>
        <v>0.97</v>
      </c>
      <c r="AK10" s="168" t="n">
        <f aca="false">'VOL DWNLD'!AK10+'VOL DELTA'!AK10</f>
        <v>1.02</v>
      </c>
      <c r="AL10" s="168" t="n">
        <f aca="false">'VOL DWNLD'!AL10+'VOL DELTA'!AL10</f>
        <v>1</v>
      </c>
      <c r="AM10" s="168" t="n">
        <f aca="false">'VOL DWNLD'!AM10+'VOL DELTA'!AM10</f>
        <v>0.97</v>
      </c>
      <c r="AN10" s="168" t="n">
        <f aca="false">'VOL DWNLD'!AN10+'VOL DELTA'!AN10</f>
        <v>1</v>
      </c>
      <c r="AO10" s="168" t="n">
        <f aca="false">'VOL DWNLD'!AO10+'VOL DELTA'!AO10</f>
        <v>1</v>
      </c>
    </row>
    <row r="11" customFormat="false" ht="12.75" hidden="false" customHeight="false" outlineLevel="0" collapsed="false">
      <c r="A11" s="167" t="n">
        <v>37012</v>
      </c>
      <c r="B11" s="168" t="n">
        <f aca="false">'VOL DWNLD'!B11+'VOL DELTA'!B11</f>
        <v>1</v>
      </c>
      <c r="C11" s="168" t="n">
        <f aca="false">'VOL DWNLD'!C11+'VOL DELTA'!C11</f>
        <v>1</v>
      </c>
      <c r="D11" s="168" t="n">
        <f aca="false">'VOL DWNLD'!D11+'VOL DELTA'!D11</f>
        <v>1</v>
      </c>
      <c r="E11" s="168" t="n">
        <f aca="false">'VOL DWNLD'!E11+'VOL DELTA'!E11</f>
        <v>1</v>
      </c>
      <c r="F11" s="168" t="n">
        <f aca="false">'VOL DWNLD'!F11+'VOL DELTA'!F11</f>
        <v>1</v>
      </c>
      <c r="G11" s="168" t="n">
        <f aca="false">'VOL DWNLD'!G11+'VOL DELTA'!G11</f>
        <v>1</v>
      </c>
      <c r="H11" s="168" t="n">
        <f aca="false">'VOL DWNLD'!H11+'VOL DELTA'!H11</f>
        <v>1</v>
      </c>
      <c r="I11" s="168" t="n">
        <f aca="false">'VOL DWNLD'!I11+'VOL DELTA'!I11</f>
        <v>1</v>
      </c>
      <c r="J11" s="168" t="n">
        <f aca="false">'VOL DWNLD'!J11+'VOL DELTA'!J11</f>
        <v>1</v>
      </c>
      <c r="K11" s="168" t="n">
        <f aca="false">'VOL DWNLD'!K11+'VOL DELTA'!K11</f>
        <v>1</v>
      </c>
      <c r="L11" s="168" t="n">
        <f aca="false">'VOL DWNLD'!L11+'VOL DELTA'!L11</f>
        <v>1</v>
      </c>
      <c r="M11" s="168" t="n">
        <f aca="false">'VOL DWNLD'!M11+'VOL DELTA'!M11</f>
        <v>1</v>
      </c>
      <c r="N11" s="168" t="n">
        <f aca="false">'VOL DWNLD'!N11+'VOL DELTA'!N11</f>
        <v>1</v>
      </c>
      <c r="O11" s="168" t="n">
        <f aca="false">'VOL DWNLD'!O11+'VOL DELTA'!O11</f>
        <v>1</v>
      </c>
      <c r="P11" s="168" t="n">
        <f aca="false">'VOL DWNLD'!P11+'VOL DELTA'!P11</f>
        <v>1.03</v>
      </c>
      <c r="Q11" s="168" t="n">
        <f aca="false">'VOL DWNLD'!Q11+'VOL DELTA'!Q11</f>
        <v>1</v>
      </c>
      <c r="R11" s="168" t="n">
        <f aca="false">'VOL DWNLD'!R11+'VOL DELTA'!R11</f>
        <v>1</v>
      </c>
      <c r="S11" s="168" t="n">
        <f aca="false">'VOL DWNLD'!S11+'VOL DELTA'!S11</f>
        <v>1.02</v>
      </c>
      <c r="T11" s="168" t="n">
        <f aca="false">'VOL DWNLD'!T11+'VOL DELTA'!T11</f>
        <v>1</v>
      </c>
      <c r="U11" s="168" t="n">
        <f aca="false">'VOL DWNLD'!U11+'VOL DELTA'!U11</f>
        <v>1</v>
      </c>
      <c r="V11" s="168" t="n">
        <f aca="false">'VOL DWNLD'!V11+'VOL DELTA'!V11</f>
        <v>1</v>
      </c>
      <c r="W11" s="168" t="n">
        <f aca="false">'VOL DWNLD'!W11+'VOL DELTA'!W11</f>
        <v>1</v>
      </c>
      <c r="X11" s="168" t="n">
        <f aca="false">'VOL DWNLD'!X11+'VOL DELTA'!X11</f>
        <v>1</v>
      </c>
      <c r="Y11" s="168" t="n">
        <f aca="false">'VOL DWNLD'!Y11+'VOL DELTA'!Y11</f>
        <v>1.02</v>
      </c>
      <c r="Z11" s="168" t="n">
        <f aca="false">'VOL DWNLD'!Z11+'VOL DELTA'!Z11</f>
        <v>1</v>
      </c>
      <c r="AA11" s="168" t="n">
        <f aca="false">'VOL DWNLD'!AA11+'VOL DELTA'!AA11</f>
        <v>1</v>
      </c>
      <c r="AB11" s="168" t="n">
        <f aca="false">'VOL DWNLD'!AB11+'VOL DELTA'!AB11</f>
        <v>1</v>
      </c>
      <c r="AC11" s="168" t="n">
        <f aca="false">'VOL DWNLD'!AC11+'VOL DELTA'!AC11</f>
        <v>1</v>
      </c>
      <c r="AD11" s="168" t="n">
        <f aca="false">'VOL DWNLD'!AD11+'VOL DELTA'!AD11</f>
        <v>0.98</v>
      </c>
      <c r="AE11" s="168" t="n">
        <f aca="false">'VOL DWNLD'!AE11+'VOL DELTA'!AE11</f>
        <v>0.98</v>
      </c>
      <c r="AF11" s="168" t="n">
        <f aca="false">'VOL DWNLD'!AF11+'VOL DELTA'!AF11</f>
        <v>0.98</v>
      </c>
      <c r="AG11" s="168" t="n">
        <f aca="false">'VOL DWNLD'!AG11+'VOL DELTA'!AG11</f>
        <v>0.98</v>
      </c>
      <c r="AH11" s="168" t="n">
        <f aca="false">'VOL DWNLD'!AH11+'VOL DELTA'!AH11</f>
        <v>1.05</v>
      </c>
      <c r="AI11" s="168" t="n">
        <f aca="false">'VOL DWNLD'!AI11+'VOL DELTA'!AI11</f>
        <v>1</v>
      </c>
      <c r="AJ11" s="168" t="n">
        <f aca="false">'VOL DWNLD'!AJ11+'VOL DELTA'!AJ11</f>
        <v>0.97</v>
      </c>
      <c r="AK11" s="168" t="n">
        <f aca="false">'VOL DWNLD'!AK11+'VOL DELTA'!AK11</f>
        <v>1.02</v>
      </c>
      <c r="AL11" s="168" t="n">
        <f aca="false">'VOL DWNLD'!AL11+'VOL DELTA'!AL11</f>
        <v>1</v>
      </c>
      <c r="AM11" s="168" t="n">
        <f aca="false">'VOL DWNLD'!AM11+'VOL DELTA'!AM11</f>
        <v>0.97</v>
      </c>
      <c r="AN11" s="168" t="n">
        <f aca="false">'VOL DWNLD'!AN11+'VOL DELTA'!AN11</f>
        <v>1</v>
      </c>
      <c r="AO11" s="168" t="n">
        <f aca="false">'VOL DWNLD'!AO11+'VOL DELTA'!AO11</f>
        <v>1</v>
      </c>
    </row>
    <row r="12" customFormat="false" ht="12.75" hidden="false" customHeight="false" outlineLevel="0" collapsed="false">
      <c r="A12" s="167" t="n">
        <v>37043</v>
      </c>
      <c r="B12" s="168" t="n">
        <f aca="false">'VOL DWNLD'!B12+'VOL DELTA'!B12</f>
        <v>1</v>
      </c>
      <c r="C12" s="168" t="n">
        <f aca="false">'VOL DWNLD'!C12+'VOL DELTA'!C12</f>
        <v>1</v>
      </c>
      <c r="D12" s="168" t="n">
        <f aca="false">'VOL DWNLD'!D12+'VOL DELTA'!D12</f>
        <v>1</v>
      </c>
      <c r="E12" s="168" t="n">
        <f aca="false">'VOL DWNLD'!E12+'VOL DELTA'!E12</f>
        <v>1</v>
      </c>
      <c r="F12" s="168" t="n">
        <f aca="false">'VOL DWNLD'!F12+'VOL DELTA'!F12</f>
        <v>1</v>
      </c>
      <c r="G12" s="168" t="n">
        <f aca="false">'VOL DWNLD'!G12+'VOL DELTA'!G12</f>
        <v>1</v>
      </c>
      <c r="H12" s="168" t="n">
        <f aca="false">'VOL DWNLD'!H12+'VOL DELTA'!H12</f>
        <v>1</v>
      </c>
      <c r="I12" s="168" t="n">
        <f aca="false">'VOL DWNLD'!I12+'VOL DELTA'!I12</f>
        <v>1</v>
      </c>
      <c r="J12" s="168" t="n">
        <f aca="false">'VOL DWNLD'!J12+'VOL DELTA'!J12</f>
        <v>1</v>
      </c>
      <c r="K12" s="168" t="n">
        <f aca="false">'VOL DWNLD'!K12+'VOL DELTA'!K12</f>
        <v>1</v>
      </c>
      <c r="L12" s="168" t="n">
        <f aca="false">'VOL DWNLD'!L12+'VOL DELTA'!L12</f>
        <v>1</v>
      </c>
      <c r="M12" s="168" t="n">
        <f aca="false">'VOL DWNLD'!M12+'VOL DELTA'!M12</f>
        <v>1</v>
      </c>
      <c r="N12" s="168" t="n">
        <f aca="false">'VOL DWNLD'!N12+'VOL DELTA'!N12</f>
        <v>1</v>
      </c>
      <c r="O12" s="168" t="n">
        <f aca="false">'VOL DWNLD'!O12+'VOL DELTA'!O12</f>
        <v>1</v>
      </c>
      <c r="P12" s="168" t="n">
        <f aca="false">'VOL DWNLD'!P12+'VOL DELTA'!P12</f>
        <v>1.03</v>
      </c>
      <c r="Q12" s="168" t="n">
        <f aca="false">'VOL DWNLD'!Q12+'VOL DELTA'!Q12</f>
        <v>1</v>
      </c>
      <c r="R12" s="168" t="n">
        <f aca="false">'VOL DWNLD'!R12+'VOL DELTA'!R12</f>
        <v>1</v>
      </c>
      <c r="S12" s="168" t="n">
        <f aca="false">'VOL DWNLD'!S12+'VOL DELTA'!S12</f>
        <v>1.02</v>
      </c>
      <c r="T12" s="168" t="n">
        <f aca="false">'VOL DWNLD'!T12+'VOL DELTA'!T12</f>
        <v>1</v>
      </c>
      <c r="U12" s="168" t="n">
        <f aca="false">'VOL DWNLD'!U12+'VOL DELTA'!U12</f>
        <v>1</v>
      </c>
      <c r="V12" s="168" t="n">
        <f aca="false">'VOL DWNLD'!V12+'VOL DELTA'!V12</f>
        <v>1</v>
      </c>
      <c r="W12" s="168" t="n">
        <f aca="false">'VOL DWNLD'!W12+'VOL DELTA'!W12</f>
        <v>1</v>
      </c>
      <c r="X12" s="168" t="n">
        <f aca="false">'VOL DWNLD'!X12+'VOL DELTA'!X12</f>
        <v>1</v>
      </c>
      <c r="Y12" s="168" t="n">
        <f aca="false">'VOL DWNLD'!Y12+'VOL DELTA'!Y12</f>
        <v>1.02</v>
      </c>
      <c r="Z12" s="168" t="n">
        <f aca="false">'VOL DWNLD'!Z12+'VOL DELTA'!Z12</f>
        <v>1</v>
      </c>
      <c r="AA12" s="168" t="n">
        <f aca="false">'VOL DWNLD'!AA12+'VOL DELTA'!AA12</f>
        <v>1</v>
      </c>
      <c r="AB12" s="168" t="n">
        <f aca="false">'VOL DWNLD'!AB12+'VOL DELTA'!AB12</f>
        <v>1</v>
      </c>
      <c r="AC12" s="168" t="n">
        <f aca="false">'VOL DWNLD'!AC12+'VOL DELTA'!AC12</f>
        <v>1</v>
      </c>
      <c r="AD12" s="168" t="n">
        <f aca="false">'VOL DWNLD'!AD12+'VOL DELTA'!AD12</f>
        <v>0.98</v>
      </c>
      <c r="AE12" s="168" t="n">
        <f aca="false">'VOL DWNLD'!AE12+'VOL DELTA'!AE12</f>
        <v>0.98</v>
      </c>
      <c r="AF12" s="168" t="n">
        <f aca="false">'VOL DWNLD'!AF12+'VOL DELTA'!AF12</f>
        <v>0.98</v>
      </c>
      <c r="AG12" s="168" t="n">
        <f aca="false">'VOL DWNLD'!AG12+'VOL DELTA'!AG12</f>
        <v>0.98</v>
      </c>
      <c r="AH12" s="168" t="n">
        <f aca="false">'VOL DWNLD'!AH12+'VOL DELTA'!AH12</f>
        <v>1.05</v>
      </c>
      <c r="AI12" s="168" t="n">
        <f aca="false">'VOL DWNLD'!AI12+'VOL DELTA'!AI12</f>
        <v>1</v>
      </c>
      <c r="AJ12" s="168" t="n">
        <f aca="false">'VOL DWNLD'!AJ12+'VOL DELTA'!AJ12</f>
        <v>0.97</v>
      </c>
      <c r="AK12" s="168" t="n">
        <f aca="false">'VOL DWNLD'!AK12+'VOL DELTA'!AK12</f>
        <v>1.02</v>
      </c>
      <c r="AL12" s="168" t="n">
        <f aca="false">'VOL DWNLD'!AL12+'VOL DELTA'!AL12</f>
        <v>1</v>
      </c>
      <c r="AM12" s="168" t="n">
        <f aca="false">'VOL DWNLD'!AM12+'VOL DELTA'!AM12</f>
        <v>0.97</v>
      </c>
      <c r="AN12" s="168" t="n">
        <f aca="false">'VOL DWNLD'!AN12+'VOL DELTA'!AN12</f>
        <v>1</v>
      </c>
      <c r="AO12" s="168" t="n">
        <f aca="false">'VOL DWNLD'!AO12+'VOL DELTA'!AO12</f>
        <v>1</v>
      </c>
    </row>
    <row r="13" customFormat="false" ht="12.75" hidden="false" customHeight="false" outlineLevel="0" collapsed="false">
      <c r="A13" s="167" t="n">
        <v>37073</v>
      </c>
      <c r="B13" s="168" t="n">
        <f aca="false">'VOL DWNLD'!B13+'VOL DELTA'!B13</f>
        <v>1</v>
      </c>
      <c r="C13" s="168" t="n">
        <f aca="false">'VOL DWNLD'!C13+'VOL DELTA'!C13</f>
        <v>1</v>
      </c>
      <c r="D13" s="168" t="n">
        <f aca="false">'VOL DWNLD'!D13+'VOL DELTA'!D13</f>
        <v>1</v>
      </c>
      <c r="E13" s="168" t="n">
        <f aca="false">'VOL DWNLD'!E13+'VOL DELTA'!E13</f>
        <v>1</v>
      </c>
      <c r="F13" s="168" t="n">
        <f aca="false">'VOL DWNLD'!F13+'VOL DELTA'!F13</f>
        <v>1</v>
      </c>
      <c r="G13" s="168" t="n">
        <f aca="false">'VOL DWNLD'!G13+'VOL DELTA'!G13</f>
        <v>1</v>
      </c>
      <c r="H13" s="168" t="n">
        <f aca="false">'VOL DWNLD'!H13+'VOL DELTA'!H13</f>
        <v>1</v>
      </c>
      <c r="I13" s="168" t="n">
        <f aca="false">'VOL DWNLD'!I13+'VOL DELTA'!I13</f>
        <v>1</v>
      </c>
      <c r="J13" s="168" t="n">
        <f aca="false">'VOL DWNLD'!J13+'VOL DELTA'!J13</f>
        <v>1</v>
      </c>
      <c r="K13" s="168" t="n">
        <f aca="false">'VOL DWNLD'!K13+'VOL DELTA'!K13</f>
        <v>1</v>
      </c>
      <c r="L13" s="168" t="n">
        <f aca="false">'VOL DWNLD'!L13+'VOL DELTA'!L13</f>
        <v>1</v>
      </c>
      <c r="M13" s="168" t="n">
        <f aca="false">'VOL DWNLD'!M13+'VOL DELTA'!M13</f>
        <v>1</v>
      </c>
      <c r="N13" s="168" t="n">
        <f aca="false">'VOL DWNLD'!N13+'VOL DELTA'!N13</f>
        <v>1</v>
      </c>
      <c r="O13" s="168" t="n">
        <f aca="false">'VOL DWNLD'!O13+'VOL DELTA'!O13</f>
        <v>1</v>
      </c>
      <c r="P13" s="168" t="n">
        <f aca="false">'VOL DWNLD'!P13+'VOL DELTA'!P13</f>
        <v>1.03</v>
      </c>
      <c r="Q13" s="168" t="n">
        <f aca="false">'VOL DWNLD'!Q13+'VOL DELTA'!Q13</f>
        <v>1</v>
      </c>
      <c r="R13" s="168" t="n">
        <f aca="false">'VOL DWNLD'!R13+'VOL DELTA'!R13</f>
        <v>1</v>
      </c>
      <c r="S13" s="168" t="n">
        <f aca="false">'VOL DWNLD'!S13+'VOL DELTA'!S13</f>
        <v>1.02</v>
      </c>
      <c r="T13" s="168" t="n">
        <f aca="false">'VOL DWNLD'!T13+'VOL DELTA'!T13</f>
        <v>1</v>
      </c>
      <c r="U13" s="168" t="n">
        <f aca="false">'VOL DWNLD'!U13+'VOL DELTA'!U13</f>
        <v>1</v>
      </c>
      <c r="V13" s="168" t="n">
        <f aca="false">'VOL DWNLD'!V13+'VOL DELTA'!V13</f>
        <v>1</v>
      </c>
      <c r="W13" s="168" t="n">
        <f aca="false">'VOL DWNLD'!W13+'VOL DELTA'!W13</f>
        <v>1</v>
      </c>
      <c r="X13" s="168" t="n">
        <f aca="false">'VOL DWNLD'!X13+'VOL DELTA'!X13</f>
        <v>1</v>
      </c>
      <c r="Y13" s="168" t="n">
        <f aca="false">'VOL DWNLD'!Y13+'VOL DELTA'!Y13</f>
        <v>1.02</v>
      </c>
      <c r="Z13" s="168" t="n">
        <f aca="false">'VOL DWNLD'!Z13+'VOL DELTA'!Z13</f>
        <v>1</v>
      </c>
      <c r="AA13" s="168" t="n">
        <f aca="false">'VOL DWNLD'!AA13+'VOL DELTA'!AA13</f>
        <v>1</v>
      </c>
      <c r="AB13" s="168" t="n">
        <f aca="false">'VOL DWNLD'!AB13+'VOL DELTA'!AB13</f>
        <v>1</v>
      </c>
      <c r="AC13" s="168" t="n">
        <f aca="false">'VOL DWNLD'!AC13+'VOL DELTA'!AC13</f>
        <v>1</v>
      </c>
      <c r="AD13" s="168" t="n">
        <f aca="false">'VOL DWNLD'!AD13+'VOL DELTA'!AD13</f>
        <v>0.98</v>
      </c>
      <c r="AE13" s="168" t="n">
        <f aca="false">'VOL DWNLD'!AE13+'VOL DELTA'!AE13</f>
        <v>0.98</v>
      </c>
      <c r="AF13" s="168" t="n">
        <f aca="false">'VOL DWNLD'!AF13+'VOL DELTA'!AF13</f>
        <v>0.98</v>
      </c>
      <c r="AG13" s="168" t="n">
        <f aca="false">'VOL DWNLD'!AG13+'VOL DELTA'!AG13</f>
        <v>0.98</v>
      </c>
      <c r="AH13" s="168" t="n">
        <f aca="false">'VOL DWNLD'!AH13+'VOL DELTA'!AH13</f>
        <v>1.05</v>
      </c>
      <c r="AI13" s="168" t="n">
        <f aca="false">'VOL DWNLD'!AI13+'VOL DELTA'!AI13</f>
        <v>1</v>
      </c>
      <c r="AJ13" s="168" t="n">
        <f aca="false">'VOL DWNLD'!AJ13+'VOL DELTA'!AJ13</f>
        <v>0.97</v>
      </c>
      <c r="AK13" s="168" t="n">
        <f aca="false">'VOL DWNLD'!AK13+'VOL DELTA'!AK13</f>
        <v>1.02</v>
      </c>
      <c r="AL13" s="168" t="n">
        <f aca="false">'VOL DWNLD'!AL13+'VOL DELTA'!AL13</f>
        <v>1</v>
      </c>
      <c r="AM13" s="168" t="n">
        <f aca="false">'VOL DWNLD'!AM13+'VOL DELTA'!AM13</f>
        <v>0.97</v>
      </c>
      <c r="AN13" s="168" t="n">
        <f aca="false">'VOL DWNLD'!AN13+'VOL DELTA'!AN13</f>
        <v>1</v>
      </c>
      <c r="AO13" s="168" t="n">
        <f aca="false">'VOL DWNLD'!AO13+'VOL DELTA'!AO13</f>
        <v>1</v>
      </c>
    </row>
    <row r="14" customFormat="false" ht="12.75" hidden="false" customHeight="false" outlineLevel="0" collapsed="false">
      <c r="A14" s="167" t="n">
        <v>37104</v>
      </c>
      <c r="B14" s="168" t="n">
        <f aca="false">'VOL DWNLD'!B14+'VOL DELTA'!B14</f>
        <v>1</v>
      </c>
      <c r="C14" s="168" t="n">
        <f aca="false">'VOL DWNLD'!C14+'VOL DELTA'!C14</f>
        <v>1</v>
      </c>
      <c r="D14" s="168" t="n">
        <f aca="false">'VOL DWNLD'!D14+'VOL DELTA'!D14</f>
        <v>1</v>
      </c>
      <c r="E14" s="168" t="n">
        <f aca="false">'VOL DWNLD'!E14+'VOL DELTA'!E14</f>
        <v>1</v>
      </c>
      <c r="F14" s="168" t="n">
        <f aca="false">'VOL DWNLD'!F14+'VOL DELTA'!F14</f>
        <v>1</v>
      </c>
      <c r="G14" s="168" t="n">
        <f aca="false">'VOL DWNLD'!G14+'VOL DELTA'!G14</f>
        <v>1</v>
      </c>
      <c r="H14" s="168" t="n">
        <f aca="false">'VOL DWNLD'!H14+'VOL DELTA'!H14</f>
        <v>1</v>
      </c>
      <c r="I14" s="168" t="n">
        <f aca="false">'VOL DWNLD'!I14+'VOL DELTA'!I14</f>
        <v>1</v>
      </c>
      <c r="J14" s="168" t="n">
        <f aca="false">'VOL DWNLD'!J14+'VOL DELTA'!J14</f>
        <v>1</v>
      </c>
      <c r="K14" s="168" t="n">
        <f aca="false">'VOL DWNLD'!K14+'VOL DELTA'!K14</f>
        <v>1</v>
      </c>
      <c r="L14" s="168" t="n">
        <f aca="false">'VOL DWNLD'!L14+'VOL DELTA'!L14</f>
        <v>1</v>
      </c>
      <c r="M14" s="168" t="n">
        <f aca="false">'VOL DWNLD'!M14+'VOL DELTA'!M14</f>
        <v>1</v>
      </c>
      <c r="N14" s="168" t="n">
        <f aca="false">'VOL DWNLD'!N14+'VOL DELTA'!N14</f>
        <v>1</v>
      </c>
      <c r="O14" s="168" t="n">
        <f aca="false">'VOL DWNLD'!O14+'VOL DELTA'!O14</f>
        <v>1</v>
      </c>
      <c r="P14" s="168" t="n">
        <f aca="false">'VOL DWNLD'!P14+'VOL DELTA'!P14</f>
        <v>1.03</v>
      </c>
      <c r="Q14" s="168" t="n">
        <f aca="false">'VOL DWNLD'!Q14+'VOL DELTA'!Q14</f>
        <v>1</v>
      </c>
      <c r="R14" s="168" t="n">
        <f aca="false">'VOL DWNLD'!R14+'VOL DELTA'!R14</f>
        <v>1</v>
      </c>
      <c r="S14" s="168" t="n">
        <f aca="false">'VOL DWNLD'!S14+'VOL DELTA'!S14</f>
        <v>1.02</v>
      </c>
      <c r="T14" s="168" t="n">
        <f aca="false">'VOL DWNLD'!T14+'VOL DELTA'!T14</f>
        <v>1</v>
      </c>
      <c r="U14" s="168" t="n">
        <f aca="false">'VOL DWNLD'!U14+'VOL DELTA'!U14</f>
        <v>1</v>
      </c>
      <c r="V14" s="168" t="n">
        <f aca="false">'VOL DWNLD'!V14+'VOL DELTA'!V14</f>
        <v>1</v>
      </c>
      <c r="W14" s="168" t="n">
        <f aca="false">'VOL DWNLD'!W14+'VOL DELTA'!W14</f>
        <v>1</v>
      </c>
      <c r="X14" s="168" t="n">
        <f aca="false">'VOL DWNLD'!X14+'VOL DELTA'!X14</f>
        <v>1</v>
      </c>
      <c r="Y14" s="168" t="n">
        <f aca="false">'VOL DWNLD'!Y14+'VOL DELTA'!Y14</f>
        <v>1.02</v>
      </c>
      <c r="Z14" s="168" t="n">
        <f aca="false">'VOL DWNLD'!Z14+'VOL DELTA'!Z14</f>
        <v>1</v>
      </c>
      <c r="AA14" s="168" t="n">
        <f aca="false">'VOL DWNLD'!AA14+'VOL DELTA'!AA14</f>
        <v>1</v>
      </c>
      <c r="AB14" s="168" t="n">
        <f aca="false">'VOL DWNLD'!AB14+'VOL DELTA'!AB14</f>
        <v>1</v>
      </c>
      <c r="AC14" s="168" t="n">
        <f aca="false">'VOL DWNLD'!AC14+'VOL DELTA'!AC14</f>
        <v>1</v>
      </c>
      <c r="AD14" s="168" t="n">
        <f aca="false">'VOL DWNLD'!AD14+'VOL DELTA'!AD14</f>
        <v>0.98</v>
      </c>
      <c r="AE14" s="168" t="n">
        <f aca="false">'VOL DWNLD'!AE14+'VOL DELTA'!AE14</f>
        <v>0.98</v>
      </c>
      <c r="AF14" s="168" t="n">
        <f aca="false">'VOL DWNLD'!AF14+'VOL DELTA'!AF14</f>
        <v>0.98</v>
      </c>
      <c r="AG14" s="168" t="n">
        <f aca="false">'VOL DWNLD'!AG14+'VOL DELTA'!AG14</f>
        <v>0.98</v>
      </c>
      <c r="AH14" s="168" t="n">
        <f aca="false">'VOL DWNLD'!AH14+'VOL DELTA'!AH14</f>
        <v>1.05</v>
      </c>
      <c r="AI14" s="168" t="n">
        <f aca="false">'VOL DWNLD'!AI14+'VOL DELTA'!AI14</f>
        <v>1</v>
      </c>
      <c r="AJ14" s="168" t="n">
        <f aca="false">'VOL DWNLD'!AJ14+'VOL DELTA'!AJ14</f>
        <v>0.97</v>
      </c>
      <c r="AK14" s="168" t="n">
        <f aca="false">'VOL DWNLD'!AK14+'VOL DELTA'!AK14</f>
        <v>1.02</v>
      </c>
      <c r="AL14" s="168" t="n">
        <f aca="false">'VOL DWNLD'!AL14+'VOL DELTA'!AL14</f>
        <v>1</v>
      </c>
      <c r="AM14" s="168" t="n">
        <f aca="false">'VOL DWNLD'!AM14+'VOL DELTA'!AM14</f>
        <v>0.97</v>
      </c>
      <c r="AN14" s="168" t="n">
        <f aca="false">'VOL DWNLD'!AN14+'VOL DELTA'!AN14</f>
        <v>1</v>
      </c>
      <c r="AO14" s="168" t="n">
        <f aca="false">'VOL DWNLD'!AO14+'VOL DELTA'!AO14</f>
        <v>1</v>
      </c>
    </row>
    <row r="15" customFormat="false" ht="12.75" hidden="false" customHeight="false" outlineLevel="0" collapsed="false">
      <c r="A15" s="167" t="n">
        <v>37135</v>
      </c>
      <c r="B15" s="168" t="n">
        <f aca="false">'VOL DWNLD'!B15+'VOL DELTA'!B15</f>
        <v>1</v>
      </c>
      <c r="C15" s="168" t="n">
        <f aca="false">'VOL DWNLD'!C15+'VOL DELTA'!C15</f>
        <v>1</v>
      </c>
      <c r="D15" s="168" t="n">
        <f aca="false">'VOL DWNLD'!D15+'VOL DELTA'!D15</f>
        <v>1</v>
      </c>
      <c r="E15" s="168" t="n">
        <f aca="false">'VOL DWNLD'!E15+'VOL DELTA'!E15</f>
        <v>1</v>
      </c>
      <c r="F15" s="168" t="n">
        <f aca="false">'VOL DWNLD'!F15+'VOL DELTA'!F15</f>
        <v>1</v>
      </c>
      <c r="G15" s="168" t="n">
        <f aca="false">'VOL DWNLD'!G15+'VOL DELTA'!G15</f>
        <v>1</v>
      </c>
      <c r="H15" s="168" t="n">
        <f aca="false">'VOL DWNLD'!H15+'VOL DELTA'!H15</f>
        <v>1</v>
      </c>
      <c r="I15" s="168" t="n">
        <f aca="false">'VOL DWNLD'!I15+'VOL DELTA'!I15</f>
        <v>1</v>
      </c>
      <c r="J15" s="168" t="n">
        <f aca="false">'VOL DWNLD'!J15+'VOL DELTA'!J15</f>
        <v>1</v>
      </c>
      <c r="K15" s="168" t="n">
        <f aca="false">'VOL DWNLD'!K15+'VOL DELTA'!K15</f>
        <v>1</v>
      </c>
      <c r="L15" s="168" t="n">
        <f aca="false">'VOL DWNLD'!L15+'VOL DELTA'!L15</f>
        <v>1</v>
      </c>
      <c r="M15" s="168" t="n">
        <f aca="false">'VOL DWNLD'!M15+'VOL DELTA'!M15</f>
        <v>1</v>
      </c>
      <c r="N15" s="168" t="n">
        <f aca="false">'VOL DWNLD'!N15+'VOL DELTA'!N15</f>
        <v>1</v>
      </c>
      <c r="O15" s="168" t="n">
        <f aca="false">'VOL DWNLD'!O15+'VOL DELTA'!O15</f>
        <v>1</v>
      </c>
      <c r="P15" s="168" t="n">
        <f aca="false">'VOL DWNLD'!P15+'VOL DELTA'!P15</f>
        <v>1.03</v>
      </c>
      <c r="Q15" s="168" t="n">
        <f aca="false">'VOL DWNLD'!Q15+'VOL DELTA'!Q15</f>
        <v>1</v>
      </c>
      <c r="R15" s="168" t="n">
        <f aca="false">'VOL DWNLD'!R15+'VOL DELTA'!R15</f>
        <v>1</v>
      </c>
      <c r="S15" s="168" t="n">
        <f aca="false">'VOL DWNLD'!S15+'VOL DELTA'!S15</f>
        <v>1.02</v>
      </c>
      <c r="T15" s="168" t="n">
        <f aca="false">'VOL DWNLD'!T15+'VOL DELTA'!T15</f>
        <v>1</v>
      </c>
      <c r="U15" s="168" t="n">
        <f aca="false">'VOL DWNLD'!U15+'VOL DELTA'!U15</f>
        <v>1</v>
      </c>
      <c r="V15" s="168" t="n">
        <f aca="false">'VOL DWNLD'!V15+'VOL DELTA'!V15</f>
        <v>1</v>
      </c>
      <c r="W15" s="168" t="n">
        <f aca="false">'VOL DWNLD'!W15+'VOL DELTA'!W15</f>
        <v>1</v>
      </c>
      <c r="X15" s="168" t="n">
        <f aca="false">'VOL DWNLD'!X15+'VOL DELTA'!X15</f>
        <v>1</v>
      </c>
      <c r="Y15" s="168" t="n">
        <f aca="false">'VOL DWNLD'!Y15+'VOL DELTA'!Y15</f>
        <v>1.02</v>
      </c>
      <c r="Z15" s="168" t="n">
        <f aca="false">'VOL DWNLD'!Z15+'VOL DELTA'!Z15</f>
        <v>1</v>
      </c>
      <c r="AA15" s="168" t="n">
        <f aca="false">'VOL DWNLD'!AA15+'VOL DELTA'!AA15</f>
        <v>1</v>
      </c>
      <c r="AB15" s="168" t="n">
        <f aca="false">'VOL DWNLD'!AB15+'VOL DELTA'!AB15</f>
        <v>1</v>
      </c>
      <c r="AC15" s="168" t="n">
        <f aca="false">'VOL DWNLD'!AC15+'VOL DELTA'!AC15</f>
        <v>1</v>
      </c>
      <c r="AD15" s="168" t="n">
        <f aca="false">'VOL DWNLD'!AD15+'VOL DELTA'!AD15</f>
        <v>0.98</v>
      </c>
      <c r="AE15" s="168" t="n">
        <f aca="false">'VOL DWNLD'!AE15+'VOL DELTA'!AE15</f>
        <v>0.98</v>
      </c>
      <c r="AF15" s="168" t="n">
        <f aca="false">'VOL DWNLD'!AF15+'VOL DELTA'!AF15</f>
        <v>0.98</v>
      </c>
      <c r="AG15" s="168" t="n">
        <f aca="false">'VOL DWNLD'!AG15+'VOL DELTA'!AG15</f>
        <v>0.98</v>
      </c>
      <c r="AH15" s="168" t="n">
        <f aca="false">'VOL DWNLD'!AH15+'VOL DELTA'!AH15</f>
        <v>1.05</v>
      </c>
      <c r="AI15" s="168" t="n">
        <f aca="false">'VOL DWNLD'!AI15+'VOL DELTA'!AI15</f>
        <v>1</v>
      </c>
      <c r="AJ15" s="168" t="n">
        <f aca="false">'VOL DWNLD'!AJ15+'VOL DELTA'!AJ15</f>
        <v>0.97</v>
      </c>
      <c r="AK15" s="168" t="n">
        <f aca="false">'VOL DWNLD'!AK15+'VOL DELTA'!AK15</f>
        <v>1.02</v>
      </c>
      <c r="AL15" s="168" t="n">
        <f aca="false">'VOL DWNLD'!AL15+'VOL DELTA'!AL15</f>
        <v>1</v>
      </c>
      <c r="AM15" s="168" t="n">
        <f aca="false">'VOL DWNLD'!AM15+'VOL DELTA'!AM15</f>
        <v>0.97</v>
      </c>
      <c r="AN15" s="168" t="n">
        <f aca="false">'VOL DWNLD'!AN15+'VOL DELTA'!AN15</f>
        <v>1</v>
      </c>
      <c r="AO15" s="168" t="n">
        <f aca="false">'VOL DWNLD'!AO15+'VOL DELTA'!AO15</f>
        <v>1</v>
      </c>
    </row>
    <row r="16" customFormat="false" ht="12.75" hidden="false" customHeight="false" outlineLevel="0" collapsed="false">
      <c r="A16" s="167" t="n">
        <v>37165</v>
      </c>
      <c r="B16" s="168" t="n">
        <f aca="false">'VOL DWNLD'!B16+'VOL DELTA'!B16</f>
        <v>1</v>
      </c>
      <c r="C16" s="168" t="n">
        <f aca="false">'VOL DWNLD'!C16+'VOL DELTA'!C16</f>
        <v>1</v>
      </c>
      <c r="D16" s="168" t="n">
        <f aca="false">'VOL DWNLD'!D16+'VOL DELTA'!D16</f>
        <v>1</v>
      </c>
      <c r="E16" s="168" t="n">
        <f aca="false">'VOL DWNLD'!E16+'VOL DELTA'!E16</f>
        <v>1</v>
      </c>
      <c r="F16" s="168" t="n">
        <f aca="false">'VOL DWNLD'!F16+'VOL DELTA'!F16</f>
        <v>1</v>
      </c>
      <c r="G16" s="168" t="n">
        <f aca="false">'VOL DWNLD'!G16+'VOL DELTA'!G16</f>
        <v>1</v>
      </c>
      <c r="H16" s="168" t="n">
        <f aca="false">'VOL DWNLD'!H16+'VOL DELTA'!H16</f>
        <v>1</v>
      </c>
      <c r="I16" s="168" t="n">
        <f aca="false">'VOL DWNLD'!I16+'VOL DELTA'!I16</f>
        <v>1</v>
      </c>
      <c r="J16" s="168" t="n">
        <f aca="false">'VOL DWNLD'!J16+'VOL DELTA'!J16</f>
        <v>1</v>
      </c>
      <c r="K16" s="168" t="n">
        <f aca="false">'VOL DWNLD'!K16+'VOL DELTA'!K16</f>
        <v>1</v>
      </c>
      <c r="L16" s="168" t="n">
        <f aca="false">'VOL DWNLD'!L16+'VOL DELTA'!L16</f>
        <v>1</v>
      </c>
      <c r="M16" s="168" t="n">
        <f aca="false">'VOL DWNLD'!M16+'VOL DELTA'!M16</f>
        <v>1</v>
      </c>
      <c r="N16" s="168" t="n">
        <f aca="false">'VOL DWNLD'!N16+'VOL DELTA'!N16</f>
        <v>1</v>
      </c>
      <c r="O16" s="168" t="n">
        <f aca="false">'VOL DWNLD'!O16+'VOL DELTA'!O16</f>
        <v>1</v>
      </c>
      <c r="P16" s="168" t="n">
        <f aca="false">'VOL DWNLD'!P16+'VOL DELTA'!P16</f>
        <v>1.03</v>
      </c>
      <c r="Q16" s="168" t="n">
        <f aca="false">'VOL DWNLD'!Q16+'VOL DELTA'!Q16</f>
        <v>1</v>
      </c>
      <c r="R16" s="168" t="n">
        <f aca="false">'VOL DWNLD'!R16+'VOL DELTA'!R16</f>
        <v>1</v>
      </c>
      <c r="S16" s="168" t="n">
        <f aca="false">'VOL DWNLD'!S16+'VOL DELTA'!S16</f>
        <v>1.02</v>
      </c>
      <c r="T16" s="168" t="n">
        <f aca="false">'VOL DWNLD'!T16+'VOL DELTA'!T16</f>
        <v>1</v>
      </c>
      <c r="U16" s="168" t="n">
        <f aca="false">'VOL DWNLD'!U16+'VOL DELTA'!U16</f>
        <v>1</v>
      </c>
      <c r="V16" s="168" t="n">
        <f aca="false">'VOL DWNLD'!V16+'VOL DELTA'!V16</f>
        <v>1</v>
      </c>
      <c r="W16" s="168" t="n">
        <f aca="false">'VOL DWNLD'!W16+'VOL DELTA'!W16</f>
        <v>1</v>
      </c>
      <c r="X16" s="168" t="n">
        <f aca="false">'VOL DWNLD'!X16+'VOL DELTA'!X16</f>
        <v>1</v>
      </c>
      <c r="Y16" s="168" t="n">
        <f aca="false">'VOL DWNLD'!Y16+'VOL DELTA'!Y16</f>
        <v>1.02</v>
      </c>
      <c r="Z16" s="168" t="n">
        <f aca="false">'VOL DWNLD'!Z16+'VOL DELTA'!Z16</f>
        <v>1</v>
      </c>
      <c r="AA16" s="168" t="n">
        <f aca="false">'VOL DWNLD'!AA16+'VOL DELTA'!AA16</f>
        <v>1</v>
      </c>
      <c r="AB16" s="168" t="n">
        <f aca="false">'VOL DWNLD'!AB16+'VOL DELTA'!AB16</f>
        <v>1</v>
      </c>
      <c r="AC16" s="168" t="n">
        <f aca="false">'VOL DWNLD'!AC16+'VOL DELTA'!AC16</f>
        <v>1</v>
      </c>
      <c r="AD16" s="168" t="n">
        <f aca="false">'VOL DWNLD'!AD16+'VOL DELTA'!AD16</f>
        <v>0.98</v>
      </c>
      <c r="AE16" s="168" t="n">
        <f aca="false">'VOL DWNLD'!AE16+'VOL DELTA'!AE16</f>
        <v>0.98</v>
      </c>
      <c r="AF16" s="168" t="n">
        <f aca="false">'VOL DWNLD'!AF16+'VOL DELTA'!AF16</f>
        <v>0.98</v>
      </c>
      <c r="AG16" s="168" t="n">
        <f aca="false">'VOL DWNLD'!AG16+'VOL DELTA'!AG16</f>
        <v>0.98</v>
      </c>
      <c r="AH16" s="168" t="n">
        <f aca="false">'VOL DWNLD'!AH16+'VOL DELTA'!AH16</f>
        <v>1.05</v>
      </c>
      <c r="AI16" s="168" t="n">
        <f aca="false">'VOL DWNLD'!AI16+'VOL DELTA'!AI16</f>
        <v>1</v>
      </c>
      <c r="AJ16" s="168" t="n">
        <f aca="false">'VOL DWNLD'!AJ16+'VOL DELTA'!AJ16</f>
        <v>0.97</v>
      </c>
      <c r="AK16" s="168" t="n">
        <f aca="false">'VOL DWNLD'!AK16+'VOL DELTA'!AK16</f>
        <v>1.02</v>
      </c>
      <c r="AL16" s="168" t="n">
        <f aca="false">'VOL DWNLD'!AL16+'VOL DELTA'!AL16</f>
        <v>1</v>
      </c>
      <c r="AM16" s="168" t="n">
        <f aca="false">'VOL DWNLD'!AM16+'VOL DELTA'!AM16</f>
        <v>0.97</v>
      </c>
      <c r="AN16" s="168" t="n">
        <f aca="false">'VOL DWNLD'!AN16+'VOL DELTA'!AN16</f>
        <v>1</v>
      </c>
      <c r="AO16" s="168" t="n">
        <f aca="false">'VOL DWNLD'!AO16+'VOL DELTA'!AO16</f>
        <v>1</v>
      </c>
    </row>
    <row r="17" customFormat="false" ht="12.75" hidden="false" customHeight="false" outlineLevel="0" collapsed="false">
      <c r="A17" s="167" t="n">
        <v>37196</v>
      </c>
      <c r="B17" s="168" t="n">
        <f aca="false">'VOL DWNLD'!B17+'VOL DELTA'!B17</f>
        <v>1</v>
      </c>
      <c r="C17" s="168" t="n">
        <f aca="false">'VOL DWNLD'!C17+'VOL DELTA'!C17</f>
        <v>1</v>
      </c>
      <c r="D17" s="168" t="n">
        <f aca="false">'VOL DWNLD'!D17+'VOL DELTA'!D17</f>
        <v>1</v>
      </c>
      <c r="E17" s="168" t="n">
        <f aca="false">'VOL DWNLD'!E17+'VOL DELTA'!E17</f>
        <v>1</v>
      </c>
      <c r="F17" s="168" t="n">
        <f aca="false">'VOL DWNLD'!F17+'VOL DELTA'!F17</f>
        <v>1</v>
      </c>
      <c r="G17" s="168" t="n">
        <f aca="false">'VOL DWNLD'!G17+'VOL DELTA'!G17</f>
        <v>1</v>
      </c>
      <c r="H17" s="168" t="n">
        <f aca="false">'VOL DWNLD'!H17+'VOL DELTA'!H17</f>
        <v>1</v>
      </c>
      <c r="I17" s="168" t="n">
        <f aca="false">'VOL DWNLD'!I17+'VOL DELTA'!I17</f>
        <v>1</v>
      </c>
      <c r="J17" s="168" t="n">
        <f aca="false">'VOL DWNLD'!J17+'VOL DELTA'!J17</f>
        <v>1</v>
      </c>
      <c r="K17" s="168" t="n">
        <f aca="false">'VOL DWNLD'!K17+'VOL DELTA'!K17</f>
        <v>1</v>
      </c>
      <c r="L17" s="168" t="n">
        <f aca="false">'VOL DWNLD'!L17+'VOL DELTA'!L17</f>
        <v>1</v>
      </c>
      <c r="M17" s="168" t="n">
        <f aca="false">'VOL DWNLD'!M17+'VOL DELTA'!M17</f>
        <v>1</v>
      </c>
      <c r="N17" s="168" t="n">
        <f aca="false">'VOL DWNLD'!N17+'VOL DELTA'!N17</f>
        <v>1</v>
      </c>
      <c r="O17" s="168" t="n">
        <f aca="false">'VOL DWNLD'!O17+'VOL DELTA'!O17</f>
        <v>1</v>
      </c>
      <c r="P17" s="168" t="n">
        <f aca="false">'VOL DWNLD'!P17+'VOL DELTA'!P17</f>
        <v>1.03</v>
      </c>
      <c r="Q17" s="168" t="n">
        <f aca="false">'VOL DWNLD'!Q17+'VOL DELTA'!Q17</f>
        <v>1</v>
      </c>
      <c r="R17" s="168" t="n">
        <f aca="false">'VOL DWNLD'!R17+'VOL DELTA'!R17</f>
        <v>1</v>
      </c>
      <c r="S17" s="168" t="n">
        <f aca="false">'VOL DWNLD'!S17+'VOL DELTA'!S17</f>
        <v>1.02</v>
      </c>
      <c r="T17" s="168" t="n">
        <f aca="false">'VOL DWNLD'!T17+'VOL DELTA'!T17</f>
        <v>1</v>
      </c>
      <c r="U17" s="168" t="n">
        <f aca="false">'VOL DWNLD'!U17+'VOL DELTA'!U17</f>
        <v>1</v>
      </c>
      <c r="V17" s="168" t="n">
        <f aca="false">'VOL DWNLD'!V17+'VOL DELTA'!V17</f>
        <v>1</v>
      </c>
      <c r="W17" s="168" t="n">
        <f aca="false">'VOL DWNLD'!W17+'VOL DELTA'!W17</f>
        <v>1</v>
      </c>
      <c r="X17" s="168" t="n">
        <f aca="false">'VOL DWNLD'!X17+'VOL DELTA'!X17</f>
        <v>1</v>
      </c>
      <c r="Y17" s="168" t="n">
        <f aca="false">'VOL DWNLD'!Y17+'VOL DELTA'!Y17</f>
        <v>1</v>
      </c>
      <c r="Z17" s="168" t="n">
        <f aca="false">'VOL DWNLD'!Z17+'VOL DELTA'!Z17</f>
        <v>1</v>
      </c>
      <c r="AA17" s="168" t="n">
        <f aca="false">'VOL DWNLD'!AA17+'VOL DELTA'!AA17</f>
        <v>1</v>
      </c>
      <c r="AB17" s="168" t="n">
        <f aca="false">'VOL DWNLD'!AB17+'VOL DELTA'!AB17</f>
        <v>1</v>
      </c>
      <c r="AC17" s="168" t="n">
        <f aca="false">'VOL DWNLD'!AC17+'VOL DELTA'!AC17</f>
        <v>1</v>
      </c>
      <c r="AD17" s="168" t="n">
        <f aca="false">'VOL DWNLD'!AD17+'VOL DELTA'!AD17</f>
        <v>1</v>
      </c>
      <c r="AE17" s="168" t="n">
        <f aca="false">'VOL DWNLD'!AE17+'VOL DELTA'!AE17</f>
        <v>1</v>
      </c>
      <c r="AF17" s="168" t="n">
        <f aca="false">'VOL DWNLD'!AF17+'VOL DELTA'!AF17</f>
        <v>1.1</v>
      </c>
      <c r="AG17" s="168" t="n">
        <f aca="false">'VOL DWNLD'!AG17+'VOL DELTA'!AG17</f>
        <v>1.1</v>
      </c>
      <c r="AH17" s="168" t="n">
        <f aca="false">'VOL DWNLD'!AH17+'VOL DELTA'!AH17</f>
        <v>1.05</v>
      </c>
      <c r="AI17" s="168" t="n">
        <f aca="false">'VOL DWNLD'!AI17+'VOL DELTA'!AI17</f>
        <v>1</v>
      </c>
      <c r="AJ17" s="168" t="n">
        <f aca="false">'VOL DWNLD'!AJ17+'VOL DELTA'!AJ17</f>
        <v>0.97</v>
      </c>
      <c r="AK17" s="168" t="n">
        <f aca="false">'VOL DWNLD'!AK17+'VOL DELTA'!AK17</f>
        <v>1.02</v>
      </c>
      <c r="AL17" s="168" t="n">
        <f aca="false">'VOL DWNLD'!AL17+'VOL DELTA'!AL17</f>
        <v>1</v>
      </c>
      <c r="AM17" s="168" t="n">
        <f aca="false">'VOL DWNLD'!AM17+'VOL DELTA'!AM17</f>
        <v>0.97</v>
      </c>
      <c r="AN17" s="168" t="n">
        <f aca="false">'VOL DWNLD'!AN17+'VOL DELTA'!AN17</f>
        <v>1</v>
      </c>
      <c r="AO17" s="168" t="n">
        <f aca="false">'VOL DWNLD'!AO17+'VOL DELTA'!AO17</f>
        <v>1</v>
      </c>
    </row>
    <row r="18" customFormat="false" ht="12.75" hidden="false" customHeight="false" outlineLevel="0" collapsed="false">
      <c r="A18" s="167" t="n">
        <v>37226</v>
      </c>
      <c r="B18" s="168" t="n">
        <f aca="false">'VOL DWNLD'!B18+'VOL DELTA'!B18</f>
        <v>1</v>
      </c>
      <c r="C18" s="168" t="n">
        <f aca="false">'VOL DWNLD'!C18+'VOL DELTA'!C18</f>
        <v>1</v>
      </c>
      <c r="D18" s="168" t="n">
        <f aca="false">'VOL DWNLD'!D18+'VOL DELTA'!D18</f>
        <v>1</v>
      </c>
      <c r="E18" s="168" t="n">
        <f aca="false">'VOL DWNLD'!E18+'VOL DELTA'!E18</f>
        <v>1</v>
      </c>
      <c r="F18" s="168" t="n">
        <f aca="false">'VOL DWNLD'!F18+'VOL DELTA'!F18</f>
        <v>1</v>
      </c>
      <c r="G18" s="168" t="n">
        <f aca="false">'VOL DWNLD'!G18+'VOL DELTA'!G18</f>
        <v>1</v>
      </c>
      <c r="H18" s="168" t="n">
        <f aca="false">'VOL DWNLD'!H18+'VOL DELTA'!H18</f>
        <v>1</v>
      </c>
      <c r="I18" s="168" t="n">
        <f aca="false">'VOL DWNLD'!I18+'VOL DELTA'!I18</f>
        <v>1</v>
      </c>
      <c r="J18" s="168" t="n">
        <f aca="false">'VOL DWNLD'!J18+'VOL DELTA'!J18</f>
        <v>1</v>
      </c>
      <c r="K18" s="168" t="n">
        <f aca="false">'VOL DWNLD'!K18+'VOL DELTA'!K18</f>
        <v>1</v>
      </c>
      <c r="L18" s="168" t="n">
        <f aca="false">'VOL DWNLD'!L18+'VOL DELTA'!L18</f>
        <v>1</v>
      </c>
      <c r="M18" s="168" t="n">
        <f aca="false">'VOL DWNLD'!M18+'VOL DELTA'!M18</f>
        <v>1</v>
      </c>
      <c r="N18" s="168" t="n">
        <f aca="false">'VOL DWNLD'!N18+'VOL DELTA'!N18</f>
        <v>1</v>
      </c>
      <c r="O18" s="168" t="n">
        <f aca="false">'VOL DWNLD'!O18+'VOL DELTA'!O18</f>
        <v>1</v>
      </c>
      <c r="P18" s="168" t="n">
        <f aca="false">'VOL DWNLD'!P18+'VOL DELTA'!P18</f>
        <v>1.03</v>
      </c>
      <c r="Q18" s="168" t="n">
        <f aca="false">'VOL DWNLD'!Q18+'VOL DELTA'!Q18</f>
        <v>1</v>
      </c>
      <c r="R18" s="168" t="n">
        <f aca="false">'VOL DWNLD'!R18+'VOL DELTA'!R18</f>
        <v>1</v>
      </c>
      <c r="S18" s="168" t="n">
        <f aca="false">'VOL DWNLD'!S18+'VOL DELTA'!S18</f>
        <v>1.02</v>
      </c>
      <c r="T18" s="168" t="n">
        <f aca="false">'VOL DWNLD'!T18+'VOL DELTA'!T18</f>
        <v>1</v>
      </c>
      <c r="U18" s="168" t="n">
        <f aca="false">'VOL DWNLD'!U18+'VOL DELTA'!U18</f>
        <v>1</v>
      </c>
      <c r="V18" s="168" t="n">
        <f aca="false">'VOL DWNLD'!V18+'VOL DELTA'!V18</f>
        <v>1</v>
      </c>
      <c r="W18" s="168" t="n">
        <f aca="false">'VOL DWNLD'!W18+'VOL DELTA'!W18</f>
        <v>1</v>
      </c>
      <c r="X18" s="168" t="n">
        <f aca="false">'VOL DWNLD'!X18+'VOL DELTA'!X18</f>
        <v>1</v>
      </c>
      <c r="Y18" s="168" t="n">
        <f aca="false">'VOL DWNLD'!Y18+'VOL DELTA'!Y18</f>
        <v>1</v>
      </c>
      <c r="Z18" s="168" t="n">
        <f aca="false">'VOL DWNLD'!Z18+'VOL DELTA'!Z18</f>
        <v>1</v>
      </c>
      <c r="AA18" s="168" t="n">
        <f aca="false">'VOL DWNLD'!AA18+'VOL DELTA'!AA18</f>
        <v>1</v>
      </c>
      <c r="AB18" s="168" t="n">
        <f aca="false">'VOL DWNLD'!AB18+'VOL DELTA'!AB18</f>
        <v>1</v>
      </c>
      <c r="AC18" s="168" t="n">
        <f aca="false">'VOL DWNLD'!AC18+'VOL DELTA'!AC18</f>
        <v>1</v>
      </c>
      <c r="AD18" s="168" t="n">
        <f aca="false">'VOL DWNLD'!AD18+'VOL DELTA'!AD18</f>
        <v>1</v>
      </c>
      <c r="AE18" s="168" t="n">
        <f aca="false">'VOL DWNLD'!AE18+'VOL DELTA'!AE18</f>
        <v>1</v>
      </c>
      <c r="AF18" s="168" t="n">
        <f aca="false">'VOL DWNLD'!AF18+'VOL DELTA'!AF18</f>
        <v>1.1</v>
      </c>
      <c r="AG18" s="168" t="n">
        <f aca="false">'VOL DWNLD'!AG18+'VOL DELTA'!AG18</f>
        <v>1.1</v>
      </c>
      <c r="AH18" s="168" t="n">
        <f aca="false">'VOL DWNLD'!AH18+'VOL DELTA'!AH18</f>
        <v>1.05</v>
      </c>
      <c r="AI18" s="168" t="n">
        <f aca="false">'VOL DWNLD'!AI18+'VOL DELTA'!AI18</f>
        <v>1</v>
      </c>
      <c r="AJ18" s="168" t="n">
        <f aca="false">'VOL DWNLD'!AJ18+'VOL DELTA'!AJ18</f>
        <v>0.97</v>
      </c>
      <c r="AK18" s="168" t="n">
        <f aca="false">'VOL DWNLD'!AK18+'VOL DELTA'!AK18</f>
        <v>1.02</v>
      </c>
      <c r="AL18" s="168" t="n">
        <f aca="false">'VOL DWNLD'!AL18+'VOL DELTA'!AL18</f>
        <v>1</v>
      </c>
      <c r="AM18" s="168" t="n">
        <f aca="false">'VOL DWNLD'!AM18+'VOL DELTA'!AM18</f>
        <v>0.97</v>
      </c>
      <c r="AN18" s="168" t="n">
        <f aca="false">'VOL DWNLD'!AN18+'VOL DELTA'!AN18</f>
        <v>1</v>
      </c>
      <c r="AO18" s="168" t="n">
        <f aca="false">'VOL DWNLD'!AO18+'VOL DELTA'!AO18</f>
        <v>1</v>
      </c>
    </row>
    <row r="19" customFormat="false" ht="12.75" hidden="false" customHeight="false" outlineLevel="0" collapsed="false">
      <c r="A19" s="167" t="n">
        <v>37257</v>
      </c>
      <c r="B19" s="168" t="n">
        <f aca="false">'VOL DWNLD'!B19+'VOL DELTA'!B19</f>
        <v>1</v>
      </c>
      <c r="C19" s="168" t="n">
        <f aca="false">'VOL DWNLD'!C19+'VOL DELTA'!C19</f>
        <v>1</v>
      </c>
      <c r="D19" s="168" t="n">
        <f aca="false">'VOL DWNLD'!D19+'VOL DELTA'!D19</f>
        <v>1</v>
      </c>
      <c r="E19" s="168" t="n">
        <f aca="false">'VOL DWNLD'!E19+'VOL DELTA'!E19</f>
        <v>1</v>
      </c>
      <c r="F19" s="168" t="n">
        <f aca="false">'VOL DWNLD'!F19+'VOL DELTA'!F19</f>
        <v>1</v>
      </c>
      <c r="G19" s="168" t="n">
        <f aca="false">'VOL DWNLD'!G19+'VOL DELTA'!G19</f>
        <v>1</v>
      </c>
      <c r="H19" s="168" t="n">
        <f aca="false">'VOL DWNLD'!H19+'VOL DELTA'!H19</f>
        <v>1</v>
      </c>
      <c r="I19" s="168" t="n">
        <f aca="false">'VOL DWNLD'!I19+'VOL DELTA'!I19</f>
        <v>1</v>
      </c>
      <c r="J19" s="168" t="n">
        <f aca="false">'VOL DWNLD'!J19+'VOL DELTA'!J19</f>
        <v>1</v>
      </c>
      <c r="K19" s="168" t="n">
        <f aca="false">'VOL DWNLD'!K19+'VOL DELTA'!K19</f>
        <v>1</v>
      </c>
      <c r="L19" s="168" t="n">
        <f aca="false">'VOL DWNLD'!L19+'VOL DELTA'!L19</f>
        <v>1</v>
      </c>
      <c r="M19" s="168" t="n">
        <f aca="false">'VOL DWNLD'!M19+'VOL DELTA'!M19</f>
        <v>1</v>
      </c>
      <c r="N19" s="168" t="n">
        <f aca="false">'VOL DWNLD'!N19+'VOL DELTA'!N19</f>
        <v>1</v>
      </c>
      <c r="O19" s="168" t="n">
        <f aca="false">'VOL DWNLD'!O19+'VOL DELTA'!O19</f>
        <v>1</v>
      </c>
      <c r="P19" s="168" t="n">
        <f aca="false">'VOL DWNLD'!P19+'VOL DELTA'!P19</f>
        <v>1.03</v>
      </c>
      <c r="Q19" s="168" t="n">
        <f aca="false">'VOL DWNLD'!Q19+'VOL DELTA'!Q19</f>
        <v>1</v>
      </c>
      <c r="R19" s="168" t="n">
        <f aca="false">'VOL DWNLD'!R19+'VOL DELTA'!R19</f>
        <v>1</v>
      </c>
      <c r="S19" s="168" t="n">
        <f aca="false">'VOL DWNLD'!S19+'VOL DELTA'!S19</f>
        <v>1.02</v>
      </c>
      <c r="T19" s="168" t="n">
        <f aca="false">'VOL DWNLD'!T19+'VOL DELTA'!T19</f>
        <v>1</v>
      </c>
      <c r="U19" s="168" t="n">
        <f aca="false">'VOL DWNLD'!U19+'VOL DELTA'!U19</f>
        <v>1</v>
      </c>
      <c r="V19" s="168" t="n">
        <f aca="false">'VOL DWNLD'!V19+'VOL DELTA'!V19</f>
        <v>1</v>
      </c>
      <c r="W19" s="168" t="n">
        <f aca="false">'VOL DWNLD'!W19+'VOL DELTA'!W19</f>
        <v>1</v>
      </c>
      <c r="X19" s="168" t="n">
        <f aca="false">'VOL DWNLD'!X19+'VOL DELTA'!X19</f>
        <v>1</v>
      </c>
      <c r="Y19" s="168" t="n">
        <f aca="false">'VOL DWNLD'!Y19+'VOL DELTA'!Y19</f>
        <v>1</v>
      </c>
      <c r="Z19" s="168" t="n">
        <f aca="false">'VOL DWNLD'!Z19+'VOL DELTA'!Z19</f>
        <v>1</v>
      </c>
      <c r="AA19" s="168" t="n">
        <f aca="false">'VOL DWNLD'!AA19+'VOL DELTA'!AA19</f>
        <v>1</v>
      </c>
      <c r="AB19" s="168" t="n">
        <f aca="false">'VOL DWNLD'!AB19+'VOL DELTA'!AB19</f>
        <v>1</v>
      </c>
      <c r="AC19" s="168" t="n">
        <f aca="false">'VOL DWNLD'!AC19+'VOL DELTA'!AC19</f>
        <v>1</v>
      </c>
      <c r="AD19" s="168" t="n">
        <f aca="false">'VOL DWNLD'!AD19+'VOL DELTA'!AD19</f>
        <v>1</v>
      </c>
      <c r="AE19" s="168" t="n">
        <f aca="false">'VOL DWNLD'!AE19+'VOL DELTA'!AE19</f>
        <v>1</v>
      </c>
      <c r="AF19" s="168" t="n">
        <f aca="false">'VOL DWNLD'!AF19+'VOL DELTA'!AF19</f>
        <v>1</v>
      </c>
      <c r="AG19" s="168" t="n">
        <f aca="false">'VOL DWNLD'!AG19+'VOL DELTA'!AG19</f>
        <v>1.1</v>
      </c>
      <c r="AH19" s="168" t="n">
        <f aca="false">'VOL DWNLD'!AH19+'VOL DELTA'!AH19</f>
        <v>1.05</v>
      </c>
      <c r="AI19" s="168" t="n">
        <f aca="false">'VOL DWNLD'!AI19+'VOL DELTA'!AI19</f>
        <v>1</v>
      </c>
      <c r="AJ19" s="168" t="n">
        <f aca="false">'VOL DWNLD'!AJ19+'VOL DELTA'!AJ19</f>
        <v>0.97</v>
      </c>
      <c r="AK19" s="168" t="n">
        <f aca="false">'VOL DWNLD'!AK19+'VOL DELTA'!AK19</f>
        <v>1.02</v>
      </c>
      <c r="AL19" s="168" t="n">
        <f aca="false">'VOL DWNLD'!AL19+'VOL DELTA'!AL19</f>
        <v>1</v>
      </c>
      <c r="AM19" s="168" t="n">
        <f aca="false">'VOL DWNLD'!AM19+'VOL DELTA'!AM19</f>
        <v>0.97</v>
      </c>
      <c r="AN19" s="168" t="n">
        <f aca="false">'VOL DWNLD'!AN19+'VOL DELTA'!AN19</f>
        <v>1</v>
      </c>
      <c r="AO19" s="168" t="n">
        <f aca="false">'VOL DWNLD'!AO19+'VOL DELTA'!AO19</f>
        <v>1</v>
      </c>
    </row>
    <row r="20" customFormat="false" ht="12.75" hidden="false" customHeight="false" outlineLevel="0" collapsed="false">
      <c r="A20" s="167" t="n">
        <v>37288</v>
      </c>
      <c r="B20" s="168" t="n">
        <f aca="false">'VOL DWNLD'!B20+'VOL DELTA'!B20</f>
        <v>1</v>
      </c>
      <c r="C20" s="168" t="n">
        <f aca="false">'VOL DWNLD'!C20+'VOL DELTA'!C20</f>
        <v>1</v>
      </c>
      <c r="D20" s="168" t="n">
        <f aca="false">'VOL DWNLD'!D20+'VOL DELTA'!D20</f>
        <v>1</v>
      </c>
      <c r="E20" s="168" t="n">
        <f aca="false">'VOL DWNLD'!E20+'VOL DELTA'!E20</f>
        <v>1</v>
      </c>
      <c r="F20" s="168" t="n">
        <f aca="false">'VOL DWNLD'!F20+'VOL DELTA'!F20</f>
        <v>1</v>
      </c>
      <c r="G20" s="168" t="n">
        <f aca="false">'VOL DWNLD'!G20+'VOL DELTA'!G20</f>
        <v>1</v>
      </c>
      <c r="H20" s="168" t="n">
        <f aca="false">'VOL DWNLD'!H20+'VOL DELTA'!H20</f>
        <v>1</v>
      </c>
      <c r="I20" s="168" t="n">
        <f aca="false">'VOL DWNLD'!I20+'VOL DELTA'!I20</f>
        <v>1</v>
      </c>
      <c r="J20" s="168" t="n">
        <f aca="false">'VOL DWNLD'!J20+'VOL DELTA'!J20</f>
        <v>1</v>
      </c>
      <c r="K20" s="168" t="n">
        <f aca="false">'VOL DWNLD'!K20+'VOL DELTA'!K20</f>
        <v>1</v>
      </c>
      <c r="L20" s="168" t="n">
        <f aca="false">'VOL DWNLD'!L20+'VOL DELTA'!L20</f>
        <v>1</v>
      </c>
      <c r="M20" s="168" t="n">
        <f aca="false">'VOL DWNLD'!M20+'VOL DELTA'!M20</f>
        <v>1</v>
      </c>
      <c r="N20" s="168" t="n">
        <f aca="false">'VOL DWNLD'!N20+'VOL DELTA'!N20</f>
        <v>1</v>
      </c>
      <c r="O20" s="168" t="n">
        <f aca="false">'VOL DWNLD'!O20+'VOL DELTA'!O20</f>
        <v>1</v>
      </c>
      <c r="P20" s="168" t="n">
        <f aca="false">'VOL DWNLD'!P20+'VOL DELTA'!P20</f>
        <v>1.03</v>
      </c>
      <c r="Q20" s="168" t="n">
        <f aca="false">'VOL DWNLD'!Q20+'VOL DELTA'!Q20</f>
        <v>1</v>
      </c>
      <c r="R20" s="168" t="n">
        <f aca="false">'VOL DWNLD'!R20+'VOL DELTA'!R20</f>
        <v>1</v>
      </c>
      <c r="S20" s="168" t="n">
        <f aca="false">'VOL DWNLD'!S20+'VOL DELTA'!S20</f>
        <v>1.02</v>
      </c>
      <c r="T20" s="168" t="n">
        <f aca="false">'VOL DWNLD'!T20+'VOL DELTA'!T20</f>
        <v>1</v>
      </c>
      <c r="U20" s="168" t="n">
        <f aca="false">'VOL DWNLD'!U20+'VOL DELTA'!U20</f>
        <v>1</v>
      </c>
      <c r="V20" s="168" t="n">
        <f aca="false">'VOL DWNLD'!V20+'VOL DELTA'!V20</f>
        <v>1</v>
      </c>
      <c r="W20" s="168" t="n">
        <f aca="false">'VOL DWNLD'!W20+'VOL DELTA'!W20</f>
        <v>1</v>
      </c>
      <c r="X20" s="168" t="n">
        <f aca="false">'VOL DWNLD'!X20+'VOL DELTA'!X20</f>
        <v>1</v>
      </c>
      <c r="Y20" s="168" t="n">
        <f aca="false">'VOL DWNLD'!Y20+'VOL DELTA'!Y20</f>
        <v>1</v>
      </c>
      <c r="Z20" s="168" t="n">
        <f aca="false">'VOL DWNLD'!Z20+'VOL DELTA'!Z20</f>
        <v>1</v>
      </c>
      <c r="AA20" s="168" t="n">
        <f aca="false">'VOL DWNLD'!AA20+'VOL DELTA'!AA20</f>
        <v>1</v>
      </c>
      <c r="AB20" s="168" t="n">
        <f aca="false">'VOL DWNLD'!AB20+'VOL DELTA'!AB20</f>
        <v>1</v>
      </c>
      <c r="AC20" s="168" t="n">
        <f aca="false">'VOL DWNLD'!AC20+'VOL DELTA'!AC20</f>
        <v>1</v>
      </c>
      <c r="AD20" s="168" t="n">
        <f aca="false">'VOL DWNLD'!AD20+'VOL DELTA'!AD20</f>
        <v>1</v>
      </c>
      <c r="AE20" s="168" t="n">
        <f aca="false">'VOL DWNLD'!AE20+'VOL DELTA'!AE20</f>
        <v>1</v>
      </c>
      <c r="AF20" s="168" t="n">
        <f aca="false">'VOL DWNLD'!AF20+'VOL DELTA'!AF20</f>
        <v>1.1</v>
      </c>
      <c r="AG20" s="168" t="n">
        <f aca="false">'VOL DWNLD'!AG20+'VOL DELTA'!AG20</f>
        <v>1.1</v>
      </c>
      <c r="AH20" s="168" t="n">
        <f aca="false">'VOL DWNLD'!AH20+'VOL DELTA'!AH20</f>
        <v>1.05</v>
      </c>
      <c r="AI20" s="168" t="n">
        <f aca="false">'VOL DWNLD'!AI20+'VOL DELTA'!AI20</f>
        <v>1</v>
      </c>
      <c r="AJ20" s="168" t="n">
        <f aca="false">'VOL DWNLD'!AJ20+'VOL DELTA'!AJ20</f>
        <v>0.97</v>
      </c>
      <c r="AK20" s="168" t="n">
        <f aca="false">'VOL DWNLD'!AK20+'VOL DELTA'!AK20</f>
        <v>1.02</v>
      </c>
      <c r="AL20" s="168" t="n">
        <f aca="false">'VOL DWNLD'!AL20+'VOL DELTA'!AL20</f>
        <v>1</v>
      </c>
      <c r="AM20" s="168" t="n">
        <f aca="false">'VOL DWNLD'!AM20+'VOL DELTA'!AM20</f>
        <v>0.97</v>
      </c>
      <c r="AN20" s="168" t="n">
        <f aca="false">'VOL DWNLD'!AN20+'VOL DELTA'!AN20</f>
        <v>1</v>
      </c>
      <c r="AO20" s="168" t="n">
        <f aca="false">'VOL DWNLD'!AO20+'VOL DELTA'!AO20</f>
        <v>1</v>
      </c>
    </row>
    <row r="21" customFormat="false" ht="12.75" hidden="false" customHeight="false" outlineLevel="0" collapsed="false">
      <c r="A21" s="167" t="n">
        <v>37316</v>
      </c>
      <c r="B21" s="168" t="n">
        <f aca="false">'VOL DWNLD'!B21+'VOL DELTA'!B21</f>
        <v>1</v>
      </c>
      <c r="C21" s="168" t="n">
        <f aca="false">'VOL DWNLD'!C21+'VOL DELTA'!C21</f>
        <v>1</v>
      </c>
      <c r="D21" s="168" t="n">
        <f aca="false">'VOL DWNLD'!D21+'VOL DELTA'!D21</f>
        <v>1</v>
      </c>
      <c r="E21" s="168" t="n">
        <f aca="false">'VOL DWNLD'!E21+'VOL DELTA'!E21</f>
        <v>1</v>
      </c>
      <c r="F21" s="168" t="n">
        <f aca="false">'VOL DWNLD'!F21+'VOL DELTA'!F21</f>
        <v>1</v>
      </c>
      <c r="G21" s="168" t="n">
        <f aca="false">'VOL DWNLD'!G21+'VOL DELTA'!G21</f>
        <v>1</v>
      </c>
      <c r="H21" s="168" t="n">
        <f aca="false">'VOL DWNLD'!H21+'VOL DELTA'!H21</f>
        <v>1</v>
      </c>
      <c r="I21" s="168" t="n">
        <f aca="false">'VOL DWNLD'!I21+'VOL DELTA'!I21</f>
        <v>1</v>
      </c>
      <c r="J21" s="168" t="n">
        <f aca="false">'VOL DWNLD'!J21+'VOL DELTA'!J21</f>
        <v>1</v>
      </c>
      <c r="K21" s="168" t="n">
        <f aca="false">'VOL DWNLD'!K21+'VOL DELTA'!K21</f>
        <v>1</v>
      </c>
      <c r="L21" s="168" t="n">
        <f aca="false">'VOL DWNLD'!L21+'VOL DELTA'!L21</f>
        <v>1</v>
      </c>
      <c r="M21" s="168" t="n">
        <f aca="false">'VOL DWNLD'!M21+'VOL DELTA'!M21</f>
        <v>1</v>
      </c>
      <c r="N21" s="168" t="n">
        <f aca="false">'VOL DWNLD'!N21+'VOL DELTA'!N21</f>
        <v>1</v>
      </c>
      <c r="O21" s="168" t="n">
        <f aca="false">'VOL DWNLD'!O21+'VOL DELTA'!O21</f>
        <v>1</v>
      </c>
      <c r="P21" s="168" t="n">
        <f aca="false">'VOL DWNLD'!P21+'VOL DELTA'!P21</f>
        <v>1.03</v>
      </c>
      <c r="Q21" s="168" t="n">
        <f aca="false">'VOL DWNLD'!Q21+'VOL DELTA'!Q21</f>
        <v>1</v>
      </c>
      <c r="R21" s="168" t="n">
        <f aca="false">'VOL DWNLD'!R21+'VOL DELTA'!R21</f>
        <v>1</v>
      </c>
      <c r="S21" s="168" t="n">
        <f aca="false">'VOL DWNLD'!S21+'VOL DELTA'!S21</f>
        <v>1.02</v>
      </c>
      <c r="T21" s="168" t="n">
        <f aca="false">'VOL DWNLD'!T21+'VOL DELTA'!T21</f>
        <v>1</v>
      </c>
      <c r="U21" s="168" t="n">
        <f aca="false">'VOL DWNLD'!U21+'VOL DELTA'!U21</f>
        <v>1</v>
      </c>
      <c r="V21" s="168" t="n">
        <f aca="false">'VOL DWNLD'!V21+'VOL DELTA'!V21</f>
        <v>1</v>
      </c>
      <c r="W21" s="168" t="n">
        <f aca="false">'VOL DWNLD'!W21+'VOL DELTA'!W21</f>
        <v>1</v>
      </c>
      <c r="X21" s="168" t="n">
        <f aca="false">'VOL DWNLD'!X21+'VOL DELTA'!X21</f>
        <v>1</v>
      </c>
      <c r="Y21" s="168" t="n">
        <f aca="false">'VOL DWNLD'!Y21+'VOL DELTA'!Y21</f>
        <v>1</v>
      </c>
      <c r="Z21" s="168" t="n">
        <f aca="false">'VOL DWNLD'!Z21+'VOL DELTA'!Z21</f>
        <v>1</v>
      </c>
      <c r="AA21" s="168" t="n">
        <f aca="false">'VOL DWNLD'!AA21+'VOL DELTA'!AA21</f>
        <v>1</v>
      </c>
      <c r="AB21" s="168" t="n">
        <f aca="false">'VOL DWNLD'!AB21+'VOL DELTA'!AB21</f>
        <v>1</v>
      </c>
      <c r="AC21" s="168" t="n">
        <f aca="false">'VOL DWNLD'!AC21+'VOL DELTA'!AC21</f>
        <v>1</v>
      </c>
      <c r="AD21" s="168" t="n">
        <f aca="false">'VOL DWNLD'!AD21+'VOL DELTA'!AD21</f>
        <v>1</v>
      </c>
      <c r="AE21" s="168" t="n">
        <f aca="false">'VOL DWNLD'!AE21+'VOL DELTA'!AE21</f>
        <v>1</v>
      </c>
      <c r="AF21" s="168" t="n">
        <f aca="false">'VOL DWNLD'!AF21+'VOL DELTA'!AF21</f>
        <v>1.1</v>
      </c>
      <c r="AG21" s="168" t="n">
        <f aca="false">'VOL DWNLD'!AG21+'VOL DELTA'!AG21</f>
        <v>1.1</v>
      </c>
      <c r="AH21" s="168" t="n">
        <f aca="false">'VOL DWNLD'!AH21+'VOL DELTA'!AH21</f>
        <v>1.05</v>
      </c>
      <c r="AI21" s="168" t="n">
        <f aca="false">'VOL DWNLD'!AI21+'VOL DELTA'!AI21</f>
        <v>1</v>
      </c>
      <c r="AJ21" s="168" t="n">
        <f aca="false">'VOL DWNLD'!AJ21+'VOL DELTA'!AJ21</f>
        <v>0.97</v>
      </c>
      <c r="AK21" s="168" t="n">
        <f aca="false">'VOL DWNLD'!AK21+'VOL DELTA'!AK21</f>
        <v>1.02</v>
      </c>
      <c r="AL21" s="168" t="n">
        <f aca="false">'VOL DWNLD'!AL21+'VOL DELTA'!AL21</f>
        <v>1</v>
      </c>
      <c r="AM21" s="168" t="n">
        <f aca="false">'VOL DWNLD'!AM21+'VOL DELTA'!AM21</f>
        <v>0.97</v>
      </c>
      <c r="AN21" s="168" t="n">
        <f aca="false">'VOL DWNLD'!AN21+'VOL DELTA'!AN21</f>
        <v>1</v>
      </c>
      <c r="AO21" s="168" t="n">
        <f aca="false">'VOL DWNLD'!AO21+'VOL DELTA'!AO21</f>
        <v>1</v>
      </c>
    </row>
    <row r="22" customFormat="false" ht="12.75" hidden="false" customHeight="false" outlineLevel="0" collapsed="false">
      <c r="A22" s="167" t="n">
        <v>37347</v>
      </c>
      <c r="B22" s="168" t="n">
        <f aca="false">'VOL DWNLD'!B22+'VOL DELTA'!B22</f>
        <v>1</v>
      </c>
      <c r="C22" s="168" t="n">
        <f aca="false">'VOL DWNLD'!C22+'VOL DELTA'!C22</f>
        <v>1</v>
      </c>
      <c r="D22" s="168" t="n">
        <f aca="false">'VOL DWNLD'!D22+'VOL DELTA'!D22</f>
        <v>1</v>
      </c>
      <c r="E22" s="168" t="n">
        <f aca="false">'VOL DWNLD'!E22+'VOL DELTA'!E22</f>
        <v>1</v>
      </c>
      <c r="F22" s="168" t="n">
        <f aca="false">'VOL DWNLD'!F22+'VOL DELTA'!F22</f>
        <v>1</v>
      </c>
      <c r="G22" s="168" t="n">
        <f aca="false">'VOL DWNLD'!G22+'VOL DELTA'!G22</f>
        <v>1</v>
      </c>
      <c r="H22" s="168" t="n">
        <f aca="false">'VOL DWNLD'!H22+'VOL DELTA'!H22</f>
        <v>1</v>
      </c>
      <c r="I22" s="168" t="n">
        <f aca="false">'VOL DWNLD'!I22+'VOL DELTA'!I22</f>
        <v>1</v>
      </c>
      <c r="J22" s="168" t="n">
        <f aca="false">'VOL DWNLD'!J22+'VOL DELTA'!J22</f>
        <v>1</v>
      </c>
      <c r="K22" s="168" t="n">
        <f aca="false">'VOL DWNLD'!K22+'VOL DELTA'!K22</f>
        <v>1</v>
      </c>
      <c r="L22" s="168" t="n">
        <f aca="false">'VOL DWNLD'!L22+'VOL DELTA'!L22</f>
        <v>1</v>
      </c>
      <c r="M22" s="168" t="n">
        <f aca="false">'VOL DWNLD'!M22+'VOL DELTA'!M22</f>
        <v>1</v>
      </c>
      <c r="N22" s="168" t="n">
        <f aca="false">'VOL DWNLD'!N22+'VOL DELTA'!N22</f>
        <v>1</v>
      </c>
      <c r="O22" s="168" t="n">
        <f aca="false">'VOL DWNLD'!O22+'VOL DELTA'!O22</f>
        <v>1</v>
      </c>
      <c r="P22" s="168" t="n">
        <f aca="false">'VOL DWNLD'!P22+'VOL DELTA'!P22</f>
        <v>1.03</v>
      </c>
      <c r="Q22" s="168" t="n">
        <f aca="false">'VOL DWNLD'!Q22+'VOL DELTA'!Q22</f>
        <v>1</v>
      </c>
      <c r="R22" s="168" t="n">
        <f aca="false">'VOL DWNLD'!R22+'VOL DELTA'!R22</f>
        <v>1</v>
      </c>
      <c r="S22" s="168" t="n">
        <f aca="false">'VOL DWNLD'!S22+'VOL DELTA'!S22</f>
        <v>1.02</v>
      </c>
      <c r="T22" s="168" t="n">
        <f aca="false">'VOL DWNLD'!T22+'VOL DELTA'!T22</f>
        <v>1</v>
      </c>
      <c r="U22" s="168" t="n">
        <f aca="false">'VOL DWNLD'!U22+'VOL DELTA'!U22</f>
        <v>1</v>
      </c>
      <c r="V22" s="168" t="n">
        <f aca="false">'VOL DWNLD'!V22+'VOL DELTA'!V22</f>
        <v>1</v>
      </c>
      <c r="W22" s="168" t="n">
        <f aca="false">'VOL DWNLD'!W22+'VOL DELTA'!W22</f>
        <v>1</v>
      </c>
      <c r="X22" s="168" t="n">
        <f aca="false">'VOL DWNLD'!X22+'VOL DELTA'!X22</f>
        <v>1</v>
      </c>
      <c r="Y22" s="168" t="n">
        <f aca="false">'VOL DWNLD'!Y22+'VOL DELTA'!Y22</f>
        <v>1.02</v>
      </c>
      <c r="Z22" s="168" t="n">
        <f aca="false">'VOL DWNLD'!Z22+'VOL DELTA'!Z22</f>
        <v>1</v>
      </c>
      <c r="AA22" s="168" t="n">
        <f aca="false">'VOL DWNLD'!AA22+'VOL DELTA'!AA22</f>
        <v>1</v>
      </c>
      <c r="AB22" s="168" t="n">
        <f aca="false">'VOL DWNLD'!AB22+'VOL DELTA'!AB22</f>
        <v>1</v>
      </c>
      <c r="AC22" s="168" t="n">
        <f aca="false">'VOL DWNLD'!AC22+'VOL DELTA'!AC22</f>
        <v>1</v>
      </c>
      <c r="AD22" s="168" t="n">
        <f aca="false">'VOL DWNLD'!AD22+'VOL DELTA'!AD22</f>
        <v>0.98</v>
      </c>
      <c r="AE22" s="168" t="n">
        <f aca="false">'VOL DWNLD'!AE22+'VOL DELTA'!AE22</f>
        <v>0.98</v>
      </c>
      <c r="AF22" s="168" t="n">
        <f aca="false">'VOL DWNLD'!AF22+'VOL DELTA'!AF22</f>
        <v>0.98</v>
      </c>
      <c r="AG22" s="168" t="n">
        <f aca="false">'VOL DWNLD'!AG22+'VOL DELTA'!AG22</f>
        <v>0.98</v>
      </c>
      <c r="AH22" s="168" t="n">
        <f aca="false">'VOL DWNLD'!AH22+'VOL DELTA'!AH22</f>
        <v>1.05</v>
      </c>
      <c r="AI22" s="168" t="n">
        <f aca="false">'VOL DWNLD'!AI22+'VOL DELTA'!AI22</f>
        <v>1</v>
      </c>
      <c r="AJ22" s="168" t="n">
        <f aca="false">'VOL DWNLD'!AJ22+'VOL DELTA'!AJ22</f>
        <v>1</v>
      </c>
      <c r="AK22" s="168" t="n">
        <f aca="false">'VOL DWNLD'!AK22+'VOL DELTA'!AK22</f>
        <v>1.02</v>
      </c>
      <c r="AL22" s="168" t="n">
        <f aca="false">'VOL DWNLD'!AL22+'VOL DELTA'!AL22</f>
        <v>1</v>
      </c>
      <c r="AM22" s="168" t="n">
        <f aca="false">'VOL DWNLD'!AM22+'VOL DELTA'!AM22</f>
        <v>1</v>
      </c>
      <c r="AN22" s="168" t="n">
        <f aca="false">'VOL DWNLD'!AN22+'VOL DELTA'!AN22</f>
        <v>1</v>
      </c>
      <c r="AO22" s="168" t="n">
        <f aca="false">'VOL DWNLD'!AO22+'VOL DELTA'!AO22</f>
        <v>1</v>
      </c>
    </row>
    <row r="23" customFormat="false" ht="12.75" hidden="false" customHeight="false" outlineLevel="0" collapsed="false">
      <c r="A23" s="167" t="n">
        <v>37377</v>
      </c>
      <c r="B23" s="168" t="n">
        <f aca="false">'VOL DWNLD'!B23+'VOL DELTA'!B23</f>
        <v>1</v>
      </c>
      <c r="C23" s="168" t="n">
        <f aca="false">'VOL DWNLD'!C23+'VOL DELTA'!C23</f>
        <v>1</v>
      </c>
      <c r="D23" s="168" t="n">
        <f aca="false">'VOL DWNLD'!D23+'VOL DELTA'!D23</f>
        <v>1</v>
      </c>
      <c r="E23" s="168" t="n">
        <f aca="false">'VOL DWNLD'!E23+'VOL DELTA'!E23</f>
        <v>1</v>
      </c>
      <c r="F23" s="168" t="n">
        <f aca="false">'VOL DWNLD'!F23+'VOL DELTA'!F23</f>
        <v>1</v>
      </c>
      <c r="G23" s="168" t="n">
        <f aca="false">'VOL DWNLD'!G23+'VOL DELTA'!G23</f>
        <v>1</v>
      </c>
      <c r="H23" s="168" t="n">
        <f aca="false">'VOL DWNLD'!H23+'VOL DELTA'!H23</f>
        <v>1</v>
      </c>
      <c r="I23" s="168" t="n">
        <f aca="false">'VOL DWNLD'!I23+'VOL DELTA'!I23</f>
        <v>1</v>
      </c>
      <c r="J23" s="168" t="n">
        <f aca="false">'VOL DWNLD'!J23+'VOL DELTA'!J23</f>
        <v>1</v>
      </c>
      <c r="K23" s="168" t="n">
        <f aca="false">'VOL DWNLD'!K23+'VOL DELTA'!K23</f>
        <v>1</v>
      </c>
      <c r="L23" s="168" t="n">
        <f aca="false">'VOL DWNLD'!L23+'VOL DELTA'!L23</f>
        <v>1</v>
      </c>
      <c r="M23" s="168" t="n">
        <f aca="false">'VOL DWNLD'!M23+'VOL DELTA'!M23</f>
        <v>1</v>
      </c>
      <c r="N23" s="168" t="n">
        <f aca="false">'VOL DWNLD'!N23+'VOL DELTA'!N23</f>
        <v>1</v>
      </c>
      <c r="O23" s="168" t="n">
        <f aca="false">'VOL DWNLD'!O23+'VOL DELTA'!O23</f>
        <v>1</v>
      </c>
      <c r="P23" s="168" t="n">
        <f aca="false">'VOL DWNLD'!P23+'VOL DELTA'!P23</f>
        <v>1.03</v>
      </c>
      <c r="Q23" s="168" t="n">
        <f aca="false">'VOL DWNLD'!Q23+'VOL DELTA'!Q23</f>
        <v>1</v>
      </c>
      <c r="R23" s="168" t="n">
        <f aca="false">'VOL DWNLD'!R23+'VOL DELTA'!R23</f>
        <v>1</v>
      </c>
      <c r="S23" s="168" t="n">
        <f aca="false">'VOL DWNLD'!S23+'VOL DELTA'!S23</f>
        <v>1.02</v>
      </c>
      <c r="T23" s="168" t="n">
        <f aca="false">'VOL DWNLD'!T23+'VOL DELTA'!T23</f>
        <v>1</v>
      </c>
      <c r="U23" s="168" t="n">
        <f aca="false">'VOL DWNLD'!U23+'VOL DELTA'!U23</f>
        <v>1</v>
      </c>
      <c r="V23" s="168" t="n">
        <f aca="false">'VOL DWNLD'!V23+'VOL DELTA'!V23</f>
        <v>1</v>
      </c>
      <c r="W23" s="168" t="n">
        <f aca="false">'VOL DWNLD'!W23+'VOL DELTA'!W23</f>
        <v>1</v>
      </c>
      <c r="X23" s="168" t="n">
        <f aca="false">'VOL DWNLD'!X23+'VOL DELTA'!X23</f>
        <v>1</v>
      </c>
      <c r="Y23" s="168" t="n">
        <f aca="false">'VOL DWNLD'!Y23+'VOL DELTA'!Y23</f>
        <v>1.02</v>
      </c>
      <c r="Z23" s="168" t="n">
        <f aca="false">'VOL DWNLD'!Z23+'VOL DELTA'!Z23</f>
        <v>1</v>
      </c>
      <c r="AA23" s="168" t="n">
        <f aca="false">'VOL DWNLD'!AA23+'VOL DELTA'!AA23</f>
        <v>1</v>
      </c>
      <c r="AB23" s="168" t="n">
        <f aca="false">'VOL DWNLD'!AB23+'VOL DELTA'!AB23</f>
        <v>1</v>
      </c>
      <c r="AC23" s="168" t="n">
        <f aca="false">'VOL DWNLD'!AC23+'VOL DELTA'!AC23</f>
        <v>1</v>
      </c>
      <c r="AD23" s="168" t="n">
        <f aca="false">'VOL DWNLD'!AD23+'VOL DELTA'!AD23</f>
        <v>0.98</v>
      </c>
      <c r="AE23" s="168" t="n">
        <f aca="false">'VOL DWNLD'!AE23+'VOL DELTA'!AE23</f>
        <v>0.98</v>
      </c>
      <c r="AF23" s="168" t="n">
        <f aca="false">'VOL DWNLD'!AF23+'VOL DELTA'!AF23</f>
        <v>0.98</v>
      </c>
      <c r="AG23" s="168" t="n">
        <f aca="false">'VOL DWNLD'!AG23+'VOL DELTA'!AG23</f>
        <v>0.98</v>
      </c>
      <c r="AH23" s="168" t="n">
        <f aca="false">'VOL DWNLD'!AH23+'VOL DELTA'!AH23</f>
        <v>1.05</v>
      </c>
      <c r="AI23" s="168" t="n">
        <f aca="false">'VOL DWNLD'!AI23+'VOL DELTA'!AI23</f>
        <v>1</v>
      </c>
      <c r="AJ23" s="168" t="n">
        <f aca="false">'VOL DWNLD'!AJ23+'VOL DELTA'!AJ23</f>
        <v>1</v>
      </c>
      <c r="AK23" s="168" t="n">
        <f aca="false">'VOL DWNLD'!AK23+'VOL DELTA'!AK23</f>
        <v>1.02</v>
      </c>
      <c r="AL23" s="168" t="n">
        <f aca="false">'VOL DWNLD'!AL23+'VOL DELTA'!AL23</f>
        <v>1</v>
      </c>
      <c r="AM23" s="168" t="n">
        <f aca="false">'VOL DWNLD'!AM23+'VOL DELTA'!AM23</f>
        <v>1</v>
      </c>
      <c r="AN23" s="168" t="n">
        <f aca="false">'VOL DWNLD'!AN23+'VOL DELTA'!AN23</f>
        <v>1</v>
      </c>
      <c r="AO23" s="168" t="n">
        <f aca="false">'VOL DWNLD'!AO23+'VOL DELTA'!AO23</f>
        <v>1</v>
      </c>
    </row>
    <row r="24" customFormat="false" ht="12.75" hidden="false" customHeight="false" outlineLevel="0" collapsed="false">
      <c r="A24" s="167" t="n">
        <v>37408</v>
      </c>
      <c r="B24" s="168" t="n">
        <f aca="false">'VOL DWNLD'!B24+'VOL DELTA'!B24</f>
        <v>1</v>
      </c>
      <c r="C24" s="168" t="n">
        <f aca="false">'VOL DWNLD'!C24+'VOL DELTA'!C24</f>
        <v>1</v>
      </c>
      <c r="D24" s="168" t="n">
        <f aca="false">'VOL DWNLD'!D24+'VOL DELTA'!D24</f>
        <v>1</v>
      </c>
      <c r="E24" s="168" t="n">
        <f aca="false">'VOL DWNLD'!E24+'VOL DELTA'!E24</f>
        <v>1</v>
      </c>
      <c r="F24" s="168" t="n">
        <f aca="false">'VOL DWNLD'!F24+'VOL DELTA'!F24</f>
        <v>1</v>
      </c>
      <c r="G24" s="168" t="n">
        <f aca="false">'VOL DWNLD'!G24+'VOL DELTA'!G24</f>
        <v>1</v>
      </c>
      <c r="H24" s="168" t="n">
        <f aca="false">'VOL DWNLD'!H24+'VOL DELTA'!H24</f>
        <v>1</v>
      </c>
      <c r="I24" s="168" t="n">
        <f aca="false">'VOL DWNLD'!I24+'VOL DELTA'!I24</f>
        <v>1</v>
      </c>
      <c r="J24" s="168" t="n">
        <f aca="false">'VOL DWNLD'!J24+'VOL DELTA'!J24</f>
        <v>1</v>
      </c>
      <c r="K24" s="168" t="n">
        <f aca="false">'VOL DWNLD'!K24+'VOL DELTA'!K24</f>
        <v>1</v>
      </c>
      <c r="L24" s="168" t="n">
        <f aca="false">'VOL DWNLD'!L24+'VOL DELTA'!L24</f>
        <v>1</v>
      </c>
      <c r="M24" s="168" t="n">
        <f aca="false">'VOL DWNLD'!M24+'VOL DELTA'!M24</f>
        <v>1</v>
      </c>
      <c r="N24" s="168" t="n">
        <f aca="false">'VOL DWNLD'!N24+'VOL DELTA'!N24</f>
        <v>1</v>
      </c>
      <c r="O24" s="168" t="n">
        <f aca="false">'VOL DWNLD'!O24+'VOL DELTA'!O24</f>
        <v>1</v>
      </c>
      <c r="P24" s="168" t="n">
        <f aca="false">'VOL DWNLD'!P24+'VOL DELTA'!P24</f>
        <v>1.03</v>
      </c>
      <c r="Q24" s="168" t="n">
        <f aca="false">'VOL DWNLD'!Q24+'VOL DELTA'!Q24</f>
        <v>1</v>
      </c>
      <c r="R24" s="168" t="n">
        <f aca="false">'VOL DWNLD'!R24+'VOL DELTA'!R24</f>
        <v>1</v>
      </c>
      <c r="S24" s="168" t="n">
        <f aca="false">'VOL DWNLD'!S24+'VOL DELTA'!S24</f>
        <v>1.02</v>
      </c>
      <c r="T24" s="168" t="n">
        <f aca="false">'VOL DWNLD'!T24+'VOL DELTA'!T24</f>
        <v>1</v>
      </c>
      <c r="U24" s="168" t="n">
        <f aca="false">'VOL DWNLD'!U24+'VOL DELTA'!U24</f>
        <v>1</v>
      </c>
      <c r="V24" s="168" t="n">
        <f aca="false">'VOL DWNLD'!V24+'VOL DELTA'!V24</f>
        <v>1</v>
      </c>
      <c r="W24" s="168" t="n">
        <f aca="false">'VOL DWNLD'!W24+'VOL DELTA'!W24</f>
        <v>1</v>
      </c>
      <c r="X24" s="168" t="n">
        <f aca="false">'VOL DWNLD'!X24+'VOL DELTA'!X24</f>
        <v>1</v>
      </c>
      <c r="Y24" s="168" t="n">
        <f aca="false">'VOL DWNLD'!Y24+'VOL DELTA'!Y24</f>
        <v>1.02</v>
      </c>
      <c r="Z24" s="168" t="n">
        <f aca="false">'VOL DWNLD'!Z24+'VOL DELTA'!Z24</f>
        <v>1</v>
      </c>
      <c r="AA24" s="168" t="n">
        <f aca="false">'VOL DWNLD'!AA24+'VOL DELTA'!AA24</f>
        <v>1</v>
      </c>
      <c r="AB24" s="168" t="n">
        <f aca="false">'VOL DWNLD'!AB24+'VOL DELTA'!AB24</f>
        <v>1</v>
      </c>
      <c r="AC24" s="168" t="n">
        <f aca="false">'VOL DWNLD'!AC24+'VOL DELTA'!AC24</f>
        <v>1</v>
      </c>
      <c r="AD24" s="168" t="n">
        <f aca="false">'VOL DWNLD'!AD24+'VOL DELTA'!AD24</f>
        <v>0.98</v>
      </c>
      <c r="AE24" s="168" t="n">
        <f aca="false">'VOL DWNLD'!AE24+'VOL DELTA'!AE24</f>
        <v>0.98</v>
      </c>
      <c r="AF24" s="168" t="n">
        <f aca="false">'VOL DWNLD'!AF24+'VOL DELTA'!AF24</f>
        <v>0.98</v>
      </c>
      <c r="AG24" s="168" t="n">
        <f aca="false">'VOL DWNLD'!AG24+'VOL DELTA'!AG24</f>
        <v>0.98</v>
      </c>
      <c r="AH24" s="168" t="n">
        <f aca="false">'VOL DWNLD'!AH24+'VOL DELTA'!AH24</f>
        <v>1.05</v>
      </c>
      <c r="AI24" s="168" t="n">
        <f aca="false">'VOL DWNLD'!AI24+'VOL DELTA'!AI24</f>
        <v>1</v>
      </c>
      <c r="AJ24" s="168" t="n">
        <f aca="false">'VOL DWNLD'!AJ24+'VOL DELTA'!AJ24</f>
        <v>1</v>
      </c>
      <c r="AK24" s="168" t="n">
        <f aca="false">'VOL DWNLD'!AK24+'VOL DELTA'!AK24</f>
        <v>1.02</v>
      </c>
      <c r="AL24" s="168" t="n">
        <f aca="false">'VOL DWNLD'!AL24+'VOL DELTA'!AL24</f>
        <v>1</v>
      </c>
      <c r="AM24" s="168" t="n">
        <f aca="false">'VOL DWNLD'!AM24+'VOL DELTA'!AM24</f>
        <v>1</v>
      </c>
      <c r="AN24" s="168" t="n">
        <f aca="false">'VOL DWNLD'!AN24+'VOL DELTA'!AN24</f>
        <v>1</v>
      </c>
      <c r="AO24" s="168" t="n">
        <f aca="false">'VOL DWNLD'!AO24+'VOL DELTA'!AO24</f>
        <v>1</v>
      </c>
    </row>
    <row r="25" customFormat="false" ht="12.75" hidden="false" customHeight="false" outlineLevel="0" collapsed="false">
      <c r="A25" s="167" t="n">
        <v>37438</v>
      </c>
      <c r="B25" s="168" t="n">
        <f aca="false">'VOL DWNLD'!B25+'VOL DELTA'!B25</f>
        <v>1</v>
      </c>
      <c r="C25" s="168" t="n">
        <f aca="false">'VOL DWNLD'!C25+'VOL DELTA'!C25</f>
        <v>1</v>
      </c>
      <c r="D25" s="168" t="n">
        <f aca="false">'VOL DWNLD'!D25+'VOL DELTA'!D25</f>
        <v>1</v>
      </c>
      <c r="E25" s="168" t="n">
        <f aca="false">'VOL DWNLD'!E25+'VOL DELTA'!E25</f>
        <v>1</v>
      </c>
      <c r="F25" s="168" t="n">
        <f aca="false">'VOL DWNLD'!F25+'VOL DELTA'!F25</f>
        <v>1</v>
      </c>
      <c r="G25" s="168" t="n">
        <f aca="false">'VOL DWNLD'!G25+'VOL DELTA'!G25</f>
        <v>1</v>
      </c>
      <c r="H25" s="168" t="n">
        <f aca="false">'VOL DWNLD'!H25+'VOL DELTA'!H25</f>
        <v>1</v>
      </c>
      <c r="I25" s="168" t="n">
        <f aca="false">'VOL DWNLD'!I25+'VOL DELTA'!I25</f>
        <v>1</v>
      </c>
      <c r="J25" s="168" t="n">
        <f aca="false">'VOL DWNLD'!J25+'VOL DELTA'!J25</f>
        <v>1</v>
      </c>
      <c r="K25" s="168" t="n">
        <f aca="false">'VOL DWNLD'!K25+'VOL DELTA'!K25</f>
        <v>1</v>
      </c>
      <c r="L25" s="168" t="n">
        <f aca="false">'VOL DWNLD'!L25+'VOL DELTA'!L25</f>
        <v>1</v>
      </c>
      <c r="M25" s="168" t="n">
        <f aca="false">'VOL DWNLD'!M25+'VOL DELTA'!M25</f>
        <v>1</v>
      </c>
      <c r="N25" s="168" t="n">
        <f aca="false">'VOL DWNLD'!N25+'VOL DELTA'!N25</f>
        <v>1</v>
      </c>
      <c r="O25" s="168" t="n">
        <f aca="false">'VOL DWNLD'!O25+'VOL DELTA'!O25</f>
        <v>1</v>
      </c>
      <c r="P25" s="168" t="n">
        <f aca="false">'VOL DWNLD'!P25+'VOL DELTA'!P25</f>
        <v>1.03</v>
      </c>
      <c r="Q25" s="168" t="n">
        <f aca="false">'VOL DWNLD'!Q25+'VOL DELTA'!Q25</f>
        <v>1</v>
      </c>
      <c r="R25" s="168" t="n">
        <f aca="false">'VOL DWNLD'!R25+'VOL DELTA'!R25</f>
        <v>1</v>
      </c>
      <c r="S25" s="168" t="n">
        <f aca="false">'VOL DWNLD'!S25+'VOL DELTA'!S25</f>
        <v>1.02</v>
      </c>
      <c r="T25" s="168" t="n">
        <f aca="false">'VOL DWNLD'!T25+'VOL DELTA'!T25</f>
        <v>1</v>
      </c>
      <c r="U25" s="168" t="n">
        <f aca="false">'VOL DWNLD'!U25+'VOL DELTA'!U25</f>
        <v>1</v>
      </c>
      <c r="V25" s="168" t="n">
        <f aca="false">'VOL DWNLD'!V25+'VOL DELTA'!V25</f>
        <v>1</v>
      </c>
      <c r="W25" s="168" t="n">
        <f aca="false">'VOL DWNLD'!W25+'VOL DELTA'!W25</f>
        <v>1</v>
      </c>
      <c r="X25" s="168" t="n">
        <f aca="false">'VOL DWNLD'!X25+'VOL DELTA'!X25</f>
        <v>1</v>
      </c>
      <c r="Y25" s="168" t="n">
        <f aca="false">'VOL DWNLD'!Y25+'VOL DELTA'!Y25</f>
        <v>1.02</v>
      </c>
      <c r="Z25" s="168" t="n">
        <f aca="false">'VOL DWNLD'!Z25+'VOL DELTA'!Z25</f>
        <v>1</v>
      </c>
      <c r="AA25" s="168" t="n">
        <f aca="false">'VOL DWNLD'!AA25+'VOL DELTA'!AA25</f>
        <v>1</v>
      </c>
      <c r="AB25" s="168" t="n">
        <f aca="false">'VOL DWNLD'!AB25+'VOL DELTA'!AB25</f>
        <v>1</v>
      </c>
      <c r="AC25" s="168" t="n">
        <f aca="false">'VOL DWNLD'!AC25+'VOL DELTA'!AC25</f>
        <v>1</v>
      </c>
      <c r="AD25" s="168" t="n">
        <f aca="false">'VOL DWNLD'!AD25+'VOL DELTA'!AD25</f>
        <v>0.98</v>
      </c>
      <c r="AE25" s="168" t="n">
        <f aca="false">'VOL DWNLD'!AE25+'VOL DELTA'!AE25</f>
        <v>0.98</v>
      </c>
      <c r="AF25" s="168" t="n">
        <f aca="false">'VOL DWNLD'!AF25+'VOL DELTA'!AF25</f>
        <v>0.98</v>
      </c>
      <c r="AG25" s="168" t="n">
        <f aca="false">'VOL DWNLD'!AG25+'VOL DELTA'!AG25</f>
        <v>0.98</v>
      </c>
      <c r="AH25" s="168" t="n">
        <f aca="false">'VOL DWNLD'!AH25+'VOL DELTA'!AH25</f>
        <v>1.05</v>
      </c>
      <c r="AI25" s="168" t="n">
        <f aca="false">'VOL DWNLD'!AI25+'VOL DELTA'!AI25</f>
        <v>1</v>
      </c>
      <c r="AJ25" s="168" t="n">
        <f aca="false">'VOL DWNLD'!AJ25+'VOL DELTA'!AJ25</f>
        <v>1</v>
      </c>
      <c r="AK25" s="168" t="n">
        <f aca="false">'VOL DWNLD'!AK25+'VOL DELTA'!AK25</f>
        <v>1.02</v>
      </c>
      <c r="AL25" s="168" t="n">
        <f aca="false">'VOL DWNLD'!AL25+'VOL DELTA'!AL25</f>
        <v>1</v>
      </c>
      <c r="AM25" s="168" t="n">
        <f aca="false">'VOL DWNLD'!AM25+'VOL DELTA'!AM25</f>
        <v>1</v>
      </c>
      <c r="AN25" s="168" t="n">
        <f aca="false">'VOL DWNLD'!AN25+'VOL DELTA'!AN25</f>
        <v>1</v>
      </c>
      <c r="AO25" s="168" t="n">
        <f aca="false">'VOL DWNLD'!AO25+'VOL DELTA'!AO25</f>
        <v>1</v>
      </c>
    </row>
    <row r="26" customFormat="false" ht="12.75" hidden="false" customHeight="false" outlineLevel="0" collapsed="false">
      <c r="A26" s="167" t="n">
        <v>37469</v>
      </c>
      <c r="B26" s="168" t="n">
        <f aca="false">'VOL DWNLD'!B26+'VOL DELTA'!B26</f>
        <v>1</v>
      </c>
      <c r="C26" s="168" t="n">
        <f aca="false">'VOL DWNLD'!C26+'VOL DELTA'!C26</f>
        <v>1</v>
      </c>
      <c r="D26" s="168" t="n">
        <f aca="false">'VOL DWNLD'!D26+'VOL DELTA'!D26</f>
        <v>1</v>
      </c>
      <c r="E26" s="168" t="n">
        <f aca="false">'VOL DWNLD'!E26+'VOL DELTA'!E26</f>
        <v>1</v>
      </c>
      <c r="F26" s="168" t="n">
        <f aca="false">'VOL DWNLD'!F26+'VOL DELTA'!F26</f>
        <v>1</v>
      </c>
      <c r="G26" s="168" t="n">
        <f aca="false">'VOL DWNLD'!G26+'VOL DELTA'!G26</f>
        <v>1</v>
      </c>
      <c r="H26" s="168" t="n">
        <f aca="false">'VOL DWNLD'!H26+'VOL DELTA'!H26</f>
        <v>1</v>
      </c>
      <c r="I26" s="168" t="n">
        <f aca="false">'VOL DWNLD'!I26+'VOL DELTA'!I26</f>
        <v>1</v>
      </c>
      <c r="J26" s="168" t="n">
        <f aca="false">'VOL DWNLD'!J26+'VOL DELTA'!J26</f>
        <v>1</v>
      </c>
      <c r="K26" s="168" t="n">
        <f aca="false">'VOL DWNLD'!K26+'VOL DELTA'!K26</f>
        <v>1</v>
      </c>
      <c r="L26" s="168" t="n">
        <f aca="false">'VOL DWNLD'!L26+'VOL DELTA'!L26</f>
        <v>1</v>
      </c>
      <c r="M26" s="168" t="n">
        <f aca="false">'VOL DWNLD'!M26+'VOL DELTA'!M26</f>
        <v>1</v>
      </c>
      <c r="N26" s="168" t="n">
        <f aca="false">'VOL DWNLD'!N26+'VOL DELTA'!N26</f>
        <v>1</v>
      </c>
      <c r="O26" s="168" t="n">
        <f aca="false">'VOL DWNLD'!O26+'VOL DELTA'!O26</f>
        <v>1</v>
      </c>
      <c r="P26" s="168" t="n">
        <f aca="false">'VOL DWNLD'!P26+'VOL DELTA'!P26</f>
        <v>1.03</v>
      </c>
      <c r="Q26" s="168" t="n">
        <f aca="false">'VOL DWNLD'!Q26+'VOL DELTA'!Q26</f>
        <v>1</v>
      </c>
      <c r="R26" s="168" t="n">
        <f aca="false">'VOL DWNLD'!R26+'VOL DELTA'!R26</f>
        <v>1</v>
      </c>
      <c r="S26" s="168" t="n">
        <f aca="false">'VOL DWNLD'!S26+'VOL DELTA'!S26</f>
        <v>1.02</v>
      </c>
      <c r="T26" s="168" t="n">
        <f aca="false">'VOL DWNLD'!T26+'VOL DELTA'!T26</f>
        <v>1</v>
      </c>
      <c r="U26" s="168" t="n">
        <f aca="false">'VOL DWNLD'!U26+'VOL DELTA'!U26</f>
        <v>1</v>
      </c>
      <c r="V26" s="168" t="n">
        <f aca="false">'VOL DWNLD'!V26+'VOL DELTA'!V26</f>
        <v>1</v>
      </c>
      <c r="W26" s="168" t="n">
        <f aca="false">'VOL DWNLD'!W26+'VOL DELTA'!W26</f>
        <v>1</v>
      </c>
      <c r="X26" s="168" t="n">
        <f aca="false">'VOL DWNLD'!X26+'VOL DELTA'!X26</f>
        <v>1</v>
      </c>
      <c r="Y26" s="168" t="n">
        <f aca="false">'VOL DWNLD'!Y26+'VOL DELTA'!Y26</f>
        <v>1.02</v>
      </c>
      <c r="Z26" s="168" t="n">
        <f aca="false">'VOL DWNLD'!Z26+'VOL DELTA'!Z26</f>
        <v>1</v>
      </c>
      <c r="AA26" s="168" t="n">
        <f aca="false">'VOL DWNLD'!AA26+'VOL DELTA'!AA26</f>
        <v>1</v>
      </c>
      <c r="AB26" s="168" t="n">
        <f aca="false">'VOL DWNLD'!AB26+'VOL DELTA'!AB26</f>
        <v>1</v>
      </c>
      <c r="AC26" s="168" t="n">
        <f aca="false">'VOL DWNLD'!AC26+'VOL DELTA'!AC26</f>
        <v>1</v>
      </c>
      <c r="AD26" s="168" t="n">
        <f aca="false">'VOL DWNLD'!AD26+'VOL DELTA'!AD26</f>
        <v>0.98</v>
      </c>
      <c r="AE26" s="168" t="n">
        <f aca="false">'VOL DWNLD'!AE26+'VOL DELTA'!AE26</f>
        <v>0.98</v>
      </c>
      <c r="AF26" s="168" t="n">
        <f aca="false">'VOL DWNLD'!AF26+'VOL DELTA'!AF26</f>
        <v>0.98</v>
      </c>
      <c r="AG26" s="168" t="n">
        <f aca="false">'VOL DWNLD'!AG26+'VOL DELTA'!AG26</f>
        <v>0.98</v>
      </c>
      <c r="AH26" s="168" t="n">
        <f aca="false">'VOL DWNLD'!AH26+'VOL DELTA'!AH26</f>
        <v>1.05</v>
      </c>
      <c r="AI26" s="168" t="n">
        <f aca="false">'VOL DWNLD'!AI26+'VOL DELTA'!AI26</f>
        <v>1</v>
      </c>
      <c r="AJ26" s="168" t="n">
        <f aca="false">'VOL DWNLD'!AJ26+'VOL DELTA'!AJ26</f>
        <v>1</v>
      </c>
      <c r="AK26" s="168" t="n">
        <f aca="false">'VOL DWNLD'!AK26+'VOL DELTA'!AK26</f>
        <v>1.02</v>
      </c>
      <c r="AL26" s="168" t="n">
        <f aca="false">'VOL DWNLD'!AL26+'VOL DELTA'!AL26</f>
        <v>1</v>
      </c>
      <c r="AM26" s="168" t="n">
        <f aca="false">'VOL DWNLD'!AM26+'VOL DELTA'!AM26</f>
        <v>1</v>
      </c>
      <c r="AN26" s="168" t="n">
        <f aca="false">'VOL DWNLD'!AN26+'VOL DELTA'!AN26</f>
        <v>1</v>
      </c>
      <c r="AO26" s="168" t="n">
        <f aca="false">'VOL DWNLD'!AO26+'VOL DELTA'!AO26</f>
        <v>1</v>
      </c>
    </row>
    <row r="27" customFormat="false" ht="12.75" hidden="false" customHeight="false" outlineLevel="0" collapsed="false">
      <c r="A27" s="167" t="n">
        <v>37500</v>
      </c>
      <c r="B27" s="168" t="n">
        <f aca="false">'VOL DWNLD'!B27+'VOL DELTA'!B27</f>
        <v>1</v>
      </c>
      <c r="C27" s="168" t="n">
        <f aca="false">'VOL DWNLD'!C27+'VOL DELTA'!C27</f>
        <v>1</v>
      </c>
      <c r="D27" s="168" t="n">
        <f aca="false">'VOL DWNLD'!D27+'VOL DELTA'!D27</f>
        <v>1</v>
      </c>
      <c r="E27" s="168" t="n">
        <f aca="false">'VOL DWNLD'!E27+'VOL DELTA'!E27</f>
        <v>1</v>
      </c>
      <c r="F27" s="168" t="n">
        <f aca="false">'VOL DWNLD'!F27+'VOL DELTA'!F27</f>
        <v>1</v>
      </c>
      <c r="G27" s="168" t="n">
        <f aca="false">'VOL DWNLD'!G27+'VOL DELTA'!G27</f>
        <v>1</v>
      </c>
      <c r="H27" s="168" t="n">
        <f aca="false">'VOL DWNLD'!H27+'VOL DELTA'!H27</f>
        <v>1</v>
      </c>
      <c r="I27" s="168" t="n">
        <f aca="false">'VOL DWNLD'!I27+'VOL DELTA'!I27</f>
        <v>1</v>
      </c>
      <c r="J27" s="168" t="n">
        <f aca="false">'VOL DWNLD'!J27+'VOL DELTA'!J27</f>
        <v>1</v>
      </c>
      <c r="K27" s="168" t="n">
        <f aca="false">'VOL DWNLD'!K27+'VOL DELTA'!K27</f>
        <v>1</v>
      </c>
      <c r="L27" s="168" t="n">
        <f aca="false">'VOL DWNLD'!L27+'VOL DELTA'!L27</f>
        <v>1</v>
      </c>
      <c r="M27" s="168" t="n">
        <f aca="false">'VOL DWNLD'!M27+'VOL DELTA'!M27</f>
        <v>1</v>
      </c>
      <c r="N27" s="168" t="n">
        <f aca="false">'VOL DWNLD'!N27+'VOL DELTA'!N27</f>
        <v>1</v>
      </c>
      <c r="O27" s="168" t="n">
        <f aca="false">'VOL DWNLD'!O27+'VOL DELTA'!O27</f>
        <v>1</v>
      </c>
      <c r="P27" s="168" t="n">
        <f aca="false">'VOL DWNLD'!P27+'VOL DELTA'!P27</f>
        <v>1.03</v>
      </c>
      <c r="Q27" s="168" t="n">
        <f aca="false">'VOL DWNLD'!Q27+'VOL DELTA'!Q27</f>
        <v>1</v>
      </c>
      <c r="R27" s="168" t="n">
        <f aca="false">'VOL DWNLD'!R27+'VOL DELTA'!R27</f>
        <v>1</v>
      </c>
      <c r="S27" s="168" t="n">
        <f aca="false">'VOL DWNLD'!S27+'VOL DELTA'!S27</f>
        <v>1.02</v>
      </c>
      <c r="T27" s="168" t="n">
        <f aca="false">'VOL DWNLD'!T27+'VOL DELTA'!T27</f>
        <v>1</v>
      </c>
      <c r="U27" s="168" t="n">
        <f aca="false">'VOL DWNLD'!U27+'VOL DELTA'!U27</f>
        <v>1</v>
      </c>
      <c r="V27" s="168" t="n">
        <f aca="false">'VOL DWNLD'!V27+'VOL DELTA'!V27</f>
        <v>1</v>
      </c>
      <c r="W27" s="168" t="n">
        <f aca="false">'VOL DWNLD'!W27+'VOL DELTA'!W27</f>
        <v>1</v>
      </c>
      <c r="X27" s="168" t="n">
        <f aca="false">'VOL DWNLD'!X27+'VOL DELTA'!X27</f>
        <v>1</v>
      </c>
      <c r="Y27" s="168" t="n">
        <f aca="false">'VOL DWNLD'!Y27+'VOL DELTA'!Y27</f>
        <v>1.02</v>
      </c>
      <c r="Z27" s="168" t="n">
        <f aca="false">'VOL DWNLD'!Z27+'VOL DELTA'!Z27</f>
        <v>1</v>
      </c>
      <c r="AA27" s="168" t="n">
        <f aca="false">'VOL DWNLD'!AA27+'VOL DELTA'!AA27</f>
        <v>1</v>
      </c>
      <c r="AB27" s="168" t="n">
        <f aca="false">'VOL DWNLD'!AB27+'VOL DELTA'!AB27</f>
        <v>1</v>
      </c>
      <c r="AC27" s="168" t="n">
        <f aca="false">'VOL DWNLD'!AC27+'VOL DELTA'!AC27</f>
        <v>1</v>
      </c>
      <c r="AD27" s="168" t="n">
        <f aca="false">'VOL DWNLD'!AD27+'VOL DELTA'!AD27</f>
        <v>0.98</v>
      </c>
      <c r="AE27" s="168" t="n">
        <f aca="false">'VOL DWNLD'!AE27+'VOL DELTA'!AE27</f>
        <v>0.98</v>
      </c>
      <c r="AF27" s="168" t="n">
        <f aca="false">'VOL DWNLD'!AF27+'VOL DELTA'!AF27</f>
        <v>0.98</v>
      </c>
      <c r="AG27" s="168" t="n">
        <f aca="false">'VOL DWNLD'!AG27+'VOL DELTA'!AG27</f>
        <v>0.98</v>
      </c>
      <c r="AH27" s="168" t="n">
        <f aca="false">'VOL DWNLD'!AH27+'VOL DELTA'!AH27</f>
        <v>1.05</v>
      </c>
      <c r="AI27" s="168" t="n">
        <f aca="false">'VOL DWNLD'!AI27+'VOL DELTA'!AI27</f>
        <v>1</v>
      </c>
      <c r="AJ27" s="168" t="n">
        <f aca="false">'VOL DWNLD'!AJ27+'VOL DELTA'!AJ27</f>
        <v>1</v>
      </c>
      <c r="AK27" s="168" t="n">
        <f aca="false">'VOL DWNLD'!AK27+'VOL DELTA'!AK27</f>
        <v>1.02</v>
      </c>
      <c r="AL27" s="168" t="n">
        <f aca="false">'VOL DWNLD'!AL27+'VOL DELTA'!AL27</f>
        <v>1</v>
      </c>
      <c r="AM27" s="168" t="n">
        <f aca="false">'VOL DWNLD'!AM27+'VOL DELTA'!AM27</f>
        <v>1</v>
      </c>
      <c r="AN27" s="168" t="n">
        <f aca="false">'VOL DWNLD'!AN27+'VOL DELTA'!AN27</f>
        <v>1</v>
      </c>
      <c r="AO27" s="168" t="n">
        <f aca="false">'VOL DWNLD'!AO27+'VOL DELTA'!AO27</f>
        <v>1</v>
      </c>
    </row>
    <row r="28" customFormat="false" ht="12.75" hidden="false" customHeight="false" outlineLevel="0" collapsed="false">
      <c r="A28" s="167" t="n">
        <v>37530</v>
      </c>
      <c r="B28" s="168" t="n">
        <f aca="false">'VOL DWNLD'!B28+'VOL DELTA'!B28</f>
        <v>1</v>
      </c>
      <c r="C28" s="168" t="n">
        <f aca="false">'VOL DWNLD'!C28+'VOL DELTA'!C28</f>
        <v>1</v>
      </c>
      <c r="D28" s="168" t="n">
        <f aca="false">'VOL DWNLD'!D28+'VOL DELTA'!D28</f>
        <v>1</v>
      </c>
      <c r="E28" s="168" t="n">
        <f aca="false">'VOL DWNLD'!E28+'VOL DELTA'!E28</f>
        <v>1</v>
      </c>
      <c r="F28" s="168" t="n">
        <f aca="false">'VOL DWNLD'!F28+'VOL DELTA'!F28</f>
        <v>1</v>
      </c>
      <c r="G28" s="168" t="n">
        <f aca="false">'VOL DWNLD'!G28+'VOL DELTA'!G28</f>
        <v>1</v>
      </c>
      <c r="H28" s="168" t="n">
        <f aca="false">'VOL DWNLD'!H28+'VOL DELTA'!H28</f>
        <v>1</v>
      </c>
      <c r="I28" s="168" t="n">
        <f aca="false">'VOL DWNLD'!I28+'VOL DELTA'!I28</f>
        <v>1</v>
      </c>
      <c r="J28" s="168" t="n">
        <f aca="false">'VOL DWNLD'!J28+'VOL DELTA'!J28</f>
        <v>1</v>
      </c>
      <c r="K28" s="168" t="n">
        <f aca="false">'VOL DWNLD'!K28+'VOL DELTA'!K28</f>
        <v>1</v>
      </c>
      <c r="L28" s="168" t="n">
        <f aca="false">'VOL DWNLD'!L28+'VOL DELTA'!L28</f>
        <v>1</v>
      </c>
      <c r="M28" s="168" t="n">
        <f aca="false">'VOL DWNLD'!M28+'VOL DELTA'!M28</f>
        <v>1</v>
      </c>
      <c r="N28" s="168" t="n">
        <f aca="false">'VOL DWNLD'!N28+'VOL DELTA'!N28</f>
        <v>1</v>
      </c>
      <c r="O28" s="168" t="n">
        <f aca="false">'VOL DWNLD'!O28+'VOL DELTA'!O28</f>
        <v>1</v>
      </c>
      <c r="P28" s="168" t="n">
        <f aca="false">'VOL DWNLD'!P28+'VOL DELTA'!P28</f>
        <v>1.03</v>
      </c>
      <c r="Q28" s="168" t="n">
        <f aca="false">'VOL DWNLD'!Q28+'VOL DELTA'!Q28</f>
        <v>1</v>
      </c>
      <c r="R28" s="168" t="n">
        <f aca="false">'VOL DWNLD'!R28+'VOL DELTA'!R28</f>
        <v>1</v>
      </c>
      <c r="S28" s="168" t="n">
        <f aca="false">'VOL DWNLD'!S28+'VOL DELTA'!S28</f>
        <v>1.02</v>
      </c>
      <c r="T28" s="168" t="n">
        <f aca="false">'VOL DWNLD'!T28+'VOL DELTA'!T28</f>
        <v>1</v>
      </c>
      <c r="U28" s="168" t="n">
        <f aca="false">'VOL DWNLD'!U28+'VOL DELTA'!U28</f>
        <v>1</v>
      </c>
      <c r="V28" s="168" t="n">
        <f aca="false">'VOL DWNLD'!V28+'VOL DELTA'!V28</f>
        <v>1</v>
      </c>
      <c r="W28" s="168" t="n">
        <f aca="false">'VOL DWNLD'!W28+'VOL DELTA'!W28</f>
        <v>1</v>
      </c>
      <c r="X28" s="168" t="n">
        <f aca="false">'VOL DWNLD'!X28+'VOL DELTA'!X28</f>
        <v>1</v>
      </c>
      <c r="Y28" s="168" t="n">
        <f aca="false">'VOL DWNLD'!Y28+'VOL DELTA'!Y28</f>
        <v>1.02</v>
      </c>
      <c r="Z28" s="168" t="n">
        <f aca="false">'VOL DWNLD'!Z28+'VOL DELTA'!Z28</f>
        <v>1</v>
      </c>
      <c r="AA28" s="168" t="n">
        <f aca="false">'VOL DWNLD'!AA28+'VOL DELTA'!AA28</f>
        <v>1</v>
      </c>
      <c r="AB28" s="168" t="n">
        <f aca="false">'VOL DWNLD'!AB28+'VOL DELTA'!AB28</f>
        <v>1</v>
      </c>
      <c r="AC28" s="168" t="n">
        <f aca="false">'VOL DWNLD'!AC28+'VOL DELTA'!AC28</f>
        <v>1</v>
      </c>
      <c r="AD28" s="168" t="n">
        <f aca="false">'VOL DWNLD'!AD28+'VOL DELTA'!AD28</f>
        <v>0.98</v>
      </c>
      <c r="AE28" s="168" t="n">
        <f aca="false">'VOL DWNLD'!AE28+'VOL DELTA'!AE28</f>
        <v>0.98</v>
      </c>
      <c r="AF28" s="168" t="n">
        <f aca="false">'VOL DWNLD'!AF28+'VOL DELTA'!AF28</f>
        <v>0.98</v>
      </c>
      <c r="AG28" s="168" t="n">
        <f aca="false">'VOL DWNLD'!AG28+'VOL DELTA'!AG28</f>
        <v>0.98</v>
      </c>
      <c r="AH28" s="168" t="n">
        <f aca="false">'VOL DWNLD'!AH28+'VOL DELTA'!AH28</f>
        <v>1.05</v>
      </c>
      <c r="AI28" s="168" t="n">
        <f aca="false">'VOL DWNLD'!AI28+'VOL DELTA'!AI28</f>
        <v>1</v>
      </c>
      <c r="AJ28" s="168" t="n">
        <f aca="false">'VOL DWNLD'!AJ28+'VOL DELTA'!AJ28</f>
        <v>1</v>
      </c>
      <c r="AK28" s="168" t="n">
        <f aca="false">'VOL DWNLD'!AK28+'VOL DELTA'!AK28</f>
        <v>1.02</v>
      </c>
      <c r="AL28" s="168" t="n">
        <f aca="false">'VOL DWNLD'!AL28+'VOL DELTA'!AL28</f>
        <v>1</v>
      </c>
      <c r="AM28" s="168" t="n">
        <f aca="false">'VOL DWNLD'!AM28+'VOL DELTA'!AM28</f>
        <v>1</v>
      </c>
      <c r="AN28" s="168" t="n">
        <f aca="false">'VOL DWNLD'!AN28+'VOL DELTA'!AN28</f>
        <v>1</v>
      </c>
      <c r="AO28" s="168" t="n">
        <f aca="false">'VOL DWNLD'!AO28+'VOL DELTA'!AO28</f>
        <v>1</v>
      </c>
    </row>
    <row r="29" customFormat="false" ht="12.75" hidden="false" customHeight="false" outlineLevel="0" collapsed="false">
      <c r="A29" s="167" t="n">
        <v>37561</v>
      </c>
      <c r="B29" s="168" t="n">
        <f aca="false">'VOL DWNLD'!B29+'VOL DELTA'!B29</f>
        <v>1</v>
      </c>
      <c r="C29" s="168" t="n">
        <f aca="false">'VOL DWNLD'!C29+'VOL DELTA'!C29</f>
        <v>1</v>
      </c>
      <c r="D29" s="168" t="n">
        <f aca="false">'VOL DWNLD'!D29+'VOL DELTA'!D29</f>
        <v>1</v>
      </c>
      <c r="E29" s="168" t="n">
        <f aca="false">'VOL DWNLD'!E29+'VOL DELTA'!E29</f>
        <v>1</v>
      </c>
      <c r="F29" s="168" t="n">
        <f aca="false">'VOL DWNLD'!F29+'VOL DELTA'!F29</f>
        <v>1</v>
      </c>
      <c r="G29" s="168" t="n">
        <f aca="false">'VOL DWNLD'!G29+'VOL DELTA'!G29</f>
        <v>1</v>
      </c>
      <c r="H29" s="168" t="n">
        <f aca="false">'VOL DWNLD'!H29+'VOL DELTA'!H29</f>
        <v>1</v>
      </c>
      <c r="I29" s="168" t="n">
        <f aca="false">'VOL DWNLD'!I29+'VOL DELTA'!I29</f>
        <v>1</v>
      </c>
      <c r="J29" s="168" t="n">
        <f aca="false">'VOL DWNLD'!J29+'VOL DELTA'!J29</f>
        <v>1</v>
      </c>
      <c r="K29" s="168" t="n">
        <f aca="false">'VOL DWNLD'!K29+'VOL DELTA'!K29</f>
        <v>1</v>
      </c>
      <c r="L29" s="168" t="n">
        <f aca="false">'VOL DWNLD'!L29+'VOL DELTA'!L29</f>
        <v>1</v>
      </c>
      <c r="M29" s="168" t="n">
        <f aca="false">'VOL DWNLD'!M29+'VOL DELTA'!M29</f>
        <v>1</v>
      </c>
      <c r="N29" s="168" t="n">
        <f aca="false">'VOL DWNLD'!N29+'VOL DELTA'!N29</f>
        <v>1</v>
      </c>
      <c r="O29" s="168" t="n">
        <f aca="false">'VOL DWNLD'!O29+'VOL DELTA'!O29</f>
        <v>1</v>
      </c>
      <c r="P29" s="168" t="n">
        <f aca="false">'VOL DWNLD'!P29+'VOL DELTA'!P29</f>
        <v>1.03</v>
      </c>
      <c r="Q29" s="168" t="n">
        <f aca="false">'VOL DWNLD'!Q29+'VOL DELTA'!Q29</f>
        <v>1</v>
      </c>
      <c r="R29" s="168" t="n">
        <f aca="false">'VOL DWNLD'!R29+'VOL DELTA'!R29</f>
        <v>1</v>
      </c>
      <c r="S29" s="168" t="n">
        <f aca="false">'VOL DWNLD'!S29+'VOL DELTA'!S29</f>
        <v>1.02</v>
      </c>
      <c r="T29" s="168" t="n">
        <f aca="false">'VOL DWNLD'!T29+'VOL DELTA'!T29</f>
        <v>1</v>
      </c>
      <c r="U29" s="168" t="n">
        <f aca="false">'VOL DWNLD'!U29+'VOL DELTA'!U29</f>
        <v>1</v>
      </c>
      <c r="V29" s="168" t="n">
        <f aca="false">'VOL DWNLD'!V29+'VOL DELTA'!V29</f>
        <v>1</v>
      </c>
      <c r="W29" s="168" t="n">
        <f aca="false">'VOL DWNLD'!W29+'VOL DELTA'!W29</f>
        <v>1</v>
      </c>
      <c r="X29" s="168" t="n">
        <f aca="false">'VOL DWNLD'!X29+'VOL DELTA'!X29</f>
        <v>1</v>
      </c>
      <c r="Y29" s="168" t="n">
        <f aca="false">'VOL DWNLD'!Y29+'VOL DELTA'!Y29</f>
        <v>1</v>
      </c>
      <c r="Z29" s="168" t="n">
        <f aca="false">'VOL DWNLD'!Z29+'VOL DELTA'!Z29</f>
        <v>1</v>
      </c>
      <c r="AA29" s="168" t="n">
        <f aca="false">'VOL DWNLD'!AA29+'VOL DELTA'!AA29</f>
        <v>1</v>
      </c>
      <c r="AB29" s="168" t="n">
        <f aca="false">'VOL DWNLD'!AB29+'VOL DELTA'!AB29</f>
        <v>1</v>
      </c>
      <c r="AC29" s="168" t="n">
        <f aca="false">'VOL DWNLD'!AC29+'VOL DELTA'!AC29</f>
        <v>1</v>
      </c>
      <c r="AD29" s="168" t="n">
        <f aca="false">'VOL DWNLD'!AD29+'VOL DELTA'!AD29</f>
        <v>1</v>
      </c>
      <c r="AE29" s="168" t="n">
        <f aca="false">'VOL DWNLD'!AE29+'VOL DELTA'!AE29</f>
        <v>1</v>
      </c>
      <c r="AF29" s="168" t="n">
        <f aca="false">'VOL DWNLD'!AF29+'VOL DELTA'!AF29</f>
        <v>1.1</v>
      </c>
      <c r="AG29" s="168" t="n">
        <f aca="false">'VOL DWNLD'!AG29+'VOL DELTA'!AG29</f>
        <v>1.1</v>
      </c>
      <c r="AH29" s="168" t="n">
        <f aca="false">'VOL DWNLD'!AH29+'VOL DELTA'!AH29</f>
        <v>1.05</v>
      </c>
      <c r="AI29" s="168" t="n">
        <f aca="false">'VOL DWNLD'!AI29+'VOL DELTA'!AI29</f>
        <v>1</v>
      </c>
      <c r="AJ29" s="168" t="n">
        <f aca="false">'VOL DWNLD'!AJ29+'VOL DELTA'!AJ29</f>
        <v>1</v>
      </c>
      <c r="AK29" s="168" t="n">
        <f aca="false">'VOL DWNLD'!AK29+'VOL DELTA'!AK29</f>
        <v>1.02</v>
      </c>
      <c r="AL29" s="168" t="n">
        <f aca="false">'VOL DWNLD'!AL29+'VOL DELTA'!AL29</f>
        <v>1</v>
      </c>
      <c r="AM29" s="168" t="n">
        <f aca="false">'VOL DWNLD'!AM29+'VOL DELTA'!AM29</f>
        <v>1</v>
      </c>
      <c r="AN29" s="168" t="n">
        <f aca="false">'VOL DWNLD'!AN29+'VOL DELTA'!AN29</f>
        <v>1</v>
      </c>
      <c r="AO29" s="168" t="n">
        <f aca="false">'VOL DWNLD'!AO29+'VOL DELTA'!AO29</f>
        <v>1</v>
      </c>
    </row>
    <row r="30" customFormat="false" ht="12.75" hidden="false" customHeight="false" outlineLevel="0" collapsed="false">
      <c r="A30" s="167" t="n">
        <v>37591</v>
      </c>
      <c r="B30" s="168" t="n">
        <f aca="false">'VOL DWNLD'!B30+'VOL DELTA'!B30</f>
        <v>1</v>
      </c>
      <c r="C30" s="168" t="n">
        <f aca="false">'VOL DWNLD'!C30+'VOL DELTA'!C30</f>
        <v>1</v>
      </c>
      <c r="D30" s="168" t="n">
        <f aca="false">'VOL DWNLD'!D30+'VOL DELTA'!D30</f>
        <v>1</v>
      </c>
      <c r="E30" s="168" t="n">
        <f aca="false">'VOL DWNLD'!E30+'VOL DELTA'!E30</f>
        <v>1</v>
      </c>
      <c r="F30" s="168" t="n">
        <f aca="false">'VOL DWNLD'!F30+'VOL DELTA'!F30</f>
        <v>1</v>
      </c>
      <c r="G30" s="168" t="n">
        <f aca="false">'VOL DWNLD'!G30+'VOL DELTA'!G30</f>
        <v>1</v>
      </c>
      <c r="H30" s="168" t="n">
        <f aca="false">'VOL DWNLD'!H30+'VOL DELTA'!H30</f>
        <v>1</v>
      </c>
      <c r="I30" s="168" t="n">
        <f aca="false">'VOL DWNLD'!I30+'VOL DELTA'!I30</f>
        <v>1</v>
      </c>
      <c r="J30" s="168" t="n">
        <f aca="false">'VOL DWNLD'!J30+'VOL DELTA'!J30</f>
        <v>1</v>
      </c>
      <c r="K30" s="168" t="n">
        <f aca="false">'VOL DWNLD'!K30+'VOL DELTA'!K30</f>
        <v>1</v>
      </c>
      <c r="L30" s="168" t="n">
        <f aca="false">'VOL DWNLD'!L30+'VOL DELTA'!L30</f>
        <v>1</v>
      </c>
      <c r="M30" s="168" t="n">
        <f aca="false">'VOL DWNLD'!M30+'VOL DELTA'!M30</f>
        <v>1</v>
      </c>
      <c r="N30" s="168" t="n">
        <f aca="false">'VOL DWNLD'!N30+'VOL DELTA'!N30</f>
        <v>1</v>
      </c>
      <c r="O30" s="168" t="n">
        <f aca="false">'VOL DWNLD'!O30+'VOL DELTA'!O30</f>
        <v>1</v>
      </c>
      <c r="P30" s="168" t="n">
        <f aca="false">'VOL DWNLD'!P30+'VOL DELTA'!P30</f>
        <v>1.03</v>
      </c>
      <c r="Q30" s="168" t="n">
        <f aca="false">'VOL DWNLD'!Q30+'VOL DELTA'!Q30</f>
        <v>1</v>
      </c>
      <c r="R30" s="168" t="n">
        <f aca="false">'VOL DWNLD'!R30+'VOL DELTA'!R30</f>
        <v>1</v>
      </c>
      <c r="S30" s="168" t="n">
        <f aca="false">'VOL DWNLD'!S30+'VOL DELTA'!S30</f>
        <v>1.02</v>
      </c>
      <c r="T30" s="168" t="n">
        <f aca="false">'VOL DWNLD'!T30+'VOL DELTA'!T30</f>
        <v>1</v>
      </c>
      <c r="U30" s="168" t="n">
        <f aca="false">'VOL DWNLD'!U30+'VOL DELTA'!U30</f>
        <v>1</v>
      </c>
      <c r="V30" s="168" t="n">
        <f aca="false">'VOL DWNLD'!V30+'VOL DELTA'!V30</f>
        <v>1</v>
      </c>
      <c r="W30" s="168" t="n">
        <f aca="false">'VOL DWNLD'!W30+'VOL DELTA'!W30</f>
        <v>1</v>
      </c>
      <c r="X30" s="168" t="n">
        <f aca="false">'VOL DWNLD'!X30+'VOL DELTA'!X30</f>
        <v>1</v>
      </c>
      <c r="Y30" s="168" t="n">
        <f aca="false">'VOL DWNLD'!Y30+'VOL DELTA'!Y30</f>
        <v>1</v>
      </c>
      <c r="Z30" s="168" t="n">
        <f aca="false">'VOL DWNLD'!Z30+'VOL DELTA'!Z30</f>
        <v>1</v>
      </c>
      <c r="AA30" s="168" t="n">
        <f aca="false">'VOL DWNLD'!AA30+'VOL DELTA'!AA30</f>
        <v>1</v>
      </c>
      <c r="AB30" s="168" t="n">
        <f aca="false">'VOL DWNLD'!AB30+'VOL DELTA'!AB30</f>
        <v>1</v>
      </c>
      <c r="AC30" s="168" t="n">
        <f aca="false">'VOL DWNLD'!AC30+'VOL DELTA'!AC30</f>
        <v>1</v>
      </c>
      <c r="AD30" s="168" t="n">
        <f aca="false">'VOL DWNLD'!AD30+'VOL DELTA'!AD30</f>
        <v>1</v>
      </c>
      <c r="AE30" s="168" t="n">
        <f aca="false">'VOL DWNLD'!AE30+'VOL DELTA'!AE30</f>
        <v>1</v>
      </c>
      <c r="AF30" s="168" t="n">
        <f aca="false">'VOL DWNLD'!AF30+'VOL DELTA'!AF30</f>
        <v>1.1</v>
      </c>
      <c r="AG30" s="168" t="n">
        <f aca="false">'VOL DWNLD'!AG30+'VOL DELTA'!AG30</f>
        <v>1.1</v>
      </c>
      <c r="AH30" s="168" t="n">
        <f aca="false">'VOL DWNLD'!AH30+'VOL DELTA'!AH30</f>
        <v>1.05</v>
      </c>
      <c r="AI30" s="168" t="n">
        <f aca="false">'VOL DWNLD'!AI30+'VOL DELTA'!AI30</f>
        <v>1</v>
      </c>
      <c r="AJ30" s="168" t="n">
        <f aca="false">'VOL DWNLD'!AJ30+'VOL DELTA'!AJ30</f>
        <v>1</v>
      </c>
      <c r="AK30" s="168" t="n">
        <f aca="false">'VOL DWNLD'!AK30+'VOL DELTA'!AK30</f>
        <v>1.02</v>
      </c>
      <c r="AL30" s="168" t="n">
        <f aca="false">'VOL DWNLD'!AL30+'VOL DELTA'!AL30</f>
        <v>1</v>
      </c>
      <c r="AM30" s="168" t="n">
        <f aca="false">'VOL DWNLD'!AM30+'VOL DELTA'!AM30</f>
        <v>1</v>
      </c>
      <c r="AN30" s="168" t="n">
        <f aca="false">'VOL DWNLD'!AN30+'VOL DELTA'!AN30</f>
        <v>1</v>
      </c>
      <c r="AO30" s="168" t="n">
        <f aca="false">'VOL DWNLD'!AO30+'VOL DELTA'!AO30</f>
        <v>1</v>
      </c>
    </row>
    <row r="31" customFormat="false" ht="12.75" hidden="false" customHeight="false" outlineLevel="0" collapsed="false">
      <c r="A31" s="167" t="n">
        <v>37622</v>
      </c>
      <c r="B31" s="168" t="n">
        <f aca="false">'VOL DWNLD'!B31+'VOL DELTA'!B31</f>
        <v>1</v>
      </c>
      <c r="C31" s="168" t="n">
        <f aca="false">'VOL DWNLD'!C31+'VOL DELTA'!C31</f>
        <v>1</v>
      </c>
      <c r="D31" s="168" t="n">
        <f aca="false">'VOL DWNLD'!D31+'VOL DELTA'!D31</f>
        <v>1</v>
      </c>
      <c r="E31" s="168" t="n">
        <f aca="false">'VOL DWNLD'!E31+'VOL DELTA'!E31</f>
        <v>1</v>
      </c>
      <c r="F31" s="168" t="n">
        <f aca="false">'VOL DWNLD'!F31+'VOL DELTA'!F31</f>
        <v>1</v>
      </c>
      <c r="G31" s="168" t="n">
        <f aca="false">'VOL DWNLD'!G31+'VOL DELTA'!G31</f>
        <v>1</v>
      </c>
      <c r="H31" s="168" t="n">
        <f aca="false">'VOL DWNLD'!H31+'VOL DELTA'!H31</f>
        <v>1</v>
      </c>
      <c r="I31" s="168" t="n">
        <f aca="false">'VOL DWNLD'!I31+'VOL DELTA'!I31</f>
        <v>1</v>
      </c>
      <c r="J31" s="168" t="n">
        <f aca="false">'VOL DWNLD'!J31+'VOL DELTA'!J31</f>
        <v>1</v>
      </c>
      <c r="K31" s="168" t="n">
        <f aca="false">'VOL DWNLD'!K31+'VOL DELTA'!K31</f>
        <v>1</v>
      </c>
      <c r="L31" s="168" t="n">
        <f aca="false">'VOL DWNLD'!L31+'VOL DELTA'!L31</f>
        <v>1</v>
      </c>
      <c r="M31" s="168" t="n">
        <f aca="false">'VOL DWNLD'!M31+'VOL DELTA'!M31</f>
        <v>1</v>
      </c>
      <c r="N31" s="168" t="n">
        <f aca="false">'VOL DWNLD'!N31+'VOL DELTA'!N31</f>
        <v>1</v>
      </c>
      <c r="O31" s="168" t="n">
        <f aca="false">'VOL DWNLD'!O31+'VOL DELTA'!O31</f>
        <v>1</v>
      </c>
      <c r="P31" s="168" t="n">
        <f aca="false">'VOL DWNLD'!P31+'VOL DELTA'!P31</f>
        <v>1.03</v>
      </c>
      <c r="Q31" s="168" t="n">
        <f aca="false">'VOL DWNLD'!Q31+'VOL DELTA'!Q31</f>
        <v>1</v>
      </c>
      <c r="R31" s="168" t="n">
        <f aca="false">'VOL DWNLD'!R31+'VOL DELTA'!R31</f>
        <v>1</v>
      </c>
      <c r="S31" s="168" t="n">
        <f aca="false">'VOL DWNLD'!S31+'VOL DELTA'!S31</f>
        <v>1.02</v>
      </c>
      <c r="T31" s="168" t="n">
        <f aca="false">'VOL DWNLD'!T31+'VOL DELTA'!T31</f>
        <v>1</v>
      </c>
      <c r="U31" s="168" t="n">
        <f aca="false">'VOL DWNLD'!U31+'VOL DELTA'!U31</f>
        <v>1</v>
      </c>
      <c r="V31" s="168" t="n">
        <f aca="false">'VOL DWNLD'!V31+'VOL DELTA'!V31</f>
        <v>1</v>
      </c>
      <c r="W31" s="168" t="n">
        <f aca="false">'VOL DWNLD'!W31+'VOL DELTA'!W31</f>
        <v>1</v>
      </c>
      <c r="X31" s="168" t="n">
        <f aca="false">'VOL DWNLD'!X31+'VOL DELTA'!X31</f>
        <v>1</v>
      </c>
      <c r="Y31" s="168" t="n">
        <f aca="false">'VOL DWNLD'!Y31+'VOL DELTA'!Y31</f>
        <v>1</v>
      </c>
      <c r="Z31" s="168" t="n">
        <f aca="false">'VOL DWNLD'!Z31+'VOL DELTA'!Z31</f>
        <v>1</v>
      </c>
      <c r="AA31" s="168" t="n">
        <f aca="false">'VOL DWNLD'!AA31+'VOL DELTA'!AA31</f>
        <v>1</v>
      </c>
      <c r="AB31" s="168" t="n">
        <f aca="false">'VOL DWNLD'!AB31+'VOL DELTA'!AB31</f>
        <v>1</v>
      </c>
      <c r="AC31" s="168" t="n">
        <f aca="false">'VOL DWNLD'!AC31+'VOL DELTA'!AC31</f>
        <v>1</v>
      </c>
      <c r="AD31" s="168" t="n">
        <f aca="false">'VOL DWNLD'!AD31+'VOL DELTA'!AD31</f>
        <v>1</v>
      </c>
      <c r="AE31" s="168" t="n">
        <f aca="false">'VOL DWNLD'!AE31+'VOL DELTA'!AE31</f>
        <v>1</v>
      </c>
      <c r="AF31" s="168" t="n">
        <f aca="false">'VOL DWNLD'!AF31+'VOL DELTA'!AF31</f>
        <v>1.1</v>
      </c>
      <c r="AG31" s="168" t="n">
        <f aca="false">'VOL DWNLD'!AG31+'VOL DELTA'!AG31</f>
        <v>1.1</v>
      </c>
      <c r="AH31" s="168" t="n">
        <f aca="false">'VOL DWNLD'!AH31+'VOL DELTA'!AH31</f>
        <v>1.05</v>
      </c>
      <c r="AI31" s="168" t="n">
        <f aca="false">'VOL DWNLD'!AI31+'VOL DELTA'!AI31</f>
        <v>1</v>
      </c>
      <c r="AJ31" s="168" t="n">
        <f aca="false">'VOL DWNLD'!AJ31+'VOL DELTA'!AJ31</f>
        <v>1</v>
      </c>
      <c r="AK31" s="168" t="n">
        <f aca="false">'VOL DWNLD'!AK31+'VOL DELTA'!AK31</f>
        <v>1.02</v>
      </c>
      <c r="AL31" s="168" t="n">
        <f aca="false">'VOL DWNLD'!AL31+'VOL DELTA'!AL31</f>
        <v>1</v>
      </c>
      <c r="AM31" s="168" t="n">
        <f aca="false">'VOL DWNLD'!AM31+'VOL DELTA'!AM31</f>
        <v>1</v>
      </c>
      <c r="AN31" s="168" t="n">
        <f aca="false">'VOL DWNLD'!AN31+'VOL DELTA'!AN31</f>
        <v>1</v>
      </c>
      <c r="AO31" s="168" t="n">
        <f aca="false">'VOL DWNLD'!AO31+'VOL DELTA'!AO31</f>
        <v>1</v>
      </c>
    </row>
    <row r="32" customFormat="false" ht="12.75" hidden="false" customHeight="false" outlineLevel="0" collapsed="false">
      <c r="A32" s="167" t="n">
        <v>37653</v>
      </c>
      <c r="B32" s="168" t="n">
        <f aca="false">'VOL DWNLD'!B32+'VOL DELTA'!B32</f>
        <v>1</v>
      </c>
      <c r="C32" s="168" t="n">
        <f aca="false">'VOL DWNLD'!C32+'VOL DELTA'!C32</f>
        <v>1</v>
      </c>
      <c r="D32" s="168" t="n">
        <f aca="false">'VOL DWNLD'!D32+'VOL DELTA'!D32</f>
        <v>1</v>
      </c>
      <c r="E32" s="168" t="n">
        <f aca="false">'VOL DWNLD'!E32+'VOL DELTA'!E32</f>
        <v>1</v>
      </c>
      <c r="F32" s="168" t="n">
        <f aca="false">'VOL DWNLD'!F32+'VOL DELTA'!F32</f>
        <v>1</v>
      </c>
      <c r="G32" s="168" t="n">
        <f aca="false">'VOL DWNLD'!G32+'VOL DELTA'!G32</f>
        <v>1</v>
      </c>
      <c r="H32" s="168" t="n">
        <f aca="false">'VOL DWNLD'!H32+'VOL DELTA'!H32</f>
        <v>1</v>
      </c>
      <c r="I32" s="168" t="n">
        <f aca="false">'VOL DWNLD'!I32+'VOL DELTA'!I32</f>
        <v>1</v>
      </c>
      <c r="J32" s="168" t="n">
        <f aca="false">'VOL DWNLD'!J32+'VOL DELTA'!J32</f>
        <v>1</v>
      </c>
      <c r="K32" s="168" t="n">
        <f aca="false">'VOL DWNLD'!K32+'VOL DELTA'!K32</f>
        <v>1</v>
      </c>
      <c r="L32" s="168" t="n">
        <f aca="false">'VOL DWNLD'!L32+'VOL DELTA'!L32</f>
        <v>1</v>
      </c>
      <c r="M32" s="168" t="n">
        <f aca="false">'VOL DWNLD'!M32+'VOL DELTA'!M32</f>
        <v>1</v>
      </c>
      <c r="N32" s="168" t="n">
        <f aca="false">'VOL DWNLD'!N32+'VOL DELTA'!N32</f>
        <v>1</v>
      </c>
      <c r="O32" s="168" t="n">
        <f aca="false">'VOL DWNLD'!O32+'VOL DELTA'!O32</f>
        <v>1</v>
      </c>
      <c r="P32" s="168" t="n">
        <f aca="false">'VOL DWNLD'!P32+'VOL DELTA'!P32</f>
        <v>1.03</v>
      </c>
      <c r="Q32" s="168" t="n">
        <f aca="false">'VOL DWNLD'!Q32+'VOL DELTA'!Q32</f>
        <v>1</v>
      </c>
      <c r="R32" s="168" t="n">
        <f aca="false">'VOL DWNLD'!R32+'VOL DELTA'!R32</f>
        <v>1</v>
      </c>
      <c r="S32" s="168" t="n">
        <f aca="false">'VOL DWNLD'!S32+'VOL DELTA'!S32</f>
        <v>1.02</v>
      </c>
      <c r="T32" s="168" t="n">
        <f aca="false">'VOL DWNLD'!T32+'VOL DELTA'!T32</f>
        <v>1</v>
      </c>
      <c r="U32" s="168" t="n">
        <f aca="false">'VOL DWNLD'!U32+'VOL DELTA'!U32</f>
        <v>1</v>
      </c>
      <c r="V32" s="168" t="n">
        <f aca="false">'VOL DWNLD'!V32+'VOL DELTA'!V32</f>
        <v>1</v>
      </c>
      <c r="W32" s="168" t="n">
        <f aca="false">'VOL DWNLD'!W32+'VOL DELTA'!W32</f>
        <v>1</v>
      </c>
      <c r="X32" s="168" t="n">
        <f aca="false">'VOL DWNLD'!X32+'VOL DELTA'!X32</f>
        <v>1</v>
      </c>
      <c r="Y32" s="168" t="n">
        <f aca="false">'VOL DWNLD'!Y32+'VOL DELTA'!Y32</f>
        <v>1</v>
      </c>
      <c r="Z32" s="168" t="n">
        <f aca="false">'VOL DWNLD'!Z32+'VOL DELTA'!Z32</f>
        <v>1</v>
      </c>
      <c r="AA32" s="168" t="n">
        <f aca="false">'VOL DWNLD'!AA32+'VOL DELTA'!AA32</f>
        <v>1</v>
      </c>
      <c r="AB32" s="168" t="n">
        <f aca="false">'VOL DWNLD'!AB32+'VOL DELTA'!AB32</f>
        <v>1</v>
      </c>
      <c r="AC32" s="168" t="n">
        <f aca="false">'VOL DWNLD'!AC32+'VOL DELTA'!AC32</f>
        <v>1</v>
      </c>
      <c r="AD32" s="168" t="n">
        <f aca="false">'VOL DWNLD'!AD32+'VOL DELTA'!AD32</f>
        <v>1</v>
      </c>
      <c r="AE32" s="168" t="n">
        <f aca="false">'VOL DWNLD'!AE32+'VOL DELTA'!AE32</f>
        <v>1</v>
      </c>
      <c r="AF32" s="168" t="n">
        <f aca="false">'VOL DWNLD'!AF32+'VOL DELTA'!AF32</f>
        <v>1.1</v>
      </c>
      <c r="AG32" s="168" t="n">
        <f aca="false">'VOL DWNLD'!AG32+'VOL DELTA'!AG32</f>
        <v>1.1</v>
      </c>
      <c r="AH32" s="168" t="n">
        <f aca="false">'VOL DWNLD'!AH32+'VOL DELTA'!AH32</f>
        <v>1.05</v>
      </c>
      <c r="AI32" s="168" t="n">
        <f aca="false">'VOL DWNLD'!AI32+'VOL DELTA'!AI32</f>
        <v>1</v>
      </c>
      <c r="AJ32" s="168" t="n">
        <f aca="false">'VOL DWNLD'!AJ32+'VOL DELTA'!AJ32</f>
        <v>1</v>
      </c>
      <c r="AK32" s="168" t="n">
        <f aca="false">'VOL DWNLD'!AK32+'VOL DELTA'!AK32</f>
        <v>1.02</v>
      </c>
      <c r="AL32" s="168" t="n">
        <f aca="false">'VOL DWNLD'!AL32+'VOL DELTA'!AL32</f>
        <v>1</v>
      </c>
      <c r="AM32" s="168" t="n">
        <f aca="false">'VOL DWNLD'!AM32+'VOL DELTA'!AM32</f>
        <v>1</v>
      </c>
      <c r="AN32" s="168" t="n">
        <f aca="false">'VOL DWNLD'!AN32+'VOL DELTA'!AN32</f>
        <v>1</v>
      </c>
      <c r="AO32" s="168" t="n">
        <f aca="false">'VOL DWNLD'!AO32+'VOL DELTA'!AO32</f>
        <v>1</v>
      </c>
    </row>
    <row r="33" customFormat="false" ht="12.75" hidden="false" customHeight="false" outlineLevel="0" collapsed="false">
      <c r="A33" s="167" t="n">
        <v>37681</v>
      </c>
      <c r="B33" s="168" t="n">
        <f aca="false">'VOL DWNLD'!B33+'VOL DELTA'!B33</f>
        <v>1</v>
      </c>
      <c r="C33" s="168" t="n">
        <f aca="false">'VOL DWNLD'!C33+'VOL DELTA'!C33</f>
        <v>1</v>
      </c>
      <c r="D33" s="168" t="n">
        <f aca="false">'VOL DWNLD'!D33+'VOL DELTA'!D33</f>
        <v>1</v>
      </c>
      <c r="E33" s="168" t="n">
        <f aca="false">'VOL DWNLD'!E33+'VOL DELTA'!E33</f>
        <v>1</v>
      </c>
      <c r="F33" s="168" t="n">
        <f aca="false">'VOL DWNLD'!F33+'VOL DELTA'!F33</f>
        <v>1</v>
      </c>
      <c r="G33" s="168" t="n">
        <f aca="false">'VOL DWNLD'!G33+'VOL DELTA'!G33</f>
        <v>1</v>
      </c>
      <c r="H33" s="168" t="n">
        <f aca="false">'VOL DWNLD'!H33+'VOL DELTA'!H33</f>
        <v>1</v>
      </c>
      <c r="I33" s="168" t="n">
        <f aca="false">'VOL DWNLD'!I33+'VOL DELTA'!I33</f>
        <v>1</v>
      </c>
      <c r="J33" s="168" t="n">
        <f aca="false">'VOL DWNLD'!J33+'VOL DELTA'!J33</f>
        <v>1</v>
      </c>
      <c r="K33" s="168" t="n">
        <f aca="false">'VOL DWNLD'!K33+'VOL DELTA'!K33</f>
        <v>1</v>
      </c>
      <c r="L33" s="168" t="n">
        <f aca="false">'VOL DWNLD'!L33+'VOL DELTA'!L33</f>
        <v>1</v>
      </c>
      <c r="M33" s="168" t="n">
        <f aca="false">'VOL DWNLD'!M33+'VOL DELTA'!M33</f>
        <v>1</v>
      </c>
      <c r="N33" s="168" t="n">
        <f aca="false">'VOL DWNLD'!N33+'VOL DELTA'!N33</f>
        <v>1</v>
      </c>
      <c r="O33" s="168" t="n">
        <f aca="false">'VOL DWNLD'!O33+'VOL DELTA'!O33</f>
        <v>1</v>
      </c>
      <c r="P33" s="168" t="n">
        <f aca="false">'VOL DWNLD'!P33+'VOL DELTA'!P33</f>
        <v>1.03</v>
      </c>
      <c r="Q33" s="168" t="n">
        <f aca="false">'VOL DWNLD'!Q33+'VOL DELTA'!Q33</f>
        <v>1</v>
      </c>
      <c r="R33" s="168" t="n">
        <f aca="false">'VOL DWNLD'!R33+'VOL DELTA'!R33</f>
        <v>1</v>
      </c>
      <c r="S33" s="168" t="n">
        <f aca="false">'VOL DWNLD'!S33+'VOL DELTA'!S33</f>
        <v>1.02</v>
      </c>
      <c r="T33" s="168" t="n">
        <f aca="false">'VOL DWNLD'!T33+'VOL DELTA'!T33</f>
        <v>1</v>
      </c>
      <c r="U33" s="168" t="n">
        <f aca="false">'VOL DWNLD'!U33+'VOL DELTA'!U33</f>
        <v>1</v>
      </c>
      <c r="V33" s="168" t="n">
        <f aca="false">'VOL DWNLD'!V33+'VOL DELTA'!V33</f>
        <v>1</v>
      </c>
      <c r="W33" s="168" t="n">
        <f aca="false">'VOL DWNLD'!W33+'VOL DELTA'!W33</f>
        <v>1</v>
      </c>
      <c r="X33" s="168" t="n">
        <f aca="false">'VOL DWNLD'!X33+'VOL DELTA'!X33</f>
        <v>1</v>
      </c>
      <c r="Y33" s="168" t="n">
        <f aca="false">'VOL DWNLD'!Y33+'VOL DELTA'!Y33</f>
        <v>1</v>
      </c>
      <c r="Z33" s="168" t="n">
        <f aca="false">'VOL DWNLD'!Z33+'VOL DELTA'!Z33</f>
        <v>1</v>
      </c>
      <c r="AA33" s="168" t="n">
        <f aca="false">'VOL DWNLD'!AA33+'VOL DELTA'!AA33</f>
        <v>1</v>
      </c>
      <c r="AB33" s="168" t="n">
        <f aca="false">'VOL DWNLD'!AB33+'VOL DELTA'!AB33</f>
        <v>1</v>
      </c>
      <c r="AC33" s="168" t="n">
        <f aca="false">'VOL DWNLD'!AC33+'VOL DELTA'!AC33</f>
        <v>1</v>
      </c>
      <c r="AD33" s="168" t="n">
        <f aca="false">'VOL DWNLD'!AD33+'VOL DELTA'!AD33</f>
        <v>1</v>
      </c>
      <c r="AE33" s="168" t="n">
        <f aca="false">'VOL DWNLD'!AE33+'VOL DELTA'!AE33</f>
        <v>1</v>
      </c>
      <c r="AF33" s="168" t="n">
        <f aca="false">'VOL DWNLD'!AF33+'VOL DELTA'!AF33</f>
        <v>1.1</v>
      </c>
      <c r="AG33" s="168" t="n">
        <f aca="false">'VOL DWNLD'!AG33+'VOL DELTA'!AG33</f>
        <v>1.1</v>
      </c>
      <c r="AH33" s="168" t="n">
        <f aca="false">'VOL DWNLD'!AH33+'VOL DELTA'!AH33</f>
        <v>1.05</v>
      </c>
      <c r="AI33" s="168" t="n">
        <f aca="false">'VOL DWNLD'!AI33+'VOL DELTA'!AI33</f>
        <v>1</v>
      </c>
      <c r="AJ33" s="168" t="n">
        <f aca="false">'VOL DWNLD'!AJ33+'VOL DELTA'!AJ33</f>
        <v>1</v>
      </c>
      <c r="AK33" s="168" t="n">
        <f aca="false">'VOL DWNLD'!AK33+'VOL DELTA'!AK33</f>
        <v>1.02</v>
      </c>
      <c r="AL33" s="168" t="n">
        <f aca="false">'VOL DWNLD'!AL33+'VOL DELTA'!AL33</f>
        <v>1</v>
      </c>
      <c r="AM33" s="168" t="n">
        <f aca="false">'VOL DWNLD'!AM33+'VOL DELTA'!AM33</f>
        <v>1</v>
      </c>
      <c r="AN33" s="168" t="n">
        <f aca="false">'VOL DWNLD'!AN33+'VOL DELTA'!AN33</f>
        <v>1</v>
      </c>
      <c r="AO33" s="168" t="n">
        <f aca="false">'VOL DWNLD'!AO33+'VOL DELTA'!AO33</f>
        <v>1</v>
      </c>
    </row>
    <row r="34" customFormat="false" ht="12.75" hidden="false" customHeight="false" outlineLevel="0" collapsed="false">
      <c r="A34" s="167" t="n">
        <v>37712</v>
      </c>
      <c r="B34" s="168" t="n">
        <f aca="false">'VOL DWNLD'!B34+'VOL DELTA'!B34</f>
        <v>1</v>
      </c>
      <c r="C34" s="168" t="n">
        <f aca="false">'VOL DWNLD'!C34+'VOL DELTA'!C34</f>
        <v>1</v>
      </c>
      <c r="D34" s="168" t="n">
        <f aca="false">'VOL DWNLD'!D34+'VOL DELTA'!D34</f>
        <v>1</v>
      </c>
      <c r="E34" s="168" t="n">
        <f aca="false">'VOL DWNLD'!E34+'VOL DELTA'!E34</f>
        <v>1</v>
      </c>
      <c r="F34" s="168" t="n">
        <f aca="false">'VOL DWNLD'!F34+'VOL DELTA'!F34</f>
        <v>1</v>
      </c>
      <c r="G34" s="168" t="n">
        <f aca="false">'VOL DWNLD'!G34+'VOL DELTA'!G34</f>
        <v>1</v>
      </c>
      <c r="H34" s="168" t="n">
        <f aca="false">'VOL DWNLD'!H34+'VOL DELTA'!H34</f>
        <v>1</v>
      </c>
      <c r="I34" s="168" t="n">
        <f aca="false">'VOL DWNLD'!I34+'VOL DELTA'!I34</f>
        <v>1</v>
      </c>
      <c r="J34" s="168" t="n">
        <f aca="false">'VOL DWNLD'!J34+'VOL DELTA'!J34</f>
        <v>1</v>
      </c>
      <c r="K34" s="168" t="n">
        <f aca="false">'VOL DWNLD'!K34+'VOL DELTA'!K34</f>
        <v>1</v>
      </c>
      <c r="L34" s="168" t="n">
        <f aca="false">'VOL DWNLD'!L34+'VOL DELTA'!L34</f>
        <v>1</v>
      </c>
      <c r="M34" s="168" t="n">
        <f aca="false">'VOL DWNLD'!M34+'VOL DELTA'!M34</f>
        <v>1</v>
      </c>
      <c r="N34" s="168" t="n">
        <f aca="false">'VOL DWNLD'!N34+'VOL DELTA'!N34</f>
        <v>1</v>
      </c>
      <c r="O34" s="168" t="n">
        <f aca="false">'VOL DWNLD'!O34+'VOL DELTA'!O34</f>
        <v>1</v>
      </c>
      <c r="P34" s="168" t="n">
        <f aca="false">'VOL DWNLD'!P34+'VOL DELTA'!P34</f>
        <v>1.03</v>
      </c>
      <c r="Q34" s="168" t="n">
        <f aca="false">'VOL DWNLD'!Q34+'VOL DELTA'!Q34</f>
        <v>1</v>
      </c>
      <c r="R34" s="168" t="n">
        <f aca="false">'VOL DWNLD'!R34+'VOL DELTA'!R34</f>
        <v>1</v>
      </c>
      <c r="S34" s="168" t="n">
        <f aca="false">'VOL DWNLD'!S34+'VOL DELTA'!S34</f>
        <v>1.02</v>
      </c>
      <c r="T34" s="168" t="n">
        <f aca="false">'VOL DWNLD'!T34+'VOL DELTA'!T34</f>
        <v>1</v>
      </c>
      <c r="U34" s="168" t="n">
        <f aca="false">'VOL DWNLD'!U34+'VOL DELTA'!U34</f>
        <v>1</v>
      </c>
      <c r="V34" s="168" t="n">
        <f aca="false">'VOL DWNLD'!V34+'VOL DELTA'!V34</f>
        <v>1</v>
      </c>
      <c r="W34" s="168" t="n">
        <f aca="false">'VOL DWNLD'!W34+'VOL DELTA'!W34</f>
        <v>1</v>
      </c>
      <c r="X34" s="168" t="n">
        <f aca="false">'VOL DWNLD'!X34+'VOL DELTA'!X34</f>
        <v>1</v>
      </c>
      <c r="Y34" s="168" t="n">
        <f aca="false">'VOL DWNLD'!Y34+'VOL DELTA'!Y34</f>
        <v>1.02</v>
      </c>
      <c r="Z34" s="168" t="n">
        <f aca="false">'VOL DWNLD'!Z34+'VOL DELTA'!Z34</f>
        <v>1</v>
      </c>
      <c r="AA34" s="168" t="n">
        <f aca="false">'VOL DWNLD'!AA34+'VOL DELTA'!AA34</f>
        <v>1</v>
      </c>
      <c r="AB34" s="168" t="n">
        <f aca="false">'VOL DWNLD'!AB34+'VOL DELTA'!AB34</f>
        <v>1</v>
      </c>
      <c r="AC34" s="168" t="n">
        <f aca="false">'VOL DWNLD'!AC34+'VOL DELTA'!AC34</f>
        <v>1</v>
      </c>
      <c r="AD34" s="168" t="n">
        <f aca="false">'VOL DWNLD'!AD34+'VOL DELTA'!AD34</f>
        <v>0.98</v>
      </c>
      <c r="AE34" s="168" t="n">
        <f aca="false">'VOL DWNLD'!AE34+'VOL DELTA'!AE34</f>
        <v>0.98</v>
      </c>
      <c r="AF34" s="168" t="n">
        <f aca="false">'VOL DWNLD'!AF34+'VOL DELTA'!AF34</f>
        <v>0.98</v>
      </c>
      <c r="AG34" s="168" t="n">
        <f aca="false">'VOL DWNLD'!AG34+'VOL DELTA'!AG34</f>
        <v>0.98</v>
      </c>
      <c r="AH34" s="168" t="n">
        <f aca="false">'VOL DWNLD'!AH34+'VOL DELTA'!AH34</f>
        <v>1.05</v>
      </c>
      <c r="AI34" s="168" t="n">
        <f aca="false">'VOL DWNLD'!AI34+'VOL DELTA'!AI34</f>
        <v>1</v>
      </c>
      <c r="AJ34" s="168" t="n">
        <f aca="false">'VOL DWNLD'!AJ34+'VOL DELTA'!AJ34</f>
        <v>1</v>
      </c>
      <c r="AK34" s="168" t="n">
        <f aca="false">'VOL DWNLD'!AK34+'VOL DELTA'!AK34</f>
        <v>1.02</v>
      </c>
      <c r="AL34" s="168" t="n">
        <f aca="false">'VOL DWNLD'!AL34+'VOL DELTA'!AL34</f>
        <v>1</v>
      </c>
      <c r="AM34" s="168" t="n">
        <f aca="false">'VOL DWNLD'!AM34+'VOL DELTA'!AM34</f>
        <v>1</v>
      </c>
      <c r="AN34" s="168" t="n">
        <f aca="false">'VOL DWNLD'!AN34+'VOL DELTA'!AN34</f>
        <v>1</v>
      </c>
      <c r="AO34" s="168" t="n">
        <f aca="false">'VOL DWNLD'!AO34+'VOL DELTA'!AO34</f>
        <v>1</v>
      </c>
    </row>
    <row r="35" customFormat="false" ht="12.75" hidden="false" customHeight="false" outlineLevel="0" collapsed="false">
      <c r="A35" s="167" t="n">
        <v>37742</v>
      </c>
      <c r="B35" s="168" t="n">
        <f aca="false">'VOL DWNLD'!B35+'VOL DELTA'!B35</f>
        <v>1</v>
      </c>
      <c r="C35" s="168" t="n">
        <f aca="false">'VOL DWNLD'!C35+'VOL DELTA'!C35</f>
        <v>1</v>
      </c>
      <c r="D35" s="168" t="n">
        <f aca="false">'VOL DWNLD'!D35+'VOL DELTA'!D35</f>
        <v>1</v>
      </c>
      <c r="E35" s="168" t="n">
        <f aca="false">'VOL DWNLD'!E35+'VOL DELTA'!E35</f>
        <v>1</v>
      </c>
      <c r="F35" s="168" t="n">
        <f aca="false">'VOL DWNLD'!F35+'VOL DELTA'!F35</f>
        <v>1</v>
      </c>
      <c r="G35" s="168" t="n">
        <f aca="false">'VOL DWNLD'!G35+'VOL DELTA'!G35</f>
        <v>1</v>
      </c>
      <c r="H35" s="168" t="n">
        <f aca="false">'VOL DWNLD'!H35+'VOL DELTA'!H35</f>
        <v>1</v>
      </c>
      <c r="I35" s="168" t="n">
        <f aca="false">'VOL DWNLD'!I35+'VOL DELTA'!I35</f>
        <v>1</v>
      </c>
      <c r="J35" s="168" t="n">
        <f aca="false">'VOL DWNLD'!J35+'VOL DELTA'!J35</f>
        <v>1</v>
      </c>
      <c r="K35" s="168" t="n">
        <f aca="false">'VOL DWNLD'!K35+'VOL DELTA'!K35</f>
        <v>1</v>
      </c>
      <c r="L35" s="168" t="n">
        <f aca="false">'VOL DWNLD'!L35+'VOL DELTA'!L35</f>
        <v>1</v>
      </c>
      <c r="M35" s="168" t="n">
        <f aca="false">'VOL DWNLD'!M35+'VOL DELTA'!M35</f>
        <v>1</v>
      </c>
      <c r="N35" s="168" t="n">
        <f aca="false">'VOL DWNLD'!N35+'VOL DELTA'!N35</f>
        <v>1</v>
      </c>
      <c r="O35" s="168" t="n">
        <f aca="false">'VOL DWNLD'!O35+'VOL DELTA'!O35</f>
        <v>1</v>
      </c>
      <c r="P35" s="168" t="n">
        <f aca="false">'VOL DWNLD'!P35+'VOL DELTA'!P35</f>
        <v>1.03</v>
      </c>
      <c r="Q35" s="168" t="n">
        <f aca="false">'VOL DWNLD'!Q35+'VOL DELTA'!Q35</f>
        <v>1</v>
      </c>
      <c r="R35" s="168" t="n">
        <f aca="false">'VOL DWNLD'!R35+'VOL DELTA'!R35</f>
        <v>1</v>
      </c>
      <c r="S35" s="168" t="n">
        <f aca="false">'VOL DWNLD'!S35+'VOL DELTA'!S35</f>
        <v>1.02</v>
      </c>
      <c r="T35" s="168" t="n">
        <f aca="false">'VOL DWNLD'!T35+'VOL DELTA'!T35</f>
        <v>1</v>
      </c>
      <c r="U35" s="168" t="n">
        <f aca="false">'VOL DWNLD'!U35+'VOL DELTA'!U35</f>
        <v>1</v>
      </c>
      <c r="V35" s="168" t="n">
        <f aca="false">'VOL DWNLD'!V35+'VOL DELTA'!V35</f>
        <v>1</v>
      </c>
      <c r="W35" s="168" t="n">
        <f aca="false">'VOL DWNLD'!W35+'VOL DELTA'!W35</f>
        <v>1</v>
      </c>
      <c r="X35" s="168" t="n">
        <f aca="false">'VOL DWNLD'!X35+'VOL DELTA'!X35</f>
        <v>1</v>
      </c>
      <c r="Y35" s="168" t="n">
        <f aca="false">'VOL DWNLD'!Y35+'VOL DELTA'!Y35</f>
        <v>1.02</v>
      </c>
      <c r="Z35" s="168" t="n">
        <f aca="false">'VOL DWNLD'!Z35+'VOL DELTA'!Z35</f>
        <v>1</v>
      </c>
      <c r="AA35" s="168" t="n">
        <f aca="false">'VOL DWNLD'!AA35+'VOL DELTA'!AA35</f>
        <v>1</v>
      </c>
      <c r="AB35" s="168" t="n">
        <f aca="false">'VOL DWNLD'!AB35+'VOL DELTA'!AB35</f>
        <v>1</v>
      </c>
      <c r="AC35" s="168" t="n">
        <f aca="false">'VOL DWNLD'!AC35+'VOL DELTA'!AC35</f>
        <v>1</v>
      </c>
      <c r="AD35" s="168" t="n">
        <f aca="false">'VOL DWNLD'!AD35+'VOL DELTA'!AD35</f>
        <v>0.98</v>
      </c>
      <c r="AE35" s="168" t="n">
        <f aca="false">'VOL DWNLD'!AE35+'VOL DELTA'!AE35</f>
        <v>0.98</v>
      </c>
      <c r="AF35" s="168" t="n">
        <f aca="false">'VOL DWNLD'!AF35+'VOL DELTA'!AF35</f>
        <v>0.98</v>
      </c>
      <c r="AG35" s="168" t="n">
        <f aca="false">'VOL DWNLD'!AG35+'VOL DELTA'!AG35</f>
        <v>0.98</v>
      </c>
      <c r="AH35" s="168" t="n">
        <f aca="false">'VOL DWNLD'!AH35+'VOL DELTA'!AH35</f>
        <v>1.05</v>
      </c>
      <c r="AI35" s="168" t="n">
        <f aca="false">'VOL DWNLD'!AI35+'VOL DELTA'!AI35</f>
        <v>1</v>
      </c>
      <c r="AJ35" s="168" t="n">
        <f aca="false">'VOL DWNLD'!AJ35+'VOL DELTA'!AJ35</f>
        <v>1</v>
      </c>
      <c r="AK35" s="168" t="n">
        <f aca="false">'VOL DWNLD'!AK35+'VOL DELTA'!AK35</f>
        <v>1.02</v>
      </c>
      <c r="AL35" s="168" t="n">
        <f aca="false">'VOL DWNLD'!AL35+'VOL DELTA'!AL35</f>
        <v>1</v>
      </c>
      <c r="AM35" s="168" t="n">
        <f aca="false">'VOL DWNLD'!AM35+'VOL DELTA'!AM35</f>
        <v>1</v>
      </c>
      <c r="AN35" s="168" t="n">
        <f aca="false">'VOL DWNLD'!AN35+'VOL DELTA'!AN35</f>
        <v>1</v>
      </c>
      <c r="AO35" s="168" t="n">
        <f aca="false">'VOL DWNLD'!AO35+'VOL DELTA'!AO35</f>
        <v>1</v>
      </c>
    </row>
    <row r="36" customFormat="false" ht="12.75" hidden="false" customHeight="false" outlineLevel="0" collapsed="false">
      <c r="A36" s="167" t="n">
        <v>37773</v>
      </c>
      <c r="B36" s="168" t="n">
        <f aca="false">'VOL DWNLD'!B36+'VOL DELTA'!B36</f>
        <v>1</v>
      </c>
      <c r="C36" s="168" t="n">
        <f aca="false">'VOL DWNLD'!C36+'VOL DELTA'!C36</f>
        <v>1</v>
      </c>
      <c r="D36" s="168" t="n">
        <f aca="false">'VOL DWNLD'!D36+'VOL DELTA'!D36</f>
        <v>1</v>
      </c>
      <c r="E36" s="168" t="n">
        <f aca="false">'VOL DWNLD'!E36+'VOL DELTA'!E36</f>
        <v>1</v>
      </c>
      <c r="F36" s="168" t="n">
        <f aca="false">'VOL DWNLD'!F36+'VOL DELTA'!F36</f>
        <v>1</v>
      </c>
      <c r="G36" s="168" t="n">
        <f aca="false">'VOL DWNLD'!G36+'VOL DELTA'!G36</f>
        <v>1</v>
      </c>
      <c r="H36" s="168" t="n">
        <f aca="false">'VOL DWNLD'!H36+'VOL DELTA'!H36</f>
        <v>1</v>
      </c>
      <c r="I36" s="168" t="n">
        <f aca="false">'VOL DWNLD'!I36+'VOL DELTA'!I36</f>
        <v>1</v>
      </c>
      <c r="J36" s="168" t="n">
        <f aca="false">'VOL DWNLD'!J36+'VOL DELTA'!J36</f>
        <v>1</v>
      </c>
      <c r="K36" s="168" t="n">
        <f aca="false">'VOL DWNLD'!K36+'VOL DELTA'!K36</f>
        <v>1</v>
      </c>
      <c r="L36" s="168" t="n">
        <f aca="false">'VOL DWNLD'!L36+'VOL DELTA'!L36</f>
        <v>1</v>
      </c>
      <c r="M36" s="168" t="n">
        <f aca="false">'VOL DWNLD'!M36+'VOL DELTA'!M36</f>
        <v>1</v>
      </c>
      <c r="N36" s="168" t="n">
        <f aca="false">'VOL DWNLD'!N36+'VOL DELTA'!N36</f>
        <v>1</v>
      </c>
      <c r="O36" s="168" t="n">
        <f aca="false">'VOL DWNLD'!O36+'VOL DELTA'!O36</f>
        <v>1</v>
      </c>
      <c r="P36" s="168" t="n">
        <f aca="false">'VOL DWNLD'!P36+'VOL DELTA'!P36</f>
        <v>1.03</v>
      </c>
      <c r="Q36" s="168" t="n">
        <f aca="false">'VOL DWNLD'!Q36+'VOL DELTA'!Q36</f>
        <v>1</v>
      </c>
      <c r="R36" s="168" t="n">
        <f aca="false">'VOL DWNLD'!R36+'VOL DELTA'!R36</f>
        <v>1</v>
      </c>
      <c r="S36" s="168" t="n">
        <f aca="false">'VOL DWNLD'!S36+'VOL DELTA'!S36</f>
        <v>1.02</v>
      </c>
      <c r="T36" s="168" t="n">
        <f aca="false">'VOL DWNLD'!T36+'VOL DELTA'!T36</f>
        <v>1</v>
      </c>
      <c r="U36" s="168" t="n">
        <f aca="false">'VOL DWNLD'!U36+'VOL DELTA'!U36</f>
        <v>1</v>
      </c>
      <c r="V36" s="168" t="n">
        <f aca="false">'VOL DWNLD'!V36+'VOL DELTA'!V36</f>
        <v>1</v>
      </c>
      <c r="W36" s="168" t="n">
        <f aca="false">'VOL DWNLD'!W36+'VOL DELTA'!W36</f>
        <v>1</v>
      </c>
      <c r="X36" s="168" t="n">
        <f aca="false">'VOL DWNLD'!X36+'VOL DELTA'!X36</f>
        <v>1</v>
      </c>
      <c r="Y36" s="168" t="n">
        <f aca="false">'VOL DWNLD'!Y36+'VOL DELTA'!Y36</f>
        <v>1.02</v>
      </c>
      <c r="Z36" s="168" t="n">
        <f aca="false">'VOL DWNLD'!Z36+'VOL DELTA'!Z36</f>
        <v>1</v>
      </c>
      <c r="AA36" s="168" t="n">
        <f aca="false">'VOL DWNLD'!AA36+'VOL DELTA'!AA36</f>
        <v>1</v>
      </c>
      <c r="AB36" s="168" t="n">
        <f aca="false">'VOL DWNLD'!AB36+'VOL DELTA'!AB36</f>
        <v>1</v>
      </c>
      <c r="AC36" s="168" t="n">
        <f aca="false">'VOL DWNLD'!AC36+'VOL DELTA'!AC36</f>
        <v>1</v>
      </c>
      <c r="AD36" s="168" t="n">
        <f aca="false">'VOL DWNLD'!AD36+'VOL DELTA'!AD36</f>
        <v>0.98</v>
      </c>
      <c r="AE36" s="168" t="n">
        <f aca="false">'VOL DWNLD'!AE36+'VOL DELTA'!AE36</f>
        <v>0.98</v>
      </c>
      <c r="AF36" s="168" t="n">
        <f aca="false">'VOL DWNLD'!AF36+'VOL DELTA'!AF36</f>
        <v>0.98</v>
      </c>
      <c r="AG36" s="168" t="n">
        <f aca="false">'VOL DWNLD'!AG36+'VOL DELTA'!AG36</f>
        <v>0.98</v>
      </c>
      <c r="AH36" s="168" t="n">
        <f aca="false">'VOL DWNLD'!AH36+'VOL DELTA'!AH36</f>
        <v>1.05</v>
      </c>
      <c r="AI36" s="168" t="n">
        <f aca="false">'VOL DWNLD'!AI36+'VOL DELTA'!AI36</f>
        <v>1</v>
      </c>
      <c r="AJ36" s="168" t="n">
        <f aca="false">'VOL DWNLD'!AJ36+'VOL DELTA'!AJ36</f>
        <v>1</v>
      </c>
      <c r="AK36" s="168" t="n">
        <f aca="false">'VOL DWNLD'!AK36+'VOL DELTA'!AK36</f>
        <v>1.02</v>
      </c>
      <c r="AL36" s="168" t="n">
        <f aca="false">'VOL DWNLD'!AL36+'VOL DELTA'!AL36</f>
        <v>1</v>
      </c>
      <c r="AM36" s="168" t="n">
        <f aca="false">'VOL DWNLD'!AM36+'VOL DELTA'!AM36</f>
        <v>1</v>
      </c>
      <c r="AN36" s="168" t="n">
        <f aca="false">'VOL DWNLD'!AN36+'VOL DELTA'!AN36</f>
        <v>1</v>
      </c>
      <c r="AO36" s="168" t="n">
        <f aca="false">'VOL DWNLD'!AO36+'VOL DELTA'!AO36</f>
        <v>1</v>
      </c>
    </row>
    <row r="37" customFormat="false" ht="12.75" hidden="false" customHeight="false" outlineLevel="0" collapsed="false">
      <c r="A37" s="167" t="n">
        <v>37803</v>
      </c>
      <c r="B37" s="168" t="n">
        <f aca="false">'VOL DWNLD'!B37+'VOL DELTA'!B37</f>
        <v>1</v>
      </c>
      <c r="C37" s="168" t="n">
        <f aca="false">'VOL DWNLD'!C37+'VOL DELTA'!C37</f>
        <v>1</v>
      </c>
      <c r="D37" s="168" t="n">
        <f aca="false">'VOL DWNLD'!D37+'VOL DELTA'!D37</f>
        <v>1</v>
      </c>
      <c r="E37" s="168" t="n">
        <f aca="false">'VOL DWNLD'!E37+'VOL DELTA'!E37</f>
        <v>1</v>
      </c>
      <c r="F37" s="168" t="n">
        <f aca="false">'VOL DWNLD'!F37+'VOL DELTA'!F37</f>
        <v>1</v>
      </c>
      <c r="G37" s="168" t="n">
        <f aca="false">'VOL DWNLD'!G37+'VOL DELTA'!G37</f>
        <v>1</v>
      </c>
      <c r="H37" s="168" t="n">
        <f aca="false">'VOL DWNLD'!H37+'VOL DELTA'!H37</f>
        <v>1</v>
      </c>
      <c r="I37" s="168" t="n">
        <f aca="false">'VOL DWNLD'!I37+'VOL DELTA'!I37</f>
        <v>1</v>
      </c>
      <c r="J37" s="168" t="n">
        <f aca="false">'VOL DWNLD'!J37+'VOL DELTA'!J37</f>
        <v>1</v>
      </c>
      <c r="K37" s="168" t="n">
        <f aca="false">'VOL DWNLD'!K37+'VOL DELTA'!K37</f>
        <v>1</v>
      </c>
      <c r="L37" s="168" t="n">
        <f aca="false">'VOL DWNLD'!L37+'VOL DELTA'!L37</f>
        <v>1</v>
      </c>
      <c r="M37" s="168" t="n">
        <f aca="false">'VOL DWNLD'!M37+'VOL DELTA'!M37</f>
        <v>1</v>
      </c>
      <c r="N37" s="168" t="n">
        <f aca="false">'VOL DWNLD'!N37+'VOL DELTA'!N37</f>
        <v>1</v>
      </c>
      <c r="O37" s="168" t="n">
        <f aca="false">'VOL DWNLD'!O37+'VOL DELTA'!O37</f>
        <v>1</v>
      </c>
      <c r="P37" s="168" t="n">
        <f aca="false">'VOL DWNLD'!P37+'VOL DELTA'!P37</f>
        <v>1.03</v>
      </c>
      <c r="Q37" s="168" t="n">
        <f aca="false">'VOL DWNLD'!Q37+'VOL DELTA'!Q37</f>
        <v>1</v>
      </c>
      <c r="R37" s="168" t="n">
        <f aca="false">'VOL DWNLD'!R37+'VOL DELTA'!R37</f>
        <v>1</v>
      </c>
      <c r="S37" s="168" t="n">
        <f aca="false">'VOL DWNLD'!S37+'VOL DELTA'!S37</f>
        <v>1.02</v>
      </c>
      <c r="T37" s="168" t="n">
        <f aca="false">'VOL DWNLD'!T37+'VOL DELTA'!T37</f>
        <v>1</v>
      </c>
      <c r="U37" s="168" t="n">
        <f aca="false">'VOL DWNLD'!U37+'VOL DELTA'!U37</f>
        <v>1</v>
      </c>
      <c r="V37" s="168" t="n">
        <f aca="false">'VOL DWNLD'!V37+'VOL DELTA'!V37</f>
        <v>1</v>
      </c>
      <c r="W37" s="168" t="n">
        <f aca="false">'VOL DWNLD'!W37+'VOL DELTA'!W37</f>
        <v>1</v>
      </c>
      <c r="X37" s="168" t="n">
        <f aca="false">'VOL DWNLD'!X37+'VOL DELTA'!X37</f>
        <v>1</v>
      </c>
      <c r="Y37" s="168" t="n">
        <f aca="false">'VOL DWNLD'!Y37+'VOL DELTA'!Y37</f>
        <v>1.02</v>
      </c>
      <c r="Z37" s="168" t="n">
        <f aca="false">'VOL DWNLD'!Z37+'VOL DELTA'!Z37</f>
        <v>1</v>
      </c>
      <c r="AA37" s="168" t="n">
        <f aca="false">'VOL DWNLD'!AA37+'VOL DELTA'!AA37</f>
        <v>1</v>
      </c>
      <c r="AB37" s="168" t="n">
        <f aca="false">'VOL DWNLD'!AB37+'VOL DELTA'!AB37</f>
        <v>1</v>
      </c>
      <c r="AC37" s="168" t="n">
        <f aca="false">'VOL DWNLD'!AC37+'VOL DELTA'!AC37</f>
        <v>1</v>
      </c>
      <c r="AD37" s="168" t="n">
        <f aca="false">'VOL DWNLD'!AD37+'VOL DELTA'!AD37</f>
        <v>0.98</v>
      </c>
      <c r="AE37" s="168" t="n">
        <f aca="false">'VOL DWNLD'!AE37+'VOL DELTA'!AE37</f>
        <v>0.98</v>
      </c>
      <c r="AF37" s="168" t="n">
        <f aca="false">'VOL DWNLD'!AF37+'VOL DELTA'!AF37</f>
        <v>0.98</v>
      </c>
      <c r="AG37" s="168" t="n">
        <f aca="false">'VOL DWNLD'!AG37+'VOL DELTA'!AG37</f>
        <v>0.98</v>
      </c>
      <c r="AH37" s="168" t="n">
        <f aca="false">'VOL DWNLD'!AH37+'VOL DELTA'!AH37</f>
        <v>1.05</v>
      </c>
      <c r="AI37" s="168" t="n">
        <f aca="false">'VOL DWNLD'!AI37+'VOL DELTA'!AI37</f>
        <v>1</v>
      </c>
      <c r="AJ37" s="168" t="n">
        <f aca="false">'VOL DWNLD'!AJ37+'VOL DELTA'!AJ37</f>
        <v>1</v>
      </c>
      <c r="AK37" s="168" t="n">
        <f aca="false">'VOL DWNLD'!AK37+'VOL DELTA'!AK37</f>
        <v>1.02</v>
      </c>
      <c r="AL37" s="168" t="n">
        <f aca="false">'VOL DWNLD'!AL37+'VOL DELTA'!AL37</f>
        <v>1</v>
      </c>
      <c r="AM37" s="168" t="n">
        <f aca="false">'VOL DWNLD'!AM37+'VOL DELTA'!AM37</f>
        <v>1</v>
      </c>
      <c r="AN37" s="168" t="n">
        <f aca="false">'VOL DWNLD'!AN37+'VOL DELTA'!AN37</f>
        <v>1</v>
      </c>
      <c r="AO37" s="168" t="n">
        <f aca="false">'VOL DWNLD'!AO37+'VOL DELTA'!AO37</f>
        <v>1</v>
      </c>
    </row>
    <row r="38" customFormat="false" ht="12.75" hidden="false" customHeight="false" outlineLevel="0" collapsed="false">
      <c r="A38" s="167" t="n">
        <v>37834</v>
      </c>
      <c r="B38" s="168" t="n">
        <f aca="false">'VOL DWNLD'!B38+'VOL DELTA'!B38</f>
        <v>1</v>
      </c>
      <c r="C38" s="168" t="n">
        <f aca="false">'VOL DWNLD'!C38+'VOL DELTA'!C38</f>
        <v>1</v>
      </c>
      <c r="D38" s="168" t="n">
        <f aca="false">'VOL DWNLD'!D38+'VOL DELTA'!D38</f>
        <v>1</v>
      </c>
      <c r="E38" s="168" t="n">
        <f aca="false">'VOL DWNLD'!E38+'VOL DELTA'!E38</f>
        <v>1</v>
      </c>
      <c r="F38" s="168" t="n">
        <f aca="false">'VOL DWNLD'!F38+'VOL DELTA'!F38</f>
        <v>1</v>
      </c>
      <c r="G38" s="168" t="n">
        <f aca="false">'VOL DWNLD'!G38+'VOL DELTA'!G38</f>
        <v>1</v>
      </c>
      <c r="H38" s="168" t="n">
        <f aca="false">'VOL DWNLD'!H38+'VOL DELTA'!H38</f>
        <v>1</v>
      </c>
      <c r="I38" s="168" t="n">
        <f aca="false">'VOL DWNLD'!I38+'VOL DELTA'!I38</f>
        <v>1</v>
      </c>
      <c r="J38" s="168" t="n">
        <f aca="false">'VOL DWNLD'!J38+'VOL DELTA'!J38</f>
        <v>1</v>
      </c>
      <c r="K38" s="168" t="n">
        <f aca="false">'VOL DWNLD'!K38+'VOL DELTA'!K38</f>
        <v>1</v>
      </c>
      <c r="L38" s="168" t="n">
        <f aca="false">'VOL DWNLD'!L38+'VOL DELTA'!L38</f>
        <v>1</v>
      </c>
      <c r="M38" s="168" t="n">
        <f aca="false">'VOL DWNLD'!M38+'VOL DELTA'!M38</f>
        <v>1</v>
      </c>
      <c r="N38" s="168" t="n">
        <f aca="false">'VOL DWNLD'!N38+'VOL DELTA'!N38</f>
        <v>1</v>
      </c>
      <c r="O38" s="168" t="n">
        <f aca="false">'VOL DWNLD'!O38+'VOL DELTA'!O38</f>
        <v>1</v>
      </c>
      <c r="P38" s="168" t="n">
        <f aca="false">'VOL DWNLD'!P38+'VOL DELTA'!P38</f>
        <v>1.03</v>
      </c>
      <c r="Q38" s="168" t="n">
        <f aca="false">'VOL DWNLD'!Q38+'VOL DELTA'!Q38</f>
        <v>1</v>
      </c>
      <c r="R38" s="168" t="n">
        <f aca="false">'VOL DWNLD'!R38+'VOL DELTA'!R38</f>
        <v>1</v>
      </c>
      <c r="S38" s="168" t="n">
        <f aca="false">'VOL DWNLD'!S38+'VOL DELTA'!S38</f>
        <v>1.02</v>
      </c>
      <c r="T38" s="168" t="n">
        <f aca="false">'VOL DWNLD'!T38+'VOL DELTA'!T38</f>
        <v>1</v>
      </c>
      <c r="U38" s="168" t="n">
        <f aca="false">'VOL DWNLD'!U38+'VOL DELTA'!U38</f>
        <v>1</v>
      </c>
      <c r="V38" s="168" t="n">
        <f aca="false">'VOL DWNLD'!V38+'VOL DELTA'!V38</f>
        <v>1</v>
      </c>
      <c r="W38" s="168" t="n">
        <f aca="false">'VOL DWNLD'!W38+'VOL DELTA'!W38</f>
        <v>1</v>
      </c>
      <c r="X38" s="168" t="n">
        <f aca="false">'VOL DWNLD'!X38+'VOL DELTA'!X38</f>
        <v>1</v>
      </c>
      <c r="Y38" s="168" t="n">
        <f aca="false">'VOL DWNLD'!Y38+'VOL DELTA'!Y38</f>
        <v>1.02</v>
      </c>
      <c r="Z38" s="168" t="n">
        <f aca="false">'VOL DWNLD'!Z38+'VOL DELTA'!Z38</f>
        <v>1</v>
      </c>
      <c r="AA38" s="168" t="n">
        <f aca="false">'VOL DWNLD'!AA38+'VOL DELTA'!AA38</f>
        <v>1</v>
      </c>
      <c r="AB38" s="168" t="n">
        <f aca="false">'VOL DWNLD'!AB38+'VOL DELTA'!AB38</f>
        <v>1</v>
      </c>
      <c r="AC38" s="168" t="n">
        <f aca="false">'VOL DWNLD'!AC38+'VOL DELTA'!AC38</f>
        <v>1</v>
      </c>
      <c r="AD38" s="168" t="n">
        <f aca="false">'VOL DWNLD'!AD38+'VOL DELTA'!AD38</f>
        <v>0.98</v>
      </c>
      <c r="AE38" s="168" t="n">
        <f aca="false">'VOL DWNLD'!AE38+'VOL DELTA'!AE38</f>
        <v>0.98</v>
      </c>
      <c r="AF38" s="168" t="n">
        <f aca="false">'VOL DWNLD'!AF38+'VOL DELTA'!AF38</f>
        <v>0.98</v>
      </c>
      <c r="AG38" s="168" t="n">
        <f aca="false">'VOL DWNLD'!AG38+'VOL DELTA'!AG38</f>
        <v>0.98</v>
      </c>
      <c r="AH38" s="168" t="n">
        <f aca="false">'VOL DWNLD'!AH38+'VOL DELTA'!AH38</f>
        <v>1.05</v>
      </c>
      <c r="AI38" s="168" t="n">
        <f aca="false">'VOL DWNLD'!AI38+'VOL DELTA'!AI38</f>
        <v>1</v>
      </c>
      <c r="AJ38" s="168" t="n">
        <f aca="false">'VOL DWNLD'!AJ38+'VOL DELTA'!AJ38</f>
        <v>1</v>
      </c>
      <c r="AK38" s="168" t="n">
        <f aca="false">'VOL DWNLD'!AK38+'VOL DELTA'!AK38</f>
        <v>1.02</v>
      </c>
      <c r="AL38" s="168" t="n">
        <f aca="false">'VOL DWNLD'!AL38+'VOL DELTA'!AL38</f>
        <v>1</v>
      </c>
      <c r="AM38" s="168" t="n">
        <f aca="false">'VOL DWNLD'!AM38+'VOL DELTA'!AM38</f>
        <v>1</v>
      </c>
      <c r="AN38" s="168" t="n">
        <f aca="false">'VOL DWNLD'!AN38+'VOL DELTA'!AN38</f>
        <v>1</v>
      </c>
      <c r="AO38" s="168" t="n">
        <f aca="false">'VOL DWNLD'!AO38+'VOL DELTA'!AO38</f>
        <v>1</v>
      </c>
    </row>
    <row r="39" customFormat="false" ht="12.75" hidden="false" customHeight="false" outlineLevel="0" collapsed="false">
      <c r="A39" s="167" t="n">
        <v>37865</v>
      </c>
      <c r="B39" s="168" t="n">
        <f aca="false">'VOL DWNLD'!B39+'VOL DELTA'!B39</f>
        <v>1</v>
      </c>
      <c r="C39" s="168" t="n">
        <f aca="false">'VOL DWNLD'!C39+'VOL DELTA'!C39</f>
        <v>1</v>
      </c>
      <c r="D39" s="168" t="n">
        <f aca="false">'VOL DWNLD'!D39+'VOL DELTA'!D39</f>
        <v>1</v>
      </c>
      <c r="E39" s="168" t="n">
        <f aca="false">'VOL DWNLD'!E39+'VOL DELTA'!E39</f>
        <v>1</v>
      </c>
      <c r="F39" s="168" t="n">
        <f aca="false">'VOL DWNLD'!F39+'VOL DELTA'!F39</f>
        <v>1</v>
      </c>
      <c r="G39" s="168" t="n">
        <f aca="false">'VOL DWNLD'!G39+'VOL DELTA'!G39</f>
        <v>1</v>
      </c>
      <c r="H39" s="168" t="n">
        <f aca="false">'VOL DWNLD'!H39+'VOL DELTA'!H39</f>
        <v>1</v>
      </c>
      <c r="I39" s="168" t="n">
        <f aca="false">'VOL DWNLD'!I39+'VOL DELTA'!I39</f>
        <v>1</v>
      </c>
      <c r="J39" s="168" t="n">
        <f aca="false">'VOL DWNLD'!J39+'VOL DELTA'!J39</f>
        <v>1</v>
      </c>
      <c r="K39" s="168" t="n">
        <f aca="false">'VOL DWNLD'!K39+'VOL DELTA'!K39</f>
        <v>1</v>
      </c>
      <c r="L39" s="168" t="n">
        <f aca="false">'VOL DWNLD'!L39+'VOL DELTA'!L39</f>
        <v>1</v>
      </c>
      <c r="M39" s="168" t="n">
        <f aca="false">'VOL DWNLD'!M39+'VOL DELTA'!M39</f>
        <v>1</v>
      </c>
      <c r="N39" s="168" t="n">
        <f aca="false">'VOL DWNLD'!N39+'VOL DELTA'!N39</f>
        <v>1</v>
      </c>
      <c r="O39" s="168" t="n">
        <f aca="false">'VOL DWNLD'!O39+'VOL DELTA'!O39</f>
        <v>1</v>
      </c>
      <c r="P39" s="168" t="n">
        <f aca="false">'VOL DWNLD'!P39+'VOL DELTA'!P39</f>
        <v>1.03</v>
      </c>
      <c r="Q39" s="168" t="n">
        <f aca="false">'VOL DWNLD'!Q39+'VOL DELTA'!Q39</f>
        <v>1</v>
      </c>
      <c r="R39" s="168" t="n">
        <f aca="false">'VOL DWNLD'!R39+'VOL DELTA'!R39</f>
        <v>1</v>
      </c>
      <c r="S39" s="168" t="n">
        <f aca="false">'VOL DWNLD'!S39+'VOL DELTA'!S39</f>
        <v>1.02</v>
      </c>
      <c r="T39" s="168" t="n">
        <f aca="false">'VOL DWNLD'!T39+'VOL DELTA'!T39</f>
        <v>1</v>
      </c>
      <c r="U39" s="168" t="n">
        <f aca="false">'VOL DWNLD'!U39+'VOL DELTA'!U39</f>
        <v>1</v>
      </c>
      <c r="V39" s="168" t="n">
        <f aca="false">'VOL DWNLD'!V39+'VOL DELTA'!V39</f>
        <v>1</v>
      </c>
      <c r="W39" s="168" t="n">
        <f aca="false">'VOL DWNLD'!W39+'VOL DELTA'!W39</f>
        <v>1</v>
      </c>
      <c r="X39" s="168" t="n">
        <f aca="false">'VOL DWNLD'!X39+'VOL DELTA'!X39</f>
        <v>1</v>
      </c>
      <c r="Y39" s="168" t="n">
        <f aca="false">'VOL DWNLD'!Y39+'VOL DELTA'!Y39</f>
        <v>1.02</v>
      </c>
      <c r="Z39" s="168" t="n">
        <f aca="false">'VOL DWNLD'!Z39+'VOL DELTA'!Z39</f>
        <v>1</v>
      </c>
      <c r="AA39" s="168" t="n">
        <f aca="false">'VOL DWNLD'!AA39+'VOL DELTA'!AA39</f>
        <v>1</v>
      </c>
      <c r="AB39" s="168" t="n">
        <f aca="false">'VOL DWNLD'!AB39+'VOL DELTA'!AB39</f>
        <v>1</v>
      </c>
      <c r="AC39" s="168" t="n">
        <f aca="false">'VOL DWNLD'!AC39+'VOL DELTA'!AC39</f>
        <v>1</v>
      </c>
      <c r="AD39" s="168" t="n">
        <f aca="false">'VOL DWNLD'!AD39+'VOL DELTA'!AD39</f>
        <v>0.98</v>
      </c>
      <c r="AE39" s="168" t="n">
        <f aca="false">'VOL DWNLD'!AE39+'VOL DELTA'!AE39</f>
        <v>0.98</v>
      </c>
      <c r="AF39" s="168" t="n">
        <f aca="false">'VOL DWNLD'!AF39+'VOL DELTA'!AF39</f>
        <v>0.98</v>
      </c>
      <c r="AG39" s="168" t="n">
        <f aca="false">'VOL DWNLD'!AG39+'VOL DELTA'!AG39</f>
        <v>0.98</v>
      </c>
      <c r="AH39" s="168" t="n">
        <f aca="false">'VOL DWNLD'!AH39+'VOL DELTA'!AH39</f>
        <v>1.05</v>
      </c>
      <c r="AI39" s="168" t="n">
        <f aca="false">'VOL DWNLD'!AI39+'VOL DELTA'!AI39</f>
        <v>1</v>
      </c>
      <c r="AJ39" s="168" t="n">
        <f aca="false">'VOL DWNLD'!AJ39+'VOL DELTA'!AJ39</f>
        <v>1</v>
      </c>
      <c r="AK39" s="168" t="n">
        <f aca="false">'VOL DWNLD'!AK39+'VOL DELTA'!AK39</f>
        <v>1.02</v>
      </c>
      <c r="AL39" s="168" t="n">
        <f aca="false">'VOL DWNLD'!AL39+'VOL DELTA'!AL39</f>
        <v>1</v>
      </c>
      <c r="AM39" s="168" t="n">
        <f aca="false">'VOL DWNLD'!AM39+'VOL DELTA'!AM39</f>
        <v>1</v>
      </c>
      <c r="AN39" s="168" t="n">
        <f aca="false">'VOL DWNLD'!AN39+'VOL DELTA'!AN39</f>
        <v>1</v>
      </c>
      <c r="AO39" s="168" t="n">
        <f aca="false">'VOL DWNLD'!AO39+'VOL DELTA'!AO39</f>
        <v>1</v>
      </c>
    </row>
    <row r="40" customFormat="false" ht="12.75" hidden="false" customHeight="false" outlineLevel="0" collapsed="false">
      <c r="A40" s="167" t="n">
        <v>37895</v>
      </c>
      <c r="B40" s="168" t="n">
        <f aca="false">'VOL DWNLD'!B40+'VOL DELTA'!B40</f>
        <v>1</v>
      </c>
      <c r="C40" s="168" t="n">
        <f aca="false">'VOL DWNLD'!C40+'VOL DELTA'!C40</f>
        <v>1</v>
      </c>
      <c r="D40" s="168" t="n">
        <f aca="false">'VOL DWNLD'!D40+'VOL DELTA'!D40</f>
        <v>1</v>
      </c>
      <c r="E40" s="168" t="n">
        <f aca="false">'VOL DWNLD'!E40+'VOL DELTA'!E40</f>
        <v>1</v>
      </c>
      <c r="F40" s="168" t="n">
        <f aca="false">'VOL DWNLD'!F40+'VOL DELTA'!F40</f>
        <v>1</v>
      </c>
      <c r="G40" s="168" t="n">
        <f aca="false">'VOL DWNLD'!G40+'VOL DELTA'!G40</f>
        <v>1</v>
      </c>
      <c r="H40" s="168" t="n">
        <f aca="false">'VOL DWNLD'!H40+'VOL DELTA'!H40</f>
        <v>1</v>
      </c>
      <c r="I40" s="168" t="n">
        <f aca="false">'VOL DWNLD'!I40+'VOL DELTA'!I40</f>
        <v>1</v>
      </c>
      <c r="J40" s="168" t="n">
        <f aca="false">'VOL DWNLD'!J40+'VOL DELTA'!J40</f>
        <v>1</v>
      </c>
      <c r="K40" s="168" t="n">
        <f aca="false">'VOL DWNLD'!K40+'VOL DELTA'!K40</f>
        <v>1</v>
      </c>
      <c r="L40" s="168" t="n">
        <f aca="false">'VOL DWNLD'!L40+'VOL DELTA'!L40</f>
        <v>1</v>
      </c>
      <c r="M40" s="168" t="n">
        <f aca="false">'VOL DWNLD'!M40+'VOL DELTA'!M40</f>
        <v>1</v>
      </c>
      <c r="N40" s="168" t="n">
        <f aca="false">'VOL DWNLD'!N40+'VOL DELTA'!N40</f>
        <v>1</v>
      </c>
      <c r="O40" s="168" t="n">
        <f aca="false">'VOL DWNLD'!O40+'VOL DELTA'!O40</f>
        <v>1</v>
      </c>
      <c r="P40" s="168" t="n">
        <f aca="false">'VOL DWNLD'!P40+'VOL DELTA'!P40</f>
        <v>1.03</v>
      </c>
      <c r="Q40" s="168" t="n">
        <f aca="false">'VOL DWNLD'!Q40+'VOL DELTA'!Q40</f>
        <v>1</v>
      </c>
      <c r="R40" s="168" t="n">
        <f aca="false">'VOL DWNLD'!R40+'VOL DELTA'!R40</f>
        <v>1</v>
      </c>
      <c r="S40" s="168" t="n">
        <f aca="false">'VOL DWNLD'!S40+'VOL DELTA'!S40</f>
        <v>1.02</v>
      </c>
      <c r="T40" s="168" t="n">
        <f aca="false">'VOL DWNLD'!T40+'VOL DELTA'!T40</f>
        <v>1</v>
      </c>
      <c r="U40" s="168" t="n">
        <f aca="false">'VOL DWNLD'!U40+'VOL DELTA'!U40</f>
        <v>1</v>
      </c>
      <c r="V40" s="168" t="n">
        <f aca="false">'VOL DWNLD'!V40+'VOL DELTA'!V40</f>
        <v>1</v>
      </c>
      <c r="W40" s="168" t="n">
        <f aca="false">'VOL DWNLD'!W40+'VOL DELTA'!W40</f>
        <v>1</v>
      </c>
      <c r="X40" s="168" t="n">
        <f aca="false">'VOL DWNLD'!X40+'VOL DELTA'!X40</f>
        <v>1</v>
      </c>
      <c r="Y40" s="168" t="n">
        <f aca="false">'VOL DWNLD'!Y40+'VOL DELTA'!Y40</f>
        <v>1.02</v>
      </c>
      <c r="Z40" s="168" t="n">
        <f aca="false">'VOL DWNLD'!Z40+'VOL DELTA'!Z40</f>
        <v>1</v>
      </c>
      <c r="AA40" s="168" t="n">
        <f aca="false">'VOL DWNLD'!AA40+'VOL DELTA'!AA40</f>
        <v>1</v>
      </c>
      <c r="AB40" s="168" t="n">
        <f aca="false">'VOL DWNLD'!AB40+'VOL DELTA'!AB40</f>
        <v>1</v>
      </c>
      <c r="AC40" s="168" t="n">
        <f aca="false">'VOL DWNLD'!AC40+'VOL DELTA'!AC40</f>
        <v>1</v>
      </c>
      <c r="AD40" s="168" t="n">
        <f aca="false">'VOL DWNLD'!AD40+'VOL DELTA'!AD40</f>
        <v>0.98</v>
      </c>
      <c r="AE40" s="168" t="n">
        <f aca="false">'VOL DWNLD'!AE40+'VOL DELTA'!AE40</f>
        <v>0.98</v>
      </c>
      <c r="AF40" s="168" t="n">
        <f aca="false">'VOL DWNLD'!AF40+'VOL DELTA'!AF40</f>
        <v>0.98</v>
      </c>
      <c r="AG40" s="168" t="n">
        <f aca="false">'VOL DWNLD'!AG40+'VOL DELTA'!AG40</f>
        <v>0.98</v>
      </c>
      <c r="AH40" s="168" t="n">
        <f aca="false">'VOL DWNLD'!AH40+'VOL DELTA'!AH40</f>
        <v>1.05</v>
      </c>
      <c r="AI40" s="168" t="n">
        <f aca="false">'VOL DWNLD'!AI40+'VOL DELTA'!AI40</f>
        <v>1</v>
      </c>
      <c r="AJ40" s="168" t="n">
        <f aca="false">'VOL DWNLD'!AJ40+'VOL DELTA'!AJ40</f>
        <v>1</v>
      </c>
      <c r="AK40" s="168" t="n">
        <f aca="false">'VOL DWNLD'!AK40+'VOL DELTA'!AK40</f>
        <v>1.02</v>
      </c>
      <c r="AL40" s="168" t="n">
        <f aca="false">'VOL DWNLD'!AL40+'VOL DELTA'!AL40</f>
        <v>1</v>
      </c>
      <c r="AM40" s="168" t="n">
        <f aca="false">'VOL DWNLD'!AM40+'VOL DELTA'!AM40</f>
        <v>1</v>
      </c>
      <c r="AN40" s="168" t="n">
        <f aca="false">'VOL DWNLD'!AN40+'VOL DELTA'!AN40</f>
        <v>1</v>
      </c>
      <c r="AO40" s="168" t="n">
        <f aca="false">'VOL DWNLD'!AO40+'VOL DELTA'!AO40</f>
        <v>1</v>
      </c>
    </row>
    <row r="41" customFormat="false" ht="12.75" hidden="false" customHeight="false" outlineLevel="0" collapsed="false">
      <c r="A41" s="167" t="n">
        <v>37926</v>
      </c>
      <c r="B41" s="168" t="n">
        <f aca="false">'VOL DWNLD'!B41+'VOL DELTA'!B41</f>
        <v>1</v>
      </c>
      <c r="C41" s="168" t="n">
        <f aca="false">'VOL DWNLD'!C41+'VOL DELTA'!C41</f>
        <v>1</v>
      </c>
      <c r="D41" s="168" t="n">
        <f aca="false">'VOL DWNLD'!D41+'VOL DELTA'!D41</f>
        <v>1</v>
      </c>
      <c r="E41" s="168" t="n">
        <f aca="false">'VOL DWNLD'!E41+'VOL DELTA'!E41</f>
        <v>1</v>
      </c>
      <c r="F41" s="168" t="n">
        <f aca="false">'VOL DWNLD'!F41+'VOL DELTA'!F41</f>
        <v>1</v>
      </c>
      <c r="G41" s="168" t="n">
        <f aca="false">'VOL DWNLD'!G41+'VOL DELTA'!G41</f>
        <v>1</v>
      </c>
      <c r="H41" s="168" t="n">
        <f aca="false">'VOL DWNLD'!H41+'VOL DELTA'!H41</f>
        <v>1</v>
      </c>
      <c r="I41" s="168" t="n">
        <f aca="false">'VOL DWNLD'!I41+'VOL DELTA'!I41</f>
        <v>1</v>
      </c>
      <c r="J41" s="168" t="n">
        <f aca="false">'VOL DWNLD'!J41+'VOL DELTA'!J41</f>
        <v>1</v>
      </c>
      <c r="K41" s="168" t="n">
        <f aca="false">'VOL DWNLD'!K41+'VOL DELTA'!K41</f>
        <v>1</v>
      </c>
      <c r="L41" s="168" t="n">
        <f aca="false">'VOL DWNLD'!L41+'VOL DELTA'!L41</f>
        <v>1</v>
      </c>
      <c r="M41" s="168" t="n">
        <f aca="false">'VOL DWNLD'!M41+'VOL DELTA'!M41</f>
        <v>1</v>
      </c>
      <c r="N41" s="168" t="n">
        <f aca="false">'VOL DWNLD'!N41+'VOL DELTA'!N41</f>
        <v>1</v>
      </c>
      <c r="O41" s="168" t="n">
        <f aca="false">'VOL DWNLD'!O41+'VOL DELTA'!O41</f>
        <v>1</v>
      </c>
      <c r="P41" s="168" t="n">
        <f aca="false">'VOL DWNLD'!P41+'VOL DELTA'!P41</f>
        <v>1.03</v>
      </c>
      <c r="Q41" s="168" t="n">
        <f aca="false">'VOL DWNLD'!Q41+'VOL DELTA'!Q41</f>
        <v>1</v>
      </c>
      <c r="R41" s="168" t="n">
        <f aca="false">'VOL DWNLD'!R41+'VOL DELTA'!R41</f>
        <v>1</v>
      </c>
      <c r="S41" s="168" t="n">
        <f aca="false">'VOL DWNLD'!S41+'VOL DELTA'!S41</f>
        <v>1.02</v>
      </c>
      <c r="T41" s="168" t="n">
        <f aca="false">'VOL DWNLD'!T41+'VOL DELTA'!T41</f>
        <v>1</v>
      </c>
      <c r="U41" s="168" t="n">
        <f aca="false">'VOL DWNLD'!U41+'VOL DELTA'!U41</f>
        <v>1</v>
      </c>
      <c r="V41" s="168" t="n">
        <f aca="false">'VOL DWNLD'!V41+'VOL DELTA'!V41</f>
        <v>1</v>
      </c>
      <c r="W41" s="168" t="n">
        <f aca="false">'VOL DWNLD'!W41+'VOL DELTA'!W41</f>
        <v>1</v>
      </c>
      <c r="X41" s="168" t="n">
        <f aca="false">'VOL DWNLD'!X41+'VOL DELTA'!X41</f>
        <v>1</v>
      </c>
      <c r="Y41" s="168" t="n">
        <f aca="false">'VOL DWNLD'!Y41+'VOL DELTA'!Y41</f>
        <v>1</v>
      </c>
      <c r="Z41" s="168" t="n">
        <f aca="false">'VOL DWNLD'!Z41+'VOL DELTA'!Z41</f>
        <v>1</v>
      </c>
      <c r="AA41" s="168" t="n">
        <f aca="false">'VOL DWNLD'!AA41+'VOL DELTA'!AA41</f>
        <v>1</v>
      </c>
      <c r="AB41" s="168" t="n">
        <f aca="false">'VOL DWNLD'!AB41+'VOL DELTA'!AB41</f>
        <v>1</v>
      </c>
      <c r="AC41" s="168" t="n">
        <f aca="false">'VOL DWNLD'!AC41+'VOL DELTA'!AC41</f>
        <v>1</v>
      </c>
      <c r="AD41" s="168" t="n">
        <f aca="false">'VOL DWNLD'!AD41+'VOL DELTA'!AD41</f>
        <v>1</v>
      </c>
      <c r="AE41" s="168" t="n">
        <f aca="false">'VOL DWNLD'!AE41+'VOL DELTA'!AE41</f>
        <v>1</v>
      </c>
      <c r="AF41" s="168" t="n">
        <f aca="false">'VOL DWNLD'!AF41+'VOL DELTA'!AF41</f>
        <v>1.1</v>
      </c>
      <c r="AG41" s="168" t="n">
        <f aca="false">'VOL DWNLD'!AG41+'VOL DELTA'!AG41</f>
        <v>1.1</v>
      </c>
      <c r="AH41" s="168" t="n">
        <f aca="false">'VOL DWNLD'!AH41+'VOL DELTA'!AH41</f>
        <v>1.05</v>
      </c>
      <c r="AI41" s="168" t="n">
        <f aca="false">'VOL DWNLD'!AI41+'VOL DELTA'!AI41</f>
        <v>1</v>
      </c>
      <c r="AJ41" s="168" t="n">
        <f aca="false">'VOL DWNLD'!AJ41+'VOL DELTA'!AJ41</f>
        <v>1</v>
      </c>
      <c r="AK41" s="168" t="n">
        <f aca="false">'VOL DWNLD'!AK41+'VOL DELTA'!AK41</f>
        <v>1.02</v>
      </c>
      <c r="AL41" s="168" t="n">
        <f aca="false">'VOL DWNLD'!AL41+'VOL DELTA'!AL41</f>
        <v>1</v>
      </c>
      <c r="AM41" s="168" t="n">
        <f aca="false">'VOL DWNLD'!AM41+'VOL DELTA'!AM41</f>
        <v>1</v>
      </c>
      <c r="AN41" s="168" t="n">
        <f aca="false">'VOL DWNLD'!AN41+'VOL DELTA'!AN41</f>
        <v>1</v>
      </c>
      <c r="AO41" s="168" t="n">
        <f aca="false">'VOL DWNLD'!AO41+'VOL DELTA'!AO41</f>
        <v>1</v>
      </c>
    </row>
    <row r="42" customFormat="false" ht="12.75" hidden="false" customHeight="false" outlineLevel="0" collapsed="false">
      <c r="A42" s="167" t="n">
        <v>37956</v>
      </c>
      <c r="B42" s="168" t="n">
        <f aca="false">'VOL DWNLD'!B42+'VOL DELTA'!B42</f>
        <v>1</v>
      </c>
      <c r="C42" s="168" t="n">
        <f aca="false">'VOL DWNLD'!C42+'VOL DELTA'!C42</f>
        <v>1</v>
      </c>
      <c r="D42" s="168" t="n">
        <f aca="false">'VOL DWNLD'!D42+'VOL DELTA'!D42</f>
        <v>1</v>
      </c>
      <c r="E42" s="168" t="n">
        <f aca="false">'VOL DWNLD'!E42+'VOL DELTA'!E42</f>
        <v>1</v>
      </c>
      <c r="F42" s="168" t="n">
        <f aca="false">'VOL DWNLD'!F42+'VOL DELTA'!F42</f>
        <v>1</v>
      </c>
      <c r="G42" s="168" t="n">
        <f aca="false">'VOL DWNLD'!G42+'VOL DELTA'!G42</f>
        <v>1</v>
      </c>
      <c r="H42" s="168" t="n">
        <f aca="false">'VOL DWNLD'!H42+'VOL DELTA'!H42</f>
        <v>1</v>
      </c>
      <c r="I42" s="168" t="n">
        <f aca="false">'VOL DWNLD'!I42+'VOL DELTA'!I42</f>
        <v>1</v>
      </c>
      <c r="J42" s="168" t="n">
        <f aca="false">'VOL DWNLD'!J42+'VOL DELTA'!J42</f>
        <v>1</v>
      </c>
      <c r="K42" s="168" t="n">
        <f aca="false">'VOL DWNLD'!K42+'VOL DELTA'!K42</f>
        <v>1</v>
      </c>
      <c r="L42" s="168" t="n">
        <f aca="false">'VOL DWNLD'!L42+'VOL DELTA'!L42</f>
        <v>1</v>
      </c>
      <c r="M42" s="168" t="n">
        <f aca="false">'VOL DWNLD'!M42+'VOL DELTA'!M42</f>
        <v>1</v>
      </c>
      <c r="N42" s="168" t="n">
        <f aca="false">'VOL DWNLD'!N42+'VOL DELTA'!N42</f>
        <v>1</v>
      </c>
      <c r="O42" s="168" t="n">
        <f aca="false">'VOL DWNLD'!O42+'VOL DELTA'!O42</f>
        <v>1</v>
      </c>
      <c r="P42" s="168" t="n">
        <f aca="false">'VOL DWNLD'!P42+'VOL DELTA'!P42</f>
        <v>1.03</v>
      </c>
      <c r="Q42" s="168" t="n">
        <f aca="false">'VOL DWNLD'!Q42+'VOL DELTA'!Q42</f>
        <v>1</v>
      </c>
      <c r="R42" s="168" t="n">
        <f aca="false">'VOL DWNLD'!R42+'VOL DELTA'!R42</f>
        <v>1</v>
      </c>
      <c r="S42" s="168" t="n">
        <f aca="false">'VOL DWNLD'!S42+'VOL DELTA'!S42</f>
        <v>1.02</v>
      </c>
      <c r="T42" s="168" t="n">
        <f aca="false">'VOL DWNLD'!T42+'VOL DELTA'!T42</f>
        <v>1</v>
      </c>
      <c r="U42" s="168" t="n">
        <f aca="false">'VOL DWNLD'!U42+'VOL DELTA'!U42</f>
        <v>1</v>
      </c>
      <c r="V42" s="168" t="n">
        <f aca="false">'VOL DWNLD'!V42+'VOL DELTA'!V42</f>
        <v>1</v>
      </c>
      <c r="W42" s="168" t="n">
        <f aca="false">'VOL DWNLD'!W42+'VOL DELTA'!W42</f>
        <v>1</v>
      </c>
      <c r="X42" s="168" t="n">
        <f aca="false">'VOL DWNLD'!X42+'VOL DELTA'!X42</f>
        <v>1</v>
      </c>
      <c r="Y42" s="168" t="n">
        <f aca="false">'VOL DWNLD'!Y42+'VOL DELTA'!Y42</f>
        <v>1</v>
      </c>
      <c r="Z42" s="168" t="n">
        <f aca="false">'VOL DWNLD'!Z42+'VOL DELTA'!Z42</f>
        <v>1</v>
      </c>
      <c r="AA42" s="168" t="n">
        <f aca="false">'VOL DWNLD'!AA42+'VOL DELTA'!AA42</f>
        <v>1</v>
      </c>
      <c r="AB42" s="168" t="n">
        <f aca="false">'VOL DWNLD'!AB42+'VOL DELTA'!AB42</f>
        <v>1</v>
      </c>
      <c r="AC42" s="168" t="n">
        <f aca="false">'VOL DWNLD'!AC42+'VOL DELTA'!AC42</f>
        <v>1</v>
      </c>
      <c r="AD42" s="168" t="n">
        <f aca="false">'VOL DWNLD'!AD42+'VOL DELTA'!AD42</f>
        <v>1</v>
      </c>
      <c r="AE42" s="168" t="n">
        <f aca="false">'VOL DWNLD'!AE42+'VOL DELTA'!AE42</f>
        <v>1</v>
      </c>
      <c r="AF42" s="168" t="n">
        <f aca="false">'VOL DWNLD'!AF42+'VOL DELTA'!AF42</f>
        <v>1.1</v>
      </c>
      <c r="AG42" s="168" t="n">
        <f aca="false">'VOL DWNLD'!AG42+'VOL DELTA'!AG42</f>
        <v>1.1</v>
      </c>
      <c r="AH42" s="168" t="n">
        <f aca="false">'VOL DWNLD'!AH42+'VOL DELTA'!AH42</f>
        <v>1.05</v>
      </c>
      <c r="AI42" s="168" t="n">
        <f aca="false">'VOL DWNLD'!AI42+'VOL DELTA'!AI42</f>
        <v>1</v>
      </c>
      <c r="AJ42" s="168" t="n">
        <f aca="false">'VOL DWNLD'!AJ42+'VOL DELTA'!AJ42</f>
        <v>1</v>
      </c>
      <c r="AK42" s="168" t="n">
        <f aca="false">'VOL DWNLD'!AK42+'VOL DELTA'!AK42</f>
        <v>1.02</v>
      </c>
      <c r="AL42" s="168" t="n">
        <f aca="false">'VOL DWNLD'!AL42+'VOL DELTA'!AL42</f>
        <v>1</v>
      </c>
      <c r="AM42" s="168" t="n">
        <f aca="false">'VOL DWNLD'!AM42+'VOL DELTA'!AM42</f>
        <v>1</v>
      </c>
      <c r="AN42" s="168" t="n">
        <f aca="false">'VOL DWNLD'!AN42+'VOL DELTA'!AN42</f>
        <v>1</v>
      </c>
      <c r="AO42" s="168" t="n">
        <f aca="false">'VOL DWNLD'!AO42+'VOL DELTA'!AO42</f>
        <v>1</v>
      </c>
    </row>
    <row r="43" customFormat="false" ht="12.75" hidden="false" customHeight="false" outlineLevel="0" collapsed="false">
      <c r="A43" s="167" t="n">
        <v>37987</v>
      </c>
      <c r="B43" s="168" t="n">
        <f aca="false">'VOL DWNLD'!B43+'VOL DELTA'!B43</f>
        <v>1</v>
      </c>
      <c r="C43" s="168" t="n">
        <f aca="false">'VOL DWNLD'!C43+'VOL DELTA'!C43</f>
        <v>1</v>
      </c>
      <c r="D43" s="168" t="n">
        <f aca="false">'VOL DWNLD'!D43+'VOL DELTA'!D43</f>
        <v>1</v>
      </c>
      <c r="E43" s="168" t="n">
        <f aca="false">'VOL DWNLD'!E43+'VOL DELTA'!E43</f>
        <v>1</v>
      </c>
      <c r="F43" s="168" t="n">
        <f aca="false">'VOL DWNLD'!F43+'VOL DELTA'!F43</f>
        <v>1</v>
      </c>
      <c r="G43" s="168" t="n">
        <f aca="false">'VOL DWNLD'!G43+'VOL DELTA'!G43</f>
        <v>1</v>
      </c>
      <c r="H43" s="168" t="n">
        <f aca="false">'VOL DWNLD'!H43+'VOL DELTA'!H43</f>
        <v>1</v>
      </c>
      <c r="I43" s="168" t="n">
        <f aca="false">'VOL DWNLD'!I43+'VOL DELTA'!I43</f>
        <v>1</v>
      </c>
      <c r="J43" s="168" t="n">
        <f aca="false">'VOL DWNLD'!J43+'VOL DELTA'!J43</f>
        <v>1</v>
      </c>
      <c r="K43" s="168" t="n">
        <f aca="false">'VOL DWNLD'!K43+'VOL DELTA'!K43</f>
        <v>1</v>
      </c>
      <c r="L43" s="168" t="n">
        <f aca="false">'VOL DWNLD'!L43+'VOL DELTA'!L43</f>
        <v>1</v>
      </c>
      <c r="M43" s="168" t="n">
        <f aca="false">'VOL DWNLD'!M43+'VOL DELTA'!M43</f>
        <v>1</v>
      </c>
      <c r="N43" s="168" t="n">
        <f aca="false">'VOL DWNLD'!N43+'VOL DELTA'!N43</f>
        <v>1</v>
      </c>
      <c r="O43" s="168" t="n">
        <f aca="false">'VOL DWNLD'!O43+'VOL DELTA'!O43</f>
        <v>1</v>
      </c>
      <c r="P43" s="168" t="n">
        <f aca="false">'VOL DWNLD'!P43+'VOL DELTA'!P43</f>
        <v>1.03</v>
      </c>
      <c r="Q43" s="168" t="n">
        <f aca="false">'VOL DWNLD'!Q43+'VOL DELTA'!Q43</f>
        <v>1</v>
      </c>
      <c r="R43" s="168" t="n">
        <f aca="false">'VOL DWNLD'!R43+'VOL DELTA'!R43</f>
        <v>1</v>
      </c>
      <c r="S43" s="168" t="n">
        <f aca="false">'VOL DWNLD'!S43+'VOL DELTA'!S43</f>
        <v>1.02</v>
      </c>
      <c r="T43" s="168" t="n">
        <f aca="false">'VOL DWNLD'!T43+'VOL DELTA'!T43</f>
        <v>1</v>
      </c>
      <c r="U43" s="168" t="n">
        <f aca="false">'VOL DWNLD'!U43+'VOL DELTA'!U43</f>
        <v>1</v>
      </c>
      <c r="V43" s="168" t="n">
        <f aca="false">'VOL DWNLD'!V43+'VOL DELTA'!V43</f>
        <v>1</v>
      </c>
      <c r="W43" s="168" t="n">
        <f aca="false">'VOL DWNLD'!W43+'VOL DELTA'!W43</f>
        <v>1</v>
      </c>
      <c r="X43" s="168" t="n">
        <f aca="false">'VOL DWNLD'!X43+'VOL DELTA'!X43</f>
        <v>1</v>
      </c>
      <c r="Y43" s="168" t="n">
        <f aca="false">'VOL DWNLD'!Y43+'VOL DELTA'!Y43</f>
        <v>1</v>
      </c>
      <c r="Z43" s="168" t="n">
        <f aca="false">'VOL DWNLD'!Z43+'VOL DELTA'!Z43</f>
        <v>1</v>
      </c>
      <c r="AA43" s="168" t="n">
        <f aca="false">'VOL DWNLD'!AA43+'VOL DELTA'!AA43</f>
        <v>1</v>
      </c>
      <c r="AB43" s="168" t="n">
        <f aca="false">'VOL DWNLD'!AB43+'VOL DELTA'!AB43</f>
        <v>1</v>
      </c>
      <c r="AC43" s="168" t="n">
        <f aca="false">'VOL DWNLD'!AC43+'VOL DELTA'!AC43</f>
        <v>1</v>
      </c>
      <c r="AD43" s="168" t="n">
        <f aca="false">'VOL DWNLD'!AD43+'VOL DELTA'!AD43</f>
        <v>1</v>
      </c>
      <c r="AE43" s="168" t="n">
        <f aca="false">'VOL DWNLD'!AE43+'VOL DELTA'!AE43</f>
        <v>1</v>
      </c>
      <c r="AF43" s="168" t="n">
        <f aca="false">'VOL DWNLD'!AF43+'VOL DELTA'!AF43</f>
        <v>1.1</v>
      </c>
      <c r="AG43" s="168" t="n">
        <f aca="false">'VOL DWNLD'!AG43+'VOL DELTA'!AG43</f>
        <v>1.1</v>
      </c>
      <c r="AH43" s="168" t="n">
        <f aca="false">'VOL DWNLD'!AH43+'VOL DELTA'!AH43</f>
        <v>1.05</v>
      </c>
      <c r="AI43" s="168" t="n">
        <f aca="false">'VOL DWNLD'!AI43+'VOL DELTA'!AI43</f>
        <v>1</v>
      </c>
      <c r="AJ43" s="168" t="n">
        <f aca="false">'VOL DWNLD'!AJ43+'VOL DELTA'!AJ43</f>
        <v>1</v>
      </c>
      <c r="AK43" s="168" t="n">
        <f aca="false">'VOL DWNLD'!AK43+'VOL DELTA'!AK43</f>
        <v>1.02</v>
      </c>
      <c r="AL43" s="168" t="n">
        <f aca="false">'VOL DWNLD'!AL43+'VOL DELTA'!AL43</f>
        <v>1</v>
      </c>
      <c r="AM43" s="168" t="n">
        <f aca="false">'VOL DWNLD'!AM43+'VOL DELTA'!AM43</f>
        <v>1</v>
      </c>
      <c r="AN43" s="168" t="n">
        <f aca="false">'VOL DWNLD'!AN43+'VOL DELTA'!AN43</f>
        <v>1</v>
      </c>
      <c r="AO43" s="168" t="n">
        <f aca="false">'VOL DWNLD'!AO43+'VOL DELTA'!AO43</f>
        <v>1</v>
      </c>
    </row>
    <row r="44" customFormat="false" ht="12.75" hidden="false" customHeight="false" outlineLevel="0" collapsed="false">
      <c r="A44" s="167" t="n">
        <v>38018</v>
      </c>
      <c r="B44" s="168" t="n">
        <f aca="false">'VOL DWNLD'!B44+'VOL DELTA'!B44</f>
        <v>1</v>
      </c>
      <c r="C44" s="168" t="n">
        <f aca="false">'VOL DWNLD'!C44+'VOL DELTA'!C44</f>
        <v>1</v>
      </c>
      <c r="D44" s="168" t="n">
        <f aca="false">'VOL DWNLD'!D44+'VOL DELTA'!D44</f>
        <v>1</v>
      </c>
      <c r="E44" s="168" t="n">
        <f aca="false">'VOL DWNLD'!E44+'VOL DELTA'!E44</f>
        <v>1</v>
      </c>
      <c r="F44" s="168" t="n">
        <f aca="false">'VOL DWNLD'!F44+'VOL DELTA'!F44</f>
        <v>1</v>
      </c>
      <c r="G44" s="168" t="n">
        <f aca="false">'VOL DWNLD'!G44+'VOL DELTA'!G44</f>
        <v>1</v>
      </c>
      <c r="H44" s="168" t="n">
        <f aca="false">'VOL DWNLD'!H44+'VOL DELTA'!H44</f>
        <v>1</v>
      </c>
      <c r="I44" s="168" t="n">
        <f aca="false">'VOL DWNLD'!I44+'VOL DELTA'!I44</f>
        <v>1</v>
      </c>
      <c r="J44" s="168" t="n">
        <f aca="false">'VOL DWNLD'!J44+'VOL DELTA'!J44</f>
        <v>1</v>
      </c>
      <c r="K44" s="168" t="n">
        <f aca="false">'VOL DWNLD'!K44+'VOL DELTA'!K44</f>
        <v>1</v>
      </c>
      <c r="L44" s="168" t="n">
        <f aca="false">'VOL DWNLD'!L44+'VOL DELTA'!L44</f>
        <v>1</v>
      </c>
      <c r="M44" s="168" t="n">
        <f aca="false">'VOL DWNLD'!M44+'VOL DELTA'!M44</f>
        <v>1</v>
      </c>
      <c r="N44" s="168" t="n">
        <f aca="false">'VOL DWNLD'!N44+'VOL DELTA'!N44</f>
        <v>1</v>
      </c>
      <c r="O44" s="168" t="n">
        <f aca="false">'VOL DWNLD'!O44+'VOL DELTA'!O44</f>
        <v>1</v>
      </c>
      <c r="P44" s="168" t="n">
        <f aca="false">'VOL DWNLD'!P44+'VOL DELTA'!P44</f>
        <v>1.03</v>
      </c>
      <c r="Q44" s="168" t="n">
        <f aca="false">'VOL DWNLD'!Q44+'VOL DELTA'!Q44</f>
        <v>1</v>
      </c>
      <c r="R44" s="168" t="n">
        <f aca="false">'VOL DWNLD'!R44+'VOL DELTA'!R44</f>
        <v>1</v>
      </c>
      <c r="S44" s="168" t="n">
        <f aca="false">'VOL DWNLD'!S44+'VOL DELTA'!S44</f>
        <v>1.02</v>
      </c>
      <c r="T44" s="168" t="n">
        <f aca="false">'VOL DWNLD'!T44+'VOL DELTA'!T44</f>
        <v>1</v>
      </c>
      <c r="U44" s="168" t="n">
        <f aca="false">'VOL DWNLD'!U44+'VOL DELTA'!U44</f>
        <v>1</v>
      </c>
      <c r="V44" s="168" t="n">
        <f aca="false">'VOL DWNLD'!V44+'VOL DELTA'!V44</f>
        <v>1</v>
      </c>
      <c r="W44" s="168" t="n">
        <f aca="false">'VOL DWNLD'!W44+'VOL DELTA'!W44</f>
        <v>1</v>
      </c>
      <c r="X44" s="168" t="n">
        <f aca="false">'VOL DWNLD'!X44+'VOL DELTA'!X44</f>
        <v>1</v>
      </c>
      <c r="Y44" s="168" t="n">
        <f aca="false">'VOL DWNLD'!Y44+'VOL DELTA'!Y44</f>
        <v>1</v>
      </c>
      <c r="Z44" s="168" t="n">
        <f aca="false">'VOL DWNLD'!Z44+'VOL DELTA'!Z44</f>
        <v>1</v>
      </c>
      <c r="AA44" s="168" t="n">
        <f aca="false">'VOL DWNLD'!AA44+'VOL DELTA'!AA44</f>
        <v>1</v>
      </c>
      <c r="AB44" s="168" t="n">
        <f aca="false">'VOL DWNLD'!AB44+'VOL DELTA'!AB44</f>
        <v>1</v>
      </c>
      <c r="AC44" s="168" t="n">
        <f aca="false">'VOL DWNLD'!AC44+'VOL DELTA'!AC44</f>
        <v>1</v>
      </c>
      <c r="AD44" s="168" t="n">
        <f aca="false">'VOL DWNLD'!AD44+'VOL DELTA'!AD44</f>
        <v>1</v>
      </c>
      <c r="AE44" s="168" t="n">
        <f aca="false">'VOL DWNLD'!AE44+'VOL DELTA'!AE44</f>
        <v>1</v>
      </c>
      <c r="AF44" s="168" t="n">
        <f aca="false">'VOL DWNLD'!AF44+'VOL DELTA'!AF44</f>
        <v>1.1</v>
      </c>
      <c r="AG44" s="168" t="n">
        <f aca="false">'VOL DWNLD'!AG44+'VOL DELTA'!AG44</f>
        <v>1.1</v>
      </c>
      <c r="AH44" s="168" t="n">
        <f aca="false">'VOL DWNLD'!AH44+'VOL DELTA'!AH44</f>
        <v>1.05</v>
      </c>
      <c r="AI44" s="168" t="n">
        <f aca="false">'VOL DWNLD'!AI44+'VOL DELTA'!AI44</f>
        <v>1</v>
      </c>
      <c r="AJ44" s="168" t="n">
        <f aca="false">'VOL DWNLD'!AJ44+'VOL DELTA'!AJ44</f>
        <v>1</v>
      </c>
      <c r="AK44" s="168" t="n">
        <f aca="false">'VOL DWNLD'!AK44+'VOL DELTA'!AK44</f>
        <v>1.02</v>
      </c>
      <c r="AL44" s="168" t="n">
        <f aca="false">'VOL DWNLD'!AL44+'VOL DELTA'!AL44</f>
        <v>1</v>
      </c>
      <c r="AM44" s="168" t="n">
        <f aca="false">'VOL DWNLD'!AM44+'VOL DELTA'!AM44</f>
        <v>1</v>
      </c>
      <c r="AN44" s="168" t="n">
        <f aca="false">'VOL DWNLD'!AN44+'VOL DELTA'!AN44</f>
        <v>1</v>
      </c>
      <c r="AO44" s="168" t="n">
        <f aca="false">'VOL DWNLD'!AO44+'VOL DELTA'!AO44</f>
        <v>1</v>
      </c>
    </row>
    <row r="45" customFormat="false" ht="12.75" hidden="false" customHeight="false" outlineLevel="0" collapsed="false">
      <c r="A45" s="167" t="n">
        <v>38047</v>
      </c>
      <c r="B45" s="168" t="n">
        <f aca="false">'VOL DWNLD'!B45+'VOL DELTA'!B45</f>
        <v>1</v>
      </c>
      <c r="C45" s="168" t="n">
        <f aca="false">'VOL DWNLD'!C45+'VOL DELTA'!C45</f>
        <v>1</v>
      </c>
      <c r="D45" s="168" t="n">
        <f aca="false">'VOL DWNLD'!D45+'VOL DELTA'!D45</f>
        <v>1</v>
      </c>
      <c r="E45" s="168" t="n">
        <f aca="false">'VOL DWNLD'!E45+'VOL DELTA'!E45</f>
        <v>1</v>
      </c>
      <c r="F45" s="168" t="n">
        <f aca="false">'VOL DWNLD'!F45+'VOL DELTA'!F45</f>
        <v>1</v>
      </c>
      <c r="G45" s="168" t="n">
        <f aca="false">'VOL DWNLD'!G45+'VOL DELTA'!G45</f>
        <v>1</v>
      </c>
      <c r="H45" s="168" t="n">
        <f aca="false">'VOL DWNLD'!H45+'VOL DELTA'!H45</f>
        <v>1</v>
      </c>
      <c r="I45" s="168" t="n">
        <f aca="false">'VOL DWNLD'!I45+'VOL DELTA'!I45</f>
        <v>1</v>
      </c>
      <c r="J45" s="168" t="n">
        <f aca="false">'VOL DWNLD'!J45+'VOL DELTA'!J45</f>
        <v>1</v>
      </c>
      <c r="K45" s="168" t="n">
        <f aca="false">'VOL DWNLD'!K45+'VOL DELTA'!K45</f>
        <v>1</v>
      </c>
      <c r="L45" s="168" t="n">
        <f aca="false">'VOL DWNLD'!L45+'VOL DELTA'!L45</f>
        <v>1</v>
      </c>
      <c r="M45" s="168" t="n">
        <f aca="false">'VOL DWNLD'!M45+'VOL DELTA'!M45</f>
        <v>1</v>
      </c>
      <c r="N45" s="168" t="n">
        <f aca="false">'VOL DWNLD'!N45+'VOL DELTA'!N45</f>
        <v>1</v>
      </c>
      <c r="O45" s="168" t="n">
        <f aca="false">'VOL DWNLD'!O45+'VOL DELTA'!O45</f>
        <v>1</v>
      </c>
      <c r="P45" s="168" t="n">
        <f aca="false">'VOL DWNLD'!P45+'VOL DELTA'!P45</f>
        <v>1.03</v>
      </c>
      <c r="Q45" s="168" t="n">
        <f aca="false">'VOL DWNLD'!Q45+'VOL DELTA'!Q45</f>
        <v>1</v>
      </c>
      <c r="R45" s="168" t="n">
        <f aca="false">'VOL DWNLD'!R45+'VOL DELTA'!R45</f>
        <v>1</v>
      </c>
      <c r="S45" s="168" t="n">
        <f aca="false">'VOL DWNLD'!S45+'VOL DELTA'!S45</f>
        <v>1.02</v>
      </c>
      <c r="T45" s="168" t="n">
        <f aca="false">'VOL DWNLD'!T45+'VOL DELTA'!T45</f>
        <v>1</v>
      </c>
      <c r="U45" s="168" t="n">
        <f aca="false">'VOL DWNLD'!U45+'VOL DELTA'!U45</f>
        <v>1</v>
      </c>
      <c r="V45" s="168" t="n">
        <f aca="false">'VOL DWNLD'!V45+'VOL DELTA'!V45</f>
        <v>1</v>
      </c>
      <c r="W45" s="168" t="n">
        <f aca="false">'VOL DWNLD'!W45+'VOL DELTA'!W45</f>
        <v>1</v>
      </c>
      <c r="X45" s="168" t="n">
        <f aca="false">'VOL DWNLD'!X45+'VOL DELTA'!X45</f>
        <v>1</v>
      </c>
      <c r="Y45" s="168" t="n">
        <f aca="false">'VOL DWNLD'!Y45+'VOL DELTA'!Y45</f>
        <v>1</v>
      </c>
      <c r="Z45" s="168" t="n">
        <f aca="false">'VOL DWNLD'!Z45+'VOL DELTA'!Z45</f>
        <v>1</v>
      </c>
      <c r="AA45" s="168" t="n">
        <f aca="false">'VOL DWNLD'!AA45+'VOL DELTA'!AA45</f>
        <v>1</v>
      </c>
      <c r="AB45" s="168" t="n">
        <f aca="false">'VOL DWNLD'!AB45+'VOL DELTA'!AB45</f>
        <v>1</v>
      </c>
      <c r="AC45" s="168" t="n">
        <f aca="false">'VOL DWNLD'!AC45+'VOL DELTA'!AC45</f>
        <v>1</v>
      </c>
      <c r="AD45" s="168" t="n">
        <f aca="false">'VOL DWNLD'!AD45+'VOL DELTA'!AD45</f>
        <v>1</v>
      </c>
      <c r="AE45" s="168" t="n">
        <f aca="false">'VOL DWNLD'!AE45+'VOL DELTA'!AE45</f>
        <v>1</v>
      </c>
      <c r="AF45" s="168" t="n">
        <f aca="false">'VOL DWNLD'!AF45+'VOL DELTA'!AF45</f>
        <v>1.1</v>
      </c>
      <c r="AG45" s="168" t="n">
        <f aca="false">'VOL DWNLD'!AG45+'VOL DELTA'!AG45</f>
        <v>1.1</v>
      </c>
      <c r="AH45" s="168" t="n">
        <f aca="false">'VOL DWNLD'!AH45+'VOL DELTA'!AH45</f>
        <v>1.05</v>
      </c>
      <c r="AI45" s="168" t="n">
        <f aca="false">'VOL DWNLD'!AI45+'VOL DELTA'!AI45</f>
        <v>1</v>
      </c>
      <c r="AJ45" s="168" t="n">
        <f aca="false">'VOL DWNLD'!AJ45+'VOL DELTA'!AJ45</f>
        <v>1</v>
      </c>
      <c r="AK45" s="168" t="n">
        <f aca="false">'VOL DWNLD'!AK45+'VOL DELTA'!AK45</f>
        <v>1.02</v>
      </c>
      <c r="AL45" s="168" t="n">
        <f aca="false">'VOL DWNLD'!AL45+'VOL DELTA'!AL45</f>
        <v>1</v>
      </c>
      <c r="AM45" s="168" t="n">
        <f aca="false">'VOL DWNLD'!AM45+'VOL DELTA'!AM45</f>
        <v>1</v>
      </c>
      <c r="AN45" s="168" t="n">
        <f aca="false">'VOL DWNLD'!AN45+'VOL DELTA'!AN45</f>
        <v>1</v>
      </c>
      <c r="AO45" s="168" t="n">
        <f aca="false">'VOL DWNLD'!AO45+'VOL DELTA'!AO45</f>
        <v>1</v>
      </c>
    </row>
    <row r="46" customFormat="false" ht="12.75" hidden="false" customHeight="false" outlineLevel="0" collapsed="false">
      <c r="A46" s="167" t="n">
        <v>38078</v>
      </c>
      <c r="B46" s="168" t="n">
        <f aca="false">'VOL DWNLD'!B46+'VOL DELTA'!B46</f>
        <v>1</v>
      </c>
      <c r="C46" s="168" t="n">
        <f aca="false">'VOL DWNLD'!C46+'VOL DELTA'!C46</f>
        <v>1</v>
      </c>
      <c r="D46" s="168" t="n">
        <f aca="false">'VOL DWNLD'!D46+'VOL DELTA'!D46</f>
        <v>1</v>
      </c>
      <c r="E46" s="168" t="n">
        <f aca="false">'VOL DWNLD'!E46+'VOL DELTA'!E46</f>
        <v>1</v>
      </c>
      <c r="F46" s="168" t="n">
        <f aca="false">'VOL DWNLD'!F46+'VOL DELTA'!F46</f>
        <v>1</v>
      </c>
      <c r="G46" s="168" t="n">
        <f aca="false">'VOL DWNLD'!G46+'VOL DELTA'!G46</f>
        <v>1</v>
      </c>
      <c r="H46" s="168" t="n">
        <f aca="false">'VOL DWNLD'!H46+'VOL DELTA'!H46</f>
        <v>1</v>
      </c>
      <c r="I46" s="168" t="n">
        <f aca="false">'VOL DWNLD'!I46+'VOL DELTA'!I46</f>
        <v>1</v>
      </c>
      <c r="J46" s="168" t="n">
        <f aca="false">'VOL DWNLD'!J46+'VOL DELTA'!J46</f>
        <v>1</v>
      </c>
      <c r="K46" s="168" t="n">
        <f aca="false">'VOL DWNLD'!K46+'VOL DELTA'!K46</f>
        <v>1</v>
      </c>
      <c r="L46" s="168" t="n">
        <f aca="false">'VOL DWNLD'!L46+'VOL DELTA'!L46</f>
        <v>1</v>
      </c>
      <c r="M46" s="168" t="n">
        <f aca="false">'VOL DWNLD'!M46+'VOL DELTA'!M46</f>
        <v>1</v>
      </c>
      <c r="N46" s="168" t="n">
        <f aca="false">'VOL DWNLD'!N46+'VOL DELTA'!N46</f>
        <v>1</v>
      </c>
      <c r="O46" s="168" t="n">
        <f aca="false">'VOL DWNLD'!O46+'VOL DELTA'!O46</f>
        <v>1</v>
      </c>
      <c r="P46" s="168" t="n">
        <f aca="false">'VOL DWNLD'!P46+'VOL DELTA'!P46</f>
        <v>1.03</v>
      </c>
      <c r="Q46" s="168" t="n">
        <f aca="false">'VOL DWNLD'!Q46+'VOL DELTA'!Q46</f>
        <v>1</v>
      </c>
      <c r="R46" s="168" t="n">
        <f aca="false">'VOL DWNLD'!R46+'VOL DELTA'!R46</f>
        <v>1</v>
      </c>
      <c r="S46" s="168" t="n">
        <f aca="false">'VOL DWNLD'!S46+'VOL DELTA'!S46</f>
        <v>1.02</v>
      </c>
      <c r="T46" s="168" t="n">
        <f aca="false">'VOL DWNLD'!T46+'VOL DELTA'!T46</f>
        <v>1</v>
      </c>
      <c r="U46" s="168" t="n">
        <f aca="false">'VOL DWNLD'!U46+'VOL DELTA'!U46</f>
        <v>1</v>
      </c>
      <c r="V46" s="168" t="n">
        <f aca="false">'VOL DWNLD'!V46+'VOL DELTA'!V46</f>
        <v>1</v>
      </c>
      <c r="W46" s="168" t="n">
        <f aca="false">'VOL DWNLD'!W46+'VOL DELTA'!W46</f>
        <v>1</v>
      </c>
      <c r="X46" s="168" t="n">
        <f aca="false">'VOL DWNLD'!X46+'VOL DELTA'!X46</f>
        <v>1</v>
      </c>
      <c r="Y46" s="168" t="n">
        <f aca="false">'VOL DWNLD'!Y46+'VOL DELTA'!Y46</f>
        <v>1.02</v>
      </c>
      <c r="Z46" s="168" t="n">
        <f aca="false">'VOL DWNLD'!Z46+'VOL DELTA'!Z46</f>
        <v>1</v>
      </c>
      <c r="AA46" s="168" t="n">
        <f aca="false">'VOL DWNLD'!AA46+'VOL DELTA'!AA46</f>
        <v>1</v>
      </c>
      <c r="AB46" s="168" t="n">
        <f aca="false">'VOL DWNLD'!AB46+'VOL DELTA'!AB46</f>
        <v>1</v>
      </c>
      <c r="AC46" s="168" t="n">
        <f aca="false">'VOL DWNLD'!AC46+'VOL DELTA'!AC46</f>
        <v>1</v>
      </c>
      <c r="AD46" s="168" t="n">
        <f aca="false">'VOL DWNLD'!AD46+'VOL DELTA'!AD46</f>
        <v>0.98</v>
      </c>
      <c r="AE46" s="168" t="n">
        <f aca="false">'VOL DWNLD'!AE46+'VOL DELTA'!AE46</f>
        <v>0.98</v>
      </c>
      <c r="AF46" s="168" t="n">
        <f aca="false">'VOL DWNLD'!AF46+'VOL DELTA'!AF46</f>
        <v>0.98</v>
      </c>
      <c r="AG46" s="168" t="n">
        <f aca="false">'VOL DWNLD'!AG46+'VOL DELTA'!AG46</f>
        <v>0.98</v>
      </c>
      <c r="AH46" s="168" t="n">
        <f aca="false">'VOL DWNLD'!AH46+'VOL DELTA'!AH46</f>
        <v>1.05</v>
      </c>
      <c r="AI46" s="168" t="n">
        <f aca="false">'VOL DWNLD'!AI46+'VOL DELTA'!AI46</f>
        <v>1</v>
      </c>
      <c r="AJ46" s="168" t="n">
        <f aca="false">'VOL DWNLD'!AJ46+'VOL DELTA'!AJ46</f>
        <v>1</v>
      </c>
      <c r="AK46" s="168" t="n">
        <f aca="false">'VOL DWNLD'!AK46+'VOL DELTA'!AK46</f>
        <v>1.02</v>
      </c>
      <c r="AL46" s="168" t="n">
        <f aca="false">'VOL DWNLD'!AL46+'VOL DELTA'!AL46</f>
        <v>1</v>
      </c>
      <c r="AM46" s="168" t="n">
        <f aca="false">'VOL DWNLD'!AM46+'VOL DELTA'!AM46</f>
        <v>1</v>
      </c>
      <c r="AN46" s="168" t="n">
        <f aca="false">'VOL DWNLD'!AN46+'VOL DELTA'!AN46</f>
        <v>1</v>
      </c>
      <c r="AO46" s="168" t="n">
        <f aca="false">'VOL DWNLD'!AO46+'VOL DELTA'!AO46</f>
        <v>1</v>
      </c>
    </row>
    <row r="47" customFormat="false" ht="12.75" hidden="false" customHeight="false" outlineLevel="0" collapsed="false">
      <c r="A47" s="167" t="n">
        <v>38108</v>
      </c>
      <c r="B47" s="168" t="n">
        <f aca="false">'VOL DWNLD'!B47+'VOL DELTA'!B47</f>
        <v>1</v>
      </c>
      <c r="C47" s="168" t="n">
        <f aca="false">'VOL DWNLD'!C47+'VOL DELTA'!C47</f>
        <v>1</v>
      </c>
      <c r="D47" s="168" t="n">
        <f aca="false">'VOL DWNLD'!D47+'VOL DELTA'!D47</f>
        <v>1</v>
      </c>
      <c r="E47" s="168" t="n">
        <f aca="false">'VOL DWNLD'!E47+'VOL DELTA'!E47</f>
        <v>1</v>
      </c>
      <c r="F47" s="168" t="n">
        <f aca="false">'VOL DWNLD'!F47+'VOL DELTA'!F47</f>
        <v>1</v>
      </c>
      <c r="G47" s="168" t="n">
        <f aca="false">'VOL DWNLD'!G47+'VOL DELTA'!G47</f>
        <v>1</v>
      </c>
      <c r="H47" s="168" t="n">
        <f aca="false">'VOL DWNLD'!H47+'VOL DELTA'!H47</f>
        <v>1</v>
      </c>
      <c r="I47" s="168" t="n">
        <f aca="false">'VOL DWNLD'!I47+'VOL DELTA'!I47</f>
        <v>1</v>
      </c>
      <c r="J47" s="168" t="n">
        <f aca="false">'VOL DWNLD'!J47+'VOL DELTA'!J47</f>
        <v>1</v>
      </c>
      <c r="K47" s="168" t="n">
        <f aca="false">'VOL DWNLD'!K47+'VOL DELTA'!K47</f>
        <v>1</v>
      </c>
      <c r="L47" s="168" t="n">
        <f aca="false">'VOL DWNLD'!L47+'VOL DELTA'!L47</f>
        <v>1</v>
      </c>
      <c r="M47" s="168" t="n">
        <f aca="false">'VOL DWNLD'!M47+'VOL DELTA'!M47</f>
        <v>1</v>
      </c>
      <c r="N47" s="168" t="n">
        <f aca="false">'VOL DWNLD'!N47+'VOL DELTA'!N47</f>
        <v>1</v>
      </c>
      <c r="O47" s="168" t="n">
        <f aca="false">'VOL DWNLD'!O47+'VOL DELTA'!O47</f>
        <v>1</v>
      </c>
      <c r="P47" s="168" t="n">
        <f aca="false">'VOL DWNLD'!P47+'VOL DELTA'!P47</f>
        <v>1.03</v>
      </c>
      <c r="Q47" s="168" t="n">
        <f aca="false">'VOL DWNLD'!Q47+'VOL DELTA'!Q47</f>
        <v>1</v>
      </c>
      <c r="R47" s="168" t="n">
        <f aca="false">'VOL DWNLD'!R47+'VOL DELTA'!R47</f>
        <v>1</v>
      </c>
      <c r="S47" s="168" t="n">
        <f aca="false">'VOL DWNLD'!S47+'VOL DELTA'!S47</f>
        <v>1.02</v>
      </c>
      <c r="T47" s="168" t="n">
        <f aca="false">'VOL DWNLD'!T47+'VOL DELTA'!T47</f>
        <v>1</v>
      </c>
      <c r="U47" s="168" t="n">
        <f aca="false">'VOL DWNLD'!U47+'VOL DELTA'!U47</f>
        <v>1</v>
      </c>
      <c r="V47" s="168" t="n">
        <f aca="false">'VOL DWNLD'!V47+'VOL DELTA'!V47</f>
        <v>1</v>
      </c>
      <c r="W47" s="168" t="n">
        <f aca="false">'VOL DWNLD'!W47+'VOL DELTA'!W47</f>
        <v>1</v>
      </c>
      <c r="X47" s="168" t="n">
        <f aca="false">'VOL DWNLD'!X47+'VOL DELTA'!X47</f>
        <v>1</v>
      </c>
      <c r="Y47" s="168" t="n">
        <f aca="false">'VOL DWNLD'!Y47+'VOL DELTA'!Y47</f>
        <v>1.02</v>
      </c>
      <c r="Z47" s="168" t="n">
        <f aca="false">'VOL DWNLD'!Z47+'VOL DELTA'!Z47</f>
        <v>1</v>
      </c>
      <c r="AA47" s="168" t="n">
        <f aca="false">'VOL DWNLD'!AA47+'VOL DELTA'!AA47</f>
        <v>1</v>
      </c>
      <c r="AB47" s="168" t="n">
        <f aca="false">'VOL DWNLD'!AB47+'VOL DELTA'!AB47</f>
        <v>1</v>
      </c>
      <c r="AC47" s="168" t="n">
        <f aca="false">'VOL DWNLD'!AC47+'VOL DELTA'!AC47</f>
        <v>1</v>
      </c>
      <c r="AD47" s="168" t="n">
        <f aca="false">'VOL DWNLD'!AD47+'VOL DELTA'!AD47</f>
        <v>0.98</v>
      </c>
      <c r="AE47" s="168" t="n">
        <f aca="false">'VOL DWNLD'!AE47+'VOL DELTA'!AE47</f>
        <v>0.98</v>
      </c>
      <c r="AF47" s="168" t="n">
        <f aca="false">'VOL DWNLD'!AF47+'VOL DELTA'!AF47</f>
        <v>0.98</v>
      </c>
      <c r="AG47" s="168" t="n">
        <f aca="false">'VOL DWNLD'!AG47+'VOL DELTA'!AG47</f>
        <v>0.98</v>
      </c>
      <c r="AH47" s="168" t="n">
        <f aca="false">'VOL DWNLD'!AH47+'VOL DELTA'!AH47</f>
        <v>1.05</v>
      </c>
      <c r="AI47" s="168" t="n">
        <f aca="false">'VOL DWNLD'!AI47+'VOL DELTA'!AI47</f>
        <v>1</v>
      </c>
      <c r="AJ47" s="168" t="n">
        <f aca="false">'VOL DWNLD'!AJ47+'VOL DELTA'!AJ47</f>
        <v>1</v>
      </c>
      <c r="AK47" s="168" t="n">
        <f aca="false">'VOL DWNLD'!AK47+'VOL DELTA'!AK47</f>
        <v>1.02</v>
      </c>
      <c r="AL47" s="168" t="n">
        <f aca="false">'VOL DWNLD'!AL47+'VOL DELTA'!AL47</f>
        <v>1</v>
      </c>
      <c r="AM47" s="168" t="n">
        <f aca="false">'VOL DWNLD'!AM47+'VOL DELTA'!AM47</f>
        <v>1</v>
      </c>
      <c r="AN47" s="168" t="n">
        <f aca="false">'VOL DWNLD'!AN47+'VOL DELTA'!AN47</f>
        <v>1</v>
      </c>
      <c r="AO47" s="168" t="n">
        <f aca="false">'VOL DWNLD'!AO47+'VOL DELTA'!AO47</f>
        <v>1</v>
      </c>
    </row>
    <row r="48" customFormat="false" ht="12.75" hidden="false" customHeight="false" outlineLevel="0" collapsed="false">
      <c r="A48" s="167" t="n">
        <v>38139</v>
      </c>
      <c r="B48" s="168" t="n">
        <f aca="false">'VOL DWNLD'!B48+'VOL DELTA'!B48</f>
        <v>1</v>
      </c>
      <c r="C48" s="168" t="n">
        <f aca="false">'VOL DWNLD'!C48+'VOL DELTA'!C48</f>
        <v>1</v>
      </c>
      <c r="D48" s="168" t="n">
        <f aca="false">'VOL DWNLD'!D48+'VOL DELTA'!D48</f>
        <v>1</v>
      </c>
      <c r="E48" s="168" t="n">
        <f aca="false">'VOL DWNLD'!E48+'VOL DELTA'!E48</f>
        <v>1</v>
      </c>
      <c r="F48" s="168" t="n">
        <f aca="false">'VOL DWNLD'!F48+'VOL DELTA'!F48</f>
        <v>1</v>
      </c>
      <c r="G48" s="168" t="n">
        <f aca="false">'VOL DWNLD'!G48+'VOL DELTA'!G48</f>
        <v>1</v>
      </c>
      <c r="H48" s="168" t="n">
        <f aca="false">'VOL DWNLD'!H48+'VOL DELTA'!H48</f>
        <v>1</v>
      </c>
      <c r="I48" s="168" t="n">
        <f aca="false">'VOL DWNLD'!I48+'VOL DELTA'!I48</f>
        <v>1</v>
      </c>
      <c r="J48" s="168" t="n">
        <f aca="false">'VOL DWNLD'!J48+'VOL DELTA'!J48</f>
        <v>1</v>
      </c>
      <c r="K48" s="168" t="n">
        <f aca="false">'VOL DWNLD'!K48+'VOL DELTA'!K48</f>
        <v>1</v>
      </c>
      <c r="L48" s="168" t="n">
        <f aca="false">'VOL DWNLD'!L48+'VOL DELTA'!L48</f>
        <v>1</v>
      </c>
      <c r="M48" s="168" t="n">
        <f aca="false">'VOL DWNLD'!M48+'VOL DELTA'!M48</f>
        <v>1</v>
      </c>
      <c r="N48" s="168" t="n">
        <f aca="false">'VOL DWNLD'!N48+'VOL DELTA'!N48</f>
        <v>1</v>
      </c>
      <c r="O48" s="168" t="n">
        <f aca="false">'VOL DWNLD'!O48+'VOL DELTA'!O48</f>
        <v>1</v>
      </c>
      <c r="P48" s="168" t="n">
        <f aca="false">'VOL DWNLD'!P48+'VOL DELTA'!P48</f>
        <v>1.03</v>
      </c>
      <c r="Q48" s="168" t="n">
        <f aca="false">'VOL DWNLD'!Q48+'VOL DELTA'!Q48</f>
        <v>1</v>
      </c>
      <c r="R48" s="168" t="n">
        <f aca="false">'VOL DWNLD'!R48+'VOL DELTA'!R48</f>
        <v>1</v>
      </c>
      <c r="S48" s="168" t="n">
        <f aca="false">'VOL DWNLD'!S48+'VOL DELTA'!S48</f>
        <v>1.02</v>
      </c>
      <c r="T48" s="168" t="n">
        <f aca="false">'VOL DWNLD'!T48+'VOL DELTA'!T48</f>
        <v>1</v>
      </c>
      <c r="U48" s="168" t="n">
        <f aca="false">'VOL DWNLD'!U48+'VOL DELTA'!U48</f>
        <v>1</v>
      </c>
      <c r="V48" s="168" t="n">
        <f aca="false">'VOL DWNLD'!V48+'VOL DELTA'!V48</f>
        <v>1</v>
      </c>
      <c r="W48" s="168" t="n">
        <f aca="false">'VOL DWNLD'!W48+'VOL DELTA'!W48</f>
        <v>1</v>
      </c>
      <c r="X48" s="168" t="n">
        <f aca="false">'VOL DWNLD'!X48+'VOL DELTA'!X48</f>
        <v>1</v>
      </c>
      <c r="Y48" s="168" t="n">
        <f aca="false">'VOL DWNLD'!Y48+'VOL DELTA'!Y48</f>
        <v>1.02</v>
      </c>
      <c r="Z48" s="168" t="n">
        <f aca="false">'VOL DWNLD'!Z48+'VOL DELTA'!Z48</f>
        <v>1</v>
      </c>
      <c r="AA48" s="168" t="n">
        <f aca="false">'VOL DWNLD'!AA48+'VOL DELTA'!AA48</f>
        <v>1</v>
      </c>
      <c r="AB48" s="168" t="n">
        <f aca="false">'VOL DWNLD'!AB48+'VOL DELTA'!AB48</f>
        <v>1</v>
      </c>
      <c r="AC48" s="168" t="n">
        <f aca="false">'VOL DWNLD'!AC48+'VOL DELTA'!AC48</f>
        <v>1</v>
      </c>
      <c r="AD48" s="168" t="n">
        <f aca="false">'VOL DWNLD'!AD48+'VOL DELTA'!AD48</f>
        <v>0.98</v>
      </c>
      <c r="AE48" s="168" t="n">
        <f aca="false">'VOL DWNLD'!AE48+'VOL DELTA'!AE48</f>
        <v>0.98</v>
      </c>
      <c r="AF48" s="168" t="n">
        <f aca="false">'VOL DWNLD'!AF48+'VOL DELTA'!AF48</f>
        <v>0.98</v>
      </c>
      <c r="AG48" s="168" t="n">
        <f aca="false">'VOL DWNLD'!AG48+'VOL DELTA'!AG48</f>
        <v>0.98</v>
      </c>
      <c r="AH48" s="168" t="n">
        <f aca="false">'VOL DWNLD'!AH48+'VOL DELTA'!AH48</f>
        <v>1.05</v>
      </c>
      <c r="AI48" s="168" t="n">
        <f aca="false">'VOL DWNLD'!AI48+'VOL DELTA'!AI48</f>
        <v>1</v>
      </c>
      <c r="AJ48" s="168" t="n">
        <f aca="false">'VOL DWNLD'!AJ48+'VOL DELTA'!AJ48</f>
        <v>1</v>
      </c>
      <c r="AK48" s="168" t="n">
        <f aca="false">'VOL DWNLD'!AK48+'VOL DELTA'!AK48</f>
        <v>1.02</v>
      </c>
      <c r="AL48" s="168" t="n">
        <f aca="false">'VOL DWNLD'!AL48+'VOL DELTA'!AL48</f>
        <v>1</v>
      </c>
      <c r="AM48" s="168" t="n">
        <f aca="false">'VOL DWNLD'!AM48+'VOL DELTA'!AM48</f>
        <v>1</v>
      </c>
      <c r="AN48" s="168" t="n">
        <f aca="false">'VOL DWNLD'!AN48+'VOL DELTA'!AN48</f>
        <v>1</v>
      </c>
      <c r="AO48" s="168" t="n">
        <f aca="false">'VOL DWNLD'!AO48+'VOL DELTA'!AO48</f>
        <v>1</v>
      </c>
    </row>
    <row r="49" customFormat="false" ht="12.75" hidden="false" customHeight="false" outlineLevel="0" collapsed="false">
      <c r="A49" s="167" t="n">
        <v>38169</v>
      </c>
      <c r="B49" s="168" t="n">
        <f aca="false">'VOL DWNLD'!B49+'VOL DELTA'!B49</f>
        <v>1</v>
      </c>
      <c r="C49" s="168" t="n">
        <f aca="false">'VOL DWNLD'!C49+'VOL DELTA'!C49</f>
        <v>1</v>
      </c>
      <c r="D49" s="168" t="n">
        <f aca="false">'VOL DWNLD'!D49+'VOL DELTA'!D49</f>
        <v>1</v>
      </c>
      <c r="E49" s="168" t="n">
        <f aca="false">'VOL DWNLD'!E49+'VOL DELTA'!E49</f>
        <v>1</v>
      </c>
      <c r="F49" s="168" t="n">
        <f aca="false">'VOL DWNLD'!F49+'VOL DELTA'!F49</f>
        <v>1</v>
      </c>
      <c r="G49" s="168" t="n">
        <f aca="false">'VOL DWNLD'!G49+'VOL DELTA'!G49</f>
        <v>1</v>
      </c>
      <c r="H49" s="168" t="n">
        <f aca="false">'VOL DWNLD'!H49+'VOL DELTA'!H49</f>
        <v>1</v>
      </c>
      <c r="I49" s="168" t="n">
        <f aca="false">'VOL DWNLD'!I49+'VOL DELTA'!I49</f>
        <v>1</v>
      </c>
      <c r="J49" s="168" t="n">
        <f aca="false">'VOL DWNLD'!J49+'VOL DELTA'!J49</f>
        <v>1</v>
      </c>
      <c r="K49" s="168" t="n">
        <f aca="false">'VOL DWNLD'!K49+'VOL DELTA'!K49</f>
        <v>1</v>
      </c>
      <c r="L49" s="168" t="n">
        <f aca="false">'VOL DWNLD'!L49+'VOL DELTA'!L49</f>
        <v>1</v>
      </c>
      <c r="M49" s="168" t="n">
        <f aca="false">'VOL DWNLD'!M49+'VOL DELTA'!M49</f>
        <v>1</v>
      </c>
      <c r="N49" s="168" t="n">
        <f aca="false">'VOL DWNLD'!N49+'VOL DELTA'!N49</f>
        <v>1</v>
      </c>
      <c r="O49" s="168" t="n">
        <f aca="false">'VOL DWNLD'!O49+'VOL DELTA'!O49</f>
        <v>1</v>
      </c>
      <c r="P49" s="168" t="n">
        <f aca="false">'VOL DWNLD'!P49+'VOL DELTA'!P49</f>
        <v>1.03</v>
      </c>
      <c r="Q49" s="168" t="n">
        <f aca="false">'VOL DWNLD'!Q49+'VOL DELTA'!Q49</f>
        <v>1</v>
      </c>
      <c r="R49" s="168" t="n">
        <f aca="false">'VOL DWNLD'!R49+'VOL DELTA'!R49</f>
        <v>1</v>
      </c>
      <c r="S49" s="168" t="n">
        <f aca="false">'VOL DWNLD'!S49+'VOL DELTA'!S49</f>
        <v>1.02</v>
      </c>
      <c r="T49" s="168" t="n">
        <f aca="false">'VOL DWNLD'!T49+'VOL DELTA'!T49</f>
        <v>1</v>
      </c>
      <c r="U49" s="168" t="n">
        <f aca="false">'VOL DWNLD'!U49+'VOL DELTA'!U49</f>
        <v>1</v>
      </c>
      <c r="V49" s="168" t="n">
        <f aca="false">'VOL DWNLD'!V49+'VOL DELTA'!V49</f>
        <v>1</v>
      </c>
      <c r="W49" s="168" t="n">
        <f aca="false">'VOL DWNLD'!W49+'VOL DELTA'!W49</f>
        <v>1</v>
      </c>
      <c r="X49" s="168" t="n">
        <f aca="false">'VOL DWNLD'!X49+'VOL DELTA'!X49</f>
        <v>1</v>
      </c>
      <c r="Y49" s="168" t="n">
        <f aca="false">'VOL DWNLD'!Y49+'VOL DELTA'!Y49</f>
        <v>1.02</v>
      </c>
      <c r="Z49" s="168" t="n">
        <f aca="false">'VOL DWNLD'!Z49+'VOL DELTA'!Z49</f>
        <v>1</v>
      </c>
      <c r="AA49" s="168" t="n">
        <f aca="false">'VOL DWNLD'!AA49+'VOL DELTA'!AA49</f>
        <v>1</v>
      </c>
      <c r="AB49" s="168" t="n">
        <f aca="false">'VOL DWNLD'!AB49+'VOL DELTA'!AB49</f>
        <v>1</v>
      </c>
      <c r="AC49" s="168" t="n">
        <f aca="false">'VOL DWNLD'!AC49+'VOL DELTA'!AC49</f>
        <v>1</v>
      </c>
      <c r="AD49" s="168" t="n">
        <f aca="false">'VOL DWNLD'!AD49+'VOL DELTA'!AD49</f>
        <v>0.98</v>
      </c>
      <c r="AE49" s="168" t="n">
        <f aca="false">'VOL DWNLD'!AE49+'VOL DELTA'!AE49</f>
        <v>0.98</v>
      </c>
      <c r="AF49" s="168" t="n">
        <f aca="false">'VOL DWNLD'!AF49+'VOL DELTA'!AF49</f>
        <v>0.98</v>
      </c>
      <c r="AG49" s="168" t="n">
        <f aca="false">'VOL DWNLD'!AG49+'VOL DELTA'!AG49</f>
        <v>0.98</v>
      </c>
      <c r="AH49" s="168" t="n">
        <f aca="false">'VOL DWNLD'!AH49+'VOL DELTA'!AH49</f>
        <v>1.05</v>
      </c>
      <c r="AI49" s="168" t="n">
        <f aca="false">'VOL DWNLD'!AI49+'VOL DELTA'!AI49</f>
        <v>1</v>
      </c>
      <c r="AJ49" s="168" t="n">
        <f aca="false">'VOL DWNLD'!AJ49+'VOL DELTA'!AJ49</f>
        <v>1</v>
      </c>
      <c r="AK49" s="168" t="n">
        <f aca="false">'VOL DWNLD'!AK49+'VOL DELTA'!AK49</f>
        <v>1.02</v>
      </c>
      <c r="AL49" s="168" t="n">
        <f aca="false">'VOL DWNLD'!AL49+'VOL DELTA'!AL49</f>
        <v>1</v>
      </c>
      <c r="AM49" s="168" t="n">
        <f aca="false">'VOL DWNLD'!AM49+'VOL DELTA'!AM49</f>
        <v>1</v>
      </c>
      <c r="AN49" s="168" t="n">
        <f aca="false">'VOL DWNLD'!AN49+'VOL DELTA'!AN49</f>
        <v>1</v>
      </c>
      <c r="AO49" s="168" t="n">
        <f aca="false">'VOL DWNLD'!AO49+'VOL DELTA'!AO49</f>
        <v>1</v>
      </c>
    </row>
    <row r="50" customFormat="false" ht="12.75" hidden="false" customHeight="false" outlineLevel="0" collapsed="false">
      <c r="A50" s="167" t="n">
        <v>38200</v>
      </c>
      <c r="B50" s="168" t="n">
        <f aca="false">'VOL DWNLD'!B50+'VOL DELTA'!B50</f>
        <v>1</v>
      </c>
      <c r="C50" s="168" t="n">
        <f aca="false">'VOL DWNLD'!C50+'VOL DELTA'!C50</f>
        <v>1</v>
      </c>
      <c r="D50" s="168" t="n">
        <f aca="false">'VOL DWNLD'!D50+'VOL DELTA'!D50</f>
        <v>1</v>
      </c>
      <c r="E50" s="168" t="n">
        <f aca="false">'VOL DWNLD'!E50+'VOL DELTA'!E50</f>
        <v>1</v>
      </c>
      <c r="F50" s="168" t="n">
        <f aca="false">'VOL DWNLD'!F50+'VOL DELTA'!F50</f>
        <v>1</v>
      </c>
      <c r="G50" s="168" t="n">
        <f aca="false">'VOL DWNLD'!G50+'VOL DELTA'!G50</f>
        <v>1</v>
      </c>
      <c r="H50" s="168" t="n">
        <f aca="false">'VOL DWNLD'!H50+'VOL DELTA'!H50</f>
        <v>1</v>
      </c>
      <c r="I50" s="168" t="n">
        <f aca="false">'VOL DWNLD'!I50+'VOL DELTA'!I50</f>
        <v>1</v>
      </c>
      <c r="J50" s="168" t="n">
        <f aca="false">'VOL DWNLD'!J50+'VOL DELTA'!J50</f>
        <v>1</v>
      </c>
      <c r="K50" s="168" t="n">
        <f aca="false">'VOL DWNLD'!K50+'VOL DELTA'!K50</f>
        <v>1</v>
      </c>
      <c r="L50" s="168" t="n">
        <f aca="false">'VOL DWNLD'!L50+'VOL DELTA'!L50</f>
        <v>1</v>
      </c>
      <c r="M50" s="168" t="n">
        <f aca="false">'VOL DWNLD'!M50+'VOL DELTA'!M50</f>
        <v>1</v>
      </c>
      <c r="N50" s="168" t="n">
        <f aca="false">'VOL DWNLD'!N50+'VOL DELTA'!N50</f>
        <v>1</v>
      </c>
      <c r="O50" s="168" t="n">
        <f aca="false">'VOL DWNLD'!O50+'VOL DELTA'!O50</f>
        <v>1</v>
      </c>
      <c r="P50" s="168" t="n">
        <f aca="false">'VOL DWNLD'!P50+'VOL DELTA'!P50</f>
        <v>1.03</v>
      </c>
      <c r="Q50" s="168" t="n">
        <f aca="false">'VOL DWNLD'!Q50+'VOL DELTA'!Q50</f>
        <v>1</v>
      </c>
      <c r="R50" s="168" t="n">
        <f aca="false">'VOL DWNLD'!R50+'VOL DELTA'!R50</f>
        <v>1</v>
      </c>
      <c r="S50" s="168" t="n">
        <f aca="false">'VOL DWNLD'!S50+'VOL DELTA'!S50</f>
        <v>1.02</v>
      </c>
      <c r="T50" s="168" t="n">
        <f aca="false">'VOL DWNLD'!T50+'VOL DELTA'!T50</f>
        <v>1</v>
      </c>
      <c r="U50" s="168" t="n">
        <f aca="false">'VOL DWNLD'!U50+'VOL DELTA'!U50</f>
        <v>1</v>
      </c>
      <c r="V50" s="168" t="n">
        <f aca="false">'VOL DWNLD'!V50+'VOL DELTA'!V50</f>
        <v>1</v>
      </c>
      <c r="W50" s="168" t="n">
        <f aca="false">'VOL DWNLD'!W50+'VOL DELTA'!W50</f>
        <v>1</v>
      </c>
      <c r="X50" s="168" t="n">
        <f aca="false">'VOL DWNLD'!X50+'VOL DELTA'!X50</f>
        <v>1</v>
      </c>
      <c r="Y50" s="168" t="n">
        <f aca="false">'VOL DWNLD'!Y50+'VOL DELTA'!Y50</f>
        <v>1.02</v>
      </c>
      <c r="Z50" s="168" t="n">
        <f aca="false">'VOL DWNLD'!Z50+'VOL DELTA'!Z50</f>
        <v>1</v>
      </c>
      <c r="AA50" s="168" t="n">
        <f aca="false">'VOL DWNLD'!AA50+'VOL DELTA'!AA50</f>
        <v>1</v>
      </c>
      <c r="AB50" s="168" t="n">
        <f aca="false">'VOL DWNLD'!AB50+'VOL DELTA'!AB50</f>
        <v>1</v>
      </c>
      <c r="AC50" s="168" t="n">
        <f aca="false">'VOL DWNLD'!AC50+'VOL DELTA'!AC50</f>
        <v>1</v>
      </c>
      <c r="AD50" s="168" t="n">
        <f aca="false">'VOL DWNLD'!AD50+'VOL DELTA'!AD50</f>
        <v>0.98</v>
      </c>
      <c r="AE50" s="168" t="n">
        <f aca="false">'VOL DWNLD'!AE50+'VOL DELTA'!AE50</f>
        <v>0.98</v>
      </c>
      <c r="AF50" s="168" t="n">
        <f aca="false">'VOL DWNLD'!AF50+'VOL DELTA'!AF50</f>
        <v>0.98</v>
      </c>
      <c r="AG50" s="168" t="n">
        <f aca="false">'VOL DWNLD'!AG50+'VOL DELTA'!AG50</f>
        <v>0.98</v>
      </c>
      <c r="AH50" s="168" t="n">
        <f aca="false">'VOL DWNLD'!AH50+'VOL DELTA'!AH50</f>
        <v>1.05</v>
      </c>
      <c r="AI50" s="168" t="n">
        <f aca="false">'VOL DWNLD'!AI50+'VOL DELTA'!AI50</f>
        <v>1</v>
      </c>
      <c r="AJ50" s="168" t="n">
        <f aca="false">'VOL DWNLD'!AJ50+'VOL DELTA'!AJ50</f>
        <v>1</v>
      </c>
      <c r="AK50" s="168" t="n">
        <f aca="false">'VOL DWNLD'!AK50+'VOL DELTA'!AK50</f>
        <v>1.02</v>
      </c>
      <c r="AL50" s="168" t="n">
        <f aca="false">'VOL DWNLD'!AL50+'VOL DELTA'!AL50</f>
        <v>1</v>
      </c>
      <c r="AM50" s="168" t="n">
        <f aca="false">'VOL DWNLD'!AM50+'VOL DELTA'!AM50</f>
        <v>1</v>
      </c>
      <c r="AN50" s="168" t="n">
        <f aca="false">'VOL DWNLD'!AN50+'VOL DELTA'!AN50</f>
        <v>1</v>
      </c>
      <c r="AO50" s="168" t="n">
        <f aca="false">'VOL DWNLD'!AO50+'VOL DELTA'!AO50</f>
        <v>1</v>
      </c>
    </row>
    <row r="51" customFormat="false" ht="12.75" hidden="false" customHeight="false" outlineLevel="0" collapsed="false">
      <c r="A51" s="167" t="n">
        <v>38231</v>
      </c>
      <c r="B51" s="168" t="n">
        <f aca="false">'VOL DWNLD'!B51+'VOL DELTA'!B51</f>
        <v>1</v>
      </c>
      <c r="C51" s="168" t="n">
        <f aca="false">'VOL DWNLD'!C51+'VOL DELTA'!C51</f>
        <v>1</v>
      </c>
      <c r="D51" s="168" t="n">
        <f aca="false">'VOL DWNLD'!D51+'VOL DELTA'!D51</f>
        <v>1</v>
      </c>
      <c r="E51" s="168" t="n">
        <f aca="false">'VOL DWNLD'!E51+'VOL DELTA'!E51</f>
        <v>1</v>
      </c>
      <c r="F51" s="168" t="n">
        <f aca="false">'VOL DWNLD'!F51+'VOL DELTA'!F51</f>
        <v>1</v>
      </c>
      <c r="G51" s="168" t="n">
        <f aca="false">'VOL DWNLD'!G51+'VOL DELTA'!G51</f>
        <v>1</v>
      </c>
      <c r="H51" s="168" t="n">
        <f aca="false">'VOL DWNLD'!H51+'VOL DELTA'!H51</f>
        <v>1</v>
      </c>
      <c r="I51" s="168" t="n">
        <f aca="false">'VOL DWNLD'!I51+'VOL DELTA'!I51</f>
        <v>1</v>
      </c>
      <c r="J51" s="168" t="n">
        <f aca="false">'VOL DWNLD'!J51+'VOL DELTA'!J51</f>
        <v>1</v>
      </c>
      <c r="K51" s="168" t="n">
        <f aca="false">'VOL DWNLD'!K51+'VOL DELTA'!K51</f>
        <v>1</v>
      </c>
      <c r="L51" s="168" t="n">
        <f aca="false">'VOL DWNLD'!L51+'VOL DELTA'!L51</f>
        <v>1</v>
      </c>
      <c r="M51" s="168" t="n">
        <f aca="false">'VOL DWNLD'!M51+'VOL DELTA'!M51</f>
        <v>1</v>
      </c>
      <c r="N51" s="168" t="n">
        <f aca="false">'VOL DWNLD'!N51+'VOL DELTA'!N51</f>
        <v>1</v>
      </c>
      <c r="O51" s="168" t="n">
        <f aca="false">'VOL DWNLD'!O51+'VOL DELTA'!O51</f>
        <v>1</v>
      </c>
      <c r="P51" s="168" t="n">
        <f aca="false">'VOL DWNLD'!P51+'VOL DELTA'!P51</f>
        <v>1.03</v>
      </c>
      <c r="Q51" s="168" t="n">
        <f aca="false">'VOL DWNLD'!Q51+'VOL DELTA'!Q51</f>
        <v>1</v>
      </c>
      <c r="R51" s="168" t="n">
        <f aca="false">'VOL DWNLD'!R51+'VOL DELTA'!R51</f>
        <v>1</v>
      </c>
      <c r="S51" s="168" t="n">
        <f aca="false">'VOL DWNLD'!S51+'VOL DELTA'!S51</f>
        <v>1.02</v>
      </c>
      <c r="T51" s="168" t="n">
        <f aca="false">'VOL DWNLD'!T51+'VOL DELTA'!T51</f>
        <v>1</v>
      </c>
      <c r="U51" s="168" t="n">
        <f aca="false">'VOL DWNLD'!U51+'VOL DELTA'!U51</f>
        <v>1</v>
      </c>
      <c r="V51" s="168" t="n">
        <f aca="false">'VOL DWNLD'!V51+'VOL DELTA'!V51</f>
        <v>1</v>
      </c>
      <c r="W51" s="168" t="n">
        <f aca="false">'VOL DWNLD'!W51+'VOL DELTA'!W51</f>
        <v>1</v>
      </c>
      <c r="X51" s="168" t="n">
        <f aca="false">'VOL DWNLD'!X51+'VOL DELTA'!X51</f>
        <v>1</v>
      </c>
      <c r="Y51" s="168" t="n">
        <f aca="false">'VOL DWNLD'!Y51+'VOL DELTA'!Y51</f>
        <v>1.02</v>
      </c>
      <c r="Z51" s="168" t="n">
        <f aca="false">'VOL DWNLD'!Z51+'VOL DELTA'!Z51</f>
        <v>1</v>
      </c>
      <c r="AA51" s="168" t="n">
        <f aca="false">'VOL DWNLD'!AA51+'VOL DELTA'!AA51</f>
        <v>1</v>
      </c>
      <c r="AB51" s="168" t="n">
        <f aca="false">'VOL DWNLD'!AB51+'VOL DELTA'!AB51</f>
        <v>1</v>
      </c>
      <c r="AC51" s="168" t="n">
        <f aca="false">'VOL DWNLD'!AC51+'VOL DELTA'!AC51</f>
        <v>1</v>
      </c>
      <c r="AD51" s="168" t="n">
        <f aca="false">'VOL DWNLD'!AD51+'VOL DELTA'!AD51</f>
        <v>0.98</v>
      </c>
      <c r="AE51" s="168" t="n">
        <f aca="false">'VOL DWNLD'!AE51+'VOL DELTA'!AE51</f>
        <v>0.98</v>
      </c>
      <c r="AF51" s="168" t="n">
        <f aca="false">'VOL DWNLD'!AF51+'VOL DELTA'!AF51</f>
        <v>0.98</v>
      </c>
      <c r="AG51" s="168" t="n">
        <f aca="false">'VOL DWNLD'!AG51+'VOL DELTA'!AG51</f>
        <v>0.98</v>
      </c>
      <c r="AH51" s="168" t="n">
        <f aca="false">'VOL DWNLD'!AH51+'VOL DELTA'!AH51</f>
        <v>1.05</v>
      </c>
      <c r="AI51" s="168" t="n">
        <f aca="false">'VOL DWNLD'!AI51+'VOL DELTA'!AI51</f>
        <v>1</v>
      </c>
      <c r="AJ51" s="168" t="n">
        <f aca="false">'VOL DWNLD'!AJ51+'VOL DELTA'!AJ51</f>
        <v>1</v>
      </c>
      <c r="AK51" s="168" t="n">
        <f aca="false">'VOL DWNLD'!AK51+'VOL DELTA'!AK51</f>
        <v>1.02</v>
      </c>
      <c r="AL51" s="168" t="n">
        <f aca="false">'VOL DWNLD'!AL51+'VOL DELTA'!AL51</f>
        <v>1</v>
      </c>
      <c r="AM51" s="168" t="n">
        <f aca="false">'VOL DWNLD'!AM51+'VOL DELTA'!AM51</f>
        <v>1</v>
      </c>
      <c r="AN51" s="168" t="n">
        <f aca="false">'VOL DWNLD'!AN51+'VOL DELTA'!AN51</f>
        <v>1</v>
      </c>
      <c r="AO51" s="168" t="n">
        <f aca="false">'VOL DWNLD'!AO51+'VOL DELTA'!AO51</f>
        <v>1</v>
      </c>
    </row>
    <row r="52" customFormat="false" ht="12.75" hidden="false" customHeight="false" outlineLevel="0" collapsed="false">
      <c r="A52" s="167" t="n">
        <v>38261</v>
      </c>
      <c r="B52" s="168" t="n">
        <f aca="false">'VOL DWNLD'!B52+'VOL DELTA'!B52</f>
        <v>1</v>
      </c>
      <c r="C52" s="168" t="n">
        <f aca="false">'VOL DWNLD'!C52+'VOL DELTA'!C52</f>
        <v>1</v>
      </c>
      <c r="D52" s="168" t="n">
        <f aca="false">'VOL DWNLD'!D52+'VOL DELTA'!D52</f>
        <v>1</v>
      </c>
      <c r="E52" s="168" t="n">
        <f aca="false">'VOL DWNLD'!E52+'VOL DELTA'!E52</f>
        <v>1</v>
      </c>
      <c r="F52" s="168" t="n">
        <f aca="false">'VOL DWNLD'!F52+'VOL DELTA'!F52</f>
        <v>1</v>
      </c>
      <c r="G52" s="168" t="n">
        <f aca="false">'VOL DWNLD'!G52+'VOL DELTA'!G52</f>
        <v>1</v>
      </c>
      <c r="H52" s="168" t="n">
        <f aca="false">'VOL DWNLD'!H52+'VOL DELTA'!H52</f>
        <v>1</v>
      </c>
      <c r="I52" s="168" t="n">
        <f aca="false">'VOL DWNLD'!I52+'VOL DELTA'!I52</f>
        <v>1</v>
      </c>
      <c r="J52" s="168" t="n">
        <f aca="false">'VOL DWNLD'!J52+'VOL DELTA'!J52</f>
        <v>1</v>
      </c>
      <c r="K52" s="168" t="n">
        <f aca="false">'VOL DWNLD'!K52+'VOL DELTA'!K52</f>
        <v>1</v>
      </c>
      <c r="L52" s="168" t="n">
        <f aca="false">'VOL DWNLD'!L52+'VOL DELTA'!L52</f>
        <v>1</v>
      </c>
      <c r="M52" s="168" t="n">
        <f aca="false">'VOL DWNLD'!M52+'VOL DELTA'!M52</f>
        <v>1</v>
      </c>
      <c r="N52" s="168" t="n">
        <f aca="false">'VOL DWNLD'!N52+'VOL DELTA'!N52</f>
        <v>1</v>
      </c>
      <c r="O52" s="168" t="n">
        <f aca="false">'VOL DWNLD'!O52+'VOL DELTA'!O52</f>
        <v>1</v>
      </c>
      <c r="P52" s="168" t="n">
        <f aca="false">'VOL DWNLD'!P52+'VOL DELTA'!P52</f>
        <v>1.03</v>
      </c>
      <c r="Q52" s="168" t="n">
        <f aca="false">'VOL DWNLD'!Q52+'VOL DELTA'!Q52</f>
        <v>1</v>
      </c>
      <c r="R52" s="168" t="n">
        <f aca="false">'VOL DWNLD'!R52+'VOL DELTA'!R52</f>
        <v>1</v>
      </c>
      <c r="S52" s="168" t="n">
        <f aca="false">'VOL DWNLD'!S52+'VOL DELTA'!S52</f>
        <v>1.02</v>
      </c>
      <c r="T52" s="168" t="n">
        <f aca="false">'VOL DWNLD'!T52+'VOL DELTA'!T52</f>
        <v>1</v>
      </c>
      <c r="U52" s="168" t="n">
        <f aca="false">'VOL DWNLD'!U52+'VOL DELTA'!U52</f>
        <v>1</v>
      </c>
      <c r="V52" s="168" t="n">
        <f aca="false">'VOL DWNLD'!V52+'VOL DELTA'!V52</f>
        <v>1</v>
      </c>
      <c r="W52" s="168" t="n">
        <f aca="false">'VOL DWNLD'!W52+'VOL DELTA'!W52</f>
        <v>1</v>
      </c>
      <c r="X52" s="168" t="n">
        <f aca="false">'VOL DWNLD'!X52+'VOL DELTA'!X52</f>
        <v>1</v>
      </c>
      <c r="Y52" s="168" t="n">
        <f aca="false">'VOL DWNLD'!Y52+'VOL DELTA'!Y52</f>
        <v>1.02</v>
      </c>
      <c r="Z52" s="168" t="n">
        <f aca="false">'VOL DWNLD'!Z52+'VOL DELTA'!Z52</f>
        <v>1</v>
      </c>
      <c r="AA52" s="168" t="n">
        <f aca="false">'VOL DWNLD'!AA52+'VOL DELTA'!AA52</f>
        <v>1</v>
      </c>
      <c r="AB52" s="168" t="n">
        <f aca="false">'VOL DWNLD'!AB52+'VOL DELTA'!AB52</f>
        <v>1</v>
      </c>
      <c r="AC52" s="168" t="n">
        <f aca="false">'VOL DWNLD'!AC52+'VOL DELTA'!AC52</f>
        <v>1</v>
      </c>
      <c r="AD52" s="168" t="n">
        <f aca="false">'VOL DWNLD'!AD52+'VOL DELTA'!AD52</f>
        <v>0.98</v>
      </c>
      <c r="AE52" s="168" t="n">
        <f aca="false">'VOL DWNLD'!AE52+'VOL DELTA'!AE52</f>
        <v>0.98</v>
      </c>
      <c r="AF52" s="168" t="n">
        <f aca="false">'VOL DWNLD'!AF52+'VOL DELTA'!AF52</f>
        <v>0.98</v>
      </c>
      <c r="AG52" s="168" t="n">
        <f aca="false">'VOL DWNLD'!AG52+'VOL DELTA'!AG52</f>
        <v>0.98</v>
      </c>
      <c r="AH52" s="168" t="n">
        <f aca="false">'VOL DWNLD'!AH52+'VOL DELTA'!AH52</f>
        <v>1.05</v>
      </c>
      <c r="AI52" s="168" t="n">
        <f aca="false">'VOL DWNLD'!AI52+'VOL DELTA'!AI52</f>
        <v>1</v>
      </c>
      <c r="AJ52" s="168" t="n">
        <f aca="false">'VOL DWNLD'!AJ52+'VOL DELTA'!AJ52</f>
        <v>1</v>
      </c>
      <c r="AK52" s="168" t="n">
        <f aca="false">'VOL DWNLD'!AK52+'VOL DELTA'!AK52</f>
        <v>1.02</v>
      </c>
      <c r="AL52" s="168" t="n">
        <f aca="false">'VOL DWNLD'!AL52+'VOL DELTA'!AL52</f>
        <v>1</v>
      </c>
      <c r="AM52" s="168" t="n">
        <f aca="false">'VOL DWNLD'!AM52+'VOL DELTA'!AM52</f>
        <v>1</v>
      </c>
      <c r="AN52" s="168" t="n">
        <f aca="false">'VOL DWNLD'!AN52+'VOL DELTA'!AN52</f>
        <v>1</v>
      </c>
      <c r="AO52" s="168" t="n">
        <f aca="false">'VOL DWNLD'!AO52+'VOL DELTA'!AO52</f>
        <v>1</v>
      </c>
    </row>
    <row r="53" customFormat="false" ht="12.75" hidden="false" customHeight="false" outlineLevel="0" collapsed="false">
      <c r="A53" s="167" t="n">
        <v>38292</v>
      </c>
      <c r="B53" s="168" t="n">
        <f aca="false">'VOL DWNLD'!B53+'VOL DELTA'!B53</f>
        <v>1</v>
      </c>
      <c r="C53" s="168" t="n">
        <f aca="false">'VOL DWNLD'!C53+'VOL DELTA'!C53</f>
        <v>1</v>
      </c>
      <c r="D53" s="168" t="n">
        <f aca="false">'VOL DWNLD'!D53+'VOL DELTA'!D53</f>
        <v>1</v>
      </c>
      <c r="E53" s="168" t="n">
        <f aca="false">'VOL DWNLD'!E53+'VOL DELTA'!E53</f>
        <v>1</v>
      </c>
      <c r="F53" s="168" t="n">
        <f aca="false">'VOL DWNLD'!F53+'VOL DELTA'!F53</f>
        <v>1</v>
      </c>
      <c r="G53" s="168" t="n">
        <f aca="false">'VOL DWNLD'!G53+'VOL DELTA'!G53</f>
        <v>1</v>
      </c>
      <c r="H53" s="168" t="n">
        <f aca="false">'VOL DWNLD'!H53+'VOL DELTA'!H53</f>
        <v>1</v>
      </c>
      <c r="I53" s="168" t="n">
        <f aca="false">'VOL DWNLD'!I53+'VOL DELTA'!I53</f>
        <v>1</v>
      </c>
      <c r="J53" s="168" t="n">
        <f aca="false">'VOL DWNLD'!J53+'VOL DELTA'!J53</f>
        <v>1</v>
      </c>
      <c r="K53" s="168" t="n">
        <f aca="false">'VOL DWNLD'!K53+'VOL DELTA'!K53</f>
        <v>1</v>
      </c>
      <c r="L53" s="168" t="n">
        <f aca="false">'VOL DWNLD'!L53+'VOL DELTA'!L53</f>
        <v>1</v>
      </c>
      <c r="M53" s="168" t="n">
        <f aca="false">'VOL DWNLD'!M53+'VOL DELTA'!M53</f>
        <v>1</v>
      </c>
      <c r="N53" s="168" t="n">
        <f aca="false">'VOL DWNLD'!N53+'VOL DELTA'!N53</f>
        <v>1</v>
      </c>
      <c r="O53" s="168" t="n">
        <f aca="false">'VOL DWNLD'!O53+'VOL DELTA'!O53</f>
        <v>1</v>
      </c>
      <c r="P53" s="168" t="n">
        <f aca="false">'VOL DWNLD'!P53+'VOL DELTA'!P53</f>
        <v>1.03</v>
      </c>
      <c r="Q53" s="168" t="n">
        <f aca="false">'VOL DWNLD'!Q53+'VOL DELTA'!Q53</f>
        <v>1</v>
      </c>
      <c r="R53" s="168" t="n">
        <f aca="false">'VOL DWNLD'!R53+'VOL DELTA'!R53</f>
        <v>1</v>
      </c>
      <c r="S53" s="168" t="n">
        <f aca="false">'VOL DWNLD'!S53+'VOL DELTA'!S53</f>
        <v>1.02</v>
      </c>
      <c r="T53" s="168" t="n">
        <f aca="false">'VOL DWNLD'!T53+'VOL DELTA'!T53</f>
        <v>1</v>
      </c>
      <c r="U53" s="168" t="n">
        <f aca="false">'VOL DWNLD'!U53+'VOL DELTA'!U53</f>
        <v>1</v>
      </c>
      <c r="V53" s="168" t="n">
        <f aca="false">'VOL DWNLD'!V53+'VOL DELTA'!V53</f>
        <v>1</v>
      </c>
      <c r="W53" s="168" t="n">
        <f aca="false">'VOL DWNLD'!W53+'VOL DELTA'!W53</f>
        <v>1</v>
      </c>
      <c r="X53" s="168" t="n">
        <f aca="false">'VOL DWNLD'!X53+'VOL DELTA'!X53</f>
        <v>1</v>
      </c>
      <c r="Y53" s="168" t="n">
        <f aca="false">'VOL DWNLD'!Y53+'VOL DELTA'!Y53</f>
        <v>1</v>
      </c>
      <c r="Z53" s="168" t="n">
        <f aca="false">'VOL DWNLD'!Z53+'VOL DELTA'!Z53</f>
        <v>1</v>
      </c>
      <c r="AA53" s="168" t="n">
        <f aca="false">'VOL DWNLD'!AA53+'VOL DELTA'!AA53</f>
        <v>1</v>
      </c>
      <c r="AB53" s="168" t="n">
        <f aca="false">'VOL DWNLD'!AB53+'VOL DELTA'!AB53</f>
        <v>1</v>
      </c>
      <c r="AC53" s="168" t="n">
        <f aca="false">'VOL DWNLD'!AC53+'VOL DELTA'!AC53</f>
        <v>1</v>
      </c>
      <c r="AD53" s="168" t="n">
        <f aca="false">'VOL DWNLD'!AD53+'VOL DELTA'!AD53</f>
        <v>1</v>
      </c>
      <c r="AE53" s="168" t="n">
        <f aca="false">'VOL DWNLD'!AE53+'VOL DELTA'!AE53</f>
        <v>1</v>
      </c>
      <c r="AF53" s="168" t="n">
        <f aca="false">'VOL DWNLD'!AF53+'VOL DELTA'!AF53</f>
        <v>1.1</v>
      </c>
      <c r="AG53" s="168" t="n">
        <f aca="false">'VOL DWNLD'!AG53+'VOL DELTA'!AG53</f>
        <v>1.1</v>
      </c>
      <c r="AH53" s="168" t="n">
        <f aca="false">'VOL DWNLD'!AH53+'VOL DELTA'!AH53</f>
        <v>1.05</v>
      </c>
      <c r="AI53" s="168" t="n">
        <f aca="false">'VOL DWNLD'!AI53+'VOL DELTA'!AI53</f>
        <v>1</v>
      </c>
      <c r="AJ53" s="168" t="n">
        <f aca="false">'VOL DWNLD'!AJ53+'VOL DELTA'!AJ53</f>
        <v>1</v>
      </c>
      <c r="AK53" s="168" t="n">
        <f aca="false">'VOL DWNLD'!AK53+'VOL DELTA'!AK53</f>
        <v>1.02</v>
      </c>
      <c r="AL53" s="168" t="n">
        <f aca="false">'VOL DWNLD'!AL53+'VOL DELTA'!AL53</f>
        <v>1</v>
      </c>
      <c r="AM53" s="168" t="n">
        <f aca="false">'VOL DWNLD'!AM53+'VOL DELTA'!AM53</f>
        <v>1</v>
      </c>
      <c r="AN53" s="168" t="n">
        <f aca="false">'VOL DWNLD'!AN53+'VOL DELTA'!AN53</f>
        <v>1</v>
      </c>
      <c r="AO53" s="168" t="n">
        <f aca="false">'VOL DWNLD'!AO53+'VOL DELTA'!AO53</f>
        <v>1</v>
      </c>
    </row>
    <row r="54" customFormat="false" ht="12.75" hidden="false" customHeight="false" outlineLevel="0" collapsed="false">
      <c r="A54" s="167" t="n">
        <v>38322</v>
      </c>
      <c r="B54" s="168" t="n">
        <f aca="false">'VOL DWNLD'!B54+'VOL DELTA'!B54</f>
        <v>1</v>
      </c>
      <c r="C54" s="168" t="n">
        <f aca="false">'VOL DWNLD'!C54+'VOL DELTA'!C54</f>
        <v>1</v>
      </c>
      <c r="D54" s="168" t="n">
        <f aca="false">'VOL DWNLD'!D54+'VOL DELTA'!D54</f>
        <v>1</v>
      </c>
      <c r="E54" s="168" t="n">
        <f aca="false">'VOL DWNLD'!E54+'VOL DELTA'!E54</f>
        <v>1</v>
      </c>
      <c r="F54" s="168" t="n">
        <f aca="false">'VOL DWNLD'!F54+'VOL DELTA'!F54</f>
        <v>1</v>
      </c>
      <c r="G54" s="168" t="n">
        <f aca="false">'VOL DWNLD'!G54+'VOL DELTA'!G54</f>
        <v>1</v>
      </c>
      <c r="H54" s="168" t="n">
        <f aca="false">'VOL DWNLD'!H54+'VOL DELTA'!H54</f>
        <v>1</v>
      </c>
      <c r="I54" s="168" t="n">
        <f aca="false">'VOL DWNLD'!I54+'VOL DELTA'!I54</f>
        <v>1</v>
      </c>
      <c r="J54" s="168" t="n">
        <f aca="false">'VOL DWNLD'!J54+'VOL DELTA'!J54</f>
        <v>1</v>
      </c>
      <c r="K54" s="168" t="n">
        <f aca="false">'VOL DWNLD'!K54+'VOL DELTA'!K54</f>
        <v>1</v>
      </c>
      <c r="L54" s="168" t="n">
        <f aca="false">'VOL DWNLD'!L54+'VOL DELTA'!L54</f>
        <v>1</v>
      </c>
      <c r="M54" s="168" t="n">
        <f aca="false">'VOL DWNLD'!M54+'VOL DELTA'!M54</f>
        <v>1</v>
      </c>
      <c r="N54" s="168" t="n">
        <f aca="false">'VOL DWNLD'!N54+'VOL DELTA'!N54</f>
        <v>1</v>
      </c>
      <c r="O54" s="168" t="n">
        <f aca="false">'VOL DWNLD'!O54+'VOL DELTA'!O54</f>
        <v>1</v>
      </c>
      <c r="P54" s="168" t="n">
        <f aca="false">'VOL DWNLD'!P54+'VOL DELTA'!P54</f>
        <v>1.03</v>
      </c>
      <c r="Q54" s="168" t="n">
        <f aca="false">'VOL DWNLD'!Q54+'VOL DELTA'!Q54</f>
        <v>1</v>
      </c>
      <c r="R54" s="168" t="n">
        <f aca="false">'VOL DWNLD'!R54+'VOL DELTA'!R54</f>
        <v>1</v>
      </c>
      <c r="S54" s="168" t="n">
        <f aca="false">'VOL DWNLD'!S54+'VOL DELTA'!S54</f>
        <v>1.02</v>
      </c>
      <c r="T54" s="168" t="n">
        <f aca="false">'VOL DWNLD'!T54+'VOL DELTA'!T54</f>
        <v>1</v>
      </c>
      <c r="U54" s="168" t="n">
        <f aca="false">'VOL DWNLD'!U54+'VOL DELTA'!U54</f>
        <v>1</v>
      </c>
      <c r="V54" s="168" t="n">
        <f aca="false">'VOL DWNLD'!V54+'VOL DELTA'!V54</f>
        <v>1</v>
      </c>
      <c r="W54" s="168" t="n">
        <f aca="false">'VOL DWNLD'!W54+'VOL DELTA'!W54</f>
        <v>1</v>
      </c>
      <c r="X54" s="168" t="n">
        <f aca="false">'VOL DWNLD'!X54+'VOL DELTA'!X54</f>
        <v>1</v>
      </c>
      <c r="Y54" s="168" t="n">
        <f aca="false">'VOL DWNLD'!Y54+'VOL DELTA'!Y54</f>
        <v>1</v>
      </c>
      <c r="Z54" s="168" t="n">
        <f aca="false">'VOL DWNLD'!Z54+'VOL DELTA'!Z54</f>
        <v>1</v>
      </c>
      <c r="AA54" s="168" t="n">
        <f aca="false">'VOL DWNLD'!AA54+'VOL DELTA'!AA54</f>
        <v>1</v>
      </c>
      <c r="AB54" s="168" t="n">
        <f aca="false">'VOL DWNLD'!AB54+'VOL DELTA'!AB54</f>
        <v>1</v>
      </c>
      <c r="AC54" s="168" t="n">
        <f aca="false">'VOL DWNLD'!AC54+'VOL DELTA'!AC54</f>
        <v>1</v>
      </c>
      <c r="AD54" s="168" t="n">
        <f aca="false">'VOL DWNLD'!AD54+'VOL DELTA'!AD54</f>
        <v>1</v>
      </c>
      <c r="AE54" s="168" t="n">
        <f aca="false">'VOL DWNLD'!AE54+'VOL DELTA'!AE54</f>
        <v>1</v>
      </c>
      <c r="AF54" s="168" t="n">
        <f aca="false">'VOL DWNLD'!AF54+'VOL DELTA'!AF54</f>
        <v>1.1</v>
      </c>
      <c r="AG54" s="168" t="n">
        <f aca="false">'VOL DWNLD'!AG54+'VOL DELTA'!AG54</f>
        <v>1.1</v>
      </c>
      <c r="AH54" s="168" t="n">
        <f aca="false">'VOL DWNLD'!AH54+'VOL DELTA'!AH54</f>
        <v>1.05</v>
      </c>
      <c r="AI54" s="168" t="n">
        <f aca="false">'VOL DWNLD'!AI54+'VOL DELTA'!AI54</f>
        <v>1</v>
      </c>
      <c r="AJ54" s="168" t="n">
        <f aca="false">'VOL DWNLD'!AJ54+'VOL DELTA'!AJ54</f>
        <v>1</v>
      </c>
      <c r="AK54" s="168" t="n">
        <f aca="false">'VOL DWNLD'!AK54+'VOL DELTA'!AK54</f>
        <v>1.02</v>
      </c>
      <c r="AL54" s="168" t="n">
        <f aca="false">'VOL DWNLD'!AL54+'VOL DELTA'!AL54</f>
        <v>1</v>
      </c>
      <c r="AM54" s="168" t="n">
        <f aca="false">'VOL DWNLD'!AM54+'VOL DELTA'!AM54</f>
        <v>1</v>
      </c>
      <c r="AN54" s="168" t="n">
        <f aca="false">'VOL DWNLD'!AN54+'VOL DELTA'!AN54</f>
        <v>1</v>
      </c>
      <c r="AO54" s="168" t="n">
        <f aca="false">'VOL DWNLD'!AO54+'VOL DELTA'!AO54</f>
        <v>1</v>
      </c>
    </row>
    <row r="55" customFormat="false" ht="12.75" hidden="false" customHeight="false" outlineLevel="0" collapsed="false">
      <c r="A55" s="167" t="n">
        <v>38353</v>
      </c>
      <c r="B55" s="168" t="n">
        <f aca="false">'VOL DWNLD'!B55+'VOL DELTA'!B55</f>
        <v>1</v>
      </c>
      <c r="C55" s="168" t="n">
        <f aca="false">'VOL DWNLD'!C55+'VOL DELTA'!C55</f>
        <v>1</v>
      </c>
      <c r="D55" s="168" t="n">
        <f aca="false">'VOL DWNLD'!D55+'VOL DELTA'!D55</f>
        <v>1</v>
      </c>
      <c r="E55" s="168" t="n">
        <f aca="false">'VOL DWNLD'!E55+'VOL DELTA'!E55</f>
        <v>1</v>
      </c>
      <c r="F55" s="168" t="n">
        <f aca="false">'VOL DWNLD'!F55+'VOL DELTA'!F55</f>
        <v>1</v>
      </c>
      <c r="G55" s="168" t="n">
        <f aca="false">'VOL DWNLD'!G55+'VOL DELTA'!G55</f>
        <v>1</v>
      </c>
      <c r="H55" s="168" t="n">
        <f aca="false">'VOL DWNLD'!H55+'VOL DELTA'!H55</f>
        <v>1</v>
      </c>
      <c r="I55" s="168" t="n">
        <f aca="false">'VOL DWNLD'!I55+'VOL DELTA'!I55</f>
        <v>1</v>
      </c>
      <c r="J55" s="168" t="n">
        <f aca="false">'VOL DWNLD'!J55+'VOL DELTA'!J55</f>
        <v>1</v>
      </c>
      <c r="K55" s="168" t="n">
        <f aca="false">'VOL DWNLD'!K55+'VOL DELTA'!K55</f>
        <v>1</v>
      </c>
      <c r="L55" s="168" t="n">
        <f aca="false">'VOL DWNLD'!L55+'VOL DELTA'!L55</f>
        <v>1</v>
      </c>
      <c r="M55" s="168" t="n">
        <f aca="false">'VOL DWNLD'!M55+'VOL DELTA'!M55</f>
        <v>1</v>
      </c>
      <c r="N55" s="168" t="n">
        <f aca="false">'VOL DWNLD'!N55+'VOL DELTA'!N55</f>
        <v>1</v>
      </c>
      <c r="O55" s="168" t="n">
        <f aca="false">'VOL DWNLD'!O55+'VOL DELTA'!O55</f>
        <v>1</v>
      </c>
      <c r="P55" s="168" t="n">
        <f aca="false">'VOL DWNLD'!P55+'VOL DELTA'!P55</f>
        <v>1.03</v>
      </c>
      <c r="Q55" s="168" t="n">
        <f aca="false">'VOL DWNLD'!Q55+'VOL DELTA'!Q55</f>
        <v>1</v>
      </c>
      <c r="R55" s="168" t="n">
        <f aca="false">'VOL DWNLD'!R55+'VOL DELTA'!R55</f>
        <v>1</v>
      </c>
      <c r="S55" s="168" t="n">
        <f aca="false">'VOL DWNLD'!S55+'VOL DELTA'!S55</f>
        <v>1.02</v>
      </c>
      <c r="T55" s="168" t="n">
        <f aca="false">'VOL DWNLD'!T55+'VOL DELTA'!T55</f>
        <v>1</v>
      </c>
      <c r="U55" s="168" t="n">
        <f aca="false">'VOL DWNLD'!U55+'VOL DELTA'!U55</f>
        <v>1</v>
      </c>
      <c r="V55" s="168" t="n">
        <f aca="false">'VOL DWNLD'!V55+'VOL DELTA'!V55</f>
        <v>1</v>
      </c>
      <c r="W55" s="168" t="n">
        <f aca="false">'VOL DWNLD'!W55+'VOL DELTA'!W55</f>
        <v>1</v>
      </c>
      <c r="X55" s="168" t="n">
        <f aca="false">'VOL DWNLD'!X55+'VOL DELTA'!X55</f>
        <v>1</v>
      </c>
      <c r="Y55" s="168" t="n">
        <f aca="false">'VOL DWNLD'!Y55+'VOL DELTA'!Y55</f>
        <v>1</v>
      </c>
      <c r="Z55" s="168" t="n">
        <f aca="false">'VOL DWNLD'!Z55+'VOL DELTA'!Z55</f>
        <v>1</v>
      </c>
      <c r="AA55" s="168" t="n">
        <f aca="false">'VOL DWNLD'!AA55+'VOL DELTA'!AA55</f>
        <v>1</v>
      </c>
      <c r="AB55" s="168" t="n">
        <f aca="false">'VOL DWNLD'!AB55+'VOL DELTA'!AB55</f>
        <v>1</v>
      </c>
      <c r="AC55" s="168" t="n">
        <f aca="false">'VOL DWNLD'!AC55+'VOL DELTA'!AC55</f>
        <v>1</v>
      </c>
      <c r="AD55" s="168" t="n">
        <f aca="false">'VOL DWNLD'!AD55+'VOL DELTA'!AD55</f>
        <v>1</v>
      </c>
      <c r="AE55" s="168" t="n">
        <f aca="false">'VOL DWNLD'!AE55+'VOL DELTA'!AE55</f>
        <v>1</v>
      </c>
      <c r="AF55" s="168" t="n">
        <f aca="false">'VOL DWNLD'!AF55+'VOL DELTA'!AF55</f>
        <v>1.1</v>
      </c>
      <c r="AG55" s="168" t="n">
        <f aca="false">'VOL DWNLD'!AG55+'VOL DELTA'!AG55</f>
        <v>1.1</v>
      </c>
      <c r="AH55" s="168" t="n">
        <f aca="false">'VOL DWNLD'!AH55+'VOL DELTA'!AH55</f>
        <v>1.05</v>
      </c>
      <c r="AI55" s="168" t="n">
        <f aca="false">'VOL DWNLD'!AI55+'VOL DELTA'!AI55</f>
        <v>1</v>
      </c>
      <c r="AJ55" s="168" t="n">
        <f aca="false">'VOL DWNLD'!AJ55+'VOL DELTA'!AJ55</f>
        <v>1</v>
      </c>
      <c r="AK55" s="168" t="n">
        <f aca="false">'VOL DWNLD'!AK55+'VOL DELTA'!AK55</f>
        <v>1.02</v>
      </c>
      <c r="AL55" s="168" t="n">
        <f aca="false">'VOL DWNLD'!AL55+'VOL DELTA'!AL55</f>
        <v>1</v>
      </c>
      <c r="AM55" s="168" t="n">
        <f aca="false">'VOL DWNLD'!AM55+'VOL DELTA'!AM55</f>
        <v>1</v>
      </c>
      <c r="AN55" s="168" t="n">
        <f aca="false">'VOL DWNLD'!AN55+'VOL DELTA'!AN55</f>
        <v>1</v>
      </c>
      <c r="AO55" s="168" t="n">
        <f aca="false">'VOL DWNLD'!AO55+'VOL DELTA'!AO55</f>
        <v>1</v>
      </c>
    </row>
    <row r="56" customFormat="false" ht="12.75" hidden="false" customHeight="false" outlineLevel="0" collapsed="false">
      <c r="A56" s="167" t="n">
        <v>38384</v>
      </c>
      <c r="B56" s="168" t="n">
        <f aca="false">'VOL DWNLD'!B56+'VOL DELTA'!B56</f>
        <v>1</v>
      </c>
      <c r="C56" s="168" t="n">
        <f aca="false">'VOL DWNLD'!C56+'VOL DELTA'!C56</f>
        <v>1</v>
      </c>
      <c r="D56" s="168" t="n">
        <f aca="false">'VOL DWNLD'!D56+'VOL DELTA'!D56</f>
        <v>1</v>
      </c>
      <c r="E56" s="168" t="n">
        <f aca="false">'VOL DWNLD'!E56+'VOL DELTA'!E56</f>
        <v>1</v>
      </c>
      <c r="F56" s="168" t="n">
        <f aca="false">'VOL DWNLD'!F56+'VOL DELTA'!F56</f>
        <v>1</v>
      </c>
      <c r="G56" s="168" t="n">
        <f aca="false">'VOL DWNLD'!G56+'VOL DELTA'!G56</f>
        <v>1</v>
      </c>
      <c r="H56" s="168" t="n">
        <f aca="false">'VOL DWNLD'!H56+'VOL DELTA'!H56</f>
        <v>1</v>
      </c>
      <c r="I56" s="168" t="n">
        <f aca="false">'VOL DWNLD'!I56+'VOL DELTA'!I56</f>
        <v>1</v>
      </c>
      <c r="J56" s="168" t="n">
        <f aca="false">'VOL DWNLD'!J56+'VOL DELTA'!J56</f>
        <v>1</v>
      </c>
      <c r="K56" s="168" t="n">
        <f aca="false">'VOL DWNLD'!K56+'VOL DELTA'!K56</f>
        <v>1</v>
      </c>
      <c r="L56" s="168" t="n">
        <f aca="false">'VOL DWNLD'!L56+'VOL DELTA'!L56</f>
        <v>1</v>
      </c>
      <c r="M56" s="168" t="n">
        <f aca="false">'VOL DWNLD'!M56+'VOL DELTA'!M56</f>
        <v>1</v>
      </c>
      <c r="N56" s="168" t="n">
        <f aca="false">'VOL DWNLD'!N56+'VOL DELTA'!N56</f>
        <v>1</v>
      </c>
      <c r="O56" s="168" t="n">
        <f aca="false">'VOL DWNLD'!O56+'VOL DELTA'!O56</f>
        <v>1</v>
      </c>
      <c r="P56" s="168" t="n">
        <f aca="false">'VOL DWNLD'!P56+'VOL DELTA'!P56</f>
        <v>1.03</v>
      </c>
      <c r="Q56" s="168" t="n">
        <f aca="false">'VOL DWNLD'!Q56+'VOL DELTA'!Q56</f>
        <v>1</v>
      </c>
      <c r="R56" s="168" t="n">
        <f aca="false">'VOL DWNLD'!R56+'VOL DELTA'!R56</f>
        <v>1</v>
      </c>
      <c r="S56" s="168" t="n">
        <f aca="false">'VOL DWNLD'!S56+'VOL DELTA'!S56</f>
        <v>1.02</v>
      </c>
      <c r="T56" s="168" t="n">
        <f aca="false">'VOL DWNLD'!T56+'VOL DELTA'!T56</f>
        <v>1</v>
      </c>
      <c r="U56" s="168" t="n">
        <f aca="false">'VOL DWNLD'!U56+'VOL DELTA'!U56</f>
        <v>1</v>
      </c>
      <c r="V56" s="168" t="n">
        <f aca="false">'VOL DWNLD'!V56+'VOL DELTA'!V56</f>
        <v>1</v>
      </c>
      <c r="W56" s="168" t="n">
        <f aca="false">'VOL DWNLD'!W56+'VOL DELTA'!W56</f>
        <v>1</v>
      </c>
      <c r="X56" s="168" t="n">
        <f aca="false">'VOL DWNLD'!X56+'VOL DELTA'!X56</f>
        <v>1</v>
      </c>
      <c r="Y56" s="168" t="n">
        <f aca="false">'VOL DWNLD'!Y56+'VOL DELTA'!Y56</f>
        <v>1</v>
      </c>
      <c r="Z56" s="168" t="n">
        <f aca="false">'VOL DWNLD'!Z56+'VOL DELTA'!Z56</f>
        <v>1</v>
      </c>
      <c r="AA56" s="168" t="n">
        <f aca="false">'VOL DWNLD'!AA56+'VOL DELTA'!AA56</f>
        <v>1</v>
      </c>
      <c r="AB56" s="168" t="n">
        <f aca="false">'VOL DWNLD'!AB56+'VOL DELTA'!AB56</f>
        <v>1</v>
      </c>
      <c r="AC56" s="168" t="n">
        <f aca="false">'VOL DWNLD'!AC56+'VOL DELTA'!AC56</f>
        <v>1</v>
      </c>
      <c r="AD56" s="168" t="n">
        <f aca="false">'VOL DWNLD'!AD56+'VOL DELTA'!AD56</f>
        <v>1</v>
      </c>
      <c r="AE56" s="168" t="n">
        <f aca="false">'VOL DWNLD'!AE56+'VOL DELTA'!AE56</f>
        <v>1</v>
      </c>
      <c r="AF56" s="168" t="n">
        <f aca="false">'VOL DWNLD'!AF56+'VOL DELTA'!AF56</f>
        <v>1.1</v>
      </c>
      <c r="AG56" s="168" t="n">
        <f aca="false">'VOL DWNLD'!AG56+'VOL DELTA'!AG56</f>
        <v>1.1</v>
      </c>
      <c r="AH56" s="168" t="n">
        <f aca="false">'VOL DWNLD'!AH56+'VOL DELTA'!AH56</f>
        <v>1.05</v>
      </c>
      <c r="AI56" s="168" t="n">
        <f aca="false">'VOL DWNLD'!AI56+'VOL DELTA'!AI56</f>
        <v>1</v>
      </c>
      <c r="AJ56" s="168" t="n">
        <f aca="false">'VOL DWNLD'!AJ56+'VOL DELTA'!AJ56</f>
        <v>1</v>
      </c>
      <c r="AK56" s="168" t="n">
        <f aca="false">'VOL DWNLD'!AK56+'VOL DELTA'!AK56</f>
        <v>1.02</v>
      </c>
      <c r="AL56" s="168" t="n">
        <f aca="false">'VOL DWNLD'!AL56+'VOL DELTA'!AL56</f>
        <v>1</v>
      </c>
      <c r="AM56" s="168" t="n">
        <f aca="false">'VOL DWNLD'!AM56+'VOL DELTA'!AM56</f>
        <v>1</v>
      </c>
      <c r="AN56" s="168" t="n">
        <f aca="false">'VOL DWNLD'!AN56+'VOL DELTA'!AN56</f>
        <v>1</v>
      </c>
      <c r="AO56" s="168" t="n">
        <f aca="false">'VOL DWNLD'!AO56+'VOL DELTA'!AO56</f>
        <v>1</v>
      </c>
    </row>
    <row r="57" customFormat="false" ht="12.75" hidden="false" customHeight="false" outlineLevel="0" collapsed="false">
      <c r="A57" s="167" t="n">
        <v>38412</v>
      </c>
      <c r="B57" s="168" t="n">
        <f aca="false">'VOL DWNLD'!B57+'VOL DELTA'!B57</f>
        <v>1</v>
      </c>
      <c r="C57" s="168" t="n">
        <f aca="false">'VOL DWNLD'!C57+'VOL DELTA'!C57</f>
        <v>1</v>
      </c>
      <c r="D57" s="168" t="n">
        <f aca="false">'VOL DWNLD'!D57+'VOL DELTA'!D57</f>
        <v>1</v>
      </c>
      <c r="E57" s="168" t="n">
        <f aca="false">'VOL DWNLD'!E57+'VOL DELTA'!E57</f>
        <v>1</v>
      </c>
      <c r="F57" s="168" t="n">
        <f aca="false">'VOL DWNLD'!F57+'VOL DELTA'!F57</f>
        <v>1</v>
      </c>
      <c r="G57" s="168" t="n">
        <f aca="false">'VOL DWNLD'!G57+'VOL DELTA'!G57</f>
        <v>1</v>
      </c>
      <c r="H57" s="168" t="n">
        <f aca="false">'VOL DWNLD'!H57+'VOL DELTA'!H57</f>
        <v>1</v>
      </c>
      <c r="I57" s="168" t="n">
        <f aca="false">'VOL DWNLD'!I57+'VOL DELTA'!I57</f>
        <v>1</v>
      </c>
      <c r="J57" s="168" t="n">
        <f aca="false">'VOL DWNLD'!J57+'VOL DELTA'!J57</f>
        <v>1</v>
      </c>
      <c r="K57" s="168" t="n">
        <f aca="false">'VOL DWNLD'!K57+'VOL DELTA'!K57</f>
        <v>1</v>
      </c>
      <c r="L57" s="168" t="n">
        <f aca="false">'VOL DWNLD'!L57+'VOL DELTA'!L57</f>
        <v>1</v>
      </c>
      <c r="M57" s="168" t="n">
        <f aca="false">'VOL DWNLD'!M57+'VOL DELTA'!M57</f>
        <v>1</v>
      </c>
      <c r="N57" s="168" t="n">
        <f aca="false">'VOL DWNLD'!N57+'VOL DELTA'!N57</f>
        <v>1</v>
      </c>
      <c r="O57" s="168" t="n">
        <f aca="false">'VOL DWNLD'!O57+'VOL DELTA'!O57</f>
        <v>1</v>
      </c>
      <c r="P57" s="168" t="n">
        <f aca="false">'VOL DWNLD'!P57+'VOL DELTA'!P57</f>
        <v>1.03</v>
      </c>
      <c r="Q57" s="168" t="n">
        <f aca="false">'VOL DWNLD'!Q57+'VOL DELTA'!Q57</f>
        <v>1</v>
      </c>
      <c r="R57" s="168" t="n">
        <f aca="false">'VOL DWNLD'!R57+'VOL DELTA'!R57</f>
        <v>1</v>
      </c>
      <c r="S57" s="168" t="n">
        <f aca="false">'VOL DWNLD'!S57+'VOL DELTA'!S57</f>
        <v>1.02</v>
      </c>
      <c r="T57" s="168" t="n">
        <f aca="false">'VOL DWNLD'!T57+'VOL DELTA'!T57</f>
        <v>1</v>
      </c>
      <c r="U57" s="168" t="n">
        <f aca="false">'VOL DWNLD'!U57+'VOL DELTA'!U57</f>
        <v>1</v>
      </c>
      <c r="V57" s="168" t="n">
        <f aca="false">'VOL DWNLD'!V57+'VOL DELTA'!V57</f>
        <v>1</v>
      </c>
      <c r="W57" s="168" t="n">
        <f aca="false">'VOL DWNLD'!W57+'VOL DELTA'!W57</f>
        <v>1</v>
      </c>
      <c r="X57" s="168" t="n">
        <f aca="false">'VOL DWNLD'!X57+'VOL DELTA'!X57</f>
        <v>1</v>
      </c>
      <c r="Y57" s="168" t="n">
        <f aca="false">'VOL DWNLD'!Y57+'VOL DELTA'!Y57</f>
        <v>1</v>
      </c>
      <c r="Z57" s="168" t="n">
        <f aca="false">'VOL DWNLD'!Z57+'VOL DELTA'!Z57</f>
        <v>1</v>
      </c>
      <c r="AA57" s="168" t="n">
        <f aca="false">'VOL DWNLD'!AA57+'VOL DELTA'!AA57</f>
        <v>1</v>
      </c>
      <c r="AB57" s="168" t="n">
        <f aca="false">'VOL DWNLD'!AB57+'VOL DELTA'!AB57</f>
        <v>1</v>
      </c>
      <c r="AC57" s="168" t="n">
        <f aca="false">'VOL DWNLD'!AC57+'VOL DELTA'!AC57</f>
        <v>1</v>
      </c>
      <c r="AD57" s="168" t="n">
        <f aca="false">'VOL DWNLD'!AD57+'VOL DELTA'!AD57</f>
        <v>1</v>
      </c>
      <c r="AE57" s="168" t="n">
        <f aca="false">'VOL DWNLD'!AE57+'VOL DELTA'!AE57</f>
        <v>1</v>
      </c>
      <c r="AF57" s="168" t="n">
        <f aca="false">'VOL DWNLD'!AF57+'VOL DELTA'!AF57</f>
        <v>1.1</v>
      </c>
      <c r="AG57" s="168" t="n">
        <f aca="false">'VOL DWNLD'!AG57+'VOL DELTA'!AG57</f>
        <v>1.1</v>
      </c>
      <c r="AH57" s="168" t="n">
        <f aca="false">'VOL DWNLD'!AH57+'VOL DELTA'!AH57</f>
        <v>1.05</v>
      </c>
      <c r="AI57" s="168" t="n">
        <f aca="false">'VOL DWNLD'!AI57+'VOL DELTA'!AI57</f>
        <v>1</v>
      </c>
      <c r="AJ57" s="168" t="n">
        <f aca="false">'VOL DWNLD'!AJ57+'VOL DELTA'!AJ57</f>
        <v>1</v>
      </c>
      <c r="AK57" s="168" t="n">
        <f aca="false">'VOL DWNLD'!AK57+'VOL DELTA'!AK57</f>
        <v>1.02</v>
      </c>
      <c r="AL57" s="168" t="n">
        <f aca="false">'VOL DWNLD'!AL57+'VOL DELTA'!AL57</f>
        <v>1</v>
      </c>
      <c r="AM57" s="168" t="n">
        <f aca="false">'VOL DWNLD'!AM57+'VOL DELTA'!AM57</f>
        <v>1</v>
      </c>
      <c r="AN57" s="168" t="n">
        <f aca="false">'VOL DWNLD'!AN57+'VOL DELTA'!AN57</f>
        <v>1</v>
      </c>
      <c r="AO57" s="168" t="n">
        <f aca="false">'VOL DWNLD'!AO57+'VOL DELTA'!AO57</f>
        <v>1</v>
      </c>
    </row>
    <row r="58" customFormat="false" ht="12.75" hidden="false" customHeight="false" outlineLevel="0" collapsed="false">
      <c r="A58" s="167" t="n">
        <v>38443</v>
      </c>
      <c r="B58" s="168" t="n">
        <f aca="false">'VOL DWNLD'!B58+'VOL DELTA'!B58</f>
        <v>1</v>
      </c>
      <c r="C58" s="168" t="n">
        <f aca="false">'VOL DWNLD'!C58+'VOL DELTA'!C58</f>
        <v>1</v>
      </c>
      <c r="D58" s="168" t="n">
        <f aca="false">'VOL DWNLD'!D58+'VOL DELTA'!D58</f>
        <v>1</v>
      </c>
      <c r="E58" s="168" t="n">
        <f aca="false">'VOL DWNLD'!E58+'VOL DELTA'!E58</f>
        <v>1</v>
      </c>
      <c r="F58" s="168" t="n">
        <f aca="false">'VOL DWNLD'!F58+'VOL DELTA'!F58</f>
        <v>1</v>
      </c>
      <c r="G58" s="168" t="n">
        <f aca="false">'VOL DWNLD'!G58+'VOL DELTA'!G58</f>
        <v>1</v>
      </c>
      <c r="H58" s="168" t="n">
        <f aca="false">'VOL DWNLD'!H58+'VOL DELTA'!H58</f>
        <v>1</v>
      </c>
      <c r="I58" s="168" t="n">
        <f aca="false">'VOL DWNLD'!I58+'VOL DELTA'!I58</f>
        <v>1</v>
      </c>
      <c r="J58" s="168" t="n">
        <f aca="false">'VOL DWNLD'!J58+'VOL DELTA'!J58</f>
        <v>1</v>
      </c>
      <c r="K58" s="168" t="n">
        <f aca="false">'VOL DWNLD'!K58+'VOL DELTA'!K58</f>
        <v>1</v>
      </c>
      <c r="L58" s="168" t="n">
        <f aca="false">'VOL DWNLD'!L58+'VOL DELTA'!L58</f>
        <v>1</v>
      </c>
      <c r="M58" s="168" t="n">
        <f aca="false">'VOL DWNLD'!M58+'VOL DELTA'!M58</f>
        <v>1</v>
      </c>
      <c r="N58" s="168" t="n">
        <f aca="false">'VOL DWNLD'!N58+'VOL DELTA'!N58</f>
        <v>1</v>
      </c>
      <c r="O58" s="168" t="n">
        <f aca="false">'VOL DWNLD'!O58+'VOL DELTA'!O58</f>
        <v>1</v>
      </c>
      <c r="P58" s="168" t="n">
        <f aca="false">'VOL DWNLD'!P58+'VOL DELTA'!P58</f>
        <v>1.03</v>
      </c>
      <c r="Q58" s="168" t="n">
        <f aca="false">'VOL DWNLD'!Q58+'VOL DELTA'!Q58</f>
        <v>1</v>
      </c>
      <c r="R58" s="168" t="n">
        <f aca="false">'VOL DWNLD'!R58+'VOL DELTA'!R58</f>
        <v>1</v>
      </c>
      <c r="S58" s="168" t="n">
        <f aca="false">'VOL DWNLD'!S58+'VOL DELTA'!S58</f>
        <v>1.02</v>
      </c>
      <c r="T58" s="168" t="n">
        <f aca="false">'VOL DWNLD'!T58+'VOL DELTA'!T58</f>
        <v>1</v>
      </c>
      <c r="U58" s="168" t="n">
        <f aca="false">'VOL DWNLD'!U58+'VOL DELTA'!U58</f>
        <v>1</v>
      </c>
      <c r="V58" s="168" t="n">
        <f aca="false">'VOL DWNLD'!V58+'VOL DELTA'!V58</f>
        <v>1</v>
      </c>
      <c r="W58" s="168" t="n">
        <f aca="false">'VOL DWNLD'!W58+'VOL DELTA'!W58</f>
        <v>1</v>
      </c>
      <c r="X58" s="168" t="n">
        <f aca="false">'VOL DWNLD'!X58+'VOL DELTA'!X58</f>
        <v>1</v>
      </c>
      <c r="Y58" s="168" t="n">
        <f aca="false">'VOL DWNLD'!Y58+'VOL DELTA'!Y58</f>
        <v>1.02</v>
      </c>
      <c r="Z58" s="168" t="n">
        <f aca="false">'VOL DWNLD'!Z58+'VOL DELTA'!Z58</f>
        <v>1</v>
      </c>
      <c r="AA58" s="168" t="n">
        <f aca="false">'VOL DWNLD'!AA58+'VOL DELTA'!AA58</f>
        <v>1</v>
      </c>
      <c r="AB58" s="168" t="n">
        <f aca="false">'VOL DWNLD'!AB58+'VOL DELTA'!AB58</f>
        <v>1</v>
      </c>
      <c r="AC58" s="168" t="n">
        <f aca="false">'VOL DWNLD'!AC58+'VOL DELTA'!AC58</f>
        <v>1</v>
      </c>
      <c r="AD58" s="168" t="n">
        <f aca="false">'VOL DWNLD'!AD58+'VOL DELTA'!AD58</f>
        <v>0.98</v>
      </c>
      <c r="AE58" s="168" t="n">
        <f aca="false">'VOL DWNLD'!AE58+'VOL DELTA'!AE58</f>
        <v>0.98</v>
      </c>
      <c r="AF58" s="168" t="n">
        <f aca="false">'VOL DWNLD'!AF58+'VOL DELTA'!AF58</f>
        <v>0.98</v>
      </c>
      <c r="AG58" s="168" t="n">
        <f aca="false">'VOL DWNLD'!AG58+'VOL DELTA'!AG58</f>
        <v>0.98</v>
      </c>
      <c r="AH58" s="168" t="n">
        <f aca="false">'VOL DWNLD'!AH58+'VOL DELTA'!AH58</f>
        <v>1.05</v>
      </c>
      <c r="AI58" s="168" t="n">
        <f aca="false">'VOL DWNLD'!AI58+'VOL DELTA'!AI58</f>
        <v>1</v>
      </c>
      <c r="AJ58" s="168" t="n">
        <f aca="false">'VOL DWNLD'!AJ58+'VOL DELTA'!AJ58</f>
        <v>1</v>
      </c>
      <c r="AK58" s="168" t="n">
        <f aca="false">'VOL DWNLD'!AK58+'VOL DELTA'!AK58</f>
        <v>1.02</v>
      </c>
      <c r="AL58" s="168" t="n">
        <f aca="false">'VOL DWNLD'!AL58+'VOL DELTA'!AL58</f>
        <v>1</v>
      </c>
      <c r="AM58" s="168" t="n">
        <f aca="false">'VOL DWNLD'!AM58+'VOL DELTA'!AM58</f>
        <v>1</v>
      </c>
      <c r="AN58" s="168" t="n">
        <f aca="false">'VOL DWNLD'!AN58+'VOL DELTA'!AN58</f>
        <v>1</v>
      </c>
      <c r="AO58" s="168" t="n">
        <f aca="false">'VOL DWNLD'!AO58+'VOL DELTA'!AO58</f>
        <v>1</v>
      </c>
    </row>
    <row r="59" customFormat="false" ht="12.75" hidden="false" customHeight="false" outlineLevel="0" collapsed="false">
      <c r="A59" s="167" t="n">
        <v>38473</v>
      </c>
      <c r="B59" s="168" t="n">
        <f aca="false">'VOL DWNLD'!B59+'VOL DELTA'!B59</f>
        <v>1</v>
      </c>
      <c r="C59" s="168" t="n">
        <f aca="false">'VOL DWNLD'!C59+'VOL DELTA'!C59</f>
        <v>1</v>
      </c>
      <c r="D59" s="168" t="n">
        <f aca="false">'VOL DWNLD'!D59+'VOL DELTA'!D59</f>
        <v>1</v>
      </c>
      <c r="E59" s="168" t="n">
        <f aca="false">'VOL DWNLD'!E59+'VOL DELTA'!E59</f>
        <v>1</v>
      </c>
      <c r="F59" s="168" t="n">
        <f aca="false">'VOL DWNLD'!F59+'VOL DELTA'!F59</f>
        <v>1</v>
      </c>
      <c r="G59" s="168" t="n">
        <f aca="false">'VOL DWNLD'!G59+'VOL DELTA'!G59</f>
        <v>1</v>
      </c>
      <c r="H59" s="168" t="n">
        <f aca="false">'VOL DWNLD'!H59+'VOL DELTA'!H59</f>
        <v>1</v>
      </c>
      <c r="I59" s="168" t="n">
        <f aca="false">'VOL DWNLD'!I59+'VOL DELTA'!I59</f>
        <v>1</v>
      </c>
      <c r="J59" s="168" t="n">
        <f aca="false">'VOL DWNLD'!J59+'VOL DELTA'!J59</f>
        <v>1</v>
      </c>
      <c r="K59" s="168" t="n">
        <f aca="false">'VOL DWNLD'!K59+'VOL DELTA'!K59</f>
        <v>1</v>
      </c>
      <c r="L59" s="168" t="n">
        <f aca="false">'VOL DWNLD'!L59+'VOL DELTA'!L59</f>
        <v>1</v>
      </c>
      <c r="M59" s="168" t="n">
        <f aca="false">'VOL DWNLD'!M59+'VOL DELTA'!M59</f>
        <v>1</v>
      </c>
      <c r="N59" s="168" t="n">
        <f aca="false">'VOL DWNLD'!N59+'VOL DELTA'!N59</f>
        <v>1</v>
      </c>
      <c r="O59" s="168" t="n">
        <f aca="false">'VOL DWNLD'!O59+'VOL DELTA'!O59</f>
        <v>1</v>
      </c>
      <c r="P59" s="168" t="n">
        <f aca="false">'VOL DWNLD'!P59+'VOL DELTA'!P59</f>
        <v>1.03</v>
      </c>
      <c r="Q59" s="168" t="n">
        <f aca="false">'VOL DWNLD'!Q59+'VOL DELTA'!Q59</f>
        <v>1</v>
      </c>
      <c r="R59" s="168" t="n">
        <f aca="false">'VOL DWNLD'!R59+'VOL DELTA'!R59</f>
        <v>1</v>
      </c>
      <c r="S59" s="168" t="n">
        <f aca="false">'VOL DWNLD'!S59+'VOL DELTA'!S59</f>
        <v>1.02</v>
      </c>
      <c r="T59" s="168" t="n">
        <f aca="false">'VOL DWNLD'!T59+'VOL DELTA'!T59</f>
        <v>1</v>
      </c>
      <c r="U59" s="168" t="n">
        <f aca="false">'VOL DWNLD'!U59+'VOL DELTA'!U59</f>
        <v>1</v>
      </c>
      <c r="V59" s="168" t="n">
        <f aca="false">'VOL DWNLD'!V59+'VOL DELTA'!V59</f>
        <v>1</v>
      </c>
      <c r="W59" s="168" t="n">
        <f aca="false">'VOL DWNLD'!W59+'VOL DELTA'!W59</f>
        <v>1</v>
      </c>
      <c r="X59" s="168" t="n">
        <f aca="false">'VOL DWNLD'!X59+'VOL DELTA'!X59</f>
        <v>1</v>
      </c>
      <c r="Y59" s="168" t="n">
        <f aca="false">'VOL DWNLD'!Y59+'VOL DELTA'!Y59</f>
        <v>1.02</v>
      </c>
      <c r="Z59" s="168" t="n">
        <f aca="false">'VOL DWNLD'!Z59+'VOL DELTA'!Z59</f>
        <v>1</v>
      </c>
      <c r="AA59" s="168" t="n">
        <f aca="false">'VOL DWNLD'!AA59+'VOL DELTA'!AA59</f>
        <v>1</v>
      </c>
      <c r="AB59" s="168" t="n">
        <f aca="false">'VOL DWNLD'!AB59+'VOL DELTA'!AB59</f>
        <v>1</v>
      </c>
      <c r="AC59" s="168" t="n">
        <f aca="false">'VOL DWNLD'!AC59+'VOL DELTA'!AC59</f>
        <v>1</v>
      </c>
      <c r="AD59" s="168" t="n">
        <f aca="false">'VOL DWNLD'!AD59+'VOL DELTA'!AD59</f>
        <v>0.98</v>
      </c>
      <c r="AE59" s="168" t="n">
        <f aca="false">'VOL DWNLD'!AE59+'VOL DELTA'!AE59</f>
        <v>0.98</v>
      </c>
      <c r="AF59" s="168" t="n">
        <f aca="false">'VOL DWNLD'!AF59+'VOL DELTA'!AF59</f>
        <v>0.98</v>
      </c>
      <c r="AG59" s="168" t="n">
        <f aca="false">'VOL DWNLD'!AG59+'VOL DELTA'!AG59</f>
        <v>0.98</v>
      </c>
      <c r="AH59" s="168" t="n">
        <f aca="false">'VOL DWNLD'!AH59+'VOL DELTA'!AH59</f>
        <v>1.05</v>
      </c>
      <c r="AI59" s="168" t="n">
        <f aca="false">'VOL DWNLD'!AI59+'VOL DELTA'!AI59</f>
        <v>1</v>
      </c>
      <c r="AJ59" s="168" t="n">
        <f aca="false">'VOL DWNLD'!AJ59+'VOL DELTA'!AJ59</f>
        <v>1</v>
      </c>
      <c r="AK59" s="168" t="n">
        <f aca="false">'VOL DWNLD'!AK59+'VOL DELTA'!AK59</f>
        <v>1.02</v>
      </c>
      <c r="AL59" s="168" t="n">
        <f aca="false">'VOL DWNLD'!AL59+'VOL DELTA'!AL59</f>
        <v>1</v>
      </c>
      <c r="AM59" s="168" t="n">
        <f aca="false">'VOL DWNLD'!AM59+'VOL DELTA'!AM59</f>
        <v>1</v>
      </c>
      <c r="AN59" s="168" t="n">
        <f aca="false">'VOL DWNLD'!AN59+'VOL DELTA'!AN59</f>
        <v>1</v>
      </c>
      <c r="AO59" s="168" t="n">
        <f aca="false">'VOL DWNLD'!AO59+'VOL DELTA'!AO59</f>
        <v>1</v>
      </c>
    </row>
    <row r="60" customFormat="false" ht="12.75" hidden="false" customHeight="false" outlineLevel="0" collapsed="false">
      <c r="A60" s="167" t="n">
        <v>38504</v>
      </c>
      <c r="B60" s="168" t="n">
        <f aca="false">'VOL DWNLD'!B60+'VOL DELTA'!B60</f>
        <v>1</v>
      </c>
      <c r="C60" s="168" t="n">
        <f aca="false">'VOL DWNLD'!C60+'VOL DELTA'!C60</f>
        <v>1</v>
      </c>
      <c r="D60" s="168" t="n">
        <f aca="false">'VOL DWNLD'!D60+'VOL DELTA'!D60</f>
        <v>1</v>
      </c>
      <c r="E60" s="168" t="n">
        <f aca="false">'VOL DWNLD'!E60+'VOL DELTA'!E60</f>
        <v>1</v>
      </c>
      <c r="F60" s="168" t="n">
        <f aca="false">'VOL DWNLD'!F60+'VOL DELTA'!F60</f>
        <v>1</v>
      </c>
      <c r="G60" s="168" t="n">
        <f aca="false">'VOL DWNLD'!G60+'VOL DELTA'!G60</f>
        <v>1</v>
      </c>
      <c r="H60" s="168" t="n">
        <f aca="false">'VOL DWNLD'!H60+'VOL DELTA'!H60</f>
        <v>1</v>
      </c>
      <c r="I60" s="168" t="n">
        <f aca="false">'VOL DWNLD'!I60+'VOL DELTA'!I60</f>
        <v>1</v>
      </c>
      <c r="J60" s="168" t="n">
        <f aca="false">'VOL DWNLD'!J60+'VOL DELTA'!J60</f>
        <v>1</v>
      </c>
      <c r="K60" s="168" t="n">
        <f aca="false">'VOL DWNLD'!K60+'VOL DELTA'!K60</f>
        <v>1</v>
      </c>
      <c r="L60" s="168" t="n">
        <f aca="false">'VOL DWNLD'!L60+'VOL DELTA'!L60</f>
        <v>1</v>
      </c>
      <c r="M60" s="168" t="n">
        <f aca="false">'VOL DWNLD'!M60+'VOL DELTA'!M60</f>
        <v>1</v>
      </c>
      <c r="N60" s="168" t="n">
        <f aca="false">'VOL DWNLD'!N60+'VOL DELTA'!N60</f>
        <v>1</v>
      </c>
      <c r="O60" s="168" t="n">
        <f aca="false">'VOL DWNLD'!O60+'VOL DELTA'!O60</f>
        <v>1</v>
      </c>
      <c r="P60" s="168" t="n">
        <f aca="false">'VOL DWNLD'!P60+'VOL DELTA'!P60</f>
        <v>1.03</v>
      </c>
      <c r="Q60" s="168" t="n">
        <f aca="false">'VOL DWNLD'!Q60+'VOL DELTA'!Q60</f>
        <v>1</v>
      </c>
      <c r="R60" s="168" t="n">
        <f aca="false">'VOL DWNLD'!R60+'VOL DELTA'!R60</f>
        <v>1</v>
      </c>
      <c r="S60" s="168" t="n">
        <f aca="false">'VOL DWNLD'!S60+'VOL DELTA'!S60</f>
        <v>1.02</v>
      </c>
      <c r="T60" s="168" t="n">
        <f aca="false">'VOL DWNLD'!T60+'VOL DELTA'!T60</f>
        <v>1</v>
      </c>
      <c r="U60" s="168" t="n">
        <f aca="false">'VOL DWNLD'!U60+'VOL DELTA'!U60</f>
        <v>1</v>
      </c>
      <c r="V60" s="168" t="n">
        <f aca="false">'VOL DWNLD'!V60+'VOL DELTA'!V60</f>
        <v>1</v>
      </c>
      <c r="W60" s="168" t="n">
        <f aca="false">'VOL DWNLD'!W60+'VOL DELTA'!W60</f>
        <v>1</v>
      </c>
      <c r="X60" s="168" t="n">
        <f aca="false">'VOL DWNLD'!X60+'VOL DELTA'!X60</f>
        <v>1</v>
      </c>
      <c r="Y60" s="168" t="n">
        <f aca="false">'VOL DWNLD'!Y60+'VOL DELTA'!Y60</f>
        <v>1.02</v>
      </c>
      <c r="Z60" s="168" t="n">
        <f aca="false">'VOL DWNLD'!Z60+'VOL DELTA'!Z60</f>
        <v>1</v>
      </c>
      <c r="AA60" s="168" t="n">
        <f aca="false">'VOL DWNLD'!AA60+'VOL DELTA'!AA60</f>
        <v>1</v>
      </c>
      <c r="AB60" s="168" t="n">
        <f aca="false">'VOL DWNLD'!AB60+'VOL DELTA'!AB60</f>
        <v>1</v>
      </c>
      <c r="AC60" s="168" t="n">
        <f aca="false">'VOL DWNLD'!AC60+'VOL DELTA'!AC60</f>
        <v>1</v>
      </c>
      <c r="AD60" s="168" t="n">
        <f aca="false">'VOL DWNLD'!AD60+'VOL DELTA'!AD60</f>
        <v>0.98</v>
      </c>
      <c r="AE60" s="168" t="n">
        <f aca="false">'VOL DWNLD'!AE60+'VOL DELTA'!AE60</f>
        <v>0.98</v>
      </c>
      <c r="AF60" s="168" t="n">
        <f aca="false">'VOL DWNLD'!AF60+'VOL DELTA'!AF60</f>
        <v>0.98</v>
      </c>
      <c r="AG60" s="168" t="n">
        <f aca="false">'VOL DWNLD'!AG60+'VOL DELTA'!AG60</f>
        <v>0.98</v>
      </c>
      <c r="AH60" s="168" t="n">
        <f aca="false">'VOL DWNLD'!AH60+'VOL DELTA'!AH60</f>
        <v>1.05</v>
      </c>
      <c r="AI60" s="168" t="n">
        <f aca="false">'VOL DWNLD'!AI60+'VOL DELTA'!AI60</f>
        <v>1</v>
      </c>
      <c r="AJ60" s="168" t="n">
        <f aca="false">'VOL DWNLD'!AJ60+'VOL DELTA'!AJ60</f>
        <v>1</v>
      </c>
      <c r="AK60" s="168" t="n">
        <f aca="false">'VOL DWNLD'!AK60+'VOL DELTA'!AK60</f>
        <v>1.02</v>
      </c>
      <c r="AL60" s="168" t="n">
        <f aca="false">'VOL DWNLD'!AL60+'VOL DELTA'!AL60</f>
        <v>1</v>
      </c>
      <c r="AM60" s="168" t="n">
        <f aca="false">'VOL DWNLD'!AM60+'VOL DELTA'!AM60</f>
        <v>1</v>
      </c>
      <c r="AN60" s="168" t="n">
        <f aca="false">'VOL DWNLD'!AN60+'VOL DELTA'!AN60</f>
        <v>1</v>
      </c>
      <c r="AO60" s="168" t="n">
        <f aca="false">'VOL DWNLD'!AO60+'VOL DELTA'!AO60</f>
        <v>1</v>
      </c>
    </row>
    <row r="61" customFormat="false" ht="12.75" hidden="false" customHeight="false" outlineLevel="0" collapsed="false">
      <c r="A61" s="167" t="n">
        <v>38534</v>
      </c>
      <c r="B61" s="168" t="n">
        <f aca="false">'VOL DWNLD'!B61+'VOL DELTA'!B61</f>
        <v>1</v>
      </c>
      <c r="C61" s="168" t="n">
        <f aca="false">'VOL DWNLD'!C61+'VOL DELTA'!C61</f>
        <v>1</v>
      </c>
      <c r="D61" s="168" t="n">
        <f aca="false">'VOL DWNLD'!D61+'VOL DELTA'!D61</f>
        <v>1</v>
      </c>
      <c r="E61" s="168" t="n">
        <f aca="false">'VOL DWNLD'!E61+'VOL DELTA'!E61</f>
        <v>1</v>
      </c>
      <c r="F61" s="168" t="n">
        <f aca="false">'VOL DWNLD'!F61+'VOL DELTA'!F61</f>
        <v>1</v>
      </c>
      <c r="G61" s="168" t="n">
        <f aca="false">'VOL DWNLD'!G61+'VOL DELTA'!G61</f>
        <v>1</v>
      </c>
      <c r="H61" s="168" t="n">
        <f aca="false">'VOL DWNLD'!H61+'VOL DELTA'!H61</f>
        <v>1</v>
      </c>
      <c r="I61" s="168" t="n">
        <f aca="false">'VOL DWNLD'!I61+'VOL DELTA'!I61</f>
        <v>1</v>
      </c>
      <c r="J61" s="168" t="n">
        <f aca="false">'VOL DWNLD'!J61+'VOL DELTA'!J61</f>
        <v>1</v>
      </c>
      <c r="K61" s="168" t="n">
        <f aca="false">'VOL DWNLD'!K61+'VOL DELTA'!K61</f>
        <v>1</v>
      </c>
      <c r="L61" s="168" t="n">
        <f aca="false">'VOL DWNLD'!L61+'VOL DELTA'!L61</f>
        <v>1</v>
      </c>
      <c r="M61" s="168" t="n">
        <f aca="false">'VOL DWNLD'!M61+'VOL DELTA'!M61</f>
        <v>1</v>
      </c>
      <c r="N61" s="168" t="n">
        <f aca="false">'VOL DWNLD'!N61+'VOL DELTA'!N61</f>
        <v>1</v>
      </c>
      <c r="O61" s="168" t="n">
        <f aca="false">'VOL DWNLD'!O61+'VOL DELTA'!O61</f>
        <v>1</v>
      </c>
      <c r="P61" s="168" t="n">
        <f aca="false">'VOL DWNLD'!P61+'VOL DELTA'!P61</f>
        <v>1.03</v>
      </c>
      <c r="Q61" s="168" t="n">
        <f aca="false">'VOL DWNLD'!Q61+'VOL DELTA'!Q61</f>
        <v>1</v>
      </c>
      <c r="R61" s="168" t="n">
        <f aca="false">'VOL DWNLD'!R61+'VOL DELTA'!R61</f>
        <v>1</v>
      </c>
      <c r="S61" s="168" t="n">
        <f aca="false">'VOL DWNLD'!S61+'VOL DELTA'!S61</f>
        <v>1.02</v>
      </c>
      <c r="T61" s="168" t="n">
        <f aca="false">'VOL DWNLD'!T61+'VOL DELTA'!T61</f>
        <v>1</v>
      </c>
      <c r="U61" s="168" t="n">
        <f aca="false">'VOL DWNLD'!U61+'VOL DELTA'!U61</f>
        <v>1</v>
      </c>
      <c r="V61" s="168" t="n">
        <f aca="false">'VOL DWNLD'!V61+'VOL DELTA'!V61</f>
        <v>1</v>
      </c>
      <c r="W61" s="168" t="n">
        <f aca="false">'VOL DWNLD'!W61+'VOL DELTA'!W61</f>
        <v>1</v>
      </c>
      <c r="X61" s="168" t="n">
        <f aca="false">'VOL DWNLD'!X61+'VOL DELTA'!X61</f>
        <v>1</v>
      </c>
      <c r="Y61" s="168" t="n">
        <f aca="false">'VOL DWNLD'!Y61+'VOL DELTA'!Y61</f>
        <v>1.02</v>
      </c>
      <c r="Z61" s="168" t="n">
        <f aca="false">'VOL DWNLD'!Z61+'VOL DELTA'!Z61</f>
        <v>1</v>
      </c>
      <c r="AA61" s="168" t="n">
        <f aca="false">'VOL DWNLD'!AA61+'VOL DELTA'!AA61</f>
        <v>1</v>
      </c>
      <c r="AB61" s="168" t="n">
        <f aca="false">'VOL DWNLD'!AB61+'VOL DELTA'!AB61</f>
        <v>1</v>
      </c>
      <c r="AC61" s="168" t="n">
        <f aca="false">'VOL DWNLD'!AC61+'VOL DELTA'!AC61</f>
        <v>1</v>
      </c>
      <c r="AD61" s="168" t="n">
        <f aca="false">'VOL DWNLD'!AD61+'VOL DELTA'!AD61</f>
        <v>0.98</v>
      </c>
      <c r="AE61" s="168" t="n">
        <f aca="false">'VOL DWNLD'!AE61+'VOL DELTA'!AE61</f>
        <v>0.98</v>
      </c>
      <c r="AF61" s="168" t="n">
        <f aca="false">'VOL DWNLD'!AF61+'VOL DELTA'!AF61</f>
        <v>0.98</v>
      </c>
      <c r="AG61" s="168" t="n">
        <f aca="false">'VOL DWNLD'!AG61+'VOL DELTA'!AG61</f>
        <v>0.98</v>
      </c>
      <c r="AH61" s="168" t="n">
        <f aca="false">'VOL DWNLD'!AH61+'VOL DELTA'!AH61</f>
        <v>1.05</v>
      </c>
      <c r="AI61" s="168" t="n">
        <f aca="false">'VOL DWNLD'!AI61+'VOL DELTA'!AI61</f>
        <v>1</v>
      </c>
      <c r="AJ61" s="168" t="n">
        <f aca="false">'VOL DWNLD'!AJ61+'VOL DELTA'!AJ61</f>
        <v>1</v>
      </c>
      <c r="AK61" s="168" t="n">
        <f aca="false">'VOL DWNLD'!AK61+'VOL DELTA'!AK61</f>
        <v>1.02</v>
      </c>
      <c r="AL61" s="168" t="n">
        <f aca="false">'VOL DWNLD'!AL61+'VOL DELTA'!AL61</f>
        <v>1</v>
      </c>
      <c r="AM61" s="168" t="n">
        <f aca="false">'VOL DWNLD'!AM61+'VOL DELTA'!AM61</f>
        <v>1</v>
      </c>
      <c r="AN61" s="168" t="n">
        <f aca="false">'VOL DWNLD'!AN61+'VOL DELTA'!AN61</f>
        <v>1</v>
      </c>
      <c r="AO61" s="168" t="n">
        <f aca="false">'VOL DWNLD'!AO61+'VOL DELTA'!AO61</f>
        <v>1</v>
      </c>
    </row>
    <row r="62" customFormat="false" ht="12.75" hidden="false" customHeight="false" outlineLevel="0" collapsed="false">
      <c r="A62" s="167" t="n">
        <v>38565</v>
      </c>
      <c r="B62" s="168" t="n">
        <f aca="false">'VOL DWNLD'!B62+'VOL DELTA'!B62</f>
        <v>1</v>
      </c>
      <c r="C62" s="168" t="n">
        <f aca="false">'VOL DWNLD'!C62+'VOL DELTA'!C62</f>
        <v>1</v>
      </c>
      <c r="D62" s="168" t="n">
        <f aca="false">'VOL DWNLD'!D62+'VOL DELTA'!D62</f>
        <v>1</v>
      </c>
      <c r="E62" s="168" t="n">
        <f aca="false">'VOL DWNLD'!E62+'VOL DELTA'!E62</f>
        <v>1</v>
      </c>
      <c r="F62" s="168" t="n">
        <f aca="false">'VOL DWNLD'!F62+'VOL DELTA'!F62</f>
        <v>1</v>
      </c>
      <c r="G62" s="168" t="n">
        <f aca="false">'VOL DWNLD'!G62+'VOL DELTA'!G62</f>
        <v>1</v>
      </c>
      <c r="H62" s="168" t="n">
        <f aca="false">'VOL DWNLD'!H62+'VOL DELTA'!H62</f>
        <v>1</v>
      </c>
      <c r="I62" s="168" t="n">
        <f aca="false">'VOL DWNLD'!I62+'VOL DELTA'!I62</f>
        <v>1</v>
      </c>
      <c r="J62" s="168" t="n">
        <f aca="false">'VOL DWNLD'!J62+'VOL DELTA'!J62</f>
        <v>1</v>
      </c>
      <c r="K62" s="168" t="n">
        <f aca="false">'VOL DWNLD'!K62+'VOL DELTA'!K62</f>
        <v>1</v>
      </c>
      <c r="L62" s="168" t="n">
        <f aca="false">'VOL DWNLD'!L62+'VOL DELTA'!L62</f>
        <v>1</v>
      </c>
      <c r="M62" s="168" t="n">
        <f aca="false">'VOL DWNLD'!M62+'VOL DELTA'!M62</f>
        <v>1</v>
      </c>
      <c r="N62" s="168" t="n">
        <f aca="false">'VOL DWNLD'!N62+'VOL DELTA'!N62</f>
        <v>1</v>
      </c>
      <c r="O62" s="168" t="n">
        <f aca="false">'VOL DWNLD'!O62+'VOL DELTA'!O62</f>
        <v>1</v>
      </c>
      <c r="P62" s="168" t="n">
        <f aca="false">'VOL DWNLD'!P62+'VOL DELTA'!P62</f>
        <v>1.03</v>
      </c>
      <c r="Q62" s="168" t="n">
        <f aca="false">'VOL DWNLD'!Q62+'VOL DELTA'!Q62</f>
        <v>1</v>
      </c>
      <c r="R62" s="168" t="n">
        <f aca="false">'VOL DWNLD'!R62+'VOL DELTA'!R62</f>
        <v>1</v>
      </c>
      <c r="S62" s="168" t="n">
        <f aca="false">'VOL DWNLD'!S62+'VOL DELTA'!S62</f>
        <v>1.02</v>
      </c>
      <c r="T62" s="168" t="n">
        <f aca="false">'VOL DWNLD'!T62+'VOL DELTA'!T62</f>
        <v>1</v>
      </c>
      <c r="U62" s="168" t="n">
        <f aca="false">'VOL DWNLD'!U62+'VOL DELTA'!U62</f>
        <v>1</v>
      </c>
      <c r="V62" s="168" t="n">
        <f aca="false">'VOL DWNLD'!V62+'VOL DELTA'!V62</f>
        <v>1</v>
      </c>
      <c r="W62" s="168" t="n">
        <f aca="false">'VOL DWNLD'!W62+'VOL DELTA'!W62</f>
        <v>1</v>
      </c>
      <c r="X62" s="168" t="n">
        <f aca="false">'VOL DWNLD'!X62+'VOL DELTA'!X62</f>
        <v>1</v>
      </c>
      <c r="Y62" s="168" t="n">
        <f aca="false">'VOL DWNLD'!Y62+'VOL DELTA'!Y62</f>
        <v>1.02</v>
      </c>
      <c r="Z62" s="168" t="n">
        <f aca="false">'VOL DWNLD'!Z62+'VOL DELTA'!Z62</f>
        <v>1</v>
      </c>
      <c r="AA62" s="168" t="n">
        <f aca="false">'VOL DWNLD'!AA62+'VOL DELTA'!AA62</f>
        <v>1</v>
      </c>
      <c r="AB62" s="168" t="n">
        <f aca="false">'VOL DWNLD'!AB62+'VOL DELTA'!AB62</f>
        <v>1</v>
      </c>
      <c r="AC62" s="168" t="n">
        <f aca="false">'VOL DWNLD'!AC62+'VOL DELTA'!AC62</f>
        <v>1</v>
      </c>
      <c r="AD62" s="168" t="n">
        <f aca="false">'VOL DWNLD'!AD62+'VOL DELTA'!AD62</f>
        <v>0.98</v>
      </c>
      <c r="AE62" s="168" t="n">
        <f aca="false">'VOL DWNLD'!AE62+'VOL DELTA'!AE62</f>
        <v>0.98</v>
      </c>
      <c r="AF62" s="168" t="n">
        <f aca="false">'VOL DWNLD'!AF62+'VOL DELTA'!AF62</f>
        <v>0.98</v>
      </c>
      <c r="AG62" s="168" t="n">
        <f aca="false">'VOL DWNLD'!AG62+'VOL DELTA'!AG62</f>
        <v>0.98</v>
      </c>
      <c r="AH62" s="168" t="n">
        <f aca="false">'VOL DWNLD'!AH62+'VOL DELTA'!AH62</f>
        <v>1.05</v>
      </c>
      <c r="AI62" s="168" t="n">
        <f aca="false">'VOL DWNLD'!AI62+'VOL DELTA'!AI62</f>
        <v>1</v>
      </c>
      <c r="AJ62" s="168" t="n">
        <f aca="false">'VOL DWNLD'!AJ62+'VOL DELTA'!AJ62</f>
        <v>1</v>
      </c>
      <c r="AK62" s="168" t="n">
        <f aca="false">'VOL DWNLD'!AK62+'VOL DELTA'!AK62</f>
        <v>1.02</v>
      </c>
      <c r="AL62" s="168" t="n">
        <f aca="false">'VOL DWNLD'!AL62+'VOL DELTA'!AL62</f>
        <v>1</v>
      </c>
      <c r="AM62" s="168" t="n">
        <f aca="false">'VOL DWNLD'!AM62+'VOL DELTA'!AM62</f>
        <v>1</v>
      </c>
      <c r="AN62" s="168" t="n">
        <f aca="false">'VOL DWNLD'!AN62+'VOL DELTA'!AN62</f>
        <v>1</v>
      </c>
      <c r="AO62" s="168" t="n">
        <f aca="false">'VOL DWNLD'!AO62+'VOL DELTA'!AO62</f>
        <v>1</v>
      </c>
    </row>
    <row r="63" customFormat="false" ht="12.75" hidden="false" customHeight="false" outlineLevel="0" collapsed="false">
      <c r="A63" s="167" t="n">
        <v>38596</v>
      </c>
      <c r="B63" s="168" t="n">
        <f aca="false">'VOL DWNLD'!B63+'VOL DELTA'!B63</f>
        <v>1</v>
      </c>
      <c r="C63" s="168" t="n">
        <f aca="false">'VOL DWNLD'!C63+'VOL DELTA'!C63</f>
        <v>1</v>
      </c>
      <c r="D63" s="168" t="n">
        <f aca="false">'VOL DWNLD'!D63+'VOL DELTA'!D63</f>
        <v>1</v>
      </c>
      <c r="E63" s="168" t="n">
        <f aca="false">'VOL DWNLD'!E63+'VOL DELTA'!E63</f>
        <v>1</v>
      </c>
      <c r="F63" s="168" t="n">
        <f aca="false">'VOL DWNLD'!F63+'VOL DELTA'!F63</f>
        <v>1</v>
      </c>
      <c r="G63" s="168" t="n">
        <f aca="false">'VOL DWNLD'!G63+'VOL DELTA'!G63</f>
        <v>1</v>
      </c>
      <c r="H63" s="168" t="n">
        <f aca="false">'VOL DWNLD'!H63+'VOL DELTA'!H63</f>
        <v>1</v>
      </c>
      <c r="I63" s="168" t="n">
        <f aca="false">'VOL DWNLD'!I63+'VOL DELTA'!I63</f>
        <v>1</v>
      </c>
      <c r="J63" s="168" t="n">
        <f aca="false">'VOL DWNLD'!J63+'VOL DELTA'!J63</f>
        <v>1</v>
      </c>
      <c r="K63" s="168" t="n">
        <f aca="false">'VOL DWNLD'!K63+'VOL DELTA'!K63</f>
        <v>1</v>
      </c>
      <c r="L63" s="168" t="n">
        <f aca="false">'VOL DWNLD'!L63+'VOL DELTA'!L63</f>
        <v>1</v>
      </c>
      <c r="M63" s="168" t="n">
        <f aca="false">'VOL DWNLD'!M63+'VOL DELTA'!M63</f>
        <v>1</v>
      </c>
      <c r="N63" s="168" t="n">
        <f aca="false">'VOL DWNLD'!N63+'VOL DELTA'!N63</f>
        <v>1</v>
      </c>
      <c r="O63" s="168" t="n">
        <f aca="false">'VOL DWNLD'!O63+'VOL DELTA'!O63</f>
        <v>1</v>
      </c>
      <c r="P63" s="168" t="n">
        <f aca="false">'VOL DWNLD'!P63+'VOL DELTA'!P63</f>
        <v>1.03</v>
      </c>
      <c r="Q63" s="168" t="n">
        <f aca="false">'VOL DWNLD'!Q63+'VOL DELTA'!Q63</f>
        <v>1</v>
      </c>
      <c r="R63" s="168" t="n">
        <f aca="false">'VOL DWNLD'!R63+'VOL DELTA'!R63</f>
        <v>1</v>
      </c>
      <c r="S63" s="168" t="n">
        <f aca="false">'VOL DWNLD'!S63+'VOL DELTA'!S63</f>
        <v>1.02</v>
      </c>
      <c r="T63" s="168" t="n">
        <f aca="false">'VOL DWNLD'!T63+'VOL DELTA'!T63</f>
        <v>1</v>
      </c>
      <c r="U63" s="168" t="n">
        <f aca="false">'VOL DWNLD'!U63+'VOL DELTA'!U63</f>
        <v>1</v>
      </c>
      <c r="V63" s="168" t="n">
        <f aca="false">'VOL DWNLD'!V63+'VOL DELTA'!V63</f>
        <v>1</v>
      </c>
      <c r="W63" s="168" t="n">
        <f aca="false">'VOL DWNLD'!W63+'VOL DELTA'!W63</f>
        <v>1</v>
      </c>
      <c r="X63" s="168" t="n">
        <f aca="false">'VOL DWNLD'!X63+'VOL DELTA'!X63</f>
        <v>1</v>
      </c>
      <c r="Y63" s="168" t="n">
        <f aca="false">'VOL DWNLD'!Y63+'VOL DELTA'!Y63</f>
        <v>1.02</v>
      </c>
      <c r="Z63" s="168" t="n">
        <f aca="false">'VOL DWNLD'!Z63+'VOL DELTA'!Z63</f>
        <v>1</v>
      </c>
      <c r="AA63" s="168" t="n">
        <f aca="false">'VOL DWNLD'!AA63+'VOL DELTA'!AA63</f>
        <v>1</v>
      </c>
      <c r="AB63" s="168" t="n">
        <f aca="false">'VOL DWNLD'!AB63+'VOL DELTA'!AB63</f>
        <v>1</v>
      </c>
      <c r="AC63" s="168" t="n">
        <f aca="false">'VOL DWNLD'!AC63+'VOL DELTA'!AC63</f>
        <v>1</v>
      </c>
      <c r="AD63" s="168" t="n">
        <f aca="false">'VOL DWNLD'!AD63+'VOL DELTA'!AD63</f>
        <v>0.98</v>
      </c>
      <c r="AE63" s="168" t="n">
        <f aca="false">'VOL DWNLD'!AE63+'VOL DELTA'!AE63</f>
        <v>0.98</v>
      </c>
      <c r="AF63" s="168" t="n">
        <f aca="false">'VOL DWNLD'!AF63+'VOL DELTA'!AF63</f>
        <v>0.98</v>
      </c>
      <c r="AG63" s="168" t="n">
        <f aca="false">'VOL DWNLD'!AG63+'VOL DELTA'!AG63</f>
        <v>0.98</v>
      </c>
      <c r="AH63" s="168" t="n">
        <f aca="false">'VOL DWNLD'!AH63+'VOL DELTA'!AH63</f>
        <v>1.05</v>
      </c>
      <c r="AI63" s="168" t="n">
        <f aca="false">'VOL DWNLD'!AI63+'VOL DELTA'!AI63</f>
        <v>1</v>
      </c>
      <c r="AJ63" s="168" t="n">
        <f aca="false">'VOL DWNLD'!AJ63+'VOL DELTA'!AJ63</f>
        <v>1</v>
      </c>
      <c r="AK63" s="168" t="n">
        <f aca="false">'VOL DWNLD'!AK63+'VOL DELTA'!AK63</f>
        <v>1.02</v>
      </c>
      <c r="AL63" s="168" t="n">
        <f aca="false">'VOL DWNLD'!AL63+'VOL DELTA'!AL63</f>
        <v>1</v>
      </c>
      <c r="AM63" s="168" t="n">
        <f aca="false">'VOL DWNLD'!AM63+'VOL DELTA'!AM63</f>
        <v>1</v>
      </c>
      <c r="AN63" s="168" t="n">
        <f aca="false">'VOL DWNLD'!AN63+'VOL DELTA'!AN63</f>
        <v>1</v>
      </c>
      <c r="AO63" s="168" t="n">
        <f aca="false">'VOL DWNLD'!AO63+'VOL DELTA'!AO63</f>
        <v>1</v>
      </c>
    </row>
    <row r="64" customFormat="false" ht="12.75" hidden="false" customHeight="false" outlineLevel="0" collapsed="false">
      <c r="A64" s="167" t="n">
        <v>38626</v>
      </c>
      <c r="B64" s="168" t="n">
        <f aca="false">'VOL DWNLD'!B64+'VOL DELTA'!B64</f>
        <v>1</v>
      </c>
      <c r="C64" s="168" t="n">
        <f aca="false">'VOL DWNLD'!C64+'VOL DELTA'!C64</f>
        <v>1</v>
      </c>
      <c r="D64" s="168" t="n">
        <f aca="false">'VOL DWNLD'!D64+'VOL DELTA'!D64</f>
        <v>1</v>
      </c>
      <c r="E64" s="168" t="n">
        <f aca="false">'VOL DWNLD'!E64+'VOL DELTA'!E64</f>
        <v>1</v>
      </c>
      <c r="F64" s="168" t="n">
        <f aca="false">'VOL DWNLD'!F64+'VOL DELTA'!F64</f>
        <v>1</v>
      </c>
      <c r="G64" s="168" t="n">
        <f aca="false">'VOL DWNLD'!G64+'VOL DELTA'!G64</f>
        <v>1</v>
      </c>
      <c r="H64" s="168" t="n">
        <f aca="false">'VOL DWNLD'!H64+'VOL DELTA'!H64</f>
        <v>1</v>
      </c>
      <c r="I64" s="168" t="n">
        <f aca="false">'VOL DWNLD'!I64+'VOL DELTA'!I64</f>
        <v>1</v>
      </c>
      <c r="J64" s="168" t="n">
        <f aca="false">'VOL DWNLD'!J64+'VOL DELTA'!J64</f>
        <v>1</v>
      </c>
      <c r="K64" s="168" t="n">
        <f aca="false">'VOL DWNLD'!K64+'VOL DELTA'!K64</f>
        <v>1</v>
      </c>
      <c r="L64" s="168" t="n">
        <f aca="false">'VOL DWNLD'!L64+'VOL DELTA'!L64</f>
        <v>1</v>
      </c>
      <c r="M64" s="168" t="n">
        <f aca="false">'VOL DWNLD'!M64+'VOL DELTA'!M64</f>
        <v>1</v>
      </c>
      <c r="N64" s="168" t="n">
        <f aca="false">'VOL DWNLD'!N64+'VOL DELTA'!N64</f>
        <v>1</v>
      </c>
      <c r="O64" s="168" t="n">
        <f aca="false">'VOL DWNLD'!O64+'VOL DELTA'!O64</f>
        <v>1</v>
      </c>
      <c r="P64" s="168" t="n">
        <f aca="false">'VOL DWNLD'!P64+'VOL DELTA'!P64</f>
        <v>1.03</v>
      </c>
      <c r="Q64" s="168" t="n">
        <f aca="false">'VOL DWNLD'!Q64+'VOL DELTA'!Q64</f>
        <v>1</v>
      </c>
      <c r="R64" s="168" t="n">
        <f aca="false">'VOL DWNLD'!R64+'VOL DELTA'!R64</f>
        <v>1</v>
      </c>
      <c r="S64" s="168" t="n">
        <f aca="false">'VOL DWNLD'!S64+'VOL DELTA'!S64</f>
        <v>1.02</v>
      </c>
      <c r="T64" s="168" t="n">
        <f aca="false">'VOL DWNLD'!T64+'VOL DELTA'!T64</f>
        <v>1</v>
      </c>
      <c r="U64" s="168" t="n">
        <f aca="false">'VOL DWNLD'!U64+'VOL DELTA'!U64</f>
        <v>1</v>
      </c>
      <c r="V64" s="168" t="n">
        <f aca="false">'VOL DWNLD'!V64+'VOL DELTA'!V64</f>
        <v>1</v>
      </c>
      <c r="W64" s="168" t="n">
        <f aca="false">'VOL DWNLD'!W64+'VOL DELTA'!W64</f>
        <v>1</v>
      </c>
      <c r="X64" s="168" t="n">
        <f aca="false">'VOL DWNLD'!X64+'VOL DELTA'!X64</f>
        <v>1</v>
      </c>
      <c r="Y64" s="168" t="n">
        <f aca="false">'VOL DWNLD'!Y64+'VOL DELTA'!Y64</f>
        <v>1.02</v>
      </c>
      <c r="Z64" s="168" t="n">
        <f aca="false">'VOL DWNLD'!Z64+'VOL DELTA'!Z64</f>
        <v>1</v>
      </c>
      <c r="AA64" s="168" t="n">
        <f aca="false">'VOL DWNLD'!AA64+'VOL DELTA'!AA64</f>
        <v>1</v>
      </c>
      <c r="AB64" s="168" t="n">
        <f aca="false">'VOL DWNLD'!AB64+'VOL DELTA'!AB64</f>
        <v>1</v>
      </c>
      <c r="AC64" s="168" t="n">
        <f aca="false">'VOL DWNLD'!AC64+'VOL DELTA'!AC64</f>
        <v>1</v>
      </c>
      <c r="AD64" s="168" t="n">
        <f aca="false">'VOL DWNLD'!AD64+'VOL DELTA'!AD64</f>
        <v>0.98</v>
      </c>
      <c r="AE64" s="168" t="n">
        <f aca="false">'VOL DWNLD'!AE64+'VOL DELTA'!AE64</f>
        <v>0.98</v>
      </c>
      <c r="AF64" s="168" t="n">
        <f aca="false">'VOL DWNLD'!AF64+'VOL DELTA'!AF64</f>
        <v>0.98</v>
      </c>
      <c r="AG64" s="168" t="n">
        <f aca="false">'VOL DWNLD'!AG64+'VOL DELTA'!AG64</f>
        <v>0.98</v>
      </c>
      <c r="AH64" s="168" t="n">
        <f aca="false">'VOL DWNLD'!AH64+'VOL DELTA'!AH64</f>
        <v>1.05</v>
      </c>
      <c r="AI64" s="168" t="n">
        <f aca="false">'VOL DWNLD'!AI64+'VOL DELTA'!AI64</f>
        <v>1</v>
      </c>
      <c r="AJ64" s="168" t="n">
        <f aca="false">'VOL DWNLD'!AJ64+'VOL DELTA'!AJ64</f>
        <v>1</v>
      </c>
      <c r="AK64" s="168" t="n">
        <f aca="false">'VOL DWNLD'!AK64+'VOL DELTA'!AK64</f>
        <v>1.02</v>
      </c>
      <c r="AL64" s="168" t="n">
        <f aca="false">'VOL DWNLD'!AL64+'VOL DELTA'!AL64</f>
        <v>1</v>
      </c>
      <c r="AM64" s="168" t="n">
        <f aca="false">'VOL DWNLD'!AM64+'VOL DELTA'!AM64</f>
        <v>1</v>
      </c>
      <c r="AN64" s="168" t="n">
        <f aca="false">'VOL DWNLD'!AN64+'VOL DELTA'!AN64</f>
        <v>1</v>
      </c>
      <c r="AO64" s="168" t="n">
        <f aca="false">'VOL DWNLD'!AO64+'VOL DELTA'!AO64</f>
        <v>1</v>
      </c>
    </row>
    <row r="65" customFormat="false" ht="12.75" hidden="false" customHeight="false" outlineLevel="0" collapsed="false">
      <c r="A65" s="167" t="n">
        <v>38657</v>
      </c>
      <c r="B65" s="168" t="n">
        <f aca="false">'VOL DWNLD'!B65+'VOL DELTA'!B65</f>
        <v>1</v>
      </c>
      <c r="C65" s="168" t="n">
        <f aca="false">'VOL DWNLD'!C65+'VOL DELTA'!C65</f>
        <v>1</v>
      </c>
      <c r="D65" s="168" t="n">
        <f aca="false">'VOL DWNLD'!D65+'VOL DELTA'!D65</f>
        <v>1</v>
      </c>
      <c r="E65" s="168" t="n">
        <f aca="false">'VOL DWNLD'!E65+'VOL DELTA'!E65</f>
        <v>1</v>
      </c>
      <c r="F65" s="168" t="n">
        <f aca="false">'VOL DWNLD'!F65+'VOL DELTA'!F65</f>
        <v>1</v>
      </c>
      <c r="G65" s="168" t="n">
        <f aca="false">'VOL DWNLD'!G65+'VOL DELTA'!G65</f>
        <v>1</v>
      </c>
      <c r="H65" s="168" t="n">
        <f aca="false">'VOL DWNLD'!H65+'VOL DELTA'!H65</f>
        <v>1</v>
      </c>
      <c r="I65" s="168" t="n">
        <f aca="false">'VOL DWNLD'!I65+'VOL DELTA'!I65</f>
        <v>1</v>
      </c>
      <c r="J65" s="168" t="n">
        <f aca="false">'VOL DWNLD'!J65+'VOL DELTA'!J65</f>
        <v>1</v>
      </c>
      <c r="K65" s="168" t="n">
        <f aca="false">'VOL DWNLD'!K65+'VOL DELTA'!K65</f>
        <v>1</v>
      </c>
      <c r="L65" s="168" t="n">
        <f aca="false">'VOL DWNLD'!L65+'VOL DELTA'!L65</f>
        <v>1</v>
      </c>
      <c r="M65" s="168" t="n">
        <f aca="false">'VOL DWNLD'!M65+'VOL DELTA'!M65</f>
        <v>1</v>
      </c>
      <c r="N65" s="168" t="n">
        <f aca="false">'VOL DWNLD'!N65+'VOL DELTA'!N65</f>
        <v>1</v>
      </c>
      <c r="O65" s="168" t="n">
        <f aca="false">'VOL DWNLD'!O65+'VOL DELTA'!O65</f>
        <v>1</v>
      </c>
      <c r="P65" s="168" t="n">
        <f aca="false">'VOL DWNLD'!P65+'VOL DELTA'!P65</f>
        <v>1.03</v>
      </c>
      <c r="Q65" s="168" t="n">
        <f aca="false">'VOL DWNLD'!Q65+'VOL DELTA'!Q65</f>
        <v>1</v>
      </c>
      <c r="R65" s="168" t="n">
        <f aca="false">'VOL DWNLD'!R65+'VOL DELTA'!R65</f>
        <v>1</v>
      </c>
      <c r="S65" s="168" t="n">
        <f aca="false">'VOL DWNLD'!S65+'VOL DELTA'!S65</f>
        <v>1.02</v>
      </c>
      <c r="T65" s="168" t="n">
        <f aca="false">'VOL DWNLD'!T65+'VOL DELTA'!T65</f>
        <v>1</v>
      </c>
      <c r="U65" s="168" t="n">
        <f aca="false">'VOL DWNLD'!U65+'VOL DELTA'!U65</f>
        <v>1</v>
      </c>
      <c r="V65" s="168" t="n">
        <f aca="false">'VOL DWNLD'!V65+'VOL DELTA'!V65</f>
        <v>1</v>
      </c>
      <c r="W65" s="168" t="n">
        <f aca="false">'VOL DWNLD'!W65+'VOL DELTA'!W65</f>
        <v>1</v>
      </c>
      <c r="X65" s="168" t="n">
        <f aca="false">'VOL DWNLD'!X65+'VOL DELTA'!X65</f>
        <v>1</v>
      </c>
      <c r="Y65" s="168" t="n">
        <f aca="false">'VOL DWNLD'!Y65+'VOL DELTA'!Y65</f>
        <v>1</v>
      </c>
      <c r="Z65" s="168" t="n">
        <f aca="false">'VOL DWNLD'!Z65+'VOL DELTA'!Z65</f>
        <v>1</v>
      </c>
      <c r="AA65" s="168" t="n">
        <f aca="false">'VOL DWNLD'!AA65+'VOL DELTA'!AA65</f>
        <v>1</v>
      </c>
      <c r="AB65" s="168" t="n">
        <f aca="false">'VOL DWNLD'!AB65+'VOL DELTA'!AB65</f>
        <v>1</v>
      </c>
      <c r="AC65" s="168" t="n">
        <f aca="false">'VOL DWNLD'!AC65+'VOL DELTA'!AC65</f>
        <v>1</v>
      </c>
      <c r="AD65" s="168" t="n">
        <f aca="false">'VOL DWNLD'!AD65+'VOL DELTA'!AD65</f>
        <v>1</v>
      </c>
      <c r="AE65" s="168" t="n">
        <f aca="false">'VOL DWNLD'!AE65+'VOL DELTA'!AE65</f>
        <v>1</v>
      </c>
      <c r="AF65" s="168" t="n">
        <f aca="false">'VOL DWNLD'!AF65+'VOL DELTA'!AF65</f>
        <v>1.1</v>
      </c>
      <c r="AG65" s="168" t="n">
        <f aca="false">'VOL DWNLD'!AG65+'VOL DELTA'!AG65</f>
        <v>1.1</v>
      </c>
      <c r="AH65" s="168" t="n">
        <f aca="false">'VOL DWNLD'!AH65+'VOL DELTA'!AH65</f>
        <v>1.05</v>
      </c>
      <c r="AI65" s="168" t="n">
        <f aca="false">'VOL DWNLD'!AI65+'VOL DELTA'!AI65</f>
        <v>1</v>
      </c>
      <c r="AJ65" s="168" t="n">
        <f aca="false">'VOL DWNLD'!AJ65+'VOL DELTA'!AJ65</f>
        <v>1</v>
      </c>
      <c r="AK65" s="168" t="n">
        <f aca="false">'VOL DWNLD'!AK65+'VOL DELTA'!AK65</f>
        <v>1.02</v>
      </c>
      <c r="AL65" s="168" t="n">
        <f aca="false">'VOL DWNLD'!AL65+'VOL DELTA'!AL65</f>
        <v>1</v>
      </c>
      <c r="AM65" s="168" t="n">
        <f aca="false">'VOL DWNLD'!AM65+'VOL DELTA'!AM65</f>
        <v>1</v>
      </c>
      <c r="AN65" s="168" t="n">
        <f aca="false">'VOL DWNLD'!AN65+'VOL DELTA'!AN65</f>
        <v>1</v>
      </c>
      <c r="AO65" s="168" t="n">
        <f aca="false">'VOL DWNLD'!AO65+'VOL DELTA'!AO65</f>
        <v>1</v>
      </c>
    </row>
    <row r="66" customFormat="false" ht="12.75" hidden="false" customHeight="false" outlineLevel="0" collapsed="false">
      <c r="A66" s="167" t="n">
        <v>38687</v>
      </c>
      <c r="B66" s="168" t="n">
        <f aca="false">'VOL DWNLD'!B66+'VOL DELTA'!B66</f>
        <v>1</v>
      </c>
      <c r="C66" s="168" t="n">
        <f aca="false">'VOL DWNLD'!C66+'VOL DELTA'!C66</f>
        <v>1</v>
      </c>
      <c r="D66" s="168" t="n">
        <f aca="false">'VOL DWNLD'!D66+'VOL DELTA'!D66</f>
        <v>1</v>
      </c>
      <c r="E66" s="168" t="n">
        <f aca="false">'VOL DWNLD'!E66+'VOL DELTA'!E66</f>
        <v>1</v>
      </c>
      <c r="F66" s="168" t="n">
        <f aca="false">'VOL DWNLD'!F66+'VOL DELTA'!F66</f>
        <v>1</v>
      </c>
      <c r="G66" s="168" t="n">
        <f aca="false">'VOL DWNLD'!G66+'VOL DELTA'!G66</f>
        <v>1</v>
      </c>
      <c r="H66" s="168" t="n">
        <f aca="false">'VOL DWNLD'!H66+'VOL DELTA'!H66</f>
        <v>1</v>
      </c>
      <c r="I66" s="168" t="n">
        <f aca="false">'VOL DWNLD'!I66+'VOL DELTA'!I66</f>
        <v>1</v>
      </c>
      <c r="J66" s="168" t="n">
        <f aca="false">'VOL DWNLD'!J66+'VOL DELTA'!J66</f>
        <v>1</v>
      </c>
      <c r="K66" s="168" t="n">
        <f aca="false">'VOL DWNLD'!K66+'VOL DELTA'!K66</f>
        <v>1</v>
      </c>
      <c r="L66" s="168" t="n">
        <f aca="false">'VOL DWNLD'!L66+'VOL DELTA'!L66</f>
        <v>1</v>
      </c>
      <c r="M66" s="168" t="n">
        <f aca="false">'VOL DWNLD'!M66+'VOL DELTA'!M66</f>
        <v>1</v>
      </c>
      <c r="N66" s="168" t="n">
        <f aca="false">'VOL DWNLD'!N66+'VOL DELTA'!N66</f>
        <v>1</v>
      </c>
      <c r="O66" s="168" t="n">
        <f aca="false">'VOL DWNLD'!O66+'VOL DELTA'!O66</f>
        <v>1</v>
      </c>
      <c r="P66" s="168" t="n">
        <f aca="false">'VOL DWNLD'!P66+'VOL DELTA'!P66</f>
        <v>1.03</v>
      </c>
      <c r="Q66" s="168" t="n">
        <f aca="false">'VOL DWNLD'!Q66+'VOL DELTA'!Q66</f>
        <v>1</v>
      </c>
      <c r="R66" s="168" t="n">
        <f aca="false">'VOL DWNLD'!R66+'VOL DELTA'!R66</f>
        <v>1</v>
      </c>
      <c r="S66" s="168" t="n">
        <f aca="false">'VOL DWNLD'!S66+'VOL DELTA'!S66</f>
        <v>1.02</v>
      </c>
      <c r="T66" s="168" t="n">
        <f aca="false">'VOL DWNLD'!T66+'VOL DELTA'!T66</f>
        <v>1</v>
      </c>
      <c r="U66" s="168" t="n">
        <f aca="false">'VOL DWNLD'!U66+'VOL DELTA'!U66</f>
        <v>1</v>
      </c>
      <c r="V66" s="168" t="n">
        <f aca="false">'VOL DWNLD'!V66+'VOL DELTA'!V66</f>
        <v>1</v>
      </c>
      <c r="W66" s="168" t="n">
        <f aca="false">'VOL DWNLD'!W66+'VOL DELTA'!W66</f>
        <v>1</v>
      </c>
      <c r="X66" s="168" t="n">
        <f aca="false">'VOL DWNLD'!X66+'VOL DELTA'!X66</f>
        <v>1</v>
      </c>
      <c r="Y66" s="168" t="n">
        <f aca="false">'VOL DWNLD'!Y66+'VOL DELTA'!Y66</f>
        <v>1</v>
      </c>
      <c r="Z66" s="168" t="n">
        <f aca="false">'VOL DWNLD'!Z66+'VOL DELTA'!Z66</f>
        <v>1</v>
      </c>
      <c r="AA66" s="168" t="n">
        <f aca="false">'VOL DWNLD'!AA66+'VOL DELTA'!AA66</f>
        <v>1</v>
      </c>
      <c r="AB66" s="168" t="n">
        <f aca="false">'VOL DWNLD'!AB66+'VOL DELTA'!AB66</f>
        <v>1</v>
      </c>
      <c r="AC66" s="168" t="n">
        <f aca="false">'VOL DWNLD'!AC66+'VOL DELTA'!AC66</f>
        <v>1</v>
      </c>
      <c r="AD66" s="168" t="n">
        <f aca="false">'VOL DWNLD'!AD66+'VOL DELTA'!AD66</f>
        <v>1</v>
      </c>
      <c r="AE66" s="168" t="n">
        <f aca="false">'VOL DWNLD'!AE66+'VOL DELTA'!AE66</f>
        <v>1</v>
      </c>
      <c r="AF66" s="168" t="n">
        <f aca="false">'VOL DWNLD'!AF66+'VOL DELTA'!AF66</f>
        <v>1.1</v>
      </c>
      <c r="AG66" s="168" t="n">
        <f aca="false">'VOL DWNLD'!AG66+'VOL DELTA'!AG66</f>
        <v>1.1</v>
      </c>
      <c r="AH66" s="168" t="n">
        <f aca="false">'VOL DWNLD'!AH66+'VOL DELTA'!AH66</f>
        <v>1.05</v>
      </c>
      <c r="AI66" s="168" t="n">
        <f aca="false">'VOL DWNLD'!AI66+'VOL DELTA'!AI66</f>
        <v>1</v>
      </c>
      <c r="AJ66" s="168" t="n">
        <f aca="false">'VOL DWNLD'!AJ66+'VOL DELTA'!AJ66</f>
        <v>1</v>
      </c>
      <c r="AK66" s="168" t="n">
        <f aca="false">'VOL DWNLD'!AK66+'VOL DELTA'!AK66</f>
        <v>1.02</v>
      </c>
      <c r="AL66" s="168" t="n">
        <f aca="false">'VOL DWNLD'!AL66+'VOL DELTA'!AL66</f>
        <v>1</v>
      </c>
      <c r="AM66" s="168" t="n">
        <f aca="false">'VOL DWNLD'!AM66+'VOL DELTA'!AM66</f>
        <v>1</v>
      </c>
      <c r="AN66" s="168" t="n">
        <f aca="false">'VOL DWNLD'!AN66+'VOL DELTA'!AN66</f>
        <v>1</v>
      </c>
      <c r="AO66" s="168" t="n">
        <f aca="false">'VOL DWNLD'!AO66+'VOL DELTA'!AO66</f>
        <v>1</v>
      </c>
    </row>
    <row r="67" customFormat="false" ht="12.75" hidden="false" customHeight="false" outlineLevel="0" collapsed="false">
      <c r="A67" s="167" t="n">
        <v>38718</v>
      </c>
      <c r="B67" s="168" t="n">
        <f aca="false">'VOL DWNLD'!B67+'VOL DELTA'!B67</f>
        <v>1</v>
      </c>
      <c r="C67" s="168" t="n">
        <f aca="false">'VOL DWNLD'!C67+'VOL DELTA'!C67</f>
        <v>1</v>
      </c>
      <c r="D67" s="168" t="n">
        <f aca="false">'VOL DWNLD'!D67+'VOL DELTA'!D67</f>
        <v>1</v>
      </c>
      <c r="E67" s="168" t="n">
        <f aca="false">'VOL DWNLD'!E67+'VOL DELTA'!E67</f>
        <v>1</v>
      </c>
      <c r="F67" s="168" t="n">
        <f aca="false">'VOL DWNLD'!F67+'VOL DELTA'!F67</f>
        <v>1</v>
      </c>
      <c r="G67" s="168" t="n">
        <f aca="false">'VOL DWNLD'!G67+'VOL DELTA'!G67</f>
        <v>1</v>
      </c>
      <c r="H67" s="168" t="n">
        <f aca="false">'VOL DWNLD'!H67+'VOL DELTA'!H67</f>
        <v>1</v>
      </c>
      <c r="I67" s="168" t="n">
        <f aca="false">'VOL DWNLD'!I67+'VOL DELTA'!I67</f>
        <v>1</v>
      </c>
      <c r="J67" s="168" t="n">
        <f aca="false">'VOL DWNLD'!J67+'VOL DELTA'!J67</f>
        <v>1</v>
      </c>
      <c r="K67" s="168" t="n">
        <f aca="false">'VOL DWNLD'!K67+'VOL DELTA'!K67</f>
        <v>1</v>
      </c>
      <c r="L67" s="168" t="n">
        <f aca="false">'VOL DWNLD'!L67+'VOL DELTA'!L67</f>
        <v>1</v>
      </c>
      <c r="M67" s="168" t="n">
        <f aca="false">'VOL DWNLD'!M67+'VOL DELTA'!M67</f>
        <v>1</v>
      </c>
      <c r="N67" s="168" t="n">
        <f aca="false">'VOL DWNLD'!N67+'VOL DELTA'!N67</f>
        <v>1</v>
      </c>
      <c r="O67" s="168" t="n">
        <f aca="false">'VOL DWNLD'!O67+'VOL DELTA'!O67</f>
        <v>1</v>
      </c>
      <c r="P67" s="168" t="n">
        <f aca="false">'VOL DWNLD'!P67+'VOL DELTA'!P67</f>
        <v>1.03</v>
      </c>
      <c r="Q67" s="168" t="n">
        <f aca="false">'VOL DWNLD'!Q67+'VOL DELTA'!Q67</f>
        <v>1</v>
      </c>
      <c r="R67" s="168" t="n">
        <f aca="false">'VOL DWNLD'!R67+'VOL DELTA'!R67</f>
        <v>1</v>
      </c>
      <c r="S67" s="168" t="n">
        <f aca="false">'VOL DWNLD'!S67+'VOL DELTA'!S67</f>
        <v>1.02</v>
      </c>
      <c r="T67" s="168" t="n">
        <f aca="false">'VOL DWNLD'!T67+'VOL DELTA'!T67</f>
        <v>1</v>
      </c>
      <c r="U67" s="168" t="n">
        <f aca="false">'VOL DWNLD'!U67+'VOL DELTA'!U67</f>
        <v>1</v>
      </c>
      <c r="V67" s="168" t="n">
        <f aca="false">'VOL DWNLD'!V67+'VOL DELTA'!V67</f>
        <v>1</v>
      </c>
      <c r="W67" s="168" t="n">
        <f aca="false">'VOL DWNLD'!W67+'VOL DELTA'!W67</f>
        <v>1</v>
      </c>
      <c r="X67" s="168" t="n">
        <f aca="false">'VOL DWNLD'!X67+'VOL DELTA'!X67</f>
        <v>1</v>
      </c>
      <c r="Y67" s="168" t="n">
        <f aca="false">'VOL DWNLD'!Y67+'VOL DELTA'!Y67</f>
        <v>1</v>
      </c>
      <c r="Z67" s="168" t="n">
        <f aca="false">'VOL DWNLD'!Z67+'VOL DELTA'!Z67</f>
        <v>1</v>
      </c>
      <c r="AA67" s="168" t="n">
        <f aca="false">'VOL DWNLD'!AA67+'VOL DELTA'!AA67</f>
        <v>1</v>
      </c>
      <c r="AB67" s="168" t="n">
        <f aca="false">'VOL DWNLD'!AB67+'VOL DELTA'!AB67</f>
        <v>1</v>
      </c>
      <c r="AC67" s="168" t="n">
        <f aca="false">'VOL DWNLD'!AC67+'VOL DELTA'!AC67</f>
        <v>1</v>
      </c>
      <c r="AD67" s="168" t="n">
        <f aca="false">'VOL DWNLD'!AD67+'VOL DELTA'!AD67</f>
        <v>1</v>
      </c>
      <c r="AE67" s="168" t="n">
        <f aca="false">'VOL DWNLD'!AE67+'VOL DELTA'!AE67</f>
        <v>1</v>
      </c>
      <c r="AF67" s="168" t="n">
        <f aca="false">'VOL DWNLD'!AF67+'VOL DELTA'!AF67</f>
        <v>1.1</v>
      </c>
      <c r="AG67" s="168" t="n">
        <f aca="false">'VOL DWNLD'!AG67+'VOL DELTA'!AG67</f>
        <v>1.1</v>
      </c>
      <c r="AH67" s="168" t="n">
        <f aca="false">'VOL DWNLD'!AH67+'VOL DELTA'!AH67</f>
        <v>1.05</v>
      </c>
      <c r="AI67" s="168" t="n">
        <f aca="false">'VOL DWNLD'!AI67+'VOL DELTA'!AI67</f>
        <v>1</v>
      </c>
      <c r="AJ67" s="168" t="n">
        <f aca="false">'VOL DWNLD'!AJ67+'VOL DELTA'!AJ67</f>
        <v>1</v>
      </c>
      <c r="AK67" s="168" t="n">
        <f aca="false">'VOL DWNLD'!AK67+'VOL DELTA'!AK67</f>
        <v>1.02</v>
      </c>
      <c r="AL67" s="168" t="n">
        <f aca="false">'VOL DWNLD'!AL67+'VOL DELTA'!AL67</f>
        <v>1</v>
      </c>
      <c r="AM67" s="168" t="n">
        <f aca="false">'VOL DWNLD'!AM67+'VOL DELTA'!AM67</f>
        <v>1</v>
      </c>
      <c r="AN67" s="168" t="n">
        <f aca="false">'VOL DWNLD'!AN67+'VOL DELTA'!AN67</f>
        <v>1</v>
      </c>
      <c r="AO67" s="168" t="n">
        <f aca="false">'VOL DWNLD'!AO67+'VOL DELTA'!AO67</f>
        <v>1</v>
      </c>
    </row>
    <row r="68" customFormat="false" ht="12.75" hidden="false" customHeight="false" outlineLevel="0" collapsed="false">
      <c r="A68" s="167" t="n">
        <v>38749</v>
      </c>
      <c r="B68" s="168" t="n">
        <f aca="false">'VOL DWNLD'!B68+'VOL DELTA'!B68</f>
        <v>1</v>
      </c>
      <c r="C68" s="168" t="n">
        <f aca="false">'VOL DWNLD'!C68+'VOL DELTA'!C68</f>
        <v>1</v>
      </c>
      <c r="D68" s="168" t="n">
        <f aca="false">'VOL DWNLD'!D68+'VOL DELTA'!D68</f>
        <v>1</v>
      </c>
      <c r="E68" s="168" t="n">
        <f aca="false">'VOL DWNLD'!E68+'VOL DELTA'!E68</f>
        <v>1</v>
      </c>
      <c r="F68" s="168" t="n">
        <f aca="false">'VOL DWNLD'!F68+'VOL DELTA'!F68</f>
        <v>1</v>
      </c>
      <c r="G68" s="168" t="n">
        <f aca="false">'VOL DWNLD'!G68+'VOL DELTA'!G68</f>
        <v>1</v>
      </c>
      <c r="H68" s="168" t="n">
        <f aca="false">'VOL DWNLD'!H68+'VOL DELTA'!H68</f>
        <v>1</v>
      </c>
      <c r="I68" s="168" t="n">
        <f aca="false">'VOL DWNLD'!I68+'VOL DELTA'!I68</f>
        <v>1</v>
      </c>
      <c r="J68" s="168" t="n">
        <f aca="false">'VOL DWNLD'!J68+'VOL DELTA'!J68</f>
        <v>1</v>
      </c>
      <c r="K68" s="168" t="n">
        <f aca="false">'VOL DWNLD'!K68+'VOL DELTA'!K68</f>
        <v>1</v>
      </c>
      <c r="L68" s="168" t="n">
        <f aca="false">'VOL DWNLD'!L68+'VOL DELTA'!L68</f>
        <v>1</v>
      </c>
      <c r="M68" s="168" t="n">
        <f aca="false">'VOL DWNLD'!M68+'VOL DELTA'!M68</f>
        <v>1</v>
      </c>
      <c r="N68" s="168" t="n">
        <f aca="false">'VOL DWNLD'!N68+'VOL DELTA'!N68</f>
        <v>1</v>
      </c>
      <c r="O68" s="168" t="n">
        <f aca="false">'VOL DWNLD'!O68+'VOL DELTA'!O68</f>
        <v>1</v>
      </c>
      <c r="P68" s="168" t="n">
        <f aca="false">'VOL DWNLD'!P68+'VOL DELTA'!P68</f>
        <v>1.03</v>
      </c>
      <c r="Q68" s="168" t="n">
        <f aca="false">'VOL DWNLD'!Q68+'VOL DELTA'!Q68</f>
        <v>1</v>
      </c>
      <c r="R68" s="168" t="n">
        <f aca="false">'VOL DWNLD'!R68+'VOL DELTA'!R68</f>
        <v>1</v>
      </c>
      <c r="S68" s="168" t="n">
        <f aca="false">'VOL DWNLD'!S68+'VOL DELTA'!S68</f>
        <v>1.02</v>
      </c>
      <c r="T68" s="168" t="n">
        <f aca="false">'VOL DWNLD'!T68+'VOL DELTA'!T68</f>
        <v>1</v>
      </c>
      <c r="U68" s="168" t="n">
        <f aca="false">'VOL DWNLD'!U68+'VOL DELTA'!U68</f>
        <v>1</v>
      </c>
      <c r="V68" s="168" t="n">
        <f aca="false">'VOL DWNLD'!V68+'VOL DELTA'!V68</f>
        <v>1</v>
      </c>
      <c r="W68" s="168" t="n">
        <f aca="false">'VOL DWNLD'!W68+'VOL DELTA'!W68</f>
        <v>1</v>
      </c>
      <c r="X68" s="168" t="n">
        <f aca="false">'VOL DWNLD'!X68+'VOL DELTA'!X68</f>
        <v>1</v>
      </c>
      <c r="Y68" s="168" t="n">
        <f aca="false">'VOL DWNLD'!Y68+'VOL DELTA'!Y68</f>
        <v>1</v>
      </c>
      <c r="Z68" s="168" t="n">
        <f aca="false">'VOL DWNLD'!Z68+'VOL DELTA'!Z68</f>
        <v>1</v>
      </c>
      <c r="AA68" s="168" t="n">
        <f aca="false">'VOL DWNLD'!AA68+'VOL DELTA'!AA68</f>
        <v>1</v>
      </c>
      <c r="AB68" s="168" t="n">
        <f aca="false">'VOL DWNLD'!AB68+'VOL DELTA'!AB68</f>
        <v>1</v>
      </c>
      <c r="AC68" s="168" t="n">
        <f aca="false">'VOL DWNLD'!AC68+'VOL DELTA'!AC68</f>
        <v>1</v>
      </c>
      <c r="AD68" s="168" t="n">
        <f aca="false">'VOL DWNLD'!AD68+'VOL DELTA'!AD68</f>
        <v>1</v>
      </c>
      <c r="AE68" s="168" t="n">
        <f aca="false">'VOL DWNLD'!AE68+'VOL DELTA'!AE68</f>
        <v>1</v>
      </c>
      <c r="AF68" s="168" t="n">
        <f aca="false">'VOL DWNLD'!AF68+'VOL DELTA'!AF68</f>
        <v>1.1</v>
      </c>
      <c r="AG68" s="168" t="n">
        <f aca="false">'VOL DWNLD'!AG68+'VOL DELTA'!AG68</f>
        <v>1.1</v>
      </c>
      <c r="AH68" s="168" t="n">
        <f aca="false">'VOL DWNLD'!AH68+'VOL DELTA'!AH68</f>
        <v>1.05</v>
      </c>
      <c r="AI68" s="168" t="n">
        <f aca="false">'VOL DWNLD'!AI68+'VOL DELTA'!AI68</f>
        <v>1</v>
      </c>
      <c r="AJ68" s="168" t="n">
        <f aca="false">'VOL DWNLD'!AJ68+'VOL DELTA'!AJ68</f>
        <v>1</v>
      </c>
      <c r="AK68" s="168" t="n">
        <f aca="false">'VOL DWNLD'!AK68+'VOL DELTA'!AK68</f>
        <v>1.02</v>
      </c>
      <c r="AL68" s="168" t="n">
        <f aca="false">'VOL DWNLD'!AL68+'VOL DELTA'!AL68</f>
        <v>1</v>
      </c>
      <c r="AM68" s="168" t="n">
        <f aca="false">'VOL DWNLD'!AM68+'VOL DELTA'!AM68</f>
        <v>1</v>
      </c>
      <c r="AN68" s="168" t="n">
        <f aca="false">'VOL DWNLD'!AN68+'VOL DELTA'!AN68</f>
        <v>1</v>
      </c>
      <c r="AO68" s="168" t="n">
        <f aca="false">'VOL DWNLD'!AO68+'VOL DELTA'!AO68</f>
        <v>1</v>
      </c>
    </row>
    <row r="69" customFormat="false" ht="12.75" hidden="false" customHeight="false" outlineLevel="0" collapsed="false">
      <c r="A69" s="167" t="n">
        <v>38777</v>
      </c>
      <c r="B69" s="168" t="n">
        <f aca="false">'VOL DWNLD'!B69+'VOL DELTA'!B69</f>
        <v>1</v>
      </c>
      <c r="C69" s="168" t="n">
        <f aca="false">'VOL DWNLD'!C69+'VOL DELTA'!C69</f>
        <v>1</v>
      </c>
      <c r="D69" s="168" t="n">
        <f aca="false">'VOL DWNLD'!D69+'VOL DELTA'!D69</f>
        <v>1</v>
      </c>
      <c r="E69" s="168" t="n">
        <f aca="false">'VOL DWNLD'!E69+'VOL DELTA'!E69</f>
        <v>1</v>
      </c>
      <c r="F69" s="168" t="n">
        <f aca="false">'VOL DWNLD'!F69+'VOL DELTA'!F69</f>
        <v>1</v>
      </c>
      <c r="G69" s="168" t="n">
        <f aca="false">'VOL DWNLD'!G69+'VOL DELTA'!G69</f>
        <v>1</v>
      </c>
      <c r="H69" s="168" t="n">
        <f aca="false">'VOL DWNLD'!H69+'VOL DELTA'!H69</f>
        <v>1</v>
      </c>
      <c r="I69" s="168" t="n">
        <f aca="false">'VOL DWNLD'!I69+'VOL DELTA'!I69</f>
        <v>1</v>
      </c>
      <c r="J69" s="168" t="n">
        <f aca="false">'VOL DWNLD'!J69+'VOL DELTA'!J69</f>
        <v>1</v>
      </c>
      <c r="K69" s="168" t="n">
        <f aca="false">'VOL DWNLD'!K69+'VOL DELTA'!K69</f>
        <v>1</v>
      </c>
      <c r="L69" s="168" t="n">
        <f aca="false">'VOL DWNLD'!L69+'VOL DELTA'!L69</f>
        <v>1</v>
      </c>
      <c r="M69" s="168" t="n">
        <f aca="false">'VOL DWNLD'!M69+'VOL DELTA'!M69</f>
        <v>1</v>
      </c>
      <c r="N69" s="168" t="n">
        <f aca="false">'VOL DWNLD'!N69+'VOL DELTA'!N69</f>
        <v>1</v>
      </c>
      <c r="O69" s="168" t="n">
        <f aca="false">'VOL DWNLD'!O69+'VOL DELTA'!O69</f>
        <v>1</v>
      </c>
      <c r="P69" s="168" t="n">
        <f aca="false">'VOL DWNLD'!P69+'VOL DELTA'!P69</f>
        <v>1.03</v>
      </c>
      <c r="Q69" s="168" t="n">
        <f aca="false">'VOL DWNLD'!Q69+'VOL DELTA'!Q69</f>
        <v>1</v>
      </c>
      <c r="R69" s="168" t="n">
        <f aca="false">'VOL DWNLD'!R69+'VOL DELTA'!R69</f>
        <v>1</v>
      </c>
      <c r="S69" s="168" t="n">
        <f aca="false">'VOL DWNLD'!S69+'VOL DELTA'!S69</f>
        <v>1.02</v>
      </c>
      <c r="T69" s="168" t="n">
        <f aca="false">'VOL DWNLD'!T69+'VOL DELTA'!T69</f>
        <v>1</v>
      </c>
      <c r="U69" s="168" t="n">
        <f aca="false">'VOL DWNLD'!U69+'VOL DELTA'!U69</f>
        <v>1</v>
      </c>
      <c r="V69" s="168" t="n">
        <f aca="false">'VOL DWNLD'!V69+'VOL DELTA'!V69</f>
        <v>1</v>
      </c>
      <c r="W69" s="168" t="n">
        <f aca="false">'VOL DWNLD'!W69+'VOL DELTA'!W69</f>
        <v>1</v>
      </c>
      <c r="X69" s="168" t="n">
        <f aca="false">'VOL DWNLD'!X69+'VOL DELTA'!X69</f>
        <v>1</v>
      </c>
      <c r="Y69" s="168" t="n">
        <f aca="false">'VOL DWNLD'!Y69+'VOL DELTA'!Y69</f>
        <v>1</v>
      </c>
      <c r="Z69" s="168" t="n">
        <f aca="false">'VOL DWNLD'!Z69+'VOL DELTA'!Z69</f>
        <v>1</v>
      </c>
      <c r="AA69" s="168" t="n">
        <f aca="false">'VOL DWNLD'!AA69+'VOL DELTA'!AA69</f>
        <v>1</v>
      </c>
      <c r="AB69" s="168" t="n">
        <f aca="false">'VOL DWNLD'!AB69+'VOL DELTA'!AB69</f>
        <v>1</v>
      </c>
      <c r="AC69" s="168" t="n">
        <f aca="false">'VOL DWNLD'!AC69+'VOL DELTA'!AC69</f>
        <v>1</v>
      </c>
      <c r="AD69" s="168" t="n">
        <f aca="false">'VOL DWNLD'!AD69+'VOL DELTA'!AD69</f>
        <v>1</v>
      </c>
      <c r="AE69" s="168" t="n">
        <f aca="false">'VOL DWNLD'!AE69+'VOL DELTA'!AE69</f>
        <v>1</v>
      </c>
      <c r="AF69" s="168" t="n">
        <f aca="false">'VOL DWNLD'!AF69+'VOL DELTA'!AF69</f>
        <v>1.1</v>
      </c>
      <c r="AG69" s="168" t="n">
        <f aca="false">'VOL DWNLD'!AG69+'VOL DELTA'!AG69</f>
        <v>1.1</v>
      </c>
      <c r="AH69" s="168" t="n">
        <f aca="false">'VOL DWNLD'!AH69+'VOL DELTA'!AH69</f>
        <v>1.05</v>
      </c>
      <c r="AI69" s="168" t="n">
        <f aca="false">'VOL DWNLD'!AI69+'VOL DELTA'!AI69</f>
        <v>1</v>
      </c>
      <c r="AJ69" s="168" t="n">
        <f aca="false">'VOL DWNLD'!AJ69+'VOL DELTA'!AJ69</f>
        <v>1</v>
      </c>
      <c r="AK69" s="168" t="n">
        <f aca="false">'VOL DWNLD'!AK69+'VOL DELTA'!AK69</f>
        <v>1.02</v>
      </c>
      <c r="AL69" s="168" t="n">
        <f aca="false">'VOL DWNLD'!AL69+'VOL DELTA'!AL69</f>
        <v>1</v>
      </c>
      <c r="AM69" s="168" t="n">
        <f aca="false">'VOL DWNLD'!AM69+'VOL DELTA'!AM69</f>
        <v>1</v>
      </c>
      <c r="AN69" s="168" t="n">
        <f aca="false">'VOL DWNLD'!AN69+'VOL DELTA'!AN69</f>
        <v>1</v>
      </c>
      <c r="AO69" s="168" t="n">
        <f aca="false">'VOL DWNLD'!AO69+'VOL DELTA'!AO69</f>
        <v>1</v>
      </c>
    </row>
    <row r="70" customFormat="false" ht="12.75" hidden="false" customHeight="false" outlineLevel="0" collapsed="false">
      <c r="A70" s="167" t="n">
        <v>38808</v>
      </c>
      <c r="B70" s="168" t="n">
        <f aca="false">'VOL DWNLD'!B70+'VOL DELTA'!B70</f>
        <v>1</v>
      </c>
      <c r="C70" s="168" t="n">
        <f aca="false">'VOL DWNLD'!C70+'VOL DELTA'!C70</f>
        <v>1</v>
      </c>
      <c r="D70" s="168" t="n">
        <f aca="false">'VOL DWNLD'!D70+'VOL DELTA'!D70</f>
        <v>1</v>
      </c>
      <c r="E70" s="168" t="n">
        <f aca="false">'VOL DWNLD'!E70+'VOL DELTA'!E70</f>
        <v>1</v>
      </c>
      <c r="F70" s="168" t="n">
        <f aca="false">'VOL DWNLD'!F70+'VOL DELTA'!F70</f>
        <v>1</v>
      </c>
      <c r="G70" s="168" t="n">
        <f aca="false">'VOL DWNLD'!G70+'VOL DELTA'!G70</f>
        <v>1</v>
      </c>
      <c r="H70" s="168" t="n">
        <f aca="false">'VOL DWNLD'!H70+'VOL DELTA'!H70</f>
        <v>1</v>
      </c>
      <c r="I70" s="168" t="n">
        <f aca="false">'VOL DWNLD'!I70+'VOL DELTA'!I70</f>
        <v>1</v>
      </c>
      <c r="J70" s="168" t="n">
        <f aca="false">'VOL DWNLD'!J70+'VOL DELTA'!J70</f>
        <v>1</v>
      </c>
      <c r="K70" s="168" t="n">
        <f aca="false">'VOL DWNLD'!K70+'VOL DELTA'!K70</f>
        <v>1</v>
      </c>
      <c r="L70" s="168" t="n">
        <f aca="false">'VOL DWNLD'!L70+'VOL DELTA'!L70</f>
        <v>1</v>
      </c>
      <c r="M70" s="168" t="n">
        <f aca="false">'VOL DWNLD'!M70+'VOL DELTA'!M70</f>
        <v>1</v>
      </c>
      <c r="N70" s="168" t="n">
        <f aca="false">'VOL DWNLD'!N70+'VOL DELTA'!N70</f>
        <v>1</v>
      </c>
      <c r="O70" s="168" t="n">
        <f aca="false">'VOL DWNLD'!O70+'VOL DELTA'!O70</f>
        <v>1</v>
      </c>
      <c r="P70" s="168" t="n">
        <f aca="false">'VOL DWNLD'!P70+'VOL DELTA'!P70</f>
        <v>1.03</v>
      </c>
      <c r="Q70" s="168" t="n">
        <f aca="false">'VOL DWNLD'!Q70+'VOL DELTA'!Q70</f>
        <v>1</v>
      </c>
      <c r="R70" s="168" t="n">
        <f aca="false">'VOL DWNLD'!R70+'VOL DELTA'!R70</f>
        <v>1</v>
      </c>
      <c r="S70" s="168" t="n">
        <f aca="false">'VOL DWNLD'!S70+'VOL DELTA'!S70</f>
        <v>1.02</v>
      </c>
      <c r="T70" s="168" t="n">
        <f aca="false">'VOL DWNLD'!T70+'VOL DELTA'!T70</f>
        <v>1</v>
      </c>
      <c r="U70" s="168" t="n">
        <f aca="false">'VOL DWNLD'!U70+'VOL DELTA'!U70</f>
        <v>1</v>
      </c>
      <c r="V70" s="168" t="n">
        <f aca="false">'VOL DWNLD'!V70+'VOL DELTA'!V70</f>
        <v>1</v>
      </c>
      <c r="W70" s="168" t="n">
        <f aca="false">'VOL DWNLD'!W70+'VOL DELTA'!W70</f>
        <v>1</v>
      </c>
      <c r="X70" s="168" t="n">
        <f aca="false">'VOL DWNLD'!X70+'VOL DELTA'!X70</f>
        <v>1</v>
      </c>
      <c r="Y70" s="168" t="n">
        <f aca="false">'VOL DWNLD'!Y70+'VOL DELTA'!Y70</f>
        <v>1.02</v>
      </c>
      <c r="Z70" s="168" t="n">
        <f aca="false">'VOL DWNLD'!Z70+'VOL DELTA'!Z70</f>
        <v>1</v>
      </c>
      <c r="AA70" s="168" t="n">
        <f aca="false">'VOL DWNLD'!AA70+'VOL DELTA'!AA70</f>
        <v>1</v>
      </c>
      <c r="AB70" s="168" t="n">
        <f aca="false">'VOL DWNLD'!AB70+'VOL DELTA'!AB70</f>
        <v>1</v>
      </c>
      <c r="AC70" s="168" t="n">
        <f aca="false">'VOL DWNLD'!AC70+'VOL DELTA'!AC70</f>
        <v>1</v>
      </c>
      <c r="AD70" s="168" t="n">
        <f aca="false">'VOL DWNLD'!AD70+'VOL DELTA'!AD70</f>
        <v>0.98</v>
      </c>
      <c r="AE70" s="168" t="n">
        <f aca="false">'VOL DWNLD'!AE70+'VOL DELTA'!AE70</f>
        <v>0.98</v>
      </c>
      <c r="AF70" s="168" t="n">
        <f aca="false">'VOL DWNLD'!AF70+'VOL DELTA'!AF70</f>
        <v>0.98</v>
      </c>
      <c r="AG70" s="168" t="n">
        <f aca="false">'VOL DWNLD'!AG70+'VOL DELTA'!AG70</f>
        <v>0.98</v>
      </c>
      <c r="AH70" s="168" t="n">
        <f aca="false">'VOL DWNLD'!AH70+'VOL DELTA'!AH70</f>
        <v>1.05</v>
      </c>
      <c r="AI70" s="168" t="n">
        <f aca="false">'VOL DWNLD'!AI70+'VOL DELTA'!AI70</f>
        <v>1</v>
      </c>
      <c r="AJ70" s="168" t="n">
        <f aca="false">'VOL DWNLD'!AJ70+'VOL DELTA'!AJ70</f>
        <v>1</v>
      </c>
      <c r="AK70" s="168" t="n">
        <f aca="false">'VOL DWNLD'!AK70+'VOL DELTA'!AK70</f>
        <v>1.02</v>
      </c>
      <c r="AL70" s="168" t="n">
        <f aca="false">'VOL DWNLD'!AL70+'VOL DELTA'!AL70</f>
        <v>1</v>
      </c>
      <c r="AM70" s="168" t="n">
        <f aca="false">'VOL DWNLD'!AM70+'VOL DELTA'!AM70</f>
        <v>1</v>
      </c>
      <c r="AN70" s="168" t="n">
        <f aca="false">'VOL DWNLD'!AN70+'VOL DELTA'!AN70</f>
        <v>1</v>
      </c>
      <c r="AO70" s="168" t="n">
        <f aca="false">'VOL DWNLD'!AO70+'VOL DELTA'!AO70</f>
        <v>1</v>
      </c>
    </row>
    <row r="71" customFormat="false" ht="12.75" hidden="false" customHeight="false" outlineLevel="0" collapsed="false">
      <c r="A71" s="167" t="n">
        <v>38838</v>
      </c>
      <c r="B71" s="168" t="n">
        <f aca="false">'VOL DWNLD'!B71+'VOL DELTA'!B71</f>
        <v>1</v>
      </c>
      <c r="C71" s="168" t="n">
        <f aca="false">'VOL DWNLD'!C71+'VOL DELTA'!C71</f>
        <v>1</v>
      </c>
      <c r="D71" s="168" t="n">
        <f aca="false">'VOL DWNLD'!D71+'VOL DELTA'!D71</f>
        <v>1</v>
      </c>
      <c r="E71" s="168" t="n">
        <f aca="false">'VOL DWNLD'!E71+'VOL DELTA'!E71</f>
        <v>1</v>
      </c>
      <c r="F71" s="168" t="n">
        <f aca="false">'VOL DWNLD'!F71+'VOL DELTA'!F71</f>
        <v>1</v>
      </c>
      <c r="G71" s="168" t="n">
        <f aca="false">'VOL DWNLD'!G71+'VOL DELTA'!G71</f>
        <v>1</v>
      </c>
      <c r="H71" s="168" t="n">
        <f aca="false">'VOL DWNLD'!H71+'VOL DELTA'!H71</f>
        <v>1</v>
      </c>
      <c r="I71" s="168" t="n">
        <f aca="false">'VOL DWNLD'!I71+'VOL DELTA'!I71</f>
        <v>1</v>
      </c>
      <c r="J71" s="168" t="n">
        <f aca="false">'VOL DWNLD'!J71+'VOL DELTA'!J71</f>
        <v>1</v>
      </c>
      <c r="K71" s="168" t="n">
        <f aca="false">'VOL DWNLD'!K71+'VOL DELTA'!K71</f>
        <v>1</v>
      </c>
      <c r="L71" s="168" t="n">
        <f aca="false">'VOL DWNLD'!L71+'VOL DELTA'!L71</f>
        <v>1</v>
      </c>
      <c r="M71" s="168" t="n">
        <f aca="false">'VOL DWNLD'!M71+'VOL DELTA'!M71</f>
        <v>1</v>
      </c>
      <c r="N71" s="168" t="n">
        <f aca="false">'VOL DWNLD'!N71+'VOL DELTA'!N71</f>
        <v>1</v>
      </c>
      <c r="O71" s="168" t="n">
        <f aca="false">'VOL DWNLD'!O71+'VOL DELTA'!O71</f>
        <v>1</v>
      </c>
      <c r="P71" s="168" t="n">
        <f aca="false">'VOL DWNLD'!P71+'VOL DELTA'!P71</f>
        <v>1.03</v>
      </c>
      <c r="Q71" s="168" t="n">
        <f aca="false">'VOL DWNLD'!Q71+'VOL DELTA'!Q71</f>
        <v>1</v>
      </c>
      <c r="R71" s="168" t="n">
        <f aca="false">'VOL DWNLD'!R71+'VOL DELTA'!R71</f>
        <v>1</v>
      </c>
      <c r="S71" s="168" t="n">
        <f aca="false">'VOL DWNLD'!S71+'VOL DELTA'!S71</f>
        <v>1.02</v>
      </c>
      <c r="T71" s="168" t="n">
        <f aca="false">'VOL DWNLD'!T71+'VOL DELTA'!T71</f>
        <v>1</v>
      </c>
      <c r="U71" s="168" t="n">
        <f aca="false">'VOL DWNLD'!U71+'VOL DELTA'!U71</f>
        <v>1</v>
      </c>
      <c r="V71" s="168" t="n">
        <f aca="false">'VOL DWNLD'!V71+'VOL DELTA'!V71</f>
        <v>1</v>
      </c>
      <c r="W71" s="168" t="n">
        <f aca="false">'VOL DWNLD'!W71+'VOL DELTA'!W71</f>
        <v>1</v>
      </c>
      <c r="X71" s="168" t="n">
        <f aca="false">'VOL DWNLD'!X71+'VOL DELTA'!X71</f>
        <v>1</v>
      </c>
      <c r="Y71" s="168" t="n">
        <f aca="false">'VOL DWNLD'!Y71+'VOL DELTA'!Y71</f>
        <v>1.02</v>
      </c>
      <c r="Z71" s="168" t="n">
        <f aca="false">'VOL DWNLD'!Z71+'VOL DELTA'!Z71</f>
        <v>1</v>
      </c>
      <c r="AA71" s="168" t="n">
        <f aca="false">'VOL DWNLD'!AA71+'VOL DELTA'!AA71</f>
        <v>1</v>
      </c>
      <c r="AB71" s="168" t="n">
        <f aca="false">'VOL DWNLD'!AB71+'VOL DELTA'!AB71</f>
        <v>1</v>
      </c>
      <c r="AC71" s="168" t="n">
        <f aca="false">'VOL DWNLD'!AC71+'VOL DELTA'!AC71</f>
        <v>1</v>
      </c>
      <c r="AD71" s="168" t="n">
        <f aca="false">'VOL DWNLD'!AD71+'VOL DELTA'!AD71</f>
        <v>0.98</v>
      </c>
      <c r="AE71" s="168" t="n">
        <f aca="false">'VOL DWNLD'!AE71+'VOL DELTA'!AE71</f>
        <v>0.98</v>
      </c>
      <c r="AF71" s="168" t="n">
        <f aca="false">'VOL DWNLD'!AF71+'VOL DELTA'!AF71</f>
        <v>0.98</v>
      </c>
      <c r="AG71" s="168" t="n">
        <f aca="false">'VOL DWNLD'!AG71+'VOL DELTA'!AG71</f>
        <v>0.98</v>
      </c>
      <c r="AH71" s="168" t="n">
        <f aca="false">'VOL DWNLD'!AH71+'VOL DELTA'!AH71</f>
        <v>1.05</v>
      </c>
      <c r="AI71" s="168" t="n">
        <f aca="false">'VOL DWNLD'!AI71+'VOL DELTA'!AI71</f>
        <v>1</v>
      </c>
      <c r="AJ71" s="168" t="n">
        <f aca="false">'VOL DWNLD'!AJ71+'VOL DELTA'!AJ71</f>
        <v>1</v>
      </c>
      <c r="AK71" s="168" t="n">
        <f aca="false">'VOL DWNLD'!AK71+'VOL DELTA'!AK71</f>
        <v>1.02</v>
      </c>
      <c r="AL71" s="168" t="n">
        <f aca="false">'VOL DWNLD'!AL71+'VOL DELTA'!AL71</f>
        <v>1</v>
      </c>
      <c r="AM71" s="168" t="n">
        <f aca="false">'VOL DWNLD'!AM71+'VOL DELTA'!AM71</f>
        <v>1</v>
      </c>
      <c r="AN71" s="168" t="n">
        <f aca="false">'VOL DWNLD'!AN71+'VOL DELTA'!AN71</f>
        <v>1</v>
      </c>
      <c r="AO71" s="168" t="n">
        <f aca="false">'VOL DWNLD'!AO71+'VOL DELTA'!AO71</f>
        <v>1</v>
      </c>
    </row>
    <row r="72" customFormat="false" ht="12.75" hidden="false" customHeight="false" outlineLevel="0" collapsed="false">
      <c r="A72" s="167" t="n">
        <v>38869</v>
      </c>
      <c r="B72" s="168" t="n">
        <f aca="false">'VOL DWNLD'!B72+'VOL DELTA'!B72</f>
        <v>1</v>
      </c>
      <c r="C72" s="168" t="n">
        <f aca="false">'VOL DWNLD'!C72+'VOL DELTA'!C72</f>
        <v>1</v>
      </c>
      <c r="D72" s="168" t="n">
        <f aca="false">'VOL DWNLD'!D72+'VOL DELTA'!D72</f>
        <v>1</v>
      </c>
      <c r="E72" s="168" t="n">
        <f aca="false">'VOL DWNLD'!E72+'VOL DELTA'!E72</f>
        <v>1</v>
      </c>
      <c r="F72" s="168" t="n">
        <f aca="false">'VOL DWNLD'!F72+'VOL DELTA'!F72</f>
        <v>1</v>
      </c>
      <c r="G72" s="168" t="n">
        <f aca="false">'VOL DWNLD'!G72+'VOL DELTA'!G72</f>
        <v>1</v>
      </c>
      <c r="H72" s="168" t="n">
        <f aca="false">'VOL DWNLD'!H72+'VOL DELTA'!H72</f>
        <v>1</v>
      </c>
      <c r="I72" s="168" t="n">
        <f aca="false">'VOL DWNLD'!I72+'VOL DELTA'!I72</f>
        <v>1</v>
      </c>
      <c r="J72" s="168" t="n">
        <f aca="false">'VOL DWNLD'!J72+'VOL DELTA'!J72</f>
        <v>1</v>
      </c>
      <c r="K72" s="168" t="n">
        <f aca="false">'VOL DWNLD'!K72+'VOL DELTA'!K72</f>
        <v>1</v>
      </c>
      <c r="L72" s="168" t="n">
        <f aca="false">'VOL DWNLD'!L72+'VOL DELTA'!L72</f>
        <v>1</v>
      </c>
      <c r="M72" s="168" t="n">
        <f aca="false">'VOL DWNLD'!M72+'VOL DELTA'!M72</f>
        <v>1</v>
      </c>
      <c r="N72" s="168" t="n">
        <f aca="false">'VOL DWNLD'!N72+'VOL DELTA'!N72</f>
        <v>1</v>
      </c>
      <c r="O72" s="168" t="n">
        <f aca="false">'VOL DWNLD'!O72+'VOL DELTA'!O72</f>
        <v>1</v>
      </c>
      <c r="P72" s="168" t="n">
        <f aca="false">'VOL DWNLD'!P72+'VOL DELTA'!P72</f>
        <v>1.03</v>
      </c>
      <c r="Q72" s="168" t="n">
        <f aca="false">'VOL DWNLD'!Q72+'VOL DELTA'!Q72</f>
        <v>1</v>
      </c>
      <c r="R72" s="168" t="n">
        <f aca="false">'VOL DWNLD'!R72+'VOL DELTA'!R72</f>
        <v>1</v>
      </c>
      <c r="S72" s="168" t="n">
        <f aca="false">'VOL DWNLD'!S72+'VOL DELTA'!S72</f>
        <v>1.02</v>
      </c>
      <c r="T72" s="168" t="n">
        <f aca="false">'VOL DWNLD'!T72+'VOL DELTA'!T72</f>
        <v>1</v>
      </c>
      <c r="U72" s="168" t="n">
        <f aca="false">'VOL DWNLD'!U72+'VOL DELTA'!U72</f>
        <v>1</v>
      </c>
      <c r="V72" s="168" t="n">
        <f aca="false">'VOL DWNLD'!V72+'VOL DELTA'!V72</f>
        <v>1</v>
      </c>
      <c r="W72" s="168" t="n">
        <f aca="false">'VOL DWNLD'!W72+'VOL DELTA'!W72</f>
        <v>1</v>
      </c>
      <c r="X72" s="168" t="n">
        <f aca="false">'VOL DWNLD'!X72+'VOL DELTA'!X72</f>
        <v>1</v>
      </c>
      <c r="Y72" s="168" t="n">
        <f aca="false">'VOL DWNLD'!Y72+'VOL DELTA'!Y72</f>
        <v>1.02</v>
      </c>
      <c r="Z72" s="168" t="n">
        <f aca="false">'VOL DWNLD'!Z72+'VOL DELTA'!Z72</f>
        <v>1</v>
      </c>
      <c r="AA72" s="168" t="n">
        <f aca="false">'VOL DWNLD'!AA72+'VOL DELTA'!AA72</f>
        <v>1</v>
      </c>
      <c r="AB72" s="168" t="n">
        <f aca="false">'VOL DWNLD'!AB72+'VOL DELTA'!AB72</f>
        <v>1</v>
      </c>
      <c r="AC72" s="168" t="n">
        <f aca="false">'VOL DWNLD'!AC72+'VOL DELTA'!AC72</f>
        <v>1</v>
      </c>
      <c r="AD72" s="168" t="n">
        <f aca="false">'VOL DWNLD'!AD72+'VOL DELTA'!AD72</f>
        <v>0.98</v>
      </c>
      <c r="AE72" s="168" t="n">
        <f aca="false">'VOL DWNLD'!AE72+'VOL DELTA'!AE72</f>
        <v>0.98</v>
      </c>
      <c r="AF72" s="168" t="n">
        <f aca="false">'VOL DWNLD'!AF72+'VOL DELTA'!AF72</f>
        <v>0.98</v>
      </c>
      <c r="AG72" s="168" t="n">
        <f aca="false">'VOL DWNLD'!AG72+'VOL DELTA'!AG72</f>
        <v>0.98</v>
      </c>
      <c r="AH72" s="168" t="n">
        <f aca="false">'VOL DWNLD'!AH72+'VOL DELTA'!AH72</f>
        <v>1.05</v>
      </c>
      <c r="AI72" s="168" t="n">
        <f aca="false">'VOL DWNLD'!AI72+'VOL DELTA'!AI72</f>
        <v>1</v>
      </c>
      <c r="AJ72" s="168" t="n">
        <f aca="false">'VOL DWNLD'!AJ72+'VOL DELTA'!AJ72</f>
        <v>1</v>
      </c>
      <c r="AK72" s="168" t="n">
        <f aca="false">'VOL DWNLD'!AK72+'VOL DELTA'!AK72</f>
        <v>1.02</v>
      </c>
      <c r="AL72" s="168" t="n">
        <f aca="false">'VOL DWNLD'!AL72+'VOL DELTA'!AL72</f>
        <v>1</v>
      </c>
      <c r="AM72" s="168" t="n">
        <f aca="false">'VOL DWNLD'!AM72+'VOL DELTA'!AM72</f>
        <v>1</v>
      </c>
      <c r="AN72" s="168" t="n">
        <f aca="false">'VOL DWNLD'!AN72+'VOL DELTA'!AN72</f>
        <v>1</v>
      </c>
      <c r="AO72" s="168" t="n">
        <f aca="false">'VOL DWNLD'!AO72+'VOL DELTA'!AO72</f>
        <v>1</v>
      </c>
    </row>
    <row r="73" customFormat="false" ht="12.75" hidden="false" customHeight="false" outlineLevel="0" collapsed="false">
      <c r="A73" s="167" t="n">
        <v>38899</v>
      </c>
      <c r="B73" s="168" t="n">
        <f aca="false">'VOL DWNLD'!B73+'VOL DELTA'!B73</f>
        <v>1</v>
      </c>
      <c r="C73" s="168" t="n">
        <f aca="false">'VOL DWNLD'!C73+'VOL DELTA'!C73</f>
        <v>1</v>
      </c>
      <c r="D73" s="168" t="n">
        <f aca="false">'VOL DWNLD'!D73+'VOL DELTA'!D73</f>
        <v>1</v>
      </c>
      <c r="E73" s="168" t="n">
        <f aca="false">'VOL DWNLD'!E73+'VOL DELTA'!E73</f>
        <v>1</v>
      </c>
      <c r="F73" s="168" t="n">
        <f aca="false">'VOL DWNLD'!F73+'VOL DELTA'!F73</f>
        <v>1</v>
      </c>
      <c r="G73" s="168" t="n">
        <f aca="false">'VOL DWNLD'!G73+'VOL DELTA'!G73</f>
        <v>1</v>
      </c>
      <c r="H73" s="168" t="n">
        <f aca="false">'VOL DWNLD'!H73+'VOL DELTA'!H73</f>
        <v>1</v>
      </c>
      <c r="I73" s="168" t="n">
        <f aca="false">'VOL DWNLD'!I73+'VOL DELTA'!I73</f>
        <v>1</v>
      </c>
      <c r="J73" s="168" t="n">
        <f aca="false">'VOL DWNLD'!J73+'VOL DELTA'!J73</f>
        <v>1</v>
      </c>
      <c r="K73" s="168" t="n">
        <f aca="false">'VOL DWNLD'!K73+'VOL DELTA'!K73</f>
        <v>1</v>
      </c>
      <c r="L73" s="168" t="n">
        <f aca="false">'VOL DWNLD'!L73+'VOL DELTA'!L73</f>
        <v>1</v>
      </c>
      <c r="M73" s="168" t="n">
        <f aca="false">'VOL DWNLD'!M73+'VOL DELTA'!M73</f>
        <v>1</v>
      </c>
      <c r="N73" s="168" t="n">
        <f aca="false">'VOL DWNLD'!N73+'VOL DELTA'!N73</f>
        <v>1</v>
      </c>
      <c r="O73" s="168" t="n">
        <f aca="false">'VOL DWNLD'!O73+'VOL DELTA'!O73</f>
        <v>1</v>
      </c>
      <c r="P73" s="168" t="n">
        <f aca="false">'VOL DWNLD'!P73+'VOL DELTA'!P73</f>
        <v>1.03</v>
      </c>
      <c r="Q73" s="168" t="n">
        <f aca="false">'VOL DWNLD'!Q73+'VOL DELTA'!Q73</f>
        <v>1</v>
      </c>
      <c r="R73" s="168" t="n">
        <f aca="false">'VOL DWNLD'!R73+'VOL DELTA'!R73</f>
        <v>1</v>
      </c>
      <c r="S73" s="168" t="n">
        <f aca="false">'VOL DWNLD'!S73+'VOL DELTA'!S73</f>
        <v>1.02</v>
      </c>
      <c r="T73" s="168" t="n">
        <f aca="false">'VOL DWNLD'!T73+'VOL DELTA'!T73</f>
        <v>1</v>
      </c>
      <c r="U73" s="168" t="n">
        <f aca="false">'VOL DWNLD'!U73+'VOL DELTA'!U73</f>
        <v>1</v>
      </c>
      <c r="V73" s="168" t="n">
        <f aca="false">'VOL DWNLD'!V73+'VOL DELTA'!V73</f>
        <v>1</v>
      </c>
      <c r="W73" s="168" t="n">
        <f aca="false">'VOL DWNLD'!W73+'VOL DELTA'!W73</f>
        <v>1</v>
      </c>
      <c r="X73" s="168" t="n">
        <f aca="false">'VOL DWNLD'!X73+'VOL DELTA'!X73</f>
        <v>1</v>
      </c>
      <c r="Y73" s="168" t="n">
        <f aca="false">'VOL DWNLD'!Y73+'VOL DELTA'!Y73</f>
        <v>1.02</v>
      </c>
      <c r="Z73" s="168" t="n">
        <f aca="false">'VOL DWNLD'!Z73+'VOL DELTA'!Z73</f>
        <v>1</v>
      </c>
      <c r="AA73" s="168" t="n">
        <f aca="false">'VOL DWNLD'!AA73+'VOL DELTA'!AA73</f>
        <v>1</v>
      </c>
      <c r="AB73" s="168" t="n">
        <f aca="false">'VOL DWNLD'!AB73+'VOL DELTA'!AB73</f>
        <v>1</v>
      </c>
      <c r="AC73" s="168" t="n">
        <f aca="false">'VOL DWNLD'!AC73+'VOL DELTA'!AC73</f>
        <v>1</v>
      </c>
      <c r="AD73" s="168" t="n">
        <f aca="false">'VOL DWNLD'!AD73+'VOL DELTA'!AD73</f>
        <v>0.98</v>
      </c>
      <c r="AE73" s="168" t="n">
        <f aca="false">'VOL DWNLD'!AE73+'VOL DELTA'!AE73</f>
        <v>0.98</v>
      </c>
      <c r="AF73" s="168" t="n">
        <f aca="false">'VOL DWNLD'!AF73+'VOL DELTA'!AF73</f>
        <v>0.98</v>
      </c>
      <c r="AG73" s="168" t="n">
        <f aca="false">'VOL DWNLD'!AG73+'VOL DELTA'!AG73</f>
        <v>0.98</v>
      </c>
      <c r="AH73" s="168" t="n">
        <f aca="false">'VOL DWNLD'!AH73+'VOL DELTA'!AH73</f>
        <v>1.05</v>
      </c>
      <c r="AI73" s="168" t="n">
        <f aca="false">'VOL DWNLD'!AI73+'VOL DELTA'!AI73</f>
        <v>1</v>
      </c>
      <c r="AJ73" s="168" t="n">
        <f aca="false">'VOL DWNLD'!AJ73+'VOL DELTA'!AJ73</f>
        <v>1</v>
      </c>
      <c r="AK73" s="168" t="n">
        <f aca="false">'VOL DWNLD'!AK73+'VOL DELTA'!AK73</f>
        <v>1.02</v>
      </c>
      <c r="AL73" s="168" t="n">
        <f aca="false">'VOL DWNLD'!AL73+'VOL DELTA'!AL73</f>
        <v>1</v>
      </c>
      <c r="AM73" s="168" t="n">
        <f aca="false">'VOL DWNLD'!AM73+'VOL DELTA'!AM73</f>
        <v>1</v>
      </c>
      <c r="AN73" s="168" t="n">
        <f aca="false">'VOL DWNLD'!AN73+'VOL DELTA'!AN73</f>
        <v>1</v>
      </c>
      <c r="AO73" s="168" t="n">
        <f aca="false">'VOL DWNLD'!AO73+'VOL DELTA'!AO73</f>
        <v>1</v>
      </c>
    </row>
    <row r="74" customFormat="false" ht="12.75" hidden="false" customHeight="false" outlineLevel="0" collapsed="false">
      <c r="A74" s="167" t="n">
        <v>38930</v>
      </c>
      <c r="B74" s="168" t="n">
        <f aca="false">'VOL DWNLD'!B74+'VOL DELTA'!B74</f>
        <v>1</v>
      </c>
      <c r="C74" s="168" t="n">
        <f aca="false">'VOL DWNLD'!C74+'VOL DELTA'!C74</f>
        <v>1</v>
      </c>
      <c r="D74" s="168" t="n">
        <f aca="false">'VOL DWNLD'!D74+'VOL DELTA'!D74</f>
        <v>1</v>
      </c>
      <c r="E74" s="168" t="n">
        <f aca="false">'VOL DWNLD'!E74+'VOL DELTA'!E74</f>
        <v>1</v>
      </c>
      <c r="F74" s="168" t="n">
        <f aca="false">'VOL DWNLD'!F74+'VOL DELTA'!F74</f>
        <v>1</v>
      </c>
      <c r="G74" s="168" t="n">
        <f aca="false">'VOL DWNLD'!G74+'VOL DELTA'!G74</f>
        <v>1</v>
      </c>
      <c r="H74" s="168" t="n">
        <f aca="false">'VOL DWNLD'!H74+'VOL DELTA'!H74</f>
        <v>1</v>
      </c>
      <c r="I74" s="168" t="n">
        <f aca="false">'VOL DWNLD'!I74+'VOL DELTA'!I74</f>
        <v>1</v>
      </c>
      <c r="J74" s="168" t="n">
        <f aca="false">'VOL DWNLD'!J74+'VOL DELTA'!J74</f>
        <v>1</v>
      </c>
      <c r="K74" s="168" t="n">
        <f aca="false">'VOL DWNLD'!K74+'VOL DELTA'!K74</f>
        <v>1</v>
      </c>
      <c r="L74" s="168" t="n">
        <f aca="false">'VOL DWNLD'!L74+'VOL DELTA'!L74</f>
        <v>1</v>
      </c>
      <c r="M74" s="168" t="n">
        <f aca="false">'VOL DWNLD'!M74+'VOL DELTA'!M74</f>
        <v>1</v>
      </c>
      <c r="N74" s="168" t="n">
        <f aca="false">'VOL DWNLD'!N74+'VOL DELTA'!N74</f>
        <v>1</v>
      </c>
      <c r="O74" s="168" t="n">
        <f aca="false">'VOL DWNLD'!O74+'VOL DELTA'!O74</f>
        <v>1</v>
      </c>
      <c r="P74" s="168" t="n">
        <f aca="false">'VOL DWNLD'!P74+'VOL DELTA'!P74</f>
        <v>1.03</v>
      </c>
      <c r="Q74" s="168" t="n">
        <f aca="false">'VOL DWNLD'!Q74+'VOL DELTA'!Q74</f>
        <v>1</v>
      </c>
      <c r="R74" s="168" t="n">
        <f aca="false">'VOL DWNLD'!R74+'VOL DELTA'!R74</f>
        <v>1</v>
      </c>
      <c r="S74" s="168" t="n">
        <f aca="false">'VOL DWNLD'!S74+'VOL DELTA'!S74</f>
        <v>1.02</v>
      </c>
      <c r="T74" s="168" t="n">
        <f aca="false">'VOL DWNLD'!T74+'VOL DELTA'!T74</f>
        <v>1</v>
      </c>
      <c r="U74" s="168" t="n">
        <f aca="false">'VOL DWNLD'!U74+'VOL DELTA'!U74</f>
        <v>1</v>
      </c>
      <c r="V74" s="168" t="n">
        <f aca="false">'VOL DWNLD'!V74+'VOL DELTA'!V74</f>
        <v>1</v>
      </c>
      <c r="W74" s="168" t="n">
        <f aca="false">'VOL DWNLD'!W74+'VOL DELTA'!W74</f>
        <v>1</v>
      </c>
      <c r="X74" s="168" t="n">
        <f aca="false">'VOL DWNLD'!X74+'VOL DELTA'!X74</f>
        <v>1</v>
      </c>
      <c r="Y74" s="168" t="n">
        <f aca="false">'VOL DWNLD'!Y74+'VOL DELTA'!Y74</f>
        <v>1.02</v>
      </c>
      <c r="Z74" s="168" t="n">
        <f aca="false">'VOL DWNLD'!Z74+'VOL DELTA'!Z74</f>
        <v>1</v>
      </c>
      <c r="AA74" s="168" t="n">
        <f aca="false">'VOL DWNLD'!AA74+'VOL DELTA'!AA74</f>
        <v>1</v>
      </c>
      <c r="AB74" s="168" t="n">
        <f aca="false">'VOL DWNLD'!AB74+'VOL DELTA'!AB74</f>
        <v>1</v>
      </c>
      <c r="AC74" s="168" t="n">
        <f aca="false">'VOL DWNLD'!AC74+'VOL DELTA'!AC74</f>
        <v>1</v>
      </c>
      <c r="AD74" s="168" t="n">
        <f aca="false">'VOL DWNLD'!AD74+'VOL DELTA'!AD74</f>
        <v>0.98</v>
      </c>
      <c r="AE74" s="168" t="n">
        <f aca="false">'VOL DWNLD'!AE74+'VOL DELTA'!AE74</f>
        <v>0.98</v>
      </c>
      <c r="AF74" s="168" t="n">
        <f aca="false">'VOL DWNLD'!AF74+'VOL DELTA'!AF74</f>
        <v>0.98</v>
      </c>
      <c r="AG74" s="168" t="n">
        <f aca="false">'VOL DWNLD'!AG74+'VOL DELTA'!AG74</f>
        <v>0.98</v>
      </c>
      <c r="AH74" s="168" t="n">
        <f aca="false">'VOL DWNLD'!AH74+'VOL DELTA'!AH74</f>
        <v>1.05</v>
      </c>
      <c r="AI74" s="168" t="n">
        <f aca="false">'VOL DWNLD'!AI74+'VOL DELTA'!AI74</f>
        <v>1</v>
      </c>
      <c r="AJ74" s="168" t="n">
        <f aca="false">'VOL DWNLD'!AJ74+'VOL DELTA'!AJ74</f>
        <v>1</v>
      </c>
      <c r="AK74" s="168" t="n">
        <f aca="false">'VOL DWNLD'!AK74+'VOL DELTA'!AK74</f>
        <v>1.02</v>
      </c>
      <c r="AL74" s="168" t="n">
        <f aca="false">'VOL DWNLD'!AL74+'VOL DELTA'!AL74</f>
        <v>1</v>
      </c>
      <c r="AM74" s="168" t="n">
        <f aca="false">'VOL DWNLD'!AM74+'VOL DELTA'!AM74</f>
        <v>1</v>
      </c>
      <c r="AN74" s="168" t="n">
        <f aca="false">'VOL DWNLD'!AN74+'VOL DELTA'!AN74</f>
        <v>1</v>
      </c>
      <c r="AO74" s="168" t="n">
        <f aca="false">'VOL DWNLD'!AO74+'VOL DELTA'!AO74</f>
        <v>1</v>
      </c>
    </row>
    <row r="75" customFormat="false" ht="12.75" hidden="false" customHeight="false" outlineLevel="0" collapsed="false">
      <c r="A75" s="167" t="n">
        <v>38961</v>
      </c>
      <c r="B75" s="168" t="n">
        <f aca="false">'VOL DWNLD'!B75+'VOL DELTA'!B75</f>
        <v>1</v>
      </c>
      <c r="C75" s="168" t="n">
        <f aca="false">'VOL DWNLD'!C75+'VOL DELTA'!C75</f>
        <v>1</v>
      </c>
      <c r="D75" s="168" t="n">
        <f aca="false">'VOL DWNLD'!D75+'VOL DELTA'!D75</f>
        <v>1</v>
      </c>
      <c r="E75" s="168" t="n">
        <f aca="false">'VOL DWNLD'!E75+'VOL DELTA'!E75</f>
        <v>1</v>
      </c>
      <c r="F75" s="168" t="n">
        <f aca="false">'VOL DWNLD'!F75+'VOL DELTA'!F75</f>
        <v>1</v>
      </c>
      <c r="G75" s="168" t="n">
        <f aca="false">'VOL DWNLD'!G75+'VOL DELTA'!G75</f>
        <v>1</v>
      </c>
      <c r="H75" s="168" t="n">
        <f aca="false">'VOL DWNLD'!H75+'VOL DELTA'!H75</f>
        <v>1</v>
      </c>
      <c r="I75" s="168" t="n">
        <f aca="false">'VOL DWNLD'!I75+'VOL DELTA'!I75</f>
        <v>1</v>
      </c>
      <c r="J75" s="168" t="n">
        <f aca="false">'VOL DWNLD'!J75+'VOL DELTA'!J75</f>
        <v>1</v>
      </c>
      <c r="K75" s="168" t="n">
        <f aca="false">'VOL DWNLD'!K75+'VOL DELTA'!K75</f>
        <v>1</v>
      </c>
      <c r="L75" s="168" t="n">
        <f aca="false">'VOL DWNLD'!L75+'VOL DELTA'!L75</f>
        <v>1</v>
      </c>
      <c r="M75" s="168" t="n">
        <f aca="false">'VOL DWNLD'!M75+'VOL DELTA'!M75</f>
        <v>1</v>
      </c>
      <c r="N75" s="168" t="n">
        <f aca="false">'VOL DWNLD'!N75+'VOL DELTA'!N75</f>
        <v>1</v>
      </c>
      <c r="O75" s="168" t="n">
        <f aca="false">'VOL DWNLD'!O75+'VOL DELTA'!O75</f>
        <v>1</v>
      </c>
      <c r="P75" s="168" t="n">
        <f aca="false">'VOL DWNLD'!P75+'VOL DELTA'!P75</f>
        <v>1.03</v>
      </c>
      <c r="Q75" s="168" t="n">
        <f aca="false">'VOL DWNLD'!Q75+'VOL DELTA'!Q75</f>
        <v>1</v>
      </c>
      <c r="R75" s="168" t="n">
        <f aca="false">'VOL DWNLD'!R75+'VOL DELTA'!R75</f>
        <v>1</v>
      </c>
      <c r="S75" s="168" t="n">
        <f aca="false">'VOL DWNLD'!S75+'VOL DELTA'!S75</f>
        <v>1.02</v>
      </c>
      <c r="T75" s="168" t="n">
        <f aca="false">'VOL DWNLD'!T75+'VOL DELTA'!T75</f>
        <v>1</v>
      </c>
      <c r="U75" s="168" t="n">
        <f aca="false">'VOL DWNLD'!U75+'VOL DELTA'!U75</f>
        <v>1</v>
      </c>
      <c r="V75" s="168" t="n">
        <f aca="false">'VOL DWNLD'!V75+'VOL DELTA'!V75</f>
        <v>1</v>
      </c>
      <c r="W75" s="168" t="n">
        <f aca="false">'VOL DWNLD'!W75+'VOL DELTA'!W75</f>
        <v>1</v>
      </c>
      <c r="X75" s="168" t="n">
        <f aca="false">'VOL DWNLD'!X75+'VOL DELTA'!X75</f>
        <v>1</v>
      </c>
      <c r="Y75" s="168" t="n">
        <f aca="false">'VOL DWNLD'!Y75+'VOL DELTA'!Y75</f>
        <v>1.02</v>
      </c>
      <c r="Z75" s="168" t="n">
        <f aca="false">'VOL DWNLD'!Z75+'VOL DELTA'!Z75</f>
        <v>1</v>
      </c>
      <c r="AA75" s="168" t="n">
        <f aca="false">'VOL DWNLD'!AA75+'VOL DELTA'!AA75</f>
        <v>1</v>
      </c>
      <c r="AB75" s="168" t="n">
        <f aca="false">'VOL DWNLD'!AB75+'VOL DELTA'!AB75</f>
        <v>1</v>
      </c>
      <c r="AC75" s="168" t="n">
        <f aca="false">'VOL DWNLD'!AC75+'VOL DELTA'!AC75</f>
        <v>1</v>
      </c>
      <c r="AD75" s="168" t="n">
        <f aca="false">'VOL DWNLD'!AD75+'VOL DELTA'!AD75</f>
        <v>0.98</v>
      </c>
      <c r="AE75" s="168" t="n">
        <f aca="false">'VOL DWNLD'!AE75+'VOL DELTA'!AE75</f>
        <v>0.98</v>
      </c>
      <c r="AF75" s="168" t="n">
        <f aca="false">'VOL DWNLD'!AF75+'VOL DELTA'!AF75</f>
        <v>0.98</v>
      </c>
      <c r="AG75" s="168" t="n">
        <f aca="false">'VOL DWNLD'!AG75+'VOL DELTA'!AG75</f>
        <v>0.98</v>
      </c>
      <c r="AH75" s="168" t="n">
        <f aca="false">'VOL DWNLD'!AH75+'VOL DELTA'!AH75</f>
        <v>1.05</v>
      </c>
      <c r="AI75" s="168" t="n">
        <f aca="false">'VOL DWNLD'!AI75+'VOL DELTA'!AI75</f>
        <v>1</v>
      </c>
      <c r="AJ75" s="168" t="n">
        <f aca="false">'VOL DWNLD'!AJ75+'VOL DELTA'!AJ75</f>
        <v>1</v>
      </c>
      <c r="AK75" s="168" t="n">
        <f aca="false">'VOL DWNLD'!AK75+'VOL DELTA'!AK75</f>
        <v>1.02</v>
      </c>
      <c r="AL75" s="168" t="n">
        <f aca="false">'VOL DWNLD'!AL75+'VOL DELTA'!AL75</f>
        <v>1</v>
      </c>
      <c r="AM75" s="168" t="n">
        <f aca="false">'VOL DWNLD'!AM75+'VOL DELTA'!AM75</f>
        <v>1</v>
      </c>
      <c r="AN75" s="168" t="n">
        <f aca="false">'VOL DWNLD'!AN75+'VOL DELTA'!AN75</f>
        <v>1</v>
      </c>
      <c r="AO75" s="168" t="n">
        <f aca="false">'VOL DWNLD'!AO75+'VOL DELTA'!AO75</f>
        <v>1</v>
      </c>
    </row>
    <row r="76" customFormat="false" ht="12.75" hidden="false" customHeight="false" outlineLevel="0" collapsed="false">
      <c r="A76" s="167" t="n">
        <v>38991</v>
      </c>
      <c r="B76" s="168" t="n">
        <f aca="false">'VOL DWNLD'!B76+'VOL DELTA'!B76</f>
        <v>1</v>
      </c>
      <c r="C76" s="168" t="n">
        <f aca="false">'VOL DWNLD'!C76+'VOL DELTA'!C76</f>
        <v>1</v>
      </c>
      <c r="D76" s="168" t="n">
        <f aca="false">'VOL DWNLD'!D76+'VOL DELTA'!D76</f>
        <v>1</v>
      </c>
      <c r="E76" s="168" t="n">
        <f aca="false">'VOL DWNLD'!E76+'VOL DELTA'!E76</f>
        <v>1</v>
      </c>
      <c r="F76" s="168" t="n">
        <f aca="false">'VOL DWNLD'!F76+'VOL DELTA'!F76</f>
        <v>1</v>
      </c>
      <c r="G76" s="168" t="n">
        <f aca="false">'VOL DWNLD'!G76+'VOL DELTA'!G76</f>
        <v>1</v>
      </c>
      <c r="H76" s="168" t="n">
        <f aca="false">'VOL DWNLD'!H76+'VOL DELTA'!H76</f>
        <v>1</v>
      </c>
      <c r="I76" s="168" t="n">
        <f aca="false">'VOL DWNLD'!I76+'VOL DELTA'!I76</f>
        <v>1</v>
      </c>
      <c r="J76" s="168" t="n">
        <f aca="false">'VOL DWNLD'!J76+'VOL DELTA'!J76</f>
        <v>1</v>
      </c>
      <c r="K76" s="168" t="n">
        <f aca="false">'VOL DWNLD'!K76+'VOL DELTA'!K76</f>
        <v>1</v>
      </c>
      <c r="L76" s="168" t="n">
        <f aca="false">'VOL DWNLD'!L76+'VOL DELTA'!L76</f>
        <v>1</v>
      </c>
      <c r="M76" s="168" t="n">
        <f aca="false">'VOL DWNLD'!M76+'VOL DELTA'!M76</f>
        <v>1</v>
      </c>
      <c r="N76" s="168" t="n">
        <f aca="false">'VOL DWNLD'!N76+'VOL DELTA'!N76</f>
        <v>1</v>
      </c>
      <c r="O76" s="168" t="n">
        <f aca="false">'VOL DWNLD'!O76+'VOL DELTA'!O76</f>
        <v>1</v>
      </c>
      <c r="P76" s="168" t="n">
        <f aca="false">'VOL DWNLD'!P76+'VOL DELTA'!P76</f>
        <v>1.03</v>
      </c>
      <c r="Q76" s="168" t="n">
        <f aca="false">'VOL DWNLD'!Q76+'VOL DELTA'!Q76</f>
        <v>1</v>
      </c>
      <c r="R76" s="168" t="n">
        <f aca="false">'VOL DWNLD'!R76+'VOL DELTA'!R76</f>
        <v>1</v>
      </c>
      <c r="S76" s="168" t="n">
        <f aca="false">'VOL DWNLD'!S76+'VOL DELTA'!S76</f>
        <v>1.02</v>
      </c>
      <c r="T76" s="168" t="n">
        <f aca="false">'VOL DWNLD'!T76+'VOL DELTA'!T76</f>
        <v>1</v>
      </c>
      <c r="U76" s="168" t="n">
        <f aca="false">'VOL DWNLD'!U76+'VOL DELTA'!U76</f>
        <v>1</v>
      </c>
      <c r="V76" s="168" t="n">
        <f aca="false">'VOL DWNLD'!V76+'VOL DELTA'!V76</f>
        <v>1</v>
      </c>
      <c r="W76" s="168" t="n">
        <f aca="false">'VOL DWNLD'!W76+'VOL DELTA'!W76</f>
        <v>1</v>
      </c>
      <c r="X76" s="168" t="n">
        <f aca="false">'VOL DWNLD'!X76+'VOL DELTA'!X76</f>
        <v>1</v>
      </c>
      <c r="Y76" s="168" t="n">
        <f aca="false">'VOL DWNLD'!Y76+'VOL DELTA'!Y76</f>
        <v>1.02</v>
      </c>
      <c r="Z76" s="168" t="n">
        <f aca="false">'VOL DWNLD'!Z76+'VOL DELTA'!Z76</f>
        <v>1</v>
      </c>
      <c r="AA76" s="168" t="n">
        <f aca="false">'VOL DWNLD'!AA76+'VOL DELTA'!AA76</f>
        <v>1</v>
      </c>
      <c r="AB76" s="168" t="n">
        <f aca="false">'VOL DWNLD'!AB76+'VOL DELTA'!AB76</f>
        <v>1</v>
      </c>
      <c r="AC76" s="168" t="n">
        <f aca="false">'VOL DWNLD'!AC76+'VOL DELTA'!AC76</f>
        <v>1</v>
      </c>
      <c r="AD76" s="168" t="n">
        <f aca="false">'VOL DWNLD'!AD76+'VOL DELTA'!AD76</f>
        <v>0.98</v>
      </c>
      <c r="AE76" s="168" t="n">
        <f aca="false">'VOL DWNLD'!AE76+'VOL DELTA'!AE76</f>
        <v>0.98</v>
      </c>
      <c r="AF76" s="168" t="n">
        <f aca="false">'VOL DWNLD'!AF76+'VOL DELTA'!AF76</f>
        <v>0.98</v>
      </c>
      <c r="AG76" s="168" t="n">
        <f aca="false">'VOL DWNLD'!AG76+'VOL DELTA'!AG76</f>
        <v>0.98</v>
      </c>
      <c r="AH76" s="168" t="n">
        <f aca="false">'VOL DWNLD'!AH76+'VOL DELTA'!AH76</f>
        <v>1.05</v>
      </c>
      <c r="AI76" s="168" t="n">
        <f aca="false">'VOL DWNLD'!AI76+'VOL DELTA'!AI76</f>
        <v>1</v>
      </c>
      <c r="AJ76" s="168" t="n">
        <f aca="false">'VOL DWNLD'!AJ76+'VOL DELTA'!AJ76</f>
        <v>1</v>
      </c>
      <c r="AK76" s="168" t="n">
        <f aca="false">'VOL DWNLD'!AK76+'VOL DELTA'!AK76</f>
        <v>1.02</v>
      </c>
      <c r="AL76" s="168" t="n">
        <f aca="false">'VOL DWNLD'!AL76+'VOL DELTA'!AL76</f>
        <v>1</v>
      </c>
      <c r="AM76" s="168" t="n">
        <f aca="false">'VOL DWNLD'!AM76+'VOL DELTA'!AM76</f>
        <v>1</v>
      </c>
      <c r="AN76" s="168" t="n">
        <f aca="false">'VOL DWNLD'!AN76+'VOL DELTA'!AN76</f>
        <v>1</v>
      </c>
      <c r="AO76" s="168" t="n">
        <f aca="false">'VOL DWNLD'!AO76+'VOL DELTA'!AO76</f>
        <v>1</v>
      </c>
    </row>
    <row r="77" customFormat="false" ht="12.75" hidden="false" customHeight="false" outlineLevel="0" collapsed="false">
      <c r="A77" s="167" t="n">
        <v>39022</v>
      </c>
      <c r="B77" s="168" t="n">
        <f aca="false">'VOL DWNLD'!B77+'VOL DELTA'!B77</f>
        <v>1</v>
      </c>
      <c r="C77" s="168" t="n">
        <f aca="false">'VOL DWNLD'!C77+'VOL DELTA'!C77</f>
        <v>1</v>
      </c>
      <c r="D77" s="168" t="n">
        <f aca="false">'VOL DWNLD'!D77+'VOL DELTA'!D77</f>
        <v>1</v>
      </c>
      <c r="E77" s="168" t="n">
        <f aca="false">'VOL DWNLD'!E77+'VOL DELTA'!E77</f>
        <v>1</v>
      </c>
      <c r="F77" s="168" t="n">
        <f aca="false">'VOL DWNLD'!F77+'VOL DELTA'!F77</f>
        <v>1</v>
      </c>
      <c r="G77" s="168" t="n">
        <f aca="false">'VOL DWNLD'!G77+'VOL DELTA'!G77</f>
        <v>1</v>
      </c>
      <c r="H77" s="168" t="n">
        <f aca="false">'VOL DWNLD'!H77+'VOL DELTA'!H77</f>
        <v>1</v>
      </c>
      <c r="I77" s="168" t="n">
        <f aca="false">'VOL DWNLD'!I77+'VOL DELTA'!I77</f>
        <v>1</v>
      </c>
      <c r="J77" s="168" t="n">
        <f aca="false">'VOL DWNLD'!J77+'VOL DELTA'!J77</f>
        <v>1</v>
      </c>
      <c r="K77" s="168" t="n">
        <f aca="false">'VOL DWNLD'!K77+'VOL DELTA'!K77</f>
        <v>1</v>
      </c>
      <c r="L77" s="168" t="n">
        <f aca="false">'VOL DWNLD'!L77+'VOL DELTA'!L77</f>
        <v>1</v>
      </c>
      <c r="M77" s="168" t="n">
        <f aca="false">'VOL DWNLD'!M77+'VOL DELTA'!M77</f>
        <v>1</v>
      </c>
      <c r="N77" s="168" t="n">
        <f aca="false">'VOL DWNLD'!N77+'VOL DELTA'!N77</f>
        <v>1</v>
      </c>
      <c r="O77" s="168" t="n">
        <f aca="false">'VOL DWNLD'!O77+'VOL DELTA'!O77</f>
        <v>1</v>
      </c>
      <c r="P77" s="168" t="n">
        <f aca="false">'VOL DWNLD'!P77+'VOL DELTA'!P77</f>
        <v>1.03</v>
      </c>
      <c r="Q77" s="168" t="n">
        <f aca="false">'VOL DWNLD'!Q77+'VOL DELTA'!Q77</f>
        <v>1</v>
      </c>
      <c r="R77" s="168" t="n">
        <f aca="false">'VOL DWNLD'!R77+'VOL DELTA'!R77</f>
        <v>1</v>
      </c>
      <c r="S77" s="168" t="n">
        <f aca="false">'VOL DWNLD'!S77+'VOL DELTA'!S77</f>
        <v>1.02</v>
      </c>
      <c r="T77" s="168" t="n">
        <f aca="false">'VOL DWNLD'!T77+'VOL DELTA'!T77</f>
        <v>1</v>
      </c>
      <c r="U77" s="168" t="n">
        <f aca="false">'VOL DWNLD'!U77+'VOL DELTA'!U77</f>
        <v>1</v>
      </c>
      <c r="V77" s="168" t="n">
        <f aca="false">'VOL DWNLD'!V77+'VOL DELTA'!V77</f>
        <v>1</v>
      </c>
      <c r="W77" s="168" t="n">
        <f aca="false">'VOL DWNLD'!W77+'VOL DELTA'!W77</f>
        <v>1</v>
      </c>
      <c r="X77" s="168" t="n">
        <f aca="false">'VOL DWNLD'!X77+'VOL DELTA'!X77</f>
        <v>1</v>
      </c>
      <c r="Y77" s="168" t="n">
        <f aca="false">'VOL DWNLD'!Y77+'VOL DELTA'!Y77</f>
        <v>1</v>
      </c>
      <c r="Z77" s="168" t="n">
        <f aca="false">'VOL DWNLD'!Z77+'VOL DELTA'!Z77</f>
        <v>1</v>
      </c>
      <c r="AA77" s="168" t="n">
        <f aca="false">'VOL DWNLD'!AA77+'VOL DELTA'!AA77</f>
        <v>1</v>
      </c>
      <c r="AB77" s="168" t="n">
        <f aca="false">'VOL DWNLD'!AB77+'VOL DELTA'!AB77</f>
        <v>1</v>
      </c>
      <c r="AC77" s="168" t="n">
        <f aca="false">'VOL DWNLD'!AC77+'VOL DELTA'!AC77</f>
        <v>1</v>
      </c>
      <c r="AD77" s="168" t="n">
        <f aca="false">'VOL DWNLD'!AD77+'VOL DELTA'!AD77</f>
        <v>1</v>
      </c>
      <c r="AE77" s="168" t="n">
        <f aca="false">'VOL DWNLD'!AE77+'VOL DELTA'!AE77</f>
        <v>1</v>
      </c>
      <c r="AF77" s="168" t="n">
        <f aca="false">'VOL DWNLD'!AF77+'VOL DELTA'!AF77</f>
        <v>1.1</v>
      </c>
      <c r="AG77" s="168" t="n">
        <f aca="false">'VOL DWNLD'!AG77+'VOL DELTA'!AG77</f>
        <v>1.1</v>
      </c>
      <c r="AH77" s="168" t="n">
        <f aca="false">'VOL DWNLD'!AH77+'VOL DELTA'!AH77</f>
        <v>1.05</v>
      </c>
      <c r="AI77" s="168" t="n">
        <f aca="false">'VOL DWNLD'!AI77+'VOL DELTA'!AI77</f>
        <v>1</v>
      </c>
      <c r="AJ77" s="168" t="n">
        <f aca="false">'VOL DWNLD'!AJ77+'VOL DELTA'!AJ77</f>
        <v>1</v>
      </c>
      <c r="AK77" s="168" t="n">
        <f aca="false">'VOL DWNLD'!AK77+'VOL DELTA'!AK77</f>
        <v>1.02</v>
      </c>
      <c r="AL77" s="168" t="n">
        <f aca="false">'VOL DWNLD'!AL77+'VOL DELTA'!AL77</f>
        <v>1</v>
      </c>
      <c r="AM77" s="168" t="n">
        <f aca="false">'VOL DWNLD'!AM77+'VOL DELTA'!AM77</f>
        <v>1</v>
      </c>
      <c r="AN77" s="168" t="n">
        <f aca="false">'VOL DWNLD'!AN77+'VOL DELTA'!AN77</f>
        <v>1</v>
      </c>
      <c r="AO77" s="168" t="n">
        <f aca="false">'VOL DWNLD'!AO77+'VOL DELTA'!AO77</f>
        <v>1</v>
      </c>
    </row>
    <row r="78" customFormat="false" ht="12.75" hidden="false" customHeight="false" outlineLevel="0" collapsed="false">
      <c r="A78" s="167" t="n">
        <v>39052</v>
      </c>
      <c r="B78" s="168" t="n">
        <f aca="false">'VOL DWNLD'!B78+'VOL DELTA'!B78</f>
        <v>1</v>
      </c>
      <c r="C78" s="168" t="n">
        <f aca="false">'VOL DWNLD'!C78+'VOL DELTA'!C78</f>
        <v>1</v>
      </c>
      <c r="D78" s="168" t="n">
        <f aca="false">'VOL DWNLD'!D78+'VOL DELTA'!D78</f>
        <v>1</v>
      </c>
      <c r="E78" s="168" t="n">
        <f aca="false">'VOL DWNLD'!E78+'VOL DELTA'!E78</f>
        <v>1</v>
      </c>
      <c r="F78" s="168" t="n">
        <f aca="false">'VOL DWNLD'!F78+'VOL DELTA'!F78</f>
        <v>1</v>
      </c>
      <c r="G78" s="168" t="n">
        <f aca="false">'VOL DWNLD'!G78+'VOL DELTA'!G78</f>
        <v>1</v>
      </c>
      <c r="H78" s="168" t="n">
        <f aca="false">'VOL DWNLD'!H78+'VOL DELTA'!H78</f>
        <v>1</v>
      </c>
      <c r="I78" s="168" t="n">
        <f aca="false">'VOL DWNLD'!I78+'VOL DELTA'!I78</f>
        <v>1</v>
      </c>
      <c r="J78" s="168" t="n">
        <f aca="false">'VOL DWNLD'!J78+'VOL DELTA'!J78</f>
        <v>1</v>
      </c>
      <c r="K78" s="168" t="n">
        <f aca="false">'VOL DWNLD'!K78+'VOL DELTA'!K78</f>
        <v>1</v>
      </c>
      <c r="L78" s="168" t="n">
        <f aca="false">'VOL DWNLD'!L78+'VOL DELTA'!L78</f>
        <v>1</v>
      </c>
      <c r="M78" s="168" t="n">
        <f aca="false">'VOL DWNLD'!M78+'VOL DELTA'!M78</f>
        <v>1</v>
      </c>
      <c r="N78" s="168" t="n">
        <f aca="false">'VOL DWNLD'!N78+'VOL DELTA'!N78</f>
        <v>1</v>
      </c>
      <c r="O78" s="168" t="n">
        <f aca="false">'VOL DWNLD'!O78+'VOL DELTA'!O78</f>
        <v>1</v>
      </c>
      <c r="P78" s="168" t="n">
        <f aca="false">'VOL DWNLD'!P78+'VOL DELTA'!P78</f>
        <v>1.03</v>
      </c>
      <c r="Q78" s="168" t="n">
        <f aca="false">'VOL DWNLD'!Q78+'VOL DELTA'!Q78</f>
        <v>1</v>
      </c>
      <c r="R78" s="168" t="n">
        <f aca="false">'VOL DWNLD'!R78+'VOL DELTA'!R78</f>
        <v>1</v>
      </c>
      <c r="S78" s="168" t="n">
        <f aca="false">'VOL DWNLD'!S78+'VOL DELTA'!S78</f>
        <v>1.02</v>
      </c>
      <c r="T78" s="168" t="n">
        <f aca="false">'VOL DWNLD'!T78+'VOL DELTA'!T78</f>
        <v>1</v>
      </c>
      <c r="U78" s="168" t="n">
        <f aca="false">'VOL DWNLD'!U78+'VOL DELTA'!U78</f>
        <v>1</v>
      </c>
      <c r="V78" s="168" t="n">
        <f aca="false">'VOL DWNLD'!V78+'VOL DELTA'!V78</f>
        <v>1</v>
      </c>
      <c r="W78" s="168" t="n">
        <f aca="false">'VOL DWNLD'!W78+'VOL DELTA'!W78</f>
        <v>1</v>
      </c>
      <c r="X78" s="168" t="n">
        <f aca="false">'VOL DWNLD'!X78+'VOL DELTA'!X78</f>
        <v>1</v>
      </c>
      <c r="Y78" s="168" t="n">
        <f aca="false">'VOL DWNLD'!Y78+'VOL DELTA'!Y78</f>
        <v>1</v>
      </c>
      <c r="Z78" s="168" t="n">
        <f aca="false">'VOL DWNLD'!Z78+'VOL DELTA'!Z78</f>
        <v>1</v>
      </c>
      <c r="AA78" s="168" t="n">
        <f aca="false">'VOL DWNLD'!AA78+'VOL DELTA'!AA78</f>
        <v>1</v>
      </c>
      <c r="AB78" s="168" t="n">
        <f aca="false">'VOL DWNLD'!AB78+'VOL DELTA'!AB78</f>
        <v>1</v>
      </c>
      <c r="AC78" s="168" t="n">
        <f aca="false">'VOL DWNLD'!AC78+'VOL DELTA'!AC78</f>
        <v>1</v>
      </c>
      <c r="AD78" s="168" t="n">
        <f aca="false">'VOL DWNLD'!AD78+'VOL DELTA'!AD78</f>
        <v>1</v>
      </c>
      <c r="AE78" s="168" t="n">
        <f aca="false">'VOL DWNLD'!AE78+'VOL DELTA'!AE78</f>
        <v>1</v>
      </c>
      <c r="AF78" s="168" t="n">
        <f aca="false">'VOL DWNLD'!AF78+'VOL DELTA'!AF78</f>
        <v>1.1</v>
      </c>
      <c r="AG78" s="168" t="n">
        <f aca="false">'VOL DWNLD'!AG78+'VOL DELTA'!AG78</f>
        <v>1.1</v>
      </c>
      <c r="AH78" s="168" t="n">
        <f aca="false">'VOL DWNLD'!AH78+'VOL DELTA'!AH78</f>
        <v>1.05</v>
      </c>
      <c r="AI78" s="168" t="n">
        <f aca="false">'VOL DWNLD'!AI78+'VOL DELTA'!AI78</f>
        <v>1</v>
      </c>
      <c r="AJ78" s="168" t="n">
        <f aca="false">'VOL DWNLD'!AJ78+'VOL DELTA'!AJ78</f>
        <v>1</v>
      </c>
      <c r="AK78" s="168" t="n">
        <f aca="false">'VOL DWNLD'!AK78+'VOL DELTA'!AK78</f>
        <v>1.02</v>
      </c>
      <c r="AL78" s="168" t="n">
        <f aca="false">'VOL DWNLD'!AL78+'VOL DELTA'!AL78</f>
        <v>1</v>
      </c>
      <c r="AM78" s="168" t="n">
        <f aca="false">'VOL DWNLD'!AM78+'VOL DELTA'!AM78</f>
        <v>1</v>
      </c>
      <c r="AN78" s="168" t="n">
        <f aca="false">'VOL DWNLD'!AN78+'VOL DELTA'!AN78</f>
        <v>1</v>
      </c>
      <c r="AO78" s="168" t="n">
        <f aca="false">'VOL DWNLD'!AO78+'VOL DELTA'!AO78</f>
        <v>1</v>
      </c>
    </row>
    <row r="79" customFormat="false" ht="12.75" hidden="false" customHeight="false" outlineLevel="0" collapsed="false">
      <c r="A79" s="167" t="n">
        <v>39083</v>
      </c>
      <c r="B79" s="168" t="n">
        <f aca="false">'VOL DWNLD'!B79+'VOL DELTA'!B79</f>
        <v>1</v>
      </c>
      <c r="C79" s="168" t="n">
        <f aca="false">'VOL DWNLD'!C79+'VOL DELTA'!C79</f>
        <v>1</v>
      </c>
      <c r="D79" s="168" t="n">
        <f aca="false">'VOL DWNLD'!D79+'VOL DELTA'!D79</f>
        <v>1</v>
      </c>
      <c r="E79" s="168" t="n">
        <f aca="false">'VOL DWNLD'!E79+'VOL DELTA'!E79</f>
        <v>1</v>
      </c>
      <c r="F79" s="168" t="n">
        <f aca="false">'VOL DWNLD'!F79+'VOL DELTA'!F79</f>
        <v>1</v>
      </c>
      <c r="G79" s="168" t="n">
        <f aca="false">'VOL DWNLD'!G79+'VOL DELTA'!G79</f>
        <v>1</v>
      </c>
      <c r="H79" s="168" t="n">
        <f aca="false">'VOL DWNLD'!H79+'VOL DELTA'!H79</f>
        <v>1</v>
      </c>
      <c r="I79" s="168" t="n">
        <f aca="false">'VOL DWNLD'!I79+'VOL DELTA'!I79</f>
        <v>1</v>
      </c>
      <c r="J79" s="168" t="n">
        <f aca="false">'VOL DWNLD'!J79+'VOL DELTA'!J79</f>
        <v>1</v>
      </c>
      <c r="K79" s="168" t="n">
        <f aca="false">'VOL DWNLD'!K79+'VOL DELTA'!K79</f>
        <v>1</v>
      </c>
      <c r="L79" s="168" t="n">
        <f aca="false">'VOL DWNLD'!L79+'VOL DELTA'!L79</f>
        <v>1</v>
      </c>
      <c r="M79" s="168" t="n">
        <f aca="false">'VOL DWNLD'!M79+'VOL DELTA'!M79</f>
        <v>1</v>
      </c>
      <c r="N79" s="168" t="n">
        <f aca="false">'VOL DWNLD'!N79+'VOL DELTA'!N79</f>
        <v>1</v>
      </c>
      <c r="O79" s="168" t="n">
        <f aca="false">'VOL DWNLD'!O79+'VOL DELTA'!O79</f>
        <v>1</v>
      </c>
      <c r="P79" s="168" t="n">
        <f aca="false">'VOL DWNLD'!P79+'VOL DELTA'!P79</f>
        <v>1.03</v>
      </c>
      <c r="Q79" s="168" t="n">
        <f aca="false">'VOL DWNLD'!Q79+'VOL DELTA'!Q79</f>
        <v>1</v>
      </c>
      <c r="R79" s="168" t="n">
        <f aca="false">'VOL DWNLD'!R79+'VOL DELTA'!R79</f>
        <v>1</v>
      </c>
      <c r="S79" s="168" t="n">
        <f aca="false">'VOL DWNLD'!S79+'VOL DELTA'!S79</f>
        <v>1.02</v>
      </c>
      <c r="T79" s="168" t="n">
        <f aca="false">'VOL DWNLD'!T79+'VOL DELTA'!T79</f>
        <v>1</v>
      </c>
      <c r="U79" s="168" t="n">
        <f aca="false">'VOL DWNLD'!U79+'VOL DELTA'!U79</f>
        <v>1</v>
      </c>
      <c r="V79" s="168" t="n">
        <f aca="false">'VOL DWNLD'!V79+'VOL DELTA'!V79</f>
        <v>1</v>
      </c>
      <c r="W79" s="168" t="n">
        <f aca="false">'VOL DWNLD'!W79+'VOL DELTA'!W79</f>
        <v>1</v>
      </c>
      <c r="X79" s="168" t="n">
        <f aca="false">'VOL DWNLD'!X79+'VOL DELTA'!X79</f>
        <v>1</v>
      </c>
      <c r="Y79" s="168" t="n">
        <f aca="false">'VOL DWNLD'!Y79+'VOL DELTA'!Y79</f>
        <v>1</v>
      </c>
      <c r="Z79" s="168" t="n">
        <f aca="false">'VOL DWNLD'!Z79+'VOL DELTA'!Z79</f>
        <v>1</v>
      </c>
      <c r="AA79" s="168" t="n">
        <f aca="false">'VOL DWNLD'!AA79+'VOL DELTA'!AA79</f>
        <v>1</v>
      </c>
      <c r="AB79" s="168" t="n">
        <f aca="false">'VOL DWNLD'!AB79+'VOL DELTA'!AB79</f>
        <v>1</v>
      </c>
      <c r="AC79" s="168" t="n">
        <f aca="false">'VOL DWNLD'!AC79+'VOL DELTA'!AC79</f>
        <v>1</v>
      </c>
      <c r="AD79" s="168" t="n">
        <f aca="false">'VOL DWNLD'!AD79+'VOL DELTA'!AD79</f>
        <v>1</v>
      </c>
      <c r="AE79" s="168" t="n">
        <f aca="false">'VOL DWNLD'!AE79+'VOL DELTA'!AE79</f>
        <v>1</v>
      </c>
      <c r="AF79" s="168" t="n">
        <f aca="false">'VOL DWNLD'!AF79+'VOL DELTA'!AF79</f>
        <v>1.1</v>
      </c>
      <c r="AG79" s="168" t="n">
        <f aca="false">'VOL DWNLD'!AG79+'VOL DELTA'!AG79</f>
        <v>1.1</v>
      </c>
      <c r="AH79" s="168" t="n">
        <f aca="false">'VOL DWNLD'!AH79+'VOL DELTA'!AH79</f>
        <v>1.05</v>
      </c>
      <c r="AI79" s="168" t="n">
        <f aca="false">'VOL DWNLD'!AI79+'VOL DELTA'!AI79</f>
        <v>1</v>
      </c>
      <c r="AJ79" s="168" t="n">
        <f aca="false">'VOL DWNLD'!AJ79+'VOL DELTA'!AJ79</f>
        <v>1</v>
      </c>
      <c r="AK79" s="168" t="n">
        <f aca="false">'VOL DWNLD'!AK79+'VOL DELTA'!AK79</f>
        <v>1.02</v>
      </c>
      <c r="AL79" s="168" t="n">
        <f aca="false">'VOL DWNLD'!AL79+'VOL DELTA'!AL79</f>
        <v>1</v>
      </c>
      <c r="AM79" s="168" t="n">
        <f aca="false">'VOL DWNLD'!AM79+'VOL DELTA'!AM79</f>
        <v>1</v>
      </c>
      <c r="AN79" s="168" t="n">
        <f aca="false">'VOL DWNLD'!AN79+'VOL DELTA'!AN79</f>
        <v>1</v>
      </c>
      <c r="AO79" s="168" t="n">
        <f aca="false">'VOL DWNLD'!AO79+'VOL DELTA'!AO79</f>
        <v>1</v>
      </c>
    </row>
    <row r="80" customFormat="false" ht="12.75" hidden="false" customHeight="false" outlineLevel="0" collapsed="false">
      <c r="A80" s="167" t="n">
        <v>39114</v>
      </c>
      <c r="B80" s="168" t="n">
        <f aca="false">'VOL DWNLD'!B80+'VOL DELTA'!B80</f>
        <v>1</v>
      </c>
      <c r="C80" s="168" t="n">
        <f aca="false">'VOL DWNLD'!C80+'VOL DELTA'!C80</f>
        <v>1</v>
      </c>
      <c r="D80" s="168" t="n">
        <f aca="false">'VOL DWNLD'!D80+'VOL DELTA'!D80</f>
        <v>1</v>
      </c>
      <c r="E80" s="168" t="n">
        <f aca="false">'VOL DWNLD'!E80+'VOL DELTA'!E80</f>
        <v>1</v>
      </c>
      <c r="F80" s="168" t="n">
        <f aca="false">'VOL DWNLD'!F80+'VOL DELTA'!F80</f>
        <v>1</v>
      </c>
      <c r="G80" s="168" t="n">
        <f aca="false">'VOL DWNLD'!G80+'VOL DELTA'!G80</f>
        <v>1</v>
      </c>
      <c r="H80" s="168" t="n">
        <f aca="false">'VOL DWNLD'!H80+'VOL DELTA'!H80</f>
        <v>1</v>
      </c>
      <c r="I80" s="168" t="n">
        <f aca="false">'VOL DWNLD'!I80+'VOL DELTA'!I80</f>
        <v>1</v>
      </c>
      <c r="J80" s="168" t="n">
        <f aca="false">'VOL DWNLD'!J80+'VOL DELTA'!J80</f>
        <v>1</v>
      </c>
      <c r="K80" s="168" t="n">
        <f aca="false">'VOL DWNLD'!K80+'VOL DELTA'!K80</f>
        <v>1</v>
      </c>
      <c r="L80" s="168" t="n">
        <f aca="false">'VOL DWNLD'!L80+'VOL DELTA'!L80</f>
        <v>1</v>
      </c>
      <c r="M80" s="168" t="n">
        <f aca="false">'VOL DWNLD'!M80+'VOL DELTA'!M80</f>
        <v>1</v>
      </c>
      <c r="N80" s="168" t="n">
        <f aca="false">'VOL DWNLD'!N80+'VOL DELTA'!N80</f>
        <v>1</v>
      </c>
      <c r="O80" s="168" t="n">
        <f aca="false">'VOL DWNLD'!O80+'VOL DELTA'!O80</f>
        <v>1</v>
      </c>
      <c r="P80" s="168" t="n">
        <f aca="false">'VOL DWNLD'!P80+'VOL DELTA'!P80</f>
        <v>1.03</v>
      </c>
      <c r="Q80" s="168" t="n">
        <f aca="false">'VOL DWNLD'!Q80+'VOL DELTA'!Q80</f>
        <v>1</v>
      </c>
      <c r="R80" s="168" t="n">
        <f aca="false">'VOL DWNLD'!R80+'VOL DELTA'!R80</f>
        <v>1</v>
      </c>
      <c r="S80" s="168" t="n">
        <f aca="false">'VOL DWNLD'!S80+'VOL DELTA'!S80</f>
        <v>1.02</v>
      </c>
      <c r="T80" s="168" t="n">
        <f aca="false">'VOL DWNLD'!T80+'VOL DELTA'!T80</f>
        <v>1</v>
      </c>
      <c r="U80" s="168" t="n">
        <f aca="false">'VOL DWNLD'!U80+'VOL DELTA'!U80</f>
        <v>1</v>
      </c>
      <c r="V80" s="168" t="n">
        <f aca="false">'VOL DWNLD'!V80+'VOL DELTA'!V80</f>
        <v>1</v>
      </c>
      <c r="W80" s="168" t="n">
        <f aca="false">'VOL DWNLD'!W80+'VOL DELTA'!W80</f>
        <v>1</v>
      </c>
      <c r="X80" s="168" t="n">
        <f aca="false">'VOL DWNLD'!X80+'VOL DELTA'!X80</f>
        <v>1</v>
      </c>
      <c r="Y80" s="168" t="n">
        <f aca="false">'VOL DWNLD'!Y80+'VOL DELTA'!Y80</f>
        <v>1</v>
      </c>
      <c r="Z80" s="168" t="n">
        <f aca="false">'VOL DWNLD'!Z80+'VOL DELTA'!Z80</f>
        <v>1</v>
      </c>
      <c r="AA80" s="168" t="n">
        <f aca="false">'VOL DWNLD'!AA80+'VOL DELTA'!AA80</f>
        <v>1</v>
      </c>
      <c r="AB80" s="168" t="n">
        <f aca="false">'VOL DWNLD'!AB80+'VOL DELTA'!AB80</f>
        <v>1</v>
      </c>
      <c r="AC80" s="168" t="n">
        <f aca="false">'VOL DWNLD'!AC80+'VOL DELTA'!AC80</f>
        <v>1</v>
      </c>
      <c r="AD80" s="168" t="n">
        <f aca="false">'VOL DWNLD'!AD80+'VOL DELTA'!AD80</f>
        <v>1</v>
      </c>
      <c r="AE80" s="168" t="n">
        <f aca="false">'VOL DWNLD'!AE80+'VOL DELTA'!AE80</f>
        <v>1</v>
      </c>
      <c r="AF80" s="168" t="n">
        <f aca="false">'VOL DWNLD'!AF80+'VOL DELTA'!AF80</f>
        <v>1.1</v>
      </c>
      <c r="AG80" s="168" t="n">
        <f aca="false">'VOL DWNLD'!AG80+'VOL DELTA'!AG80</f>
        <v>1.1</v>
      </c>
      <c r="AH80" s="168" t="n">
        <f aca="false">'VOL DWNLD'!AH80+'VOL DELTA'!AH80</f>
        <v>1.05</v>
      </c>
      <c r="AI80" s="168" t="n">
        <f aca="false">'VOL DWNLD'!AI80+'VOL DELTA'!AI80</f>
        <v>1</v>
      </c>
      <c r="AJ80" s="168" t="n">
        <f aca="false">'VOL DWNLD'!AJ80+'VOL DELTA'!AJ80</f>
        <v>1</v>
      </c>
      <c r="AK80" s="168" t="n">
        <f aca="false">'VOL DWNLD'!AK80+'VOL DELTA'!AK80</f>
        <v>1.02</v>
      </c>
      <c r="AL80" s="168" t="n">
        <f aca="false">'VOL DWNLD'!AL80+'VOL DELTA'!AL80</f>
        <v>1</v>
      </c>
      <c r="AM80" s="168" t="n">
        <f aca="false">'VOL DWNLD'!AM80+'VOL DELTA'!AM80</f>
        <v>1</v>
      </c>
      <c r="AN80" s="168" t="n">
        <f aca="false">'VOL DWNLD'!AN80+'VOL DELTA'!AN80</f>
        <v>1</v>
      </c>
      <c r="AO80" s="168" t="n">
        <f aca="false">'VOL DWNLD'!AO80+'VOL DELTA'!AO80</f>
        <v>1</v>
      </c>
    </row>
    <row r="81" customFormat="false" ht="12.75" hidden="false" customHeight="false" outlineLevel="0" collapsed="false">
      <c r="A81" s="167" t="n">
        <v>39142</v>
      </c>
      <c r="B81" s="168" t="n">
        <f aca="false">'VOL DWNLD'!B81+'VOL DELTA'!B81</f>
        <v>1</v>
      </c>
      <c r="C81" s="168" t="n">
        <f aca="false">'VOL DWNLD'!C81+'VOL DELTA'!C81</f>
        <v>1</v>
      </c>
      <c r="D81" s="168" t="n">
        <f aca="false">'VOL DWNLD'!D81+'VOL DELTA'!D81</f>
        <v>1</v>
      </c>
      <c r="E81" s="168" t="n">
        <f aca="false">'VOL DWNLD'!E81+'VOL DELTA'!E81</f>
        <v>1</v>
      </c>
      <c r="F81" s="168" t="n">
        <f aca="false">'VOL DWNLD'!F81+'VOL DELTA'!F81</f>
        <v>1</v>
      </c>
      <c r="G81" s="168" t="n">
        <f aca="false">'VOL DWNLD'!G81+'VOL DELTA'!G81</f>
        <v>1</v>
      </c>
      <c r="H81" s="168" t="n">
        <f aca="false">'VOL DWNLD'!H81+'VOL DELTA'!H81</f>
        <v>1</v>
      </c>
      <c r="I81" s="168" t="n">
        <f aca="false">'VOL DWNLD'!I81+'VOL DELTA'!I81</f>
        <v>1</v>
      </c>
      <c r="J81" s="168" t="n">
        <f aca="false">'VOL DWNLD'!J81+'VOL DELTA'!J81</f>
        <v>1</v>
      </c>
      <c r="K81" s="168" t="n">
        <f aca="false">'VOL DWNLD'!K81+'VOL DELTA'!K81</f>
        <v>1</v>
      </c>
      <c r="L81" s="168" t="n">
        <f aca="false">'VOL DWNLD'!L81+'VOL DELTA'!L81</f>
        <v>1</v>
      </c>
      <c r="M81" s="168" t="n">
        <f aca="false">'VOL DWNLD'!M81+'VOL DELTA'!M81</f>
        <v>1</v>
      </c>
      <c r="N81" s="168" t="n">
        <f aca="false">'VOL DWNLD'!N81+'VOL DELTA'!N81</f>
        <v>1</v>
      </c>
      <c r="O81" s="168" t="n">
        <f aca="false">'VOL DWNLD'!O81+'VOL DELTA'!O81</f>
        <v>1</v>
      </c>
      <c r="P81" s="168" t="n">
        <f aca="false">'VOL DWNLD'!P81+'VOL DELTA'!P81</f>
        <v>1.03</v>
      </c>
      <c r="Q81" s="168" t="n">
        <f aca="false">'VOL DWNLD'!Q81+'VOL DELTA'!Q81</f>
        <v>1</v>
      </c>
      <c r="R81" s="168" t="n">
        <f aca="false">'VOL DWNLD'!R81+'VOL DELTA'!R81</f>
        <v>1</v>
      </c>
      <c r="S81" s="168" t="n">
        <f aca="false">'VOL DWNLD'!S81+'VOL DELTA'!S81</f>
        <v>1.02</v>
      </c>
      <c r="T81" s="168" t="n">
        <f aca="false">'VOL DWNLD'!T81+'VOL DELTA'!T81</f>
        <v>1</v>
      </c>
      <c r="U81" s="168" t="n">
        <f aca="false">'VOL DWNLD'!U81+'VOL DELTA'!U81</f>
        <v>1</v>
      </c>
      <c r="V81" s="168" t="n">
        <f aca="false">'VOL DWNLD'!V81+'VOL DELTA'!V81</f>
        <v>1</v>
      </c>
      <c r="W81" s="168" t="n">
        <f aca="false">'VOL DWNLD'!W81+'VOL DELTA'!W81</f>
        <v>1</v>
      </c>
      <c r="X81" s="168" t="n">
        <f aca="false">'VOL DWNLD'!X81+'VOL DELTA'!X81</f>
        <v>1</v>
      </c>
      <c r="Y81" s="168" t="n">
        <f aca="false">'VOL DWNLD'!Y81+'VOL DELTA'!Y81</f>
        <v>1</v>
      </c>
      <c r="Z81" s="168" t="n">
        <f aca="false">'VOL DWNLD'!Z81+'VOL DELTA'!Z81</f>
        <v>1</v>
      </c>
      <c r="AA81" s="168" t="n">
        <f aca="false">'VOL DWNLD'!AA81+'VOL DELTA'!AA81</f>
        <v>1</v>
      </c>
      <c r="AB81" s="168" t="n">
        <f aca="false">'VOL DWNLD'!AB81+'VOL DELTA'!AB81</f>
        <v>1</v>
      </c>
      <c r="AC81" s="168" t="n">
        <f aca="false">'VOL DWNLD'!AC81+'VOL DELTA'!AC81</f>
        <v>1</v>
      </c>
      <c r="AD81" s="168" t="n">
        <f aca="false">'VOL DWNLD'!AD81+'VOL DELTA'!AD81</f>
        <v>1</v>
      </c>
      <c r="AE81" s="168" t="n">
        <f aca="false">'VOL DWNLD'!AE81+'VOL DELTA'!AE81</f>
        <v>1</v>
      </c>
      <c r="AF81" s="168" t="n">
        <f aca="false">'VOL DWNLD'!AF81+'VOL DELTA'!AF81</f>
        <v>1.1</v>
      </c>
      <c r="AG81" s="168" t="n">
        <f aca="false">'VOL DWNLD'!AG81+'VOL DELTA'!AG81</f>
        <v>1.1</v>
      </c>
      <c r="AH81" s="168" t="n">
        <f aca="false">'VOL DWNLD'!AH81+'VOL DELTA'!AH81</f>
        <v>1.05</v>
      </c>
      <c r="AI81" s="168" t="n">
        <f aca="false">'VOL DWNLD'!AI81+'VOL DELTA'!AI81</f>
        <v>1</v>
      </c>
      <c r="AJ81" s="168" t="n">
        <f aca="false">'VOL DWNLD'!AJ81+'VOL DELTA'!AJ81</f>
        <v>1</v>
      </c>
      <c r="AK81" s="168" t="n">
        <f aca="false">'VOL DWNLD'!AK81+'VOL DELTA'!AK81</f>
        <v>1.02</v>
      </c>
      <c r="AL81" s="168" t="n">
        <f aca="false">'VOL DWNLD'!AL81+'VOL DELTA'!AL81</f>
        <v>1</v>
      </c>
      <c r="AM81" s="168" t="n">
        <f aca="false">'VOL DWNLD'!AM81+'VOL DELTA'!AM81</f>
        <v>1</v>
      </c>
      <c r="AN81" s="168" t="n">
        <f aca="false">'VOL DWNLD'!AN81+'VOL DELTA'!AN81</f>
        <v>1</v>
      </c>
      <c r="AO81" s="168" t="n">
        <f aca="false">'VOL DWNLD'!AO81+'VOL DELTA'!AO81</f>
        <v>1</v>
      </c>
    </row>
    <row r="82" customFormat="false" ht="12.75" hidden="false" customHeight="false" outlineLevel="0" collapsed="false">
      <c r="A82" s="167" t="n">
        <v>39173</v>
      </c>
      <c r="B82" s="168" t="n">
        <f aca="false">'VOL DWNLD'!B82+'VOL DELTA'!B82</f>
        <v>1</v>
      </c>
      <c r="C82" s="168" t="n">
        <f aca="false">'VOL DWNLD'!C82+'VOL DELTA'!C82</f>
        <v>1</v>
      </c>
      <c r="D82" s="168" t="n">
        <f aca="false">'VOL DWNLD'!D82+'VOL DELTA'!D82</f>
        <v>1</v>
      </c>
      <c r="E82" s="168" t="n">
        <f aca="false">'VOL DWNLD'!E82+'VOL DELTA'!E82</f>
        <v>1</v>
      </c>
      <c r="F82" s="168" t="n">
        <f aca="false">'VOL DWNLD'!F82+'VOL DELTA'!F82</f>
        <v>1</v>
      </c>
      <c r="G82" s="168" t="n">
        <f aca="false">'VOL DWNLD'!G82+'VOL DELTA'!G82</f>
        <v>1</v>
      </c>
      <c r="H82" s="168" t="n">
        <f aca="false">'VOL DWNLD'!H82+'VOL DELTA'!H82</f>
        <v>1</v>
      </c>
      <c r="I82" s="168" t="n">
        <f aca="false">'VOL DWNLD'!I82+'VOL DELTA'!I82</f>
        <v>1</v>
      </c>
      <c r="J82" s="168" t="n">
        <f aca="false">'VOL DWNLD'!J82+'VOL DELTA'!J82</f>
        <v>1</v>
      </c>
      <c r="K82" s="168" t="n">
        <f aca="false">'VOL DWNLD'!K82+'VOL DELTA'!K82</f>
        <v>1</v>
      </c>
      <c r="L82" s="168" t="n">
        <f aca="false">'VOL DWNLD'!L82+'VOL DELTA'!L82</f>
        <v>1</v>
      </c>
      <c r="M82" s="168" t="n">
        <f aca="false">'VOL DWNLD'!M82+'VOL DELTA'!M82</f>
        <v>1</v>
      </c>
      <c r="N82" s="168" t="n">
        <f aca="false">'VOL DWNLD'!N82+'VOL DELTA'!N82</f>
        <v>1</v>
      </c>
      <c r="O82" s="168" t="n">
        <f aca="false">'VOL DWNLD'!O82+'VOL DELTA'!O82</f>
        <v>1</v>
      </c>
      <c r="P82" s="168" t="n">
        <f aca="false">'VOL DWNLD'!P82+'VOL DELTA'!P82</f>
        <v>1.03</v>
      </c>
      <c r="Q82" s="168" t="n">
        <f aca="false">'VOL DWNLD'!Q82+'VOL DELTA'!Q82</f>
        <v>1</v>
      </c>
      <c r="R82" s="168" t="n">
        <f aca="false">'VOL DWNLD'!R82+'VOL DELTA'!R82</f>
        <v>1</v>
      </c>
      <c r="S82" s="168" t="n">
        <f aca="false">'VOL DWNLD'!S82+'VOL DELTA'!S82</f>
        <v>1.02</v>
      </c>
      <c r="T82" s="168" t="n">
        <f aca="false">'VOL DWNLD'!T82+'VOL DELTA'!T82</f>
        <v>1</v>
      </c>
      <c r="U82" s="168" t="n">
        <f aca="false">'VOL DWNLD'!U82+'VOL DELTA'!U82</f>
        <v>1</v>
      </c>
      <c r="V82" s="168" t="n">
        <f aca="false">'VOL DWNLD'!V82+'VOL DELTA'!V82</f>
        <v>1</v>
      </c>
      <c r="W82" s="168" t="n">
        <f aca="false">'VOL DWNLD'!W82+'VOL DELTA'!W82</f>
        <v>1</v>
      </c>
      <c r="X82" s="168" t="n">
        <f aca="false">'VOL DWNLD'!X82+'VOL DELTA'!X82</f>
        <v>1</v>
      </c>
      <c r="Y82" s="168" t="n">
        <f aca="false">'VOL DWNLD'!Y82+'VOL DELTA'!Y82</f>
        <v>1.02</v>
      </c>
      <c r="Z82" s="168" t="n">
        <f aca="false">'VOL DWNLD'!Z82+'VOL DELTA'!Z82</f>
        <v>1</v>
      </c>
      <c r="AA82" s="168" t="n">
        <f aca="false">'VOL DWNLD'!AA82+'VOL DELTA'!AA82</f>
        <v>1</v>
      </c>
      <c r="AB82" s="168" t="n">
        <f aca="false">'VOL DWNLD'!AB82+'VOL DELTA'!AB82</f>
        <v>1</v>
      </c>
      <c r="AC82" s="168" t="n">
        <f aca="false">'VOL DWNLD'!AC82+'VOL DELTA'!AC82</f>
        <v>1</v>
      </c>
      <c r="AD82" s="168" t="n">
        <f aca="false">'VOL DWNLD'!AD82+'VOL DELTA'!AD82</f>
        <v>0.98</v>
      </c>
      <c r="AE82" s="168" t="n">
        <f aca="false">'VOL DWNLD'!AE82+'VOL DELTA'!AE82</f>
        <v>0.98</v>
      </c>
      <c r="AF82" s="168" t="n">
        <f aca="false">'VOL DWNLD'!AF82+'VOL DELTA'!AF82</f>
        <v>0.98</v>
      </c>
      <c r="AG82" s="168" t="n">
        <f aca="false">'VOL DWNLD'!AG82+'VOL DELTA'!AG82</f>
        <v>0.98</v>
      </c>
      <c r="AH82" s="168" t="n">
        <f aca="false">'VOL DWNLD'!AH82+'VOL DELTA'!AH82</f>
        <v>1.05</v>
      </c>
      <c r="AI82" s="168" t="n">
        <f aca="false">'VOL DWNLD'!AI82+'VOL DELTA'!AI82</f>
        <v>1</v>
      </c>
      <c r="AJ82" s="168" t="n">
        <f aca="false">'VOL DWNLD'!AJ82+'VOL DELTA'!AJ82</f>
        <v>1</v>
      </c>
      <c r="AK82" s="168" t="n">
        <f aca="false">'VOL DWNLD'!AK82+'VOL DELTA'!AK82</f>
        <v>1.02</v>
      </c>
      <c r="AL82" s="168" t="n">
        <f aca="false">'VOL DWNLD'!AL82+'VOL DELTA'!AL82</f>
        <v>1</v>
      </c>
      <c r="AM82" s="168" t="n">
        <f aca="false">'VOL DWNLD'!AM82+'VOL DELTA'!AM82</f>
        <v>1</v>
      </c>
      <c r="AN82" s="168" t="n">
        <f aca="false">'VOL DWNLD'!AN82+'VOL DELTA'!AN82</f>
        <v>1</v>
      </c>
      <c r="AO82" s="168" t="n">
        <f aca="false">'VOL DWNLD'!AO82+'VOL DELTA'!AO82</f>
        <v>1</v>
      </c>
    </row>
    <row r="83" customFormat="false" ht="12.75" hidden="false" customHeight="false" outlineLevel="0" collapsed="false">
      <c r="A83" s="167" t="n">
        <v>39203</v>
      </c>
      <c r="B83" s="168" t="n">
        <f aca="false">'VOL DWNLD'!B83+'VOL DELTA'!B83</f>
        <v>1</v>
      </c>
      <c r="C83" s="168" t="n">
        <f aca="false">'VOL DWNLD'!C83+'VOL DELTA'!C83</f>
        <v>1</v>
      </c>
      <c r="D83" s="168" t="n">
        <f aca="false">'VOL DWNLD'!D83+'VOL DELTA'!D83</f>
        <v>1</v>
      </c>
      <c r="E83" s="168" t="n">
        <f aca="false">'VOL DWNLD'!E83+'VOL DELTA'!E83</f>
        <v>1</v>
      </c>
      <c r="F83" s="168" t="n">
        <f aca="false">'VOL DWNLD'!F83+'VOL DELTA'!F83</f>
        <v>1</v>
      </c>
      <c r="G83" s="168" t="n">
        <f aca="false">'VOL DWNLD'!G83+'VOL DELTA'!G83</f>
        <v>1</v>
      </c>
      <c r="H83" s="168" t="n">
        <f aca="false">'VOL DWNLD'!H83+'VOL DELTA'!H83</f>
        <v>1</v>
      </c>
      <c r="I83" s="168" t="n">
        <f aca="false">'VOL DWNLD'!I83+'VOL DELTA'!I83</f>
        <v>1</v>
      </c>
      <c r="J83" s="168" t="n">
        <f aca="false">'VOL DWNLD'!J83+'VOL DELTA'!J83</f>
        <v>1</v>
      </c>
      <c r="K83" s="168" t="n">
        <f aca="false">'VOL DWNLD'!K83+'VOL DELTA'!K83</f>
        <v>1</v>
      </c>
      <c r="L83" s="168" t="n">
        <f aca="false">'VOL DWNLD'!L83+'VOL DELTA'!L83</f>
        <v>1</v>
      </c>
      <c r="M83" s="168" t="n">
        <f aca="false">'VOL DWNLD'!M83+'VOL DELTA'!M83</f>
        <v>1</v>
      </c>
      <c r="N83" s="168" t="n">
        <f aca="false">'VOL DWNLD'!N83+'VOL DELTA'!N83</f>
        <v>1</v>
      </c>
      <c r="O83" s="168" t="n">
        <f aca="false">'VOL DWNLD'!O83+'VOL DELTA'!O83</f>
        <v>1</v>
      </c>
      <c r="P83" s="168" t="n">
        <f aca="false">'VOL DWNLD'!P83+'VOL DELTA'!P83</f>
        <v>1.03</v>
      </c>
      <c r="Q83" s="168" t="n">
        <f aca="false">'VOL DWNLD'!Q83+'VOL DELTA'!Q83</f>
        <v>1</v>
      </c>
      <c r="R83" s="168" t="n">
        <f aca="false">'VOL DWNLD'!R83+'VOL DELTA'!R83</f>
        <v>1</v>
      </c>
      <c r="S83" s="168" t="n">
        <f aca="false">'VOL DWNLD'!S83+'VOL DELTA'!S83</f>
        <v>1.02</v>
      </c>
      <c r="T83" s="168" t="n">
        <f aca="false">'VOL DWNLD'!T83+'VOL DELTA'!T83</f>
        <v>1</v>
      </c>
      <c r="U83" s="168" t="n">
        <f aca="false">'VOL DWNLD'!U83+'VOL DELTA'!U83</f>
        <v>1</v>
      </c>
      <c r="V83" s="168" t="n">
        <f aca="false">'VOL DWNLD'!V83+'VOL DELTA'!V83</f>
        <v>1</v>
      </c>
      <c r="W83" s="168" t="n">
        <f aca="false">'VOL DWNLD'!W83+'VOL DELTA'!W83</f>
        <v>1</v>
      </c>
      <c r="X83" s="168" t="n">
        <f aca="false">'VOL DWNLD'!X83+'VOL DELTA'!X83</f>
        <v>1</v>
      </c>
      <c r="Y83" s="168" t="n">
        <f aca="false">'VOL DWNLD'!Y83+'VOL DELTA'!Y83</f>
        <v>1.02</v>
      </c>
      <c r="Z83" s="168" t="n">
        <f aca="false">'VOL DWNLD'!Z83+'VOL DELTA'!Z83</f>
        <v>1</v>
      </c>
      <c r="AA83" s="168" t="n">
        <f aca="false">'VOL DWNLD'!AA83+'VOL DELTA'!AA83</f>
        <v>1</v>
      </c>
      <c r="AB83" s="168" t="n">
        <f aca="false">'VOL DWNLD'!AB83+'VOL DELTA'!AB83</f>
        <v>1</v>
      </c>
      <c r="AC83" s="168" t="n">
        <f aca="false">'VOL DWNLD'!AC83+'VOL DELTA'!AC83</f>
        <v>1</v>
      </c>
      <c r="AD83" s="168" t="n">
        <f aca="false">'VOL DWNLD'!AD83+'VOL DELTA'!AD83</f>
        <v>0.98</v>
      </c>
      <c r="AE83" s="168" t="n">
        <f aca="false">'VOL DWNLD'!AE83+'VOL DELTA'!AE83</f>
        <v>0.98</v>
      </c>
      <c r="AF83" s="168" t="n">
        <f aca="false">'VOL DWNLD'!AF83+'VOL DELTA'!AF83</f>
        <v>0.98</v>
      </c>
      <c r="AG83" s="168" t="n">
        <f aca="false">'VOL DWNLD'!AG83+'VOL DELTA'!AG83</f>
        <v>0.98</v>
      </c>
      <c r="AH83" s="168" t="n">
        <f aca="false">'VOL DWNLD'!AH83+'VOL DELTA'!AH83</f>
        <v>1.05</v>
      </c>
      <c r="AI83" s="168" t="n">
        <f aca="false">'VOL DWNLD'!AI83+'VOL DELTA'!AI83</f>
        <v>1</v>
      </c>
      <c r="AJ83" s="168" t="n">
        <f aca="false">'VOL DWNLD'!AJ83+'VOL DELTA'!AJ83</f>
        <v>1</v>
      </c>
      <c r="AK83" s="168" t="n">
        <f aca="false">'VOL DWNLD'!AK83+'VOL DELTA'!AK83</f>
        <v>1.02</v>
      </c>
      <c r="AL83" s="168" t="n">
        <f aca="false">'VOL DWNLD'!AL83+'VOL DELTA'!AL83</f>
        <v>1</v>
      </c>
      <c r="AM83" s="168" t="n">
        <f aca="false">'VOL DWNLD'!AM83+'VOL DELTA'!AM83</f>
        <v>1</v>
      </c>
      <c r="AN83" s="168" t="n">
        <f aca="false">'VOL DWNLD'!AN83+'VOL DELTA'!AN83</f>
        <v>1</v>
      </c>
      <c r="AO83" s="168" t="n">
        <f aca="false">'VOL DWNLD'!AO83+'VOL DELTA'!AO83</f>
        <v>1</v>
      </c>
    </row>
    <row r="84" customFormat="false" ht="12.75" hidden="false" customHeight="false" outlineLevel="0" collapsed="false">
      <c r="A84" s="167" t="n">
        <v>39234</v>
      </c>
      <c r="B84" s="168" t="n">
        <f aca="false">'VOL DWNLD'!B84+'VOL DELTA'!B84</f>
        <v>1</v>
      </c>
      <c r="C84" s="168" t="n">
        <f aca="false">'VOL DWNLD'!C84+'VOL DELTA'!C84</f>
        <v>1</v>
      </c>
      <c r="D84" s="168" t="n">
        <f aca="false">'VOL DWNLD'!D84+'VOL DELTA'!D84</f>
        <v>1</v>
      </c>
      <c r="E84" s="168" t="n">
        <f aca="false">'VOL DWNLD'!E84+'VOL DELTA'!E84</f>
        <v>1</v>
      </c>
      <c r="F84" s="168" t="n">
        <f aca="false">'VOL DWNLD'!F84+'VOL DELTA'!F84</f>
        <v>1</v>
      </c>
      <c r="G84" s="168" t="n">
        <f aca="false">'VOL DWNLD'!G84+'VOL DELTA'!G84</f>
        <v>1</v>
      </c>
      <c r="H84" s="168" t="n">
        <f aca="false">'VOL DWNLD'!H84+'VOL DELTA'!H84</f>
        <v>1</v>
      </c>
      <c r="I84" s="168" t="n">
        <f aca="false">'VOL DWNLD'!I84+'VOL DELTA'!I84</f>
        <v>1</v>
      </c>
      <c r="J84" s="168" t="n">
        <f aca="false">'VOL DWNLD'!J84+'VOL DELTA'!J84</f>
        <v>1</v>
      </c>
      <c r="K84" s="168" t="n">
        <f aca="false">'VOL DWNLD'!K84+'VOL DELTA'!K84</f>
        <v>1</v>
      </c>
      <c r="L84" s="168" t="n">
        <f aca="false">'VOL DWNLD'!L84+'VOL DELTA'!L84</f>
        <v>1</v>
      </c>
      <c r="M84" s="168" t="n">
        <f aca="false">'VOL DWNLD'!M84+'VOL DELTA'!M84</f>
        <v>1</v>
      </c>
      <c r="N84" s="168" t="n">
        <f aca="false">'VOL DWNLD'!N84+'VOL DELTA'!N84</f>
        <v>1</v>
      </c>
      <c r="O84" s="168" t="n">
        <f aca="false">'VOL DWNLD'!O84+'VOL DELTA'!O84</f>
        <v>1</v>
      </c>
      <c r="P84" s="168" t="n">
        <f aca="false">'VOL DWNLD'!P84+'VOL DELTA'!P84</f>
        <v>1.03</v>
      </c>
      <c r="Q84" s="168" t="n">
        <f aca="false">'VOL DWNLD'!Q84+'VOL DELTA'!Q84</f>
        <v>1</v>
      </c>
      <c r="R84" s="168" t="n">
        <f aca="false">'VOL DWNLD'!R84+'VOL DELTA'!R84</f>
        <v>1</v>
      </c>
      <c r="S84" s="168" t="n">
        <f aca="false">'VOL DWNLD'!S84+'VOL DELTA'!S84</f>
        <v>1.02</v>
      </c>
      <c r="T84" s="168" t="n">
        <f aca="false">'VOL DWNLD'!T84+'VOL DELTA'!T84</f>
        <v>1</v>
      </c>
      <c r="U84" s="168" t="n">
        <f aca="false">'VOL DWNLD'!U84+'VOL DELTA'!U84</f>
        <v>1</v>
      </c>
      <c r="V84" s="168" t="n">
        <f aca="false">'VOL DWNLD'!V84+'VOL DELTA'!V84</f>
        <v>1</v>
      </c>
      <c r="W84" s="168" t="n">
        <f aca="false">'VOL DWNLD'!W84+'VOL DELTA'!W84</f>
        <v>1</v>
      </c>
      <c r="X84" s="168" t="n">
        <f aca="false">'VOL DWNLD'!X84+'VOL DELTA'!X84</f>
        <v>1</v>
      </c>
      <c r="Y84" s="168" t="n">
        <f aca="false">'VOL DWNLD'!Y84+'VOL DELTA'!Y84</f>
        <v>1.02</v>
      </c>
      <c r="Z84" s="168" t="n">
        <f aca="false">'VOL DWNLD'!Z84+'VOL DELTA'!Z84</f>
        <v>1</v>
      </c>
      <c r="AA84" s="168" t="n">
        <f aca="false">'VOL DWNLD'!AA84+'VOL DELTA'!AA84</f>
        <v>1</v>
      </c>
      <c r="AB84" s="168" t="n">
        <f aca="false">'VOL DWNLD'!AB84+'VOL DELTA'!AB84</f>
        <v>1</v>
      </c>
      <c r="AC84" s="168" t="n">
        <f aca="false">'VOL DWNLD'!AC84+'VOL DELTA'!AC84</f>
        <v>1</v>
      </c>
      <c r="AD84" s="168" t="n">
        <f aca="false">'VOL DWNLD'!AD84+'VOL DELTA'!AD84</f>
        <v>0.98</v>
      </c>
      <c r="AE84" s="168" t="n">
        <f aca="false">'VOL DWNLD'!AE84+'VOL DELTA'!AE84</f>
        <v>0.98</v>
      </c>
      <c r="AF84" s="168" t="n">
        <f aca="false">'VOL DWNLD'!AF84+'VOL DELTA'!AF84</f>
        <v>0.98</v>
      </c>
      <c r="AG84" s="168" t="n">
        <f aca="false">'VOL DWNLD'!AG84+'VOL DELTA'!AG84</f>
        <v>0.98</v>
      </c>
      <c r="AH84" s="168" t="n">
        <f aca="false">'VOL DWNLD'!AH84+'VOL DELTA'!AH84</f>
        <v>1.05</v>
      </c>
      <c r="AI84" s="168" t="n">
        <f aca="false">'VOL DWNLD'!AI84+'VOL DELTA'!AI84</f>
        <v>1</v>
      </c>
      <c r="AJ84" s="168" t="n">
        <f aca="false">'VOL DWNLD'!AJ84+'VOL DELTA'!AJ84</f>
        <v>1</v>
      </c>
      <c r="AK84" s="168" t="n">
        <f aca="false">'VOL DWNLD'!AK84+'VOL DELTA'!AK84</f>
        <v>1.02</v>
      </c>
      <c r="AL84" s="168" t="n">
        <f aca="false">'VOL DWNLD'!AL84+'VOL DELTA'!AL84</f>
        <v>1</v>
      </c>
      <c r="AM84" s="168" t="n">
        <f aca="false">'VOL DWNLD'!AM84+'VOL DELTA'!AM84</f>
        <v>1</v>
      </c>
      <c r="AN84" s="168" t="n">
        <f aca="false">'VOL DWNLD'!AN84+'VOL DELTA'!AN84</f>
        <v>1</v>
      </c>
      <c r="AO84" s="168" t="n">
        <f aca="false">'VOL DWNLD'!AO84+'VOL DELTA'!AO84</f>
        <v>1</v>
      </c>
    </row>
    <row r="85" customFormat="false" ht="12.75" hidden="false" customHeight="false" outlineLevel="0" collapsed="false">
      <c r="A85" s="167" t="n">
        <v>39264</v>
      </c>
      <c r="B85" s="168" t="n">
        <f aca="false">'VOL DWNLD'!B85+'VOL DELTA'!B85</f>
        <v>1</v>
      </c>
      <c r="C85" s="168" t="n">
        <f aca="false">'VOL DWNLD'!C85+'VOL DELTA'!C85</f>
        <v>1</v>
      </c>
      <c r="D85" s="168" t="n">
        <f aca="false">'VOL DWNLD'!D85+'VOL DELTA'!D85</f>
        <v>1</v>
      </c>
      <c r="E85" s="168" t="n">
        <f aca="false">'VOL DWNLD'!E85+'VOL DELTA'!E85</f>
        <v>1</v>
      </c>
      <c r="F85" s="168" t="n">
        <f aca="false">'VOL DWNLD'!F85+'VOL DELTA'!F85</f>
        <v>1</v>
      </c>
      <c r="G85" s="168" t="n">
        <f aca="false">'VOL DWNLD'!G85+'VOL DELTA'!G85</f>
        <v>1</v>
      </c>
      <c r="H85" s="168" t="n">
        <f aca="false">'VOL DWNLD'!H85+'VOL DELTA'!H85</f>
        <v>1</v>
      </c>
      <c r="I85" s="168" t="n">
        <f aca="false">'VOL DWNLD'!I85+'VOL DELTA'!I85</f>
        <v>1</v>
      </c>
      <c r="J85" s="168" t="n">
        <f aca="false">'VOL DWNLD'!J85+'VOL DELTA'!J85</f>
        <v>1</v>
      </c>
      <c r="K85" s="168" t="n">
        <f aca="false">'VOL DWNLD'!K85+'VOL DELTA'!K85</f>
        <v>1</v>
      </c>
      <c r="L85" s="168" t="n">
        <f aca="false">'VOL DWNLD'!L85+'VOL DELTA'!L85</f>
        <v>1</v>
      </c>
      <c r="M85" s="168" t="n">
        <f aca="false">'VOL DWNLD'!M85+'VOL DELTA'!M85</f>
        <v>1</v>
      </c>
      <c r="N85" s="168" t="n">
        <f aca="false">'VOL DWNLD'!N85+'VOL DELTA'!N85</f>
        <v>1</v>
      </c>
      <c r="O85" s="168" t="n">
        <f aca="false">'VOL DWNLD'!O85+'VOL DELTA'!O85</f>
        <v>1</v>
      </c>
      <c r="P85" s="168" t="n">
        <f aca="false">'VOL DWNLD'!P85+'VOL DELTA'!P85</f>
        <v>1.03</v>
      </c>
      <c r="Q85" s="168" t="n">
        <f aca="false">'VOL DWNLD'!Q85+'VOL DELTA'!Q85</f>
        <v>1</v>
      </c>
      <c r="R85" s="168" t="n">
        <f aca="false">'VOL DWNLD'!R85+'VOL DELTA'!R85</f>
        <v>1</v>
      </c>
      <c r="S85" s="168" t="n">
        <f aca="false">'VOL DWNLD'!S85+'VOL DELTA'!S85</f>
        <v>1.02</v>
      </c>
      <c r="T85" s="168" t="n">
        <f aca="false">'VOL DWNLD'!T85+'VOL DELTA'!T85</f>
        <v>1</v>
      </c>
      <c r="U85" s="168" t="n">
        <f aca="false">'VOL DWNLD'!U85+'VOL DELTA'!U85</f>
        <v>1</v>
      </c>
      <c r="V85" s="168" t="n">
        <f aca="false">'VOL DWNLD'!V85+'VOL DELTA'!V85</f>
        <v>1</v>
      </c>
      <c r="W85" s="168" t="n">
        <f aca="false">'VOL DWNLD'!W85+'VOL DELTA'!W85</f>
        <v>1</v>
      </c>
      <c r="X85" s="168" t="n">
        <f aca="false">'VOL DWNLD'!X85+'VOL DELTA'!X85</f>
        <v>1</v>
      </c>
      <c r="Y85" s="168" t="n">
        <f aca="false">'VOL DWNLD'!Y85+'VOL DELTA'!Y85</f>
        <v>1.02</v>
      </c>
      <c r="Z85" s="168" t="n">
        <f aca="false">'VOL DWNLD'!Z85+'VOL DELTA'!Z85</f>
        <v>1</v>
      </c>
      <c r="AA85" s="168" t="n">
        <f aca="false">'VOL DWNLD'!AA85+'VOL DELTA'!AA85</f>
        <v>1</v>
      </c>
      <c r="AB85" s="168" t="n">
        <f aca="false">'VOL DWNLD'!AB85+'VOL DELTA'!AB85</f>
        <v>1</v>
      </c>
      <c r="AC85" s="168" t="n">
        <f aca="false">'VOL DWNLD'!AC85+'VOL DELTA'!AC85</f>
        <v>1</v>
      </c>
      <c r="AD85" s="168" t="n">
        <f aca="false">'VOL DWNLD'!AD85+'VOL DELTA'!AD85</f>
        <v>0.98</v>
      </c>
      <c r="AE85" s="168" t="n">
        <f aca="false">'VOL DWNLD'!AE85+'VOL DELTA'!AE85</f>
        <v>0.98</v>
      </c>
      <c r="AF85" s="168" t="n">
        <f aca="false">'VOL DWNLD'!AF85+'VOL DELTA'!AF85</f>
        <v>0.98</v>
      </c>
      <c r="AG85" s="168" t="n">
        <f aca="false">'VOL DWNLD'!AG85+'VOL DELTA'!AG85</f>
        <v>0.98</v>
      </c>
      <c r="AH85" s="168" t="n">
        <f aca="false">'VOL DWNLD'!AH85+'VOL DELTA'!AH85</f>
        <v>1.05</v>
      </c>
      <c r="AI85" s="168" t="n">
        <f aca="false">'VOL DWNLD'!AI85+'VOL DELTA'!AI85</f>
        <v>1</v>
      </c>
      <c r="AJ85" s="168" t="n">
        <f aca="false">'VOL DWNLD'!AJ85+'VOL DELTA'!AJ85</f>
        <v>1</v>
      </c>
      <c r="AK85" s="168" t="n">
        <f aca="false">'VOL DWNLD'!AK85+'VOL DELTA'!AK85</f>
        <v>1.02</v>
      </c>
      <c r="AL85" s="168" t="n">
        <f aca="false">'VOL DWNLD'!AL85+'VOL DELTA'!AL85</f>
        <v>1</v>
      </c>
      <c r="AM85" s="168" t="n">
        <f aca="false">'VOL DWNLD'!AM85+'VOL DELTA'!AM85</f>
        <v>1</v>
      </c>
      <c r="AN85" s="168" t="n">
        <f aca="false">'VOL DWNLD'!AN85+'VOL DELTA'!AN85</f>
        <v>1</v>
      </c>
      <c r="AO85" s="168" t="n">
        <f aca="false">'VOL DWNLD'!AO85+'VOL DELTA'!AO85</f>
        <v>1</v>
      </c>
    </row>
    <row r="86" customFormat="false" ht="12.75" hidden="false" customHeight="false" outlineLevel="0" collapsed="false">
      <c r="A86" s="167" t="n">
        <v>39295</v>
      </c>
      <c r="B86" s="168" t="n">
        <f aca="false">'VOL DWNLD'!B86+'VOL DELTA'!B86</f>
        <v>1</v>
      </c>
      <c r="C86" s="168" t="n">
        <f aca="false">'VOL DWNLD'!C86+'VOL DELTA'!C86</f>
        <v>1</v>
      </c>
      <c r="D86" s="168" t="n">
        <f aca="false">'VOL DWNLD'!D86+'VOL DELTA'!D86</f>
        <v>1</v>
      </c>
      <c r="E86" s="168" t="n">
        <f aca="false">'VOL DWNLD'!E86+'VOL DELTA'!E86</f>
        <v>1</v>
      </c>
      <c r="F86" s="168" t="n">
        <f aca="false">'VOL DWNLD'!F86+'VOL DELTA'!F86</f>
        <v>1</v>
      </c>
      <c r="G86" s="168" t="n">
        <f aca="false">'VOL DWNLD'!G86+'VOL DELTA'!G86</f>
        <v>1</v>
      </c>
      <c r="H86" s="168" t="n">
        <f aca="false">'VOL DWNLD'!H86+'VOL DELTA'!H86</f>
        <v>1</v>
      </c>
      <c r="I86" s="168" t="n">
        <f aca="false">'VOL DWNLD'!I86+'VOL DELTA'!I86</f>
        <v>1</v>
      </c>
      <c r="J86" s="168" t="n">
        <f aca="false">'VOL DWNLD'!J86+'VOL DELTA'!J86</f>
        <v>1</v>
      </c>
      <c r="K86" s="168" t="n">
        <f aca="false">'VOL DWNLD'!K86+'VOL DELTA'!K86</f>
        <v>1</v>
      </c>
      <c r="L86" s="168" t="n">
        <f aca="false">'VOL DWNLD'!L86+'VOL DELTA'!L86</f>
        <v>1</v>
      </c>
      <c r="M86" s="168" t="n">
        <f aca="false">'VOL DWNLD'!M86+'VOL DELTA'!M86</f>
        <v>1</v>
      </c>
      <c r="N86" s="168" t="n">
        <f aca="false">'VOL DWNLD'!N86+'VOL DELTA'!N86</f>
        <v>1</v>
      </c>
      <c r="O86" s="168" t="n">
        <f aca="false">'VOL DWNLD'!O86+'VOL DELTA'!O86</f>
        <v>1</v>
      </c>
      <c r="P86" s="168" t="n">
        <f aca="false">'VOL DWNLD'!P86+'VOL DELTA'!P86</f>
        <v>1.03</v>
      </c>
      <c r="Q86" s="168" t="n">
        <f aca="false">'VOL DWNLD'!Q86+'VOL DELTA'!Q86</f>
        <v>1</v>
      </c>
      <c r="R86" s="168" t="n">
        <f aca="false">'VOL DWNLD'!R86+'VOL DELTA'!R86</f>
        <v>1</v>
      </c>
      <c r="S86" s="168" t="n">
        <f aca="false">'VOL DWNLD'!S86+'VOL DELTA'!S86</f>
        <v>1.02</v>
      </c>
      <c r="T86" s="168" t="n">
        <f aca="false">'VOL DWNLD'!T86+'VOL DELTA'!T86</f>
        <v>1</v>
      </c>
      <c r="U86" s="168" t="n">
        <f aca="false">'VOL DWNLD'!U86+'VOL DELTA'!U86</f>
        <v>1</v>
      </c>
      <c r="V86" s="168" t="n">
        <f aca="false">'VOL DWNLD'!V86+'VOL DELTA'!V86</f>
        <v>1</v>
      </c>
      <c r="W86" s="168" t="n">
        <f aca="false">'VOL DWNLD'!W86+'VOL DELTA'!W86</f>
        <v>1</v>
      </c>
      <c r="X86" s="168" t="n">
        <f aca="false">'VOL DWNLD'!X86+'VOL DELTA'!X86</f>
        <v>1</v>
      </c>
      <c r="Y86" s="168" t="n">
        <f aca="false">'VOL DWNLD'!Y86+'VOL DELTA'!Y86</f>
        <v>1.02</v>
      </c>
      <c r="Z86" s="168" t="n">
        <f aca="false">'VOL DWNLD'!Z86+'VOL DELTA'!Z86</f>
        <v>1</v>
      </c>
      <c r="AA86" s="168" t="n">
        <f aca="false">'VOL DWNLD'!AA86+'VOL DELTA'!AA86</f>
        <v>1</v>
      </c>
      <c r="AB86" s="168" t="n">
        <f aca="false">'VOL DWNLD'!AB86+'VOL DELTA'!AB86</f>
        <v>1</v>
      </c>
      <c r="AC86" s="168" t="n">
        <f aca="false">'VOL DWNLD'!AC86+'VOL DELTA'!AC86</f>
        <v>1</v>
      </c>
      <c r="AD86" s="168" t="n">
        <f aca="false">'VOL DWNLD'!AD86+'VOL DELTA'!AD86</f>
        <v>0.98</v>
      </c>
      <c r="AE86" s="168" t="n">
        <f aca="false">'VOL DWNLD'!AE86+'VOL DELTA'!AE86</f>
        <v>0.98</v>
      </c>
      <c r="AF86" s="168" t="n">
        <f aca="false">'VOL DWNLD'!AF86+'VOL DELTA'!AF86</f>
        <v>0.98</v>
      </c>
      <c r="AG86" s="168" t="n">
        <f aca="false">'VOL DWNLD'!AG86+'VOL DELTA'!AG86</f>
        <v>0.98</v>
      </c>
      <c r="AH86" s="168" t="n">
        <f aca="false">'VOL DWNLD'!AH86+'VOL DELTA'!AH86</f>
        <v>1.05</v>
      </c>
      <c r="AI86" s="168" t="n">
        <f aca="false">'VOL DWNLD'!AI86+'VOL DELTA'!AI86</f>
        <v>1</v>
      </c>
      <c r="AJ86" s="168" t="n">
        <f aca="false">'VOL DWNLD'!AJ86+'VOL DELTA'!AJ86</f>
        <v>1</v>
      </c>
      <c r="AK86" s="168" t="n">
        <f aca="false">'VOL DWNLD'!AK86+'VOL DELTA'!AK86</f>
        <v>1.02</v>
      </c>
      <c r="AL86" s="168" t="n">
        <f aca="false">'VOL DWNLD'!AL86+'VOL DELTA'!AL86</f>
        <v>1</v>
      </c>
      <c r="AM86" s="168" t="n">
        <f aca="false">'VOL DWNLD'!AM86+'VOL DELTA'!AM86</f>
        <v>1</v>
      </c>
      <c r="AN86" s="168" t="n">
        <f aca="false">'VOL DWNLD'!AN86+'VOL DELTA'!AN86</f>
        <v>1</v>
      </c>
      <c r="AO86" s="168" t="n">
        <f aca="false">'VOL DWNLD'!AO86+'VOL DELTA'!AO86</f>
        <v>1</v>
      </c>
    </row>
    <row r="87" customFormat="false" ht="12.75" hidden="false" customHeight="false" outlineLevel="0" collapsed="false">
      <c r="A87" s="167" t="n">
        <v>39326</v>
      </c>
      <c r="B87" s="168" t="n">
        <f aca="false">'VOL DWNLD'!B87+'VOL DELTA'!B87</f>
        <v>1</v>
      </c>
      <c r="C87" s="168" t="n">
        <f aca="false">'VOL DWNLD'!C87+'VOL DELTA'!C87</f>
        <v>1</v>
      </c>
      <c r="D87" s="168" t="n">
        <f aca="false">'VOL DWNLD'!D87+'VOL DELTA'!D87</f>
        <v>1</v>
      </c>
      <c r="E87" s="168" t="n">
        <f aca="false">'VOL DWNLD'!E87+'VOL DELTA'!E87</f>
        <v>1</v>
      </c>
      <c r="F87" s="168" t="n">
        <f aca="false">'VOL DWNLD'!F87+'VOL DELTA'!F87</f>
        <v>1</v>
      </c>
      <c r="G87" s="168" t="n">
        <f aca="false">'VOL DWNLD'!G87+'VOL DELTA'!G87</f>
        <v>1</v>
      </c>
      <c r="H87" s="168" t="n">
        <f aca="false">'VOL DWNLD'!H87+'VOL DELTA'!H87</f>
        <v>1</v>
      </c>
      <c r="I87" s="168" t="n">
        <f aca="false">'VOL DWNLD'!I87+'VOL DELTA'!I87</f>
        <v>1</v>
      </c>
      <c r="J87" s="168" t="n">
        <f aca="false">'VOL DWNLD'!J87+'VOL DELTA'!J87</f>
        <v>1</v>
      </c>
      <c r="K87" s="168" t="n">
        <f aca="false">'VOL DWNLD'!K87+'VOL DELTA'!K87</f>
        <v>1</v>
      </c>
      <c r="L87" s="168" t="n">
        <f aca="false">'VOL DWNLD'!L87+'VOL DELTA'!L87</f>
        <v>1</v>
      </c>
      <c r="M87" s="168" t="n">
        <f aca="false">'VOL DWNLD'!M87+'VOL DELTA'!M87</f>
        <v>1</v>
      </c>
      <c r="N87" s="168" t="n">
        <f aca="false">'VOL DWNLD'!N87+'VOL DELTA'!N87</f>
        <v>1</v>
      </c>
      <c r="O87" s="168" t="n">
        <f aca="false">'VOL DWNLD'!O87+'VOL DELTA'!O87</f>
        <v>1</v>
      </c>
      <c r="P87" s="168" t="n">
        <f aca="false">'VOL DWNLD'!P87+'VOL DELTA'!P87</f>
        <v>1.03</v>
      </c>
      <c r="Q87" s="168" t="n">
        <f aca="false">'VOL DWNLD'!Q87+'VOL DELTA'!Q87</f>
        <v>1</v>
      </c>
      <c r="R87" s="168" t="n">
        <f aca="false">'VOL DWNLD'!R87+'VOL DELTA'!R87</f>
        <v>1</v>
      </c>
      <c r="S87" s="168" t="n">
        <f aca="false">'VOL DWNLD'!S87+'VOL DELTA'!S87</f>
        <v>1.02</v>
      </c>
      <c r="T87" s="168" t="n">
        <f aca="false">'VOL DWNLD'!T87+'VOL DELTA'!T87</f>
        <v>1</v>
      </c>
      <c r="U87" s="168" t="n">
        <f aca="false">'VOL DWNLD'!U87+'VOL DELTA'!U87</f>
        <v>1</v>
      </c>
      <c r="V87" s="168" t="n">
        <f aca="false">'VOL DWNLD'!V87+'VOL DELTA'!V87</f>
        <v>1</v>
      </c>
      <c r="W87" s="168" t="n">
        <f aca="false">'VOL DWNLD'!W87+'VOL DELTA'!W87</f>
        <v>1</v>
      </c>
      <c r="X87" s="168" t="n">
        <f aca="false">'VOL DWNLD'!X87+'VOL DELTA'!X87</f>
        <v>1</v>
      </c>
      <c r="Y87" s="168" t="n">
        <f aca="false">'VOL DWNLD'!Y87+'VOL DELTA'!Y87</f>
        <v>1.02</v>
      </c>
      <c r="Z87" s="168" t="n">
        <f aca="false">'VOL DWNLD'!Z87+'VOL DELTA'!Z87</f>
        <v>1</v>
      </c>
      <c r="AA87" s="168" t="n">
        <f aca="false">'VOL DWNLD'!AA87+'VOL DELTA'!AA87</f>
        <v>1</v>
      </c>
      <c r="AB87" s="168" t="n">
        <f aca="false">'VOL DWNLD'!AB87+'VOL DELTA'!AB87</f>
        <v>1</v>
      </c>
      <c r="AC87" s="168" t="n">
        <f aca="false">'VOL DWNLD'!AC87+'VOL DELTA'!AC87</f>
        <v>1</v>
      </c>
      <c r="AD87" s="168" t="n">
        <f aca="false">'VOL DWNLD'!AD87+'VOL DELTA'!AD87</f>
        <v>0.98</v>
      </c>
      <c r="AE87" s="168" t="n">
        <f aca="false">'VOL DWNLD'!AE87+'VOL DELTA'!AE87</f>
        <v>0.98</v>
      </c>
      <c r="AF87" s="168" t="n">
        <f aca="false">'VOL DWNLD'!AF87+'VOL DELTA'!AF87</f>
        <v>0.98</v>
      </c>
      <c r="AG87" s="168" t="n">
        <f aca="false">'VOL DWNLD'!AG87+'VOL DELTA'!AG87</f>
        <v>0.98</v>
      </c>
      <c r="AH87" s="168" t="n">
        <f aca="false">'VOL DWNLD'!AH87+'VOL DELTA'!AH87</f>
        <v>1.05</v>
      </c>
      <c r="AI87" s="168" t="n">
        <f aca="false">'VOL DWNLD'!AI87+'VOL DELTA'!AI87</f>
        <v>1</v>
      </c>
      <c r="AJ87" s="168" t="n">
        <f aca="false">'VOL DWNLD'!AJ87+'VOL DELTA'!AJ87</f>
        <v>1</v>
      </c>
      <c r="AK87" s="168" t="n">
        <f aca="false">'VOL DWNLD'!AK87+'VOL DELTA'!AK87</f>
        <v>1.02</v>
      </c>
      <c r="AL87" s="168" t="n">
        <f aca="false">'VOL DWNLD'!AL87+'VOL DELTA'!AL87</f>
        <v>1</v>
      </c>
      <c r="AM87" s="168" t="n">
        <f aca="false">'VOL DWNLD'!AM87+'VOL DELTA'!AM87</f>
        <v>1</v>
      </c>
      <c r="AN87" s="168" t="n">
        <f aca="false">'VOL DWNLD'!AN87+'VOL DELTA'!AN87</f>
        <v>1</v>
      </c>
      <c r="AO87" s="168" t="n">
        <f aca="false">'VOL DWNLD'!AO87+'VOL DELTA'!AO87</f>
        <v>1</v>
      </c>
    </row>
    <row r="88" customFormat="false" ht="12.75" hidden="false" customHeight="false" outlineLevel="0" collapsed="false">
      <c r="A88" s="167" t="n">
        <v>39356</v>
      </c>
      <c r="B88" s="168" t="n">
        <f aca="false">'VOL DWNLD'!B88+'VOL DELTA'!B88</f>
        <v>1</v>
      </c>
      <c r="C88" s="168" t="n">
        <f aca="false">'VOL DWNLD'!C88+'VOL DELTA'!C88</f>
        <v>1</v>
      </c>
      <c r="D88" s="168" t="n">
        <f aca="false">'VOL DWNLD'!D88+'VOL DELTA'!D88</f>
        <v>1</v>
      </c>
      <c r="E88" s="168" t="n">
        <f aca="false">'VOL DWNLD'!E88+'VOL DELTA'!E88</f>
        <v>1</v>
      </c>
      <c r="F88" s="168" t="n">
        <f aca="false">'VOL DWNLD'!F88+'VOL DELTA'!F88</f>
        <v>1</v>
      </c>
      <c r="G88" s="168" t="n">
        <f aca="false">'VOL DWNLD'!G88+'VOL DELTA'!G88</f>
        <v>1</v>
      </c>
      <c r="H88" s="168" t="n">
        <f aca="false">'VOL DWNLD'!H88+'VOL DELTA'!H88</f>
        <v>1</v>
      </c>
      <c r="I88" s="168" t="n">
        <f aca="false">'VOL DWNLD'!I88+'VOL DELTA'!I88</f>
        <v>1</v>
      </c>
      <c r="J88" s="168" t="n">
        <f aca="false">'VOL DWNLD'!J88+'VOL DELTA'!J88</f>
        <v>1</v>
      </c>
      <c r="K88" s="168" t="n">
        <f aca="false">'VOL DWNLD'!K88+'VOL DELTA'!K88</f>
        <v>1</v>
      </c>
      <c r="L88" s="168" t="n">
        <f aca="false">'VOL DWNLD'!L88+'VOL DELTA'!L88</f>
        <v>1</v>
      </c>
      <c r="M88" s="168" t="n">
        <f aca="false">'VOL DWNLD'!M88+'VOL DELTA'!M88</f>
        <v>1</v>
      </c>
      <c r="N88" s="168" t="n">
        <f aca="false">'VOL DWNLD'!N88+'VOL DELTA'!N88</f>
        <v>1</v>
      </c>
      <c r="O88" s="168" t="n">
        <f aca="false">'VOL DWNLD'!O88+'VOL DELTA'!O88</f>
        <v>1</v>
      </c>
      <c r="P88" s="168" t="n">
        <f aca="false">'VOL DWNLD'!P88+'VOL DELTA'!P88</f>
        <v>1.03</v>
      </c>
      <c r="Q88" s="168" t="n">
        <f aca="false">'VOL DWNLD'!Q88+'VOL DELTA'!Q88</f>
        <v>1</v>
      </c>
      <c r="R88" s="168" t="n">
        <f aca="false">'VOL DWNLD'!R88+'VOL DELTA'!R88</f>
        <v>1</v>
      </c>
      <c r="S88" s="168" t="n">
        <f aca="false">'VOL DWNLD'!S88+'VOL DELTA'!S88</f>
        <v>1.02</v>
      </c>
      <c r="T88" s="168" t="n">
        <f aca="false">'VOL DWNLD'!T88+'VOL DELTA'!T88</f>
        <v>1</v>
      </c>
      <c r="U88" s="168" t="n">
        <f aca="false">'VOL DWNLD'!U88+'VOL DELTA'!U88</f>
        <v>1</v>
      </c>
      <c r="V88" s="168" t="n">
        <f aca="false">'VOL DWNLD'!V88+'VOL DELTA'!V88</f>
        <v>1</v>
      </c>
      <c r="W88" s="168" t="n">
        <f aca="false">'VOL DWNLD'!W88+'VOL DELTA'!W88</f>
        <v>1</v>
      </c>
      <c r="X88" s="168" t="n">
        <f aca="false">'VOL DWNLD'!X88+'VOL DELTA'!X88</f>
        <v>1</v>
      </c>
      <c r="Y88" s="168" t="n">
        <f aca="false">'VOL DWNLD'!Y88+'VOL DELTA'!Y88</f>
        <v>1.02</v>
      </c>
      <c r="Z88" s="168" t="n">
        <f aca="false">'VOL DWNLD'!Z88+'VOL DELTA'!Z88</f>
        <v>1</v>
      </c>
      <c r="AA88" s="168" t="n">
        <f aca="false">'VOL DWNLD'!AA88+'VOL DELTA'!AA88</f>
        <v>1</v>
      </c>
      <c r="AB88" s="168" t="n">
        <f aca="false">'VOL DWNLD'!AB88+'VOL DELTA'!AB88</f>
        <v>1</v>
      </c>
      <c r="AC88" s="168" t="n">
        <f aca="false">'VOL DWNLD'!AC88+'VOL DELTA'!AC88</f>
        <v>1</v>
      </c>
      <c r="AD88" s="168" t="n">
        <f aca="false">'VOL DWNLD'!AD88+'VOL DELTA'!AD88</f>
        <v>0.98</v>
      </c>
      <c r="AE88" s="168" t="n">
        <f aca="false">'VOL DWNLD'!AE88+'VOL DELTA'!AE88</f>
        <v>0.98</v>
      </c>
      <c r="AF88" s="168" t="n">
        <f aca="false">'VOL DWNLD'!AF88+'VOL DELTA'!AF88</f>
        <v>0.98</v>
      </c>
      <c r="AG88" s="168" t="n">
        <f aca="false">'VOL DWNLD'!AG88+'VOL DELTA'!AG88</f>
        <v>0.98</v>
      </c>
      <c r="AH88" s="168" t="n">
        <f aca="false">'VOL DWNLD'!AH88+'VOL DELTA'!AH88</f>
        <v>1.05</v>
      </c>
      <c r="AI88" s="168" t="n">
        <f aca="false">'VOL DWNLD'!AI88+'VOL DELTA'!AI88</f>
        <v>1</v>
      </c>
      <c r="AJ88" s="168" t="n">
        <f aca="false">'VOL DWNLD'!AJ88+'VOL DELTA'!AJ88</f>
        <v>1</v>
      </c>
      <c r="AK88" s="168" t="n">
        <f aca="false">'VOL DWNLD'!AK88+'VOL DELTA'!AK88</f>
        <v>1.02</v>
      </c>
      <c r="AL88" s="168" t="n">
        <f aca="false">'VOL DWNLD'!AL88+'VOL DELTA'!AL88</f>
        <v>1</v>
      </c>
      <c r="AM88" s="168" t="n">
        <f aca="false">'VOL DWNLD'!AM88+'VOL DELTA'!AM88</f>
        <v>1</v>
      </c>
      <c r="AN88" s="168" t="n">
        <f aca="false">'VOL DWNLD'!AN88+'VOL DELTA'!AN88</f>
        <v>1</v>
      </c>
      <c r="AO88" s="168" t="n">
        <f aca="false">'VOL DWNLD'!AO88+'VOL DELTA'!AO88</f>
        <v>1</v>
      </c>
    </row>
    <row r="89" customFormat="false" ht="12.75" hidden="false" customHeight="false" outlineLevel="0" collapsed="false">
      <c r="A89" s="167" t="n">
        <v>39387</v>
      </c>
      <c r="B89" s="168" t="n">
        <f aca="false">'VOL DWNLD'!B89+'VOL DELTA'!B89</f>
        <v>1</v>
      </c>
      <c r="C89" s="168" t="n">
        <f aca="false">'VOL DWNLD'!C89+'VOL DELTA'!C89</f>
        <v>1</v>
      </c>
      <c r="D89" s="168" t="n">
        <f aca="false">'VOL DWNLD'!D89+'VOL DELTA'!D89</f>
        <v>1</v>
      </c>
      <c r="E89" s="168" t="n">
        <f aca="false">'VOL DWNLD'!E89+'VOL DELTA'!E89</f>
        <v>1</v>
      </c>
      <c r="F89" s="168" t="n">
        <f aca="false">'VOL DWNLD'!F89+'VOL DELTA'!F89</f>
        <v>1</v>
      </c>
      <c r="G89" s="168" t="n">
        <f aca="false">'VOL DWNLD'!G89+'VOL DELTA'!G89</f>
        <v>1</v>
      </c>
      <c r="H89" s="168" t="n">
        <f aca="false">'VOL DWNLD'!H89+'VOL DELTA'!H89</f>
        <v>1</v>
      </c>
      <c r="I89" s="168" t="n">
        <f aca="false">'VOL DWNLD'!I89+'VOL DELTA'!I89</f>
        <v>1</v>
      </c>
      <c r="J89" s="168" t="n">
        <f aca="false">'VOL DWNLD'!J89+'VOL DELTA'!J89</f>
        <v>1</v>
      </c>
      <c r="K89" s="168" t="n">
        <f aca="false">'VOL DWNLD'!K89+'VOL DELTA'!K89</f>
        <v>1</v>
      </c>
      <c r="L89" s="168" t="n">
        <f aca="false">'VOL DWNLD'!L89+'VOL DELTA'!L89</f>
        <v>1</v>
      </c>
      <c r="M89" s="168" t="n">
        <f aca="false">'VOL DWNLD'!M89+'VOL DELTA'!M89</f>
        <v>1</v>
      </c>
      <c r="N89" s="168" t="n">
        <f aca="false">'VOL DWNLD'!N89+'VOL DELTA'!N89</f>
        <v>1</v>
      </c>
      <c r="O89" s="168" t="n">
        <f aca="false">'VOL DWNLD'!O89+'VOL DELTA'!O89</f>
        <v>1</v>
      </c>
      <c r="P89" s="168" t="n">
        <f aca="false">'VOL DWNLD'!P89+'VOL DELTA'!P89</f>
        <v>1.03</v>
      </c>
      <c r="Q89" s="168" t="n">
        <f aca="false">'VOL DWNLD'!Q89+'VOL DELTA'!Q89</f>
        <v>1</v>
      </c>
      <c r="R89" s="168" t="n">
        <f aca="false">'VOL DWNLD'!R89+'VOL DELTA'!R89</f>
        <v>1</v>
      </c>
      <c r="S89" s="168" t="n">
        <f aca="false">'VOL DWNLD'!S89+'VOL DELTA'!S89</f>
        <v>1.02</v>
      </c>
      <c r="T89" s="168" t="n">
        <f aca="false">'VOL DWNLD'!T89+'VOL DELTA'!T89</f>
        <v>1</v>
      </c>
      <c r="U89" s="168" t="n">
        <f aca="false">'VOL DWNLD'!U89+'VOL DELTA'!U89</f>
        <v>1</v>
      </c>
      <c r="V89" s="168" t="n">
        <f aca="false">'VOL DWNLD'!V89+'VOL DELTA'!V89</f>
        <v>1</v>
      </c>
      <c r="W89" s="168" t="n">
        <f aca="false">'VOL DWNLD'!W89+'VOL DELTA'!W89</f>
        <v>1</v>
      </c>
      <c r="X89" s="168" t="n">
        <f aca="false">'VOL DWNLD'!X89+'VOL DELTA'!X89</f>
        <v>1</v>
      </c>
      <c r="Y89" s="168" t="n">
        <f aca="false">'VOL DWNLD'!Y89+'VOL DELTA'!Y89</f>
        <v>1</v>
      </c>
      <c r="Z89" s="168" t="n">
        <f aca="false">'VOL DWNLD'!Z89+'VOL DELTA'!Z89</f>
        <v>1</v>
      </c>
      <c r="AA89" s="168" t="n">
        <f aca="false">'VOL DWNLD'!AA89+'VOL DELTA'!AA89</f>
        <v>1</v>
      </c>
      <c r="AB89" s="168" t="n">
        <f aca="false">'VOL DWNLD'!AB89+'VOL DELTA'!AB89</f>
        <v>1</v>
      </c>
      <c r="AC89" s="168" t="n">
        <f aca="false">'VOL DWNLD'!AC89+'VOL DELTA'!AC89</f>
        <v>1</v>
      </c>
      <c r="AD89" s="168" t="n">
        <f aca="false">'VOL DWNLD'!AD89+'VOL DELTA'!AD89</f>
        <v>1</v>
      </c>
      <c r="AE89" s="168" t="n">
        <f aca="false">'VOL DWNLD'!AE89+'VOL DELTA'!AE89</f>
        <v>1</v>
      </c>
      <c r="AF89" s="168" t="n">
        <f aca="false">'VOL DWNLD'!AF89+'VOL DELTA'!AF89</f>
        <v>1.1</v>
      </c>
      <c r="AG89" s="168" t="n">
        <f aca="false">'VOL DWNLD'!AG89+'VOL DELTA'!AG89</f>
        <v>1.1</v>
      </c>
      <c r="AH89" s="168" t="n">
        <f aca="false">'VOL DWNLD'!AH89+'VOL DELTA'!AH89</f>
        <v>1.05</v>
      </c>
      <c r="AI89" s="168" t="n">
        <f aca="false">'VOL DWNLD'!AI89+'VOL DELTA'!AI89</f>
        <v>1</v>
      </c>
      <c r="AJ89" s="168" t="n">
        <f aca="false">'VOL DWNLD'!AJ89+'VOL DELTA'!AJ89</f>
        <v>1</v>
      </c>
      <c r="AK89" s="168" t="n">
        <f aca="false">'VOL DWNLD'!AK89+'VOL DELTA'!AK89</f>
        <v>1.02</v>
      </c>
      <c r="AL89" s="168" t="n">
        <f aca="false">'VOL DWNLD'!AL89+'VOL DELTA'!AL89</f>
        <v>1</v>
      </c>
      <c r="AM89" s="168" t="n">
        <f aca="false">'VOL DWNLD'!AM89+'VOL DELTA'!AM89</f>
        <v>1</v>
      </c>
      <c r="AN89" s="168" t="n">
        <f aca="false">'VOL DWNLD'!AN89+'VOL DELTA'!AN89</f>
        <v>1</v>
      </c>
      <c r="AO89" s="168" t="n">
        <f aca="false">'VOL DWNLD'!AO89+'VOL DELTA'!AO89</f>
        <v>1</v>
      </c>
    </row>
    <row r="90" customFormat="false" ht="12.75" hidden="false" customHeight="false" outlineLevel="0" collapsed="false">
      <c r="A90" s="167" t="n">
        <v>39417</v>
      </c>
      <c r="B90" s="168" t="n">
        <f aca="false">'VOL DWNLD'!B90+'VOL DELTA'!B90</f>
        <v>1</v>
      </c>
      <c r="C90" s="168" t="n">
        <f aca="false">'VOL DWNLD'!C90+'VOL DELTA'!C90</f>
        <v>1</v>
      </c>
      <c r="D90" s="168" t="n">
        <f aca="false">'VOL DWNLD'!D90+'VOL DELTA'!D90</f>
        <v>1</v>
      </c>
      <c r="E90" s="168" t="n">
        <f aca="false">'VOL DWNLD'!E90+'VOL DELTA'!E90</f>
        <v>1</v>
      </c>
      <c r="F90" s="168" t="n">
        <f aca="false">'VOL DWNLD'!F90+'VOL DELTA'!F90</f>
        <v>1</v>
      </c>
      <c r="G90" s="168" t="n">
        <f aca="false">'VOL DWNLD'!G90+'VOL DELTA'!G90</f>
        <v>1</v>
      </c>
      <c r="H90" s="168" t="n">
        <f aca="false">'VOL DWNLD'!H90+'VOL DELTA'!H90</f>
        <v>1</v>
      </c>
      <c r="I90" s="168" t="n">
        <f aca="false">'VOL DWNLD'!I90+'VOL DELTA'!I90</f>
        <v>1</v>
      </c>
      <c r="J90" s="168" t="n">
        <f aca="false">'VOL DWNLD'!J90+'VOL DELTA'!J90</f>
        <v>1</v>
      </c>
      <c r="K90" s="168" t="n">
        <f aca="false">'VOL DWNLD'!K90+'VOL DELTA'!K90</f>
        <v>1</v>
      </c>
      <c r="L90" s="168" t="n">
        <f aca="false">'VOL DWNLD'!L90+'VOL DELTA'!L90</f>
        <v>1</v>
      </c>
      <c r="M90" s="168" t="n">
        <f aca="false">'VOL DWNLD'!M90+'VOL DELTA'!M90</f>
        <v>1</v>
      </c>
      <c r="N90" s="168" t="n">
        <f aca="false">'VOL DWNLD'!N90+'VOL DELTA'!N90</f>
        <v>1</v>
      </c>
      <c r="O90" s="168" t="n">
        <f aca="false">'VOL DWNLD'!O90+'VOL DELTA'!O90</f>
        <v>1</v>
      </c>
      <c r="P90" s="168" t="n">
        <f aca="false">'VOL DWNLD'!P90+'VOL DELTA'!P90</f>
        <v>1.03</v>
      </c>
      <c r="Q90" s="168" t="n">
        <f aca="false">'VOL DWNLD'!Q90+'VOL DELTA'!Q90</f>
        <v>1</v>
      </c>
      <c r="R90" s="168" t="n">
        <f aca="false">'VOL DWNLD'!R90+'VOL DELTA'!R90</f>
        <v>1</v>
      </c>
      <c r="S90" s="168" t="n">
        <f aca="false">'VOL DWNLD'!S90+'VOL DELTA'!S90</f>
        <v>1.02</v>
      </c>
      <c r="T90" s="168" t="n">
        <f aca="false">'VOL DWNLD'!T90+'VOL DELTA'!T90</f>
        <v>1</v>
      </c>
      <c r="U90" s="168" t="n">
        <f aca="false">'VOL DWNLD'!U90+'VOL DELTA'!U90</f>
        <v>1</v>
      </c>
      <c r="V90" s="168" t="n">
        <f aca="false">'VOL DWNLD'!V90+'VOL DELTA'!V90</f>
        <v>1</v>
      </c>
      <c r="W90" s="168" t="n">
        <f aca="false">'VOL DWNLD'!W90+'VOL DELTA'!W90</f>
        <v>1</v>
      </c>
      <c r="X90" s="168" t="n">
        <f aca="false">'VOL DWNLD'!X90+'VOL DELTA'!X90</f>
        <v>1</v>
      </c>
      <c r="Y90" s="168" t="n">
        <f aca="false">'VOL DWNLD'!Y90+'VOL DELTA'!Y90</f>
        <v>1</v>
      </c>
      <c r="Z90" s="168" t="n">
        <f aca="false">'VOL DWNLD'!Z90+'VOL DELTA'!Z90</f>
        <v>1</v>
      </c>
      <c r="AA90" s="168" t="n">
        <f aca="false">'VOL DWNLD'!AA90+'VOL DELTA'!AA90</f>
        <v>1</v>
      </c>
      <c r="AB90" s="168" t="n">
        <f aca="false">'VOL DWNLD'!AB90+'VOL DELTA'!AB90</f>
        <v>1</v>
      </c>
      <c r="AC90" s="168" t="n">
        <f aca="false">'VOL DWNLD'!AC90+'VOL DELTA'!AC90</f>
        <v>1</v>
      </c>
      <c r="AD90" s="168" t="n">
        <f aca="false">'VOL DWNLD'!AD90+'VOL DELTA'!AD90</f>
        <v>1</v>
      </c>
      <c r="AE90" s="168" t="n">
        <f aca="false">'VOL DWNLD'!AE90+'VOL DELTA'!AE90</f>
        <v>1</v>
      </c>
      <c r="AF90" s="168" t="n">
        <f aca="false">'VOL DWNLD'!AF90+'VOL DELTA'!AF90</f>
        <v>1.1</v>
      </c>
      <c r="AG90" s="168" t="n">
        <f aca="false">'VOL DWNLD'!AG90+'VOL DELTA'!AG90</f>
        <v>1.1</v>
      </c>
      <c r="AH90" s="168" t="n">
        <f aca="false">'VOL DWNLD'!AH90+'VOL DELTA'!AH90</f>
        <v>1.05</v>
      </c>
      <c r="AI90" s="168" t="n">
        <f aca="false">'VOL DWNLD'!AI90+'VOL DELTA'!AI90</f>
        <v>1</v>
      </c>
      <c r="AJ90" s="168" t="n">
        <f aca="false">'VOL DWNLD'!AJ90+'VOL DELTA'!AJ90</f>
        <v>1</v>
      </c>
      <c r="AK90" s="168" t="n">
        <f aca="false">'VOL DWNLD'!AK90+'VOL DELTA'!AK90</f>
        <v>1.02</v>
      </c>
      <c r="AL90" s="168" t="n">
        <f aca="false">'VOL DWNLD'!AL90+'VOL DELTA'!AL90</f>
        <v>1</v>
      </c>
      <c r="AM90" s="168" t="n">
        <f aca="false">'VOL DWNLD'!AM90+'VOL DELTA'!AM90</f>
        <v>1</v>
      </c>
      <c r="AN90" s="168" t="n">
        <f aca="false">'VOL DWNLD'!AN90+'VOL DELTA'!AN90</f>
        <v>1</v>
      </c>
      <c r="AO90" s="168" t="n">
        <f aca="false">'VOL DWNLD'!AO90+'VOL DELTA'!AO90</f>
        <v>1</v>
      </c>
    </row>
    <row r="91" customFormat="false" ht="12.75" hidden="false" customHeight="false" outlineLevel="0" collapsed="false">
      <c r="A91" s="167" t="n">
        <v>39448</v>
      </c>
      <c r="B91" s="168" t="n">
        <f aca="false">'VOL DWNLD'!B91+'VOL DELTA'!B91</f>
        <v>1</v>
      </c>
      <c r="C91" s="168" t="n">
        <f aca="false">'VOL DWNLD'!C91+'VOL DELTA'!C91</f>
        <v>1</v>
      </c>
      <c r="D91" s="168" t="n">
        <f aca="false">'VOL DWNLD'!D91+'VOL DELTA'!D91</f>
        <v>1</v>
      </c>
      <c r="E91" s="168" t="n">
        <f aca="false">'VOL DWNLD'!E91+'VOL DELTA'!E91</f>
        <v>1</v>
      </c>
      <c r="F91" s="168" t="n">
        <f aca="false">'VOL DWNLD'!F91+'VOL DELTA'!F91</f>
        <v>1</v>
      </c>
      <c r="G91" s="168" t="n">
        <f aca="false">'VOL DWNLD'!G91+'VOL DELTA'!G91</f>
        <v>1</v>
      </c>
      <c r="H91" s="168" t="n">
        <f aca="false">'VOL DWNLD'!H91+'VOL DELTA'!H91</f>
        <v>1</v>
      </c>
      <c r="I91" s="168" t="n">
        <f aca="false">'VOL DWNLD'!I91+'VOL DELTA'!I91</f>
        <v>1</v>
      </c>
      <c r="J91" s="168" t="n">
        <f aca="false">'VOL DWNLD'!J91+'VOL DELTA'!J91</f>
        <v>1</v>
      </c>
      <c r="K91" s="168" t="n">
        <f aca="false">'VOL DWNLD'!K91+'VOL DELTA'!K91</f>
        <v>1</v>
      </c>
      <c r="L91" s="168" t="n">
        <f aca="false">'VOL DWNLD'!L91+'VOL DELTA'!L91</f>
        <v>1</v>
      </c>
      <c r="M91" s="168" t="n">
        <f aca="false">'VOL DWNLD'!M91+'VOL DELTA'!M91</f>
        <v>1</v>
      </c>
      <c r="N91" s="168" t="n">
        <f aca="false">'VOL DWNLD'!N91+'VOL DELTA'!N91</f>
        <v>1</v>
      </c>
      <c r="O91" s="168" t="n">
        <f aca="false">'VOL DWNLD'!O91+'VOL DELTA'!O91</f>
        <v>1</v>
      </c>
      <c r="P91" s="168" t="n">
        <f aca="false">'VOL DWNLD'!P91+'VOL DELTA'!P91</f>
        <v>1.03</v>
      </c>
      <c r="Q91" s="168" t="n">
        <f aca="false">'VOL DWNLD'!Q91+'VOL DELTA'!Q91</f>
        <v>1</v>
      </c>
      <c r="R91" s="168" t="n">
        <f aca="false">'VOL DWNLD'!R91+'VOL DELTA'!R91</f>
        <v>1</v>
      </c>
      <c r="S91" s="168" t="n">
        <f aca="false">'VOL DWNLD'!S91+'VOL DELTA'!S91</f>
        <v>1.02</v>
      </c>
      <c r="T91" s="168" t="n">
        <f aca="false">'VOL DWNLD'!T91+'VOL DELTA'!T91</f>
        <v>1</v>
      </c>
      <c r="U91" s="168" t="n">
        <f aca="false">'VOL DWNLD'!U91+'VOL DELTA'!U91</f>
        <v>1</v>
      </c>
      <c r="V91" s="168" t="n">
        <f aca="false">'VOL DWNLD'!V91+'VOL DELTA'!V91</f>
        <v>1</v>
      </c>
      <c r="W91" s="168" t="n">
        <f aca="false">'VOL DWNLD'!W91+'VOL DELTA'!W91</f>
        <v>1</v>
      </c>
      <c r="X91" s="168" t="n">
        <f aca="false">'VOL DWNLD'!X91+'VOL DELTA'!X91</f>
        <v>1</v>
      </c>
      <c r="Y91" s="168" t="n">
        <f aca="false">'VOL DWNLD'!Y91+'VOL DELTA'!Y91</f>
        <v>1</v>
      </c>
      <c r="Z91" s="168" t="n">
        <f aca="false">'VOL DWNLD'!Z91+'VOL DELTA'!Z91</f>
        <v>1</v>
      </c>
      <c r="AA91" s="168" t="n">
        <f aca="false">'VOL DWNLD'!AA91+'VOL DELTA'!AA91</f>
        <v>1</v>
      </c>
      <c r="AB91" s="168" t="n">
        <f aca="false">'VOL DWNLD'!AB91+'VOL DELTA'!AB91</f>
        <v>1</v>
      </c>
      <c r="AC91" s="168" t="n">
        <f aca="false">'VOL DWNLD'!AC91+'VOL DELTA'!AC91</f>
        <v>1</v>
      </c>
      <c r="AD91" s="168" t="n">
        <f aca="false">'VOL DWNLD'!AD91+'VOL DELTA'!AD91</f>
        <v>1</v>
      </c>
      <c r="AE91" s="168" t="n">
        <f aca="false">'VOL DWNLD'!AE91+'VOL DELTA'!AE91</f>
        <v>1</v>
      </c>
      <c r="AF91" s="168" t="n">
        <f aca="false">'VOL DWNLD'!AF91+'VOL DELTA'!AF91</f>
        <v>1.1</v>
      </c>
      <c r="AG91" s="168" t="n">
        <f aca="false">'VOL DWNLD'!AG91+'VOL DELTA'!AG91</f>
        <v>1.1</v>
      </c>
      <c r="AH91" s="168" t="n">
        <f aca="false">'VOL DWNLD'!AH91+'VOL DELTA'!AH91</f>
        <v>1.05</v>
      </c>
      <c r="AI91" s="168" t="n">
        <f aca="false">'VOL DWNLD'!AI91+'VOL DELTA'!AI91</f>
        <v>1</v>
      </c>
      <c r="AJ91" s="168" t="n">
        <f aca="false">'VOL DWNLD'!AJ91+'VOL DELTA'!AJ91</f>
        <v>1</v>
      </c>
      <c r="AK91" s="168" t="n">
        <f aca="false">'VOL DWNLD'!AK91+'VOL DELTA'!AK91</f>
        <v>1.02</v>
      </c>
      <c r="AL91" s="168" t="n">
        <f aca="false">'VOL DWNLD'!AL91+'VOL DELTA'!AL91</f>
        <v>1</v>
      </c>
      <c r="AM91" s="168" t="n">
        <f aca="false">'VOL DWNLD'!AM91+'VOL DELTA'!AM91</f>
        <v>1</v>
      </c>
      <c r="AN91" s="168" t="n">
        <f aca="false">'VOL DWNLD'!AN91+'VOL DELTA'!AN91</f>
        <v>1</v>
      </c>
      <c r="AO91" s="168" t="n">
        <f aca="false">'VOL DWNLD'!AO91+'VOL DELTA'!AO91</f>
        <v>1</v>
      </c>
    </row>
    <row r="92" customFormat="false" ht="12.75" hidden="false" customHeight="false" outlineLevel="0" collapsed="false">
      <c r="A92" s="167" t="n">
        <v>39479</v>
      </c>
      <c r="B92" s="168" t="n">
        <f aca="false">'VOL DWNLD'!B92+'VOL DELTA'!B92</f>
        <v>1</v>
      </c>
      <c r="C92" s="168" t="n">
        <f aca="false">'VOL DWNLD'!C92+'VOL DELTA'!C92</f>
        <v>1</v>
      </c>
      <c r="D92" s="168" t="n">
        <f aca="false">'VOL DWNLD'!D92+'VOL DELTA'!D92</f>
        <v>1</v>
      </c>
      <c r="E92" s="168" t="n">
        <f aca="false">'VOL DWNLD'!E92+'VOL DELTA'!E92</f>
        <v>1</v>
      </c>
      <c r="F92" s="168" t="n">
        <f aca="false">'VOL DWNLD'!F92+'VOL DELTA'!F92</f>
        <v>1</v>
      </c>
      <c r="G92" s="168" t="n">
        <f aca="false">'VOL DWNLD'!G92+'VOL DELTA'!G92</f>
        <v>1</v>
      </c>
      <c r="H92" s="168" t="n">
        <f aca="false">'VOL DWNLD'!H92+'VOL DELTA'!H92</f>
        <v>1</v>
      </c>
      <c r="I92" s="168" t="n">
        <f aca="false">'VOL DWNLD'!I92+'VOL DELTA'!I92</f>
        <v>1</v>
      </c>
      <c r="J92" s="168" t="n">
        <f aca="false">'VOL DWNLD'!J92+'VOL DELTA'!J92</f>
        <v>1</v>
      </c>
      <c r="K92" s="168" t="n">
        <f aca="false">'VOL DWNLD'!K92+'VOL DELTA'!K92</f>
        <v>1</v>
      </c>
      <c r="L92" s="168" t="n">
        <f aca="false">'VOL DWNLD'!L92+'VOL DELTA'!L92</f>
        <v>1</v>
      </c>
      <c r="M92" s="168" t="n">
        <f aca="false">'VOL DWNLD'!M92+'VOL DELTA'!M92</f>
        <v>1</v>
      </c>
      <c r="N92" s="168" t="n">
        <f aca="false">'VOL DWNLD'!N92+'VOL DELTA'!N92</f>
        <v>1</v>
      </c>
      <c r="O92" s="168" t="n">
        <f aca="false">'VOL DWNLD'!O92+'VOL DELTA'!O92</f>
        <v>1</v>
      </c>
      <c r="P92" s="168" t="n">
        <f aca="false">'VOL DWNLD'!P92+'VOL DELTA'!P92</f>
        <v>1.03</v>
      </c>
      <c r="Q92" s="168" t="n">
        <f aca="false">'VOL DWNLD'!Q92+'VOL DELTA'!Q92</f>
        <v>1</v>
      </c>
      <c r="R92" s="168" t="n">
        <f aca="false">'VOL DWNLD'!R92+'VOL DELTA'!R92</f>
        <v>1</v>
      </c>
      <c r="S92" s="168" t="n">
        <f aca="false">'VOL DWNLD'!S92+'VOL DELTA'!S92</f>
        <v>1.02</v>
      </c>
      <c r="T92" s="168" t="n">
        <f aca="false">'VOL DWNLD'!T92+'VOL DELTA'!T92</f>
        <v>1</v>
      </c>
      <c r="U92" s="168" t="n">
        <f aca="false">'VOL DWNLD'!U92+'VOL DELTA'!U92</f>
        <v>1</v>
      </c>
      <c r="V92" s="168" t="n">
        <f aca="false">'VOL DWNLD'!V92+'VOL DELTA'!V92</f>
        <v>1</v>
      </c>
      <c r="W92" s="168" t="n">
        <f aca="false">'VOL DWNLD'!W92+'VOL DELTA'!W92</f>
        <v>1</v>
      </c>
      <c r="X92" s="168" t="n">
        <f aca="false">'VOL DWNLD'!X92+'VOL DELTA'!X92</f>
        <v>1</v>
      </c>
      <c r="Y92" s="168" t="n">
        <f aca="false">'VOL DWNLD'!Y92+'VOL DELTA'!Y92</f>
        <v>1</v>
      </c>
      <c r="Z92" s="168" t="n">
        <f aca="false">'VOL DWNLD'!Z92+'VOL DELTA'!Z92</f>
        <v>1</v>
      </c>
      <c r="AA92" s="168" t="n">
        <f aca="false">'VOL DWNLD'!AA92+'VOL DELTA'!AA92</f>
        <v>1</v>
      </c>
      <c r="AB92" s="168" t="n">
        <f aca="false">'VOL DWNLD'!AB92+'VOL DELTA'!AB92</f>
        <v>1</v>
      </c>
      <c r="AC92" s="168" t="n">
        <f aca="false">'VOL DWNLD'!AC92+'VOL DELTA'!AC92</f>
        <v>1</v>
      </c>
      <c r="AD92" s="168" t="n">
        <f aca="false">'VOL DWNLD'!AD92+'VOL DELTA'!AD92</f>
        <v>1</v>
      </c>
      <c r="AE92" s="168" t="n">
        <f aca="false">'VOL DWNLD'!AE92+'VOL DELTA'!AE92</f>
        <v>1</v>
      </c>
      <c r="AF92" s="168" t="n">
        <f aca="false">'VOL DWNLD'!AF92+'VOL DELTA'!AF92</f>
        <v>1.1</v>
      </c>
      <c r="AG92" s="168" t="n">
        <f aca="false">'VOL DWNLD'!AG92+'VOL DELTA'!AG92</f>
        <v>1.1</v>
      </c>
      <c r="AH92" s="168" t="n">
        <f aca="false">'VOL DWNLD'!AH92+'VOL DELTA'!AH92</f>
        <v>1.05</v>
      </c>
      <c r="AI92" s="168" t="n">
        <f aca="false">'VOL DWNLD'!AI92+'VOL DELTA'!AI92</f>
        <v>1</v>
      </c>
      <c r="AJ92" s="168" t="n">
        <f aca="false">'VOL DWNLD'!AJ92+'VOL DELTA'!AJ92</f>
        <v>1</v>
      </c>
      <c r="AK92" s="168" t="n">
        <f aca="false">'VOL DWNLD'!AK92+'VOL DELTA'!AK92</f>
        <v>1.02</v>
      </c>
      <c r="AL92" s="168" t="n">
        <f aca="false">'VOL DWNLD'!AL92+'VOL DELTA'!AL92</f>
        <v>1</v>
      </c>
      <c r="AM92" s="168" t="n">
        <f aca="false">'VOL DWNLD'!AM92+'VOL DELTA'!AM92</f>
        <v>1</v>
      </c>
      <c r="AN92" s="168" t="n">
        <f aca="false">'VOL DWNLD'!AN92+'VOL DELTA'!AN92</f>
        <v>1</v>
      </c>
      <c r="AO92" s="168" t="n">
        <f aca="false">'VOL DWNLD'!AO92+'VOL DELTA'!AO92</f>
        <v>1</v>
      </c>
    </row>
    <row r="93" customFormat="false" ht="12.75" hidden="false" customHeight="false" outlineLevel="0" collapsed="false">
      <c r="A93" s="167" t="n">
        <v>39508</v>
      </c>
      <c r="B93" s="168" t="n">
        <f aca="false">'VOL DWNLD'!B93+'VOL DELTA'!B93</f>
        <v>1</v>
      </c>
      <c r="C93" s="168" t="n">
        <f aca="false">'VOL DWNLD'!C93+'VOL DELTA'!C93</f>
        <v>1</v>
      </c>
      <c r="D93" s="168" t="n">
        <f aca="false">'VOL DWNLD'!D93+'VOL DELTA'!D93</f>
        <v>1</v>
      </c>
      <c r="E93" s="168" t="n">
        <f aca="false">'VOL DWNLD'!E93+'VOL DELTA'!E93</f>
        <v>1</v>
      </c>
      <c r="F93" s="168" t="n">
        <f aca="false">'VOL DWNLD'!F93+'VOL DELTA'!F93</f>
        <v>1</v>
      </c>
      <c r="G93" s="168" t="n">
        <f aca="false">'VOL DWNLD'!G93+'VOL DELTA'!G93</f>
        <v>1</v>
      </c>
      <c r="H93" s="168" t="n">
        <f aca="false">'VOL DWNLD'!H93+'VOL DELTA'!H93</f>
        <v>1</v>
      </c>
      <c r="I93" s="168" t="n">
        <f aca="false">'VOL DWNLD'!I93+'VOL DELTA'!I93</f>
        <v>1</v>
      </c>
      <c r="J93" s="168" t="n">
        <f aca="false">'VOL DWNLD'!J93+'VOL DELTA'!J93</f>
        <v>1</v>
      </c>
      <c r="K93" s="168" t="n">
        <f aca="false">'VOL DWNLD'!K93+'VOL DELTA'!K93</f>
        <v>1</v>
      </c>
      <c r="L93" s="168" t="n">
        <f aca="false">'VOL DWNLD'!L93+'VOL DELTA'!L93</f>
        <v>1</v>
      </c>
      <c r="M93" s="168" t="n">
        <f aca="false">'VOL DWNLD'!M93+'VOL DELTA'!M93</f>
        <v>1</v>
      </c>
      <c r="N93" s="168" t="n">
        <f aca="false">'VOL DWNLD'!N93+'VOL DELTA'!N93</f>
        <v>1</v>
      </c>
      <c r="O93" s="168" t="n">
        <f aca="false">'VOL DWNLD'!O93+'VOL DELTA'!O93</f>
        <v>1</v>
      </c>
      <c r="P93" s="168" t="n">
        <f aca="false">'VOL DWNLD'!P93+'VOL DELTA'!P93</f>
        <v>1.03</v>
      </c>
      <c r="Q93" s="168" t="n">
        <f aca="false">'VOL DWNLD'!Q93+'VOL DELTA'!Q93</f>
        <v>1</v>
      </c>
      <c r="R93" s="168" t="n">
        <f aca="false">'VOL DWNLD'!R93+'VOL DELTA'!R93</f>
        <v>1</v>
      </c>
      <c r="S93" s="168" t="n">
        <f aca="false">'VOL DWNLD'!S93+'VOL DELTA'!S93</f>
        <v>1.02</v>
      </c>
      <c r="T93" s="168" t="n">
        <f aca="false">'VOL DWNLD'!T93+'VOL DELTA'!T93</f>
        <v>1</v>
      </c>
      <c r="U93" s="168" t="n">
        <f aca="false">'VOL DWNLD'!U93+'VOL DELTA'!U93</f>
        <v>1</v>
      </c>
      <c r="V93" s="168" t="n">
        <f aca="false">'VOL DWNLD'!V93+'VOL DELTA'!V93</f>
        <v>1</v>
      </c>
      <c r="W93" s="168" t="n">
        <f aca="false">'VOL DWNLD'!W93+'VOL DELTA'!W93</f>
        <v>1</v>
      </c>
      <c r="X93" s="168" t="n">
        <f aca="false">'VOL DWNLD'!X93+'VOL DELTA'!X93</f>
        <v>1</v>
      </c>
      <c r="Y93" s="168" t="n">
        <f aca="false">'VOL DWNLD'!Y93+'VOL DELTA'!Y93</f>
        <v>1</v>
      </c>
      <c r="Z93" s="168" t="n">
        <f aca="false">'VOL DWNLD'!Z93+'VOL DELTA'!Z93</f>
        <v>1</v>
      </c>
      <c r="AA93" s="168" t="n">
        <f aca="false">'VOL DWNLD'!AA93+'VOL DELTA'!AA93</f>
        <v>1</v>
      </c>
      <c r="AB93" s="168" t="n">
        <f aca="false">'VOL DWNLD'!AB93+'VOL DELTA'!AB93</f>
        <v>1</v>
      </c>
      <c r="AC93" s="168" t="n">
        <f aca="false">'VOL DWNLD'!AC93+'VOL DELTA'!AC93</f>
        <v>1</v>
      </c>
      <c r="AD93" s="168" t="n">
        <f aca="false">'VOL DWNLD'!AD93+'VOL DELTA'!AD93</f>
        <v>1</v>
      </c>
      <c r="AE93" s="168" t="n">
        <f aca="false">'VOL DWNLD'!AE93+'VOL DELTA'!AE93</f>
        <v>1</v>
      </c>
      <c r="AF93" s="168" t="n">
        <f aca="false">'VOL DWNLD'!AF93+'VOL DELTA'!AF93</f>
        <v>1.1</v>
      </c>
      <c r="AG93" s="168" t="n">
        <f aca="false">'VOL DWNLD'!AG93+'VOL DELTA'!AG93</f>
        <v>1.1</v>
      </c>
      <c r="AH93" s="168" t="n">
        <f aca="false">'VOL DWNLD'!AH93+'VOL DELTA'!AH93</f>
        <v>1.05</v>
      </c>
      <c r="AI93" s="168" t="n">
        <f aca="false">'VOL DWNLD'!AI93+'VOL DELTA'!AI93</f>
        <v>1</v>
      </c>
      <c r="AJ93" s="168" t="n">
        <f aca="false">'VOL DWNLD'!AJ93+'VOL DELTA'!AJ93</f>
        <v>1</v>
      </c>
      <c r="AK93" s="168" t="n">
        <f aca="false">'VOL DWNLD'!AK93+'VOL DELTA'!AK93</f>
        <v>1.02</v>
      </c>
      <c r="AL93" s="168" t="n">
        <f aca="false">'VOL DWNLD'!AL93+'VOL DELTA'!AL93</f>
        <v>1</v>
      </c>
      <c r="AM93" s="168" t="n">
        <f aca="false">'VOL DWNLD'!AM93+'VOL DELTA'!AM93</f>
        <v>1</v>
      </c>
      <c r="AN93" s="168" t="n">
        <f aca="false">'VOL DWNLD'!AN93+'VOL DELTA'!AN93</f>
        <v>1</v>
      </c>
      <c r="AO93" s="168" t="n">
        <f aca="false">'VOL DWNLD'!AO93+'VOL DELTA'!AO93</f>
        <v>1</v>
      </c>
    </row>
    <row r="94" customFormat="false" ht="12.75" hidden="false" customHeight="false" outlineLevel="0" collapsed="false">
      <c r="A94" s="167" t="n">
        <v>39539</v>
      </c>
      <c r="B94" s="168" t="n">
        <f aca="false">'VOL DWNLD'!B94+'VOL DELTA'!B94</f>
        <v>1</v>
      </c>
      <c r="C94" s="168" t="n">
        <f aca="false">'VOL DWNLD'!C94+'VOL DELTA'!C94</f>
        <v>1</v>
      </c>
      <c r="D94" s="168" t="n">
        <f aca="false">'VOL DWNLD'!D94+'VOL DELTA'!D94</f>
        <v>1</v>
      </c>
      <c r="E94" s="168" t="n">
        <f aca="false">'VOL DWNLD'!E94+'VOL DELTA'!E94</f>
        <v>1</v>
      </c>
      <c r="F94" s="168" t="n">
        <f aca="false">'VOL DWNLD'!F94+'VOL DELTA'!F94</f>
        <v>1</v>
      </c>
      <c r="G94" s="168" t="n">
        <f aca="false">'VOL DWNLD'!G94+'VOL DELTA'!G94</f>
        <v>1</v>
      </c>
      <c r="H94" s="168" t="n">
        <f aca="false">'VOL DWNLD'!H94+'VOL DELTA'!H94</f>
        <v>1</v>
      </c>
      <c r="I94" s="168" t="n">
        <f aca="false">'VOL DWNLD'!I94+'VOL DELTA'!I94</f>
        <v>1</v>
      </c>
      <c r="J94" s="168" t="n">
        <f aca="false">'VOL DWNLD'!J94+'VOL DELTA'!J94</f>
        <v>1</v>
      </c>
      <c r="K94" s="168" t="n">
        <f aca="false">'VOL DWNLD'!K94+'VOL DELTA'!K94</f>
        <v>1</v>
      </c>
      <c r="L94" s="168" t="n">
        <f aca="false">'VOL DWNLD'!L94+'VOL DELTA'!L94</f>
        <v>1</v>
      </c>
      <c r="M94" s="168" t="n">
        <f aca="false">'VOL DWNLD'!M94+'VOL DELTA'!M94</f>
        <v>1</v>
      </c>
      <c r="N94" s="168" t="n">
        <f aca="false">'VOL DWNLD'!N94+'VOL DELTA'!N94</f>
        <v>1</v>
      </c>
      <c r="O94" s="168" t="n">
        <f aca="false">'VOL DWNLD'!O94+'VOL DELTA'!O94</f>
        <v>1</v>
      </c>
      <c r="P94" s="168" t="n">
        <f aca="false">'VOL DWNLD'!P94+'VOL DELTA'!P94</f>
        <v>1.03</v>
      </c>
      <c r="Q94" s="168" t="n">
        <f aca="false">'VOL DWNLD'!Q94+'VOL DELTA'!Q94</f>
        <v>1</v>
      </c>
      <c r="R94" s="168" t="n">
        <f aca="false">'VOL DWNLD'!R94+'VOL DELTA'!R94</f>
        <v>1</v>
      </c>
      <c r="S94" s="168" t="n">
        <f aca="false">'VOL DWNLD'!S94+'VOL DELTA'!S94</f>
        <v>1.02</v>
      </c>
      <c r="T94" s="168" t="n">
        <f aca="false">'VOL DWNLD'!T94+'VOL DELTA'!T94</f>
        <v>1</v>
      </c>
      <c r="U94" s="168" t="n">
        <f aca="false">'VOL DWNLD'!U94+'VOL DELTA'!U94</f>
        <v>1</v>
      </c>
      <c r="V94" s="168" t="n">
        <f aca="false">'VOL DWNLD'!V94+'VOL DELTA'!V94</f>
        <v>1</v>
      </c>
      <c r="W94" s="168" t="n">
        <f aca="false">'VOL DWNLD'!W94+'VOL DELTA'!W94</f>
        <v>1</v>
      </c>
      <c r="X94" s="168" t="n">
        <f aca="false">'VOL DWNLD'!X94+'VOL DELTA'!X94</f>
        <v>1</v>
      </c>
      <c r="Y94" s="168" t="n">
        <f aca="false">'VOL DWNLD'!Y94+'VOL DELTA'!Y94</f>
        <v>1.02</v>
      </c>
      <c r="Z94" s="168" t="n">
        <f aca="false">'VOL DWNLD'!Z94+'VOL DELTA'!Z94</f>
        <v>1</v>
      </c>
      <c r="AA94" s="168" t="n">
        <f aca="false">'VOL DWNLD'!AA94+'VOL DELTA'!AA94</f>
        <v>1</v>
      </c>
      <c r="AB94" s="168" t="n">
        <f aca="false">'VOL DWNLD'!AB94+'VOL DELTA'!AB94</f>
        <v>1</v>
      </c>
      <c r="AC94" s="168" t="n">
        <f aca="false">'VOL DWNLD'!AC94+'VOL DELTA'!AC94</f>
        <v>1</v>
      </c>
      <c r="AD94" s="168" t="n">
        <f aca="false">'VOL DWNLD'!AD94+'VOL DELTA'!AD94</f>
        <v>0.98</v>
      </c>
      <c r="AE94" s="168" t="n">
        <f aca="false">'VOL DWNLD'!AE94+'VOL DELTA'!AE94</f>
        <v>0.98</v>
      </c>
      <c r="AF94" s="168" t="n">
        <f aca="false">'VOL DWNLD'!AF94+'VOL DELTA'!AF94</f>
        <v>0.98</v>
      </c>
      <c r="AG94" s="168" t="n">
        <f aca="false">'VOL DWNLD'!AG94+'VOL DELTA'!AG94</f>
        <v>0.98</v>
      </c>
      <c r="AH94" s="168" t="n">
        <f aca="false">'VOL DWNLD'!AH94+'VOL DELTA'!AH94</f>
        <v>1.05</v>
      </c>
      <c r="AI94" s="168" t="n">
        <f aca="false">'VOL DWNLD'!AI94+'VOL DELTA'!AI94</f>
        <v>1</v>
      </c>
      <c r="AJ94" s="168" t="n">
        <f aca="false">'VOL DWNLD'!AJ94+'VOL DELTA'!AJ94</f>
        <v>1</v>
      </c>
      <c r="AK94" s="168" t="n">
        <f aca="false">'VOL DWNLD'!AK94+'VOL DELTA'!AK94</f>
        <v>1.02</v>
      </c>
      <c r="AL94" s="168" t="n">
        <f aca="false">'VOL DWNLD'!AL94+'VOL DELTA'!AL94</f>
        <v>1</v>
      </c>
      <c r="AM94" s="168" t="n">
        <f aca="false">'VOL DWNLD'!AM94+'VOL DELTA'!AM94</f>
        <v>1</v>
      </c>
      <c r="AN94" s="168" t="n">
        <f aca="false">'VOL DWNLD'!AN94+'VOL DELTA'!AN94</f>
        <v>1</v>
      </c>
      <c r="AO94" s="168" t="n">
        <f aca="false">'VOL DWNLD'!AO94+'VOL DELTA'!AO94</f>
        <v>1</v>
      </c>
    </row>
    <row r="95" customFormat="false" ht="12.75" hidden="false" customHeight="false" outlineLevel="0" collapsed="false">
      <c r="A95" s="167" t="n">
        <v>39569</v>
      </c>
      <c r="B95" s="168" t="n">
        <f aca="false">'VOL DWNLD'!B95+'VOL DELTA'!B95</f>
        <v>1</v>
      </c>
      <c r="C95" s="168" t="n">
        <f aca="false">'VOL DWNLD'!C95+'VOL DELTA'!C95</f>
        <v>1</v>
      </c>
      <c r="D95" s="168" t="n">
        <f aca="false">'VOL DWNLD'!D95+'VOL DELTA'!D95</f>
        <v>1</v>
      </c>
      <c r="E95" s="168" t="n">
        <f aca="false">'VOL DWNLD'!E95+'VOL DELTA'!E95</f>
        <v>1</v>
      </c>
      <c r="F95" s="168" t="n">
        <f aca="false">'VOL DWNLD'!F95+'VOL DELTA'!F95</f>
        <v>1</v>
      </c>
      <c r="G95" s="168" t="n">
        <f aca="false">'VOL DWNLD'!G95+'VOL DELTA'!G95</f>
        <v>1</v>
      </c>
      <c r="H95" s="168" t="n">
        <f aca="false">'VOL DWNLD'!H95+'VOL DELTA'!H95</f>
        <v>1</v>
      </c>
      <c r="I95" s="168" t="n">
        <f aca="false">'VOL DWNLD'!I95+'VOL DELTA'!I95</f>
        <v>1</v>
      </c>
      <c r="J95" s="168" t="n">
        <f aca="false">'VOL DWNLD'!J95+'VOL DELTA'!J95</f>
        <v>1</v>
      </c>
      <c r="K95" s="168" t="n">
        <f aca="false">'VOL DWNLD'!K95+'VOL DELTA'!K95</f>
        <v>1</v>
      </c>
      <c r="L95" s="168" t="n">
        <f aca="false">'VOL DWNLD'!L95+'VOL DELTA'!L95</f>
        <v>1</v>
      </c>
      <c r="M95" s="168" t="n">
        <f aca="false">'VOL DWNLD'!M95+'VOL DELTA'!M95</f>
        <v>1</v>
      </c>
      <c r="N95" s="168" t="n">
        <f aca="false">'VOL DWNLD'!N95+'VOL DELTA'!N95</f>
        <v>1</v>
      </c>
      <c r="O95" s="168" t="n">
        <f aca="false">'VOL DWNLD'!O95+'VOL DELTA'!O95</f>
        <v>1</v>
      </c>
      <c r="P95" s="168" t="n">
        <f aca="false">'VOL DWNLD'!P95+'VOL DELTA'!P95</f>
        <v>1.03</v>
      </c>
      <c r="Q95" s="168" t="n">
        <f aca="false">'VOL DWNLD'!Q95+'VOL DELTA'!Q95</f>
        <v>1</v>
      </c>
      <c r="R95" s="168" t="n">
        <f aca="false">'VOL DWNLD'!R95+'VOL DELTA'!R95</f>
        <v>1</v>
      </c>
      <c r="S95" s="168" t="n">
        <f aca="false">'VOL DWNLD'!S95+'VOL DELTA'!S95</f>
        <v>1.02</v>
      </c>
      <c r="T95" s="168" t="n">
        <f aca="false">'VOL DWNLD'!T95+'VOL DELTA'!T95</f>
        <v>1</v>
      </c>
      <c r="U95" s="168" t="n">
        <f aca="false">'VOL DWNLD'!U95+'VOL DELTA'!U95</f>
        <v>1</v>
      </c>
      <c r="V95" s="168" t="n">
        <f aca="false">'VOL DWNLD'!V95+'VOL DELTA'!V95</f>
        <v>1</v>
      </c>
      <c r="W95" s="168" t="n">
        <f aca="false">'VOL DWNLD'!W95+'VOL DELTA'!W95</f>
        <v>1</v>
      </c>
      <c r="X95" s="168" t="n">
        <f aca="false">'VOL DWNLD'!X95+'VOL DELTA'!X95</f>
        <v>1</v>
      </c>
      <c r="Y95" s="168" t="n">
        <f aca="false">'VOL DWNLD'!Y95+'VOL DELTA'!Y95</f>
        <v>1.02</v>
      </c>
      <c r="Z95" s="168" t="n">
        <f aca="false">'VOL DWNLD'!Z95+'VOL DELTA'!Z95</f>
        <v>1</v>
      </c>
      <c r="AA95" s="168" t="n">
        <f aca="false">'VOL DWNLD'!AA95+'VOL DELTA'!AA95</f>
        <v>1</v>
      </c>
      <c r="AB95" s="168" t="n">
        <f aca="false">'VOL DWNLD'!AB95+'VOL DELTA'!AB95</f>
        <v>1</v>
      </c>
      <c r="AC95" s="168" t="n">
        <f aca="false">'VOL DWNLD'!AC95+'VOL DELTA'!AC95</f>
        <v>1</v>
      </c>
      <c r="AD95" s="168" t="n">
        <f aca="false">'VOL DWNLD'!AD95+'VOL DELTA'!AD95</f>
        <v>0.98</v>
      </c>
      <c r="AE95" s="168" t="n">
        <f aca="false">'VOL DWNLD'!AE95+'VOL DELTA'!AE95</f>
        <v>0.98</v>
      </c>
      <c r="AF95" s="168" t="n">
        <f aca="false">'VOL DWNLD'!AF95+'VOL DELTA'!AF95</f>
        <v>0.98</v>
      </c>
      <c r="AG95" s="168" t="n">
        <f aca="false">'VOL DWNLD'!AG95+'VOL DELTA'!AG95</f>
        <v>0.98</v>
      </c>
      <c r="AH95" s="168" t="n">
        <f aca="false">'VOL DWNLD'!AH95+'VOL DELTA'!AH95</f>
        <v>1.05</v>
      </c>
      <c r="AI95" s="168" t="n">
        <f aca="false">'VOL DWNLD'!AI95+'VOL DELTA'!AI95</f>
        <v>1</v>
      </c>
      <c r="AJ95" s="168" t="n">
        <f aca="false">'VOL DWNLD'!AJ95+'VOL DELTA'!AJ95</f>
        <v>1</v>
      </c>
      <c r="AK95" s="168" t="n">
        <f aca="false">'VOL DWNLD'!AK95+'VOL DELTA'!AK95</f>
        <v>1.02</v>
      </c>
      <c r="AL95" s="168" t="n">
        <f aca="false">'VOL DWNLD'!AL95+'VOL DELTA'!AL95</f>
        <v>1</v>
      </c>
      <c r="AM95" s="168" t="n">
        <f aca="false">'VOL DWNLD'!AM95+'VOL DELTA'!AM95</f>
        <v>1</v>
      </c>
      <c r="AN95" s="168" t="n">
        <f aca="false">'VOL DWNLD'!AN95+'VOL DELTA'!AN95</f>
        <v>1</v>
      </c>
      <c r="AO95" s="168" t="n">
        <f aca="false">'VOL DWNLD'!AO95+'VOL DELTA'!AO95</f>
        <v>1</v>
      </c>
    </row>
    <row r="96" customFormat="false" ht="12.75" hidden="false" customHeight="false" outlineLevel="0" collapsed="false">
      <c r="A96" s="167" t="n">
        <v>39600</v>
      </c>
      <c r="B96" s="168" t="n">
        <f aca="false">'VOL DWNLD'!B96+'VOL DELTA'!B96</f>
        <v>1</v>
      </c>
      <c r="C96" s="168" t="n">
        <f aca="false">'VOL DWNLD'!C96+'VOL DELTA'!C96</f>
        <v>1</v>
      </c>
      <c r="D96" s="168" t="n">
        <f aca="false">'VOL DWNLD'!D96+'VOL DELTA'!D96</f>
        <v>1</v>
      </c>
      <c r="E96" s="168" t="n">
        <f aca="false">'VOL DWNLD'!E96+'VOL DELTA'!E96</f>
        <v>1</v>
      </c>
      <c r="F96" s="168" t="n">
        <f aca="false">'VOL DWNLD'!F96+'VOL DELTA'!F96</f>
        <v>1</v>
      </c>
      <c r="G96" s="168" t="n">
        <f aca="false">'VOL DWNLD'!G96+'VOL DELTA'!G96</f>
        <v>1</v>
      </c>
      <c r="H96" s="168" t="n">
        <f aca="false">'VOL DWNLD'!H96+'VOL DELTA'!H96</f>
        <v>1</v>
      </c>
      <c r="I96" s="168" t="n">
        <f aca="false">'VOL DWNLD'!I96+'VOL DELTA'!I96</f>
        <v>1</v>
      </c>
      <c r="J96" s="168" t="n">
        <f aca="false">'VOL DWNLD'!J96+'VOL DELTA'!J96</f>
        <v>1</v>
      </c>
      <c r="K96" s="168" t="n">
        <f aca="false">'VOL DWNLD'!K96+'VOL DELTA'!K96</f>
        <v>1</v>
      </c>
      <c r="L96" s="168" t="n">
        <f aca="false">'VOL DWNLD'!L96+'VOL DELTA'!L96</f>
        <v>1</v>
      </c>
      <c r="M96" s="168" t="n">
        <f aca="false">'VOL DWNLD'!M96+'VOL DELTA'!M96</f>
        <v>1</v>
      </c>
      <c r="N96" s="168" t="n">
        <f aca="false">'VOL DWNLD'!N96+'VOL DELTA'!N96</f>
        <v>1</v>
      </c>
      <c r="O96" s="168" t="n">
        <f aca="false">'VOL DWNLD'!O96+'VOL DELTA'!O96</f>
        <v>1</v>
      </c>
      <c r="P96" s="168" t="n">
        <f aca="false">'VOL DWNLD'!P96+'VOL DELTA'!P96</f>
        <v>1.03</v>
      </c>
      <c r="Q96" s="168" t="n">
        <f aca="false">'VOL DWNLD'!Q96+'VOL DELTA'!Q96</f>
        <v>1</v>
      </c>
      <c r="R96" s="168" t="n">
        <f aca="false">'VOL DWNLD'!R96+'VOL DELTA'!R96</f>
        <v>1</v>
      </c>
      <c r="S96" s="168" t="n">
        <f aca="false">'VOL DWNLD'!S96+'VOL DELTA'!S96</f>
        <v>1.02</v>
      </c>
      <c r="T96" s="168" t="n">
        <f aca="false">'VOL DWNLD'!T96+'VOL DELTA'!T96</f>
        <v>1</v>
      </c>
      <c r="U96" s="168" t="n">
        <f aca="false">'VOL DWNLD'!U96+'VOL DELTA'!U96</f>
        <v>1</v>
      </c>
      <c r="V96" s="168" t="n">
        <f aca="false">'VOL DWNLD'!V96+'VOL DELTA'!V96</f>
        <v>1</v>
      </c>
      <c r="W96" s="168" t="n">
        <f aca="false">'VOL DWNLD'!W96+'VOL DELTA'!W96</f>
        <v>1</v>
      </c>
      <c r="X96" s="168" t="n">
        <f aca="false">'VOL DWNLD'!X96+'VOL DELTA'!X96</f>
        <v>1</v>
      </c>
      <c r="Y96" s="168" t="n">
        <f aca="false">'VOL DWNLD'!Y96+'VOL DELTA'!Y96</f>
        <v>1.02</v>
      </c>
      <c r="Z96" s="168" t="n">
        <f aca="false">'VOL DWNLD'!Z96+'VOL DELTA'!Z96</f>
        <v>1</v>
      </c>
      <c r="AA96" s="168" t="n">
        <f aca="false">'VOL DWNLD'!AA96+'VOL DELTA'!AA96</f>
        <v>1</v>
      </c>
      <c r="AB96" s="168" t="n">
        <f aca="false">'VOL DWNLD'!AB96+'VOL DELTA'!AB96</f>
        <v>1</v>
      </c>
      <c r="AC96" s="168" t="n">
        <f aca="false">'VOL DWNLD'!AC96+'VOL DELTA'!AC96</f>
        <v>1</v>
      </c>
      <c r="AD96" s="168" t="n">
        <f aca="false">'VOL DWNLD'!AD96+'VOL DELTA'!AD96</f>
        <v>0.98</v>
      </c>
      <c r="AE96" s="168" t="n">
        <f aca="false">'VOL DWNLD'!AE96+'VOL DELTA'!AE96</f>
        <v>0.98</v>
      </c>
      <c r="AF96" s="168" t="n">
        <f aca="false">'VOL DWNLD'!AF96+'VOL DELTA'!AF96</f>
        <v>0.98</v>
      </c>
      <c r="AG96" s="168" t="n">
        <f aca="false">'VOL DWNLD'!AG96+'VOL DELTA'!AG96</f>
        <v>0.98</v>
      </c>
      <c r="AH96" s="168" t="n">
        <f aca="false">'VOL DWNLD'!AH96+'VOL DELTA'!AH96</f>
        <v>1.05</v>
      </c>
      <c r="AI96" s="168" t="n">
        <f aca="false">'VOL DWNLD'!AI96+'VOL DELTA'!AI96</f>
        <v>1</v>
      </c>
      <c r="AJ96" s="168" t="n">
        <f aca="false">'VOL DWNLD'!AJ96+'VOL DELTA'!AJ96</f>
        <v>1</v>
      </c>
      <c r="AK96" s="168" t="n">
        <f aca="false">'VOL DWNLD'!AK96+'VOL DELTA'!AK96</f>
        <v>1.02</v>
      </c>
      <c r="AL96" s="168" t="n">
        <f aca="false">'VOL DWNLD'!AL96+'VOL DELTA'!AL96</f>
        <v>1</v>
      </c>
      <c r="AM96" s="168" t="n">
        <f aca="false">'VOL DWNLD'!AM96+'VOL DELTA'!AM96</f>
        <v>1</v>
      </c>
      <c r="AN96" s="168" t="n">
        <f aca="false">'VOL DWNLD'!AN96+'VOL DELTA'!AN96</f>
        <v>1</v>
      </c>
      <c r="AO96" s="168" t="n">
        <f aca="false">'VOL DWNLD'!AO96+'VOL DELTA'!AO96</f>
        <v>1</v>
      </c>
    </row>
    <row r="97" customFormat="false" ht="12.75" hidden="false" customHeight="false" outlineLevel="0" collapsed="false">
      <c r="A97" s="167" t="n">
        <v>39630</v>
      </c>
      <c r="B97" s="168" t="n">
        <f aca="false">'VOL DWNLD'!B97+'VOL DELTA'!B97</f>
        <v>1</v>
      </c>
      <c r="C97" s="168" t="n">
        <f aca="false">'VOL DWNLD'!C97+'VOL DELTA'!C97</f>
        <v>1</v>
      </c>
      <c r="D97" s="168" t="n">
        <f aca="false">'VOL DWNLD'!D97+'VOL DELTA'!D97</f>
        <v>1</v>
      </c>
      <c r="E97" s="168" t="n">
        <f aca="false">'VOL DWNLD'!E97+'VOL DELTA'!E97</f>
        <v>1</v>
      </c>
      <c r="F97" s="168" t="n">
        <f aca="false">'VOL DWNLD'!F97+'VOL DELTA'!F97</f>
        <v>1</v>
      </c>
      <c r="G97" s="168" t="n">
        <f aca="false">'VOL DWNLD'!G97+'VOL DELTA'!G97</f>
        <v>1</v>
      </c>
      <c r="H97" s="168" t="n">
        <f aca="false">'VOL DWNLD'!H97+'VOL DELTA'!H97</f>
        <v>1</v>
      </c>
      <c r="I97" s="168" t="n">
        <f aca="false">'VOL DWNLD'!I97+'VOL DELTA'!I97</f>
        <v>1</v>
      </c>
      <c r="J97" s="168" t="n">
        <f aca="false">'VOL DWNLD'!J97+'VOL DELTA'!J97</f>
        <v>1</v>
      </c>
      <c r="K97" s="168" t="n">
        <f aca="false">'VOL DWNLD'!K97+'VOL DELTA'!K97</f>
        <v>1</v>
      </c>
      <c r="L97" s="168" t="n">
        <f aca="false">'VOL DWNLD'!L97+'VOL DELTA'!L97</f>
        <v>1</v>
      </c>
      <c r="M97" s="168" t="n">
        <f aca="false">'VOL DWNLD'!M97+'VOL DELTA'!M97</f>
        <v>1</v>
      </c>
      <c r="N97" s="168" t="n">
        <f aca="false">'VOL DWNLD'!N97+'VOL DELTA'!N97</f>
        <v>1</v>
      </c>
      <c r="O97" s="168" t="n">
        <f aca="false">'VOL DWNLD'!O97+'VOL DELTA'!O97</f>
        <v>1</v>
      </c>
      <c r="P97" s="168" t="n">
        <f aca="false">'VOL DWNLD'!P97+'VOL DELTA'!P97</f>
        <v>1.03</v>
      </c>
      <c r="Q97" s="168" t="n">
        <f aca="false">'VOL DWNLD'!Q97+'VOL DELTA'!Q97</f>
        <v>1</v>
      </c>
      <c r="R97" s="168" t="n">
        <f aca="false">'VOL DWNLD'!R97+'VOL DELTA'!R97</f>
        <v>1</v>
      </c>
      <c r="S97" s="168" t="n">
        <f aca="false">'VOL DWNLD'!S97+'VOL DELTA'!S97</f>
        <v>1.02</v>
      </c>
      <c r="T97" s="168" t="n">
        <f aca="false">'VOL DWNLD'!T97+'VOL DELTA'!T97</f>
        <v>1</v>
      </c>
      <c r="U97" s="168" t="n">
        <f aca="false">'VOL DWNLD'!U97+'VOL DELTA'!U97</f>
        <v>1</v>
      </c>
      <c r="V97" s="168" t="n">
        <f aca="false">'VOL DWNLD'!V97+'VOL DELTA'!V97</f>
        <v>1</v>
      </c>
      <c r="W97" s="168" t="n">
        <f aca="false">'VOL DWNLD'!W97+'VOL DELTA'!W97</f>
        <v>1</v>
      </c>
      <c r="X97" s="168" t="n">
        <f aca="false">'VOL DWNLD'!X97+'VOL DELTA'!X97</f>
        <v>1</v>
      </c>
      <c r="Y97" s="168" t="n">
        <f aca="false">'VOL DWNLD'!Y97+'VOL DELTA'!Y97</f>
        <v>1.02</v>
      </c>
      <c r="Z97" s="168" t="n">
        <f aca="false">'VOL DWNLD'!Z97+'VOL DELTA'!Z97</f>
        <v>1</v>
      </c>
      <c r="AA97" s="168" t="n">
        <f aca="false">'VOL DWNLD'!AA97+'VOL DELTA'!AA97</f>
        <v>1</v>
      </c>
      <c r="AB97" s="168" t="n">
        <f aca="false">'VOL DWNLD'!AB97+'VOL DELTA'!AB97</f>
        <v>1</v>
      </c>
      <c r="AC97" s="168" t="n">
        <f aca="false">'VOL DWNLD'!AC97+'VOL DELTA'!AC97</f>
        <v>1</v>
      </c>
      <c r="AD97" s="168" t="n">
        <f aca="false">'VOL DWNLD'!AD97+'VOL DELTA'!AD97</f>
        <v>0.98</v>
      </c>
      <c r="AE97" s="168" t="n">
        <f aca="false">'VOL DWNLD'!AE97+'VOL DELTA'!AE97</f>
        <v>0.98</v>
      </c>
      <c r="AF97" s="168" t="n">
        <f aca="false">'VOL DWNLD'!AF97+'VOL DELTA'!AF97</f>
        <v>0.98</v>
      </c>
      <c r="AG97" s="168" t="n">
        <f aca="false">'VOL DWNLD'!AG97+'VOL DELTA'!AG97</f>
        <v>0.98</v>
      </c>
      <c r="AH97" s="168" t="n">
        <f aca="false">'VOL DWNLD'!AH97+'VOL DELTA'!AH97</f>
        <v>1.05</v>
      </c>
      <c r="AI97" s="168" t="n">
        <f aca="false">'VOL DWNLD'!AI97+'VOL DELTA'!AI97</f>
        <v>1</v>
      </c>
      <c r="AJ97" s="168" t="n">
        <f aca="false">'VOL DWNLD'!AJ97+'VOL DELTA'!AJ97</f>
        <v>1</v>
      </c>
      <c r="AK97" s="168" t="n">
        <f aca="false">'VOL DWNLD'!AK97+'VOL DELTA'!AK97</f>
        <v>1.02</v>
      </c>
      <c r="AL97" s="168" t="n">
        <f aca="false">'VOL DWNLD'!AL97+'VOL DELTA'!AL97</f>
        <v>1</v>
      </c>
      <c r="AM97" s="168" t="n">
        <f aca="false">'VOL DWNLD'!AM97+'VOL DELTA'!AM97</f>
        <v>1</v>
      </c>
      <c r="AN97" s="168" t="n">
        <f aca="false">'VOL DWNLD'!AN97+'VOL DELTA'!AN97</f>
        <v>1</v>
      </c>
      <c r="AO97" s="168" t="n">
        <f aca="false">'VOL DWNLD'!AO97+'VOL DELTA'!AO97</f>
        <v>1</v>
      </c>
    </row>
    <row r="98" customFormat="false" ht="12.75" hidden="false" customHeight="false" outlineLevel="0" collapsed="false">
      <c r="A98" s="167" t="n">
        <v>39661</v>
      </c>
      <c r="B98" s="168" t="n">
        <f aca="false">'VOL DWNLD'!B98+'VOL DELTA'!B98</f>
        <v>1</v>
      </c>
      <c r="C98" s="168" t="n">
        <f aca="false">'VOL DWNLD'!C98+'VOL DELTA'!C98</f>
        <v>1</v>
      </c>
      <c r="D98" s="168" t="n">
        <f aca="false">'VOL DWNLD'!D98+'VOL DELTA'!D98</f>
        <v>1</v>
      </c>
      <c r="E98" s="168" t="n">
        <f aca="false">'VOL DWNLD'!E98+'VOL DELTA'!E98</f>
        <v>1</v>
      </c>
      <c r="F98" s="168" t="n">
        <f aca="false">'VOL DWNLD'!F98+'VOL DELTA'!F98</f>
        <v>1</v>
      </c>
      <c r="G98" s="168" t="n">
        <f aca="false">'VOL DWNLD'!G98+'VOL DELTA'!G98</f>
        <v>1</v>
      </c>
      <c r="H98" s="168" t="n">
        <f aca="false">'VOL DWNLD'!H98+'VOL DELTA'!H98</f>
        <v>1</v>
      </c>
      <c r="I98" s="168" t="n">
        <f aca="false">'VOL DWNLD'!I98+'VOL DELTA'!I98</f>
        <v>1</v>
      </c>
      <c r="J98" s="168" t="n">
        <f aca="false">'VOL DWNLD'!J98+'VOL DELTA'!J98</f>
        <v>1</v>
      </c>
      <c r="K98" s="168" t="n">
        <f aca="false">'VOL DWNLD'!K98+'VOL DELTA'!K98</f>
        <v>1</v>
      </c>
      <c r="L98" s="168" t="n">
        <f aca="false">'VOL DWNLD'!L98+'VOL DELTA'!L98</f>
        <v>1</v>
      </c>
      <c r="M98" s="168" t="n">
        <f aca="false">'VOL DWNLD'!M98+'VOL DELTA'!M98</f>
        <v>1</v>
      </c>
      <c r="N98" s="168" t="n">
        <f aca="false">'VOL DWNLD'!N98+'VOL DELTA'!N98</f>
        <v>1</v>
      </c>
      <c r="O98" s="168" t="n">
        <f aca="false">'VOL DWNLD'!O98+'VOL DELTA'!O98</f>
        <v>1</v>
      </c>
      <c r="P98" s="168" t="n">
        <f aca="false">'VOL DWNLD'!P98+'VOL DELTA'!P98</f>
        <v>1.03</v>
      </c>
      <c r="Q98" s="168" t="n">
        <f aca="false">'VOL DWNLD'!Q98+'VOL DELTA'!Q98</f>
        <v>1</v>
      </c>
      <c r="R98" s="168" t="n">
        <f aca="false">'VOL DWNLD'!R98+'VOL DELTA'!R98</f>
        <v>1</v>
      </c>
      <c r="S98" s="168" t="n">
        <f aca="false">'VOL DWNLD'!S98+'VOL DELTA'!S98</f>
        <v>1.02</v>
      </c>
      <c r="T98" s="168" t="n">
        <f aca="false">'VOL DWNLD'!T98+'VOL DELTA'!T98</f>
        <v>1</v>
      </c>
      <c r="U98" s="168" t="n">
        <f aca="false">'VOL DWNLD'!U98+'VOL DELTA'!U98</f>
        <v>1</v>
      </c>
      <c r="V98" s="168" t="n">
        <f aca="false">'VOL DWNLD'!V98+'VOL DELTA'!V98</f>
        <v>1</v>
      </c>
      <c r="W98" s="168" t="n">
        <f aca="false">'VOL DWNLD'!W98+'VOL DELTA'!W98</f>
        <v>1</v>
      </c>
      <c r="X98" s="168" t="n">
        <f aca="false">'VOL DWNLD'!X98+'VOL DELTA'!X98</f>
        <v>1</v>
      </c>
      <c r="Y98" s="168" t="n">
        <f aca="false">'VOL DWNLD'!Y98+'VOL DELTA'!Y98</f>
        <v>1.02</v>
      </c>
      <c r="Z98" s="168" t="n">
        <f aca="false">'VOL DWNLD'!Z98+'VOL DELTA'!Z98</f>
        <v>1</v>
      </c>
      <c r="AA98" s="168" t="n">
        <f aca="false">'VOL DWNLD'!AA98+'VOL DELTA'!AA98</f>
        <v>1</v>
      </c>
      <c r="AB98" s="168" t="n">
        <f aca="false">'VOL DWNLD'!AB98+'VOL DELTA'!AB98</f>
        <v>1</v>
      </c>
      <c r="AC98" s="168" t="n">
        <f aca="false">'VOL DWNLD'!AC98+'VOL DELTA'!AC98</f>
        <v>1</v>
      </c>
      <c r="AD98" s="168" t="n">
        <f aca="false">'VOL DWNLD'!AD98+'VOL DELTA'!AD98</f>
        <v>0.98</v>
      </c>
      <c r="AE98" s="168" t="n">
        <f aca="false">'VOL DWNLD'!AE98+'VOL DELTA'!AE98</f>
        <v>0.98</v>
      </c>
      <c r="AF98" s="168" t="n">
        <f aca="false">'VOL DWNLD'!AF98+'VOL DELTA'!AF98</f>
        <v>0.98</v>
      </c>
      <c r="AG98" s="168" t="n">
        <f aca="false">'VOL DWNLD'!AG98+'VOL DELTA'!AG98</f>
        <v>0.98</v>
      </c>
      <c r="AH98" s="168" t="n">
        <f aca="false">'VOL DWNLD'!AH98+'VOL DELTA'!AH98</f>
        <v>1.05</v>
      </c>
      <c r="AI98" s="168" t="n">
        <f aca="false">'VOL DWNLD'!AI98+'VOL DELTA'!AI98</f>
        <v>1</v>
      </c>
      <c r="AJ98" s="168" t="n">
        <f aca="false">'VOL DWNLD'!AJ98+'VOL DELTA'!AJ98</f>
        <v>1</v>
      </c>
      <c r="AK98" s="168" t="n">
        <f aca="false">'VOL DWNLD'!AK98+'VOL DELTA'!AK98</f>
        <v>1.02</v>
      </c>
      <c r="AL98" s="168" t="n">
        <f aca="false">'VOL DWNLD'!AL98+'VOL DELTA'!AL98</f>
        <v>1</v>
      </c>
      <c r="AM98" s="168" t="n">
        <f aca="false">'VOL DWNLD'!AM98+'VOL DELTA'!AM98</f>
        <v>1</v>
      </c>
      <c r="AN98" s="168" t="n">
        <f aca="false">'VOL DWNLD'!AN98+'VOL DELTA'!AN98</f>
        <v>1</v>
      </c>
      <c r="AO98" s="168" t="n">
        <f aca="false">'VOL DWNLD'!AO98+'VOL DELTA'!AO98</f>
        <v>1</v>
      </c>
    </row>
    <row r="99" customFormat="false" ht="12.75" hidden="false" customHeight="false" outlineLevel="0" collapsed="false">
      <c r="A99" s="167" t="n">
        <v>39692</v>
      </c>
      <c r="B99" s="168" t="n">
        <f aca="false">'VOL DWNLD'!B99+'VOL DELTA'!B99</f>
        <v>1</v>
      </c>
      <c r="C99" s="168" t="n">
        <f aca="false">'VOL DWNLD'!C99+'VOL DELTA'!C99</f>
        <v>1</v>
      </c>
      <c r="D99" s="168" t="n">
        <f aca="false">'VOL DWNLD'!D99+'VOL DELTA'!D99</f>
        <v>1</v>
      </c>
      <c r="E99" s="168" t="n">
        <f aca="false">'VOL DWNLD'!E99+'VOL DELTA'!E99</f>
        <v>1</v>
      </c>
      <c r="F99" s="168" t="n">
        <f aca="false">'VOL DWNLD'!F99+'VOL DELTA'!F99</f>
        <v>1</v>
      </c>
      <c r="G99" s="168" t="n">
        <f aca="false">'VOL DWNLD'!G99+'VOL DELTA'!G99</f>
        <v>1</v>
      </c>
      <c r="H99" s="168" t="n">
        <f aca="false">'VOL DWNLD'!H99+'VOL DELTA'!H99</f>
        <v>1</v>
      </c>
      <c r="I99" s="168" t="n">
        <f aca="false">'VOL DWNLD'!I99+'VOL DELTA'!I99</f>
        <v>1</v>
      </c>
      <c r="J99" s="168" t="n">
        <f aca="false">'VOL DWNLD'!J99+'VOL DELTA'!J99</f>
        <v>1</v>
      </c>
      <c r="K99" s="168" t="n">
        <f aca="false">'VOL DWNLD'!K99+'VOL DELTA'!K99</f>
        <v>1</v>
      </c>
      <c r="L99" s="168" t="n">
        <f aca="false">'VOL DWNLD'!L99+'VOL DELTA'!L99</f>
        <v>1</v>
      </c>
      <c r="M99" s="168" t="n">
        <f aca="false">'VOL DWNLD'!M99+'VOL DELTA'!M99</f>
        <v>1</v>
      </c>
      <c r="N99" s="168" t="n">
        <f aca="false">'VOL DWNLD'!N99+'VOL DELTA'!N99</f>
        <v>1</v>
      </c>
      <c r="O99" s="168" t="n">
        <f aca="false">'VOL DWNLD'!O99+'VOL DELTA'!O99</f>
        <v>1</v>
      </c>
      <c r="P99" s="168" t="n">
        <f aca="false">'VOL DWNLD'!P99+'VOL DELTA'!P99</f>
        <v>1.03</v>
      </c>
      <c r="Q99" s="168" t="n">
        <f aca="false">'VOL DWNLD'!Q99+'VOL DELTA'!Q99</f>
        <v>1</v>
      </c>
      <c r="R99" s="168" t="n">
        <f aca="false">'VOL DWNLD'!R99+'VOL DELTA'!R99</f>
        <v>1</v>
      </c>
      <c r="S99" s="168" t="n">
        <f aca="false">'VOL DWNLD'!S99+'VOL DELTA'!S99</f>
        <v>1.02</v>
      </c>
      <c r="T99" s="168" t="n">
        <f aca="false">'VOL DWNLD'!T99+'VOL DELTA'!T99</f>
        <v>1</v>
      </c>
      <c r="U99" s="168" t="n">
        <f aca="false">'VOL DWNLD'!U99+'VOL DELTA'!U99</f>
        <v>1</v>
      </c>
      <c r="V99" s="168" t="n">
        <f aca="false">'VOL DWNLD'!V99+'VOL DELTA'!V99</f>
        <v>1</v>
      </c>
      <c r="W99" s="168" t="n">
        <f aca="false">'VOL DWNLD'!W99+'VOL DELTA'!W99</f>
        <v>1</v>
      </c>
      <c r="X99" s="168" t="n">
        <f aca="false">'VOL DWNLD'!X99+'VOL DELTA'!X99</f>
        <v>1</v>
      </c>
      <c r="Y99" s="168" t="n">
        <f aca="false">'VOL DWNLD'!Y99+'VOL DELTA'!Y99</f>
        <v>1.02</v>
      </c>
      <c r="Z99" s="168" t="n">
        <f aca="false">'VOL DWNLD'!Z99+'VOL DELTA'!Z99</f>
        <v>1</v>
      </c>
      <c r="AA99" s="168" t="n">
        <f aca="false">'VOL DWNLD'!AA99+'VOL DELTA'!AA99</f>
        <v>1</v>
      </c>
      <c r="AB99" s="168" t="n">
        <f aca="false">'VOL DWNLD'!AB99+'VOL DELTA'!AB99</f>
        <v>1</v>
      </c>
      <c r="AC99" s="168" t="n">
        <f aca="false">'VOL DWNLD'!AC99+'VOL DELTA'!AC99</f>
        <v>1</v>
      </c>
      <c r="AD99" s="168" t="n">
        <f aca="false">'VOL DWNLD'!AD99+'VOL DELTA'!AD99</f>
        <v>0.98</v>
      </c>
      <c r="AE99" s="168" t="n">
        <f aca="false">'VOL DWNLD'!AE99+'VOL DELTA'!AE99</f>
        <v>0.98</v>
      </c>
      <c r="AF99" s="168" t="n">
        <f aca="false">'VOL DWNLD'!AF99+'VOL DELTA'!AF99</f>
        <v>0.98</v>
      </c>
      <c r="AG99" s="168" t="n">
        <f aca="false">'VOL DWNLD'!AG99+'VOL DELTA'!AG99</f>
        <v>0.98</v>
      </c>
      <c r="AH99" s="168" t="n">
        <f aca="false">'VOL DWNLD'!AH99+'VOL DELTA'!AH99</f>
        <v>1.05</v>
      </c>
      <c r="AI99" s="168" t="n">
        <f aca="false">'VOL DWNLD'!AI99+'VOL DELTA'!AI99</f>
        <v>1</v>
      </c>
      <c r="AJ99" s="168" t="n">
        <f aca="false">'VOL DWNLD'!AJ99+'VOL DELTA'!AJ99</f>
        <v>1</v>
      </c>
      <c r="AK99" s="168" t="n">
        <f aca="false">'VOL DWNLD'!AK99+'VOL DELTA'!AK99</f>
        <v>1.02</v>
      </c>
      <c r="AL99" s="168" t="n">
        <f aca="false">'VOL DWNLD'!AL99+'VOL DELTA'!AL99</f>
        <v>1</v>
      </c>
      <c r="AM99" s="168" t="n">
        <f aca="false">'VOL DWNLD'!AM99+'VOL DELTA'!AM99</f>
        <v>1</v>
      </c>
      <c r="AN99" s="168" t="n">
        <f aca="false">'VOL DWNLD'!AN99+'VOL DELTA'!AN99</f>
        <v>1</v>
      </c>
      <c r="AO99" s="168" t="n">
        <f aca="false">'VOL DWNLD'!AO99+'VOL DELTA'!AO99</f>
        <v>1</v>
      </c>
    </row>
    <row r="100" customFormat="false" ht="12.75" hidden="false" customHeight="false" outlineLevel="0" collapsed="false">
      <c r="A100" s="167" t="n">
        <v>39722</v>
      </c>
      <c r="B100" s="168" t="n">
        <f aca="false">'VOL DWNLD'!B100+'VOL DELTA'!B100</f>
        <v>1</v>
      </c>
      <c r="C100" s="168" t="n">
        <f aca="false">'VOL DWNLD'!C100+'VOL DELTA'!C100</f>
        <v>1</v>
      </c>
      <c r="D100" s="168" t="n">
        <f aca="false">'VOL DWNLD'!D100+'VOL DELTA'!D100</f>
        <v>1</v>
      </c>
      <c r="E100" s="168" t="n">
        <f aca="false">'VOL DWNLD'!E100+'VOL DELTA'!E100</f>
        <v>1</v>
      </c>
      <c r="F100" s="168" t="n">
        <f aca="false">'VOL DWNLD'!F100+'VOL DELTA'!F100</f>
        <v>1</v>
      </c>
      <c r="G100" s="168" t="n">
        <f aca="false">'VOL DWNLD'!G100+'VOL DELTA'!G100</f>
        <v>1</v>
      </c>
      <c r="H100" s="168" t="n">
        <f aca="false">'VOL DWNLD'!H100+'VOL DELTA'!H100</f>
        <v>1</v>
      </c>
      <c r="I100" s="168" t="n">
        <f aca="false">'VOL DWNLD'!I100+'VOL DELTA'!I100</f>
        <v>1</v>
      </c>
      <c r="J100" s="168" t="n">
        <f aca="false">'VOL DWNLD'!J100+'VOL DELTA'!J100</f>
        <v>1</v>
      </c>
      <c r="K100" s="168" t="n">
        <f aca="false">'VOL DWNLD'!K100+'VOL DELTA'!K100</f>
        <v>1</v>
      </c>
      <c r="L100" s="168" t="n">
        <f aca="false">'VOL DWNLD'!L100+'VOL DELTA'!L100</f>
        <v>1</v>
      </c>
      <c r="M100" s="168" t="n">
        <f aca="false">'VOL DWNLD'!M100+'VOL DELTA'!M100</f>
        <v>1</v>
      </c>
      <c r="N100" s="168" t="n">
        <f aca="false">'VOL DWNLD'!N100+'VOL DELTA'!N100</f>
        <v>1</v>
      </c>
      <c r="O100" s="168" t="n">
        <f aca="false">'VOL DWNLD'!O100+'VOL DELTA'!O100</f>
        <v>1</v>
      </c>
      <c r="P100" s="168" t="n">
        <f aca="false">'VOL DWNLD'!P100+'VOL DELTA'!P100</f>
        <v>1.03</v>
      </c>
      <c r="Q100" s="168" t="n">
        <f aca="false">'VOL DWNLD'!Q100+'VOL DELTA'!Q100</f>
        <v>1</v>
      </c>
      <c r="R100" s="168" t="n">
        <f aca="false">'VOL DWNLD'!R100+'VOL DELTA'!R100</f>
        <v>1</v>
      </c>
      <c r="S100" s="168" t="n">
        <f aca="false">'VOL DWNLD'!S100+'VOL DELTA'!S100</f>
        <v>1.02</v>
      </c>
      <c r="T100" s="168" t="n">
        <f aca="false">'VOL DWNLD'!T100+'VOL DELTA'!T100</f>
        <v>1</v>
      </c>
      <c r="U100" s="168" t="n">
        <f aca="false">'VOL DWNLD'!U100+'VOL DELTA'!U100</f>
        <v>1</v>
      </c>
      <c r="V100" s="168" t="n">
        <f aca="false">'VOL DWNLD'!V100+'VOL DELTA'!V100</f>
        <v>1</v>
      </c>
      <c r="W100" s="168" t="n">
        <f aca="false">'VOL DWNLD'!W100+'VOL DELTA'!W100</f>
        <v>1</v>
      </c>
      <c r="X100" s="168" t="n">
        <f aca="false">'VOL DWNLD'!X100+'VOL DELTA'!X100</f>
        <v>1</v>
      </c>
      <c r="Y100" s="168" t="n">
        <f aca="false">'VOL DWNLD'!Y100+'VOL DELTA'!Y100</f>
        <v>1.02</v>
      </c>
      <c r="Z100" s="168" t="n">
        <f aca="false">'VOL DWNLD'!Z100+'VOL DELTA'!Z100</f>
        <v>1</v>
      </c>
      <c r="AA100" s="168" t="n">
        <f aca="false">'VOL DWNLD'!AA100+'VOL DELTA'!AA100</f>
        <v>1</v>
      </c>
      <c r="AB100" s="168" t="n">
        <f aca="false">'VOL DWNLD'!AB100+'VOL DELTA'!AB100</f>
        <v>1</v>
      </c>
      <c r="AC100" s="168" t="n">
        <f aca="false">'VOL DWNLD'!AC100+'VOL DELTA'!AC100</f>
        <v>1</v>
      </c>
      <c r="AD100" s="168" t="n">
        <f aca="false">'VOL DWNLD'!AD100+'VOL DELTA'!AD100</f>
        <v>0.98</v>
      </c>
      <c r="AE100" s="168" t="n">
        <f aca="false">'VOL DWNLD'!AE100+'VOL DELTA'!AE100</f>
        <v>0.98</v>
      </c>
      <c r="AF100" s="168" t="n">
        <f aca="false">'VOL DWNLD'!AF100+'VOL DELTA'!AF100</f>
        <v>0.98</v>
      </c>
      <c r="AG100" s="168" t="n">
        <f aca="false">'VOL DWNLD'!AG100+'VOL DELTA'!AG100</f>
        <v>0.98</v>
      </c>
      <c r="AH100" s="168" t="n">
        <f aca="false">'VOL DWNLD'!AH100+'VOL DELTA'!AH100</f>
        <v>1.05</v>
      </c>
      <c r="AI100" s="168" t="n">
        <f aca="false">'VOL DWNLD'!AI100+'VOL DELTA'!AI100</f>
        <v>1</v>
      </c>
      <c r="AJ100" s="168" t="n">
        <f aca="false">'VOL DWNLD'!AJ100+'VOL DELTA'!AJ100</f>
        <v>1</v>
      </c>
      <c r="AK100" s="168" t="n">
        <f aca="false">'VOL DWNLD'!AK100+'VOL DELTA'!AK100</f>
        <v>1.02</v>
      </c>
      <c r="AL100" s="168" t="n">
        <f aca="false">'VOL DWNLD'!AL100+'VOL DELTA'!AL100</f>
        <v>1</v>
      </c>
      <c r="AM100" s="168" t="n">
        <f aca="false">'VOL DWNLD'!AM100+'VOL DELTA'!AM100</f>
        <v>1</v>
      </c>
      <c r="AN100" s="168" t="n">
        <f aca="false">'VOL DWNLD'!AN100+'VOL DELTA'!AN100</f>
        <v>1</v>
      </c>
      <c r="AO100" s="168" t="n">
        <f aca="false">'VOL DWNLD'!AO100+'VOL DELTA'!AO100</f>
        <v>1</v>
      </c>
    </row>
    <row r="101" customFormat="false" ht="12.75" hidden="false" customHeight="false" outlineLevel="0" collapsed="false">
      <c r="A101" s="167" t="n">
        <v>39753</v>
      </c>
      <c r="B101" s="168" t="n">
        <f aca="false">'VOL DWNLD'!B101+'VOL DELTA'!B101</f>
        <v>1</v>
      </c>
      <c r="C101" s="168" t="n">
        <f aca="false">'VOL DWNLD'!C101+'VOL DELTA'!C101</f>
        <v>1</v>
      </c>
      <c r="D101" s="168" t="n">
        <f aca="false">'VOL DWNLD'!D101+'VOL DELTA'!D101</f>
        <v>1</v>
      </c>
      <c r="E101" s="168" t="n">
        <f aca="false">'VOL DWNLD'!E101+'VOL DELTA'!E101</f>
        <v>1</v>
      </c>
      <c r="F101" s="168" t="n">
        <f aca="false">'VOL DWNLD'!F101+'VOL DELTA'!F101</f>
        <v>1</v>
      </c>
      <c r="G101" s="168" t="n">
        <f aca="false">'VOL DWNLD'!G101+'VOL DELTA'!G101</f>
        <v>1</v>
      </c>
      <c r="H101" s="168" t="n">
        <f aca="false">'VOL DWNLD'!H101+'VOL DELTA'!H101</f>
        <v>1</v>
      </c>
      <c r="I101" s="168" t="n">
        <f aca="false">'VOL DWNLD'!I101+'VOL DELTA'!I101</f>
        <v>1</v>
      </c>
      <c r="J101" s="168" t="n">
        <f aca="false">'VOL DWNLD'!J101+'VOL DELTA'!J101</f>
        <v>1</v>
      </c>
      <c r="K101" s="168" t="n">
        <f aca="false">'VOL DWNLD'!K101+'VOL DELTA'!K101</f>
        <v>1</v>
      </c>
      <c r="L101" s="168" t="n">
        <f aca="false">'VOL DWNLD'!L101+'VOL DELTA'!L101</f>
        <v>1</v>
      </c>
      <c r="M101" s="168" t="n">
        <f aca="false">'VOL DWNLD'!M101+'VOL DELTA'!M101</f>
        <v>1</v>
      </c>
      <c r="N101" s="168" t="n">
        <f aca="false">'VOL DWNLD'!N101+'VOL DELTA'!N101</f>
        <v>1</v>
      </c>
      <c r="O101" s="168" t="n">
        <f aca="false">'VOL DWNLD'!O101+'VOL DELTA'!O101</f>
        <v>1</v>
      </c>
      <c r="P101" s="168" t="n">
        <f aca="false">'VOL DWNLD'!P101+'VOL DELTA'!P101</f>
        <v>1.03</v>
      </c>
      <c r="Q101" s="168" t="n">
        <f aca="false">'VOL DWNLD'!Q101+'VOL DELTA'!Q101</f>
        <v>1</v>
      </c>
      <c r="R101" s="168" t="n">
        <f aca="false">'VOL DWNLD'!R101+'VOL DELTA'!R101</f>
        <v>1</v>
      </c>
      <c r="S101" s="168" t="n">
        <f aca="false">'VOL DWNLD'!S101+'VOL DELTA'!S101</f>
        <v>1.02</v>
      </c>
      <c r="T101" s="168" t="n">
        <f aca="false">'VOL DWNLD'!T101+'VOL DELTA'!T101</f>
        <v>1</v>
      </c>
      <c r="U101" s="168" t="n">
        <f aca="false">'VOL DWNLD'!U101+'VOL DELTA'!U101</f>
        <v>1</v>
      </c>
      <c r="V101" s="168" t="n">
        <f aca="false">'VOL DWNLD'!V101+'VOL DELTA'!V101</f>
        <v>1</v>
      </c>
      <c r="W101" s="168" t="n">
        <f aca="false">'VOL DWNLD'!W101+'VOL DELTA'!W101</f>
        <v>1</v>
      </c>
      <c r="X101" s="168" t="n">
        <f aca="false">'VOL DWNLD'!X101+'VOL DELTA'!X101</f>
        <v>1</v>
      </c>
      <c r="Y101" s="168" t="n">
        <f aca="false">'VOL DWNLD'!Y101+'VOL DELTA'!Y101</f>
        <v>1</v>
      </c>
      <c r="Z101" s="168" t="n">
        <f aca="false">'VOL DWNLD'!Z101+'VOL DELTA'!Z101</f>
        <v>1</v>
      </c>
      <c r="AA101" s="168" t="n">
        <f aca="false">'VOL DWNLD'!AA101+'VOL DELTA'!AA101</f>
        <v>1</v>
      </c>
      <c r="AB101" s="168" t="n">
        <f aca="false">'VOL DWNLD'!AB101+'VOL DELTA'!AB101</f>
        <v>1</v>
      </c>
      <c r="AC101" s="168" t="n">
        <f aca="false">'VOL DWNLD'!AC101+'VOL DELTA'!AC101</f>
        <v>1</v>
      </c>
      <c r="AD101" s="168" t="n">
        <f aca="false">'VOL DWNLD'!AD101+'VOL DELTA'!AD101</f>
        <v>1</v>
      </c>
      <c r="AE101" s="168" t="n">
        <f aca="false">'VOL DWNLD'!AE101+'VOL DELTA'!AE101</f>
        <v>1</v>
      </c>
      <c r="AF101" s="168" t="n">
        <f aca="false">'VOL DWNLD'!AF101+'VOL DELTA'!AF101</f>
        <v>1.1</v>
      </c>
      <c r="AG101" s="168" t="n">
        <f aca="false">'VOL DWNLD'!AG101+'VOL DELTA'!AG101</f>
        <v>1.1</v>
      </c>
      <c r="AH101" s="168" t="n">
        <f aca="false">'VOL DWNLD'!AH101+'VOL DELTA'!AH101</f>
        <v>1.05</v>
      </c>
      <c r="AI101" s="168" t="n">
        <f aca="false">'VOL DWNLD'!AI101+'VOL DELTA'!AI101</f>
        <v>1</v>
      </c>
      <c r="AJ101" s="168" t="n">
        <f aca="false">'VOL DWNLD'!AJ101+'VOL DELTA'!AJ101</f>
        <v>1</v>
      </c>
      <c r="AK101" s="168" t="n">
        <f aca="false">'VOL DWNLD'!AK101+'VOL DELTA'!AK101</f>
        <v>1.02</v>
      </c>
      <c r="AL101" s="168" t="n">
        <f aca="false">'VOL DWNLD'!AL101+'VOL DELTA'!AL101</f>
        <v>1</v>
      </c>
      <c r="AM101" s="168" t="n">
        <f aca="false">'VOL DWNLD'!AM101+'VOL DELTA'!AM101</f>
        <v>1</v>
      </c>
      <c r="AN101" s="168" t="n">
        <f aca="false">'VOL DWNLD'!AN101+'VOL DELTA'!AN101</f>
        <v>1</v>
      </c>
      <c r="AO101" s="168" t="n">
        <f aca="false">'VOL DWNLD'!AO101+'VOL DELTA'!AO101</f>
        <v>1</v>
      </c>
    </row>
    <row r="102" customFormat="false" ht="12.75" hidden="false" customHeight="false" outlineLevel="0" collapsed="false">
      <c r="A102" s="167" t="n">
        <v>39783</v>
      </c>
      <c r="B102" s="168" t="n">
        <f aca="false">'VOL DWNLD'!B102+'VOL DELTA'!B102</f>
        <v>1</v>
      </c>
      <c r="C102" s="168" t="n">
        <f aca="false">'VOL DWNLD'!C102+'VOL DELTA'!C102</f>
        <v>1</v>
      </c>
      <c r="D102" s="168" t="n">
        <f aca="false">'VOL DWNLD'!D102+'VOL DELTA'!D102</f>
        <v>1</v>
      </c>
      <c r="E102" s="168" t="n">
        <f aca="false">'VOL DWNLD'!E102+'VOL DELTA'!E102</f>
        <v>1</v>
      </c>
      <c r="F102" s="168" t="n">
        <f aca="false">'VOL DWNLD'!F102+'VOL DELTA'!F102</f>
        <v>1</v>
      </c>
      <c r="G102" s="168" t="n">
        <f aca="false">'VOL DWNLD'!G102+'VOL DELTA'!G102</f>
        <v>1</v>
      </c>
      <c r="H102" s="168" t="n">
        <f aca="false">'VOL DWNLD'!H102+'VOL DELTA'!H102</f>
        <v>1</v>
      </c>
      <c r="I102" s="168" t="n">
        <f aca="false">'VOL DWNLD'!I102+'VOL DELTA'!I102</f>
        <v>1</v>
      </c>
      <c r="J102" s="168" t="n">
        <f aca="false">'VOL DWNLD'!J102+'VOL DELTA'!J102</f>
        <v>1</v>
      </c>
      <c r="K102" s="168" t="n">
        <f aca="false">'VOL DWNLD'!K102+'VOL DELTA'!K102</f>
        <v>1</v>
      </c>
      <c r="L102" s="168" t="n">
        <f aca="false">'VOL DWNLD'!L102+'VOL DELTA'!L102</f>
        <v>1</v>
      </c>
      <c r="M102" s="168" t="n">
        <f aca="false">'VOL DWNLD'!M102+'VOL DELTA'!M102</f>
        <v>1</v>
      </c>
      <c r="N102" s="168" t="n">
        <f aca="false">'VOL DWNLD'!N102+'VOL DELTA'!N102</f>
        <v>1</v>
      </c>
      <c r="O102" s="168" t="n">
        <f aca="false">'VOL DWNLD'!O102+'VOL DELTA'!O102</f>
        <v>1</v>
      </c>
      <c r="P102" s="168" t="n">
        <f aca="false">'VOL DWNLD'!P102+'VOL DELTA'!P102</f>
        <v>1.03</v>
      </c>
      <c r="Q102" s="168" t="n">
        <f aca="false">'VOL DWNLD'!Q102+'VOL DELTA'!Q102</f>
        <v>1</v>
      </c>
      <c r="R102" s="168" t="n">
        <f aca="false">'VOL DWNLD'!R102+'VOL DELTA'!R102</f>
        <v>1</v>
      </c>
      <c r="S102" s="168" t="n">
        <f aca="false">'VOL DWNLD'!S102+'VOL DELTA'!S102</f>
        <v>1.02</v>
      </c>
      <c r="T102" s="168" t="n">
        <f aca="false">'VOL DWNLD'!T102+'VOL DELTA'!T102</f>
        <v>1</v>
      </c>
      <c r="U102" s="168" t="n">
        <f aca="false">'VOL DWNLD'!U102+'VOL DELTA'!U102</f>
        <v>1</v>
      </c>
      <c r="V102" s="168" t="n">
        <f aca="false">'VOL DWNLD'!V102+'VOL DELTA'!V102</f>
        <v>1</v>
      </c>
      <c r="W102" s="168" t="n">
        <f aca="false">'VOL DWNLD'!W102+'VOL DELTA'!W102</f>
        <v>1</v>
      </c>
      <c r="X102" s="168" t="n">
        <f aca="false">'VOL DWNLD'!X102+'VOL DELTA'!X102</f>
        <v>1</v>
      </c>
      <c r="Y102" s="168" t="n">
        <f aca="false">'VOL DWNLD'!Y102+'VOL DELTA'!Y102</f>
        <v>1</v>
      </c>
      <c r="Z102" s="168" t="n">
        <f aca="false">'VOL DWNLD'!Z102+'VOL DELTA'!Z102</f>
        <v>1</v>
      </c>
      <c r="AA102" s="168" t="n">
        <f aca="false">'VOL DWNLD'!AA102+'VOL DELTA'!AA102</f>
        <v>1</v>
      </c>
      <c r="AB102" s="168" t="n">
        <f aca="false">'VOL DWNLD'!AB102+'VOL DELTA'!AB102</f>
        <v>1</v>
      </c>
      <c r="AC102" s="168" t="n">
        <f aca="false">'VOL DWNLD'!AC102+'VOL DELTA'!AC102</f>
        <v>1</v>
      </c>
      <c r="AD102" s="168" t="n">
        <f aca="false">'VOL DWNLD'!AD102+'VOL DELTA'!AD102</f>
        <v>1</v>
      </c>
      <c r="AE102" s="168" t="n">
        <f aca="false">'VOL DWNLD'!AE102+'VOL DELTA'!AE102</f>
        <v>1</v>
      </c>
      <c r="AF102" s="168" t="n">
        <f aca="false">'VOL DWNLD'!AF102+'VOL DELTA'!AF102</f>
        <v>1.1</v>
      </c>
      <c r="AG102" s="168" t="n">
        <f aca="false">'VOL DWNLD'!AG102+'VOL DELTA'!AG102</f>
        <v>1.1</v>
      </c>
      <c r="AH102" s="168" t="n">
        <f aca="false">'VOL DWNLD'!AH102+'VOL DELTA'!AH102</f>
        <v>1.05</v>
      </c>
      <c r="AI102" s="168" t="n">
        <f aca="false">'VOL DWNLD'!AI102+'VOL DELTA'!AI102</f>
        <v>1</v>
      </c>
      <c r="AJ102" s="168" t="n">
        <f aca="false">'VOL DWNLD'!AJ102+'VOL DELTA'!AJ102</f>
        <v>1</v>
      </c>
      <c r="AK102" s="168" t="n">
        <f aca="false">'VOL DWNLD'!AK102+'VOL DELTA'!AK102</f>
        <v>1.02</v>
      </c>
      <c r="AL102" s="168" t="n">
        <f aca="false">'VOL DWNLD'!AL102+'VOL DELTA'!AL102</f>
        <v>1</v>
      </c>
      <c r="AM102" s="168" t="n">
        <f aca="false">'VOL DWNLD'!AM102+'VOL DELTA'!AM102</f>
        <v>1</v>
      </c>
      <c r="AN102" s="168" t="n">
        <f aca="false">'VOL DWNLD'!AN102+'VOL DELTA'!AN102</f>
        <v>1</v>
      </c>
      <c r="AO102" s="168" t="n">
        <f aca="false">'VOL DWNLD'!AO102+'VOL DELTA'!AO102</f>
        <v>1</v>
      </c>
    </row>
    <row r="103" customFormat="false" ht="12.75" hidden="false" customHeight="false" outlineLevel="0" collapsed="false">
      <c r="A103" s="167" t="n">
        <v>39814</v>
      </c>
      <c r="B103" s="168" t="n">
        <f aca="false">'VOL DWNLD'!B103+'VOL DELTA'!B103</f>
        <v>1</v>
      </c>
      <c r="C103" s="168" t="n">
        <f aca="false">'VOL DWNLD'!C103+'VOL DELTA'!C103</f>
        <v>1</v>
      </c>
      <c r="D103" s="168" t="n">
        <f aca="false">'VOL DWNLD'!D103+'VOL DELTA'!D103</f>
        <v>1</v>
      </c>
      <c r="E103" s="168" t="n">
        <f aca="false">'VOL DWNLD'!E103+'VOL DELTA'!E103</f>
        <v>1</v>
      </c>
      <c r="F103" s="168" t="n">
        <f aca="false">'VOL DWNLD'!F103+'VOL DELTA'!F103</f>
        <v>1</v>
      </c>
      <c r="G103" s="168" t="n">
        <f aca="false">'VOL DWNLD'!G103+'VOL DELTA'!G103</f>
        <v>1</v>
      </c>
      <c r="H103" s="168" t="n">
        <f aca="false">'VOL DWNLD'!H103+'VOL DELTA'!H103</f>
        <v>1</v>
      </c>
      <c r="I103" s="168" t="n">
        <f aca="false">'VOL DWNLD'!I103+'VOL DELTA'!I103</f>
        <v>1</v>
      </c>
      <c r="J103" s="168" t="n">
        <f aca="false">'VOL DWNLD'!J103+'VOL DELTA'!J103</f>
        <v>1</v>
      </c>
      <c r="K103" s="168" t="n">
        <f aca="false">'VOL DWNLD'!K103+'VOL DELTA'!K103</f>
        <v>1</v>
      </c>
      <c r="L103" s="168" t="n">
        <f aca="false">'VOL DWNLD'!L103+'VOL DELTA'!L103</f>
        <v>1</v>
      </c>
      <c r="M103" s="168" t="n">
        <f aca="false">'VOL DWNLD'!M103+'VOL DELTA'!M103</f>
        <v>1</v>
      </c>
      <c r="N103" s="168" t="n">
        <f aca="false">'VOL DWNLD'!N103+'VOL DELTA'!N103</f>
        <v>1</v>
      </c>
      <c r="O103" s="168" t="n">
        <f aca="false">'VOL DWNLD'!O103+'VOL DELTA'!O103</f>
        <v>1</v>
      </c>
      <c r="P103" s="168" t="n">
        <f aca="false">'VOL DWNLD'!P103+'VOL DELTA'!P103</f>
        <v>1.03</v>
      </c>
      <c r="Q103" s="168" t="n">
        <f aca="false">'VOL DWNLD'!Q103+'VOL DELTA'!Q103</f>
        <v>1</v>
      </c>
      <c r="R103" s="168" t="n">
        <f aca="false">'VOL DWNLD'!R103+'VOL DELTA'!R103</f>
        <v>1</v>
      </c>
      <c r="S103" s="168" t="n">
        <f aca="false">'VOL DWNLD'!S103+'VOL DELTA'!S103</f>
        <v>1.02</v>
      </c>
      <c r="T103" s="168" t="n">
        <f aca="false">'VOL DWNLD'!T103+'VOL DELTA'!T103</f>
        <v>1</v>
      </c>
      <c r="U103" s="168" t="n">
        <f aca="false">'VOL DWNLD'!U103+'VOL DELTA'!U103</f>
        <v>1</v>
      </c>
      <c r="V103" s="168" t="n">
        <f aca="false">'VOL DWNLD'!V103+'VOL DELTA'!V103</f>
        <v>1</v>
      </c>
      <c r="W103" s="168" t="n">
        <f aca="false">'VOL DWNLD'!W103+'VOL DELTA'!W103</f>
        <v>1</v>
      </c>
      <c r="X103" s="168" t="n">
        <f aca="false">'VOL DWNLD'!X103+'VOL DELTA'!X103</f>
        <v>1</v>
      </c>
      <c r="Y103" s="168" t="n">
        <f aca="false">'VOL DWNLD'!Y103+'VOL DELTA'!Y103</f>
        <v>1</v>
      </c>
      <c r="Z103" s="168" t="n">
        <f aca="false">'VOL DWNLD'!Z103+'VOL DELTA'!Z103</f>
        <v>1</v>
      </c>
      <c r="AA103" s="168" t="n">
        <f aca="false">'VOL DWNLD'!AA103+'VOL DELTA'!AA103</f>
        <v>1</v>
      </c>
      <c r="AB103" s="168" t="n">
        <f aca="false">'VOL DWNLD'!AB103+'VOL DELTA'!AB103</f>
        <v>1</v>
      </c>
      <c r="AC103" s="168" t="n">
        <f aca="false">'VOL DWNLD'!AC103+'VOL DELTA'!AC103</f>
        <v>1</v>
      </c>
      <c r="AD103" s="168" t="n">
        <f aca="false">'VOL DWNLD'!AD103+'VOL DELTA'!AD103</f>
        <v>1</v>
      </c>
      <c r="AE103" s="168" t="n">
        <f aca="false">'VOL DWNLD'!AE103+'VOL DELTA'!AE103</f>
        <v>1</v>
      </c>
      <c r="AF103" s="168" t="n">
        <f aca="false">'VOL DWNLD'!AF103+'VOL DELTA'!AF103</f>
        <v>1.1</v>
      </c>
      <c r="AG103" s="168" t="n">
        <f aca="false">'VOL DWNLD'!AG103+'VOL DELTA'!AG103</f>
        <v>1.1</v>
      </c>
      <c r="AH103" s="168" t="n">
        <f aca="false">'VOL DWNLD'!AH103+'VOL DELTA'!AH103</f>
        <v>1.05</v>
      </c>
      <c r="AI103" s="168" t="n">
        <f aca="false">'VOL DWNLD'!AI103+'VOL DELTA'!AI103</f>
        <v>1</v>
      </c>
      <c r="AJ103" s="168" t="n">
        <f aca="false">'VOL DWNLD'!AJ103+'VOL DELTA'!AJ103</f>
        <v>1</v>
      </c>
      <c r="AK103" s="168" t="n">
        <f aca="false">'VOL DWNLD'!AK103+'VOL DELTA'!AK103</f>
        <v>1.02</v>
      </c>
      <c r="AL103" s="168" t="n">
        <f aca="false">'VOL DWNLD'!AL103+'VOL DELTA'!AL103</f>
        <v>1</v>
      </c>
      <c r="AM103" s="168" t="n">
        <f aca="false">'VOL DWNLD'!AM103+'VOL DELTA'!AM103</f>
        <v>1</v>
      </c>
      <c r="AN103" s="168" t="n">
        <f aca="false">'VOL DWNLD'!AN103+'VOL DELTA'!AN103</f>
        <v>1</v>
      </c>
      <c r="AO103" s="168" t="n">
        <f aca="false">'VOL DWNLD'!AO103+'VOL DELTA'!AO103</f>
        <v>1</v>
      </c>
    </row>
    <row r="104" customFormat="false" ht="12.75" hidden="false" customHeight="false" outlineLevel="0" collapsed="false">
      <c r="A104" s="167" t="n">
        <v>39845</v>
      </c>
      <c r="B104" s="168" t="n">
        <f aca="false">'VOL DWNLD'!B104+'VOL DELTA'!B104</f>
        <v>1</v>
      </c>
      <c r="C104" s="168" t="n">
        <f aca="false">'VOL DWNLD'!C104+'VOL DELTA'!C104</f>
        <v>1</v>
      </c>
      <c r="D104" s="168" t="n">
        <f aca="false">'VOL DWNLD'!D104+'VOL DELTA'!D104</f>
        <v>1</v>
      </c>
      <c r="E104" s="168" t="n">
        <f aca="false">'VOL DWNLD'!E104+'VOL DELTA'!E104</f>
        <v>1</v>
      </c>
      <c r="F104" s="168" t="n">
        <f aca="false">'VOL DWNLD'!F104+'VOL DELTA'!F104</f>
        <v>1</v>
      </c>
      <c r="G104" s="168" t="n">
        <f aca="false">'VOL DWNLD'!G104+'VOL DELTA'!G104</f>
        <v>1</v>
      </c>
      <c r="H104" s="168" t="n">
        <f aca="false">'VOL DWNLD'!H104+'VOL DELTA'!H104</f>
        <v>1</v>
      </c>
      <c r="I104" s="168" t="n">
        <f aca="false">'VOL DWNLD'!I104+'VOL DELTA'!I104</f>
        <v>1</v>
      </c>
      <c r="J104" s="168" t="n">
        <f aca="false">'VOL DWNLD'!J104+'VOL DELTA'!J104</f>
        <v>1</v>
      </c>
      <c r="K104" s="168" t="n">
        <f aca="false">'VOL DWNLD'!K104+'VOL DELTA'!K104</f>
        <v>1</v>
      </c>
      <c r="L104" s="168" t="n">
        <f aca="false">'VOL DWNLD'!L104+'VOL DELTA'!L104</f>
        <v>1</v>
      </c>
      <c r="M104" s="168" t="n">
        <f aca="false">'VOL DWNLD'!M104+'VOL DELTA'!M104</f>
        <v>1</v>
      </c>
      <c r="N104" s="168" t="n">
        <f aca="false">'VOL DWNLD'!N104+'VOL DELTA'!N104</f>
        <v>1</v>
      </c>
      <c r="O104" s="168" t="n">
        <f aca="false">'VOL DWNLD'!O104+'VOL DELTA'!O104</f>
        <v>1</v>
      </c>
      <c r="P104" s="168" t="n">
        <f aca="false">'VOL DWNLD'!P104+'VOL DELTA'!P104</f>
        <v>1.03</v>
      </c>
      <c r="Q104" s="168" t="n">
        <f aca="false">'VOL DWNLD'!Q104+'VOL DELTA'!Q104</f>
        <v>1</v>
      </c>
      <c r="R104" s="168" t="n">
        <f aca="false">'VOL DWNLD'!R104+'VOL DELTA'!R104</f>
        <v>1</v>
      </c>
      <c r="S104" s="168" t="n">
        <f aca="false">'VOL DWNLD'!S104+'VOL DELTA'!S104</f>
        <v>1.02</v>
      </c>
      <c r="T104" s="168" t="n">
        <f aca="false">'VOL DWNLD'!T104+'VOL DELTA'!T104</f>
        <v>1</v>
      </c>
      <c r="U104" s="168" t="n">
        <f aca="false">'VOL DWNLD'!U104+'VOL DELTA'!U104</f>
        <v>1</v>
      </c>
      <c r="V104" s="168" t="n">
        <f aca="false">'VOL DWNLD'!V104+'VOL DELTA'!V104</f>
        <v>1</v>
      </c>
      <c r="W104" s="168" t="n">
        <f aca="false">'VOL DWNLD'!W104+'VOL DELTA'!W104</f>
        <v>1</v>
      </c>
      <c r="X104" s="168" t="n">
        <f aca="false">'VOL DWNLD'!X104+'VOL DELTA'!X104</f>
        <v>1</v>
      </c>
      <c r="Y104" s="168" t="n">
        <f aca="false">'VOL DWNLD'!Y104+'VOL DELTA'!Y104</f>
        <v>1</v>
      </c>
      <c r="Z104" s="168" t="n">
        <f aca="false">'VOL DWNLD'!Z104+'VOL DELTA'!Z104</f>
        <v>1</v>
      </c>
      <c r="AA104" s="168" t="n">
        <f aca="false">'VOL DWNLD'!AA104+'VOL DELTA'!AA104</f>
        <v>1</v>
      </c>
      <c r="AB104" s="168" t="n">
        <f aca="false">'VOL DWNLD'!AB104+'VOL DELTA'!AB104</f>
        <v>1</v>
      </c>
      <c r="AC104" s="168" t="n">
        <f aca="false">'VOL DWNLD'!AC104+'VOL DELTA'!AC104</f>
        <v>1</v>
      </c>
      <c r="AD104" s="168" t="n">
        <f aca="false">'VOL DWNLD'!AD104+'VOL DELTA'!AD104</f>
        <v>1</v>
      </c>
      <c r="AE104" s="168" t="n">
        <f aca="false">'VOL DWNLD'!AE104+'VOL DELTA'!AE104</f>
        <v>1</v>
      </c>
      <c r="AF104" s="168" t="n">
        <f aca="false">'VOL DWNLD'!AF104+'VOL DELTA'!AF104</f>
        <v>1.1</v>
      </c>
      <c r="AG104" s="168" t="n">
        <f aca="false">'VOL DWNLD'!AG104+'VOL DELTA'!AG104</f>
        <v>1.1</v>
      </c>
      <c r="AH104" s="168" t="n">
        <f aca="false">'VOL DWNLD'!AH104+'VOL DELTA'!AH104</f>
        <v>1.05</v>
      </c>
      <c r="AI104" s="168" t="n">
        <f aca="false">'VOL DWNLD'!AI104+'VOL DELTA'!AI104</f>
        <v>1</v>
      </c>
      <c r="AJ104" s="168" t="n">
        <f aca="false">'VOL DWNLD'!AJ104+'VOL DELTA'!AJ104</f>
        <v>1</v>
      </c>
      <c r="AK104" s="168" t="n">
        <f aca="false">'VOL DWNLD'!AK104+'VOL DELTA'!AK104</f>
        <v>1.02</v>
      </c>
      <c r="AL104" s="168" t="n">
        <f aca="false">'VOL DWNLD'!AL104+'VOL DELTA'!AL104</f>
        <v>1</v>
      </c>
      <c r="AM104" s="168" t="n">
        <f aca="false">'VOL DWNLD'!AM104+'VOL DELTA'!AM104</f>
        <v>1</v>
      </c>
      <c r="AN104" s="168" t="n">
        <f aca="false">'VOL DWNLD'!AN104+'VOL DELTA'!AN104</f>
        <v>1</v>
      </c>
      <c r="AO104" s="168" t="n">
        <f aca="false">'VOL DWNLD'!AO104+'VOL DELTA'!AO104</f>
        <v>1</v>
      </c>
    </row>
    <row r="105" customFormat="false" ht="12.75" hidden="false" customHeight="false" outlineLevel="0" collapsed="false">
      <c r="A105" s="167" t="n">
        <v>39873</v>
      </c>
      <c r="B105" s="168" t="n">
        <f aca="false">'VOL DWNLD'!B105+'VOL DELTA'!B105</f>
        <v>1</v>
      </c>
      <c r="C105" s="168" t="n">
        <f aca="false">'VOL DWNLD'!C105+'VOL DELTA'!C105</f>
        <v>1</v>
      </c>
      <c r="D105" s="168" t="n">
        <f aca="false">'VOL DWNLD'!D105+'VOL DELTA'!D105</f>
        <v>1</v>
      </c>
      <c r="E105" s="168" t="n">
        <f aca="false">'VOL DWNLD'!E105+'VOL DELTA'!E105</f>
        <v>1</v>
      </c>
      <c r="F105" s="168" t="n">
        <f aca="false">'VOL DWNLD'!F105+'VOL DELTA'!F105</f>
        <v>1</v>
      </c>
      <c r="G105" s="168" t="n">
        <f aca="false">'VOL DWNLD'!G105+'VOL DELTA'!G105</f>
        <v>1</v>
      </c>
      <c r="H105" s="168" t="n">
        <f aca="false">'VOL DWNLD'!H105+'VOL DELTA'!H105</f>
        <v>1</v>
      </c>
      <c r="I105" s="168" t="n">
        <f aca="false">'VOL DWNLD'!I105+'VOL DELTA'!I105</f>
        <v>1</v>
      </c>
      <c r="J105" s="168" t="n">
        <f aca="false">'VOL DWNLD'!J105+'VOL DELTA'!J105</f>
        <v>1</v>
      </c>
      <c r="K105" s="168" t="n">
        <f aca="false">'VOL DWNLD'!K105+'VOL DELTA'!K105</f>
        <v>1</v>
      </c>
      <c r="L105" s="168" t="n">
        <f aca="false">'VOL DWNLD'!L105+'VOL DELTA'!L105</f>
        <v>1</v>
      </c>
      <c r="M105" s="168" t="n">
        <f aca="false">'VOL DWNLD'!M105+'VOL DELTA'!M105</f>
        <v>1</v>
      </c>
      <c r="N105" s="168" t="n">
        <f aca="false">'VOL DWNLD'!N105+'VOL DELTA'!N105</f>
        <v>1</v>
      </c>
      <c r="O105" s="168" t="n">
        <f aca="false">'VOL DWNLD'!O105+'VOL DELTA'!O105</f>
        <v>1</v>
      </c>
      <c r="P105" s="168" t="n">
        <f aca="false">'VOL DWNLD'!P105+'VOL DELTA'!P105</f>
        <v>1.03</v>
      </c>
      <c r="Q105" s="168" t="n">
        <f aca="false">'VOL DWNLD'!Q105+'VOL DELTA'!Q105</f>
        <v>1</v>
      </c>
      <c r="R105" s="168" t="n">
        <f aca="false">'VOL DWNLD'!R105+'VOL DELTA'!R105</f>
        <v>1</v>
      </c>
      <c r="S105" s="168" t="n">
        <f aca="false">'VOL DWNLD'!S105+'VOL DELTA'!S105</f>
        <v>1.02</v>
      </c>
      <c r="T105" s="168" t="n">
        <f aca="false">'VOL DWNLD'!T105+'VOL DELTA'!T105</f>
        <v>1</v>
      </c>
      <c r="U105" s="168" t="n">
        <f aca="false">'VOL DWNLD'!U105+'VOL DELTA'!U105</f>
        <v>1</v>
      </c>
      <c r="V105" s="168" t="n">
        <f aca="false">'VOL DWNLD'!V105+'VOL DELTA'!V105</f>
        <v>1</v>
      </c>
      <c r="W105" s="168" t="n">
        <f aca="false">'VOL DWNLD'!W105+'VOL DELTA'!W105</f>
        <v>1</v>
      </c>
      <c r="X105" s="168" t="n">
        <f aca="false">'VOL DWNLD'!X105+'VOL DELTA'!X105</f>
        <v>1</v>
      </c>
      <c r="Y105" s="168" t="n">
        <f aca="false">'VOL DWNLD'!Y105+'VOL DELTA'!Y105</f>
        <v>1</v>
      </c>
      <c r="Z105" s="168" t="n">
        <f aca="false">'VOL DWNLD'!Z105+'VOL DELTA'!Z105</f>
        <v>1</v>
      </c>
      <c r="AA105" s="168" t="n">
        <f aca="false">'VOL DWNLD'!AA105+'VOL DELTA'!AA105</f>
        <v>1</v>
      </c>
      <c r="AB105" s="168" t="n">
        <f aca="false">'VOL DWNLD'!AB105+'VOL DELTA'!AB105</f>
        <v>1</v>
      </c>
      <c r="AC105" s="168" t="n">
        <f aca="false">'VOL DWNLD'!AC105+'VOL DELTA'!AC105</f>
        <v>1</v>
      </c>
      <c r="AD105" s="168" t="n">
        <f aca="false">'VOL DWNLD'!AD105+'VOL DELTA'!AD105</f>
        <v>1</v>
      </c>
      <c r="AE105" s="168" t="n">
        <f aca="false">'VOL DWNLD'!AE105+'VOL DELTA'!AE105</f>
        <v>1</v>
      </c>
      <c r="AF105" s="168" t="n">
        <f aca="false">'VOL DWNLD'!AF105+'VOL DELTA'!AF105</f>
        <v>1.1</v>
      </c>
      <c r="AG105" s="168" t="n">
        <f aca="false">'VOL DWNLD'!AG105+'VOL DELTA'!AG105</f>
        <v>1.1</v>
      </c>
      <c r="AH105" s="168" t="n">
        <f aca="false">'VOL DWNLD'!AH105+'VOL DELTA'!AH105</f>
        <v>1.05</v>
      </c>
      <c r="AI105" s="168" t="n">
        <f aca="false">'VOL DWNLD'!AI105+'VOL DELTA'!AI105</f>
        <v>1</v>
      </c>
      <c r="AJ105" s="168" t="n">
        <f aca="false">'VOL DWNLD'!AJ105+'VOL DELTA'!AJ105</f>
        <v>1</v>
      </c>
      <c r="AK105" s="168" t="n">
        <f aca="false">'VOL DWNLD'!AK105+'VOL DELTA'!AK105</f>
        <v>1.02</v>
      </c>
      <c r="AL105" s="168" t="n">
        <f aca="false">'VOL DWNLD'!AL105+'VOL DELTA'!AL105</f>
        <v>1</v>
      </c>
      <c r="AM105" s="168" t="n">
        <f aca="false">'VOL DWNLD'!AM105+'VOL DELTA'!AM105</f>
        <v>1</v>
      </c>
      <c r="AN105" s="168" t="n">
        <f aca="false">'VOL DWNLD'!AN105+'VOL DELTA'!AN105</f>
        <v>1</v>
      </c>
      <c r="AO105" s="168" t="n">
        <f aca="false">'VOL DWNLD'!AO105+'VOL DELTA'!AO105</f>
        <v>1</v>
      </c>
    </row>
    <row r="106" customFormat="false" ht="12.75" hidden="false" customHeight="false" outlineLevel="0" collapsed="false">
      <c r="A106" s="167" t="n">
        <v>39904</v>
      </c>
      <c r="B106" s="168" t="n">
        <f aca="false">'VOL DWNLD'!B106+'VOL DELTA'!B106</f>
        <v>1</v>
      </c>
      <c r="C106" s="168" t="n">
        <f aca="false">'VOL DWNLD'!C106+'VOL DELTA'!C106</f>
        <v>1</v>
      </c>
      <c r="D106" s="168" t="n">
        <f aca="false">'VOL DWNLD'!D106+'VOL DELTA'!D106</f>
        <v>1</v>
      </c>
      <c r="E106" s="168" t="n">
        <f aca="false">'VOL DWNLD'!E106+'VOL DELTA'!E106</f>
        <v>1</v>
      </c>
      <c r="F106" s="168" t="n">
        <f aca="false">'VOL DWNLD'!F106+'VOL DELTA'!F106</f>
        <v>1</v>
      </c>
      <c r="G106" s="168" t="n">
        <f aca="false">'VOL DWNLD'!G106+'VOL DELTA'!G106</f>
        <v>1</v>
      </c>
      <c r="H106" s="168" t="n">
        <f aca="false">'VOL DWNLD'!H106+'VOL DELTA'!H106</f>
        <v>1</v>
      </c>
      <c r="I106" s="168" t="n">
        <f aca="false">'VOL DWNLD'!I106+'VOL DELTA'!I106</f>
        <v>1</v>
      </c>
      <c r="J106" s="168" t="n">
        <f aca="false">'VOL DWNLD'!J106+'VOL DELTA'!J106</f>
        <v>1</v>
      </c>
      <c r="K106" s="168" t="n">
        <f aca="false">'VOL DWNLD'!K106+'VOL DELTA'!K106</f>
        <v>1</v>
      </c>
      <c r="L106" s="168" t="n">
        <f aca="false">'VOL DWNLD'!L106+'VOL DELTA'!L106</f>
        <v>1</v>
      </c>
      <c r="M106" s="168" t="n">
        <f aca="false">'VOL DWNLD'!M106+'VOL DELTA'!M106</f>
        <v>1</v>
      </c>
      <c r="N106" s="168" t="n">
        <f aca="false">'VOL DWNLD'!N106+'VOL DELTA'!N106</f>
        <v>1</v>
      </c>
      <c r="O106" s="168" t="n">
        <f aca="false">'VOL DWNLD'!O106+'VOL DELTA'!O106</f>
        <v>1</v>
      </c>
      <c r="P106" s="168" t="n">
        <f aca="false">'VOL DWNLD'!P106+'VOL DELTA'!P106</f>
        <v>1.03</v>
      </c>
      <c r="Q106" s="168" t="n">
        <f aca="false">'VOL DWNLD'!Q106+'VOL DELTA'!Q106</f>
        <v>1</v>
      </c>
      <c r="R106" s="168" t="n">
        <f aca="false">'VOL DWNLD'!R106+'VOL DELTA'!R106</f>
        <v>1</v>
      </c>
      <c r="S106" s="168" t="n">
        <f aca="false">'VOL DWNLD'!S106+'VOL DELTA'!S106</f>
        <v>1.02</v>
      </c>
      <c r="T106" s="168" t="n">
        <f aca="false">'VOL DWNLD'!T106+'VOL DELTA'!T106</f>
        <v>1</v>
      </c>
      <c r="U106" s="168" t="n">
        <f aca="false">'VOL DWNLD'!U106+'VOL DELTA'!U106</f>
        <v>1</v>
      </c>
      <c r="V106" s="168" t="n">
        <f aca="false">'VOL DWNLD'!V106+'VOL DELTA'!V106</f>
        <v>1</v>
      </c>
      <c r="W106" s="168" t="n">
        <f aca="false">'VOL DWNLD'!W106+'VOL DELTA'!W106</f>
        <v>1</v>
      </c>
      <c r="X106" s="168" t="n">
        <f aca="false">'VOL DWNLD'!X106+'VOL DELTA'!X106</f>
        <v>1</v>
      </c>
      <c r="Y106" s="168" t="n">
        <f aca="false">'VOL DWNLD'!Y106+'VOL DELTA'!Y106</f>
        <v>1.02</v>
      </c>
      <c r="Z106" s="168" t="n">
        <f aca="false">'VOL DWNLD'!Z106+'VOL DELTA'!Z106</f>
        <v>1</v>
      </c>
      <c r="AA106" s="168" t="n">
        <f aca="false">'VOL DWNLD'!AA106+'VOL DELTA'!AA106</f>
        <v>1</v>
      </c>
      <c r="AB106" s="168" t="n">
        <f aca="false">'VOL DWNLD'!AB106+'VOL DELTA'!AB106</f>
        <v>1</v>
      </c>
      <c r="AC106" s="168" t="n">
        <f aca="false">'VOL DWNLD'!AC106+'VOL DELTA'!AC106</f>
        <v>1</v>
      </c>
      <c r="AD106" s="168" t="n">
        <f aca="false">'VOL DWNLD'!AD106+'VOL DELTA'!AD106</f>
        <v>0.98</v>
      </c>
      <c r="AE106" s="168" t="n">
        <f aca="false">'VOL DWNLD'!AE106+'VOL DELTA'!AE106</f>
        <v>0.98</v>
      </c>
      <c r="AF106" s="168" t="n">
        <f aca="false">'VOL DWNLD'!AF106+'VOL DELTA'!AF106</f>
        <v>0.98</v>
      </c>
      <c r="AG106" s="168" t="n">
        <f aca="false">'VOL DWNLD'!AG106+'VOL DELTA'!AG106</f>
        <v>0.98</v>
      </c>
      <c r="AH106" s="168" t="n">
        <f aca="false">'VOL DWNLD'!AH106+'VOL DELTA'!AH106</f>
        <v>1.05</v>
      </c>
      <c r="AI106" s="168" t="n">
        <f aca="false">'VOL DWNLD'!AI106+'VOL DELTA'!AI106</f>
        <v>1</v>
      </c>
      <c r="AJ106" s="168" t="n">
        <f aca="false">'VOL DWNLD'!AJ106+'VOL DELTA'!AJ106</f>
        <v>1</v>
      </c>
      <c r="AK106" s="168" t="n">
        <f aca="false">'VOL DWNLD'!AK106+'VOL DELTA'!AK106</f>
        <v>1.02</v>
      </c>
      <c r="AL106" s="168" t="n">
        <f aca="false">'VOL DWNLD'!AL106+'VOL DELTA'!AL106</f>
        <v>1</v>
      </c>
      <c r="AM106" s="168" t="n">
        <f aca="false">'VOL DWNLD'!AM106+'VOL DELTA'!AM106</f>
        <v>1</v>
      </c>
      <c r="AN106" s="168" t="n">
        <f aca="false">'VOL DWNLD'!AN106+'VOL DELTA'!AN106</f>
        <v>1</v>
      </c>
      <c r="AO106" s="168" t="n">
        <f aca="false">'VOL DWNLD'!AO106+'VOL DELTA'!AO106</f>
        <v>1</v>
      </c>
    </row>
    <row r="107" customFormat="false" ht="12.75" hidden="false" customHeight="false" outlineLevel="0" collapsed="false">
      <c r="A107" s="167" t="n">
        <v>39934</v>
      </c>
      <c r="B107" s="168" t="n">
        <f aca="false">'VOL DWNLD'!B107+'VOL DELTA'!B107</f>
        <v>1</v>
      </c>
      <c r="C107" s="168" t="n">
        <f aca="false">'VOL DWNLD'!C107+'VOL DELTA'!C107</f>
        <v>1</v>
      </c>
      <c r="D107" s="168" t="n">
        <f aca="false">'VOL DWNLD'!D107+'VOL DELTA'!D107</f>
        <v>1</v>
      </c>
      <c r="E107" s="168" t="n">
        <f aca="false">'VOL DWNLD'!E107+'VOL DELTA'!E107</f>
        <v>1</v>
      </c>
      <c r="F107" s="168" t="n">
        <f aca="false">'VOL DWNLD'!F107+'VOL DELTA'!F107</f>
        <v>1</v>
      </c>
      <c r="G107" s="168" t="n">
        <f aca="false">'VOL DWNLD'!G107+'VOL DELTA'!G107</f>
        <v>1</v>
      </c>
      <c r="H107" s="168" t="n">
        <f aca="false">'VOL DWNLD'!H107+'VOL DELTA'!H107</f>
        <v>1</v>
      </c>
      <c r="I107" s="168" t="n">
        <f aca="false">'VOL DWNLD'!I107+'VOL DELTA'!I107</f>
        <v>1</v>
      </c>
      <c r="J107" s="168" t="n">
        <f aca="false">'VOL DWNLD'!J107+'VOL DELTA'!J107</f>
        <v>1</v>
      </c>
      <c r="K107" s="168" t="n">
        <f aca="false">'VOL DWNLD'!K107+'VOL DELTA'!K107</f>
        <v>1</v>
      </c>
      <c r="L107" s="168" t="n">
        <f aca="false">'VOL DWNLD'!L107+'VOL DELTA'!L107</f>
        <v>1</v>
      </c>
      <c r="M107" s="168" t="n">
        <f aca="false">'VOL DWNLD'!M107+'VOL DELTA'!M107</f>
        <v>1</v>
      </c>
      <c r="N107" s="168" t="n">
        <f aca="false">'VOL DWNLD'!N107+'VOL DELTA'!N107</f>
        <v>1</v>
      </c>
      <c r="O107" s="168" t="n">
        <f aca="false">'VOL DWNLD'!O107+'VOL DELTA'!O107</f>
        <v>1</v>
      </c>
      <c r="P107" s="168" t="n">
        <f aca="false">'VOL DWNLD'!P107+'VOL DELTA'!P107</f>
        <v>1.03</v>
      </c>
      <c r="Q107" s="168" t="n">
        <f aca="false">'VOL DWNLD'!Q107+'VOL DELTA'!Q107</f>
        <v>1</v>
      </c>
      <c r="R107" s="168" t="n">
        <f aca="false">'VOL DWNLD'!R107+'VOL DELTA'!R107</f>
        <v>1</v>
      </c>
      <c r="S107" s="168" t="n">
        <f aca="false">'VOL DWNLD'!S107+'VOL DELTA'!S107</f>
        <v>1.02</v>
      </c>
      <c r="T107" s="168" t="n">
        <f aca="false">'VOL DWNLD'!T107+'VOL DELTA'!T107</f>
        <v>1</v>
      </c>
      <c r="U107" s="168" t="n">
        <f aca="false">'VOL DWNLD'!U107+'VOL DELTA'!U107</f>
        <v>1</v>
      </c>
      <c r="V107" s="168" t="n">
        <f aca="false">'VOL DWNLD'!V107+'VOL DELTA'!V107</f>
        <v>1</v>
      </c>
      <c r="W107" s="168" t="n">
        <f aca="false">'VOL DWNLD'!W107+'VOL DELTA'!W107</f>
        <v>1</v>
      </c>
      <c r="X107" s="168" t="n">
        <f aca="false">'VOL DWNLD'!X107+'VOL DELTA'!X107</f>
        <v>1</v>
      </c>
      <c r="Y107" s="168" t="n">
        <f aca="false">'VOL DWNLD'!Y107+'VOL DELTA'!Y107</f>
        <v>1.02</v>
      </c>
      <c r="Z107" s="168" t="n">
        <f aca="false">'VOL DWNLD'!Z107+'VOL DELTA'!Z107</f>
        <v>1</v>
      </c>
      <c r="AA107" s="168" t="n">
        <f aca="false">'VOL DWNLD'!AA107+'VOL DELTA'!AA107</f>
        <v>1</v>
      </c>
      <c r="AB107" s="168" t="n">
        <f aca="false">'VOL DWNLD'!AB107+'VOL DELTA'!AB107</f>
        <v>1</v>
      </c>
      <c r="AC107" s="168" t="n">
        <f aca="false">'VOL DWNLD'!AC107+'VOL DELTA'!AC107</f>
        <v>1</v>
      </c>
      <c r="AD107" s="168" t="n">
        <f aca="false">'VOL DWNLD'!AD107+'VOL DELTA'!AD107</f>
        <v>0.98</v>
      </c>
      <c r="AE107" s="168" t="n">
        <f aca="false">'VOL DWNLD'!AE107+'VOL DELTA'!AE107</f>
        <v>0.98</v>
      </c>
      <c r="AF107" s="168" t="n">
        <f aca="false">'VOL DWNLD'!AF107+'VOL DELTA'!AF107</f>
        <v>0.98</v>
      </c>
      <c r="AG107" s="168" t="n">
        <f aca="false">'VOL DWNLD'!AG107+'VOL DELTA'!AG107</f>
        <v>0.98</v>
      </c>
      <c r="AH107" s="168" t="n">
        <f aca="false">'VOL DWNLD'!AH107+'VOL DELTA'!AH107</f>
        <v>1.05</v>
      </c>
      <c r="AI107" s="168" t="n">
        <f aca="false">'VOL DWNLD'!AI107+'VOL DELTA'!AI107</f>
        <v>1</v>
      </c>
      <c r="AJ107" s="168" t="n">
        <f aca="false">'VOL DWNLD'!AJ107+'VOL DELTA'!AJ107</f>
        <v>1</v>
      </c>
      <c r="AK107" s="168" t="n">
        <f aca="false">'VOL DWNLD'!AK107+'VOL DELTA'!AK107</f>
        <v>1.02</v>
      </c>
      <c r="AL107" s="168" t="n">
        <f aca="false">'VOL DWNLD'!AL107+'VOL DELTA'!AL107</f>
        <v>1</v>
      </c>
      <c r="AM107" s="168" t="n">
        <f aca="false">'VOL DWNLD'!AM107+'VOL DELTA'!AM107</f>
        <v>1</v>
      </c>
      <c r="AN107" s="168" t="n">
        <f aca="false">'VOL DWNLD'!AN107+'VOL DELTA'!AN107</f>
        <v>1</v>
      </c>
      <c r="AO107" s="168" t="n">
        <f aca="false">'VOL DWNLD'!AO107+'VOL DELTA'!AO107</f>
        <v>1</v>
      </c>
    </row>
    <row r="108" customFormat="false" ht="12.75" hidden="false" customHeight="false" outlineLevel="0" collapsed="false">
      <c r="A108" s="167" t="n">
        <v>39965</v>
      </c>
      <c r="B108" s="168" t="n">
        <f aca="false">'VOL DWNLD'!B108+'VOL DELTA'!B108</f>
        <v>1</v>
      </c>
      <c r="C108" s="168" t="n">
        <f aca="false">'VOL DWNLD'!C108+'VOL DELTA'!C108</f>
        <v>1</v>
      </c>
      <c r="D108" s="168" t="n">
        <f aca="false">'VOL DWNLD'!D108+'VOL DELTA'!D108</f>
        <v>1</v>
      </c>
      <c r="E108" s="168" t="n">
        <f aca="false">'VOL DWNLD'!E108+'VOL DELTA'!E108</f>
        <v>1</v>
      </c>
      <c r="F108" s="168" t="n">
        <f aca="false">'VOL DWNLD'!F108+'VOL DELTA'!F108</f>
        <v>1</v>
      </c>
      <c r="G108" s="168" t="n">
        <f aca="false">'VOL DWNLD'!G108+'VOL DELTA'!G108</f>
        <v>1</v>
      </c>
      <c r="H108" s="168" t="n">
        <f aca="false">'VOL DWNLD'!H108+'VOL DELTA'!H108</f>
        <v>1</v>
      </c>
      <c r="I108" s="168" t="n">
        <f aca="false">'VOL DWNLD'!I108+'VOL DELTA'!I108</f>
        <v>1</v>
      </c>
      <c r="J108" s="168" t="n">
        <f aca="false">'VOL DWNLD'!J108+'VOL DELTA'!J108</f>
        <v>1</v>
      </c>
      <c r="K108" s="168" t="n">
        <f aca="false">'VOL DWNLD'!K108+'VOL DELTA'!K108</f>
        <v>1</v>
      </c>
      <c r="L108" s="168" t="n">
        <f aca="false">'VOL DWNLD'!L108+'VOL DELTA'!L108</f>
        <v>1</v>
      </c>
      <c r="M108" s="168" t="n">
        <f aca="false">'VOL DWNLD'!M108+'VOL DELTA'!M108</f>
        <v>1</v>
      </c>
      <c r="N108" s="168" t="n">
        <f aca="false">'VOL DWNLD'!N108+'VOL DELTA'!N108</f>
        <v>1</v>
      </c>
      <c r="O108" s="168" t="n">
        <f aca="false">'VOL DWNLD'!O108+'VOL DELTA'!O108</f>
        <v>1</v>
      </c>
      <c r="P108" s="168" t="n">
        <f aca="false">'VOL DWNLD'!P108+'VOL DELTA'!P108</f>
        <v>1.03</v>
      </c>
      <c r="Q108" s="168" t="n">
        <f aca="false">'VOL DWNLD'!Q108+'VOL DELTA'!Q108</f>
        <v>1</v>
      </c>
      <c r="R108" s="168" t="n">
        <f aca="false">'VOL DWNLD'!R108+'VOL DELTA'!R108</f>
        <v>1</v>
      </c>
      <c r="S108" s="168" t="n">
        <f aca="false">'VOL DWNLD'!S108+'VOL DELTA'!S108</f>
        <v>1.02</v>
      </c>
      <c r="T108" s="168" t="n">
        <f aca="false">'VOL DWNLD'!T108+'VOL DELTA'!T108</f>
        <v>1</v>
      </c>
      <c r="U108" s="168" t="n">
        <f aca="false">'VOL DWNLD'!U108+'VOL DELTA'!U108</f>
        <v>1</v>
      </c>
      <c r="V108" s="168" t="n">
        <f aca="false">'VOL DWNLD'!V108+'VOL DELTA'!V108</f>
        <v>1</v>
      </c>
      <c r="W108" s="168" t="n">
        <f aca="false">'VOL DWNLD'!W108+'VOL DELTA'!W108</f>
        <v>1</v>
      </c>
      <c r="X108" s="168" t="n">
        <f aca="false">'VOL DWNLD'!X108+'VOL DELTA'!X108</f>
        <v>1</v>
      </c>
      <c r="Y108" s="168" t="n">
        <f aca="false">'VOL DWNLD'!Y108+'VOL DELTA'!Y108</f>
        <v>1.02</v>
      </c>
      <c r="Z108" s="168" t="n">
        <f aca="false">'VOL DWNLD'!Z108+'VOL DELTA'!Z108</f>
        <v>1</v>
      </c>
      <c r="AA108" s="168" t="n">
        <f aca="false">'VOL DWNLD'!AA108+'VOL DELTA'!AA108</f>
        <v>1</v>
      </c>
      <c r="AB108" s="168" t="n">
        <f aca="false">'VOL DWNLD'!AB108+'VOL DELTA'!AB108</f>
        <v>1</v>
      </c>
      <c r="AC108" s="168" t="n">
        <f aca="false">'VOL DWNLD'!AC108+'VOL DELTA'!AC108</f>
        <v>1</v>
      </c>
      <c r="AD108" s="168" t="n">
        <f aca="false">'VOL DWNLD'!AD108+'VOL DELTA'!AD108</f>
        <v>0.98</v>
      </c>
      <c r="AE108" s="168" t="n">
        <f aca="false">'VOL DWNLD'!AE108+'VOL DELTA'!AE108</f>
        <v>0.98</v>
      </c>
      <c r="AF108" s="168" t="n">
        <f aca="false">'VOL DWNLD'!AF108+'VOL DELTA'!AF108</f>
        <v>0.98</v>
      </c>
      <c r="AG108" s="168" t="n">
        <f aca="false">'VOL DWNLD'!AG108+'VOL DELTA'!AG108</f>
        <v>0.98</v>
      </c>
      <c r="AH108" s="168" t="n">
        <f aca="false">'VOL DWNLD'!AH108+'VOL DELTA'!AH108</f>
        <v>1.05</v>
      </c>
      <c r="AI108" s="168" t="n">
        <f aca="false">'VOL DWNLD'!AI108+'VOL DELTA'!AI108</f>
        <v>1</v>
      </c>
      <c r="AJ108" s="168" t="n">
        <f aca="false">'VOL DWNLD'!AJ108+'VOL DELTA'!AJ108</f>
        <v>1</v>
      </c>
      <c r="AK108" s="168" t="n">
        <f aca="false">'VOL DWNLD'!AK108+'VOL DELTA'!AK108</f>
        <v>1.02</v>
      </c>
      <c r="AL108" s="168" t="n">
        <f aca="false">'VOL DWNLD'!AL108+'VOL DELTA'!AL108</f>
        <v>1</v>
      </c>
      <c r="AM108" s="168" t="n">
        <f aca="false">'VOL DWNLD'!AM108+'VOL DELTA'!AM108</f>
        <v>1</v>
      </c>
      <c r="AN108" s="168" t="n">
        <f aca="false">'VOL DWNLD'!AN108+'VOL DELTA'!AN108</f>
        <v>1</v>
      </c>
      <c r="AO108" s="168" t="n">
        <f aca="false">'VOL DWNLD'!AO108+'VOL DELTA'!AO108</f>
        <v>1</v>
      </c>
    </row>
    <row r="109" customFormat="false" ht="12.75" hidden="false" customHeight="false" outlineLevel="0" collapsed="false">
      <c r="A109" s="167" t="n">
        <v>39995</v>
      </c>
      <c r="B109" s="168" t="n">
        <f aca="false">'VOL DWNLD'!B109+'VOL DELTA'!B109</f>
        <v>1</v>
      </c>
      <c r="C109" s="168" t="n">
        <f aca="false">'VOL DWNLD'!C109+'VOL DELTA'!C109</f>
        <v>1</v>
      </c>
      <c r="D109" s="168" t="n">
        <f aca="false">'VOL DWNLD'!D109+'VOL DELTA'!D109</f>
        <v>1</v>
      </c>
      <c r="E109" s="168" t="n">
        <f aca="false">'VOL DWNLD'!E109+'VOL DELTA'!E109</f>
        <v>1</v>
      </c>
      <c r="F109" s="168" t="n">
        <f aca="false">'VOL DWNLD'!F109+'VOL DELTA'!F109</f>
        <v>1</v>
      </c>
      <c r="G109" s="168" t="n">
        <f aca="false">'VOL DWNLD'!G109+'VOL DELTA'!G109</f>
        <v>1</v>
      </c>
      <c r="H109" s="168" t="n">
        <f aca="false">'VOL DWNLD'!H109+'VOL DELTA'!H109</f>
        <v>1</v>
      </c>
      <c r="I109" s="168" t="n">
        <f aca="false">'VOL DWNLD'!I109+'VOL DELTA'!I109</f>
        <v>1</v>
      </c>
      <c r="J109" s="168" t="n">
        <f aca="false">'VOL DWNLD'!J109+'VOL DELTA'!J109</f>
        <v>1</v>
      </c>
      <c r="K109" s="168" t="n">
        <f aca="false">'VOL DWNLD'!K109+'VOL DELTA'!K109</f>
        <v>1</v>
      </c>
      <c r="L109" s="168" t="n">
        <f aca="false">'VOL DWNLD'!L109+'VOL DELTA'!L109</f>
        <v>1</v>
      </c>
      <c r="M109" s="168" t="n">
        <f aca="false">'VOL DWNLD'!M109+'VOL DELTA'!M109</f>
        <v>1</v>
      </c>
      <c r="N109" s="168" t="n">
        <f aca="false">'VOL DWNLD'!N109+'VOL DELTA'!N109</f>
        <v>1</v>
      </c>
      <c r="O109" s="168" t="n">
        <f aca="false">'VOL DWNLD'!O109+'VOL DELTA'!O109</f>
        <v>1</v>
      </c>
      <c r="P109" s="168" t="n">
        <f aca="false">'VOL DWNLD'!P109+'VOL DELTA'!P109</f>
        <v>1.03</v>
      </c>
      <c r="Q109" s="168" t="n">
        <f aca="false">'VOL DWNLD'!Q109+'VOL DELTA'!Q109</f>
        <v>1</v>
      </c>
      <c r="R109" s="168" t="n">
        <f aca="false">'VOL DWNLD'!R109+'VOL DELTA'!R109</f>
        <v>1</v>
      </c>
      <c r="S109" s="168" t="n">
        <f aca="false">'VOL DWNLD'!S109+'VOL DELTA'!S109</f>
        <v>1.02</v>
      </c>
      <c r="T109" s="168" t="n">
        <f aca="false">'VOL DWNLD'!T109+'VOL DELTA'!T109</f>
        <v>1</v>
      </c>
      <c r="U109" s="168" t="n">
        <f aca="false">'VOL DWNLD'!U109+'VOL DELTA'!U109</f>
        <v>1</v>
      </c>
      <c r="V109" s="168" t="n">
        <f aca="false">'VOL DWNLD'!V109+'VOL DELTA'!V109</f>
        <v>1</v>
      </c>
      <c r="W109" s="168" t="n">
        <f aca="false">'VOL DWNLD'!W109+'VOL DELTA'!W109</f>
        <v>1</v>
      </c>
      <c r="X109" s="168" t="n">
        <f aca="false">'VOL DWNLD'!X109+'VOL DELTA'!X109</f>
        <v>1</v>
      </c>
      <c r="Y109" s="168" t="n">
        <f aca="false">'VOL DWNLD'!Y109+'VOL DELTA'!Y109</f>
        <v>1.02</v>
      </c>
      <c r="Z109" s="168" t="n">
        <f aca="false">'VOL DWNLD'!Z109+'VOL DELTA'!Z109</f>
        <v>1</v>
      </c>
      <c r="AA109" s="168" t="n">
        <f aca="false">'VOL DWNLD'!AA109+'VOL DELTA'!AA109</f>
        <v>1</v>
      </c>
      <c r="AB109" s="168" t="n">
        <f aca="false">'VOL DWNLD'!AB109+'VOL DELTA'!AB109</f>
        <v>1</v>
      </c>
      <c r="AC109" s="168" t="n">
        <f aca="false">'VOL DWNLD'!AC109+'VOL DELTA'!AC109</f>
        <v>1</v>
      </c>
      <c r="AD109" s="168" t="n">
        <f aca="false">'VOL DWNLD'!AD109+'VOL DELTA'!AD109</f>
        <v>0.98</v>
      </c>
      <c r="AE109" s="168" t="n">
        <f aca="false">'VOL DWNLD'!AE109+'VOL DELTA'!AE109</f>
        <v>0.98</v>
      </c>
      <c r="AF109" s="168" t="n">
        <f aca="false">'VOL DWNLD'!AF109+'VOL DELTA'!AF109</f>
        <v>0.98</v>
      </c>
      <c r="AG109" s="168" t="n">
        <f aca="false">'VOL DWNLD'!AG109+'VOL DELTA'!AG109</f>
        <v>0.98</v>
      </c>
      <c r="AH109" s="168" t="n">
        <f aca="false">'VOL DWNLD'!AH109+'VOL DELTA'!AH109</f>
        <v>1.05</v>
      </c>
      <c r="AI109" s="168" t="n">
        <f aca="false">'VOL DWNLD'!AI109+'VOL DELTA'!AI109</f>
        <v>1</v>
      </c>
      <c r="AJ109" s="168" t="n">
        <f aca="false">'VOL DWNLD'!AJ109+'VOL DELTA'!AJ109</f>
        <v>1</v>
      </c>
      <c r="AK109" s="168" t="n">
        <f aca="false">'VOL DWNLD'!AK109+'VOL DELTA'!AK109</f>
        <v>1.02</v>
      </c>
      <c r="AL109" s="168" t="n">
        <f aca="false">'VOL DWNLD'!AL109+'VOL DELTA'!AL109</f>
        <v>1</v>
      </c>
      <c r="AM109" s="168" t="n">
        <f aca="false">'VOL DWNLD'!AM109+'VOL DELTA'!AM109</f>
        <v>1</v>
      </c>
      <c r="AN109" s="168" t="n">
        <f aca="false">'VOL DWNLD'!AN109+'VOL DELTA'!AN109</f>
        <v>1</v>
      </c>
      <c r="AO109" s="168" t="n">
        <f aca="false">'VOL DWNLD'!AO109+'VOL DELTA'!AO109</f>
        <v>1</v>
      </c>
    </row>
    <row r="110" customFormat="false" ht="12.75" hidden="false" customHeight="false" outlineLevel="0" collapsed="false">
      <c r="A110" s="167" t="n">
        <v>40026</v>
      </c>
      <c r="B110" s="168" t="n">
        <f aca="false">'VOL DWNLD'!B110+'VOL DELTA'!B110</f>
        <v>1</v>
      </c>
      <c r="C110" s="168" t="n">
        <f aca="false">'VOL DWNLD'!C110+'VOL DELTA'!C110</f>
        <v>1</v>
      </c>
      <c r="D110" s="168" t="n">
        <f aca="false">'VOL DWNLD'!D110+'VOL DELTA'!D110</f>
        <v>1</v>
      </c>
      <c r="E110" s="168" t="n">
        <f aca="false">'VOL DWNLD'!E110+'VOL DELTA'!E110</f>
        <v>1</v>
      </c>
      <c r="F110" s="168" t="n">
        <f aca="false">'VOL DWNLD'!F110+'VOL DELTA'!F110</f>
        <v>1</v>
      </c>
      <c r="G110" s="168" t="n">
        <f aca="false">'VOL DWNLD'!G110+'VOL DELTA'!G110</f>
        <v>1</v>
      </c>
      <c r="H110" s="168" t="n">
        <f aca="false">'VOL DWNLD'!H110+'VOL DELTA'!H110</f>
        <v>1</v>
      </c>
      <c r="I110" s="168" t="n">
        <f aca="false">'VOL DWNLD'!I110+'VOL DELTA'!I110</f>
        <v>1</v>
      </c>
      <c r="J110" s="168" t="n">
        <f aca="false">'VOL DWNLD'!J110+'VOL DELTA'!J110</f>
        <v>1</v>
      </c>
      <c r="K110" s="168" t="n">
        <f aca="false">'VOL DWNLD'!K110+'VOL DELTA'!K110</f>
        <v>1</v>
      </c>
      <c r="L110" s="168" t="n">
        <f aca="false">'VOL DWNLD'!L110+'VOL DELTA'!L110</f>
        <v>1</v>
      </c>
      <c r="M110" s="168" t="n">
        <f aca="false">'VOL DWNLD'!M110+'VOL DELTA'!M110</f>
        <v>1</v>
      </c>
      <c r="N110" s="168" t="n">
        <f aca="false">'VOL DWNLD'!N110+'VOL DELTA'!N110</f>
        <v>1</v>
      </c>
      <c r="O110" s="168" t="n">
        <f aca="false">'VOL DWNLD'!O110+'VOL DELTA'!O110</f>
        <v>1</v>
      </c>
      <c r="P110" s="168" t="n">
        <f aca="false">'VOL DWNLD'!P110+'VOL DELTA'!P110</f>
        <v>1.03</v>
      </c>
      <c r="Q110" s="168" t="n">
        <f aca="false">'VOL DWNLD'!Q110+'VOL DELTA'!Q110</f>
        <v>1</v>
      </c>
      <c r="R110" s="168" t="n">
        <f aca="false">'VOL DWNLD'!R110+'VOL DELTA'!R110</f>
        <v>1</v>
      </c>
      <c r="S110" s="168" t="n">
        <f aca="false">'VOL DWNLD'!S110+'VOL DELTA'!S110</f>
        <v>1.02</v>
      </c>
      <c r="T110" s="168" t="n">
        <f aca="false">'VOL DWNLD'!T110+'VOL DELTA'!T110</f>
        <v>1</v>
      </c>
      <c r="U110" s="168" t="n">
        <f aca="false">'VOL DWNLD'!U110+'VOL DELTA'!U110</f>
        <v>1</v>
      </c>
      <c r="V110" s="168" t="n">
        <f aca="false">'VOL DWNLD'!V110+'VOL DELTA'!V110</f>
        <v>1</v>
      </c>
      <c r="W110" s="168" t="n">
        <f aca="false">'VOL DWNLD'!W110+'VOL DELTA'!W110</f>
        <v>1</v>
      </c>
      <c r="X110" s="168" t="n">
        <f aca="false">'VOL DWNLD'!X110+'VOL DELTA'!X110</f>
        <v>1</v>
      </c>
      <c r="Y110" s="168" t="n">
        <f aca="false">'VOL DWNLD'!Y110+'VOL DELTA'!Y110</f>
        <v>1.02</v>
      </c>
      <c r="Z110" s="168" t="n">
        <f aca="false">'VOL DWNLD'!Z110+'VOL DELTA'!Z110</f>
        <v>1</v>
      </c>
      <c r="AA110" s="168" t="n">
        <f aca="false">'VOL DWNLD'!AA110+'VOL DELTA'!AA110</f>
        <v>1</v>
      </c>
      <c r="AB110" s="168" t="n">
        <f aca="false">'VOL DWNLD'!AB110+'VOL DELTA'!AB110</f>
        <v>1</v>
      </c>
      <c r="AC110" s="168" t="n">
        <f aca="false">'VOL DWNLD'!AC110+'VOL DELTA'!AC110</f>
        <v>1</v>
      </c>
      <c r="AD110" s="168" t="n">
        <f aca="false">'VOL DWNLD'!AD110+'VOL DELTA'!AD110</f>
        <v>0.98</v>
      </c>
      <c r="AE110" s="168" t="n">
        <f aca="false">'VOL DWNLD'!AE110+'VOL DELTA'!AE110</f>
        <v>0.98</v>
      </c>
      <c r="AF110" s="168" t="n">
        <f aca="false">'VOL DWNLD'!AF110+'VOL DELTA'!AF110</f>
        <v>0.98</v>
      </c>
      <c r="AG110" s="168" t="n">
        <f aca="false">'VOL DWNLD'!AG110+'VOL DELTA'!AG110</f>
        <v>0.98</v>
      </c>
      <c r="AH110" s="168" t="n">
        <f aca="false">'VOL DWNLD'!AH110+'VOL DELTA'!AH110</f>
        <v>1.05</v>
      </c>
      <c r="AI110" s="168" t="n">
        <f aca="false">'VOL DWNLD'!AI110+'VOL DELTA'!AI110</f>
        <v>1</v>
      </c>
      <c r="AJ110" s="168" t="n">
        <f aca="false">'VOL DWNLD'!AJ110+'VOL DELTA'!AJ110</f>
        <v>1</v>
      </c>
      <c r="AK110" s="168" t="n">
        <f aca="false">'VOL DWNLD'!AK110+'VOL DELTA'!AK110</f>
        <v>1.02</v>
      </c>
      <c r="AL110" s="168" t="n">
        <f aca="false">'VOL DWNLD'!AL110+'VOL DELTA'!AL110</f>
        <v>1</v>
      </c>
      <c r="AM110" s="168" t="n">
        <f aca="false">'VOL DWNLD'!AM110+'VOL DELTA'!AM110</f>
        <v>1</v>
      </c>
      <c r="AN110" s="168" t="n">
        <f aca="false">'VOL DWNLD'!AN110+'VOL DELTA'!AN110</f>
        <v>1</v>
      </c>
      <c r="AO110" s="168" t="n">
        <f aca="false">'VOL DWNLD'!AO110+'VOL DELTA'!AO110</f>
        <v>1</v>
      </c>
    </row>
    <row r="111" customFormat="false" ht="12.75" hidden="false" customHeight="false" outlineLevel="0" collapsed="false">
      <c r="A111" s="167" t="n">
        <v>40057</v>
      </c>
      <c r="B111" s="168" t="n">
        <f aca="false">'VOL DWNLD'!B111+'VOL DELTA'!B111</f>
        <v>1</v>
      </c>
      <c r="C111" s="168" t="n">
        <f aca="false">'VOL DWNLD'!C111+'VOL DELTA'!C111</f>
        <v>1</v>
      </c>
      <c r="D111" s="168" t="n">
        <f aca="false">'VOL DWNLD'!D111+'VOL DELTA'!D111</f>
        <v>1</v>
      </c>
      <c r="E111" s="168" t="n">
        <f aca="false">'VOL DWNLD'!E111+'VOL DELTA'!E111</f>
        <v>1</v>
      </c>
      <c r="F111" s="168" t="n">
        <f aca="false">'VOL DWNLD'!F111+'VOL DELTA'!F111</f>
        <v>1</v>
      </c>
      <c r="G111" s="168" t="n">
        <f aca="false">'VOL DWNLD'!G111+'VOL DELTA'!G111</f>
        <v>1</v>
      </c>
      <c r="H111" s="168" t="n">
        <f aca="false">'VOL DWNLD'!H111+'VOL DELTA'!H111</f>
        <v>1</v>
      </c>
      <c r="I111" s="168" t="n">
        <f aca="false">'VOL DWNLD'!I111+'VOL DELTA'!I111</f>
        <v>1</v>
      </c>
      <c r="J111" s="168" t="n">
        <f aca="false">'VOL DWNLD'!J111+'VOL DELTA'!J111</f>
        <v>1</v>
      </c>
      <c r="K111" s="168" t="n">
        <f aca="false">'VOL DWNLD'!K111+'VOL DELTA'!K111</f>
        <v>1</v>
      </c>
      <c r="L111" s="168" t="n">
        <f aca="false">'VOL DWNLD'!L111+'VOL DELTA'!L111</f>
        <v>1</v>
      </c>
      <c r="M111" s="168" t="n">
        <f aca="false">'VOL DWNLD'!M111+'VOL DELTA'!M111</f>
        <v>1</v>
      </c>
      <c r="N111" s="168" t="n">
        <f aca="false">'VOL DWNLD'!N111+'VOL DELTA'!N111</f>
        <v>1</v>
      </c>
      <c r="O111" s="168" t="n">
        <f aca="false">'VOL DWNLD'!O111+'VOL DELTA'!O111</f>
        <v>1</v>
      </c>
      <c r="P111" s="168" t="n">
        <f aca="false">'VOL DWNLD'!P111+'VOL DELTA'!P111</f>
        <v>1.03</v>
      </c>
      <c r="Q111" s="168" t="n">
        <f aca="false">'VOL DWNLD'!Q111+'VOL DELTA'!Q111</f>
        <v>1</v>
      </c>
      <c r="R111" s="168" t="n">
        <f aca="false">'VOL DWNLD'!R111+'VOL DELTA'!R111</f>
        <v>1</v>
      </c>
      <c r="S111" s="168" t="n">
        <f aca="false">'VOL DWNLD'!S111+'VOL DELTA'!S111</f>
        <v>1.02</v>
      </c>
      <c r="T111" s="168" t="n">
        <f aca="false">'VOL DWNLD'!T111+'VOL DELTA'!T111</f>
        <v>1</v>
      </c>
      <c r="U111" s="168" t="n">
        <f aca="false">'VOL DWNLD'!U111+'VOL DELTA'!U111</f>
        <v>1</v>
      </c>
      <c r="V111" s="168" t="n">
        <f aca="false">'VOL DWNLD'!V111+'VOL DELTA'!V111</f>
        <v>1</v>
      </c>
      <c r="W111" s="168" t="n">
        <f aca="false">'VOL DWNLD'!W111+'VOL DELTA'!W111</f>
        <v>1</v>
      </c>
      <c r="X111" s="168" t="n">
        <f aca="false">'VOL DWNLD'!X111+'VOL DELTA'!X111</f>
        <v>1</v>
      </c>
      <c r="Y111" s="168" t="n">
        <f aca="false">'VOL DWNLD'!Y111+'VOL DELTA'!Y111</f>
        <v>1.02</v>
      </c>
      <c r="Z111" s="168" t="n">
        <f aca="false">'VOL DWNLD'!Z111+'VOL DELTA'!Z111</f>
        <v>1</v>
      </c>
      <c r="AA111" s="168" t="n">
        <f aca="false">'VOL DWNLD'!AA111+'VOL DELTA'!AA111</f>
        <v>1</v>
      </c>
      <c r="AB111" s="168" t="n">
        <f aca="false">'VOL DWNLD'!AB111+'VOL DELTA'!AB111</f>
        <v>1</v>
      </c>
      <c r="AC111" s="168" t="n">
        <f aca="false">'VOL DWNLD'!AC111+'VOL DELTA'!AC111</f>
        <v>1</v>
      </c>
      <c r="AD111" s="168" t="n">
        <f aca="false">'VOL DWNLD'!AD111+'VOL DELTA'!AD111</f>
        <v>0.98</v>
      </c>
      <c r="AE111" s="168" t="n">
        <f aca="false">'VOL DWNLD'!AE111+'VOL DELTA'!AE111</f>
        <v>0.98</v>
      </c>
      <c r="AF111" s="168" t="n">
        <f aca="false">'VOL DWNLD'!AF111+'VOL DELTA'!AF111</f>
        <v>0.98</v>
      </c>
      <c r="AG111" s="168" t="n">
        <f aca="false">'VOL DWNLD'!AG111+'VOL DELTA'!AG111</f>
        <v>0.98</v>
      </c>
      <c r="AH111" s="168" t="n">
        <f aca="false">'VOL DWNLD'!AH111+'VOL DELTA'!AH111</f>
        <v>1.05</v>
      </c>
      <c r="AI111" s="168" t="n">
        <f aca="false">'VOL DWNLD'!AI111+'VOL DELTA'!AI111</f>
        <v>1</v>
      </c>
      <c r="AJ111" s="168" t="n">
        <f aca="false">'VOL DWNLD'!AJ111+'VOL DELTA'!AJ111</f>
        <v>1</v>
      </c>
      <c r="AK111" s="168" t="n">
        <f aca="false">'VOL DWNLD'!AK111+'VOL DELTA'!AK111</f>
        <v>1.02</v>
      </c>
      <c r="AL111" s="168" t="n">
        <f aca="false">'VOL DWNLD'!AL111+'VOL DELTA'!AL111</f>
        <v>1</v>
      </c>
      <c r="AM111" s="168" t="n">
        <f aca="false">'VOL DWNLD'!AM111+'VOL DELTA'!AM111</f>
        <v>1</v>
      </c>
      <c r="AN111" s="168" t="n">
        <f aca="false">'VOL DWNLD'!AN111+'VOL DELTA'!AN111</f>
        <v>1</v>
      </c>
      <c r="AO111" s="168" t="n">
        <f aca="false">'VOL DWNLD'!AO111+'VOL DELTA'!AO111</f>
        <v>1</v>
      </c>
    </row>
    <row r="112" customFormat="false" ht="12.75" hidden="false" customHeight="false" outlineLevel="0" collapsed="false">
      <c r="A112" s="167" t="n">
        <v>40087</v>
      </c>
      <c r="B112" s="168" t="n">
        <f aca="false">'VOL DWNLD'!B112+'VOL DELTA'!B112</f>
        <v>1</v>
      </c>
      <c r="C112" s="168" t="n">
        <f aca="false">'VOL DWNLD'!C112+'VOL DELTA'!C112</f>
        <v>1</v>
      </c>
      <c r="D112" s="168" t="n">
        <f aca="false">'VOL DWNLD'!D112+'VOL DELTA'!D112</f>
        <v>1</v>
      </c>
      <c r="E112" s="168" t="n">
        <f aca="false">'VOL DWNLD'!E112+'VOL DELTA'!E112</f>
        <v>1</v>
      </c>
      <c r="F112" s="168" t="n">
        <f aca="false">'VOL DWNLD'!F112+'VOL DELTA'!F112</f>
        <v>1</v>
      </c>
      <c r="G112" s="168" t="n">
        <f aca="false">'VOL DWNLD'!G112+'VOL DELTA'!G112</f>
        <v>1</v>
      </c>
      <c r="H112" s="168" t="n">
        <f aca="false">'VOL DWNLD'!H112+'VOL DELTA'!H112</f>
        <v>1</v>
      </c>
      <c r="I112" s="168" t="n">
        <f aca="false">'VOL DWNLD'!I112+'VOL DELTA'!I112</f>
        <v>1</v>
      </c>
      <c r="J112" s="168" t="n">
        <f aca="false">'VOL DWNLD'!J112+'VOL DELTA'!J112</f>
        <v>1</v>
      </c>
      <c r="K112" s="168" t="n">
        <f aca="false">'VOL DWNLD'!K112+'VOL DELTA'!K112</f>
        <v>1</v>
      </c>
      <c r="L112" s="168" t="n">
        <f aca="false">'VOL DWNLD'!L112+'VOL DELTA'!L112</f>
        <v>1</v>
      </c>
      <c r="M112" s="168" t="n">
        <f aca="false">'VOL DWNLD'!M112+'VOL DELTA'!M112</f>
        <v>1</v>
      </c>
      <c r="N112" s="168" t="n">
        <f aca="false">'VOL DWNLD'!N112+'VOL DELTA'!N112</f>
        <v>1</v>
      </c>
      <c r="O112" s="168" t="n">
        <f aca="false">'VOL DWNLD'!O112+'VOL DELTA'!O112</f>
        <v>1</v>
      </c>
      <c r="P112" s="168" t="n">
        <f aca="false">'VOL DWNLD'!P112+'VOL DELTA'!P112</f>
        <v>1.03</v>
      </c>
      <c r="Q112" s="168" t="n">
        <f aca="false">'VOL DWNLD'!Q112+'VOL DELTA'!Q112</f>
        <v>1</v>
      </c>
      <c r="R112" s="168" t="n">
        <f aca="false">'VOL DWNLD'!R112+'VOL DELTA'!R112</f>
        <v>1</v>
      </c>
      <c r="S112" s="168" t="n">
        <f aca="false">'VOL DWNLD'!S112+'VOL DELTA'!S112</f>
        <v>1.02</v>
      </c>
      <c r="T112" s="168" t="n">
        <f aca="false">'VOL DWNLD'!T112+'VOL DELTA'!T112</f>
        <v>1</v>
      </c>
      <c r="U112" s="168" t="n">
        <f aca="false">'VOL DWNLD'!U112+'VOL DELTA'!U112</f>
        <v>1</v>
      </c>
      <c r="V112" s="168" t="n">
        <f aca="false">'VOL DWNLD'!V112+'VOL DELTA'!V112</f>
        <v>1</v>
      </c>
      <c r="W112" s="168" t="n">
        <f aca="false">'VOL DWNLD'!W112+'VOL DELTA'!W112</f>
        <v>1</v>
      </c>
      <c r="X112" s="168" t="n">
        <f aca="false">'VOL DWNLD'!X112+'VOL DELTA'!X112</f>
        <v>1</v>
      </c>
      <c r="Y112" s="168" t="n">
        <f aca="false">'VOL DWNLD'!Y112+'VOL DELTA'!Y112</f>
        <v>1.02</v>
      </c>
      <c r="Z112" s="168" t="n">
        <f aca="false">'VOL DWNLD'!Z112+'VOL DELTA'!Z112</f>
        <v>1</v>
      </c>
      <c r="AA112" s="168" t="n">
        <f aca="false">'VOL DWNLD'!AA112+'VOL DELTA'!AA112</f>
        <v>1</v>
      </c>
      <c r="AB112" s="168" t="n">
        <f aca="false">'VOL DWNLD'!AB112+'VOL DELTA'!AB112</f>
        <v>1</v>
      </c>
      <c r="AC112" s="168" t="n">
        <f aca="false">'VOL DWNLD'!AC112+'VOL DELTA'!AC112</f>
        <v>1</v>
      </c>
      <c r="AD112" s="168" t="n">
        <f aca="false">'VOL DWNLD'!AD112+'VOL DELTA'!AD112</f>
        <v>0.98</v>
      </c>
      <c r="AE112" s="168" t="n">
        <f aca="false">'VOL DWNLD'!AE112+'VOL DELTA'!AE112</f>
        <v>0.98</v>
      </c>
      <c r="AF112" s="168" t="n">
        <f aca="false">'VOL DWNLD'!AF112+'VOL DELTA'!AF112</f>
        <v>0.98</v>
      </c>
      <c r="AG112" s="168" t="n">
        <f aca="false">'VOL DWNLD'!AG112+'VOL DELTA'!AG112</f>
        <v>0.98</v>
      </c>
      <c r="AH112" s="168" t="n">
        <f aca="false">'VOL DWNLD'!AH112+'VOL DELTA'!AH112</f>
        <v>1.05</v>
      </c>
      <c r="AI112" s="168" t="n">
        <f aca="false">'VOL DWNLD'!AI112+'VOL DELTA'!AI112</f>
        <v>1</v>
      </c>
      <c r="AJ112" s="168" t="n">
        <f aca="false">'VOL DWNLD'!AJ112+'VOL DELTA'!AJ112</f>
        <v>1</v>
      </c>
      <c r="AK112" s="168" t="n">
        <f aca="false">'VOL DWNLD'!AK112+'VOL DELTA'!AK112</f>
        <v>1.02</v>
      </c>
      <c r="AL112" s="168" t="n">
        <f aca="false">'VOL DWNLD'!AL112+'VOL DELTA'!AL112</f>
        <v>1</v>
      </c>
      <c r="AM112" s="168" t="n">
        <f aca="false">'VOL DWNLD'!AM112+'VOL DELTA'!AM112</f>
        <v>1</v>
      </c>
      <c r="AN112" s="168" t="n">
        <f aca="false">'VOL DWNLD'!AN112+'VOL DELTA'!AN112</f>
        <v>1</v>
      </c>
      <c r="AO112" s="168" t="n">
        <f aca="false">'VOL DWNLD'!AO112+'VOL DELTA'!AO112</f>
        <v>1</v>
      </c>
    </row>
    <row r="113" customFormat="false" ht="12.75" hidden="false" customHeight="false" outlineLevel="0" collapsed="false">
      <c r="A113" s="167" t="n">
        <v>40118</v>
      </c>
      <c r="B113" s="168" t="n">
        <f aca="false">'VOL DWNLD'!B113+'VOL DELTA'!B113</f>
        <v>1</v>
      </c>
      <c r="C113" s="168" t="n">
        <f aca="false">'VOL DWNLD'!C113+'VOL DELTA'!C113</f>
        <v>1</v>
      </c>
      <c r="D113" s="168" t="n">
        <f aca="false">'VOL DWNLD'!D113+'VOL DELTA'!D113</f>
        <v>1</v>
      </c>
      <c r="E113" s="168" t="n">
        <f aca="false">'VOL DWNLD'!E113+'VOL DELTA'!E113</f>
        <v>1</v>
      </c>
      <c r="F113" s="168" t="n">
        <f aca="false">'VOL DWNLD'!F113+'VOL DELTA'!F113</f>
        <v>1</v>
      </c>
      <c r="G113" s="168" t="n">
        <f aca="false">'VOL DWNLD'!G113+'VOL DELTA'!G113</f>
        <v>1</v>
      </c>
      <c r="H113" s="168" t="n">
        <f aca="false">'VOL DWNLD'!H113+'VOL DELTA'!H113</f>
        <v>1</v>
      </c>
      <c r="I113" s="168" t="n">
        <f aca="false">'VOL DWNLD'!I113+'VOL DELTA'!I113</f>
        <v>1</v>
      </c>
      <c r="J113" s="168" t="n">
        <f aca="false">'VOL DWNLD'!J113+'VOL DELTA'!J113</f>
        <v>1</v>
      </c>
      <c r="K113" s="168" t="n">
        <f aca="false">'VOL DWNLD'!K113+'VOL DELTA'!K113</f>
        <v>1</v>
      </c>
      <c r="L113" s="168" t="n">
        <f aca="false">'VOL DWNLD'!L113+'VOL DELTA'!L113</f>
        <v>1</v>
      </c>
      <c r="M113" s="168" t="n">
        <f aca="false">'VOL DWNLD'!M113+'VOL DELTA'!M113</f>
        <v>1</v>
      </c>
      <c r="N113" s="168" t="n">
        <f aca="false">'VOL DWNLD'!N113+'VOL DELTA'!N113</f>
        <v>1</v>
      </c>
      <c r="O113" s="168" t="n">
        <f aca="false">'VOL DWNLD'!O113+'VOL DELTA'!O113</f>
        <v>1</v>
      </c>
      <c r="P113" s="168" t="n">
        <f aca="false">'VOL DWNLD'!P113+'VOL DELTA'!P113</f>
        <v>1.03</v>
      </c>
      <c r="Q113" s="168" t="n">
        <f aca="false">'VOL DWNLD'!Q113+'VOL DELTA'!Q113</f>
        <v>1</v>
      </c>
      <c r="R113" s="168" t="n">
        <f aca="false">'VOL DWNLD'!R113+'VOL DELTA'!R113</f>
        <v>1</v>
      </c>
      <c r="S113" s="168" t="n">
        <f aca="false">'VOL DWNLD'!S113+'VOL DELTA'!S113</f>
        <v>1.02</v>
      </c>
      <c r="T113" s="168" t="n">
        <f aca="false">'VOL DWNLD'!T113+'VOL DELTA'!T113</f>
        <v>1</v>
      </c>
      <c r="U113" s="168" t="n">
        <f aca="false">'VOL DWNLD'!U113+'VOL DELTA'!U113</f>
        <v>1</v>
      </c>
      <c r="V113" s="168" t="n">
        <f aca="false">'VOL DWNLD'!V113+'VOL DELTA'!V113</f>
        <v>1</v>
      </c>
      <c r="W113" s="168" t="n">
        <f aca="false">'VOL DWNLD'!W113+'VOL DELTA'!W113</f>
        <v>1</v>
      </c>
      <c r="X113" s="168" t="n">
        <f aca="false">'VOL DWNLD'!X113+'VOL DELTA'!X113</f>
        <v>1</v>
      </c>
      <c r="Y113" s="168" t="n">
        <f aca="false">'VOL DWNLD'!Y113+'VOL DELTA'!Y113</f>
        <v>1</v>
      </c>
      <c r="Z113" s="168" t="n">
        <f aca="false">'VOL DWNLD'!Z113+'VOL DELTA'!Z113</f>
        <v>1</v>
      </c>
      <c r="AA113" s="168" t="n">
        <f aca="false">'VOL DWNLD'!AA113+'VOL DELTA'!AA113</f>
        <v>1</v>
      </c>
      <c r="AB113" s="168" t="n">
        <f aca="false">'VOL DWNLD'!AB113+'VOL DELTA'!AB113</f>
        <v>1</v>
      </c>
      <c r="AC113" s="168" t="n">
        <f aca="false">'VOL DWNLD'!AC113+'VOL DELTA'!AC113</f>
        <v>1</v>
      </c>
      <c r="AD113" s="168" t="n">
        <f aca="false">'VOL DWNLD'!AD113+'VOL DELTA'!AD113</f>
        <v>1</v>
      </c>
      <c r="AE113" s="168" t="n">
        <f aca="false">'VOL DWNLD'!AE113+'VOL DELTA'!AE113</f>
        <v>1</v>
      </c>
      <c r="AF113" s="168" t="n">
        <f aca="false">'VOL DWNLD'!AF113+'VOL DELTA'!AF113</f>
        <v>1.1</v>
      </c>
      <c r="AG113" s="168" t="n">
        <f aca="false">'VOL DWNLD'!AG113+'VOL DELTA'!AG113</f>
        <v>1.1</v>
      </c>
      <c r="AH113" s="168" t="n">
        <f aca="false">'VOL DWNLD'!AH113+'VOL DELTA'!AH113</f>
        <v>1.05</v>
      </c>
      <c r="AI113" s="168" t="n">
        <f aca="false">'VOL DWNLD'!AI113+'VOL DELTA'!AI113</f>
        <v>1</v>
      </c>
      <c r="AJ113" s="168" t="n">
        <f aca="false">'VOL DWNLD'!AJ113+'VOL DELTA'!AJ113</f>
        <v>1</v>
      </c>
      <c r="AK113" s="168" t="n">
        <f aca="false">'VOL DWNLD'!AK113+'VOL DELTA'!AK113</f>
        <v>1.02</v>
      </c>
      <c r="AL113" s="168" t="n">
        <f aca="false">'VOL DWNLD'!AL113+'VOL DELTA'!AL113</f>
        <v>1</v>
      </c>
      <c r="AM113" s="168" t="n">
        <f aca="false">'VOL DWNLD'!AM113+'VOL DELTA'!AM113</f>
        <v>1</v>
      </c>
      <c r="AN113" s="168" t="n">
        <f aca="false">'VOL DWNLD'!AN113+'VOL DELTA'!AN113</f>
        <v>1</v>
      </c>
      <c r="AO113" s="168" t="n">
        <f aca="false">'VOL DWNLD'!AO113+'VOL DELTA'!AO113</f>
        <v>1</v>
      </c>
    </row>
    <row r="114" customFormat="false" ht="12.75" hidden="false" customHeight="false" outlineLevel="0" collapsed="false">
      <c r="A114" s="167" t="n">
        <v>40148</v>
      </c>
      <c r="B114" s="168" t="n">
        <f aca="false">'VOL DWNLD'!B114+'VOL DELTA'!B114</f>
        <v>1</v>
      </c>
      <c r="C114" s="168" t="n">
        <f aca="false">'VOL DWNLD'!C114+'VOL DELTA'!C114</f>
        <v>1</v>
      </c>
      <c r="D114" s="168" t="n">
        <f aca="false">'VOL DWNLD'!D114+'VOL DELTA'!D114</f>
        <v>1</v>
      </c>
      <c r="E114" s="168" t="n">
        <f aca="false">'VOL DWNLD'!E114+'VOL DELTA'!E114</f>
        <v>1</v>
      </c>
      <c r="F114" s="168" t="n">
        <f aca="false">'VOL DWNLD'!F114+'VOL DELTA'!F114</f>
        <v>1</v>
      </c>
      <c r="G114" s="168" t="n">
        <f aca="false">'VOL DWNLD'!G114+'VOL DELTA'!G114</f>
        <v>1</v>
      </c>
      <c r="H114" s="168" t="n">
        <f aca="false">'VOL DWNLD'!H114+'VOL DELTA'!H114</f>
        <v>1</v>
      </c>
      <c r="I114" s="168" t="n">
        <f aca="false">'VOL DWNLD'!I114+'VOL DELTA'!I114</f>
        <v>1</v>
      </c>
      <c r="J114" s="168" t="n">
        <f aca="false">'VOL DWNLD'!J114+'VOL DELTA'!J114</f>
        <v>1</v>
      </c>
      <c r="K114" s="168" t="n">
        <f aca="false">'VOL DWNLD'!K114+'VOL DELTA'!K114</f>
        <v>1</v>
      </c>
      <c r="L114" s="168" t="n">
        <f aca="false">'VOL DWNLD'!L114+'VOL DELTA'!L114</f>
        <v>1</v>
      </c>
      <c r="M114" s="168" t="n">
        <f aca="false">'VOL DWNLD'!M114+'VOL DELTA'!M114</f>
        <v>1</v>
      </c>
      <c r="N114" s="168" t="n">
        <f aca="false">'VOL DWNLD'!N114+'VOL DELTA'!N114</f>
        <v>1</v>
      </c>
      <c r="O114" s="168" t="n">
        <f aca="false">'VOL DWNLD'!O114+'VOL DELTA'!O114</f>
        <v>1</v>
      </c>
      <c r="P114" s="168" t="n">
        <f aca="false">'VOL DWNLD'!P114+'VOL DELTA'!P114</f>
        <v>1.03</v>
      </c>
      <c r="Q114" s="168" t="n">
        <f aca="false">'VOL DWNLD'!Q114+'VOL DELTA'!Q114</f>
        <v>1</v>
      </c>
      <c r="R114" s="168" t="n">
        <f aca="false">'VOL DWNLD'!R114+'VOL DELTA'!R114</f>
        <v>1</v>
      </c>
      <c r="S114" s="168" t="n">
        <f aca="false">'VOL DWNLD'!S114+'VOL DELTA'!S114</f>
        <v>1.02</v>
      </c>
      <c r="T114" s="168" t="n">
        <f aca="false">'VOL DWNLD'!T114+'VOL DELTA'!T114</f>
        <v>1</v>
      </c>
      <c r="U114" s="168" t="n">
        <f aca="false">'VOL DWNLD'!U114+'VOL DELTA'!U114</f>
        <v>1</v>
      </c>
      <c r="V114" s="168" t="n">
        <f aca="false">'VOL DWNLD'!V114+'VOL DELTA'!V114</f>
        <v>1</v>
      </c>
      <c r="W114" s="168" t="n">
        <f aca="false">'VOL DWNLD'!W114+'VOL DELTA'!W114</f>
        <v>1</v>
      </c>
      <c r="X114" s="168" t="n">
        <f aca="false">'VOL DWNLD'!X114+'VOL DELTA'!X114</f>
        <v>1</v>
      </c>
      <c r="Y114" s="168" t="n">
        <f aca="false">'VOL DWNLD'!Y114+'VOL DELTA'!Y114</f>
        <v>1</v>
      </c>
      <c r="Z114" s="168" t="n">
        <f aca="false">'VOL DWNLD'!Z114+'VOL DELTA'!Z114</f>
        <v>1</v>
      </c>
      <c r="AA114" s="168" t="n">
        <f aca="false">'VOL DWNLD'!AA114+'VOL DELTA'!AA114</f>
        <v>1</v>
      </c>
      <c r="AB114" s="168" t="n">
        <f aca="false">'VOL DWNLD'!AB114+'VOL DELTA'!AB114</f>
        <v>1</v>
      </c>
      <c r="AC114" s="168" t="n">
        <f aca="false">'VOL DWNLD'!AC114+'VOL DELTA'!AC114</f>
        <v>1</v>
      </c>
      <c r="AD114" s="168" t="n">
        <f aca="false">'VOL DWNLD'!AD114+'VOL DELTA'!AD114</f>
        <v>1</v>
      </c>
      <c r="AE114" s="168" t="n">
        <f aca="false">'VOL DWNLD'!AE114+'VOL DELTA'!AE114</f>
        <v>1</v>
      </c>
      <c r="AF114" s="168" t="n">
        <f aca="false">'VOL DWNLD'!AF114+'VOL DELTA'!AF114</f>
        <v>1.1</v>
      </c>
      <c r="AG114" s="168" t="n">
        <f aca="false">'VOL DWNLD'!AG114+'VOL DELTA'!AG114</f>
        <v>1.1</v>
      </c>
      <c r="AH114" s="168" t="n">
        <f aca="false">'VOL DWNLD'!AH114+'VOL DELTA'!AH114</f>
        <v>1.05</v>
      </c>
      <c r="AI114" s="168" t="n">
        <f aca="false">'VOL DWNLD'!AI114+'VOL DELTA'!AI114</f>
        <v>1</v>
      </c>
      <c r="AJ114" s="168" t="n">
        <f aca="false">'VOL DWNLD'!AJ114+'VOL DELTA'!AJ114</f>
        <v>1</v>
      </c>
      <c r="AK114" s="168" t="n">
        <f aca="false">'VOL DWNLD'!AK114+'VOL DELTA'!AK114</f>
        <v>1.02</v>
      </c>
      <c r="AL114" s="168" t="n">
        <f aca="false">'VOL DWNLD'!AL114+'VOL DELTA'!AL114</f>
        <v>1</v>
      </c>
      <c r="AM114" s="168" t="n">
        <f aca="false">'VOL DWNLD'!AM114+'VOL DELTA'!AM114</f>
        <v>1</v>
      </c>
      <c r="AN114" s="168" t="n">
        <f aca="false">'VOL DWNLD'!AN114+'VOL DELTA'!AN114</f>
        <v>1</v>
      </c>
      <c r="AO114" s="168" t="n">
        <f aca="false">'VOL DWNLD'!AO114+'VOL DELTA'!AO114</f>
        <v>1</v>
      </c>
    </row>
    <row r="115" customFormat="false" ht="12.75" hidden="false" customHeight="false" outlineLevel="0" collapsed="false">
      <c r="A115" s="167" t="n">
        <v>40179</v>
      </c>
      <c r="B115" s="168" t="n">
        <f aca="false">'VOL DWNLD'!B115+'VOL DELTA'!B115</f>
        <v>1</v>
      </c>
      <c r="C115" s="168" t="n">
        <f aca="false">'VOL DWNLD'!C115+'VOL DELTA'!C115</f>
        <v>1</v>
      </c>
      <c r="D115" s="168" t="n">
        <f aca="false">'VOL DWNLD'!D115+'VOL DELTA'!D115</f>
        <v>1</v>
      </c>
      <c r="E115" s="168" t="n">
        <f aca="false">'VOL DWNLD'!E115+'VOL DELTA'!E115</f>
        <v>1</v>
      </c>
      <c r="F115" s="168" t="n">
        <f aca="false">'VOL DWNLD'!F115+'VOL DELTA'!F115</f>
        <v>1</v>
      </c>
      <c r="G115" s="168" t="n">
        <f aca="false">'VOL DWNLD'!G115+'VOL DELTA'!G115</f>
        <v>1</v>
      </c>
      <c r="H115" s="168" t="n">
        <f aca="false">'VOL DWNLD'!H115+'VOL DELTA'!H115</f>
        <v>1</v>
      </c>
      <c r="I115" s="168" t="n">
        <f aca="false">'VOL DWNLD'!I115+'VOL DELTA'!I115</f>
        <v>1</v>
      </c>
      <c r="J115" s="168" t="n">
        <f aca="false">'VOL DWNLD'!J115+'VOL DELTA'!J115</f>
        <v>1</v>
      </c>
      <c r="K115" s="168" t="n">
        <f aca="false">'VOL DWNLD'!K115+'VOL DELTA'!K115</f>
        <v>1</v>
      </c>
      <c r="L115" s="168" t="n">
        <f aca="false">'VOL DWNLD'!L115+'VOL DELTA'!L115</f>
        <v>1</v>
      </c>
      <c r="M115" s="168" t="n">
        <f aca="false">'VOL DWNLD'!M115+'VOL DELTA'!M115</f>
        <v>1</v>
      </c>
      <c r="N115" s="168" t="n">
        <f aca="false">'VOL DWNLD'!N115+'VOL DELTA'!N115</f>
        <v>1</v>
      </c>
      <c r="O115" s="168" t="n">
        <f aca="false">'VOL DWNLD'!O115+'VOL DELTA'!O115</f>
        <v>1</v>
      </c>
      <c r="P115" s="168" t="n">
        <f aca="false">'VOL DWNLD'!P115+'VOL DELTA'!P115</f>
        <v>1.03</v>
      </c>
      <c r="Q115" s="168" t="n">
        <f aca="false">'VOL DWNLD'!Q115+'VOL DELTA'!Q115</f>
        <v>1</v>
      </c>
      <c r="R115" s="168" t="n">
        <f aca="false">'VOL DWNLD'!R115+'VOL DELTA'!R115</f>
        <v>1</v>
      </c>
      <c r="S115" s="168" t="n">
        <f aca="false">'VOL DWNLD'!S115+'VOL DELTA'!S115</f>
        <v>1.02</v>
      </c>
      <c r="T115" s="168" t="n">
        <f aca="false">'VOL DWNLD'!T115+'VOL DELTA'!T115</f>
        <v>1</v>
      </c>
      <c r="U115" s="168" t="n">
        <f aca="false">'VOL DWNLD'!U115+'VOL DELTA'!U115</f>
        <v>1</v>
      </c>
      <c r="V115" s="168" t="n">
        <f aca="false">'VOL DWNLD'!V115+'VOL DELTA'!V115</f>
        <v>1</v>
      </c>
      <c r="W115" s="168" t="n">
        <f aca="false">'VOL DWNLD'!W115+'VOL DELTA'!W115</f>
        <v>1</v>
      </c>
      <c r="X115" s="168" t="n">
        <f aca="false">'VOL DWNLD'!X115+'VOL DELTA'!X115</f>
        <v>1</v>
      </c>
      <c r="Y115" s="168" t="n">
        <f aca="false">'VOL DWNLD'!Y115+'VOL DELTA'!Y115</f>
        <v>1</v>
      </c>
      <c r="Z115" s="168" t="n">
        <f aca="false">'VOL DWNLD'!Z115+'VOL DELTA'!Z115</f>
        <v>1</v>
      </c>
      <c r="AA115" s="168" t="n">
        <f aca="false">'VOL DWNLD'!AA115+'VOL DELTA'!AA115</f>
        <v>1</v>
      </c>
      <c r="AB115" s="168" t="n">
        <f aca="false">'VOL DWNLD'!AB115+'VOL DELTA'!AB115</f>
        <v>1</v>
      </c>
      <c r="AC115" s="168" t="n">
        <f aca="false">'VOL DWNLD'!AC115+'VOL DELTA'!AC115</f>
        <v>1</v>
      </c>
      <c r="AD115" s="168" t="n">
        <f aca="false">'VOL DWNLD'!AD115+'VOL DELTA'!AD115</f>
        <v>1</v>
      </c>
      <c r="AE115" s="168" t="n">
        <f aca="false">'VOL DWNLD'!AE115+'VOL DELTA'!AE115</f>
        <v>1</v>
      </c>
      <c r="AF115" s="168" t="n">
        <f aca="false">'VOL DWNLD'!AF115+'VOL DELTA'!AF115</f>
        <v>1.1</v>
      </c>
      <c r="AG115" s="168" t="n">
        <f aca="false">'VOL DWNLD'!AG115+'VOL DELTA'!AG115</f>
        <v>1.1</v>
      </c>
      <c r="AH115" s="168" t="n">
        <f aca="false">'VOL DWNLD'!AH115+'VOL DELTA'!AH115</f>
        <v>1.05</v>
      </c>
      <c r="AI115" s="168" t="n">
        <f aca="false">'VOL DWNLD'!AI115+'VOL DELTA'!AI115</f>
        <v>1</v>
      </c>
      <c r="AJ115" s="168" t="n">
        <f aca="false">'VOL DWNLD'!AJ115+'VOL DELTA'!AJ115</f>
        <v>1</v>
      </c>
      <c r="AK115" s="168" t="n">
        <f aca="false">'VOL DWNLD'!AK115+'VOL DELTA'!AK115</f>
        <v>1.02</v>
      </c>
      <c r="AL115" s="168" t="n">
        <f aca="false">'VOL DWNLD'!AL115+'VOL DELTA'!AL115</f>
        <v>1</v>
      </c>
      <c r="AM115" s="168" t="n">
        <f aca="false">'VOL DWNLD'!AM115+'VOL DELTA'!AM115</f>
        <v>1</v>
      </c>
      <c r="AN115" s="168" t="n">
        <f aca="false">'VOL DWNLD'!AN115+'VOL DELTA'!AN115</f>
        <v>1</v>
      </c>
      <c r="AO115" s="168" t="n">
        <f aca="false">'VOL DWNLD'!AO115+'VOL DELTA'!AO115</f>
        <v>1</v>
      </c>
    </row>
    <row r="116" customFormat="false" ht="12.75" hidden="false" customHeight="false" outlineLevel="0" collapsed="false">
      <c r="A116" s="167" t="n">
        <v>40210</v>
      </c>
      <c r="B116" s="168" t="n">
        <f aca="false">'VOL DWNLD'!B116+'VOL DELTA'!B116</f>
        <v>1</v>
      </c>
      <c r="C116" s="168" t="n">
        <f aca="false">'VOL DWNLD'!C116+'VOL DELTA'!C116</f>
        <v>1</v>
      </c>
      <c r="D116" s="168" t="n">
        <f aca="false">'VOL DWNLD'!D116+'VOL DELTA'!D116</f>
        <v>1</v>
      </c>
      <c r="E116" s="168" t="n">
        <f aca="false">'VOL DWNLD'!E116+'VOL DELTA'!E116</f>
        <v>1</v>
      </c>
      <c r="F116" s="168" t="n">
        <f aca="false">'VOL DWNLD'!F116+'VOL DELTA'!F116</f>
        <v>1</v>
      </c>
      <c r="G116" s="168" t="n">
        <f aca="false">'VOL DWNLD'!G116+'VOL DELTA'!G116</f>
        <v>1</v>
      </c>
      <c r="H116" s="168" t="n">
        <f aca="false">'VOL DWNLD'!H116+'VOL DELTA'!H116</f>
        <v>1</v>
      </c>
      <c r="I116" s="168" t="n">
        <f aca="false">'VOL DWNLD'!I116+'VOL DELTA'!I116</f>
        <v>1</v>
      </c>
      <c r="J116" s="168" t="n">
        <f aca="false">'VOL DWNLD'!J116+'VOL DELTA'!J116</f>
        <v>1</v>
      </c>
      <c r="K116" s="168" t="n">
        <f aca="false">'VOL DWNLD'!K116+'VOL DELTA'!K116</f>
        <v>1</v>
      </c>
      <c r="L116" s="168" t="n">
        <f aca="false">'VOL DWNLD'!L116+'VOL DELTA'!L116</f>
        <v>1</v>
      </c>
      <c r="M116" s="168" t="n">
        <f aca="false">'VOL DWNLD'!M116+'VOL DELTA'!M116</f>
        <v>1</v>
      </c>
      <c r="N116" s="168" t="n">
        <f aca="false">'VOL DWNLD'!N116+'VOL DELTA'!N116</f>
        <v>1</v>
      </c>
      <c r="O116" s="168" t="n">
        <f aca="false">'VOL DWNLD'!O116+'VOL DELTA'!O116</f>
        <v>1</v>
      </c>
      <c r="P116" s="168" t="n">
        <f aca="false">'VOL DWNLD'!P116+'VOL DELTA'!P116</f>
        <v>1.03</v>
      </c>
      <c r="Q116" s="168" t="n">
        <f aca="false">'VOL DWNLD'!Q116+'VOL DELTA'!Q116</f>
        <v>1</v>
      </c>
      <c r="R116" s="168" t="n">
        <f aca="false">'VOL DWNLD'!R116+'VOL DELTA'!R116</f>
        <v>1</v>
      </c>
      <c r="S116" s="168" t="n">
        <f aca="false">'VOL DWNLD'!S116+'VOL DELTA'!S116</f>
        <v>1.02</v>
      </c>
      <c r="T116" s="168" t="n">
        <f aca="false">'VOL DWNLD'!T116+'VOL DELTA'!T116</f>
        <v>1</v>
      </c>
      <c r="U116" s="168" t="n">
        <f aca="false">'VOL DWNLD'!U116+'VOL DELTA'!U116</f>
        <v>1</v>
      </c>
      <c r="V116" s="168" t="n">
        <f aca="false">'VOL DWNLD'!V116+'VOL DELTA'!V116</f>
        <v>1</v>
      </c>
      <c r="W116" s="168" t="n">
        <f aca="false">'VOL DWNLD'!W116+'VOL DELTA'!W116</f>
        <v>1</v>
      </c>
      <c r="X116" s="168" t="n">
        <f aca="false">'VOL DWNLD'!X116+'VOL DELTA'!X116</f>
        <v>1</v>
      </c>
      <c r="Y116" s="168" t="n">
        <f aca="false">'VOL DWNLD'!Y116+'VOL DELTA'!Y116</f>
        <v>1</v>
      </c>
      <c r="Z116" s="168" t="n">
        <f aca="false">'VOL DWNLD'!Z116+'VOL DELTA'!Z116</f>
        <v>1</v>
      </c>
      <c r="AA116" s="168" t="n">
        <f aca="false">'VOL DWNLD'!AA116+'VOL DELTA'!AA116</f>
        <v>1</v>
      </c>
      <c r="AB116" s="168" t="n">
        <f aca="false">'VOL DWNLD'!AB116+'VOL DELTA'!AB116</f>
        <v>1</v>
      </c>
      <c r="AC116" s="168" t="n">
        <f aca="false">'VOL DWNLD'!AC116+'VOL DELTA'!AC116</f>
        <v>1</v>
      </c>
      <c r="AD116" s="168" t="n">
        <f aca="false">'VOL DWNLD'!AD116+'VOL DELTA'!AD116</f>
        <v>1</v>
      </c>
      <c r="AE116" s="168" t="n">
        <f aca="false">'VOL DWNLD'!AE116+'VOL DELTA'!AE116</f>
        <v>1</v>
      </c>
      <c r="AF116" s="168" t="n">
        <f aca="false">'VOL DWNLD'!AF116+'VOL DELTA'!AF116</f>
        <v>1.1</v>
      </c>
      <c r="AG116" s="168" t="n">
        <f aca="false">'VOL DWNLD'!AG116+'VOL DELTA'!AG116</f>
        <v>1.1</v>
      </c>
      <c r="AH116" s="168" t="n">
        <f aca="false">'VOL DWNLD'!AH116+'VOL DELTA'!AH116</f>
        <v>1.05</v>
      </c>
      <c r="AI116" s="168" t="n">
        <f aca="false">'VOL DWNLD'!AI116+'VOL DELTA'!AI116</f>
        <v>1</v>
      </c>
      <c r="AJ116" s="168" t="n">
        <f aca="false">'VOL DWNLD'!AJ116+'VOL DELTA'!AJ116</f>
        <v>1</v>
      </c>
      <c r="AK116" s="168" t="n">
        <f aca="false">'VOL DWNLD'!AK116+'VOL DELTA'!AK116</f>
        <v>1.02</v>
      </c>
      <c r="AL116" s="168" t="n">
        <f aca="false">'VOL DWNLD'!AL116+'VOL DELTA'!AL116</f>
        <v>1</v>
      </c>
      <c r="AM116" s="168" t="n">
        <f aca="false">'VOL DWNLD'!AM116+'VOL DELTA'!AM116</f>
        <v>1</v>
      </c>
      <c r="AN116" s="168" t="n">
        <f aca="false">'VOL DWNLD'!AN116+'VOL DELTA'!AN116</f>
        <v>1</v>
      </c>
      <c r="AO116" s="168" t="n">
        <f aca="false">'VOL DWNLD'!AO116+'VOL DELTA'!AO116</f>
        <v>1</v>
      </c>
    </row>
    <row r="117" customFormat="false" ht="12.75" hidden="false" customHeight="false" outlineLevel="0" collapsed="false">
      <c r="A117" s="167" t="n">
        <v>40238</v>
      </c>
      <c r="B117" s="168" t="n">
        <f aca="false">'VOL DWNLD'!B117+'VOL DELTA'!B117</f>
        <v>1</v>
      </c>
      <c r="C117" s="168" t="n">
        <f aca="false">'VOL DWNLD'!C117+'VOL DELTA'!C117</f>
        <v>1</v>
      </c>
      <c r="D117" s="168" t="n">
        <f aca="false">'VOL DWNLD'!D117+'VOL DELTA'!D117</f>
        <v>1</v>
      </c>
      <c r="E117" s="168" t="n">
        <f aca="false">'VOL DWNLD'!E117+'VOL DELTA'!E117</f>
        <v>1</v>
      </c>
      <c r="F117" s="168" t="n">
        <f aca="false">'VOL DWNLD'!F117+'VOL DELTA'!F117</f>
        <v>1</v>
      </c>
      <c r="G117" s="168" t="n">
        <f aca="false">'VOL DWNLD'!G117+'VOL DELTA'!G117</f>
        <v>1</v>
      </c>
      <c r="H117" s="168" t="n">
        <f aca="false">'VOL DWNLD'!H117+'VOL DELTA'!H117</f>
        <v>1</v>
      </c>
      <c r="I117" s="168" t="n">
        <f aca="false">'VOL DWNLD'!I117+'VOL DELTA'!I117</f>
        <v>1</v>
      </c>
      <c r="J117" s="168" t="n">
        <f aca="false">'VOL DWNLD'!J117+'VOL DELTA'!J117</f>
        <v>1</v>
      </c>
      <c r="K117" s="168" t="n">
        <f aca="false">'VOL DWNLD'!K117+'VOL DELTA'!K117</f>
        <v>1</v>
      </c>
      <c r="L117" s="168" t="n">
        <f aca="false">'VOL DWNLD'!L117+'VOL DELTA'!L117</f>
        <v>1</v>
      </c>
      <c r="M117" s="168" t="n">
        <f aca="false">'VOL DWNLD'!M117+'VOL DELTA'!M117</f>
        <v>1</v>
      </c>
      <c r="N117" s="168" t="n">
        <f aca="false">'VOL DWNLD'!N117+'VOL DELTA'!N117</f>
        <v>1</v>
      </c>
      <c r="O117" s="168" t="n">
        <f aca="false">'VOL DWNLD'!O117+'VOL DELTA'!O117</f>
        <v>1</v>
      </c>
      <c r="P117" s="168" t="n">
        <f aca="false">'VOL DWNLD'!P117+'VOL DELTA'!P117</f>
        <v>1.03</v>
      </c>
      <c r="Q117" s="168" t="n">
        <f aca="false">'VOL DWNLD'!Q117+'VOL DELTA'!Q117</f>
        <v>1</v>
      </c>
      <c r="R117" s="168" t="n">
        <f aca="false">'VOL DWNLD'!R117+'VOL DELTA'!R117</f>
        <v>1</v>
      </c>
      <c r="S117" s="168" t="n">
        <f aca="false">'VOL DWNLD'!S117+'VOL DELTA'!S117</f>
        <v>1.02</v>
      </c>
      <c r="T117" s="168" t="n">
        <f aca="false">'VOL DWNLD'!T117+'VOL DELTA'!T117</f>
        <v>1</v>
      </c>
      <c r="U117" s="168" t="n">
        <f aca="false">'VOL DWNLD'!U117+'VOL DELTA'!U117</f>
        <v>1</v>
      </c>
      <c r="V117" s="168" t="n">
        <f aca="false">'VOL DWNLD'!V117+'VOL DELTA'!V117</f>
        <v>1</v>
      </c>
      <c r="W117" s="168" t="n">
        <f aca="false">'VOL DWNLD'!W117+'VOL DELTA'!W117</f>
        <v>1</v>
      </c>
      <c r="X117" s="168" t="n">
        <f aca="false">'VOL DWNLD'!X117+'VOL DELTA'!X117</f>
        <v>1</v>
      </c>
      <c r="Y117" s="168" t="n">
        <f aca="false">'VOL DWNLD'!Y117+'VOL DELTA'!Y117</f>
        <v>1</v>
      </c>
      <c r="Z117" s="168" t="n">
        <f aca="false">'VOL DWNLD'!Z117+'VOL DELTA'!Z117</f>
        <v>1</v>
      </c>
      <c r="AA117" s="168" t="n">
        <f aca="false">'VOL DWNLD'!AA117+'VOL DELTA'!AA117</f>
        <v>1</v>
      </c>
      <c r="AB117" s="168" t="n">
        <f aca="false">'VOL DWNLD'!AB117+'VOL DELTA'!AB117</f>
        <v>1</v>
      </c>
      <c r="AC117" s="168" t="n">
        <f aca="false">'VOL DWNLD'!AC117+'VOL DELTA'!AC117</f>
        <v>1</v>
      </c>
      <c r="AD117" s="168" t="n">
        <f aca="false">'VOL DWNLD'!AD117+'VOL DELTA'!AD117</f>
        <v>1</v>
      </c>
      <c r="AE117" s="168" t="n">
        <f aca="false">'VOL DWNLD'!AE117+'VOL DELTA'!AE117</f>
        <v>1</v>
      </c>
      <c r="AF117" s="168" t="n">
        <f aca="false">'VOL DWNLD'!AF117+'VOL DELTA'!AF117</f>
        <v>1.1</v>
      </c>
      <c r="AG117" s="168" t="n">
        <f aca="false">'VOL DWNLD'!AG117+'VOL DELTA'!AG117</f>
        <v>1.1</v>
      </c>
      <c r="AH117" s="168" t="n">
        <f aca="false">'VOL DWNLD'!AH117+'VOL DELTA'!AH117</f>
        <v>1.05</v>
      </c>
      <c r="AI117" s="168" t="n">
        <f aca="false">'VOL DWNLD'!AI117+'VOL DELTA'!AI117</f>
        <v>1</v>
      </c>
      <c r="AJ117" s="168" t="n">
        <f aca="false">'VOL DWNLD'!AJ117+'VOL DELTA'!AJ117</f>
        <v>1</v>
      </c>
      <c r="AK117" s="168" t="n">
        <f aca="false">'VOL DWNLD'!AK117+'VOL DELTA'!AK117</f>
        <v>1.02</v>
      </c>
      <c r="AL117" s="168" t="n">
        <f aca="false">'VOL DWNLD'!AL117+'VOL DELTA'!AL117</f>
        <v>1</v>
      </c>
      <c r="AM117" s="168" t="n">
        <f aca="false">'VOL DWNLD'!AM117+'VOL DELTA'!AM117</f>
        <v>1</v>
      </c>
      <c r="AN117" s="168" t="n">
        <f aca="false">'VOL DWNLD'!AN117+'VOL DELTA'!AN117</f>
        <v>1</v>
      </c>
      <c r="AO117" s="168" t="n">
        <f aca="false">'VOL DWNLD'!AO117+'VOL DELTA'!AO117</f>
        <v>1</v>
      </c>
    </row>
    <row r="118" customFormat="false" ht="12.75" hidden="false" customHeight="false" outlineLevel="0" collapsed="false">
      <c r="A118" s="167" t="n">
        <v>40269</v>
      </c>
      <c r="B118" s="168" t="n">
        <f aca="false">'VOL DWNLD'!B118+'VOL DELTA'!B118</f>
        <v>1</v>
      </c>
      <c r="C118" s="168" t="n">
        <f aca="false">'VOL DWNLD'!C118+'VOL DELTA'!C118</f>
        <v>1</v>
      </c>
      <c r="D118" s="168" t="n">
        <f aca="false">'VOL DWNLD'!D118+'VOL DELTA'!D118</f>
        <v>1</v>
      </c>
      <c r="E118" s="168" t="n">
        <f aca="false">'VOL DWNLD'!E118+'VOL DELTA'!E118</f>
        <v>1</v>
      </c>
      <c r="F118" s="168" t="n">
        <f aca="false">'VOL DWNLD'!F118+'VOL DELTA'!F118</f>
        <v>1</v>
      </c>
      <c r="G118" s="168" t="n">
        <f aca="false">'VOL DWNLD'!G118+'VOL DELTA'!G118</f>
        <v>1</v>
      </c>
      <c r="H118" s="168" t="n">
        <f aca="false">'VOL DWNLD'!H118+'VOL DELTA'!H118</f>
        <v>1</v>
      </c>
      <c r="I118" s="168" t="n">
        <f aca="false">'VOL DWNLD'!I118+'VOL DELTA'!I118</f>
        <v>1</v>
      </c>
      <c r="J118" s="168" t="n">
        <f aca="false">'VOL DWNLD'!J118+'VOL DELTA'!J118</f>
        <v>1</v>
      </c>
      <c r="K118" s="168" t="n">
        <f aca="false">'VOL DWNLD'!K118+'VOL DELTA'!K118</f>
        <v>1</v>
      </c>
      <c r="L118" s="168" t="n">
        <f aca="false">'VOL DWNLD'!L118+'VOL DELTA'!L118</f>
        <v>1</v>
      </c>
      <c r="M118" s="168" t="n">
        <f aca="false">'VOL DWNLD'!M118+'VOL DELTA'!M118</f>
        <v>1</v>
      </c>
      <c r="N118" s="168" t="n">
        <f aca="false">'VOL DWNLD'!N118+'VOL DELTA'!N118</f>
        <v>1</v>
      </c>
      <c r="O118" s="168" t="n">
        <f aca="false">'VOL DWNLD'!O118+'VOL DELTA'!O118</f>
        <v>1</v>
      </c>
      <c r="P118" s="168" t="n">
        <f aca="false">'VOL DWNLD'!P118+'VOL DELTA'!P118</f>
        <v>1.03</v>
      </c>
      <c r="Q118" s="168" t="n">
        <f aca="false">'VOL DWNLD'!Q118+'VOL DELTA'!Q118</f>
        <v>1</v>
      </c>
      <c r="R118" s="168" t="n">
        <f aca="false">'VOL DWNLD'!R118+'VOL DELTA'!R118</f>
        <v>1</v>
      </c>
      <c r="S118" s="168" t="n">
        <f aca="false">'VOL DWNLD'!S118+'VOL DELTA'!S118</f>
        <v>1.02</v>
      </c>
      <c r="T118" s="168" t="n">
        <f aca="false">'VOL DWNLD'!T118+'VOL DELTA'!T118</f>
        <v>1</v>
      </c>
      <c r="U118" s="168" t="n">
        <f aca="false">'VOL DWNLD'!U118+'VOL DELTA'!U118</f>
        <v>1</v>
      </c>
      <c r="V118" s="168" t="n">
        <f aca="false">'VOL DWNLD'!V118+'VOL DELTA'!V118</f>
        <v>1</v>
      </c>
      <c r="W118" s="168" t="n">
        <f aca="false">'VOL DWNLD'!W118+'VOL DELTA'!W118</f>
        <v>1</v>
      </c>
      <c r="X118" s="168" t="n">
        <f aca="false">'VOL DWNLD'!X118+'VOL DELTA'!X118</f>
        <v>1</v>
      </c>
      <c r="Y118" s="168" t="n">
        <f aca="false">'VOL DWNLD'!Y118+'VOL DELTA'!Y118</f>
        <v>1.02</v>
      </c>
      <c r="Z118" s="168" t="n">
        <f aca="false">'VOL DWNLD'!Z118+'VOL DELTA'!Z118</f>
        <v>1</v>
      </c>
      <c r="AA118" s="168" t="n">
        <f aca="false">'VOL DWNLD'!AA118+'VOL DELTA'!AA118</f>
        <v>1</v>
      </c>
      <c r="AB118" s="168" t="n">
        <f aca="false">'VOL DWNLD'!AB118+'VOL DELTA'!AB118</f>
        <v>1</v>
      </c>
      <c r="AC118" s="168" t="n">
        <f aca="false">'VOL DWNLD'!AC118+'VOL DELTA'!AC118</f>
        <v>1</v>
      </c>
      <c r="AD118" s="168" t="n">
        <f aca="false">'VOL DWNLD'!AD118+'VOL DELTA'!AD118</f>
        <v>0.98</v>
      </c>
      <c r="AE118" s="168" t="n">
        <f aca="false">'VOL DWNLD'!AE118+'VOL DELTA'!AE118</f>
        <v>0.98</v>
      </c>
      <c r="AF118" s="168" t="n">
        <f aca="false">'VOL DWNLD'!AF118+'VOL DELTA'!AF118</f>
        <v>0.98</v>
      </c>
      <c r="AG118" s="168" t="n">
        <f aca="false">'VOL DWNLD'!AG118+'VOL DELTA'!AG118</f>
        <v>0.98</v>
      </c>
      <c r="AH118" s="168" t="n">
        <f aca="false">'VOL DWNLD'!AH118+'VOL DELTA'!AH118</f>
        <v>1.05</v>
      </c>
      <c r="AI118" s="168" t="n">
        <f aca="false">'VOL DWNLD'!AI118+'VOL DELTA'!AI118</f>
        <v>1</v>
      </c>
      <c r="AJ118" s="168" t="n">
        <f aca="false">'VOL DWNLD'!AJ118+'VOL DELTA'!AJ118</f>
        <v>1</v>
      </c>
      <c r="AK118" s="168" t="n">
        <f aca="false">'VOL DWNLD'!AK118+'VOL DELTA'!AK118</f>
        <v>1.02</v>
      </c>
      <c r="AL118" s="168" t="n">
        <f aca="false">'VOL DWNLD'!AL118+'VOL DELTA'!AL118</f>
        <v>1</v>
      </c>
      <c r="AM118" s="168" t="n">
        <f aca="false">'VOL DWNLD'!AM118+'VOL DELTA'!AM118</f>
        <v>1</v>
      </c>
      <c r="AN118" s="168" t="n">
        <f aca="false">'VOL DWNLD'!AN118+'VOL DELTA'!AN118</f>
        <v>1</v>
      </c>
      <c r="AO118" s="168" t="n">
        <f aca="false">'VOL DWNLD'!AO118+'VOL DELTA'!AO118</f>
        <v>1</v>
      </c>
    </row>
    <row r="119" customFormat="false" ht="12.75" hidden="false" customHeight="false" outlineLevel="0" collapsed="false">
      <c r="A119" s="167" t="n">
        <v>40299</v>
      </c>
      <c r="B119" s="168" t="n">
        <f aca="false">'VOL DWNLD'!B119+'VOL DELTA'!B119</f>
        <v>1</v>
      </c>
      <c r="C119" s="168" t="n">
        <f aca="false">'VOL DWNLD'!C119+'VOL DELTA'!C119</f>
        <v>1</v>
      </c>
      <c r="D119" s="168" t="n">
        <f aca="false">'VOL DWNLD'!D119+'VOL DELTA'!D119</f>
        <v>1</v>
      </c>
      <c r="E119" s="168" t="n">
        <f aca="false">'VOL DWNLD'!E119+'VOL DELTA'!E119</f>
        <v>1</v>
      </c>
      <c r="F119" s="168" t="n">
        <f aca="false">'VOL DWNLD'!F119+'VOL DELTA'!F119</f>
        <v>1</v>
      </c>
      <c r="G119" s="168" t="n">
        <f aca="false">'VOL DWNLD'!G119+'VOL DELTA'!G119</f>
        <v>1</v>
      </c>
      <c r="H119" s="168" t="n">
        <f aca="false">'VOL DWNLD'!H119+'VOL DELTA'!H119</f>
        <v>1</v>
      </c>
      <c r="I119" s="168" t="n">
        <f aca="false">'VOL DWNLD'!I119+'VOL DELTA'!I119</f>
        <v>1</v>
      </c>
      <c r="J119" s="168" t="n">
        <f aca="false">'VOL DWNLD'!J119+'VOL DELTA'!J119</f>
        <v>1</v>
      </c>
      <c r="K119" s="168" t="n">
        <f aca="false">'VOL DWNLD'!K119+'VOL DELTA'!K119</f>
        <v>1</v>
      </c>
      <c r="L119" s="168" t="n">
        <f aca="false">'VOL DWNLD'!L119+'VOL DELTA'!L119</f>
        <v>1</v>
      </c>
      <c r="M119" s="168" t="n">
        <f aca="false">'VOL DWNLD'!M119+'VOL DELTA'!M119</f>
        <v>1</v>
      </c>
      <c r="N119" s="168" t="n">
        <f aca="false">'VOL DWNLD'!N119+'VOL DELTA'!N119</f>
        <v>1</v>
      </c>
      <c r="O119" s="168" t="n">
        <f aca="false">'VOL DWNLD'!O119+'VOL DELTA'!O119</f>
        <v>1</v>
      </c>
      <c r="P119" s="168" t="n">
        <f aca="false">'VOL DWNLD'!P119+'VOL DELTA'!P119</f>
        <v>1.03</v>
      </c>
      <c r="Q119" s="168" t="n">
        <f aca="false">'VOL DWNLD'!Q119+'VOL DELTA'!Q119</f>
        <v>1</v>
      </c>
      <c r="R119" s="168" t="n">
        <f aca="false">'VOL DWNLD'!R119+'VOL DELTA'!R119</f>
        <v>1</v>
      </c>
      <c r="S119" s="168" t="n">
        <f aca="false">'VOL DWNLD'!S119+'VOL DELTA'!S119</f>
        <v>1.02</v>
      </c>
      <c r="T119" s="168" t="n">
        <f aca="false">'VOL DWNLD'!T119+'VOL DELTA'!T119</f>
        <v>1</v>
      </c>
      <c r="U119" s="168" t="n">
        <f aca="false">'VOL DWNLD'!U119+'VOL DELTA'!U119</f>
        <v>1</v>
      </c>
      <c r="V119" s="168" t="n">
        <f aca="false">'VOL DWNLD'!V119+'VOL DELTA'!V119</f>
        <v>1</v>
      </c>
      <c r="W119" s="168" t="n">
        <f aca="false">'VOL DWNLD'!W119+'VOL DELTA'!W119</f>
        <v>1</v>
      </c>
      <c r="X119" s="168" t="n">
        <f aca="false">'VOL DWNLD'!X119+'VOL DELTA'!X119</f>
        <v>1</v>
      </c>
      <c r="Y119" s="168" t="n">
        <f aca="false">'VOL DWNLD'!Y119+'VOL DELTA'!Y119</f>
        <v>1.02</v>
      </c>
      <c r="Z119" s="168" t="n">
        <f aca="false">'VOL DWNLD'!Z119+'VOL DELTA'!Z119</f>
        <v>1</v>
      </c>
      <c r="AA119" s="168" t="n">
        <f aca="false">'VOL DWNLD'!AA119+'VOL DELTA'!AA119</f>
        <v>1</v>
      </c>
      <c r="AB119" s="168" t="n">
        <f aca="false">'VOL DWNLD'!AB119+'VOL DELTA'!AB119</f>
        <v>1</v>
      </c>
      <c r="AC119" s="168" t="n">
        <f aca="false">'VOL DWNLD'!AC119+'VOL DELTA'!AC119</f>
        <v>1</v>
      </c>
      <c r="AD119" s="168" t="n">
        <f aca="false">'VOL DWNLD'!AD119+'VOL DELTA'!AD119</f>
        <v>0.98</v>
      </c>
      <c r="AE119" s="168" t="n">
        <f aca="false">'VOL DWNLD'!AE119+'VOL DELTA'!AE119</f>
        <v>0.98</v>
      </c>
      <c r="AF119" s="168" t="n">
        <f aca="false">'VOL DWNLD'!AF119+'VOL DELTA'!AF119</f>
        <v>0.98</v>
      </c>
      <c r="AG119" s="168" t="n">
        <f aca="false">'VOL DWNLD'!AG119+'VOL DELTA'!AG119</f>
        <v>0.98</v>
      </c>
      <c r="AH119" s="168" t="n">
        <f aca="false">'VOL DWNLD'!AH119+'VOL DELTA'!AH119</f>
        <v>1.05</v>
      </c>
      <c r="AI119" s="168" t="n">
        <f aca="false">'VOL DWNLD'!AI119+'VOL DELTA'!AI119</f>
        <v>1</v>
      </c>
      <c r="AJ119" s="168" t="n">
        <f aca="false">'VOL DWNLD'!AJ119+'VOL DELTA'!AJ119</f>
        <v>1</v>
      </c>
      <c r="AK119" s="168" t="n">
        <f aca="false">'VOL DWNLD'!AK119+'VOL DELTA'!AK119</f>
        <v>1.02</v>
      </c>
      <c r="AL119" s="168" t="n">
        <f aca="false">'VOL DWNLD'!AL119+'VOL DELTA'!AL119</f>
        <v>1</v>
      </c>
      <c r="AM119" s="168" t="n">
        <f aca="false">'VOL DWNLD'!AM119+'VOL DELTA'!AM119</f>
        <v>1</v>
      </c>
      <c r="AN119" s="168" t="n">
        <f aca="false">'VOL DWNLD'!AN119+'VOL DELTA'!AN119</f>
        <v>1</v>
      </c>
      <c r="AO119" s="168" t="n">
        <f aca="false">'VOL DWNLD'!AO119+'VOL DELTA'!AO119</f>
        <v>1</v>
      </c>
    </row>
    <row r="120" customFormat="false" ht="12.75" hidden="false" customHeight="false" outlineLevel="0" collapsed="false">
      <c r="A120" s="167" t="n">
        <v>40330</v>
      </c>
      <c r="B120" s="168" t="n">
        <f aca="false">'VOL DWNLD'!B120+'VOL DELTA'!B120</f>
        <v>1</v>
      </c>
      <c r="C120" s="168" t="n">
        <f aca="false">'VOL DWNLD'!C120+'VOL DELTA'!C120</f>
        <v>1</v>
      </c>
      <c r="D120" s="168" t="n">
        <f aca="false">'VOL DWNLD'!D120+'VOL DELTA'!D120</f>
        <v>1</v>
      </c>
      <c r="E120" s="168" t="n">
        <f aca="false">'VOL DWNLD'!E120+'VOL DELTA'!E120</f>
        <v>1</v>
      </c>
      <c r="F120" s="168" t="n">
        <f aca="false">'VOL DWNLD'!F120+'VOL DELTA'!F120</f>
        <v>1</v>
      </c>
      <c r="G120" s="168" t="n">
        <f aca="false">'VOL DWNLD'!G120+'VOL DELTA'!G120</f>
        <v>1</v>
      </c>
      <c r="H120" s="168" t="n">
        <f aca="false">'VOL DWNLD'!H120+'VOL DELTA'!H120</f>
        <v>1</v>
      </c>
      <c r="I120" s="168" t="n">
        <f aca="false">'VOL DWNLD'!I120+'VOL DELTA'!I120</f>
        <v>1</v>
      </c>
      <c r="J120" s="168" t="n">
        <f aca="false">'VOL DWNLD'!J120+'VOL DELTA'!J120</f>
        <v>1</v>
      </c>
      <c r="K120" s="168" t="n">
        <f aca="false">'VOL DWNLD'!K120+'VOL DELTA'!K120</f>
        <v>1</v>
      </c>
      <c r="L120" s="168" t="n">
        <f aca="false">'VOL DWNLD'!L120+'VOL DELTA'!L120</f>
        <v>1</v>
      </c>
      <c r="M120" s="168" t="n">
        <f aca="false">'VOL DWNLD'!M120+'VOL DELTA'!M120</f>
        <v>1</v>
      </c>
      <c r="N120" s="168" t="n">
        <f aca="false">'VOL DWNLD'!N120+'VOL DELTA'!N120</f>
        <v>1</v>
      </c>
      <c r="O120" s="168" t="n">
        <f aca="false">'VOL DWNLD'!O120+'VOL DELTA'!O120</f>
        <v>1</v>
      </c>
      <c r="P120" s="168" t="n">
        <f aca="false">'VOL DWNLD'!P120+'VOL DELTA'!P120</f>
        <v>1.03</v>
      </c>
      <c r="Q120" s="168" t="n">
        <f aca="false">'VOL DWNLD'!Q120+'VOL DELTA'!Q120</f>
        <v>1</v>
      </c>
      <c r="R120" s="168" t="n">
        <f aca="false">'VOL DWNLD'!R120+'VOL DELTA'!R120</f>
        <v>1</v>
      </c>
      <c r="S120" s="168" t="n">
        <f aca="false">'VOL DWNLD'!S120+'VOL DELTA'!S120</f>
        <v>1.02</v>
      </c>
      <c r="T120" s="168" t="n">
        <f aca="false">'VOL DWNLD'!T120+'VOL DELTA'!T120</f>
        <v>1</v>
      </c>
      <c r="U120" s="168" t="n">
        <f aca="false">'VOL DWNLD'!U120+'VOL DELTA'!U120</f>
        <v>1</v>
      </c>
      <c r="V120" s="168" t="n">
        <f aca="false">'VOL DWNLD'!V120+'VOL DELTA'!V120</f>
        <v>1</v>
      </c>
      <c r="W120" s="168" t="n">
        <f aca="false">'VOL DWNLD'!W120+'VOL DELTA'!W120</f>
        <v>1</v>
      </c>
      <c r="X120" s="168" t="n">
        <f aca="false">'VOL DWNLD'!X120+'VOL DELTA'!X120</f>
        <v>1</v>
      </c>
      <c r="Y120" s="168" t="n">
        <f aca="false">'VOL DWNLD'!Y120+'VOL DELTA'!Y120</f>
        <v>1.02</v>
      </c>
      <c r="Z120" s="168" t="n">
        <f aca="false">'VOL DWNLD'!Z120+'VOL DELTA'!Z120</f>
        <v>1</v>
      </c>
      <c r="AA120" s="168" t="n">
        <f aca="false">'VOL DWNLD'!AA120+'VOL DELTA'!AA120</f>
        <v>1</v>
      </c>
      <c r="AB120" s="168" t="n">
        <f aca="false">'VOL DWNLD'!AB120+'VOL DELTA'!AB120</f>
        <v>1</v>
      </c>
      <c r="AC120" s="168" t="n">
        <f aca="false">'VOL DWNLD'!AC120+'VOL DELTA'!AC120</f>
        <v>1</v>
      </c>
      <c r="AD120" s="168" t="n">
        <f aca="false">'VOL DWNLD'!AD120+'VOL DELTA'!AD120</f>
        <v>0.98</v>
      </c>
      <c r="AE120" s="168" t="n">
        <f aca="false">'VOL DWNLD'!AE120+'VOL DELTA'!AE120</f>
        <v>0.98</v>
      </c>
      <c r="AF120" s="168" t="n">
        <f aca="false">'VOL DWNLD'!AF120+'VOL DELTA'!AF120</f>
        <v>0.98</v>
      </c>
      <c r="AG120" s="168" t="n">
        <f aca="false">'VOL DWNLD'!AG120+'VOL DELTA'!AG120</f>
        <v>0.98</v>
      </c>
      <c r="AH120" s="168" t="n">
        <f aca="false">'VOL DWNLD'!AH120+'VOL DELTA'!AH120</f>
        <v>1.05</v>
      </c>
      <c r="AI120" s="168" t="n">
        <f aca="false">'VOL DWNLD'!AI120+'VOL DELTA'!AI120</f>
        <v>1</v>
      </c>
      <c r="AJ120" s="168" t="n">
        <f aca="false">'VOL DWNLD'!AJ120+'VOL DELTA'!AJ120</f>
        <v>1</v>
      </c>
      <c r="AK120" s="168" t="n">
        <f aca="false">'VOL DWNLD'!AK120+'VOL DELTA'!AK120</f>
        <v>1.02</v>
      </c>
      <c r="AL120" s="168" t="n">
        <f aca="false">'VOL DWNLD'!AL120+'VOL DELTA'!AL120</f>
        <v>1</v>
      </c>
      <c r="AM120" s="168" t="n">
        <f aca="false">'VOL DWNLD'!AM120+'VOL DELTA'!AM120</f>
        <v>1</v>
      </c>
      <c r="AN120" s="168" t="n">
        <f aca="false">'VOL DWNLD'!AN120+'VOL DELTA'!AN120</f>
        <v>1</v>
      </c>
      <c r="AO120" s="168" t="n">
        <f aca="false">'VOL DWNLD'!AO120+'VOL DELTA'!AO120</f>
        <v>1</v>
      </c>
    </row>
    <row r="121" customFormat="false" ht="12.75" hidden="false" customHeight="false" outlineLevel="0" collapsed="false">
      <c r="A121" s="167" t="n">
        <v>40360</v>
      </c>
      <c r="B121" s="168" t="n">
        <f aca="false">'VOL DWNLD'!B121+'VOL DELTA'!B121</f>
        <v>1</v>
      </c>
      <c r="C121" s="168" t="n">
        <f aca="false">'VOL DWNLD'!C121+'VOL DELTA'!C121</f>
        <v>1</v>
      </c>
      <c r="D121" s="168" t="n">
        <f aca="false">'VOL DWNLD'!D121+'VOL DELTA'!D121</f>
        <v>1</v>
      </c>
      <c r="E121" s="168" t="n">
        <f aca="false">'VOL DWNLD'!E121+'VOL DELTA'!E121</f>
        <v>1</v>
      </c>
      <c r="F121" s="168" t="n">
        <f aca="false">'VOL DWNLD'!F121+'VOL DELTA'!F121</f>
        <v>1</v>
      </c>
      <c r="G121" s="168" t="n">
        <f aca="false">'VOL DWNLD'!G121+'VOL DELTA'!G121</f>
        <v>1</v>
      </c>
      <c r="H121" s="168" t="n">
        <f aca="false">'VOL DWNLD'!H121+'VOL DELTA'!H121</f>
        <v>1</v>
      </c>
      <c r="I121" s="168" t="n">
        <f aca="false">'VOL DWNLD'!I121+'VOL DELTA'!I121</f>
        <v>1</v>
      </c>
      <c r="J121" s="168" t="n">
        <f aca="false">'VOL DWNLD'!J121+'VOL DELTA'!J121</f>
        <v>1</v>
      </c>
      <c r="K121" s="168" t="n">
        <f aca="false">'VOL DWNLD'!K121+'VOL DELTA'!K121</f>
        <v>1</v>
      </c>
      <c r="L121" s="168" t="n">
        <f aca="false">'VOL DWNLD'!L121+'VOL DELTA'!L121</f>
        <v>1</v>
      </c>
      <c r="M121" s="168" t="n">
        <f aca="false">'VOL DWNLD'!M121+'VOL DELTA'!M121</f>
        <v>1</v>
      </c>
      <c r="N121" s="168" t="n">
        <f aca="false">'VOL DWNLD'!N121+'VOL DELTA'!N121</f>
        <v>1</v>
      </c>
      <c r="O121" s="168" t="n">
        <f aca="false">'VOL DWNLD'!O121+'VOL DELTA'!O121</f>
        <v>1</v>
      </c>
      <c r="P121" s="168" t="n">
        <f aca="false">'VOL DWNLD'!P121+'VOL DELTA'!P121</f>
        <v>1.03</v>
      </c>
      <c r="Q121" s="168" t="n">
        <f aca="false">'VOL DWNLD'!Q121+'VOL DELTA'!Q121</f>
        <v>1</v>
      </c>
      <c r="R121" s="168" t="n">
        <f aca="false">'VOL DWNLD'!R121+'VOL DELTA'!R121</f>
        <v>1</v>
      </c>
      <c r="S121" s="168" t="n">
        <f aca="false">'VOL DWNLD'!S121+'VOL DELTA'!S121</f>
        <v>1.02</v>
      </c>
      <c r="T121" s="168" t="n">
        <f aca="false">'VOL DWNLD'!T121+'VOL DELTA'!T121</f>
        <v>1</v>
      </c>
      <c r="U121" s="168" t="n">
        <f aca="false">'VOL DWNLD'!U121+'VOL DELTA'!U121</f>
        <v>1</v>
      </c>
      <c r="V121" s="168" t="n">
        <f aca="false">'VOL DWNLD'!V121+'VOL DELTA'!V121</f>
        <v>1</v>
      </c>
      <c r="W121" s="168" t="n">
        <f aca="false">'VOL DWNLD'!W121+'VOL DELTA'!W121</f>
        <v>1</v>
      </c>
      <c r="X121" s="168" t="n">
        <f aca="false">'VOL DWNLD'!X121+'VOL DELTA'!X121</f>
        <v>1</v>
      </c>
      <c r="Y121" s="168" t="n">
        <f aca="false">'VOL DWNLD'!Y121+'VOL DELTA'!Y121</f>
        <v>1.02</v>
      </c>
      <c r="Z121" s="168" t="n">
        <f aca="false">'VOL DWNLD'!Z121+'VOL DELTA'!Z121</f>
        <v>1</v>
      </c>
      <c r="AA121" s="168" t="n">
        <f aca="false">'VOL DWNLD'!AA121+'VOL DELTA'!AA121</f>
        <v>1</v>
      </c>
      <c r="AB121" s="168" t="n">
        <f aca="false">'VOL DWNLD'!AB121+'VOL DELTA'!AB121</f>
        <v>1</v>
      </c>
      <c r="AC121" s="168" t="n">
        <f aca="false">'VOL DWNLD'!AC121+'VOL DELTA'!AC121</f>
        <v>1</v>
      </c>
      <c r="AD121" s="168" t="n">
        <f aca="false">'VOL DWNLD'!AD121+'VOL DELTA'!AD121</f>
        <v>0.98</v>
      </c>
      <c r="AE121" s="168" t="n">
        <f aca="false">'VOL DWNLD'!AE121+'VOL DELTA'!AE121</f>
        <v>0.98</v>
      </c>
      <c r="AF121" s="168" t="n">
        <f aca="false">'VOL DWNLD'!AF121+'VOL DELTA'!AF121</f>
        <v>0.98</v>
      </c>
      <c r="AG121" s="168" t="n">
        <f aca="false">'VOL DWNLD'!AG121+'VOL DELTA'!AG121</f>
        <v>0.98</v>
      </c>
      <c r="AH121" s="168" t="n">
        <f aca="false">'VOL DWNLD'!AH121+'VOL DELTA'!AH121</f>
        <v>1.05</v>
      </c>
      <c r="AI121" s="168" t="n">
        <f aca="false">'VOL DWNLD'!AI121+'VOL DELTA'!AI121</f>
        <v>1</v>
      </c>
      <c r="AJ121" s="168" t="n">
        <f aca="false">'VOL DWNLD'!AJ121+'VOL DELTA'!AJ121</f>
        <v>1</v>
      </c>
      <c r="AK121" s="168" t="n">
        <f aca="false">'VOL DWNLD'!AK121+'VOL DELTA'!AK121</f>
        <v>1.02</v>
      </c>
      <c r="AL121" s="168" t="n">
        <f aca="false">'VOL DWNLD'!AL121+'VOL DELTA'!AL121</f>
        <v>1</v>
      </c>
      <c r="AM121" s="168" t="n">
        <f aca="false">'VOL DWNLD'!AM121+'VOL DELTA'!AM121</f>
        <v>1</v>
      </c>
      <c r="AN121" s="168" t="n">
        <f aca="false">'VOL DWNLD'!AN121+'VOL DELTA'!AN121</f>
        <v>1</v>
      </c>
      <c r="AO121" s="168" t="n">
        <f aca="false">'VOL DWNLD'!AO121+'VOL DELTA'!AO121</f>
        <v>1</v>
      </c>
    </row>
    <row r="122" customFormat="false" ht="12.75" hidden="false" customHeight="false" outlineLevel="0" collapsed="false">
      <c r="A122" s="167" t="n">
        <v>40391</v>
      </c>
      <c r="B122" s="168" t="n">
        <f aca="false">'VOL DWNLD'!B122+'VOL DELTA'!B122</f>
        <v>1</v>
      </c>
      <c r="C122" s="168" t="n">
        <f aca="false">'VOL DWNLD'!C122+'VOL DELTA'!C122</f>
        <v>1</v>
      </c>
      <c r="D122" s="168" t="n">
        <f aca="false">'VOL DWNLD'!D122+'VOL DELTA'!D122</f>
        <v>1</v>
      </c>
      <c r="E122" s="168" t="n">
        <f aca="false">'VOL DWNLD'!E122+'VOL DELTA'!E122</f>
        <v>1</v>
      </c>
      <c r="F122" s="168" t="n">
        <f aca="false">'VOL DWNLD'!F122+'VOL DELTA'!F122</f>
        <v>1</v>
      </c>
      <c r="G122" s="168" t="n">
        <f aca="false">'VOL DWNLD'!G122+'VOL DELTA'!G122</f>
        <v>1</v>
      </c>
      <c r="H122" s="168" t="n">
        <f aca="false">'VOL DWNLD'!H122+'VOL DELTA'!H122</f>
        <v>1</v>
      </c>
      <c r="I122" s="168" t="n">
        <f aca="false">'VOL DWNLD'!I122+'VOL DELTA'!I122</f>
        <v>1</v>
      </c>
      <c r="J122" s="168" t="n">
        <f aca="false">'VOL DWNLD'!J122+'VOL DELTA'!J122</f>
        <v>1</v>
      </c>
      <c r="K122" s="168" t="n">
        <f aca="false">'VOL DWNLD'!K122+'VOL DELTA'!K122</f>
        <v>1</v>
      </c>
      <c r="L122" s="168" t="n">
        <f aca="false">'VOL DWNLD'!L122+'VOL DELTA'!L122</f>
        <v>1</v>
      </c>
      <c r="M122" s="168" t="n">
        <f aca="false">'VOL DWNLD'!M122+'VOL DELTA'!M122</f>
        <v>1</v>
      </c>
      <c r="N122" s="168" t="n">
        <f aca="false">'VOL DWNLD'!N122+'VOL DELTA'!N122</f>
        <v>1</v>
      </c>
      <c r="O122" s="168" t="n">
        <f aca="false">'VOL DWNLD'!O122+'VOL DELTA'!O122</f>
        <v>1</v>
      </c>
      <c r="P122" s="168" t="n">
        <f aca="false">'VOL DWNLD'!P122+'VOL DELTA'!P122</f>
        <v>1.03</v>
      </c>
      <c r="Q122" s="168" t="n">
        <f aca="false">'VOL DWNLD'!Q122+'VOL DELTA'!Q122</f>
        <v>1</v>
      </c>
      <c r="R122" s="168" t="n">
        <f aca="false">'VOL DWNLD'!R122+'VOL DELTA'!R122</f>
        <v>1</v>
      </c>
      <c r="S122" s="168" t="n">
        <f aca="false">'VOL DWNLD'!S122+'VOL DELTA'!S122</f>
        <v>1.02</v>
      </c>
      <c r="T122" s="168" t="n">
        <f aca="false">'VOL DWNLD'!T122+'VOL DELTA'!T122</f>
        <v>1</v>
      </c>
      <c r="U122" s="168" t="n">
        <f aca="false">'VOL DWNLD'!U122+'VOL DELTA'!U122</f>
        <v>1</v>
      </c>
      <c r="V122" s="168" t="n">
        <f aca="false">'VOL DWNLD'!V122+'VOL DELTA'!V122</f>
        <v>1</v>
      </c>
      <c r="W122" s="168" t="n">
        <f aca="false">'VOL DWNLD'!W122+'VOL DELTA'!W122</f>
        <v>1</v>
      </c>
      <c r="X122" s="168" t="n">
        <f aca="false">'VOL DWNLD'!X122+'VOL DELTA'!X122</f>
        <v>1</v>
      </c>
      <c r="Y122" s="168" t="n">
        <f aca="false">'VOL DWNLD'!Y122+'VOL DELTA'!Y122</f>
        <v>1.02</v>
      </c>
      <c r="Z122" s="168" t="n">
        <f aca="false">'VOL DWNLD'!Z122+'VOL DELTA'!Z122</f>
        <v>1</v>
      </c>
      <c r="AA122" s="168" t="n">
        <f aca="false">'VOL DWNLD'!AA122+'VOL DELTA'!AA122</f>
        <v>1</v>
      </c>
      <c r="AB122" s="168" t="n">
        <f aca="false">'VOL DWNLD'!AB122+'VOL DELTA'!AB122</f>
        <v>1</v>
      </c>
      <c r="AC122" s="168" t="n">
        <f aca="false">'VOL DWNLD'!AC122+'VOL DELTA'!AC122</f>
        <v>1</v>
      </c>
      <c r="AD122" s="168" t="n">
        <f aca="false">'VOL DWNLD'!AD122+'VOL DELTA'!AD122</f>
        <v>0.98</v>
      </c>
      <c r="AE122" s="168" t="n">
        <f aca="false">'VOL DWNLD'!AE122+'VOL DELTA'!AE122</f>
        <v>0.98</v>
      </c>
      <c r="AF122" s="168" t="n">
        <f aca="false">'VOL DWNLD'!AF122+'VOL DELTA'!AF122</f>
        <v>0.98</v>
      </c>
      <c r="AG122" s="168" t="n">
        <f aca="false">'VOL DWNLD'!AG122+'VOL DELTA'!AG122</f>
        <v>0.98</v>
      </c>
      <c r="AH122" s="168" t="n">
        <f aca="false">'VOL DWNLD'!AH122+'VOL DELTA'!AH122</f>
        <v>1.05</v>
      </c>
      <c r="AI122" s="168" t="n">
        <f aca="false">'VOL DWNLD'!AI122+'VOL DELTA'!AI122</f>
        <v>1</v>
      </c>
      <c r="AJ122" s="168" t="n">
        <f aca="false">'VOL DWNLD'!AJ122+'VOL DELTA'!AJ122</f>
        <v>1</v>
      </c>
      <c r="AK122" s="168" t="n">
        <f aca="false">'VOL DWNLD'!AK122+'VOL DELTA'!AK122</f>
        <v>1.02</v>
      </c>
      <c r="AL122" s="168" t="n">
        <f aca="false">'VOL DWNLD'!AL122+'VOL DELTA'!AL122</f>
        <v>1</v>
      </c>
      <c r="AM122" s="168" t="n">
        <f aca="false">'VOL DWNLD'!AM122+'VOL DELTA'!AM122</f>
        <v>1</v>
      </c>
      <c r="AN122" s="168" t="n">
        <f aca="false">'VOL DWNLD'!AN122+'VOL DELTA'!AN122</f>
        <v>1</v>
      </c>
      <c r="AO122" s="168" t="n">
        <f aca="false">'VOL DWNLD'!AO122+'VOL DELTA'!AO122</f>
        <v>1</v>
      </c>
    </row>
    <row r="123" customFormat="false" ht="12.75" hidden="false" customHeight="false" outlineLevel="0" collapsed="false">
      <c r="A123" s="167" t="n">
        <v>40422</v>
      </c>
      <c r="B123" s="168" t="n">
        <f aca="false">'VOL DWNLD'!B123+'VOL DELTA'!B123</f>
        <v>1</v>
      </c>
      <c r="C123" s="168" t="n">
        <f aca="false">'VOL DWNLD'!C123+'VOL DELTA'!C123</f>
        <v>1</v>
      </c>
      <c r="D123" s="168" t="n">
        <f aca="false">'VOL DWNLD'!D123+'VOL DELTA'!D123</f>
        <v>1</v>
      </c>
      <c r="E123" s="168" t="n">
        <f aca="false">'VOL DWNLD'!E123+'VOL DELTA'!E123</f>
        <v>1</v>
      </c>
      <c r="F123" s="168" t="n">
        <f aca="false">'VOL DWNLD'!F123+'VOL DELTA'!F123</f>
        <v>1</v>
      </c>
      <c r="G123" s="168" t="n">
        <f aca="false">'VOL DWNLD'!G123+'VOL DELTA'!G123</f>
        <v>1</v>
      </c>
      <c r="H123" s="168" t="n">
        <f aca="false">'VOL DWNLD'!H123+'VOL DELTA'!H123</f>
        <v>1</v>
      </c>
      <c r="I123" s="168" t="n">
        <f aca="false">'VOL DWNLD'!I123+'VOL DELTA'!I123</f>
        <v>1</v>
      </c>
      <c r="J123" s="168" t="n">
        <f aca="false">'VOL DWNLD'!J123+'VOL DELTA'!J123</f>
        <v>1</v>
      </c>
      <c r="K123" s="168" t="n">
        <f aca="false">'VOL DWNLD'!K123+'VOL DELTA'!K123</f>
        <v>1</v>
      </c>
      <c r="L123" s="168" t="n">
        <f aca="false">'VOL DWNLD'!L123+'VOL DELTA'!L123</f>
        <v>1</v>
      </c>
      <c r="M123" s="168" t="n">
        <f aca="false">'VOL DWNLD'!M123+'VOL DELTA'!M123</f>
        <v>1</v>
      </c>
      <c r="N123" s="168" t="n">
        <f aca="false">'VOL DWNLD'!N123+'VOL DELTA'!N123</f>
        <v>1</v>
      </c>
      <c r="O123" s="168" t="n">
        <f aca="false">'VOL DWNLD'!O123+'VOL DELTA'!O123</f>
        <v>1</v>
      </c>
      <c r="P123" s="168" t="n">
        <f aca="false">'VOL DWNLD'!P123+'VOL DELTA'!P123</f>
        <v>1.03</v>
      </c>
      <c r="Q123" s="168" t="n">
        <f aca="false">'VOL DWNLD'!Q123+'VOL DELTA'!Q123</f>
        <v>1</v>
      </c>
      <c r="R123" s="168" t="n">
        <f aca="false">'VOL DWNLD'!R123+'VOL DELTA'!R123</f>
        <v>1</v>
      </c>
      <c r="S123" s="168" t="n">
        <f aca="false">'VOL DWNLD'!S123+'VOL DELTA'!S123</f>
        <v>1.02</v>
      </c>
      <c r="T123" s="168" t="n">
        <f aca="false">'VOL DWNLD'!T123+'VOL DELTA'!T123</f>
        <v>1</v>
      </c>
      <c r="U123" s="168" t="n">
        <f aca="false">'VOL DWNLD'!U123+'VOL DELTA'!U123</f>
        <v>1</v>
      </c>
      <c r="V123" s="168" t="n">
        <f aca="false">'VOL DWNLD'!V123+'VOL DELTA'!V123</f>
        <v>1</v>
      </c>
      <c r="W123" s="168" t="n">
        <f aca="false">'VOL DWNLD'!W123+'VOL DELTA'!W123</f>
        <v>1</v>
      </c>
      <c r="X123" s="168" t="n">
        <f aca="false">'VOL DWNLD'!X123+'VOL DELTA'!X123</f>
        <v>1</v>
      </c>
      <c r="Y123" s="168" t="n">
        <f aca="false">'VOL DWNLD'!Y123+'VOL DELTA'!Y123</f>
        <v>1.02</v>
      </c>
      <c r="Z123" s="168" t="n">
        <f aca="false">'VOL DWNLD'!Z123+'VOL DELTA'!Z123</f>
        <v>1</v>
      </c>
      <c r="AA123" s="168" t="n">
        <f aca="false">'VOL DWNLD'!AA123+'VOL DELTA'!AA123</f>
        <v>1</v>
      </c>
      <c r="AB123" s="168" t="n">
        <f aca="false">'VOL DWNLD'!AB123+'VOL DELTA'!AB123</f>
        <v>1</v>
      </c>
      <c r="AC123" s="168" t="n">
        <f aca="false">'VOL DWNLD'!AC123+'VOL DELTA'!AC123</f>
        <v>1</v>
      </c>
      <c r="AD123" s="168" t="n">
        <f aca="false">'VOL DWNLD'!AD123+'VOL DELTA'!AD123</f>
        <v>0.98</v>
      </c>
      <c r="AE123" s="168" t="n">
        <f aca="false">'VOL DWNLD'!AE123+'VOL DELTA'!AE123</f>
        <v>0.98</v>
      </c>
      <c r="AF123" s="168" t="n">
        <f aca="false">'VOL DWNLD'!AF123+'VOL DELTA'!AF123</f>
        <v>0.98</v>
      </c>
      <c r="AG123" s="168" t="n">
        <f aca="false">'VOL DWNLD'!AG123+'VOL DELTA'!AG123</f>
        <v>0.98</v>
      </c>
      <c r="AH123" s="168" t="n">
        <f aca="false">'VOL DWNLD'!AH123+'VOL DELTA'!AH123</f>
        <v>1.05</v>
      </c>
      <c r="AI123" s="168" t="n">
        <f aca="false">'VOL DWNLD'!AI123+'VOL DELTA'!AI123</f>
        <v>1</v>
      </c>
      <c r="AJ123" s="168" t="n">
        <f aca="false">'VOL DWNLD'!AJ123+'VOL DELTA'!AJ123</f>
        <v>1</v>
      </c>
      <c r="AK123" s="168" t="n">
        <f aca="false">'VOL DWNLD'!AK123+'VOL DELTA'!AK123</f>
        <v>1.02</v>
      </c>
      <c r="AL123" s="168" t="n">
        <f aca="false">'VOL DWNLD'!AL123+'VOL DELTA'!AL123</f>
        <v>1</v>
      </c>
      <c r="AM123" s="168" t="n">
        <f aca="false">'VOL DWNLD'!AM123+'VOL DELTA'!AM123</f>
        <v>1</v>
      </c>
      <c r="AN123" s="168" t="n">
        <f aca="false">'VOL DWNLD'!AN123+'VOL DELTA'!AN123</f>
        <v>1</v>
      </c>
      <c r="AO123" s="168" t="n">
        <f aca="false">'VOL DWNLD'!AO123+'VOL DELTA'!AO123</f>
        <v>1</v>
      </c>
    </row>
    <row r="124" customFormat="false" ht="12.75" hidden="false" customHeight="false" outlineLevel="0" collapsed="false">
      <c r="A124" s="167" t="n">
        <v>40452</v>
      </c>
      <c r="B124" s="168" t="n">
        <f aca="false">'VOL DWNLD'!B124+'VOL DELTA'!B124</f>
        <v>1</v>
      </c>
      <c r="C124" s="168" t="n">
        <f aca="false">'VOL DWNLD'!C124+'VOL DELTA'!C124</f>
        <v>1</v>
      </c>
      <c r="D124" s="168" t="n">
        <f aca="false">'VOL DWNLD'!D124+'VOL DELTA'!D124</f>
        <v>1</v>
      </c>
      <c r="E124" s="168" t="n">
        <f aca="false">'VOL DWNLD'!E124+'VOL DELTA'!E124</f>
        <v>1</v>
      </c>
      <c r="F124" s="168" t="n">
        <f aca="false">'VOL DWNLD'!F124+'VOL DELTA'!F124</f>
        <v>1</v>
      </c>
      <c r="G124" s="168" t="n">
        <f aca="false">'VOL DWNLD'!G124+'VOL DELTA'!G124</f>
        <v>1</v>
      </c>
      <c r="H124" s="168" t="n">
        <f aca="false">'VOL DWNLD'!H124+'VOL DELTA'!H124</f>
        <v>1</v>
      </c>
      <c r="I124" s="168" t="n">
        <f aca="false">'VOL DWNLD'!I124+'VOL DELTA'!I124</f>
        <v>1</v>
      </c>
      <c r="J124" s="168" t="n">
        <f aca="false">'VOL DWNLD'!J124+'VOL DELTA'!J124</f>
        <v>1</v>
      </c>
      <c r="K124" s="168" t="n">
        <f aca="false">'VOL DWNLD'!K124+'VOL DELTA'!K124</f>
        <v>1</v>
      </c>
      <c r="L124" s="168" t="n">
        <f aca="false">'VOL DWNLD'!L124+'VOL DELTA'!L124</f>
        <v>1</v>
      </c>
      <c r="M124" s="168" t="n">
        <f aca="false">'VOL DWNLD'!M124+'VOL DELTA'!M124</f>
        <v>1</v>
      </c>
      <c r="N124" s="168" t="n">
        <f aca="false">'VOL DWNLD'!N124+'VOL DELTA'!N124</f>
        <v>1</v>
      </c>
      <c r="O124" s="168" t="n">
        <f aca="false">'VOL DWNLD'!O124+'VOL DELTA'!O124</f>
        <v>1</v>
      </c>
      <c r="P124" s="168" t="n">
        <f aca="false">'VOL DWNLD'!P124+'VOL DELTA'!P124</f>
        <v>1.03</v>
      </c>
      <c r="Q124" s="168" t="n">
        <f aca="false">'VOL DWNLD'!Q124+'VOL DELTA'!Q124</f>
        <v>1</v>
      </c>
      <c r="R124" s="168" t="n">
        <f aca="false">'VOL DWNLD'!R124+'VOL DELTA'!R124</f>
        <v>1</v>
      </c>
      <c r="S124" s="168" t="n">
        <f aca="false">'VOL DWNLD'!S124+'VOL DELTA'!S124</f>
        <v>1.02</v>
      </c>
      <c r="T124" s="168" t="n">
        <f aca="false">'VOL DWNLD'!T124+'VOL DELTA'!T124</f>
        <v>1</v>
      </c>
      <c r="U124" s="168" t="n">
        <f aca="false">'VOL DWNLD'!U124+'VOL DELTA'!U124</f>
        <v>1</v>
      </c>
      <c r="V124" s="168" t="n">
        <f aca="false">'VOL DWNLD'!V124+'VOL DELTA'!V124</f>
        <v>1</v>
      </c>
      <c r="W124" s="168" t="n">
        <f aca="false">'VOL DWNLD'!W124+'VOL DELTA'!W124</f>
        <v>1</v>
      </c>
      <c r="X124" s="168" t="n">
        <f aca="false">'VOL DWNLD'!X124+'VOL DELTA'!X124</f>
        <v>1</v>
      </c>
      <c r="Y124" s="168" t="n">
        <f aca="false">'VOL DWNLD'!Y124+'VOL DELTA'!Y124</f>
        <v>1.02</v>
      </c>
      <c r="Z124" s="168" t="n">
        <f aca="false">'VOL DWNLD'!Z124+'VOL DELTA'!Z124</f>
        <v>1</v>
      </c>
      <c r="AA124" s="168" t="n">
        <f aca="false">'VOL DWNLD'!AA124+'VOL DELTA'!AA124</f>
        <v>1</v>
      </c>
      <c r="AB124" s="168" t="n">
        <f aca="false">'VOL DWNLD'!AB124+'VOL DELTA'!AB124</f>
        <v>1</v>
      </c>
      <c r="AC124" s="168" t="n">
        <f aca="false">'VOL DWNLD'!AC124+'VOL DELTA'!AC124</f>
        <v>1</v>
      </c>
      <c r="AD124" s="168" t="n">
        <f aca="false">'VOL DWNLD'!AD124+'VOL DELTA'!AD124</f>
        <v>0.98</v>
      </c>
      <c r="AE124" s="168" t="n">
        <f aca="false">'VOL DWNLD'!AE124+'VOL DELTA'!AE124</f>
        <v>0.98</v>
      </c>
      <c r="AF124" s="168" t="n">
        <f aca="false">'VOL DWNLD'!AF124+'VOL DELTA'!AF124</f>
        <v>0.98</v>
      </c>
      <c r="AG124" s="168" t="n">
        <f aca="false">'VOL DWNLD'!AG124+'VOL DELTA'!AG124</f>
        <v>0.98</v>
      </c>
      <c r="AH124" s="168" t="n">
        <f aca="false">'VOL DWNLD'!AH124+'VOL DELTA'!AH124</f>
        <v>1.05</v>
      </c>
      <c r="AI124" s="168" t="n">
        <f aca="false">'VOL DWNLD'!AI124+'VOL DELTA'!AI124</f>
        <v>1</v>
      </c>
      <c r="AJ124" s="168" t="n">
        <f aca="false">'VOL DWNLD'!AJ124+'VOL DELTA'!AJ124</f>
        <v>1</v>
      </c>
      <c r="AK124" s="168" t="n">
        <f aca="false">'VOL DWNLD'!AK124+'VOL DELTA'!AK124</f>
        <v>1.02</v>
      </c>
      <c r="AL124" s="168" t="n">
        <f aca="false">'VOL DWNLD'!AL124+'VOL DELTA'!AL124</f>
        <v>1</v>
      </c>
      <c r="AM124" s="168" t="n">
        <f aca="false">'VOL DWNLD'!AM124+'VOL DELTA'!AM124</f>
        <v>1</v>
      </c>
      <c r="AN124" s="168" t="n">
        <f aca="false">'VOL DWNLD'!AN124+'VOL DELTA'!AN124</f>
        <v>1</v>
      </c>
      <c r="AO124" s="168" t="n">
        <f aca="false">'VOL DWNLD'!AO124+'VOL DELTA'!AO124</f>
        <v>1</v>
      </c>
    </row>
    <row r="125" customFormat="false" ht="12.75" hidden="false" customHeight="false" outlineLevel="0" collapsed="false">
      <c r="A125" s="167" t="n">
        <v>40483</v>
      </c>
      <c r="B125" s="168" t="n">
        <f aca="false">'VOL DWNLD'!B125+'VOL DELTA'!B125</f>
        <v>1</v>
      </c>
      <c r="C125" s="168" t="n">
        <f aca="false">'VOL DWNLD'!C125+'VOL DELTA'!C125</f>
        <v>1</v>
      </c>
      <c r="D125" s="168" t="n">
        <f aca="false">'VOL DWNLD'!D125+'VOL DELTA'!D125</f>
        <v>1</v>
      </c>
      <c r="E125" s="168" t="n">
        <f aca="false">'VOL DWNLD'!E125+'VOL DELTA'!E125</f>
        <v>1</v>
      </c>
      <c r="F125" s="168" t="n">
        <f aca="false">'VOL DWNLD'!F125+'VOL DELTA'!F125</f>
        <v>1</v>
      </c>
      <c r="G125" s="168" t="n">
        <f aca="false">'VOL DWNLD'!G125+'VOL DELTA'!G125</f>
        <v>1</v>
      </c>
      <c r="H125" s="168" t="n">
        <f aca="false">'VOL DWNLD'!H125+'VOL DELTA'!H125</f>
        <v>1</v>
      </c>
      <c r="I125" s="168" t="n">
        <f aca="false">'VOL DWNLD'!I125+'VOL DELTA'!I125</f>
        <v>1</v>
      </c>
      <c r="J125" s="168" t="n">
        <f aca="false">'VOL DWNLD'!J125+'VOL DELTA'!J125</f>
        <v>1</v>
      </c>
      <c r="K125" s="168" t="n">
        <f aca="false">'VOL DWNLD'!K125+'VOL DELTA'!K125</f>
        <v>1</v>
      </c>
      <c r="L125" s="168" t="n">
        <f aca="false">'VOL DWNLD'!L125+'VOL DELTA'!L125</f>
        <v>1</v>
      </c>
      <c r="M125" s="168" t="n">
        <f aca="false">'VOL DWNLD'!M125+'VOL DELTA'!M125</f>
        <v>1</v>
      </c>
      <c r="N125" s="168" t="n">
        <f aca="false">'VOL DWNLD'!N125+'VOL DELTA'!N125</f>
        <v>1</v>
      </c>
      <c r="O125" s="168" t="n">
        <f aca="false">'VOL DWNLD'!O125+'VOL DELTA'!O125</f>
        <v>1</v>
      </c>
      <c r="P125" s="168" t="n">
        <f aca="false">'VOL DWNLD'!P125+'VOL DELTA'!P125</f>
        <v>1.03</v>
      </c>
      <c r="Q125" s="168" t="n">
        <f aca="false">'VOL DWNLD'!Q125+'VOL DELTA'!Q125</f>
        <v>1</v>
      </c>
      <c r="R125" s="168" t="n">
        <f aca="false">'VOL DWNLD'!R125+'VOL DELTA'!R125</f>
        <v>1</v>
      </c>
      <c r="S125" s="168" t="n">
        <f aca="false">'VOL DWNLD'!S125+'VOL DELTA'!S125</f>
        <v>1.02</v>
      </c>
      <c r="T125" s="168" t="n">
        <f aca="false">'VOL DWNLD'!T125+'VOL DELTA'!T125</f>
        <v>1</v>
      </c>
      <c r="U125" s="168" t="n">
        <f aca="false">'VOL DWNLD'!U125+'VOL DELTA'!U125</f>
        <v>1</v>
      </c>
      <c r="V125" s="168" t="n">
        <f aca="false">'VOL DWNLD'!V125+'VOL DELTA'!V125</f>
        <v>1</v>
      </c>
      <c r="W125" s="168" t="n">
        <f aca="false">'VOL DWNLD'!W125+'VOL DELTA'!W125</f>
        <v>1</v>
      </c>
      <c r="X125" s="168" t="n">
        <f aca="false">'VOL DWNLD'!X125+'VOL DELTA'!X125</f>
        <v>1</v>
      </c>
      <c r="Y125" s="168" t="n">
        <f aca="false">'VOL DWNLD'!Y125+'VOL DELTA'!Y125</f>
        <v>1</v>
      </c>
      <c r="Z125" s="168" t="n">
        <f aca="false">'VOL DWNLD'!Z125+'VOL DELTA'!Z125</f>
        <v>1</v>
      </c>
      <c r="AA125" s="168" t="n">
        <f aca="false">'VOL DWNLD'!AA125+'VOL DELTA'!AA125</f>
        <v>1</v>
      </c>
      <c r="AB125" s="168" t="n">
        <f aca="false">'VOL DWNLD'!AB125+'VOL DELTA'!AB125</f>
        <v>1</v>
      </c>
      <c r="AC125" s="168" t="n">
        <f aca="false">'VOL DWNLD'!AC125+'VOL DELTA'!AC125</f>
        <v>1</v>
      </c>
      <c r="AD125" s="168" t="n">
        <f aca="false">'VOL DWNLD'!AD125+'VOL DELTA'!AD125</f>
        <v>1</v>
      </c>
      <c r="AE125" s="168" t="n">
        <f aca="false">'VOL DWNLD'!AE125+'VOL DELTA'!AE125</f>
        <v>1</v>
      </c>
      <c r="AF125" s="168" t="n">
        <f aca="false">'VOL DWNLD'!AF125+'VOL DELTA'!AF125</f>
        <v>1.1</v>
      </c>
      <c r="AG125" s="168" t="n">
        <f aca="false">'VOL DWNLD'!AG125+'VOL DELTA'!AG125</f>
        <v>1.1</v>
      </c>
      <c r="AH125" s="168" t="n">
        <f aca="false">'VOL DWNLD'!AH125+'VOL DELTA'!AH125</f>
        <v>1.05</v>
      </c>
      <c r="AI125" s="168" t="n">
        <f aca="false">'VOL DWNLD'!AI125+'VOL DELTA'!AI125</f>
        <v>1</v>
      </c>
      <c r="AJ125" s="168" t="n">
        <f aca="false">'VOL DWNLD'!AJ125+'VOL DELTA'!AJ125</f>
        <v>1</v>
      </c>
      <c r="AK125" s="168" t="n">
        <f aca="false">'VOL DWNLD'!AK125+'VOL DELTA'!AK125</f>
        <v>1.02</v>
      </c>
      <c r="AL125" s="168" t="n">
        <f aca="false">'VOL DWNLD'!AL125+'VOL DELTA'!AL125</f>
        <v>1</v>
      </c>
      <c r="AM125" s="168" t="n">
        <f aca="false">'VOL DWNLD'!AM125+'VOL DELTA'!AM125</f>
        <v>1</v>
      </c>
      <c r="AN125" s="168" t="n">
        <f aca="false">'VOL DWNLD'!AN125+'VOL DELTA'!AN125</f>
        <v>1</v>
      </c>
      <c r="AO125" s="168" t="n">
        <f aca="false">'VOL DWNLD'!AO125+'VOL DELTA'!AO125</f>
        <v>1</v>
      </c>
    </row>
    <row r="126" customFormat="false" ht="12.75" hidden="false" customHeight="false" outlineLevel="0" collapsed="false">
      <c r="A126" s="167" t="n">
        <v>40513</v>
      </c>
      <c r="B126" s="168" t="n">
        <f aca="false">'VOL DWNLD'!B126+'VOL DELTA'!B126</f>
        <v>1</v>
      </c>
      <c r="C126" s="168" t="n">
        <f aca="false">'VOL DWNLD'!C126+'VOL DELTA'!C126</f>
        <v>1</v>
      </c>
      <c r="D126" s="168" t="n">
        <f aca="false">'VOL DWNLD'!D126+'VOL DELTA'!D126</f>
        <v>1</v>
      </c>
      <c r="E126" s="168" t="n">
        <f aca="false">'VOL DWNLD'!E126+'VOL DELTA'!E126</f>
        <v>1</v>
      </c>
      <c r="F126" s="168" t="n">
        <f aca="false">'VOL DWNLD'!F126+'VOL DELTA'!F126</f>
        <v>1</v>
      </c>
      <c r="G126" s="168" t="n">
        <f aca="false">'VOL DWNLD'!G126+'VOL DELTA'!G126</f>
        <v>1</v>
      </c>
      <c r="H126" s="168" t="n">
        <f aca="false">'VOL DWNLD'!H126+'VOL DELTA'!H126</f>
        <v>1</v>
      </c>
      <c r="I126" s="168" t="n">
        <f aca="false">'VOL DWNLD'!I126+'VOL DELTA'!I126</f>
        <v>1</v>
      </c>
      <c r="J126" s="168" t="n">
        <f aca="false">'VOL DWNLD'!J126+'VOL DELTA'!J126</f>
        <v>1</v>
      </c>
      <c r="K126" s="168" t="n">
        <f aca="false">'VOL DWNLD'!K126+'VOL DELTA'!K126</f>
        <v>1</v>
      </c>
      <c r="L126" s="168" t="n">
        <f aca="false">'VOL DWNLD'!L126+'VOL DELTA'!L126</f>
        <v>1</v>
      </c>
      <c r="M126" s="168" t="n">
        <f aca="false">'VOL DWNLD'!M126+'VOL DELTA'!M126</f>
        <v>1</v>
      </c>
      <c r="N126" s="168" t="n">
        <f aca="false">'VOL DWNLD'!N126+'VOL DELTA'!N126</f>
        <v>1</v>
      </c>
      <c r="O126" s="168" t="n">
        <f aca="false">'VOL DWNLD'!O126+'VOL DELTA'!O126</f>
        <v>1</v>
      </c>
      <c r="P126" s="168" t="n">
        <f aca="false">'VOL DWNLD'!P126+'VOL DELTA'!P126</f>
        <v>1.03</v>
      </c>
      <c r="Q126" s="168" t="n">
        <f aca="false">'VOL DWNLD'!Q126+'VOL DELTA'!Q126</f>
        <v>1</v>
      </c>
      <c r="R126" s="168" t="n">
        <f aca="false">'VOL DWNLD'!R126+'VOL DELTA'!R126</f>
        <v>1</v>
      </c>
      <c r="S126" s="168" t="n">
        <f aca="false">'VOL DWNLD'!S126+'VOL DELTA'!S126</f>
        <v>1.02</v>
      </c>
      <c r="T126" s="168" t="n">
        <f aca="false">'VOL DWNLD'!T126+'VOL DELTA'!T126</f>
        <v>1</v>
      </c>
      <c r="U126" s="168" t="n">
        <f aca="false">'VOL DWNLD'!U126+'VOL DELTA'!U126</f>
        <v>1</v>
      </c>
      <c r="V126" s="168" t="n">
        <f aca="false">'VOL DWNLD'!V126+'VOL DELTA'!V126</f>
        <v>1</v>
      </c>
      <c r="W126" s="168" t="n">
        <f aca="false">'VOL DWNLD'!W126+'VOL DELTA'!W126</f>
        <v>1</v>
      </c>
      <c r="X126" s="168" t="n">
        <f aca="false">'VOL DWNLD'!X126+'VOL DELTA'!X126</f>
        <v>1</v>
      </c>
      <c r="Y126" s="168" t="n">
        <f aca="false">'VOL DWNLD'!Y126+'VOL DELTA'!Y126</f>
        <v>1</v>
      </c>
      <c r="Z126" s="168" t="n">
        <f aca="false">'VOL DWNLD'!Z126+'VOL DELTA'!Z126</f>
        <v>1</v>
      </c>
      <c r="AA126" s="168" t="n">
        <f aca="false">'VOL DWNLD'!AA126+'VOL DELTA'!AA126</f>
        <v>1</v>
      </c>
      <c r="AB126" s="168" t="n">
        <f aca="false">'VOL DWNLD'!AB126+'VOL DELTA'!AB126</f>
        <v>1</v>
      </c>
      <c r="AC126" s="168" t="n">
        <f aca="false">'VOL DWNLD'!AC126+'VOL DELTA'!AC126</f>
        <v>1</v>
      </c>
      <c r="AD126" s="168" t="n">
        <f aca="false">'VOL DWNLD'!AD126+'VOL DELTA'!AD126</f>
        <v>1</v>
      </c>
      <c r="AE126" s="168" t="n">
        <f aca="false">'VOL DWNLD'!AE126+'VOL DELTA'!AE126</f>
        <v>1</v>
      </c>
      <c r="AF126" s="168" t="n">
        <f aca="false">'VOL DWNLD'!AF126+'VOL DELTA'!AF126</f>
        <v>1.1</v>
      </c>
      <c r="AG126" s="168" t="n">
        <f aca="false">'VOL DWNLD'!AG126+'VOL DELTA'!AG126</f>
        <v>1.1</v>
      </c>
      <c r="AH126" s="168" t="n">
        <f aca="false">'VOL DWNLD'!AH126+'VOL DELTA'!AH126</f>
        <v>1.05</v>
      </c>
      <c r="AI126" s="168" t="n">
        <f aca="false">'VOL DWNLD'!AI126+'VOL DELTA'!AI126</f>
        <v>1</v>
      </c>
      <c r="AJ126" s="168" t="n">
        <f aca="false">'VOL DWNLD'!AJ126+'VOL DELTA'!AJ126</f>
        <v>1</v>
      </c>
      <c r="AK126" s="168" t="n">
        <f aca="false">'VOL DWNLD'!AK126+'VOL DELTA'!AK126</f>
        <v>1.02</v>
      </c>
      <c r="AL126" s="168" t="n">
        <f aca="false">'VOL DWNLD'!AL126+'VOL DELTA'!AL126</f>
        <v>1</v>
      </c>
      <c r="AM126" s="168" t="n">
        <f aca="false">'VOL DWNLD'!AM126+'VOL DELTA'!AM126</f>
        <v>1</v>
      </c>
      <c r="AN126" s="168" t="n">
        <f aca="false">'VOL DWNLD'!AN126+'VOL DELTA'!AN126</f>
        <v>1</v>
      </c>
      <c r="AO126" s="168" t="n">
        <f aca="false">'VOL DWNLD'!AO126+'VOL DELTA'!AO126</f>
        <v>1</v>
      </c>
    </row>
    <row r="127" customFormat="false" ht="12.75" hidden="false" customHeight="false" outlineLevel="0" collapsed="false">
      <c r="A127" s="167" t="n">
        <v>40544</v>
      </c>
      <c r="B127" s="168" t="n">
        <f aca="false">'VOL DWNLD'!B127+'VOL DELTA'!B127</f>
        <v>1</v>
      </c>
      <c r="C127" s="168" t="n">
        <f aca="false">'VOL DWNLD'!C127+'VOL DELTA'!C127</f>
        <v>1</v>
      </c>
      <c r="D127" s="168" t="n">
        <f aca="false">'VOL DWNLD'!D127+'VOL DELTA'!D127</f>
        <v>1</v>
      </c>
      <c r="E127" s="168" t="n">
        <f aca="false">'VOL DWNLD'!E127+'VOL DELTA'!E127</f>
        <v>1</v>
      </c>
      <c r="F127" s="168" t="n">
        <f aca="false">'VOL DWNLD'!F127+'VOL DELTA'!F127</f>
        <v>1</v>
      </c>
      <c r="G127" s="168" t="n">
        <f aca="false">'VOL DWNLD'!G127+'VOL DELTA'!G127</f>
        <v>1</v>
      </c>
      <c r="H127" s="168" t="n">
        <f aca="false">'VOL DWNLD'!H127+'VOL DELTA'!H127</f>
        <v>1</v>
      </c>
      <c r="I127" s="168" t="n">
        <f aca="false">'VOL DWNLD'!I127+'VOL DELTA'!I127</f>
        <v>1</v>
      </c>
      <c r="J127" s="168" t="n">
        <f aca="false">'VOL DWNLD'!J127+'VOL DELTA'!J127</f>
        <v>1</v>
      </c>
      <c r="K127" s="168" t="n">
        <f aca="false">'VOL DWNLD'!K127+'VOL DELTA'!K127</f>
        <v>1</v>
      </c>
      <c r="L127" s="168" t="n">
        <f aca="false">'VOL DWNLD'!L127+'VOL DELTA'!L127</f>
        <v>1</v>
      </c>
      <c r="M127" s="168" t="n">
        <f aca="false">'VOL DWNLD'!M127+'VOL DELTA'!M127</f>
        <v>1</v>
      </c>
      <c r="N127" s="168" t="n">
        <f aca="false">'VOL DWNLD'!N127+'VOL DELTA'!N127</f>
        <v>1</v>
      </c>
      <c r="O127" s="168" t="n">
        <f aca="false">'VOL DWNLD'!O127+'VOL DELTA'!O127</f>
        <v>1</v>
      </c>
      <c r="P127" s="168" t="n">
        <f aca="false">'VOL DWNLD'!P127+'VOL DELTA'!P127</f>
        <v>1.03</v>
      </c>
      <c r="Q127" s="168" t="n">
        <f aca="false">'VOL DWNLD'!Q127+'VOL DELTA'!Q127</f>
        <v>1</v>
      </c>
      <c r="R127" s="168" t="n">
        <f aca="false">'VOL DWNLD'!R127+'VOL DELTA'!R127</f>
        <v>1</v>
      </c>
      <c r="S127" s="168" t="n">
        <f aca="false">'VOL DWNLD'!S127+'VOL DELTA'!S127</f>
        <v>1.02</v>
      </c>
      <c r="T127" s="168" t="n">
        <f aca="false">'VOL DWNLD'!T127+'VOL DELTA'!T127</f>
        <v>1</v>
      </c>
      <c r="U127" s="168" t="n">
        <f aca="false">'VOL DWNLD'!U127+'VOL DELTA'!U127</f>
        <v>1</v>
      </c>
      <c r="V127" s="168" t="n">
        <f aca="false">'VOL DWNLD'!V127+'VOL DELTA'!V127</f>
        <v>1</v>
      </c>
      <c r="W127" s="168" t="n">
        <f aca="false">'VOL DWNLD'!W127+'VOL DELTA'!W127</f>
        <v>1</v>
      </c>
      <c r="X127" s="168" t="n">
        <f aca="false">'VOL DWNLD'!X127+'VOL DELTA'!X127</f>
        <v>1</v>
      </c>
      <c r="Y127" s="168" t="n">
        <f aca="false">'VOL DWNLD'!Y127+'VOL DELTA'!Y127</f>
        <v>1</v>
      </c>
      <c r="Z127" s="168" t="n">
        <f aca="false">'VOL DWNLD'!Z127+'VOL DELTA'!Z127</f>
        <v>1</v>
      </c>
      <c r="AA127" s="168" t="n">
        <f aca="false">'VOL DWNLD'!AA127+'VOL DELTA'!AA127</f>
        <v>1</v>
      </c>
      <c r="AB127" s="168" t="n">
        <f aca="false">'VOL DWNLD'!AB127+'VOL DELTA'!AB127</f>
        <v>1</v>
      </c>
      <c r="AC127" s="168" t="n">
        <f aca="false">'VOL DWNLD'!AC127+'VOL DELTA'!AC127</f>
        <v>1</v>
      </c>
      <c r="AD127" s="168" t="n">
        <f aca="false">'VOL DWNLD'!AD127+'VOL DELTA'!AD127</f>
        <v>1</v>
      </c>
      <c r="AE127" s="168" t="n">
        <f aca="false">'VOL DWNLD'!AE127+'VOL DELTA'!AE127</f>
        <v>1</v>
      </c>
      <c r="AF127" s="168" t="n">
        <f aca="false">'VOL DWNLD'!AF127+'VOL DELTA'!AF127</f>
        <v>1.1</v>
      </c>
      <c r="AG127" s="168" t="n">
        <f aca="false">'VOL DWNLD'!AG127+'VOL DELTA'!AG127</f>
        <v>1.1</v>
      </c>
      <c r="AH127" s="168" t="n">
        <f aca="false">'VOL DWNLD'!AH127+'VOL DELTA'!AH127</f>
        <v>1.05</v>
      </c>
      <c r="AI127" s="168" t="n">
        <f aca="false">'VOL DWNLD'!AI127+'VOL DELTA'!AI127</f>
        <v>1</v>
      </c>
      <c r="AJ127" s="168" t="n">
        <f aca="false">'VOL DWNLD'!AJ127+'VOL DELTA'!AJ127</f>
        <v>1</v>
      </c>
      <c r="AK127" s="168" t="n">
        <f aca="false">'VOL DWNLD'!AK127+'VOL DELTA'!AK127</f>
        <v>1.02</v>
      </c>
      <c r="AL127" s="168" t="n">
        <f aca="false">'VOL DWNLD'!AL127+'VOL DELTA'!AL127</f>
        <v>1</v>
      </c>
      <c r="AM127" s="168" t="n">
        <f aca="false">'VOL DWNLD'!AM127+'VOL DELTA'!AM127</f>
        <v>1</v>
      </c>
      <c r="AN127" s="168" t="n">
        <f aca="false">'VOL DWNLD'!AN127+'VOL DELTA'!AN127</f>
        <v>1</v>
      </c>
      <c r="AO127" s="168" t="n">
        <f aca="false">'VOL DWNLD'!AO127+'VOL DELTA'!AO127</f>
        <v>1</v>
      </c>
    </row>
    <row r="128" customFormat="false" ht="12.75" hidden="false" customHeight="false" outlineLevel="0" collapsed="false">
      <c r="A128" s="167" t="n">
        <v>40575</v>
      </c>
      <c r="B128" s="168" t="n">
        <f aca="false">'VOL DWNLD'!B128+'VOL DELTA'!B128</f>
        <v>1</v>
      </c>
      <c r="C128" s="168" t="n">
        <f aca="false">'VOL DWNLD'!C128+'VOL DELTA'!C128</f>
        <v>1</v>
      </c>
      <c r="D128" s="168" t="n">
        <f aca="false">'VOL DWNLD'!D128+'VOL DELTA'!D128</f>
        <v>1</v>
      </c>
      <c r="E128" s="168" t="n">
        <f aca="false">'VOL DWNLD'!E128+'VOL DELTA'!E128</f>
        <v>1</v>
      </c>
      <c r="F128" s="168" t="n">
        <f aca="false">'VOL DWNLD'!F128+'VOL DELTA'!F128</f>
        <v>1</v>
      </c>
      <c r="G128" s="168" t="n">
        <f aca="false">'VOL DWNLD'!G128+'VOL DELTA'!G128</f>
        <v>1</v>
      </c>
      <c r="H128" s="168" t="n">
        <f aca="false">'VOL DWNLD'!H128+'VOL DELTA'!H128</f>
        <v>1</v>
      </c>
      <c r="I128" s="168" t="n">
        <f aca="false">'VOL DWNLD'!I128+'VOL DELTA'!I128</f>
        <v>1</v>
      </c>
      <c r="J128" s="168" t="n">
        <f aca="false">'VOL DWNLD'!J128+'VOL DELTA'!J128</f>
        <v>1</v>
      </c>
      <c r="K128" s="168" t="n">
        <f aca="false">'VOL DWNLD'!K128+'VOL DELTA'!K128</f>
        <v>1</v>
      </c>
      <c r="L128" s="168" t="n">
        <f aca="false">'VOL DWNLD'!L128+'VOL DELTA'!L128</f>
        <v>1</v>
      </c>
      <c r="M128" s="168" t="n">
        <f aca="false">'VOL DWNLD'!M128+'VOL DELTA'!M128</f>
        <v>1</v>
      </c>
      <c r="N128" s="168" t="n">
        <f aca="false">'VOL DWNLD'!N128+'VOL DELTA'!N128</f>
        <v>1</v>
      </c>
      <c r="O128" s="168" t="n">
        <f aca="false">'VOL DWNLD'!O128+'VOL DELTA'!O128</f>
        <v>1</v>
      </c>
      <c r="P128" s="168" t="n">
        <f aca="false">'VOL DWNLD'!P128+'VOL DELTA'!P128</f>
        <v>1.03</v>
      </c>
      <c r="Q128" s="168" t="n">
        <f aca="false">'VOL DWNLD'!Q128+'VOL DELTA'!Q128</f>
        <v>1</v>
      </c>
      <c r="R128" s="168" t="n">
        <f aca="false">'VOL DWNLD'!R128+'VOL DELTA'!R128</f>
        <v>1</v>
      </c>
      <c r="S128" s="168" t="n">
        <f aca="false">'VOL DWNLD'!S128+'VOL DELTA'!S128</f>
        <v>1.02</v>
      </c>
      <c r="T128" s="168" t="n">
        <f aca="false">'VOL DWNLD'!T128+'VOL DELTA'!T128</f>
        <v>1</v>
      </c>
      <c r="U128" s="168" t="n">
        <f aca="false">'VOL DWNLD'!U128+'VOL DELTA'!U128</f>
        <v>1</v>
      </c>
      <c r="V128" s="168" t="n">
        <f aca="false">'VOL DWNLD'!V128+'VOL DELTA'!V128</f>
        <v>1</v>
      </c>
      <c r="W128" s="168" t="n">
        <f aca="false">'VOL DWNLD'!W128+'VOL DELTA'!W128</f>
        <v>1</v>
      </c>
      <c r="X128" s="168" t="n">
        <f aca="false">'VOL DWNLD'!X128+'VOL DELTA'!X128</f>
        <v>1</v>
      </c>
      <c r="Y128" s="168" t="n">
        <f aca="false">'VOL DWNLD'!Y128+'VOL DELTA'!Y128</f>
        <v>1</v>
      </c>
      <c r="Z128" s="168" t="n">
        <f aca="false">'VOL DWNLD'!Z128+'VOL DELTA'!Z128</f>
        <v>1</v>
      </c>
      <c r="AA128" s="168" t="n">
        <f aca="false">'VOL DWNLD'!AA128+'VOL DELTA'!AA128</f>
        <v>1</v>
      </c>
      <c r="AB128" s="168" t="n">
        <f aca="false">'VOL DWNLD'!AB128+'VOL DELTA'!AB128</f>
        <v>1</v>
      </c>
      <c r="AC128" s="168" t="n">
        <f aca="false">'VOL DWNLD'!AC128+'VOL DELTA'!AC128</f>
        <v>1</v>
      </c>
      <c r="AD128" s="168" t="n">
        <f aca="false">'VOL DWNLD'!AD128+'VOL DELTA'!AD128</f>
        <v>1</v>
      </c>
      <c r="AE128" s="168" t="n">
        <f aca="false">'VOL DWNLD'!AE128+'VOL DELTA'!AE128</f>
        <v>1</v>
      </c>
      <c r="AF128" s="168" t="n">
        <f aca="false">'VOL DWNLD'!AF128+'VOL DELTA'!AF128</f>
        <v>1.1</v>
      </c>
      <c r="AG128" s="168" t="n">
        <f aca="false">'VOL DWNLD'!AG128+'VOL DELTA'!AG128</f>
        <v>1.1</v>
      </c>
      <c r="AH128" s="168" t="n">
        <f aca="false">'VOL DWNLD'!AH128+'VOL DELTA'!AH128</f>
        <v>1.05</v>
      </c>
      <c r="AI128" s="168" t="n">
        <f aca="false">'VOL DWNLD'!AI128+'VOL DELTA'!AI128</f>
        <v>1</v>
      </c>
      <c r="AJ128" s="168" t="n">
        <f aca="false">'VOL DWNLD'!AJ128+'VOL DELTA'!AJ128</f>
        <v>1</v>
      </c>
      <c r="AK128" s="168" t="n">
        <f aca="false">'VOL DWNLD'!AK128+'VOL DELTA'!AK128</f>
        <v>1.02</v>
      </c>
      <c r="AL128" s="168" t="n">
        <f aca="false">'VOL DWNLD'!AL128+'VOL DELTA'!AL128</f>
        <v>1</v>
      </c>
      <c r="AM128" s="168" t="n">
        <f aca="false">'VOL DWNLD'!AM128+'VOL DELTA'!AM128</f>
        <v>1</v>
      </c>
      <c r="AN128" s="168" t="n">
        <f aca="false">'VOL DWNLD'!AN128+'VOL DELTA'!AN128</f>
        <v>1</v>
      </c>
      <c r="AO128" s="168" t="n">
        <f aca="false">'VOL DWNLD'!AO128+'VOL DELTA'!AO128</f>
        <v>1</v>
      </c>
    </row>
    <row r="129" customFormat="false" ht="12.75" hidden="false" customHeight="false" outlineLevel="0" collapsed="false">
      <c r="A129" s="167" t="n">
        <v>40603</v>
      </c>
      <c r="B129" s="168" t="n">
        <f aca="false">'VOL DWNLD'!B129+'VOL DELTA'!B129</f>
        <v>1</v>
      </c>
      <c r="C129" s="168" t="n">
        <f aca="false">'VOL DWNLD'!C129+'VOL DELTA'!C129</f>
        <v>1</v>
      </c>
      <c r="D129" s="168" t="n">
        <f aca="false">'VOL DWNLD'!D129+'VOL DELTA'!D129</f>
        <v>1</v>
      </c>
      <c r="E129" s="168" t="n">
        <f aca="false">'VOL DWNLD'!E129+'VOL DELTA'!E129</f>
        <v>1</v>
      </c>
      <c r="F129" s="168" t="n">
        <f aca="false">'VOL DWNLD'!F129+'VOL DELTA'!F129</f>
        <v>1</v>
      </c>
      <c r="G129" s="168" t="n">
        <f aca="false">'VOL DWNLD'!G129+'VOL DELTA'!G129</f>
        <v>1</v>
      </c>
      <c r="H129" s="168" t="n">
        <f aca="false">'VOL DWNLD'!H129+'VOL DELTA'!H129</f>
        <v>1</v>
      </c>
      <c r="I129" s="168" t="n">
        <f aca="false">'VOL DWNLD'!I129+'VOL DELTA'!I129</f>
        <v>1</v>
      </c>
      <c r="J129" s="168" t="n">
        <f aca="false">'VOL DWNLD'!J129+'VOL DELTA'!J129</f>
        <v>1</v>
      </c>
      <c r="K129" s="168" t="n">
        <f aca="false">'VOL DWNLD'!K129+'VOL DELTA'!K129</f>
        <v>1</v>
      </c>
      <c r="L129" s="168" t="n">
        <f aca="false">'VOL DWNLD'!L129+'VOL DELTA'!L129</f>
        <v>1</v>
      </c>
      <c r="M129" s="168" t="n">
        <f aca="false">'VOL DWNLD'!M129+'VOL DELTA'!M129</f>
        <v>1</v>
      </c>
      <c r="N129" s="168" t="n">
        <f aca="false">'VOL DWNLD'!N129+'VOL DELTA'!N129</f>
        <v>1</v>
      </c>
      <c r="O129" s="168" t="n">
        <f aca="false">'VOL DWNLD'!O129+'VOL DELTA'!O129</f>
        <v>1</v>
      </c>
      <c r="P129" s="168" t="n">
        <f aca="false">'VOL DWNLD'!P129+'VOL DELTA'!P129</f>
        <v>1.03</v>
      </c>
      <c r="Q129" s="168" t="n">
        <f aca="false">'VOL DWNLD'!Q129+'VOL DELTA'!Q129</f>
        <v>1</v>
      </c>
      <c r="R129" s="168" t="n">
        <f aca="false">'VOL DWNLD'!R129+'VOL DELTA'!R129</f>
        <v>1</v>
      </c>
      <c r="S129" s="168" t="n">
        <f aca="false">'VOL DWNLD'!S129+'VOL DELTA'!S129</f>
        <v>1.02</v>
      </c>
      <c r="T129" s="168" t="n">
        <f aca="false">'VOL DWNLD'!T129+'VOL DELTA'!T129</f>
        <v>1</v>
      </c>
      <c r="U129" s="168" t="n">
        <f aca="false">'VOL DWNLD'!U129+'VOL DELTA'!U129</f>
        <v>1</v>
      </c>
      <c r="V129" s="168" t="n">
        <f aca="false">'VOL DWNLD'!V129+'VOL DELTA'!V129</f>
        <v>1</v>
      </c>
      <c r="W129" s="168" t="n">
        <f aca="false">'VOL DWNLD'!W129+'VOL DELTA'!W129</f>
        <v>1</v>
      </c>
      <c r="X129" s="168" t="n">
        <f aca="false">'VOL DWNLD'!X129+'VOL DELTA'!X129</f>
        <v>1</v>
      </c>
      <c r="Y129" s="168" t="n">
        <f aca="false">'VOL DWNLD'!Y129+'VOL DELTA'!Y129</f>
        <v>1</v>
      </c>
      <c r="Z129" s="168" t="n">
        <f aca="false">'VOL DWNLD'!Z129+'VOL DELTA'!Z129</f>
        <v>1</v>
      </c>
      <c r="AA129" s="168" t="n">
        <f aca="false">'VOL DWNLD'!AA129+'VOL DELTA'!AA129</f>
        <v>1</v>
      </c>
      <c r="AB129" s="168" t="n">
        <f aca="false">'VOL DWNLD'!AB129+'VOL DELTA'!AB129</f>
        <v>1</v>
      </c>
      <c r="AC129" s="168" t="n">
        <f aca="false">'VOL DWNLD'!AC129+'VOL DELTA'!AC129</f>
        <v>1</v>
      </c>
      <c r="AD129" s="168" t="n">
        <f aca="false">'VOL DWNLD'!AD129+'VOL DELTA'!AD129</f>
        <v>1</v>
      </c>
      <c r="AE129" s="168" t="n">
        <f aca="false">'VOL DWNLD'!AE129+'VOL DELTA'!AE129</f>
        <v>1</v>
      </c>
      <c r="AF129" s="168" t="n">
        <f aca="false">'VOL DWNLD'!AF129+'VOL DELTA'!AF129</f>
        <v>1.1</v>
      </c>
      <c r="AG129" s="168" t="n">
        <f aca="false">'VOL DWNLD'!AG129+'VOL DELTA'!AG129</f>
        <v>1.1</v>
      </c>
      <c r="AH129" s="168" t="n">
        <f aca="false">'VOL DWNLD'!AH129+'VOL DELTA'!AH129</f>
        <v>1.05</v>
      </c>
      <c r="AI129" s="168" t="n">
        <f aca="false">'VOL DWNLD'!AI129+'VOL DELTA'!AI129</f>
        <v>1</v>
      </c>
      <c r="AJ129" s="168" t="n">
        <f aca="false">'VOL DWNLD'!AJ129+'VOL DELTA'!AJ129</f>
        <v>1</v>
      </c>
      <c r="AK129" s="168" t="n">
        <f aca="false">'VOL DWNLD'!AK129+'VOL DELTA'!AK129</f>
        <v>1.02</v>
      </c>
      <c r="AL129" s="168" t="n">
        <f aca="false">'VOL DWNLD'!AL129+'VOL DELTA'!AL129</f>
        <v>1</v>
      </c>
      <c r="AM129" s="168" t="n">
        <f aca="false">'VOL DWNLD'!AM129+'VOL DELTA'!AM129</f>
        <v>1</v>
      </c>
      <c r="AN129" s="168" t="n">
        <f aca="false">'VOL DWNLD'!AN129+'VOL DELTA'!AN129</f>
        <v>1</v>
      </c>
      <c r="AO129" s="168" t="n">
        <f aca="false">'VOL DWNLD'!AO129+'VOL DELTA'!AO129</f>
        <v>1</v>
      </c>
    </row>
    <row r="130" customFormat="false" ht="12.75" hidden="false" customHeight="false" outlineLevel="0" collapsed="false">
      <c r="A130" s="167" t="n">
        <v>40634</v>
      </c>
      <c r="B130" s="168" t="n">
        <f aca="false">'VOL DWNLD'!B130+'VOL DELTA'!B130</f>
        <v>1</v>
      </c>
      <c r="C130" s="168" t="n">
        <f aca="false">'VOL DWNLD'!C130+'VOL DELTA'!C130</f>
        <v>1</v>
      </c>
      <c r="D130" s="168" t="n">
        <f aca="false">'VOL DWNLD'!D130+'VOL DELTA'!D130</f>
        <v>1</v>
      </c>
      <c r="E130" s="168" t="n">
        <f aca="false">'VOL DWNLD'!E130+'VOL DELTA'!E130</f>
        <v>1</v>
      </c>
      <c r="F130" s="168" t="n">
        <f aca="false">'VOL DWNLD'!F130+'VOL DELTA'!F130</f>
        <v>1</v>
      </c>
      <c r="G130" s="168" t="n">
        <f aca="false">'VOL DWNLD'!G130+'VOL DELTA'!G130</f>
        <v>1</v>
      </c>
      <c r="H130" s="168" t="n">
        <f aca="false">'VOL DWNLD'!H130+'VOL DELTA'!H130</f>
        <v>1</v>
      </c>
      <c r="I130" s="168" t="n">
        <f aca="false">'VOL DWNLD'!I130+'VOL DELTA'!I130</f>
        <v>1</v>
      </c>
      <c r="J130" s="168" t="n">
        <f aca="false">'VOL DWNLD'!J130+'VOL DELTA'!J130</f>
        <v>1</v>
      </c>
      <c r="K130" s="168" t="n">
        <f aca="false">'VOL DWNLD'!K130+'VOL DELTA'!K130</f>
        <v>1</v>
      </c>
      <c r="L130" s="168" t="n">
        <f aca="false">'VOL DWNLD'!L130+'VOL DELTA'!L130</f>
        <v>1</v>
      </c>
      <c r="M130" s="168" t="n">
        <f aca="false">'VOL DWNLD'!M130+'VOL DELTA'!M130</f>
        <v>1</v>
      </c>
      <c r="N130" s="168" t="n">
        <f aca="false">'VOL DWNLD'!N130+'VOL DELTA'!N130</f>
        <v>1</v>
      </c>
      <c r="O130" s="168" t="n">
        <f aca="false">'VOL DWNLD'!O130+'VOL DELTA'!O130</f>
        <v>1</v>
      </c>
      <c r="P130" s="168" t="n">
        <f aca="false">'VOL DWNLD'!P130+'VOL DELTA'!P130</f>
        <v>1.03</v>
      </c>
      <c r="Q130" s="168" t="n">
        <f aca="false">'VOL DWNLD'!Q130+'VOL DELTA'!Q130</f>
        <v>1</v>
      </c>
      <c r="R130" s="168" t="n">
        <f aca="false">'VOL DWNLD'!R130+'VOL DELTA'!R130</f>
        <v>1</v>
      </c>
      <c r="S130" s="168" t="n">
        <f aca="false">'VOL DWNLD'!S130+'VOL DELTA'!S130</f>
        <v>1.02</v>
      </c>
      <c r="T130" s="168" t="n">
        <f aca="false">'VOL DWNLD'!T130+'VOL DELTA'!T130</f>
        <v>1</v>
      </c>
      <c r="U130" s="168" t="n">
        <f aca="false">'VOL DWNLD'!U130+'VOL DELTA'!U130</f>
        <v>1</v>
      </c>
      <c r="V130" s="168" t="n">
        <f aca="false">'VOL DWNLD'!V130+'VOL DELTA'!V130</f>
        <v>1</v>
      </c>
      <c r="W130" s="168" t="n">
        <f aca="false">'VOL DWNLD'!W130+'VOL DELTA'!W130</f>
        <v>1</v>
      </c>
      <c r="X130" s="168" t="n">
        <f aca="false">'VOL DWNLD'!X130+'VOL DELTA'!X130</f>
        <v>1</v>
      </c>
      <c r="Y130" s="168" t="n">
        <f aca="false">'VOL DWNLD'!Y130+'VOL DELTA'!Y130</f>
        <v>1.02</v>
      </c>
      <c r="Z130" s="168" t="n">
        <f aca="false">'VOL DWNLD'!Z130+'VOL DELTA'!Z130</f>
        <v>1</v>
      </c>
      <c r="AA130" s="168" t="n">
        <f aca="false">'VOL DWNLD'!AA130+'VOL DELTA'!AA130</f>
        <v>1</v>
      </c>
      <c r="AB130" s="168" t="n">
        <f aca="false">'VOL DWNLD'!AB130+'VOL DELTA'!AB130</f>
        <v>1</v>
      </c>
      <c r="AC130" s="168" t="n">
        <f aca="false">'VOL DWNLD'!AC130+'VOL DELTA'!AC130</f>
        <v>1</v>
      </c>
      <c r="AD130" s="168" t="n">
        <f aca="false">'VOL DWNLD'!AD130+'VOL DELTA'!AD130</f>
        <v>0.98</v>
      </c>
      <c r="AE130" s="168" t="n">
        <f aca="false">'VOL DWNLD'!AE130+'VOL DELTA'!AE130</f>
        <v>0.98</v>
      </c>
      <c r="AF130" s="168" t="n">
        <f aca="false">'VOL DWNLD'!AF130+'VOL DELTA'!AF130</f>
        <v>0.98</v>
      </c>
      <c r="AG130" s="168" t="n">
        <f aca="false">'VOL DWNLD'!AG130+'VOL DELTA'!AG130</f>
        <v>0.98</v>
      </c>
      <c r="AH130" s="168" t="n">
        <f aca="false">'VOL DWNLD'!AH130+'VOL DELTA'!AH130</f>
        <v>1.05</v>
      </c>
      <c r="AI130" s="168" t="n">
        <f aca="false">'VOL DWNLD'!AI130+'VOL DELTA'!AI130</f>
        <v>1</v>
      </c>
      <c r="AJ130" s="168" t="n">
        <f aca="false">'VOL DWNLD'!AJ130+'VOL DELTA'!AJ130</f>
        <v>1</v>
      </c>
      <c r="AK130" s="168" t="n">
        <f aca="false">'VOL DWNLD'!AK130+'VOL DELTA'!AK130</f>
        <v>1.02</v>
      </c>
      <c r="AL130" s="168" t="n">
        <f aca="false">'VOL DWNLD'!AL130+'VOL DELTA'!AL130</f>
        <v>1</v>
      </c>
      <c r="AM130" s="168" t="n">
        <f aca="false">'VOL DWNLD'!AM130+'VOL DELTA'!AM130</f>
        <v>1</v>
      </c>
      <c r="AN130" s="168" t="n">
        <f aca="false">'VOL DWNLD'!AN130+'VOL DELTA'!AN130</f>
        <v>1</v>
      </c>
      <c r="AO130" s="168" t="n">
        <f aca="false">'VOL DWNLD'!AO130+'VOL DELTA'!AO130</f>
        <v>1</v>
      </c>
    </row>
    <row r="131" customFormat="false" ht="12.75" hidden="false" customHeight="false" outlineLevel="0" collapsed="false">
      <c r="A131" s="167" t="n">
        <v>40664</v>
      </c>
      <c r="B131" s="168" t="n">
        <f aca="false">'VOL DWNLD'!B131+'VOL DELTA'!B131</f>
        <v>1</v>
      </c>
      <c r="C131" s="168" t="n">
        <f aca="false">'VOL DWNLD'!C131+'VOL DELTA'!C131</f>
        <v>1</v>
      </c>
      <c r="D131" s="168" t="n">
        <f aca="false">'VOL DWNLD'!D131+'VOL DELTA'!D131</f>
        <v>1</v>
      </c>
      <c r="E131" s="168" t="n">
        <f aca="false">'VOL DWNLD'!E131+'VOL DELTA'!E131</f>
        <v>1</v>
      </c>
      <c r="F131" s="168" t="n">
        <f aca="false">'VOL DWNLD'!F131+'VOL DELTA'!F131</f>
        <v>1</v>
      </c>
      <c r="G131" s="168" t="n">
        <f aca="false">'VOL DWNLD'!G131+'VOL DELTA'!G131</f>
        <v>1</v>
      </c>
      <c r="H131" s="168" t="n">
        <f aca="false">'VOL DWNLD'!H131+'VOL DELTA'!H131</f>
        <v>1</v>
      </c>
      <c r="I131" s="168" t="n">
        <f aca="false">'VOL DWNLD'!I131+'VOL DELTA'!I131</f>
        <v>1</v>
      </c>
      <c r="J131" s="168" t="n">
        <f aca="false">'VOL DWNLD'!J131+'VOL DELTA'!J131</f>
        <v>1</v>
      </c>
      <c r="K131" s="168" t="n">
        <f aca="false">'VOL DWNLD'!K131+'VOL DELTA'!K131</f>
        <v>1</v>
      </c>
      <c r="L131" s="168" t="n">
        <f aca="false">'VOL DWNLD'!L131+'VOL DELTA'!L131</f>
        <v>1</v>
      </c>
      <c r="M131" s="168" t="n">
        <f aca="false">'VOL DWNLD'!M131+'VOL DELTA'!M131</f>
        <v>1</v>
      </c>
      <c r="N131" s="168" t="n">
        <f aca="false">'VOL DWNLD'!N131+'VOL DELTA'!N131</f>
        <v>1</v>
      </c>
      <c r="O131" s="168" t="n">
        <f aca="false">'VOL DWNLD'!O131+'VOL DELTA'!O131</f>
        <v>1</v>
      </c>
      <c r="P131" s="168" t="n">
        <f aca="false">'VOL DWNLD'!P131+'VOL DELTA'!P131</f>
        <v>1.03</v>
      </c>
      <c r="Q131" s="168" t="n">
        <f aca="false">'VOL DWNLD'!Q131+'VOL DELTA'!Q131</f>
        <v>1</v>
      </c>
      <c r="R131" s="168" t="n">
        <f aca="false">'VOL DWNLD'!R131+'VOL DELTA'!R131</f>
        <v>1</v>
      </c>
      <c r="S131" s="168" t="n">
        <f aca="false">'VOL DWNLD'!S131+'VOL DELTA'!S131</f>
        <v>1.02</v>
      </c>
      <c r="T131" s="168" t="n">
        <f aca="false">'VOL DWNLD'!T131+'VOL DELTA'!T131</f>
        <v>1</v>
      </c>
      <c r="U131" s="168" t="n">
        <f aca="false">'VOL DWNLD'!U131+'VOL DELTA'!U131</f>
        <v>1</v>
      </c>
      <c r="V131" s="168" t="n">
        <f aca="false">'VOL DWNLD'!V131+'VOL DELTA'!V131</f>
        <v>1</v>
      </c>
      <c r="W131" s="168" t="n">
        <f aca="false">'VOL DWNLD'!W131+'VOL DELTA'!W131</f>
        <v>1</v>
      </c>
      <c r="X131" s="168" t="n">
        <f aca="false">'VOL DWNLD'!X131+'VOL DELTA'!X131</f>
        <v>1</v>
      </c>
      <c r="Y131" s="168" t="n">
        <f aca="false">'VOL DWNLD'!Y131+'VOL DELTA'!Y131</f>
        <v>1.02</v>
      </c>
      <c r="Z131" s="168" t="n">
        <f aca="false">'VOL DWNLD'!Z131+'VOL DELTA'!Z131</f>
        <v>1</v>
      </c>
      <c r="AA131" s="168" t="n">
        <f aca="false">'VOL DWNLD'!AA131+'VOL DELTA'!AA131</f>
        <v>1</v>
      </c>
      <c r="AB131" s="168" t="n">
        <f aca="false">'VOL DWNLD'!AB131+'VOL DELTA'!AB131</f>
        <v>1</v>
      </c>
      <c r="AC131" s="168" t="n">
        <f aca="false">'VOL DWNLD'!AC131+'VOL DELTA'!AC131</f>
        <v>1</v>
      </c>
      <c r="AD131" s="168" t="n">
        <f aca="false">'VOL DWNLD'!AD131+'VOL DELTA'!AD131</f>
        <v>0.98</v>
      </c>
      <c r="AE131" s="168" t="n">
        <f aca="false">'VOL DWNLD'!AE131+'VOL DELTA'!AE131</f>
        <v>0.98</v>
      </c>
      <c r="AF131" s="168" t="n">
        <f aca="false">'VOL DWNLD'!AF131+'VOL DELTA'!AF131</f>
        <v>0.98</v>
      </c>
      <c r="AG131" s="168" t="n">
        <f aca="false">'VOL DWNLD'!AG131+'VOL DELTA'!AG131</f>
        <v>0.98</v>
      </c>
      <c r="AH131" s="168" t="n">
        <f aca="false">'VOL DWNLD'!AH131+'VOL DELTA'!AH131</f>
        <v>1.05</v>
      </c>
      <c r="AI131" s="168" t="n">
        <f aca="false">'VOL DWNLD'!AI131+'VOL DELTA'!AI131</f>
        <v>1</v>
      </c>
      <c r="AJ131" s="168" t="n">
        <f aca="false">'VOL DWNLD'!AJ131+'VOL DELTA'!AJ131</f>
        <v>1</v>
      </c>
      <c r="AK131" s="168" t="n">
        <f aca="false">'VOL DWNLD'!AK131+'VOL DELTA'!AK131</f>
        <v>1.02</v>
      </c>
      <c r="AL131" s="168" t="n">
        <f aca="false">'VOL DWNLD'!AL131+'VOL DELTA'!AL131</f>
        <v>1</v>
      </c>
      <c r="AM131" s="168" t="n">
        <f aca="false">'VOL DWNLD'!AM131+'VOL DELTA'!AM131</f>
        <v>1</v>
      </c>
      <c r="AN131" s="168" t="n">
        <f aca="false">'VOL DWNLD'!AN131+'VOL DELTA'!AN131</f>
        <v>1</v>
      </c>
      <c r="AO131" s="168" t="n">
        <f aca="false">'VOL DWNLD'!AO131+'VOL DELTA'!AO131</f>
        <v>1</v>
      </c>
    </row>
    <row r="132" customFormat="false" ht="12.75" hidden="false" customHeight="false" outlineLevel="0" collapsed="false">
      <c r="A132" s="167" t="n">
        <v>40695</v>
      </c>
      <c r="B132" s="168" t="n">
        <f aca="false">'VOL DWNLD'!B132+'VOL DELTA'!B132</f>
        <v>1</v>
      </c>
      <c r="C132" s="168" t="n">
        <f aca="false">'VOL DWNLD'!C132+'VOL DELTA'!C132</f>
        <v>1</v>
      </c>
      <c r="D132" s="168" t="n">
        <f aca="false">'VOL DWNLD'!D132+'VOL DELTA'!D132</f>
        <v>1</v>
      </c>
      <c r="E132" s="168" t="n">
        <f aca="false">'VOL DWNLD'!E132+'VOL DELTA'!E132</f>
        <v>1</v>
      </c>
      <c r="F132" s="168" t="n">
        <f aca="false">'VOL DWNLD'!F132+'VOL DELTA'!F132</f>
        <v>1</v>
      </c>
      <c r="G132" s="168" t="n">
        <f aca="false">'VOL DWNLD'!G132+'VOL DELTA'!G132</f>
        <v>1</v>
      </c>
      <c r="H132" s="168" t="n">
        <f aca="false">'VOL DWNLD'!H132+'VOL DELTA'!H132</f>
        <v>1</v>
      </c>
      <c r="I132" s="168" t="n">
        <f aca="false">'VOL DWNLD'!I132+'VOL DELTA'!I132</f>
        <v>1</v>
      </c>
      <c r="J132" s="168" t="n">
        <f aca="false">'VOL DWNLD'!J132+'VOL DELTA'!J132</f>
        <v>1</v>
      </c>
      <c r="K132" s="168" t="n">
        <f aca="false">'VOL DWNLD'!K132+'VOL DELTA'!K132</f>
        <v>1</v>
      </c>
      <c r="L132" s="168" t="n">
        <f aca="false">'VOL DWNLD'!L132+'VOL DELTA'!L132</f>
        <v>1</v>
      </c>
      <c r="M132" s="168" t="n">
        <f aca="false">'VOL DWNLD'!M132+'VOL DELTA'!M132</f>
        <v>1</v>
      </c>
      <c r="N132" s="168" t="n">
        <f aca="false">'VOL DWNLD'!N132+'VOL DELTA'!N132</f>
        <v>1</v>
      </c>
      <c r="O132" s="168" t="n">
        <f aca="false">'VOL DWNLD'!O132+'VOL DELTA'!O132</f>
        <v>1</v>
      </c>
      <c r="P132" s="168" t="n">
        <f aca="false">'VOL DWNLD'!P132+'VOL DELTA'!P132</f>
        <v>1.03</v>
      </c>
      <c r="Q132" s="168" t="n">
        <f aca="false">'VOL DWNLD'!Q132+'VOL DELTA'!Q132</f>
        <v>1</v>
      </c>
      <c r="R132" s="168" t="n">
        <f aca="false">'VOL DWNLD'!R132+'VOL DELTA'!R132</f>
        <v>1</v>
      </c>
      <c r="S132" s="168" t="n">
        <f aca="false">'VOL DWNLD'!S132+'VOL DELTA'!S132</f>
        <v>1.02</v>
      </c>
      <c r="T132" s="168" t="n">
        <f aca="false">'VOL DWNLD'!T132+'VOL DELTA'!T132</f>
        <v>1</v>
      </c>
      <c r="U132" s="168" t="n">
        <f aca="false">'VOL DWNLD'!U132+'VOL DELTA'!U132</f>
        <v>1</v>
      </c>
      <c r="V132" s="168" t="n">
        <f aca="false">'VOL DWNLD'!V132+'VOL DELTA'!V132</f>
        <v>1</v>
      </c>
      <c r="W132" s="168" t="n">
        <f aca="false">'VOL DWNLD'!W132+'VOL DELTA'!W132</f>
        <v>1</v>
      </c>
      <c r="X132" s="168" t="n">
        <f aca="false">'VOL DWNLD'!X132+'VOL DELTA'!X132</f>
        <v>1</v>
      </c>
      <c r="Y132" s="168" t="n">
        <f aca="false">'VOL DWNLD'!Y132+'VOL DELTA'!Y132</f>
        <v>1.02</v>
      </c>
      <c r="Z132" s="168" t="n">
        <f aca="false">'VOL DWNLD'!Z132+'VOL DELTA'!Z132</f>
        <v>1</v>
      </c>
      <c r="AA132" s="168" t="n">
        <f aca="false">'VOL DWNLD'!AA132+'VOL DELTA'!AA132</f>
        <v>1</v>
      </c>
      <c r="AB132" s="168" t="n">
        <f aca="false">'VOL DWNLD'!AB132+'VOL DELTA'!AB132</f>
        <v>1</v>
      </c>
      <c r="AC132" s="168" t="n">
        <f aca="false">'VOL DWNLD'!AC132+'VOL DELTA'!AC132</f>
        <v>1</v>
      </c>
      <c r="AD132" s="168" t="n">
        <f aca="false">'VOL DWNLD'!AD132+'VOL DELTA'!AD132</f>
        <v>0.98</v>
      </c>
      <c r="AE132" s="168" t="n">
        <f aca="false">'VOL DWNLD'!AE132+'VOL DELTA'!AE132</f>
        <v>0.98</v>
      </c>
      <c r="AF132" s="168" t="n">
        <f aca="false">'VOL DWNLD'!AF132+'VOL DELTA'!AF132</f>
        <v>0.98</v>
      </c>
      <c r="AG132" s="168" t="n">
        <f aca="false">'VOL DWNLD'!AG132+'VOL DELTA'!AG132</f>
        <v>0.98</v>
      </c>
      <c r="AH132" s="168" t="n">
        <f aca="false">'VOL DWNLD'!AH132+'VOL DELTA'!AH132</f>
        <v>1.05</v>
      </c>
      <c r="AI132" s="168" t="n">
        <f aca="false">'VOL DWNLD'!AI132+'VOL DELTA'!AI132</f>
        <v>1</v>
      </c>
      <c r="AJ132" s="168" t="n">
        <f aca="false">'VOL DWNLD'!AJ132+'VOL DELTA'!AJ132</f>
        <v>1</v>
      </c>
      <c r="AK132" s="168" t="n">
        <f aca="false">'VOL DWNLD'!AK132+'VOL DELTA'!AK132</f>
        <v>1.02</v>
      </c>
      <c r="AL132" s="168" t="n">
        <f aca="false">'VOL DWNLD'!AL132+'VOL DELTA'!AL132</f>
        <v>1</v>
      </c>
      <c r="AM132" s="168" t="n">
        <f aca="false">'VOL DWNLD'!AM132+'VOL DELTA'!AM132</f>
        <v>1</v>
      </c>
      <c r="AN132" s="168" t="n">
        <f aca="false">'VOL DWNLD'!AN132+'VOL DELTA'!AN132</f>
        <v>1</v>
      </c>
      <c r="AO132" s="168" t="n">
        <f aca="false">'VOL DWNLD'!AO132+'VOL DELTA'!AO132</f>
        <v>1</v>
      </c>
    </row>
    <row r="133" customFormat="false" ht="12.75" hidden="false" customHeight="false" outlineLevel="0" collapsed="false">
      <c r="A133" s="167" t="n">
        <v>40725</v>
      </c>
      <c r="B133" s="168" t="n">
        <f aca="false">'VOL DWNLD'!B133+'VOL DELTA'!B133</f>
        <v>1</v>
      </c>
      <c r="C133" s="168" t="n">
        <f aca="false">'VOL DWNLD'!C133+'VOL DELTA'!C133</f>
        <v>1</v>
      </c>
      <c r="D133" s="168" t="n">
        <f aca="false">'VOL DWNLD'!D133+'VOL DELTA'!D133</f>
        <v>1</v>
      </c>
      <c r="E133" s="168" t="n">
        <f aca="false">'VOL DWNLD'!E133+'VOL DELTA'!E133</f>
        <v>1</v>
      </c>
      <c r="F133" s="168" t="n">
        <f aca="false">'VOL DWNLD'!F133+'VOL DELTA'!F133</f>
        <v>1</v>
      </c>
      <c r="G133" s="168" t="n">
        <f aca="false">'VOL DWNLD'!G133+'VOL DELTA'!G133</f>
        <v>1</v>
      </c>
      <c r="H133" s="168" t="n">
        <f aca="false">'VOL DWNLD'!H133+'VOL DELTA'!H133</f>
        <v>1</v>
      </c>
      <c r="I133" s="168" t="n">
        <f aca="false">'VOL DWNLD'!I133+'VOL DELTA'!I133</f>
        <v>1</v>
      </c>
      <c r="J133" s="168" t="n">
        <f aca="false">'VOL DWNLD'!J133+'VOL DELTA'!J133</f>
        <v>1</v>
      </c>
      <c r="K133" s="168" t="n">
        <f aca="false">'VOL DWNLD'!K133+'VOL DELTA'!K133</f>
        <v>1</v>
      </c>
      <c r="L133" s="168" t="n">
        <f aca="false">'VOL DWNLD'!L133+'VOL DELTA'!L133</f>
        <v>1</v>
      </c>
      <c r="M133" s="168" t="n">
        <f aca="false">'VOL DWNLD'!M133+'VOL DELTA'!M133</f>
        <v>1</v>
      </c>
      <c r="N133" s="168" t="n">
        <f aca="false">'VOL DWNLD'!N133+'VOL DELTA'!N133</f>
        <v>1</v>
      </c>
      <c r="O133" s="168" t="n">
        <f aca="false">'VOL DWNLD'!O133+'VOL DELTA'!O133</f>
        <v>1</v>
      </c>
      <c r="P133" s="168" t="n">
        <f aca="false">'VOL DWNLD'!P133+'VOL DELTA'!P133</f>
        <v>1.03</v>
      </c>
      <c r="Q133" s="168" t="n">
        <f aca="false">'VOL DWNLD'!Q133+'VOL DELTA'!Q133</f>
        <v>1</v>
      </c>
      <c r="R133" s="168" t="n">
        <f aca="false">'VOL DWNLD'!R133+'VOL DELTA'!R133</f>
        <v>1</v>
      </c>
      <c r="S133" s="168" t="n">
        <f aca="false">'VOL DWNLD'!S133+'VOL DELTA'!S133</f>
        <v>1.02</v>
      </c>
      <c r="T133" s="168" t="n">
        <f aca="false">'VOL DWNLD'!T133+'VOL DELTA'!T133</f>
        <v>1</v>
      </c>
      <c r="U133" s="168" t="n">
        <f aca="false">'VOL DWNLD'!U133+'VOL DELTA'!U133</f>
        <v>1</v>
      </c>
      <c r="V133" s="168" t="n">
        <f aca="false">'VOL DWNLD'!V133+'VOL DELTA'!V133</f>
        <v>1</v>
      </c>
      <c r="W133" s="168" t="n">
        <f aca="false">'VOL DWNLD'!W133+'VOL DELTA'!W133</f>
        <v>1</v>
      </c>
      <c r="X133" s="168" t="n">
        <f aca="false">'VOL DWNLD'!X133+'VOL DELTA'!X133</f>
        <v>1</v>
      </c>
      <c r="Y133" s="168" t="n">
        <f aca="false">'VOL DWNLD'!Y133+'VOL DELTA'!Y133</f>
        <v>1.02</v>
      </c>
      <c r="Z133" s="168" t="n">
        <f aca="false">'VOL DWNLD'!Z133+'VOL DELTA'!Z133</f>
        <v>1</v>
      </c>
      <c r="AA133" s="168" t="n">
        <f aca="false">'VOL DWNLD'!AA133+'VOL DELTA'!AA133</f>
        <v>1</v>
      </c>
      <c r="AB133" s="168" t="n">
        <f aca="false">'VOL DWNLD'!AB133+'VOL DELTA'!AB133</f>
        <v>1</v>
      </c>
      <c r="AC133" s="168" t="n">
        <f aca="false">'VOL DWNLD'!AC133+'VOL DELTA'!AC133</f>
        <v>1</v>
      </c>
      <c r="AD133" s="168" t="n">
        <f aca="false">'VOL DWNLD'!AD133+'VOL DELTA'!AD133</f>
        <v>0.98</v>
      </c>
      <c r="AE133" s="168" t="n">
        <f aca="false">'VOL DWNLD'!AE133+'VOL DELTA'!AE133</f>
        <v>0.98</v>
      </c>
      <c r="AF133" s="168" t="n">
        <f aca="false">'VOL DWNLD'!AF133+'VOL DELTA'!AF133</f>
        <v>0.98</v>
      </c>
      <c r="AG133" s="168" t="n">
        <f aca="false">'VOL DWNLD'!AG133+'VOL DELTA'!AG133</f>
        <v>0.98</v>
      </c>
      <c r="AH133" s="168" t="n">
        <f aca="false">'VOL DWNLD'!AH133+'VOL DELTA'!AH133</f>
        <v>1.05</v>
      </c>
      <c r="AI133" s="168" t="n">
        <f aca="false">'VOL DWNLD'!AI133+'VOL DELTA'!AI133</f>
        <v>1</v>
      </c>
      <c r="AJ133" s="168" t="n">
        <f aca="false">'VOL DWNLD'!AJ133+'VOL DELTA'!AJ133</f>
        <v>1</v>
      </c>
      <c r="AK133" s="168" t="n">
        <f aca="false">'VOL DWNLD'!AK133+'VOL DELTA'!AK133</f>
        <v>1.02</v>
      </c>
      <c r="AL133" s="168" t="n">
        <f aca="false">'VOL DWNLD'!AL133+'VOL DELTA'!AL133</f>
        <v>1</v>
      </c>
      <c r="AM133" s="168" t="n">
        <f aca="false">'VOL DWNLD'!AM133+'VOL DELTA'!AM133</f>
        <v>1</v>
      </c>
      <c r="AN133" s="168" t="n">
        <f aca="false">'VOL DWNLD'!AN133+'VOL DELTA'!AN133</f>
        <v>1</v>
      </c>
      <c r="AO133" s="168" t="n">
        <f aca="false">'VOL DWNLD'!AO133+'VOL DELTA'!AO133</f>
        <v>1</v>
      </c>
    </row>
    <row r="134" customFormat="false" ht="12.75" hidden="false" customHeight="false" outlineLevel="0" collapsed="false">
      <c r="A134" s="167" t="n">
        <v>40756</v>
      </c>
      <c r="B134" s="168" t="n">
        <f aca="false">'VOL DWNLD'!B134+'VOL DELTA'!B134</f>
        <v>1</v>
      </c>
      <c r="C134" s="168" t="n">
        <f aca="false">'VOL DWNLD'!C134+'VOL DELTA'!C134</f>
        <v>1</v>
      </c>
      <c r="D134" s="168" t="n">
        <f aca="false">'VOL DWNLD'!D134+'VOL DELTA'!D134</f>
        <v>1</v>
      </c>
      <c r="E134" s="168" t="n">
        <f aca="false">'VOL DWNLD'!E134+'VOL DELTA'!E134</f>
        <v>1</v>
      </c>
      <c r="F134" s="168" t="n">
        <f aca="false">'VOL DWNLD'!F134+'VOL DELTA'!F134</f>
        <v>1</v>
      </c>
      <c r="G134" s="168" t="n">
        <f aca="false">'VOL DWNLD'!G134+'VOL DELTA'!G134</f>
        <v>1</v>
      </c>
      <c r="H134" s="168" t="n">
        <f aca="false">'VOL DWNLD'!H134+'VOL DELTA'!H134</f>
        <v>1</v>
      </c>
      <c r="I134" s="168" t="n">
        <f aca="false">'VOL DWNLD'!I134+'VOL DELTA'!I134</f>
        <v>1</v>
      </c>
      <c r="J134" s="168" t="n">
        <f aca="false">'VOL DWNLD'!J134+'VOL DELTA'!J134</f>
        <v>1</v>
      </c>
      <c r="K134" s="168" t="n">
        <f aca="false">'VOL DWNLD'!K134+'VOL DELTA'!K134</f>
        <v>1</v>
      </c>
      <c r="L134" s="168" t="n">
        <f aca="false">'VOL DWNLD'!L134+'VOL DELTA'!L134</f>
        <v>1</v>
      </c>
      <c r="M134" s="168" t="n">
        <f aca="false">'VOL DWNLD'!M134+'VOL DELTA'!M134</f>
        <v>1</v>
      </c>
      <c r="N134" s="168" t="n">
        <f aca="false">'VOL DWNLD'!N134+'VOL DELTA'!N134</f>
        <v>1</v>
      </c>
      <c r="O134" s="168" t="n">
        <f aca="false">'VOL DWNLD'!O134+'VOL DELTA'!O134</f>
        <v>1</v>
      </c>
      <c r="P134" s="168" t="n">
        <f aca="false">'VOL DWNLD'!P134+'VOL DELTA'!P134</f>
        <v>1.03</v>
      </c>
      <c r="Q134" s="168" t="n">
        <f aca="false">'VOL DWNLD'!Q134+'VOL DELTA'!Q134</f>
        <v>1</v>
      </c>
      <c r="R134" s="168" t="n">
        <f aca="false">'VOL DWNLD'!R134+'VOL DELTA'!R134</f>
        <v>1</v>
      </c>
      <c r="S134" s="168" t="n">
        <f aca="false">'VOL DWNLD'!S134+'VOL DELTA'!S134</f>
        <v>1.02</v>
      </c>
      <c r="T134" s="168" t="n">
        <f aca="false">'VOL DWNLD'!T134+'VOL DELTA'!T134</f>
        <v>1</v>
      </c>
      <c r="U134" s="168" t="n">
        <f aca="false">'VOL DWNLD'!U134+'VOL DELTA'!U134</f>
        <v>1</v>
      </c>
      <c r="V134" s="168" t="n">
        <f aca="false">'VOL DWNLD'!V134+'VOL DELTA'!V134</f>
        <v>1</v>
      </c>
      <c r="W134" s="168" t="n">
        <f aca="false">'VOL DWNLD'!W134+'VOL DELTA'!W134</f>
        <v>1</v>
      </c>
      <c r="X134" s="168" t="n">
        <f aca="false">'VOL DWNLD'!X134+'VOL DELTA'!X134</f>
        <v>1</v>
      </c>
      <c r="Y134" s="168" t="n">
        <f aca="false">'VOL DWNLD'!Y134+'VOL DELTA'!Y134</f>
        <v>1.02</v>
      </c>
      <c r="Z134" s="168" t="n">
        <f aca="false">'VOL DWNLD'!Z134+'VOL DELTA'!Z134</f>
        <v>1</v>
      </c>
      <c r="AA134" s="168" t="n">
        <f aca="false">'VOL DWNLD'!AA134+'VOL DELTA'!AA134</f>
        <v>1</v>
      </c>
      <c r="AB134" s="168" t="n">
        <f aca="false">'VOL DWNLD'!AB134+'VOL DELTA'!AB134</f>
        <v>1</v>
      </c>
      <c r="AC134" s="168" t="n">
        <f aca="false">'VOL DWNLD'!AC134+'VOL DELTA'!AC134</f>
        <v>1</v>
      </c>
      <c r="AD134" s="168" t="n">
        <f aca="false">'VOL DWNLD'!AD134+'VOL DELTA'!AD134</f>
        <v>0.98</v>
      </c>
      <c r="AE134" s="168" t="n">
        <f aca="false">'VOL DWNLD'!AE134+'VOL DELTA'!AE134</f>
        <v>0.98</v>
      </c>
      <c r="AF134" s="168" t="n">
        <f aca="false">'VOL DWNLD'!AF134+'VOL DELTA'!AF134</f>
        <v>0.98</v>
      </c>
      <c r="AG134" s="168" t="n">
        <f aca="false">'VOL DWNLD'!AG134+'VOL DELTA'!AG134</f>
        <v>0.98</v>
      </c>
      <c r="AH134" s="168" t="n">
        <f aca="false">'VOL DWNLD'!AH134+'VOL DELTA'!AH134</f>
        <v>1.05</v>
      </c>
      <c r="AI134" s="168" t="n">
        <f aca="false">'VOL DWNLD'!AI134+'VOL DELTA'!AI134</f>
        <v>1</v>
      </c>
      <c r="AJ134" s="168" t="n">
        <f aca="false">'VOL DWNLD'!AJ134+'VOL DELTA'!AJ134</f>
        <v>1</v>
      </c>
      <c r="AK134" s="168" t="n">
        <f aca="false">'VOL DWNLD'!AK134+'VOL DELTA'!AK134</f>
        <v>1.02</v>
      </c>
      <c r="AL134" s="168" t="n">
        <f aca="false">'VOL DWNLD'!AL134+'VOL DELTA'!AL134</f>
        <v>1</v>
      </c>
      <c r="AM134" s="168" t="n">
        <f aca="false">'VOL DWNLD'!AM134+'VOL DELTA'!AM134</f>
        <v>1</v>
      </c>
      <c r="AN134" s="168" t="n">
        <f aca="false">'VOL DWNLD'!AN134+'VOL DELTA'!AN134</f>
        <v>1</v>
      </c>
      <c r="AO134" s="168" t="n">
        <f aca="false">'VOL DWNLD'!AO134+'VOL DELTA'!AO134</f>
        <v>1</v>
      </c>
    </row>
    <row r="135" customFormat="false" ht="12.75" hidden="false" customHeight="false" outlineLevel="0" collapsed="false">
      <c r="A135" s="167" t="n">
        <v>40787</v>
      </c>
      <c r="B135" s="168" t="n">
        <f aca="false">'VOL DWNLD'!B135+'VOL DELTA'!B135</f>
        <v>1</v>
      </c>
      <c r="C135" s="168" t="n">
        <f aca="false">'VOL DWNLD'!C135+'VOL DELTA'!C135</f>
        <v>1</v>
      </c>
      <c r="D135" s="168" t="n">
        <f aca="false">'VOL DWNLD'!D135+'VOL DELTA'!D135</f>
        <v>1</v>
      </c>
      <c r="E135" s="168" t="n">
        <f aca="false">'VOL DWNLD'!E135+'VOL DELTA'!E135</f>
        <v>1</v>
      </c>
      <c r="F135" s="168" t="n">
        <f aca="false">'VOL DWNLD'!F135+'VOL DELTA'!F135</f>
        <v>1</v>
      </c>
      <c r="G135" s="168" t="n">
        <f aca="false">'VOL DWNLD'!G135+'VOL DELTA'!G135</f>
        <v>1</v>
      </c>
      <c r="H135" s="168" t="n">
        <f aca="false">'VOL DWNLD'!H135+'VOL DELTA'!H135</f>
        <v>1</v>
      </c>
      <c r="I135" s="168" t="n">
        <f aca="false">'VOL DWNLD'!I135+'VOL DELTA'!I135</f>
        <v>1</v>
      </c>
      <c r="J135" s="168" t="n">
        <f aca="false">'VOL DWNLD'!J135+'VOL DELTA'!J135</f>
        <v>1</v>
      </c>
      <c r="K135" s="168" t="n">
        <f aca="false">'VOL DWNLD'!K135+'VOL DELTA'!K135</f>
        <v>1</v>
      </c>
      <c r="L135" s="168" t="n">
        <f aca="false">'VOL DWNLD'!L135+'VOL DELTA'!L135</f>
        <v>1</v>
      </c>
      <c r="M135" s="168" t="n">
        <f aca="false">'VOL DWNLD'!M135+'VOL DELTA'!M135</f>
        <v>1</v>
      </c>
      <c r="N135" s="168" t="n">
        <f aca="false">'VOL DWNLD'!N135+'VOL DELTA'!N135</f>
        <v>1</v>
      </c>
      <c r="O135" s="168" t="n">
        <f aca="false">'VOL DWNLD'!O135+'VOL DELTA'!O135</f>
        <v>1</v>
      </c>
      <c r="P135" s="168" t="n">
        <f aca="false">'VOL DWNLD'!P135+'VOL DELTA'!P135</f>
        <v>1.03</v>
      </c>
      <c r="Q135" s="168" t="n">
        <f aca="false">'VOL DWNLD'!Q135+'VOL DELTA'!Q135</f>
        <v>1</v>
      </c>
      <c r="R135" s="168" t="n">
        <f aca="false">'VOL DWNLD'!R135+'VOL DELTA'!R135</f>
        <v>1</v>
      </c>
      <c r="S135" s="168" t="n">
        <f aca="false">'VOL DWNLD'!S135+'VOL DELTA'!S135</f>
        <v>1.02</v>
      </c>
      <c r="T135" s="168" t="n">
        <f aca="false">'VOL DWNLD'!T135+'VOL DELTA'!T135</f>
        <v>1</v>
      </c>
      <c r="U135" s="168" t="n">
        <f aca="false">'VOL DWNLD'!U135+'VOL DELTA'!U135</f>
        <v>1</v>
      </c>
      <c r="V135" s="168" t="n">
        <f aca="false">'VOL DWNLD'!V135+'VOL DELTA'!V135</f>
        <v>1</v>
      </c>
      <c r="W135" s="168" t="n">
        <f aca="false">'VOL DWNLD'!W135+'VOL DELTA'!W135</f>
        <v>1</v>
      </c>
      <c r="X135" s="168" t="n">
        <f aca="false">'VOL DWNLD'!X135+'VOL DELTA'!X135</f>
        <v>1</v>
      </c>
      <c r="Y135" s="168" t="n">
        <f aca="false">'VOL DWNLD'!Y135+'VOL DELTA'!Y135</f>
        <v>1.02</v>
      </c>
      <c r="Z135" s="168" t="n">
        <f aca="false">'VOL DWNLD'!Z135+'VOL DELTA'!Z135</f>
        <v>1</v>
      </c>
      <c r="AA135" s="168" t="n">
        <f aca="false">'VOL DWNLD'!AA135+'VOL DELTA'!AA135</f>
        <v>1</v>
      </c>
      <c r="AB135" s="168" t="n">
        <f aca="false">'VOL DWNLD'!AB135+'VOL DELTA'!AB135</f>
        <v>1</v>
      </c>
      <c r="AC135" s="168" t="n">
        <f aca="false">'VOL DWNLD'!AC135+'VOL DELTA'!AC135</f>
        <v>1</v>
      </c>
      <c r="AD135" s="168" t="n">
        <f aca="false">'VOL DWNLD'!AD135+'VOL DELTA'!AD135</f>
        <v>0.98</v>
      </c>
      <c r="AE135" s="168" t="n">
        <f aca="false">'VOL DWNLD'!AE135+'VOL DELTA'!AE135</f>
        <v>0.98</v>
      </c>
      <c r="AF135" s="168" t="n">
        <f aca="false">'VOL DWNLD'!AF135+'VOL DELTA'!AF135</f>
        <v>0.98</v>
      </c>
      <c r="AG135" s="168" t="n">
        <f aca="false">'VOL DWNLD'!AG135+'VOL DELTA'!AG135</f>
        <v>0.98</v>
      </c>
      <c r="AH135" s="168" t="n">
        <f aca="false">'VOL DWNLD'!AH135+'VOL DELTA'!AH135</f>
        <v>1.05</v>
      </c>
      <c r="AI135" s="168" t="n">
        <f aca="false">'VOL DWNLD'!AI135+'VOL DELTA'!AI135</f>
        <v>1</v>
      </c>
      <c r="AJ135" s="168" t="n">
        <f aca="false">'VOL DWNLD'!AJ135+'VOL DELTA'!AJ135</f>
        <v>1</v>
      </c>
      <c r="AK135" s="168" t="n">
        <f aca="false">'VOL DWNLD'!AK135+'VOL DELTA'!AK135</f>
        <v>1.02</v>
      </c>
      <c r="AL135" s="168" t="n">
        <f aca="false">'VOL DWNLD'!AL135+'VOL DELTA'!AL135</f>
        <v>1</v>
      </c>
      <c r="AM135" s="168" t="n">
        <f aca="false">'VOL DWNLD'!AM135+'VOL DELTA'!AM135</f>
        <v>1</v>
      </c>
      <c r="AN135" s="168" t="n">
        <f aca="false">'VOL DWNLD'!AN135+'VOL DELTA'!AN135</f>
        <v>1</v>
      </c>
      <c r="AO135" s="168" t="n">
        <f aca="false">'VOL DWNLD'!AO135+'VOL DELTA'!AO135</f>
        <v>1</v>
      </c>
    </row>
    <row r="136" customFormat="false" ht="12.75" hidden="false" customHeight="false" outlineLevel="0" collapsed="false">
      <c r="A136" s="167" t="n">
        <v>40817</v>
      </c>
      <c r="B136" s="168" t="n">
        <f aca="false">'VOL DWNLD'!B136+'VOL DELTA'!B136</f>
        <v>1</v>
      </c>
      <c r="C136" s="168" t="n">
        <f aca="false">'VOL DWNLD'!C136+'VOL DELTA'!C136</f>
        <v>1</v>
      </c>
      <c r="D136" s="168" t="n">
        <f aca="false">'VOL DWNLD'!D136+'VOL DELTA'!D136</f>
        <v>1</v>
      </c>
      <c r="E136" s="168" t="n">
        <f aca="false">'VOL DWNLD'!E136+'VOL DELTA'!E136</f>
        <v>1</v>
      </c>
      <c r="F136" s="168" t="n">
        <f aca="false">'VOL DWNLD'!F136+'VOL DELTA'!F136</f>
        <v>1</v>
      </c>
      <c r="G136" s="168" t="n">
        <f aca="false">'VOL DWNLD'!G136+'VOL DELTA'!G136</f>
        <v>1</v>
      </c>
      <c r="H136" s="168" t="n">
        <f aca="false">'VOL DWNLD'!H136+'VOL DELTA'!H136</f>
        <v>1</v>
      </c>
      <c r="I136" s="168" t="n">
        <f aca="false">'VOL DWNLD'!I136+'VOL DELTA'!I136</f>
        <v>1</v>
      </c>
      <c r="J136" s="168" t="n">
        <f aca="false">'VOL DWNLD'!J136+'VOL DELTA'!J136</f>
        <v>1</v>
      </c>
      <c r="K136" s="168" t="n">
        <f aca="false">'VOL DWNLD'!K136+'VOL DELTA'!K136</f>
        <v>1</v>
      </c>
      <c r="L136" s="168" t="n">
        <f aca="false">'VOL DWNLD'!L136+'VOL DELTA'!L136</f>
        <v>1</v>
      </c>
      <c r="M136" s="168" t="n">
        <f aca="false">'VOL DWNLD'!M136+'VOL DELTA'!M136</f>
        <v>1</v>
      </c>
      <c r="N136" s="168" t="n">
        <f aca="false">'VOL DWNLD'!N136+'VOL DELTA'!N136</f>
        <v>1</v>
      </c>
      <c r="O136" s="168" t="n">
        <f aca="false">'VOL DWNLD'!O136+'VOL DELTA'!O136</f>
        <v>1</v>
      </c>
      <c r="P136" s="168" t="n">
        <f aca="false">'VOL DWNLD'!P136+'VOL DELTA'!P136</f>
        <v>1.03</v>
      </c>
      <c r="Q136" s="168" t="n">
        <f aca="false">'VOL DWNLD'!Q136+'VOL DELTA'!Q136</f>
        <v>1</v>
      </c>
      <c r="R136" s="168" t="n">
        <f aca="false">'VOL DWNLD'!R136+'VOL DELTA'!R136</f>
        <v>1</v>
      </c>
      <c r="S136" s="168" t="n">
        <f aca="false">'VOL DWNLD'!S136+'VOL DELTA'!S136</f>
        <v>1.02</v>
      </c>
      <c r="T136" s="168" t="n">
        <f aca="false">'VOL DWNLD'!T136+'VOL DELTA'!T136</f>
        <v>1</v>
      </c>
      <c r="U136" s="168" t="n">
        <f aca="false">'VOL DWNLD'!U136+'VOL DELTA'!U136</f>
        <v>1</v>
      </c>
      <c r="V136" s="168" t="n">
        <f aca="false">'VOL DWNLD'!V136+'VOL DELTA'!V136</f>
        <v>1</v>
      </c>
      <c r="W136" s="168" t="n">
        <f aca="false">'VOL DWNLD'!W136+'VOL DELTA'!W136</f>
        <v>1</v>
      </c>
      <c r="X136" s="168" t="n">
        <f aca="false">'VOL DWNLD'!X136+'VOL DELTA'!X136</f>
        <v>1</v>
      </c>
      <c r="Y136" s="168" t="n">
        <f aca="false">'VOL DWNLD'!Y136+'VOL DELTA'!Y136</f>
        <v>1.02</v>
      </c>
      <c r="Z136" s="168" t="n">
        <f aca="false">'VOL DWNLD'!Z136+'VOL DELTA'!Z136</f>
        <v>1</v>
      </c>
      <c r="AA136" s="168" t="n">
        <f aca="false">'VOL DWNLD'!AA136+'VOL DELTA'!AA136</f>
        <v>1</v>
      </c>
      <c r="AB136" s="168" t="n">
        <f aca="false">'VOL DWNLD'!AB136+'VOL DELTA'!AB136</f>
        <v>1</v>
      </c>
      <c r="AC136" s="168" t="n">
        <f aca="false">'VOL DWNLD'!AC136+'VOL DELTA'!AC136</f>
        <v>1</v>
      </c>
      <c r="AD136" s="168" t="n">
        <f aca="false">'VOL DWNLD'!AD136+'VOL DELTA'!AD136</f>
        <v>0.98</v>
      </c>
      <c r="AE136" s="168" t="n">
        <f aca="false">'VOL DWNLD'!AE136+'VOL DELTA'!AE136</f>
        <v>0.98</v>
      </c>
      <c r="AF136" s="168" t="n">
        <f aca="false">'VOL DWNLD'!AF136+'VOL DELTA'!AF136</f>
        <v>0.98</v>
      </c>
      <c r="AG136" s="168" t="n">
        <f aca="false">'VOL DWNLD'!AG136+'VOL DELTA'!AG136</f>
        <v>0.98</v>
      </c>
      <c r="AH136" s="168" t="n">
        <f aca="false">'VOL DWNLD'!AH136+'VOL DELTA'!AH136</f>
        <v>1.05</v>
      </c>
      <c r="AI136" s="168" t="n">
        <f aca="false">'VOL DWNLD'!AI136+'VOL DELTA'!AI136</f>
        <v>1</v>
      </c>
      <c r="AJ136" s="168" t="n">
        <f aca="false">'VOL DWNLD'!AJ136+'VOL DELTA'!AJ136</f>
        <v>1</v>
      </c>
      <c r="AK136" s="168" t="n">
        <f aca="false">'VOL DWNLD'!AK136+'VOL DELTA'!AK136</f>
        <v>1.02</v>
      </c>
      <c r="AL136" s="168" t="n">
        <f aca="false">'VOL DWNLD'!AL136+'VOL DELTA'!AL136</f>
        <v>1</v>
      </c>
      <c r="AM136" s="168" t="n">
        <f aca="false">'VOL DWNLD'!AM136+'VOL DELTA'!AM136</f>
        <v>1</v>
      </c>
      <c r="AN136" s="168" t="n">
        <f aca="false">'VOL DWNLD'!AN136+'VOL DELTA'!AN136</f>
        <v>1</v>
      </c>
      <c r="AO136" s="168" t="n">
        <f aca="false">'VOL DWNLD'!AO136+'VOL DELTA'!AO136</f>
        <v>1</v>
      </c>
    </row>
    <row r="137" customFormat="false" ht="12.75" hidden="false" customHeight="false" outlineLevel="0" collapsed="false">
      <c r="A137" s="167" t="n">
        <v>40848</v>
      </c>
      <c r="B137" s="168" t="n">
        <f aca="false">'VOL DWNLD'!B137+'VOL DELTA'!B137</f>
        <v>1</v>
      </c>
      <c r="C137" s="168" t="n">
        <f aca="false">'VOL DWNLD'!C137+'VOL DELTA'!C137</f>
        <v>1</v>
      </c>
      <c r="D137" s="168" t="n">
        <f aca="false">'VOL DWNLD'!D137+'VOL DELTA'!D137</f>
        <v>1</v>
      </c>
      <c r="E137" s="168" t="n">
        <f aca="false">'VOL DWNLD'!E137+'VOL DELTA'!E137</f>
        <v>1</v>
      </c>
      <c r="F137" s="168" t="n">
        <f aca="false">'VOL DWNLD'!F137+'VOL DELTA'!F137</f>
        <v>1</v>
      </c>
      <c r="G137" s="168" t="n">
        <f aca="false">'VOL DWNLD'!G137+'VOL DELTA'!G137</f>
        <v>1</v>
      </c>
      <c r="H137" s="168" t="n">
        <f aca="false">'VOL DWNLD'!H137+'VOL DELTA'!H137</f>
        <v>1</v>
      </c>
      <c r="I137" s="168" t="n">
        <f aca="false">'VOL DWNLD'!I137+'VOL DELTA'!I137</f>
        <v>1</v>
      </c>
      <c r="J137" s="168" t="n">
        <f aca="false">'VOL DWNLD'!J137+'VOL DELTA'!J137</f>
        <v>1</v>
      </c>
      <c r="K137" s="168" t="n">
        <f aca="false">'VOL DWNLD'!K137+'VOL DELTA'!K137</f>
        <v>1</v>
      </c>
      <c r="L137" s="168" t="n">
        <f aca="false">'VOL DWNLD'!L137+'VOL DELTA'!L137</f>
        <v>1</v>
      </c>
      <c r="M137" s="168" t="n">
        <f aca="false">'VOL DWNLD'!M137+'VOL DELTA'!M137</f>
        <v>1</v>
      </c>
      <c r="N137" s="168" t="n">
        <f aca="false">'VOL DWNLD'!N137+'VOL DELTA'!N137</f>
        <v>1</v>
      </c>
      <c r="O137" s="168" t="n">
        <f aca="false">'VOL DWNLD'!O137+'VOL DELTA'!O137</f>
        <v>1</v>
      </c>
      <c r="P137" s="168" t="n">
        <f aca="false">'VOL DWNLD'!P137+'VOL DELTA'!P137</f>
        <v>1.03</v>
      </c>
      <c r="Q137" s="168" t="n">
        <f aca="false">'VOL DWNLD'!Q137+'VOL DELTA'!Q137</f>
        <v>1</v>
      </c>
      <c r="R137" s="168" t="n">
        <f aca="false">'VOL DWNLD'!R137+'VOL DELTA'!R137</f>
        <v>1</v>
      </c>
      <c r="S137" s="168" t="n">
        <f aca="false">'VOL DWNLD'!S137+'VOL DELTA'!S137</f>
        <v>1.02</v>
      </c>
      <c r="T137" s="168" t="n">
        <f aca="false">'VOL DWNLD'!T137+'VOL DELTA'!T137</f>
        <v>1</v>
      </c>
      <c r="U137" s="168" t="n">
        <f aca="false">'VOL DWNLD'!U137+'VOL DELTA'!U137</f>
        <v>1</v>
      </c>
      <c r="V137" s="168" t="n">
        <f aca="false">'VOL DWNLD'!V137+'VOL DELTA'!V137</f>
        <v>1</v>
      </c>
      <c r="W137" s="168" t="n">
        <f aca="false">'VOL DWNLD'!W137+'VOL DELTA'!W137</f>
        <v>1</v>
      </c>
      <c r="X137" s="168" t="n">
        <f aca="false">'VOL DWNLD'!X137+'VOL DELTA'!X137</f>
        <v>1</v>
      </c>
      <c r="Y137" s="168" t="n">
        <f aca="false">'VOL DWNLD'!Y137+'VOL DELTA'!Y137</f>
        <v>1</v>
      </c>
      <c r="Z137" s="168" t="n">
        <f aca="false">'VOL DWNLD'!Z137+'VOL DELTA'!Z137</f>
        <v>1</v>
      </c>
      <c r="AA137" s="168" t="n">
        <f aca="false">'VOL DWNLD'!AA137+'VOL DELTA'!AA137</f>
        <v>1</v>
      </c>
      <c r="AB137" s="168" t="n">
        <f aca="false">'VOL DWNLD'!AB137+'VOL DELTA'!AB137</f>
        <v>1</v>
      </c>
      <c r="AC137" s="168" t="n">
        <f aca="false">'VOL DWNLD'!AC137+'VOL DELTA'!AC137</f>
        <v>1</v>
      </c>
      <c r="AD137" s="168" t="n">
        <f aca="false">'VOL DWNLD'!AD137+'VOL DELTA'!AD137</f>
        <v>1</v>
      </c>
      <c r="AE137" s="168" t="n">
        <f aca="false">'VOL DWNLD'!AE137+'VOL DELTA'!AE137</f>
        <v>1</v>
      </c>
      <c r="AF137" s="168" t="n">
        <f aca="false">'VOL DWNLD'!AF137+'VOL DELTA'!AF137</f>
        <v>1.1</v>
      </c>
      <c r="AG137" s="168" t="n">
        <f aca="false">'VOL DWNLD'!AG137+'VOL DELTA'!AG137</f>
        <v>1.1</v>
      </c>
      <c r="AH137" s="168" t="n">
        <f aca="false">'VOL DWNLD'!AH137+'VOL DELTA'!AH137</f>
        <v>1.05</v>
      </c>
      <c r="AI137" s="168" t="n">
        <f aca="false">'VOL DWNLD'!AI137+'VOL DELTA'!AI137</f>
        <v>1</v>
      </c>
      <c r="AJ137" s="168" t="n">
        <f aca="false">'VOL DWNLD'!AJ137+'VOL DELTA'!AJ137</f>
        <v>1</v>
      </c>
      <c r="AK137" s="168" t="n">
        <f aca="false">'VOL DWNLD'!AK137+'VOL DELTA'!AK137</f>
        <v>1.02</v>
      </c>
      <c r="AL137" s="168" t="n">
        <f aca="false">'VOL DWNLD'!AL137+'VOL DELTA'!AL137</f>
        <v>1</v>
      </c>
      <c r="AM137" s="168" t="n">
        <f aca="false">'VOL DWNLD'!AM137+'VOL DELTA'!AM137</f>
        <v>1</v>
      </c>
      <c r="AN137" s="168" t="n">
        <f aca="false">'VOL DWNLD'!AN137+'VOL DELTA'!AN137</f>
        <v>1</v>
      </c>
      <c r="AO137" s="168" t="n">
        <f aca="false">'VOL DWNLD'!AO137+'VOL DELTA'!AO137</f>
        <v>1</v>
      </c>
    </row>
    <row r="138" customFormat="false" ht="12.75" hidden="false" customHeight="false" outlineLevel="0" collapsed="false">
      <c r="A138" s="167" t="n">
        <v>40878</v>
      </c>
      <c r="B138" s="168" t="n">
        <f aca="false">'VOL DWNLD'!B138+'VOL DELTA'!B138</f>
        <v>1</v>
      </c>
      <c r="C138" s="168" t="n">
        <f aca="false">'VOL DWNLD'!C138+'VOL DELTA'!C138</f>
        <v>1</v>
      </c>
      <c r="D138" s="168" t="n">
        <f aca="false">'VOL DWNLD'!D138+'VOL DELTA'!D138</f>
        <v>1</v>
      </c>
      <c r="E138" s="168" t="n">
        <f aca="false">'VOL DWNLD'!E138+'VOL DELTA'!E138</f>
        <v>1</v>
      </c>
      <c r="F138" s="168" t="n">
        <f aca="false">'VOL DWNLD'!F138+'VOL DELTA'!F138</f>
        <v>1</v>
      </c>
      <c r="G138" s="168" t="n">
        <f aca="false">'VOL DWNLD'!G138+'VOL DELTA'!G138</f>
        <v>1</v>
      </c>
      <c r="H138" s="168" t="n">
        <f aca="false">'VOL DWNLD'!H138+'VOL DELTA'!H138</f>
        <v>1</v>
      </c>
      <c r="I138" s="168" t="n">
        <f aca="false">'VOL DWNLD'!I138+'VOL DELTA'!I138</f>
        <v>1</v>
      </c>
      <c r="J138" s="168" t="n">
        <f aca="false">'VOL DWNLD'!J138+'VOL DELTA'!J138</f>
        <v>1</v>
      </c>
      <c r="K138" s="168" t="n">
        <f aca="false">'VOL DWNLD'!K138+'VOL DELTA'!K138</f>
        <v>1</v>
      </c>
      <c r="L138" s="168" t="n">
        <f aca="false">'VOL DWNLD'!L138+'VOL DELTA'!L138</f>
        <v>1</v>
      </c>
      <c r="M138" s="168" t="n">
        <f aca="false">'VOL DWNLD'!M138+'VOL DELTA'!M138</f>
        <v>1</v>
      </c>
      <c r="N138" s="168" t="n">
        <f aca="false">'VOL DWNLD'!N138+'VOL DELTA'!N138</f>
        <v>1</v>
      </c>
      <c r="O138" s="168" t="n">
        <f aca="false">'VOL DWNLD'!O138+'VOL DELTA'!O138</f>
        <v>1</v>
      </c>
      <c r="P138" s="168" t="n">
        <f aca="false">'VOL DWNLD'!P138+'VOL DELTA'!P138</f>
        <v>1.03</v>
      </c>
      <c r="Q138" s="168" t="n">
        <f aca="false">'VOL DWNLD'!Q138+'VOL DELTA'!Q138</f>
        <v>1</v>
      </c>
      <c r="R138" s="168" t="n">
        <f aca="false">'VOL DWNLD'!R138+'VOL DELTA'!R138</f>
        <v>1</v>
      </c>
      <c r="S138" s="168" t="n">
        <f aca="false">'VOL DWNLD'!S138+'VOL DELTA'!S138</f>
        <v>1.02</v>
      </c>
      <c r="T138" s="168" t="n">
        <f aca="false">'VOL DWNLD'!T138+'VOL DELTA'!T138</f>
        <v>1</v>
      </c>
      <c r="U138" s="168" t="n">
        <f aca="false">'VOL DWNLD'!U138+'VOL DELTA'!U138</f>
        <v>1</v>
      </c>
      <c r="V138" s="168" t="n">
        <f aca="false">'VOL DWNLD'!V138+'VOL DELTA'!V138</f>
        <v>1</v>
      </c>
      <c r="W138" s="168" t="n">
        <f aca="false">'VOL DWNLD'!W138+'VOL DELTA'!W138</f>
        <v>1</v>
      </c>
      <c r="X138" s="168" t="n">
        <f aca="false">'VOL DWNLD'!X138+'VOL DELTA'!X138</f>
        <v>1</v>
      </c>
      <c r="Y138" s="168" t="n">
        <f aca="false">'VOL DWNLD'!Y138+'VOL DELTA'!Y138</f>
        <v>1</v>
      </c>
      <c r="Z138" s="168" t="n">
        <f aca="false">'VOL DWNLD'!Z138+'VOL DELTA'!Z138</f>
        <v>1</v>
      </c>
      <c r="AA138" s="168" t="n">
        <f aca="false">'VOL DWNLD'!AA138+'VOL DELTA'!AA138</f>
        <v>1</v>
      </c>
      <c r="AB138" s="168" t="n">
        <f aca="false">'VOL DWNLD'!AB138+'VOL DELTA'!AB138</f>
        <v>1</v>
      </c>
      <c r="AC138" s="168" t="n">
        <f aca="false">'VOL DWNLD'!AC138+'VOL DELTA'!AC138</f>
        <v>1</v>
      </c>
      <c r="AD138" s="168" t="n">
        <f aca="false">'VOL DWNLD'!AD138+'VOL DELTA'!AD138</f>
        <v>1</v>
      </c>
      <c r="AE138" s="168" t="n">
        <f aca="false">'VOL DWNLD'!AE138+'VOL DELTA'!AE138</f>
        <v>1</v>
      </c>
      <c r="AF138" s="168" t="n">
        <f aca="false">'VOL DWNLD'!AF138+'VOL DELTA'!AF138</f>
        <v>1.1</v>
      </c>
      <c r="AG138" s="168" t="n">
        <f aca="false">'VOL DWNLD'!AG138+'VOL DELTA'!AG138</f>
        <v>1.1</v>
      </c>
      <c r="AH138" s="168" t="n">
        <f aca="false">'VOL DWNLD'!AH138+'VOL DELTA'!AH138</f>
        <v>1.05</v>
      </c>
      <c r="AI138" s="168" t="n">
        <f aca="false">'VOL DWNLD'!AI138+'VOL DELTA'!AI138</f>
        <v>1</v>
      </c>
      <c r="AJ138" s="168" t="n">
        <f aca="false">'VOL DWNLD'!AJ138+'VOL DELTA'!AJ138</f>
        <v>1</v>
      </c>
      <c r="AK138" s="168" t="n">
        <f aca="false">'VOL DWNLD'!AK138+'VOL DELTA'!AK138</f>
        <v>1.02</v>
      </c>
      <c r="AL138" s="168" t="n">
        <f aca="false">'VOL DWNLD'!AL138+'VOL DELTA'!AL138</f>
        <v>1</v>
      </c>
      <c r="AM138" s="168" t="n">
        <f aca="false">'VOL DWNLD'!AM138+'VOL DELTA'!AM138</f>
        <v>1</v>
      </c>
      <c r="AN138" s="168" t="n">
        <f aca="false">'VOL DWNLD'!AN138+'VOL DELTA'!AN138</f>
        <v>1</v>
      </c>
      <c r="AO138" s="168" t="n">
        <f aca="false">'VOL DWNLD'!AO138+'VOL DELTA'!AO138</f>
        <v>1</v>
      </c>
    </row>
    <row r="139" customFormat="false" ht="12.75" hidden="false" customHeight="false" outlineLevel="0" collapsed="false">
      <c r="A139" s="167" t="n">
        <v>40909</v>
      </c>
      <c r="B139" s="168" t="n">
        <f aca="false">'VOL DWNLD'!B139+'VOL DELTA'!B139</f>
        <v>1</v>
      </c>
      <c r="C139" s="168" t="n">
        <f aca="false">'VOL DWNLD'!C139+'VOL DELTA'!C139</f>
        <v>1</v>
      </c>
      <c r="D139" s="168" t="n">
        <f aca="false">'VOL DWNLD'!D139+'VOL DELTA'!D139</f>
        <v>1</v>
      </c>
      <c r="E139" s="168" t="n">
        <f aca="false">'VOL DWNLD'!E139+'VOL DELTA'!E139</f>
        <v>1</v>
      </c>
      <c r="F139" s="168" t="n">
        <f aca="false">'VOL DWNLD'!F139+'VOL DELTA'!F139</f>
        <v>1</v>
      </c>
      <c r="G139" s="168" t="n">
        <f aca="false">'VOL DWNLD'!G139+'VOL DELTA'!G139</f>
        <v>1</v>
      </c>
      <c r="H139" s="168" t="n">
        <f aca="false">'VOL DWNLD'!H139+'VOL DELTA'!H139</f>
        <v>1</v>
      </c>
      <c r="I139" s="168" t="n">
        <f aca="false">'VOL DWNLD'!I139+'VOL DELTA'!I139</f>
        <v>1</v>
      </c>
      <c r="J139" s="168" t="n">
        <f aca="false">'VOL DWNLD'!J139+'VOL DELTA'!J139</f>
        <v>1</v>
      </c>
      <c r="K139" s="168" t="n">
        <f aca="false">'VOL DWNLD'!K139+'VOL DELTA'!K139</f>
        <v>1</v>
      </c>
      <c r="L139" s="168" t="n">
        <f aca="false">'VOL DWNLD'!L139+'VOL DELTA'!L139</f>
        <v>1</v>
      </c>
      <c r="M139" s="168" t="n">
        <f aca="false">'VOL DWNLD'!M139+'VOL DELTA'!M139</f>
        <v>1</v>
      </c>
      <c r="N139" s="168" t="n">
        <f aca="false">'VOL DWNLD'!N139+'VOL DELTA'!N139</f>
        <v>1</v>
      </c>
      <c r="O139" s="168" t="n">
        <f aca="false">'VOL DWNLD'!O139+'VOL DELTA'!O139</f>
        <v>1</v>
      </c>
      <c r="P139" s="168" t="n">
        <f aca="false">'VOL DWNLD'!P139+'VOL DELTA'!P139</f>
        <v>1.03</v>
      </c>
      <c r="Q139" s="168" t="n">
        <f aca="false">'VOL DWNLD'!Q139+'VOL DELTA'!Q139</f>
        <v>1</v>
      </c>
      <c r="R139" s="168" t="n">
        <f aca="false">'VOL DWNLD'!R139+'VOL DELTA'!R139</f>
        <v>1</v>
      </c>
      <c r="S139" s="168" t="n">
        <f aca="false">'VOL DWNLD'!S139+'VOL DELTA'!S139</f>
        <v>1.02</v>
      </c>
      <c r="T139" s="168" t="n">
        <f aca="false">'VOL DWNLD'!T139+'VOL DELTA'!T139</f>
        <v>1</v>
      </c>
      <c r="U139" s="168" t="n">
        <f aca="false">'VOL DWNLD'!U139+'VOL DELTA'!U139</f>
        <v>1</v>
      </c>
      <c r="V139" s="168" t="n">
        <f aca="false">'VOL DWNLD'!V139+'VOL DELTA'!V139</f>
        <v>1</v>
      </c>
      <c r="W139" s="168" t="n">
        <f aca="false">'VOL DWNLD'!W139+'VOL DELTA'!W139</f>
        <v>1</v>
      </c>
      <c r="X139" s="168" t="n">
        <f aca="false">'VOL DWNLD'!X139+'VOL DELTA'!X139</f>
        <v>1</v>
      </c>
      <c r="Y139" s="168" t="n">
        <f aca="false">'VOL DWNLD'!Y139+'VOL DELTA'!Y139</f>
        <v>1</v>
      </c>
      <c r="Z139" s="168" t="n">
        <f aca="false">'VOL DWNLD'!Z139+'VOL DELTA'!Z139</f>
        <v>1</v>
      </c>
      <c r="AA139" s="168" t="n">
        <f aca="false">'VOL DWNLD'!AA139+'VOL DELTA'!AA139</f>
        <v>1</v>
      </c>
      <c r="AB139" s="168" t="n">
        <f aca="false">'VOL DWNLD'!AB139+'VOL DELTA'!AB139</f>
        <v>1</v>
      </c>
      <c r="AC139" s="168" t="n">
        <f aca="false">'VOL DWNLD'!AC139+'VOL DELTA'!AC139</f>
        <v>1</v>
      </c>
      <c r="AD139" s="168" t="n">
        <f aca="false">'VOL DWNLD'!AD139+'VOL DELTA'!AD139</f>
        <v>1</v>
      </c>
      <c r="AE139" s="168" t="n">
        <f aca="false">'VOL DWNLD'!AE139+'VOL DELTA'!AE139</f>
        <v>1</v>
      </c>
      <c r="AF139" s="168" t="n">
        <f aca="false">'VOL DWNLD'!AF139+'VOL DELTA'!AF139</f>
        <v>1.1</v>
      </c>
      <c r="AG139" s="168" t="n">
        <f aca="false">'VOL DWNLD'!AG139+'VOL DELTA'!AG139</f>
        <v>1.1</v>
      </c>
      <c r="AH139" s="168" t="n">
        <f aca="false">'VOL DWNLD'!AH139+'VOL DELTA'!AH139</f>
        <v>1.05</v>
      </c>
      <c r="AI139" s="168" t="n">
        <f aca="false">'VOL DWNLD'!AI139+'VOL DELTA'!AI139</f>
        <v>1</v>
      </c>
      <c r="AJ139" s="168" t="n">
        <f aca="false">'VOL DWNLD'!AJ139+'VOL DELTA'!AJ139</f>
        <v>1</v>
      </c>
      <c r="AK139" s="168" t="n">
        <f aca="false">'VOL DWNLD'!AK139+'VOL DELTA'!AK139</f>
        <v>1.02</v>
      </c>
      <c r="AL139" s="168" t="n">
        <f aca="false">'VOL DWNLD'!AL139+'VOL DELTA'!AL139</f>
        <v>1</v>
      </c>
      <c r="AM139" s="168" t="n">
        <f aca="false">'VOL DWNLD'!AM139+'VOL DELTA'!AM139</f>
        <v>1</v>
      </c>
      <c r="AN139" s="168" t="n">
        <f aca="false">'VOL DWNLD'!AN139+'VOL DELTA'!AN139</f>
        <v>1</v>
      </c>
      <c r="AO139" s="168" t="n">
        <f aca="false">'VOL DWNLD'!AO139+'VOL DELTA'!AO139</f>
        <v>1</v>
      </c>
    </row>
    <row r="140" customFormat="false" ht="12.75" hidden="false" customHeight="false" outlineLevel="0" collapsed="false">
      <c r="A140" s="167" t="n">
        <v>40940</v>
      </c>
      <c r="B140" s="168" t="n">
        <f aca="false">'VOL DWNLD'!B140+'VOL DELTA'!B140</f>
        <v>1</v>
      </c>
      <c r="C140" s="168" t="n">
        <f aca="false">'VOL DWNLD'!C140+'VOL DELTA'!C140</f>
        <v>1</v>
      </c>
      <c r="D140" s="168" t="n">
        <f aca="false">'VOL DWNLD'!D140+'VOL DELTA'!D140</f>
        <v>1</v>
      </c>
      <c r="E140" s="168" t="n">
        <f aca="false">'VOL DWNLD'!E140+'VOL DELTA'!E140</f>
        <v>1</v>
      </c>
      <c r="F140" s="168" t="n">
        <f aca="false">'VOL DWNLD'!F140+'VOL DELTA'!F140</f>
        <v>1</v>
      </c>
      <c r="G140" s="168" t="n">
        <f aca="false">'VOL DWNLD'!G140+'VOL DELTA'!G140</f>
        <v>1</v>
      </c>
      <c r="H140" s="168" t="n">
        <f aca="false">'VOL DWNLD'!H140+'VOL DELTA'!H140</f>
        <v>1</v>
      </c>
      <c r="I140" s="168" t="n">
        <f aca="false">'VOL DWNLD'!I140+'VOL DELTA'!I140</f>
        <v>1</v>
      </c>
      <c r="J140" s="168" t="n">
        <f aca="false">'VOL DWNLD'!J140+'VOL DELTA'!J140</f>
        <v>1</v>
      </c>
      <c r="K140" s="168" t="n">
        <f aca="false">'VOL DWNLD'!K140+'VOL DELTA'!K140</f>
        <v>1</v>
      </c>
      <c r="L140" s="168" t="n">
        <f aca="false">'VOL DWNLD'!L140+'VOL DELTA'!L140</f>
        <v>1</v>
      </c>
      <c r="M140" s="168" t="n">
        <f aca="false">'VOL DWNLD'!M140+'VOL DELTA'!M140</f>
        <v>1</v>
      </c>
      <c r="N140" s="168" t="n">
        <f aca="false">'VOL DWNLD'!N140+'VOL DELTA'!N140</f>
        <v>1</v>
      </c>
      <c r="O140" s="168" t="n">
        <f aca="false">'VOL DWNLD'!O140+'VOL DELTA'!O140</f>
        <v>1</v>
      </c>
      <c r="P140" s="168" t="n">
        <f aca="false">'VOL DWNLD'!P140+'VOL DELTA'!P140</f>
        <v>1.03</v>
      </c>
      <c r="Q140" s="168" t="n">
        <f aca="false">'VOL DWNLD'!Q140+'VOL DELTA'!Q140</f>
        <v>1</v>
      </c>
      <c r="R140" s="168" t="n">
        <f aca="false">'VOL DWNLD'!R140+'VOL DELTA'!R140</f>
        <v>1</v>
      </c>
      <c r="S140" s="168" t="n">
        <f aca="false">'VOL DWNLD'!S140+'VOL DELTA'!S140</f>
        <v>1.02</v>
      </c>
      <c r="T140" s="168" t="n">
        <f aca="false">'VOL DWNLD'!T140+'VOL DELTA'!T140</f>
        <v>1</v>
      </c>
      <c r="U140" s="168" t="n">
        <f aca="false">'VOL DWNLD'!U140+'VOL DELTA'!U140</f>
        <v>1</v>
      </c>
      <c r="V140" s="168" t="n">
        <f aca="false">'VOL DWNLD'!V140+'VOL DELTA'!V140</f>
        <v>1</v>
      </c>
      <c r="W140" s="168" t="n">
        <f aca="false">'VOL DWNLD'!W140+'VOL DELTA'!W140</f>
        <v>1</v>
      </c>
      <c r="X140" s="168" t="n">
        <f aca="false">'VOL DWNLD'!X140+'VOL DELTA'!X140</f>
        <v>1</v>
      </c>
      <c r="Y140" s="168" t="n">
        <f aca="false">'VOL DWNLD'!Y140+'VOL DELTA'!Y140</f>
        <v>1</v>
      </c>
      <c r="Z140" s="168" t="n">
        <f aca="false">'VOL DWNLD'!Z140+'VOL DELTA'!Z140</f>
        <v>1</v>
      </c>
      <c r="AA140" s="168" t="n">
        <f aca="false">'VOL DWNLD'!AA140+'VOL DELTA'!AA140</f>
        <v>1</v>
      </c>
      <c r="AB140" s="168" t="n">
        <f aca="false">'VOL DWNLD'!AB140+'VOL DELTA'!AB140</f>
        <v>1</v>
      </c>
      <c r="AC140" s="168" t="n">
        <f aca="false">'VOL DWNLD'!AC140+'VOL DELTA'!AC140</f>
        <v>1</v>
      </c>
      <c r="AD140" s="168" t="n">
        <f aca="false">'VOL DWNLD'!AD140+'VOL DELTA'!AD140</f>
        <v>1</v>
      </c>
      <c r="AE140" s="168" t="n">
        <f aca="false">'VOL DWNLD'!AE140+'VOL DELTA'!AE140</f>
        <v>1</v>
      </c>
      <c r="AF140" s="168" t="n">
        <f aca="false">'VOL DWNLD'!AF140+'VOL DELTA'!AF140</f>
        <v>1.1</v>
      </c>
      <c r="AG140" s="168" t="n">
        <f aca="false">'VOL DWNLD'!AG140+'VOL DELTA'!AG140</f>
        <v>1.1</v>
      </c>
      <c r="AH140" s="168" t="n">
        <f aca="false">'VOL DWNLD'!AH140+'VOL DELTA'!AH140</f>
        <v>1.05</v>
      </c>
      <c r="AI140" s="168" t="n">
        <f aca="false">'VOL DWNLD'!AI140+'VOL DELTA'!AI140</f>
        <v>1</v>
      </c>
      <c r="AJ140" s="168" t="n">
        <f aca="false">'VOL DWNLD'!AJ140+'VOL DELTA'!AJ140</f>
        <v>1</v>
      </c>
      <c r="AK140" s="168" t="n">
        <f aca="false">'VOL DWNLD'!AK140+'VOL DELTA'!AK140</f>
        <v>1.02</v>
      </c>
      <c r="AL140" s="168" t="n">
        <f aca="false">'VOL DWNLD'!AL140+'VOL DELTA'!AL140</f>
        <v>1</v>
      </c>
      <c r="AM140" s="168" t="n">
        <f aca="false">'VOL DWNLD'!AM140+'VOL DELTA'!AM140</f>
        <v>1</v>
      </c>
      <c r="AN140" s="168" t="n">
        <f aca="false">'VOL DWNLD'!AN140+'VOL DELTA'!AN140</f>
        <v>1</v>
      </c>
      <c r="AO140" s="168" t="n">
        <f aca="false">'VOL DWNLD'!AO140+'VOL DELTA'!AO140</f>
        <v>1</v>
      </c>
    </row>
    <row r="141" customFormat="false" ht="12.75" hidden="false" customHeight="false" outlineLevel="0" collapsed="false">
      <c r="A141" s="167" t="n">
        <v>40969</v>
      </c>
      <c r="B141" s="168" t="n">
        <f aca="false">'VOL DWNLD'!B141+'VOL DELTA'!B141</f>
        <v>1</v>
      </c>
      <c r="C141" s="168" t="n">
        <f aca="false">'VOL DWNLD'!C141+'VOL DELTA'!C141</f>
        <v>1</v>
      </c>
      <c r="D141" s="168" t="n">
        <f aca="false">'VOL DWNLD'!D141+'VOL DELTA'!D141</f>
        <v>1</v>
      </c>
      <c r="E141" s="168" t="n">
        <f aca="false">'VOL DWNLD'!E141+'VOL DELTA'!E141</f>
        <v>1</v>
      </c>
      <c r="F141" s="168" t="n">
        <f aca="false">'VOL DWNLD'!F141+'VOL DELTA'!F141</f>
        <v>1</v>
      </c>
      <c r="G141" s="168" t="n">
        <f aca="false">'VOL DWNLD'!G141+'VOL DELTA'!G141</f>
        <v>1</v>
      </c>
      <c r="H141" s="168" t="n">
        <f aca="false">'VOL DWNLD'!H141+'VOL DELTA'!H141</f>
        <v>1</v>
      </c>
      <c r="I141" s="168" t="n">
        <f aca="false">'VOL DWNLD'!I141+'VOL DELTA'!I141</f>
        <v>1</v>
      </c>
      <c r="J141" s="168" t="n">
        <f aca="false">'VOL DWNLD'!J141+'VOL DELTA'!J141</f>
        <v>1</v>
      </c>
      <c r="K141" s="168" t="n">
        <f aca="false">'VOL DWNLD'!K141+'VOL DELTA'!K141</f>
        <v>1</v>
      </c>
      <c r="L141" s="168" t="n">
        <f aca="false">'VOL DWNLD'!L141+'VOL DELTA'!L141</f>
        <v>1</v>
      </c>
      <c r="M141" s="168" t="n">
        <f aca="false">'VOL DWNLD'!M141+'VOL DELTA'!M141</f>
        <v>1</v>
      </c>
      <c r="N141" s="168" t="n">
        <f aca="false">'VOL DWNLD'!N141+'VOL DELTA'!N141</f>
        <v>1</v>
      </c>
      <c r="O141" s="168" t="n">
        <f aca="false">'VOL DWNLD'!O141+'VOL DELTA'!O141</f>
        <v>1</v>
      </c>
      <c r="P141" s="168" t="n">
        <f aca="false">'VOL DWNLD'!P141+'VOL DELTA'!P141</f>
        <v>1.03</v>
      </c>
      <c r="Q141" s="168" t="n">
        <f aca="false">'VOL DWNLD'!Q141+'VOL DELTA'!Q141</f>
        <v>1</v>
      </c>
      <c r="R141" s="168" t="n">
        <f aca="false">'VOL DWNLD'!R141+'VOL DELTA'!R141</f>
        <v>1</v>
      </c>
      <c r="S141" s="168" t="n">
        <f aca="false">'VOL DWNLD'!S141+'VOL DELTA'!S141</f>
        <v>1.02</v>
      </c>
      <c r="T141" s="168" t="n">
        <f aca="false">'VOL DWNLD'!T141+'VOL DELTA'!T141</f>
        <v>1</v>
      </c>
      <c r="U141" s="168" t="n">
        <f aca="false">'VOL DWNLD'!U141+'VOL DELTA'!U141</f>
        <v>1</v>
      </c>
      <c r="V141" s="168" t="n">
        <f aca="false">'VOL DWNLD'!V141+'VOL DELTA'!V141</f>
        <v>1</v>
      </c>
      <c r="W141" s="168" t="n">
        <f aca="false">'VOL DWNLD'!W141+'VOL DELTA'!W141</f>
        <v>1</v>
      </c>
      <c r="X141" s="168" t="n">
        <f aca="false">'VOL DWNLD'!X141+'VOL DELTA'!X141</f>
        <v>1</v>
      </c>
      <c r="Y141" s="168" t="n">
        <f aca="false">'VOL DWNLD'!Y141+'VOL DELTA'!Y141</f>
        <v>1</v>
      </c>
      <c r="Z141" s="168" t="n">
        <f aca="false">'VOL DWNLD'!Z141+'VOL DELTA'!Z141</f>
        <v>1</v>
      </c>
      <c r="AA141" s="168" t="n">
        <f aca="false">'VOL DWNLD'!AA141+'VOL DELTA'!AA141</f>
        <v>1</v>
      </c>
      <c r="AB141" s="168" t="n">
        <f aca="false">'VOL DWNLD'!AB141+'VOL DELTA'!AB141</f>
        <v>1</v>
      </c>
      <c r="AC141" s="168" t="n">
        <f aca="false">'VOL DWNLD'!AC141+'VOL DELTA'!AC141</f>
        <v>1</v>
      </c>
      <c r="AD141" s="168" t="n">
        <f aca="false">'VOL DWNLD'!AD141+'VOL DELTA'!AD141</f>
        <v>1</v>
      </c>
      <c r="AE141" s="168" t="n">
        <f aca="false">'VOL DWNLD'!AE141+'VOL DELTA'!AE141</f>
        <v>1</v>
      </c>
      <c r="AF141" s="168" t="n">
        <f aca="false">'VOL DWNLD'!AF141+'VOL DELTA'!AF141</f>
        <v>1.1</v>
      </c>
      <c r="AG141" s="168" t="n">
        <f aca="false">'VOL DWNLD'!AG141+'VOL DELTA'!AG141</f>
        <v>1.1</v>
      </c>
      <c r="AH141" s="168" t="n">
        <f aca="false">'VOL DWNLD'!AH141+'VOL DELTA'!AH141</f>
        <v>1.05</v>
      </c>
      <c r="AI141" s="168" t="n">
        <f aca="false">'VOL DWNLD'!AI141+'VOL DELTA'!AI141</f>
        <v>1</v>
      </c>
      <c r="AJ141" s="168" t="n">
        <f aca="false">'VOL DWNLD'!AJ141+'VOL DELTA'!AJ141</f>
        <v>1</v>
      </c>
      <c r="AK141" s="168" t="n">
        <f aca="false">'VOL DWNLD'!AK141+'VOL DELTA'!AK141</f>
        <v>1.02</v>
      </c>
      <c r="AL141" s="168" t="n">
        <f aca="false">'VOL DWNLD'!AL141+'VOL DELTA'!AL141</f>
        <v>1</v>
      </c>
      <c r="AM141" s="168" t="n">
        <f aca="false">'VOL DWNLD'!AM141+'VOL DELTA'!AM141</f>
        <v>1</v>
      </c>
      <c r="AN141" s="168" t="n">
        <f aca="false">'VOL DWNLD'!AN141+'VOL DELTA'!AN141</f>
        <v>1</v>
      </c>
      <c r="AO141" s="168" t="n">
        <f aca="false">'VOL DWNLD'!AO141+'VOL DELTA'!AO141</f>
        <v>1</v>
      </c>
    </row>
    <row r="142" customFormat="false" ht="12.75" hidden="false" customHeight="false" outlineLevel="0" collapsed="false">
      <c r="A142" s="167" t="n">
        <v>41000</v>
      </c>
      <c r="B142" s="168" t="n">
        <f aca="false">'VOL DWNLD'!B142+'VOL DELTA'!B142</f>
        <v>1</v>
      </c>
      <c r="C142" s="168" t="n">
        <f aca="false">'VOL DWNLD'!C142+'VOL DELTA'!C142</f>
        <v>1</v>
      </c>
      <c r="D142" s="168" t="n">
        <f aca="false">'VOL DWNLD'!D142+'VOL DELTA'!D142</f>
        <v>1</v>
      </c>
      <c r="E142" s="168" t="n">
        <f aca="false">'VOL DWNLD'!E142+'VOL DELTA'!E142</f>
        <v>1</v>
      </c>
      <c r="F142" s="168" t="n">
        <f aca="false">'VOL DWNLD'!F142+'VOL DELTA'!F142</f>
        <v>1</v>
      </c>
      <c r="G142" s="168" t="n">
        <f aca="false">'VOL DWNLD'!G142+'VOL DELTA'!G142</f>
        <v>1</v>
      </c>
      <c r="H142" s="168" t="n">
        <f aca="false">'VOL DWNLD'!H142+'VOL DELTA'!H142</f>
        <v>1</v>
      </c>
      <c r="I142" s="168" t="n">
        <f aca="false">'VOL DWNLD'!I142+'VOL DELTA'!I142</f>
        <v>1</v>
      </c>
      <c r="J142" s="168" t="n">
        <f aca="false">'VOL DWNLD'!J142+'VOL DELTA'!J142</f>
        <v>1</v>
      </c>
      <c r="K142" s="168" t="n">
        <f aca="false">'VOL DWNLD'!K142+'VOL DELTA'!K142</f>
        <v>1</v>
      </c>
      <c r="L142" s="168" t="n">
        <f aca="false">'VOL DWNLD'!L142+'VOL DELTA'!L142</f>
        <v>1</v>
      </c>
      <c r="M142" s="168" t="n">
        <f aca="false">'VOL DWNLD'!M142+'VOL DELTA'!M142</f>
        <v>1</v>
      </c>
      <c r="N142" s="168" t="n">
        <f aca="false">'VOL DWNLD'!N142+'VOL DELTA'!N142</f>
        <v>1</v>
      </c>
      <c r="O142" s="168" t="n">
        <f aca="false">'VOL DWNLD'!O142+'VOL DELTA'!O142</f>
        <v>1</v>
      </c>
      <c r="P142" s="168" t="n">
        <f aca="false">'VOL DWNLD'!P142+'VOL DELTA'!P142</f>
        <v>1.03</v>
      </c>
      <c r="Q142" s="168" t="n">
        <f aca="false">'VOL DWNLD'!Q142+'VOL DELTA'!Q142</f>
        <v>1</v>
      </c>
      <c r="R142" s="168" t="n">
        <f aca="false">'VOL DWNLD'!R142+'VOL DELTA'!R142</f>
        <v>1</v>
      </c>
      <c r="S142" s="168" t="n">
        <f aca="false">'VOL DWNLD'!S142+'VOL DELTA'!S142</f>
        <v>1.02</v>
      </c>
      <c r="T142" s="168" t="n">
        <f aca="false">'VOL DWNLD'!T142+'VOL DELTA'!T142</f>
        <v>1</v>
      </c>
      <c r="U142" s="168" t="n">
        <f aca="false">'VOL DWNLD'!U142+'VOL DELTA'!U142</f>
        <v>1</v>
      </c>
      <c r="V142" s="168" t="n">
        <f aca="false">'VOL DWNLD'!V142+'VOL DELTA'!V142</f>
        <v>1</v>
      </c>
      <c r="W142" s="168" t="n">
        <f aca="false">'VOL DWNLD'!W142+'VOL DELTA'!W142</f>
        <v>1</v>
      </c>
      <c r="X142" s="168" t="n">
        <f aca="false">'VOL DWNLD'!X142+'VOL DELTA'!X142</f>
        <v>1</v>
      </c>
      <c r="Y142" s="168" t="n">
        <f aca="false">'VOL DWNLD'!Y142+'VOL DELTA'!Y142</f>
        <v>1.02</v>
      </c>
      <c r="Z142" s="168" t="n">
        <f aca="false">'VOL DWNLD'!Z142+'VOL DELTA'!Z142</f>
        <v>1</v>
      </c>
      <c r="AA142" s="168" t="n">
        <f aca="false">'VOL DWNLD'!AA142+'VOL DELTA'!AA142</f>
        <v>1</v>
      </c>
      <c r="AB142" s="168" t="n">
        <f aca="false">'VOL DWNLD'!AB142+'VOL DELTA'!AB142</f>
        <v>1</v>
      </c>
      <c r="AC142" s="168" t="n">
        <f aca="false">'VOL DWNLD'!AC142+'VOL DELTA'!AC142</f>
        <v>1</v>
      </c>
      <c r="AD142" s="168" t="n">
        <f aca="false">'VOL DWNLD'!AD142+'VOL DELTA'!AD142</f>
        <v>0.98</v>
      </c>
      <c r="AE142" s="168" t="n">
        <f aca="false">'VOL DWNLD'!AE142+'VOL DELTA'!AE142</f>
        <v>0.98</v>
      </c>
      <c r="AF142" s="168" t="n">
        <f aca="false">'VOL DWNLD'!AF142+'VOL DELTA'!AF142</f>
        <v>0.98</v>
      </c>
      <c r="AG142" s="168" t="n">
        <f aca="false">'VOL DWNLD'!AG142+'VOL DELTA'!AG142</f>
        <v>0.98</v>
      </c>
      <c r="AH142" s="168" t="n">
        <f aca="false">'VOL DWNLD'!AH142+'VOL DELTA'!AH142</f>
        <v>1.05</v>
      </c>
      <c r="AI142" s="168" t="n">
        <f aca="false">'VOL DWNLD'!AI142+'VOL DELTA'!AI142</f>
        <v>1</v>
      </c>
      <c r="AJ142" s="168" t="n">
        <f aca="false">'VOL DWNLD'!AJ142+'VOL DELTA'!AJ142</f>
        <v>1</v>
      </c>
      <c r="AK142" s="168" t="n">
        <f aca="false">'VOL DWNLD'!AK142+'VOL DELTA'!AK142</f>
        <v>1.02</v>
      </c>
      <c r="AL142" s="168" t="n">
        <f aca="false">'VOL DWNLD'!AL142+'VOL DELTA'!AL142</f>
        <v>1</v>
      </c>
      <c r="AM142" s="168" t="n">
        <f aca="false">'VOL DWNLD'!AM142+'VOL DELTA'!AM142</f>
        <v>1</v>
      </c>
      <c r="AN142" s="168" t="n">
        <f aca="false">'VOL DWNLD'!AN142+'VOL DELTA'!AN142</f>
        <v>1</v>
      </c>
      <c r="AO142" s="168" t="n">
        <f aca="false">'VOL DWNLD'!AO142+'VOL DELTA'!AO142</f>
        <v>1</v>
      </c>
    </row>
    <row r="143" customFormat="false" ht="12.75" hidden="false" customHeight="false" outlineLevel="0" collapsed="false">
      <c r="A143" s="167" t="n">
        <v>41030</v>
      </c>
      <c r="B143" s="168" t="n">
        <f aca="false">'VOL DWNLD'!B143+'VOL DELTA'!B143</f>
        <v>1</v>
      </c>
      <c r="C143" s="168" t="n">
        <f aca="false">'VOL DWNLD'!C143+'VOL DELTA'!C143</f>
        <v>1</v>
      </c>
      <c r="D143" s="168" t="n">
        <f aca="false">'VOL DWNLD'!D143+'VOL DELTA'!D143</f>
        <v>1</v>
      </c>
      <c r="E143" s="168" t="n">
        <f aca="false">'VOL DWNLD'!E143+'VOL DELTA'!E143</f>
        <v>1</v>
      </c>
      <c r="F143" s="168" t="n">
        <f aca="false">'VOL DWNLD'!F143+'VOL DELTA'!F143</f>
        <v>1</v>
      </c>
      <c r="G143" s="168" t="n">
        <f aca="false">'VOL DWNLD'!G143+'VOL DELTA'!G143</f>
        <v>1</v>
      </c>
      <c r="H143" s="168" t="n">
        <f aca="false">'VOL DWNLD'!H143+'VOL DELTA'!H143</f>
        <v>1</v>
      </c>
      <c r="I143" s="168" t="n">
        <f aca="false">'VOL DWNLD'!I143+'VOL DELTA'!I143</f>
        <v>1</v>
      </c>
      <c r="J143" s="168" t="n">
        <f aca="false">'VOL DWNLD'!J143+'VOL DELTA'!J143</f>
        <v>1</v>
      </c>
      <c r="K143" s="168" t="n">
        <f aca="false">'VOL DWNLD'!K143+'VOL DELTA'!K143</f>
        <v>1</v>
      </c>
      <c r="L143" s="168" t="n">
        <f aca="false">'VOL DWNLD'!L143+'VOL DELTA'!L143</f>
        <v>1</v>
      </c>
      <c r="M143" s="168" t="n">
        <f aca="false">'VOL DWNLD'!M143+'VOL DELTA'!M143</f>
        <v>1</v>
      </c>
      <c r="N143" s="168" t="n">
        <f aca="false">'VOL DWNLD'!N143+'VOL DELTA'!N143</f>
        <v>1</v>
      </c>
      <c r="O143" s="168" t="n">
        <f aca="false">'VOL DWNLD'!O143+'VOL DELTA'!O143</f>
        <v>1</v>
      </c>
      <c r="P143" s="168" t="n">
        <f aca="false">'VOL DWNLD'!P143+'VOL DELTA'!P143</f>
        <v>1.03</v>
      </c>
      <c r="Q143" s="168" t="n">
        <f aca="false">'VOL DWNLD'!Q143+'VOL DELTA'!Q143</f>
        <v>1</v>
      </c>
      <c r="R143" s="168" t="n">
        <f aca="false">'VOL DWNLD'!R143+'VOL DELTA'!R143</f>
        <v>1</v>
      </c>
      <c r="S143" s="168" t="n">
        <f aca="false">'VOL DWNLD'!S143+'VOL DELTA'!S143</f>
        <v>1.02</v>
      </c>
      <c r="T143" s="168" t="n">
        <f aca="false">'VOL DWNLD'!T143+'VOL DELTA'!T143</f>
        <v>1</v>
      </c>
      <c r="U143" s="168" t="n">
        <f aca="false">'VOL DWNLD'!U143+'VOL DELTA'!U143</f>
        <v>1</v>
      </c>
      <c r="V143" s="168" t="n">
        <f aca="false">'VOL DWNLD'!V143+'VOL DELTA'!V143</f>
        <v>1</v>
      </c>
      <c r="W143" s="168" t="n">
        <f aca="false">'VOL DWNLD'!W143+'VOL DELTA'!W143</f>
        <v>1</v>
      </c>
      <c r="X143" s="168" t="n">
        <f aca="false">'VOL DWNLD'!X143+'VOL DELTA'!X143</f>
        <v>1</v>
      </c>
      <c r="Y143" s="168" t="n">
        <f aca="false">'VOL DWNLD'!Y143+'VOL DELTA'!Y143</f>
        <v>1.02</v>
      </c>
      <c r="Z143" s="168" t="n">
        <f aca="false">'VOL DWNLD'!Z143+'VOL DELTA'!Z143</f>
        <v>1</v>
      </c>
      <c r="AA143" s="168" t="n">
        <f aca="false">'VOL DWNLD'!AA143+'VOL DELTA'!AA143</f>
        <v>1</v>
      </c>
      <c r="AB143" s="168" t="n">
        <f aca="false">'VOL DWNLD'!AB143+'VOL DELTA'!AB143</f>
        <v>1</v>
      </c>
      <c r="AC143" s="168" t="n">
        <f aca="false">'VOL DWNLD'!AC143+'VOL DELTA'!AC143</f>
        <v>1</v>
      </c>
      <c r="AD143" s="168" t="n">
        <f aca="false">'VOL DWNLD'!AD143+'VOL DELTA'!AD143</f>
        <v>0.98</v>
      </c>
      <c r="AE143" s="168" t="n">
        <f aca="false">'VOL DWNLD'!AE143+'VOL DELTA'!AE143</f>
        <v>0.98</v>
      </c>
      <c r="AF143" s="168" t="n">
        <f aca="false">'VOL DWNLD'!AF143+'VOL DELTA'!AF143</f>
        <v>0.98</v>
      </c>
      <c r="AG143" s="168" t="n">
        <f aca="false">'VOL DWNLD'!AG143+'VOL DELTA'!AG143</f>
        <v>0.98</v>
      </c>
      <c r="AH143" s="168" t="n">
        <f aca="false">'VOL DWNLD'!AH143+'VOL DELTA'!AH143</f>
        <v>1.05</v>
      </c>
      <c r="AI143" s="168" t="n">
        <f aca="false">'VOL DWNLD'!AI143+'VOL DELTA'!AI143</f>
        <v>1</v>
      </c>
      <c r="AJ143" s="168" t="n">
        <f aca="false">'VOL DWNLD'!AJ143+'VOL DELTA'!AJ143</f>
        <v>1</v>
      </c>
      <c r="AK143" s="168" t="n">
        <f aca="false">'VOL DWNLD'!AK143+'VOL DELTA'!AK143</f>
        <v>1.02</v>
      </c>
      <c r="AL143" s="168" t="n">
        <f aca="false">'VOL DWNLD'!AL143+'VOL DELTA'!AL143</f>
        <v>1</v>
      </c>
      <c r="AM143" s="168" t="n">
        <f aca="false">'VOL DWNLD'!AM143+'VOL DELTA'!AM143</f>
        <v>1</v>
      </c>
      <c r="AN143" s="168" t="n">
        <f aca="false">'VOL DWNLD'!AN143+'VOL DELTA'!AN143</f>
        <v>1</v>
      </c>
      <c r="AO143" s="168" t="n">
        <f aca="false">'VOL DWNLD'!AO143+'VOL DELTA'!AO143</f>
        <v>1</v>
      </c>
    </row>
    <row r="144" customFormat="false" ht="12.75" hidden="false" customHeight="false" outlineLevel="0" collapsed="false">
      <c r="A144" s="167" t="n">
        <v>41061</v>
      </c>
      <c r="B144" s="168" t="n">
        <f aca="false">'VOL DWNLD'!B144+'VOL DELTA'!B144</f>
        <v>1</v>
      </c>
      <c r="C144" s="168" t="n">
        <f aca="false">'VOL DWNLD'!C144+'VOL DELTA'!C144</f>
        <v>1</v>
      </c>
      <c r="D144" s="168" t="n">
        <f aca="false">'VOL DWNLD'!D144+'VOL DELTA'!D144</f>
        <v>1</v>
      </c>
      <c r="E144" s="168" t="n">
        <f aca="false">'VOL DWNLD'!E144+'VOL DELTA'!E144</f>
        <v>1</v>
      </c>
      <c r="F144" s="168" t="n">
        <f aca="false">'VOL DWNLD'!F144+'VOL DELTA'!F144</f>
        <v>1</v>
      </c>
      <c r="G144" s="168" t="n">
        <f aca="false">'VOL DWNLD'!G144+'VOL DELTA'!G144</f>
        <v>1</v>
      </c>
      <c r="H144" s="168" t="n">
        <f aca="false">'VOL DWNLD'!H144+'VOL DELTA'!H144</f>
        <v>1</v>
      </c>
      <c r="I144" s="168" t="n">
        <f aca="false">'VOL DWNLD'!I144+'VOL DELTA'!I144</f>
        <v>1</v>
      </c>
      <c r="J144" s="168" t="n">
        <f aca="false">'VOL DWNLD'!J144+'VOL DELTA'!J144</f>
        <v>1</v>
      </c>
      <c r="K144" s="168" t="n">
        <f aca="false">'VOL DWNLD'!K144+'VOL DELTA'!K144</f>
        <v>1</v>
      </c>
      <c r="L144" s="168" t="n">
        <f aca="false">'VOL DWNLD'!L144+'VOL DELTA'!L144</f>
        <v>1</v>
      </c>
      <c r="M144" s="168" t="n">
        <f aca="false">'VOL DWNLD'!M144+'VOL DELTA'!M144</f>
        <v>1</v>
      </c>
      <c r="N144" s="168" t="n">
        <f aca="false">'VOL DWNLD'!N144+'VOL DELTA'!N144</f>
        <v>1</v>
      </c>
      <c r="O144" s="168" t="n">
        <f aca="false">'VOL DWNLD'!O144+'VOL DELTA'!O144</f>
        <v>1</v>
      </c>
      <c r="P144" s="168" t="n">
        <f aca="false">'VOL DWNLD'!P144+'VOL DELTA'!P144</f>
        <v>1.03</v>
      </c>
      <c r="Q144" s="168" t="n">
        <f aca="false">'VOL DWNLD'!Q144+'VOL DELTA'!Q144</f>
        <v>1</v>
      </c>
      <c r="R144" s="168" t="n">
        <f aca="false">'VOL DWNLD'!R144+'VOL DELTA'!R144</f>
        <v>1</v>
      </c>
      <c r="S144" s="168" t="n">
        <f aca="false">'VOL DWNLD'!S144+'VOL DELTA'!S144</f>
        <v>1.02</v>
      </c>
      <c r="T144" s="168" t="n">
        <f aca="false">'VOL DWNLD'!T144+'VOL DELTA'!T144</f>
        <v>1</v>
      </c>
      <c r="U144" s="168" t="n">
        <f aca="false">'VOL DWNLD'!U144+'VOL DELTA'!U144</f>
        <v>1</v>
      </c>
      <c r="V144" s="168" t="n">
        <f aca="false">'VOL DWNLD'!V144+'VOL DELTA'!V144</f>
        <v>1</v>
      </c>
      <c r="W144" s="168" t="n">
        <f aca="false">'VOL DWNLD'!W144+'VOL DELTA'!W144</f>
        <v>1</v>
      </c>
      <c r="X144" s="168" t="n">
        <f aca="false">'VOL DWNLD'!X144+'VOL DELTA'!X144</f>
        <v>1</v>
      </c>
      <c r="Y144" s="168" t="n">
        <f aca="false">'VOL DWNLD'!Y144+'VOL DELTA'!Y144</f>
        <v>1.02</v>
      </c>
      <c r="Z144" s="168" t="n">
        <f aca="false">'VOL DWNLD'!Z144+'VOL DELTA'!Z144</f>
        <v>1</v>
      </c>
      <c r="AA144" s="168" t="n">
        <f aca="false">'VOL DWNLD'!AA144+'VOL DELTA'!AA144</f>
        <v>1</v>
      </c>
      <c r="AB144" s="168" t="n">
        <f aca="false">'VOL DWNLD'!AB144+'VOL DELTA'!AB144</f>
        <v>1</v>
      </c>
      <c r="AC144" s="168" t="n">
        <f aca="false">'VOL DWNLD'!AC144+'VOL DELTA'!AC144</f>
        <v>1</v>
      </c>
      <c r="AD144" s="168" t="n">
        <f aca="false">'VOL DWNLD'!AD144+'VOL DELTA'!AD144</f>
        <v>0.98</v>
      </c>
      <c r="AE144" s="168" t="n">
        <f aca="false">'VOL DWNLD'!AE144+'VOL DELTA'!AE144</f>
        <v>0.98</v>
      </c>
      <c r="AF144" s="168" t="n">
        <f aca="false">'VOL DWNLD'!AF144+'VOL DELTA'!AF144</f>
        <v>0.98</v>
      </c>
      <c r="AG144" s="168" t="n">
        <f aca="false">'VOL DWNLD'!AG144+'VOL DELTA'!AG144</f>
        <v>0.98</v>
      </c>
      <c r="AH144" s="168" t="n">
        <f aca="false">'VOL DWNLD'!AH144+'VOL DELTA'!AH144</f>
        <v>1.05</v>
      </c>
      <c r="AI144" s="168" t="n">
        <f aca="false">'VOL DWNLD'!AI144+'VOL DELTA'!AI144</f>
        <v>1</v>
      </c>
      <c r="AJ144" s="168" t="n">
        <f aca="false">'VOL DWNLD'!AJ144+'VOL DELTA'!AJ144</f>
        <v>1</v>
      </c>
      <c r="AK144" s="168" t="n">
        <f aca="false">'VOL DWNLD'!AK144+'VOL DELTA'!AK144</f>
        <v>1.02</v>
      </c>
      <c r="AL144" s="168" t="n">
        <f aca="false">'VOL DWNLD'!AL144+'VOL DELTA'!AL144</f>
        <v>1</v>
      </c>
      <c r="AM144" s="168" t="n">
        <f aca="false">'VOL DWNLD'!AM144+'VOL DELTA'!AM144</f>
        <v>1</v>
      </c>
      <c r="AN144" s="168" t="n">
        <f aca="false">'VOL DWNLD'!AN144+'VOL DELTA'!AN144</f>
        <v>1</v>
      </c>
      <c r="AO144" s="168" t="n">
        <f aca="false">'VOL DWNLD'!AO144+'VOL DELTA'!AO144</f>
        <v>1</v>
      </c>
    </row>
    <row r="145" customFormat="false" ht="12.75" hidden="false" customHeight="false" outlineLevel="0" collapsed="false">
      <c r="A145" s="167" t="n">
        <v>41091</v>
      </c>
      <c r="B145" s="168" t="n">
        <f aca="false">'VOL DWNLD'!B145+'VOL DELTA'!B145</f>
        <v>1</v>
      </c>
      <c r="C145" s="168" t="n">
        <f aca="false">'VOL DWNLD'!C145+'VOL DELTA'!C145</f>
        <v>1</v>
      </c>
      <c r="D145" s="168" t="n">
        <f aca="false">'VOL DWNLD'!D145+'VOL DELTA'!D145</f>
        <v>1</v>
      </c>
      <c r="E145" s="168" t="n">
        <f aca="false">'VOL DWNLD'!E145+'VOL DELTA'!E145</f>
        <v>1</v>
      </c>
      <c r="F145" s="168" t="n">
        <f aca="false">'VOL DWNLD'!F145+'VOL DELTA'!F145</f>
        <v>1</v>
      </c>
      <c r="G145" s="168" t="n">
        <f aca="false">'VOL DWNLD'!G145+'VOL DELTA'!G145</f>
        <v>1</v>
      </c>
      <c r="H145" s="168" t="n">
        <f aca="false">'VOL DWNLD'!H145+'VOL DELTA'!H145</f>
        <v>1</v>
      </c>
      <c r="I145" s="168" t="n">
        <f aca="false">'VOL DWNLD'!I145+'VOL DELTA'!I145</f>
        <v>1</v>
      </c>
      <c r="J145" s="168" t="n">
        <f aca="false">'VOL DWNLD'!J145+'VOL DELTA'!J145</f>
        <v>1</v>
      </c>
      <c r="K145" s="168" t="n">
        <f aca="false">'VOL DWNLD'!K145+'VOL DELTA'!K145</f>
        <v>1</v>
      </c>
      <c r="L145" s="168" t="n">
        <f aca="false">'VOL DWNLD'!L145+'VOL DELTA'!L145</f>
        <v>1</v>
      </c>
      <c r="M145" s="168" t="n">
        <f aca="false">'VOL DWNLD'!M145+'VOL DELTA'!M145</f>
        <v>1</v>
      </c>
      <c r="N145" s="168" t="n">
        <f aca="false">'VOL DWNLD'!N145+'VOL DELTA'!N145</f>
        <v>1</v>
      </c>
      <c r="O145" s="168" t="n">
        <f aca="false">'VOL DWNLD'!O145+'VOL DELTA'!O145</f>
        <v>1</v>
      </c>
      <c r="P145" s="168" t="n">
        <f aca="false">'VOL DWNLD'!P145+'VOL DELTA'!P145</f>
        <v>1.03</v>
      </c>
      <c r="Q145" s="168" t="n">
        <f aca="false">'VOL DWNLD'!Q145+'VOL DELTA'!Q145</f>
        <v>1</v>
      </c>
      <c r="R145" s="168" t="n">
        <f aca="false">'VOL DWNLD'!R145+'VOL DELTA'!R145</f>
        <v>1</v>
      </c>
      <c r="S145" s="168" t="n">
        <f aca="false">'VOL DWNLD'!S145+'VOL DELTA'!S145</f>
        <v>1.02</v>
      </c>
      <c r="T145" s="168" t="n">
        <f aca="false">'VOL DWNLD'!T145+'VOL DELTA'!T145</f>
        <v>1</v>
      </c>
      <c r="U145" s="168" t="n">
        <f aca="false">'VOL DWNLD'!U145+'VOL DELTA'!U145</f>
        <v>1</v>
      </c>
      <c r="V145" s="168" t="n">
        <f aca="false">'VOL DWNLD'!V145+'VOL DELTA'!V145</f>
        <v>1</v>
      </c>
      <c r="W145" s="168" t="n">
        <f aca="false">'VOL DWNLD'!W145+'VOL DELTA'!W145</f>
        <v>1</v>
      </c>
      <c r="X145" s="168" t="n">
        <f aca="false">'VOL DWNLD'!X145+'VOL DELTA'!X145</f>
        <v>1</v>
      </c>
      <c r="Y145" s="168" t="n">
        <f aca="false">'VOL DWNLD'!Y145+'VOL DELTA'!Y145</f>
        <v>1.02</v>
      </c>
      <c r="Z145" s="168" t="n">
        <f aca="false">'VOL DWNLD'!Z145+'VOL DELTA'!Z145</f>
        <v>1</v>
      </c>
      <c r="AA145" s="168" t="n">
        <f aca="false">'VOL DWNLD'!AA145+'VOL DELTA'!AA145</f>
        <v>1</v>
      </c>
      <c r="AB145" s="168" t="n">
        <f aca="false">'VOL DWNLD'!AB145+'VOL DELTA'!AB145</f>
        <v>1</v>
      </c>
      <c r="AC145" s="168" t="n">
        <f aca="false">'VOL DWNLD'!AC145+'VOL DELTA'!AC145</f>
        <v>1</v>
      </c>
      <c r="AD145" s="168" t="n">
        <f aca="false">'VOL DWNLD'!AD145+'VOL DELTA'!AD145</f>
        <v>0.98</v>
      </c>
      <c r="AE145" s="168" t="n">
        <f aca="false">'VOL DWNLD'!AE145+'VOL DELTA'!AE145</f>
        <v>0.98</v>
      </c>
      <c r="AF145" s="168" t="n">
        <f aca="false">'VOL DWNLD'!AF145+'VOL DELTA'!AF145</f>
        <v>0.98</v>
      </c>
      <c r="AG145" s="168" t="n">
        <f aca="false">'VOL DWNLD'!AG145+'VOL DELTA'!AG145</f>
        <v>0.98</v>
      </c>
      <c r="AH145" s="168" t="n">
        <f aca="false">'VOL DWNLD'!AH145+'VOL DELTA'!AH145</f>
        <v>1.05</v>
      </c>
      <c r="AI145" s="168" t="n">
        <f aca="false">'VOL DWNLD'!AI145+'VOL DELTA'!AI145</f>
        <v>1</v>
      </c>
      <c r="AJ145" s="168" t="n">
        <f aca="false">'VOL DWNLD'!AJ145+'VOL DELTA'!AJ145</f>
        <v>1</v>
      </c>
      <c r="AK145" s="168" t="n">
        <f aca="false">'VOL DWNLD'!AK145+'VOL DELTA'!AK145</f>
        <v>1.02</v>
      </c>
      <c r="AL145" s="168" t="n">
        <f aca="false">'VOL DWNLD'!AL145+'VOL DELTA'!AL145</f>
        <v>1</v>
      </c>
      <c r="AM145" s="168" t="n">
        <f aca="false">'VOL DWNLD'!AM145+'VOL DELTA'!AM145</f>
        <v>1</v>
      </c>
      <c r="AN145" s="168" t="n">
        <f aca="false">'VOL DWNLD'!AN145+'VOL DELTA'!AN145</f>
        <v>1</v>
      </c>
      <c r="AO145" s="168" t="n">
        <f aca="false">'VOL DWNLD'!AO145+'VOL DELTA'!AO145</f>
        <v>1</v>
      </c>
    </row>
    <row r="146" customFormat="false" ht="12.75" hidden="false" customHeight="false" outlineLevel="0" collapsed="false">
      <c r="A146" s="167" t="n">
        <v>41122</v>
      </c>
      <c r="B146" s="168" t="n">
        <f aca="false">'VOL DWNLD'!B146+'VOL DELTA'!B146</f>
        <v>1</v>
      </c>
      <c r="C146" s="168" t="n">
        <f aca="false">'VOL DWNLD'!C146+'VOL DELTA'!C146</f>
        <v>1</v>
      </c>
      <c r="D146" s="168" t="n">
        <f aca="false">'VOL DWNLD'!D146+'VOL DELTA'!D146</f>
        <v>1</v>
      </c>
      <c r="E146" s="168" t="n">
        <f aca="false">'VOL DWNLD'!E146+'VOL DELTA'!E146</f>
        <v>1</v>
      </c>
      <c r="F146" s="168" t="n">
        <f aca="false">'VOL DWNLD'!F146+'VOL DELTA'!F146</f>
        <v>1</v>
      </c>
      <c r="G146" s="168" t="n">
        <f aca="false">'VOL DWNLD'!G146+'VOL DELTA'!G146</f>
        <v>1</v>
      </c>
      <c r="H146" s="168" t="n">
        <f aca="false">'VOL DWNLD'!H146+'VOL DELTA'!H146</f>
        <v>1</v>
      </c>
      <c r="I146" s="168" t="n">
        <f aca="false">'VOL DWNLD'!I146+'VOL DELTA'!I146</f>
        <v>1</v>
      </c>
      <c r="J146" s="168" t="n">
        <f aca="false">'VOL DWNLD'!J146+'VOL DELTA'!J146</f>
        <v>1</v>
      </c>
      <c r="K146" s="168" t="n">
        <f aca="false">'VOL DWNLD'!K146+'VOL DELTA'!K146</f>
        <v>1</v>
      </c>
      <c r="L146" s="168" t="n">
        <f aca="false">'VOL DWNLD'!L146+'VOL DELTA'!L146</f>
        <v>1</v>
      </c>
      <c r="M146" s="168" t="n">
        <f aca="false">'VOL DWNLD'!M146+'VOL DELTA'!M146</f>
        <v>1</v>
      </c>
      <c r="N146" s="168" t="n">
        <f aca="false">'VOL DWNLD'!N146+'VOL DELTA'!N146</f>
        <v>1</v>
      </c>
      <c r="O146" s="168" t="n">
        <f aca="false">'VOL DWNLD'!O146+'VOL DELTA'!O146</f>
        <v>1</v>
      </c>
      <c r="P146" s="168" t="n">
        <f aca="false">'VOL DWNLD'!P146+'VOL DELTA'!P146</f>
        <v>1.03</v>
      </c>
      <c r="Q146" s="168" t="n">
        <f aca="false">'VOL DWNLD'!Q146+'VOL DELTA'!Q146</f>
        <v>1</v>
      </c>
      <c r="R146" s="168" t="n">
        <f aca="false">'VOL DWNLD'!R146+'VOL DELTA'!R146</f>
        <v>1</v>
      </c>
      <c r="S146" s="168" t="n">
        <f aca="false">'VOL DWNLD'!S146+'VOL DELTA'!S146</f>
        <v>1.02</v>
      </c>
      <c r="T146" s="168" t="n">
        <f aca="false">'VOL DWNLD'!T146+'VOL DELTA'!T146</f>
        <v>1</v>
      </c>
      <c r="U146" s="168" t="n">
        <f aca="false">'VOL DWNLD'!U146+'VOL DELTA'!U146</f>
        <v>1</v>
      </c>
      <c r="V146" s="168" t="n">
        <f aca="false">'VOL DWNLD'!V146+'VOL DELTA'!V146</f>
        <v>1</v>
      </c>
      <c r="W146" s="168" t="n">
        <f aca="false">'VOL DWNLD'!W146+'VOL DELTA'!W146</f>
        <v>1</v>
      </c>
      <c r="X146" s="168" t="n">
        <f aca="false">'VOL DWNLD'!X146+'VOL DELTA'!X146</f>
        <v>1</v>
      </c>
      <c r="Y146" s="168" t="n">
        <f aca="false">'VOL DWNLD'!Y146+'VOL DELTA'!Y146</f>
        <v>1.02</v>
      </c>
      <c r="Z146" s="168" t="n">
        <f aca="false">'VOL DWNLD'!Z146+'VOL DELTA'!Z146</f>
        <v>1</v>
      </c>
      <c r="AA146" s="168" t="n">
        <f aca="false">'VOL DWNLD'!AA146+'VOL DELTA'!AA146</f>
        <v>1</v>
      </c>
      <c r="AB146" s="168" t="n">
        <f aca="false">'VOL DWNLD'!AB146+'VOL DELTA'!AB146</f>
        <v>1</v>
      </c>
      <c r="AC146" s="168" t="n">
        <f aca="false">'VOL DWNLD'!AC146+'VOL DELTA'!AC146</f>
        <v>1</v>
      </c>
      <c r="AD146" s="168" t="n">
        <f aca="false">'VOL DWNLD'!AD146+'VOL DELTA'!AD146</f>
        <v>0.98</v>
      </c>
      <c r="AE146" s="168" t="n">
        <f aca="false">'VOL DWNLD'!AE146+'VOL DELTA'!AE146</f>
        <v>0.98</v>
      </c>
      <c r="AF146" s="168" t="n">
        <f aca="false">'VOL DWNLD'!AF146+'VOL DELTA'!AF146</f>
        <v>0.98</v>
      </c>
      <c r="AG146" s="168" t="n">
        <f aca="false">'VOL DWNLD'!AG146+'VOL DELTA'!AG146</f>
        <v>0.98</v>
      </c>
      <c r="AH146" s="168" t="n">
        <f aca="false">'VOL DWNLD'!AH146+'VOL DELTA'!AH146</f>
        <v>1.05</v>
      </c>
      <c r="AI146" s="168" t="n">
        <f aca="false">'VOL DWNLD'!AI146+'VOL DELTA'!AI146</f>
        <v>1</v>
      </c>
      <c r="AJ146" s="168" t="n">
        <f aca="false">'VOL DWNLD'!AJ146+'VOL DELTA'!AJ146</f>
        <v>1</v>
      </c>
      <c r="AK146" s="168" t="n">
        <f aca="false">'VOL DWNLD'!AK146+'VOL DELTA'!AK146</f>
        <v>1.02</v>
      </c>
      <c r="AL146" s="168" t="n">
        <f aca="false">'VOL DWNLD'!AL146+'VOL DELTA'!AL146</f>
        <v>1</v>
      </c>
      <c r="AM146" s="168" t="n">
        <f aca="false">'VOL DWNLD'!AM146+'VOL DELTA'!AM146</f>
        <v>1</v>
      </c>
      <c r="AN146" s="168" t="n">
        <f aca="false">'VOL DWNLD'!AN146+'VOL DELTA'!AN146</f>
        <v>1</v>
      </c>
      <c r="AO146" s="168" t="n">
        <f aca="false">'VOL DWNLD'!AO146+'VOL DELTA'!AO146</f>
        <v>1</v>
      </c>
    </row>
    <row r="147" customFormat="false" ht="12.75" hidden="false" customHeight="false" outlineLevel="0" collapsed="false">
      <c r="A147" s="167" t="n">
        <v>41153</v>
      </c>
      <c r="B147" s="168" t="n">
        <f aca="false">'VOL DWNLD'!B147+'VOL DELTA'!B147</f>
        <v>1</v>
      </c>
      <c r="C147" s="168" t="n">
        <f aca="false">'VOL DWNLD'!C147+'VOL DELTA'!C147</f>
        <v>1</v>
      </c>
      <c r="D147" s="168" t="n">
        <f aca="false">'VOL DWNLD'!D147+'VOL DELTA'!D147</f>
        <v>1</v>
      </c>
      <c r="E147" s="168" t="n">
        <f aca="false">'VOL DWNLD'!E147+'VOL DELTA'!E147</f>
        <v>1</v>
      </c>
      <c r="F147" s="168" t="n">
        <f aca="false">'VOL DWNLD'!F147+'VOL DELTA'!F147</f>
        <v>1</v>
      </c>
      <c r="G147" s="168" t="n">
        <f aca="false">'VOL DWNLD'!G147+'VOL DELTA'!G147</f>
        <v>1</v>
      </c>
      <c r="H147" s="168" t="n">
        <f aca="false">'VOL DWNLD'!H147+'VOL DELTA'!H147</f>
        <v>1</v>
      </c>
      <c r="I147" s="168" t="n">
        <f aca="false">'VOL DWNLD'!I147+'VOL DELTA'!I147</f>
        <v>1</v>
      </c>
      <c r="J147" s="168" t="n">
        <f aca="false">'VOL DWNLD'!J147+'VOL DELTA'!J147</f>
        <v>1</v>
      </c>
      <c r="K147" s="168" t="n">
        <f aca="false">'VOL DWNLD'!K147+'VOL DELTA'!K147</f>
        <v>1</v>
      </c>
      <c r="L147" s="168" t="n">
        <f aca="false">'VOL DWNLD'!L147+'VOL DELTA'!L147</f>
        <v>1</v>
      </c>
      <c r="M147" s="168" t="n">
        <f aca="false">'VOL DWNLD'!M147+'VOL DELTA'!M147</f>
        <v>1</v>
      </c>
      <c r="N147" s="168" t="n">
        <f aca="false">'VOL DWNLD'!N147+'VOL DELTA'!N147</f>
        <v>1</v>
      </c>
      <c r="O147" s="168" t="n">
        <f aca="false">'VOL DWNLD'!O147+'VOL DELTA'!O147</f>
        <v>1</v>
      </c>
      <c r="P147" s="168" t="n">
        <f aca="false">'VOL DWNLD'!P147+'VOL DELTA'!P147</f>
        <v>1.03</v>
      </c>
      <c r="Q147" s="168" t="n">
        <f aca="false">'VOL DWNLD'!Q147+'VOL DELTA'!Q147</f>
        <v>1</v>
      </c>
      <c r="R147" s="168" t="n">
        <f aca="false">'VOL DWNLD'!R147+'VOL DELTA'!R147</f>
        <v>1</v>
      </c>
      <c r="S147" s="168" t="n">
        <f aca="false">'VOL DWNLD'!S147+'VOL DELTA'!S147</f>
        <v>1.02</v>
      </c>
      <c r="T147" s="168" t="n">
        <f aca="false">'VOL DWNLD'!T147+'VOL DELTA'!T147</f>
        <v>1</v>
      </c>
      <c r="U147" s="168" t="n">
        <f aca="false">'VOL DWNLD'!U147+'VOL DELTA'!U147</f>
        <v>1</v>
      </c>
      <c r="V147" s="168" t="n">
        <f aca="false">'VOL DWNLD'!V147+'VOL DELTA'!V147</f>
        <v>1</v>
      </c>
      <c r="W147" s="168" t="n">
        <f aca="false">'VOL DWNLD'!W147+'VOL DELTA'!W147</f>
        <v>1</v>
      </c>
      <c r="X147" s="168" t="n">
        <f aca="false">'VOL DWNLD'!X147+'VOL DELTA'!X147</f>
        <v>1</v>
      </c>
      <c r="Y147" s="168" t="n">
        <f aca="false">'VOL DWNLD'!Y147+'VOL DELTA'!Y147</f>
        <v>1.02</v>
      </c>
      <c r="Z147" s="168" t="n">
        <f aca="false">'VOL DWNLD'!Z147+'VOL DELTA'!Z147</f>
        <v>1</v>
      </c>
      <c r="AA147" s="168" t="n">
        <f aca="false">'VOL DWNLD'!AA147+'VOL DELTA'!AA147</f>
        <v>1</v>
      </c>
      <c r="AB147" s="168" t="n">
        <f aca="false">'VOL DWNLD'!AB147+'VOL DELTA'!AB147</f>
        <v>1</v>
      </c>
      <c r="AC147" s="168" t="n">
        <f aca="false">'VOL DWNLD'!AC147+'VOL DELTA'!AC147</f>
        <v>1</v>
      </c>
      <c r="AD147" s="168" t="n">
        <f aca="false">'VOL DWNLD'!AD147+'VOL DELTA'!AD147</f>
        <v>0.98</v>
      </c>
      <c r="AE147" s="168" t="n">
        <f aca="false">'VOL DWNLD'!AE147+'VOL DELTA'!AE147</f>
        <v>0.98</v>
      </c>
      <c r="AF147" s="168" t="n">
        <f aca="false">'VOL DWNLD'!AF147+'VOL DELTA'!AF147</f>
        <v>0.98</v>
      </c>
      <c r="AG147" s="168" t="n">
        <f aca="false">'VOL DWNLD'!AG147+'VOL DELTA'!AG147</f>
        <v>0.98</v>
      </c>
      <c r="AH147" s="168" t="n">
        <f aca="false">'VOL DWNLD'!AH147+'VOL DELTA'!AH147</f>
        <v>1.05</v>
      </c>
      <c r="AI147" s="168" t="n">
        <f aca="false">'VOL DWNLD'!AI147+'VOL DELTA'!AI147</f>
        <v>1</v>
      </c>
      <c r="AJ147" s="168" t="n">
        <f aca="false">'VOL DWNLD'!AJ147+'VOL DELTA'!AJ147</f>
        <v>1</v>
      </c>
      <c r="AK147" s="168" t="n">
        <f aca="false">'VOL DWNLD'!AK147+'VOL DELTA'!AK147</f>
        <v>1.02</v>
      </c>
      <c r="AL147" s="168" t="n">
        <f aca="false">'VOL DWNLD'!AL147+'VOL DELTA'!AL147</f>
        <v>1</v>
      </c>
      <c r="AM147" s="168" t="n">
        <f aca="false">'VOL DWNLD'!AM147+'VOL DELTA'!AM147</f>
        <v>1</v>
      </c>
      <c r="AN147" s="168" t="n">
        <f aca="false">'VOL DWNLD'!AN147+'VOL DELTA'!AN147</f>
        <v>1</v>
      </c>
      <c r="AO147" s="168" t="n">
        <f aca="false">'VOL DWNLD'!AO147+'VOL DELTA'!AO147</f>
        <v>1</v>
      </c>
    </row>
    <row r="148" customFormat="false" ht="12.75" hidden="false" customHeight="false" outlineLevel="0" collapsed="false">
      <c r="A148" s="167" t="n">
        <v>41183</v>
      </c>
      <c r="B148" s="168" t="n">
        <f aca="false">'VOL DWNLD'!B148+'VOL DELTA'!B148</f>
        <v>1</v>
      </c>
      <c r="C148" s="168" t="n">
        <f aca="false">'VOL DWNLD'!C148+'VOL DELTA'!C148</f>
        <v>1</v>
      </c>
      <c r="D148" s="168" t="n">
        <f aca="false">'VOL DWNLD'!D148+'VOL DELTA'!D148</f>
        <v>1</v>
      </c>
      <c r="E148" s="168" t="n">
        <f aca="false">'VOL DWNLD'!E148+'VOL DELTA'!E148</f>
        <v>1</v>
      </c>
      <c r="F148" s="168" t="n">
        <f aca="false">'VOL DWNLD'!F148+'VOL DELTA'!F148</f>
        <v>1</v>
      </c>
      <c r="G148" s="168" t="n">
        <f aca="false">'VOL DWNLD'!G148+'VOL DELTA'!G148</f>
        <v>1</v>
      </c>
      <c r="H148" s="168" t="n">
        <f aca="false">'VOL DWNLD'!H148+'VOL DELTA'!H148</f>
        <v>1</v>
      </c>
      <c r="I148" s="168" t="n">
        <f aca="false">'VOL DWNLD'!I148+'VOL DELTA'!I148</f>
        <v>1</v>
      </c>
      <c r="J148" s="168" t="n">
        <f aca="false">'VOL DWNLD'!J148+'VOL DELTA'!J148</f>
        <v>1</v>
      </c>
      <c r="K148" s="168" t="n">
        <f aca="false">'VOL DWNLD'!K148+'VOL DELTA'!K148</f>
        <v>1</v>
      </c>
      <c r="L148" s="168" t="n">
        <f aca="false">'VOL DWNLD'!L148+'VOL DELTA'!L148</f>
        <v>1</v>
      </c>
      <c r="M148" s="168" t="n">
        <f aca="false">'VOL DWNLD'!M148+'VOL DELTA'!M148</f>
        <v>1</v>
      </c>
      <c r="N148" s="168" t="n">
        <f aca="false">'VOL DWNLD'!N148+'VOL DELTA'!N148</f>
        <v>1</v>
      </c>
      <c r="O148" s="168" t="n">
        <f aca="false">'VOL DWNLD'!O148+'VOL DELTA'!O148</f>
        <v>1</v>
      </c>
      <c r="P148" s="168" t="n">
        <f aca="false">'VOL DWNLD'!P148+'VOL DELTA'!P148</f>
        <v>1.03</v>
      </c>
      <c r="Q148" s="168" t="n">
        <f aca="false">'VOL DWNLD'!Q148+'VOL DELTA'!Q148</f>
        <v>1</v>
      </c>
      <c r="R148" s="168" t="n">
        <f aca="false">'VOL DWNLD'!R148+'VOL DELTA'!R148</f>
        <v>1</v>
      </c>
      <c r="S148" s="168" t="n">
        <f aca="false">'VOL DWNLD'!S148+'VOL DELTA'!S148</f>
        <v>1.02</v>
      </c>
      <c r="T148" s="168" t="n">
        <f aca="false">'VOL DWNLD'!T148+'VOL DELTA'!T148</f>
        <v>1</v>
      </c>
      <c r="U148" s="168" t="n">
        <f aca="false">'VOL DWNLD'!U148+'VOL DELTA'!U148</f>
        <v>1</v>
      </c>
      <c r="V148" s="168" t="n">
        <f aca="false">'VOL DWNLD'!V148+'VOL DELTA'!V148</f>
        <v>1</v>
      </c>
      <c r="W148" s="168" t="n">
        <f aca="false">'VOL DWNLD'!W148+'VOL DELTA'!W148</f>
        <v>1</v>
      </c>
      <c r="X148" s="168" t="n">
        <f aca="false">'VOL DWNLD'!X148+'VOL DELTA'!X148</f>
        <v>1</v>
      </c>
      <c r="Y148" s="168" t="n">
        <f aca="false">'VOL DWNLD'!Y148+'VOL DELTA'!Y148</f>
        <v>1.02</v>
      </c>
      <c r="Z148" s="168" t="n">
        <f aca="false">'VOL DWNLD'!Z148+'VOL DELTA'!Z148</f>
        <v>1</v>
      </c>
      <c r="AA148" s="168" t="n">
        <f aca="false">'VOL DWNLD'!AA148+'VOL DELTA'!AA148</f>
        <v>1</v>
      </c>
      <c r="AB148" s="168" t="n">
        <f aca="false">'VOL DWNLD'!AB148+'VOL DELTA'!AB148</f>
        <v>1</v>
      </c>
      <c r="AC148" s="168" t="n">
        <f aca="false">'VOL DWNLD'!AC148+'VOL DELTA'!AC148</f>
        <v>1</v>
      </c>
      <c r="AD148" s="168" t="n">
        <f aca="false">'VOL DWNLD'!AD148+'VOL DELTA'!AD148</f>
        <v>0.98</v>
      </c>
      <c r="AE148" s="168" t="n">
        <f aca="false">'VOL DWNLD'!AE148+'VOL DELTA'!AE148</f>
        <v>0.98</v>
      </c>
      <c r="AF148" s="168" t="n">
        <f aca="false">'VOL DWNLD'!AF148+'VOL DELTA'!AF148</f>
        <v>0.98</v>
      </c>
      <c r="AG148" s="168" t="n">
        <f aca="false">'VOL DWNLD'!AG148+'VOL DELTA'!AG148</f>
        <v>0.98</v>
      </c>
      <c r="AH148" s="168" t="n">
        <f aca="false">'VOL DWNLD'!AH148+'VOL DELTA'!AH148</f>
        <v>1.05</v>
      </c>
      <c r="AI148" s="168" t="n">
        <f aca="false">'VOL DWNLD'!AI148+'VOL DELTA'!AI148</f>
        <v>1</v>
      </c>
      <c r="AJ148" s="168" t="n">
        <f aca="false">'VOL DWNLD'!AJ148+'VOL DELTA'!AJ148</f>
        <v>1</v>
      </c>
      <c r="AK148" s="168" t="n">
        <f aca="false">'VOL DWNLD'!AK148+'VOL DELTA'!AK148</f>
        <v>1.02</v>
      </c>
      <c r="AL148" s="168" t="n">
        <f aca="false">'VOL DWNLD'!AL148+'VOL DELTA'!AL148</f>
        <v>1</v>
      </c>
      <c r="AM148" s="168" t="n">
        <f aca="false">'VOL DWNLD'!AM148+'VOL DELTA'!AM148</f>
        <v>1</v>
      </c>
      <c r="AN148" s="168" t="n">
        <f aca="false">'VOL DWNLD'!AN148+'VOL DELTA'!AN148</f>
        <v>1</v>
      </c>
      <c r="AO148" s="168" t="n">
        <f aca="false">'VOL DWNLD'!AO148+'VOL DELTA'!AO148</f>
        <v>1</v>
      </c>
    </row>
    <row r="149" customFormat="false" ht="12.75" hidden="false" customHeight="false" outlineLevel="0" collapsed="false">
      <c r="A149" s="167" t="n">
        <v>41214</v>
      </c>
      <c r="B149" s="168" t="n">
        <f aca="false">'VOL DWNLD'!B149+'VOL DELTA'!B149</f>
        <v>1</v>
      </c>
      <c r="C149" s="168" t="n">
        <f aca="false">'VOL DWNLD'!C149+'VOL DELTA'!C149</f>
        <v>1</v>
      </c>
      <c r="D149" s="168" t="n">
        <f aca="false">'VOL DWNLD'!D149+'VOL DELTA'!D149</f>
        <v>1</v>
      </c>
      <c r="E149" s="168" t="n">
        <f aca="false">'VOL DWNLD'!E149+'VOL DELTA'!E149</f>
        <v>1</v>
      </c>
      <c r="F149" s="168" t="n">
        <f aca="false">'VOL DWNLD'!F149+'VOL DELTA'!F149</f>
        <v>1</v>
      </c>
      <c r="G149" s="168" t="n">
        <f aca="false">'VOL DWNLD'!G149+'VOL DELTA'!G149</f>
        <v>1</v>
      </c>
      <c r="H149" s="168" t="n">
        <f aca="false">'VOL DWNLD'!H149+'VOL DELTA'!H149</f>
        <v>1</v>
      </c>
      <c r="I149" s="168" t="n">
        <f aca="false">'VOL DWNLD'!I149+'VOL DELTA'!I149</f>
        <v>1</v>
      </c>
      <c r="J149" s="168" t="n">
        <f aca="false">'VOL DWNLD'!J149+'VOL DELTA'!J149</f>
        <v>1</v>
      </c>
      <c r="K149" s="168" t="n">
        <f aca="false">'VOL DWNLD'!K149+'VOL DELTA'!K149</f>
        <v>1</v>
      </c>
      <c r="L149" s="168" t="n">
        <f aca="false">'VOL DWNLD'!L149+'VOL DELTA'!L149</f>
        <v>1</v>
      </c>
      <c r="M149" s="168" t="n">
        <f aca="false">'VOL DWNLD'!M149+'VOL DELTA'!M149</f>
        <v>1</v>
      </c>
      <c r="N149" s="168" t="n">
        <f aca="false">'VOL DWNLD'!N149+'VOL DELTA'!N149</f>
        <v>1</v>
      </c>
      <c r="O149" s="168" t="n">
        <f aca="false">'VOL DWNLD'!O149+'VOL DELTA'!O149</f>
        <v>1</v>
      </c>
      <c r="P149" s="168" t="n">
        <f aca="false">'VOL DWNLD'!P149+'VOL DELTA'!P149</f>
        <v>1.03</v>
      </c>
      <c r="Q149" s="168" t="n">
        <f aca="false">'VOL DWNLD'!Q149+'VOL DELTA'!Q149</f>
        <v>1</v>
      </c>
      <c r="R149" s="168" t="n">
        <f aca="false">'VOL DWNLD'!R149+'VOL DELTA'!R149</f>
        <v>1</v>
      </c>
      <c r="S149" s="168" t="n">
        <f aca="false">'VOL DWNLD'!S149+'VOL DELTA'!S149</f>
        <v>1.02</v>
      </c>
      <c r="T149" s="168" t="n">
        <f aca="false">'VOL DWNLD'!T149+'VOL DELTA'!T149</f>
        <v>1</v>
      </c>
      <c r="U149" s="168" t="n">
        <f aca="false">'VOL DWNLD'!U149+'VOL DELTA'!U149</f>
        <v>1</v>
      </c>
      <c r="V149" s="168" t="n">
        <f aca="false">'VOL DWNLD'!V149+'VOL DELTA'!V149</f>
        <v>1</v>
      </c>
      <c r="W149" s="168" t="n">
        <f aca="false">'VOL DWNLD'!W149+'VOL DELTA'!W149</f>
        <v>1</v>
      </c>
      <c r="X149" s="168" t="n">
        <f aca="false">'VOL DWNLD'!X149+'VOL DELTA'!X149</f>
        <v>1</v>
      </c>
      <c r="Y149" s="168" t="n">
        <f aca="false">'VOL DWNLD'!Y149+'VOL DELTA'!Y149</f>
        <v>1</v>
      </c>
      <c r="Z149" s="168" t="n">
        <f aca="false">'VOL DWNLD'!Z149+'VOL DELTA'!Z149</f>
        <v>1</v>
      </c>
      <c r="AA149" s="168" t="n">
        <f aca="false">'VOL DWNLD'!AA149+'VOL DELTA'!AA149</f>
        <v>1</v>
      </c>
      <c r="AB149" s="168" t="n">
        <f aca="false">'VOL DWNLD'!AB149+'VOL DELTA'!AB149</f>
        <v>1</v>
      </c>
      <c r="AC149" s="168" t="n">
        <f aca="false">'VOL DWNLD'!AC149+'VOL DELTA'!AC149</f>
        <v>1</v>
      </c>
      <c r="AD149" s="168" t="n">
        <f aca="false">'VOL DWNLD'!AD149+'VOL DELTA'!AD149</f>
        <v>1</v>
      </c>
      <c r="AE149" s="168" t="n">
        <f aca="false">'VOL DWNLD'!AE149+'VOL DELTA'!AE149</f>
        <v>1</v>
      </c>
      <c r="AF149" s="168" t="n">
        <f aca="false">'VOL DWNLD'!AF149+'VOL DELTA'!AF149</f>
        <v>1.1</v>
      </c>
      <c r="AG149" s="168" t="n">
        <f aca="false">'VOL DWNLD'!AG149+'VOL DELTA'!AG149</f>
        <v>1.1</v>
      </c>
      <c r="AH149" s="168" t="n">
        <f aca="false">'VOL DWNLD'!AH149+'VOL DELTA'!AH149</f>
        <v>1.05</v>
      </c>
      <c r="AI149" s="168" t="n">
        <f aca="false">'VOL DWNLD'!AI149+'VOL DELTA'!AI149</f>
        <v>1</v>
      </c>
      <c r="AJ149" s="168" t="n">
        <f aca="false">'VOL DWNLD'!AJ149+'VOL DELTA'!AJ149</f>
        <v>1</v>
      </c>
      <c r="AK149" s="168" t="n">
        <f aca="false">'VOL DWNLD'!AK149+'VOL DELTA'!AK149</f>
        <v>1.02</v>
      </c>
      <c r="AL149" s="168" t="n">
        <f aca="false">'VOL DWNLD'!AL149+'VOL DELTA'!AL149</f>
        <v>1</v>
      </c>
      <c r="AM149" s="168" t="n">
        <f aca="false">'VOL DWNLD'!AM149+'VOL DELTA'!AM149</f>
        <v>1</v>
      </c>
      <c r="AN149" s="168" t="n">
        <f aca="false">'VOL DWNLD'!AN149+'VOL DELTA'!AN149</f>
        <v>1</v>
      </c>
      <c r="AO149" s="168" t="n">
        <f aca="false">'VOL DWNLD'!AO149+'VOL DELTA'!AO149</f>
        <v>1</v>
      </c>
    </row>
    <row r="150" customFormat="false" ht="12.75" hidden="false" customHeight="false" outlineLevel="0" collapsed="false">
      <c r="A150" s="167" t="n">
        <v>41244</v>
      </c>
      <c r="B150" s="168" t="n">
        <f aca="false">'VOL DWNLD'!B150+'VOL DELTA'!B150</f>
        <v>1</v>
      </c>
      <c r="C150" s="168" t="n">
        <f aca="false">'VOL DWNLD'!C150+'VOL DELTA'!C150</f>
        <v>1</v>
      </c>
      <c r="D150" s="168" t="n">
        <f aca="false">'VOL DWNLD'!D150+'VOL DELTA'!D150</f>
        <v>1</v>
      </c>
      <c r="E150" s="168" t="n">
        <f aca="false">'VOL DWNLD'!E150+'VOL DELTA'!E150</f>
        <v>1</v>
      </c>
      <c r="F150" s="168" t="n">
        <f aca="false">'VOL DWNLD'!F150+'VOL DELTA'!F150</f>
        <v>1</v>
      </c>
      <c r="G150" s="168" t="n">
        <f aca="false">'VOL DWNLD'!G150+'VOL DELTA'!G150</f>
        <v>1</v>
      </c>
      <c r="H150" s="168" t="n">
        <f aca="false">'VOL DWNLD'!H150+'VOL DELTA'!H150</f>
        <v>1</v>
      </c>
      <c r="I150" s="168" t="n">
        <f aca="false">'VOL DWNLD'!I150+'VOL DELTA'!I150</f>
        <v>1</v>
      </c>
      <c r="J150" s="168" t="n">
        <f aca="false">'VOL DWNLD'!J150+'VOL DELTA'!J150</f>
        <v>1</v>
      </c>
      <c r="K150" s="168" t="n">
        <f aca="false">'VOL DWNLD'!K150+'VOL DELTA'!K150</f>
        <v>1</v>
      </c>
      <c r="L150" s="168" t="n">
        <f aca="false">'VOL DWNLD'!L150+'VOL DELTA'!L150</f>
        <v>1</v>
      </c>
      <c r="M150" s="168" t="n">
        <f aca="false">'VOL DWNLD'!M150+'VOL DELTA'!M150</f>
        <v>1</v>
      </c>
      <c r="N150" s="168" t="n">
        <f aca="false">'VOL DWNLD'!N150+'VOL DELTA'!N150</f>
        <v>1</v>
      </c>
      <c r="O150" s="168" t="n">
        <f aca="false">'VOL DWNLD'!O150+'VOL DELTA'!O150</f>
        <v>1</v>
      </c>
      <c r="P150" s="168" t="n">
        <f aca="false">'VOL DWNLD'!P150+'VOL DELTA'!P150</f>
        <v>1.03</v>
      </c>
      <c r="Q150" s="168" t="n">
        <f aca="false">'VOL DWNLD'!Q150+'VOL DELTA'!Q150</f>
        <v>1</v>
      </c>
      <c r="R150" s="168" t="n">
        <f aca="false">'VOL DWNLD'!R150+'VOL DELTA'!R150</f>
        <v>1</v>
      </c>
      <c r="S150" s="168" t="n">
        <f aca="false">'VOL DWNLD'!S150+'VOL DELTA'!S150</f>
        <v>1.02</v>
      </c>
      <c r="T150" s="168" t="n">
        <f aca="false">'VOL DWNLD'!T150+'VOL DELTA'!T150</f>
        <v>1</v>
      </c>
      <c r="U150" s="168" t="n">
        <f aca="false">'VOL DWNLD'!U150+'VOL DELTA'!U150</f>
        <v>1</v>
      </c>
      <c r="V150" s="168" t="n">
        <f aca="false">'VOL DWNLD'!V150+'VOL DELTA'!V150</f>
        <v>1</v>
      </c>
      <c r="W150" s="168" t="n">
        <f aca="false">'VOL DWNLD'!W150+'VOL DELTA'!W150</f>
        <v>1</v>
      </c>
      <c r="X150" s="168" t="n">
        <f aca="false">'VOL DWNLD'!X150+'VOL DELTA'!X150</f>
        <v>1</v>
      </c>
      <c r="Y150" s="168" t="n">
        <f aca="false">'VOL DWNLD'!Y150+'VOL DELTA'!Y150</f>
        <v>1</v>
      </c>
      <c r="Z150" s="168" t="n">
        <f aca="false">'VOL DWNLD'!Z150+'VOL DELTA'!Z150</f>
        <v>1</v>
      </c>
      <c r="AA150" s="168" t="n">
        <f aca="false">'VOL DWNLD'!AA150+'VOL DELTA'!AA150</f>
        <v>1</v>
      </c>
      <c r="AB150" s="168" t="n">
        <f aca="false">'VOL DWNLD'!AB150+'VOL DELTA'!AB150</f>
        <v>1</v>
      </c>
      <c r="AC150" s="168" t="n">
        <f aca="false">'VOL DWNLD'!AC150+'VOL DELTA'!AC150</f>
        <v>1</v>
      </c>
      <c r="AD150" s="168" t="n">
        <f aca="false">'VOL DWNLD'!AD150+'VOL DELTA'!AD150</f>
        <v>1</v>
      </c>
      <c r="AE150" s="168" t="n">
        <f aca="false">'VOL DWNLD'!AE150+'VOL DELTA'!AE150</f>
        <v>1</v>
      </c>
      <c r="AF150" s="168" t="n">
        <f aca="false">'VOL DWNLD'!AF150+'VOL DELTA'!AF150</f>
        <v>1.1</v>
      </c>
      <c r="AG150" s="168" t="n">
        <f aca="false">'VOL DWNLD'!AG150+'VOL DELTA'!AG150</f>
        <v>1.1</v>
      </c>
      <c r="AH150" s="168" t="n">
        <f aca="false">'VOL DWNLD'!AH150+'VOL DELTA'!AH150</f>
        <v>1.05</v>
      </c>
      <c r="AI150" s="168" t="n">
        <f aca="false">'VOL DWNLD'!AI150+'VOL DELTA'!AI150</f>
        <v>1</v>
      </c>
      <c r="AJ150" s="168" t="n">
        <f aca="false">'VOL DWNLD'!AJ150+'VOL DELTA'!AJ150</f>
        <v>1</v>
      </c>
      <c r="AK150" s="168" t="n">
        <f aca="false">'VOL DWNLD'!AK150+'VOL DELTA'!AK150</f>
        <v>1.02</v>
      </c>
      <c r="AL150" s="168" t="n">
        <f aca="false">'VOL DWNLD'!AL150+'VOL DELTA'!AL150</f>
        <v>1</v>
      </c>
      <c r="AM150" s="168" t="n">
        <f aca="false">'VOL DWNLD'!AM150+'VOL DELTA'!AM150</f>
        <v>1</v>
      </c>
      <c r="AN150" s="168" t="n">
        <f aca="false">'VOL DWNLD'!AN150+'VOL DELTA'!AN150</f>
        <v>1</v>
      </c>
      <c r="AO150" s="168" t="n">
        <f aca="false">'VOL DWNLD'!AO150+'VOL DELTA'!AO150</f>
        <v>1</v>
      </c>
    </row>
    <row r="151" customFormat="false" ht="12.75" hidden="false" customHeight="false" outlineLevel="0" collapsed="false">
      <c r="A151" s="167" t="n">
        <v>41275</v>
      </c>
      <c r="B151" s="168" t="n">
        <f aca="false">'VOL DWNLD'!B151+'VOL DELTA'!B151</f>
        <v>1</v>
      </c>
      <c r="C151" s="168" t="n">
        <f aca="false">'VOL DWNLD'!C151+'VOL DELTA'!C151</f>
        <v>1</v>
      </c>
      <c r="D151" s="168" t="n">
        <f aca="false">'VOL DWNLD'!D151+'VOL DELTA'!D151</f>
        <v>1</v>
      </c>
      <c r="E151" s="168" t="n">
        <f aca="false">'VOL DWNLD'!E151+'VOL DELTA'!E151</f>
        <v>1</v>
      </c>
      <c r="F151" s="168" t="n">
        <f aca="false">'VOL DWNLD'!F151+'VOL DELTA'!F151</f>
        <v>1</v>
      </c>
      <c r="G151" s="168" t="n">
        <f aca="false">'VOL DWNLD'!G151+'VOL DELTA'!G151</f>
        <v>1</v>
      </c>
      <c r="H151" s="168" t="n">
        <f aca="false">'VOL DWNLD'!H151+'VOL DELTA'!H151</f>
        <v>1</v>
      </c>
      <c r="I151" s="168" t="n">
        <f aca="false">'VOL DWNLD'!I151+'VOL DELTA'!I151</f>
        <v>1</v>
      </c>
      <c r="J151" s="168" t="n">
        <f aca="false">'VOL DWNLD'!J151+'VOL DELTA'!J151</f>
        <v>1</v>
      </c>
      <c r="K151" s="168" t="n">
        <f aca="false">'VOL DWNLD'!K151+'VOL DELTA'!K151</f>
        <v>1</v>
      </c>
      <c r="L151" s="168" t="n">
        <f aca="false">'VOL DWNLD'!L151+'VOL DELTA'!L151</f>
        <v>1</v>
      </c>
      <c r="M151" s="168" t="n">
        <f aca="false">'VOL DWNLD'!M151+'VOL DELTA'!M151</f>
        <v>1</v>
      </c>
      <c r="N151" s="168" t="n">
        <f aca="false">'VOL DWNLD'!N151+'VOL DELTA'!N151</f>
        <v>1</v>
      </c>
      <c r="O151" s="168" t="n">
        <f aca="false">'VOL DWNLD'!O151+'VOL DELTA'!O151</f>
        <v>1</v>
      </c>
      <c r="P151" s="168" t="n">
        <f aca="false">'VOL DWNLD'!P151+'VOL DELTA'!P151</f>
        <v>1.03</v>
      </c>
      <c r="Q151" s="168" t="n">
        <f aca="false">'VOL DWNLD'!Q151+'VOL DELTA'!Q151</f>
        <v>1</v>
      </c>
      <c r="R151" s="168" t="n">
        <f aca="false">'VOL DWNLD'!R151+'VOL DELTA'!R151</f>
        <v>1</v>
      </c>
      <c r="S151" s="168" t="n">
        <f aca="false">'VOL DWNLD'!S151+'VOL DELTA'!S151</f>
        <v>1.02</v>
      </c>
      <c r="T151" s="168" t="n">
        <f aca="false">'VOL DWNLD'!T151+'VOL DELTA'!T151</f>
        <v>1</v>
      </c>
      <c r="U151" s="168" t="n">
        <f aca="false">'VOL DWNLD'!U151+'VOL DELTA'!U151</f>
        <v>1</v>
      </c>
      <c r="V151" s="168" t="n">
        <f aca="false">'VOL DWNLD'!V151+'VOL DELTA'!V151</f>
        <v>1</v>
      </c>
      <c r="W151" s="168" t="n">
        <f aca="false">'VOL DWNLD'!W151+'VOL DELTA'!W151</f>
        <v>1</v>
      </c>
      <c r="X151" s="168" t="n">
        <f aca="false">'VOL DWNLD'!X151+'VOL DELTA'!X151</f>
        <v>1</v>
      </c>
      <c r="Y151" s="168" t="n">
        <f aca="false">'VOL DWNLD'!Y151+'VOL DELTA'!Y151</f>
        <v>1</v>
      </c>
      <c r="Z151" s="168" t="n">
        <f aca="false">'VOL DWNLD'!Z151+'VOL DELTA'!Z151</f>
        <v>1</v>
      </c>
      <c r="AA151" s="168" t="n">
        <f aca="false">'VOL DWNLD'!AA151+'VOL DELTA'!AA151</f>
        <v>1</v>
      </c>
      <c r="AB151" s="168" t="n">
        <f aca="false">'VOL DWNLD'!AB151+'VOL DELTA'!AB151</f>
        <v>1</v>
      </c>
      <c r="AC151" s="168" t="n">
        <f aca="false">'VOL DWNLD'!AC151+'VOL DELTA'!AC151</f>
        <v>1</v>
      </c>
      <c r="AD151" s="168" t="n">
        <f aca="false">'VOL DWNLD'!AD151+'VOL DELTA'!AD151</f>
        <v>1</v>
      </c>
      <c r="AE151" s="168" t="n">
        <f aca="false">'VOL DWNLD'!AE151+'VOL DELTA'!AE151</f>
        <v>1</v>
      </c>
      <c r="AF151" s="168" t="n">
        <f aca="false">'VOL DWNLD'!AF151+'VOL DELTA'!AF151</f>
        <v>1.1</v>
      </c>
      <c r="AG151" s="168" t="n">
        <f aca="false">'VOL DWNLD'!AG151+'VOL DELTA'!AG151</f>
        <v>1.1</v>
      </c>
      <c r="AH151" s="168" t="n">
        <f aca="false">'VOL DWNLD'!AH151+'VOL DELTA'!AH151</f>
        <v>1.05</v>
      </c>
      <c r="AI151" s="168" t="n">
        <f aca="false">'VOL DWNLD'!AI151+'VOL DELTA'!AI151</f>
        <v>1</v>
      </c>
      <c r="AJ151" s="168" t="n">
        <f aca="false">'VOL DWNLD'!AJ151+'VOL DELTA'!AJ151</f>
        <v>1</v>
      </c>
      <c r="AK151" s="168" t="n">
        <f aca="false">'VOL DWNLD'!AK151+'VOL DELTA'!AK151</f>
        <v>1.02</v>
      </c>
      <c r="AL151" s="168" t="n">
        <f aca="false">'VOL DWNLD'!AL151+'VOL DELTA'!AL151</f>
        <v>1</v>
      </c>
      <c r="AM151" s="168" t="n">
        <f aca="false">'VOL DWNLD'!AM151+'VOL DELTA'!AM151</f>
        <v>1</v>
      </c>
      <c r="AN151" s="168" t="n">
        <f aca="false">'VOL DWNLD'!AN151+'VOL DELTA'!AN151</f>
        <v>1</v>
      </c>
      <c r="AO151" s="168" t="n">
        <f aca="false">'VOL DWNLD'!AO151+'VOL DELTA'!AO151</f>
        <v>1</v>
      </c>
    </row>
    <row r="152" customFormat="false" ht="12.75" hidden="false" customHeight="false" outlineLevel="0" collapsed="false">
      <c r="A152" s="167" t="n">
        <v>41306</v>
      </c>
      <c r="B152" s="168" t="n">
        <f aca="false">'VOL DWNLD'!B152+'VOL DELTA'!B152</f>
        <v>1</v>
      </c>
      <c r="C152" s="168" t="n">
        <f aca="false">'VOL DWNLD'!C152+'VOL DELTA'!C152</f>
        <v>1</v>
      </c>
      <c r="D152" s="168" t="n">
        <f aca="false">'VOL DWNLD'!D152+'VOL DELTA'!D152</f>
        <v>1</v>
      </c>
      <c r="E152" s="168" t="n">
        <f aca="false">'VOL DWNLD'!E152+'VOL DELTA'!E152</f>
        <v>1</v>
      </c>
      <c r="F152" s="168" t="n">
        <f aca="false">'VOL DWNLD'!F152+'VOL DELTA'!F152</f>
        <v>1</v>
      </c>
      <c r="G152" s="168" t="n">
        <f aca="false">'VOL DWNLD'!G152+'VOL DELTA'!G152</f>
        <v>1</v>
      </c>
      <c r="H152" s="168" t="n">
        <f aca="false">'VOL DWNLD'!H152+'VOL DELTA'!H152</f>
        <v>1</v>
      </c>
      <c r="I152" s="168" t="n">
        <f aca="false">'VOL DWNLD'!I152+'VOL DELTA'!I152</f>
        <v>1</v>
      </c>
      <c r="J152" s="168" t="n">
        <f aca="false">'VOL DWNLD'!J152+'VOL DELTA'!J152</f>
        <v>1</v>
      </c>
      <c r="K152" s="168" t="n">
        <f aca="false">'VOL DWNLD'!K152+'VOL DELTA'!K152</f>
        <v>1</v>
      </c>
      <c r="L152" s="168" t="n">
        <f aca="false">'VOL DWNLD'!L152+'VOL DELTA'!L152</f>
        <v>1</v>
      </c>
      <c r="M152" s="168" t="n">
        <f aca="false">'VOL DWNLD'!M152+'VOL DELTA'!M152</f>
        <v>1</v>
      </c>
      <c r="N152" s="168" t="n">
        <f aca="false">'VOL DWNLD'!N152+'VOL DELTA'!N152</f>
        <v>1</v>
      </c>
      <c r="O152" s="168" t="n">
        <f aca="false">'VOL DWNLD'!O152+'VOL DELTA'!O152</f>
        <v>1</v>
      </c>
      <c r="P152" s="168" t="n">
        <f aca="false">'VOL DWNLD'!P152+'VOL DELTA'!P152</f>
        <v>1.03</v>
      </c>
      <c r="Q152" s="168" t="n">
        <f aca="false">'VOL DWNLD'!Q152+'VOL DELTA'!Q152</f>
        <v>1</v>
      </c>
      <c r="R152" s="168" t="n">
        <f aca="false">'VOL DWNLD'!R152+'VOL DELTA'!R152</f>
        <v>1</v>
      </c>
      <c r="S152" s="168" t="n">
        <f aca="false">'VOL DWNLD'!S152+'VOL DELTA'!S152</f>
        <v>1.02</v>
      </c>
      <c r="T152" s="168" t="n">
        <f aca="false">'VOL DWNLD'!T152+'VOL DELTA'!T152</f>
        <v>1</v>
      </c>
      <c r="U152" s="168" t="n">
        <f aca="false">'VOL DWNLD'!U152+'VOL DELTA'!U152</f>
        <v>1</v>
      </c>
      <c r="V152" s="168" t="n">
        <f aca="false">'VOL DWNLD'!V152+'VOL DELTA'!V152</f>
        <v>1</v>
      </c>
      <c r="W152" s="168" t="n">
        <f aca="false">'VOL DWNLD'!W152+'VOL DELTA'!W152</f>
        <v>1</v>
      </c>
      <c r="X152" s="168" t="n">
        <f aca="false">'VOL DWNLD'!X152+'VOL DELTA'!X152</f>
        <v>1</v>
      </c>
      <c r="Y152" s="168" t="n">
        <f aca="false">'VOL DWNLD'!Y152+'VOL DELTA'!Y152</f>
        <v>1</v>
      </c>
      <c r="Z152" s="168" t="n">
        <f aca="false">'VOL DWNLD'!Z152+'VOL DELTA'!Z152</f>
        <v>1</v>
      </c>
      <c r="AA152" s="168" t="n">
        <f aca="false">'VOL DWNLD'!AA152+'VOL DELTA'!AA152</f>
        <v>1</v>
      </c>
      <c r="AB152" s="168" t="n">
        <f aca="false">'VOL DWNLD'!AB152+'VOL DELTA'!AB152</f>
        <v>1</v>
      </c>
      <c r="AC152" s="168" t="n">
        <f aca="false">'VOL DWNLD'!AC152+'VOL DELTA'!AC152</f>
        <v>1</v>
      </c>
      <c r="AD152" s="168" t="n">
        <f aca="false">'VOL DWNLD'!AD152+'VOL DELTA'!AD152</f>
        <v>1</v>
      </c>
      <c r="AE152" s="168" t="n">
        <f aca="false">'VOL DWNLD'!AE152+'VOL DELTA'!AE152</f>
        <v>1</v>
      </c>
      <c r="AF152" s="168" t="n">
        <f aca="false">'VOL DWNLD'!AF152+'VOL DELTA'!AF152</f>
        <v>1.1</v>
      </c>
      <c r="AG152" s="168" t="n">
        <f aca="false">'VOL DWNLD'!AG152+'VOL DELTA'!AG152</f>
        <v>1.1</v>
      </c>
      <c r="AH152" s="168" t="n">
        <f aca="false">'VOL DWNLD'!AH152+'VOL DELTA'!AH152</f>
        <v>1.05</v>
      </c>
      <c r="AI152" s="168" t="n">
        <f aca="false">'VOL DWNLD'!AI152+'VOL DELTA'!AI152</f>
        <v>1</v>
      </c>
      <c r="AJ152" s="168" t="n">
        <f aca="false">'VOL DWNLD'!AJ152+'VOL DELTA'!AJ152</f>
        <v>1</v>
      </c>
      <c r="AK152" s="168" t="n">
        <f aca="false">'VOL DWNLD'!AK152+'VOL DELTA'!AK152</f>
        <v>1.02</v>
      </c>
      <c r="AL152" s="168" t="n">
        <f aca="false">'VOL DWNLD'!AL152+'VOL DELTA'!AL152</f>
        <v>1</v>
      </c>
      <c r="AM152" s="168" t="n">
        <f aca="false">'VOL DWNLD'!AM152+'VOL DELTA'!AM152</f>
        <v>1</v>
      </c>
      <c r="AN152" s="168" t="n">
        <f aca="false">'VOL DWNLD'!AN152+'VOL DELTA'!AN152</f>
        <v>1</v>
      </c>
      <c r="AO152" s="168" t="n">
        <f aca="false">'VOL DWNLD'!AO152+'VOL DELTA'!AO152</f>
        <v>1</v>
      </c>
    </row>
    <row r="153" customFormat="false" ht="12.75" hidden="false" customHeight="false" outlineLevel="0" collapsed="false">
      <c r="A153" s="167" t="n">
        <v>41334</v>
      </c>
      <c r="B153" s="168" t="n">
        <f aca="false">'VOL DWNLD'!B153+'VOL DELTA'!B153</f>
        <v>1</v>
      </c>
      <c r="C153" s="168" t="n">
        <f aca="false">'VOL DWNLD'!C153+'VOL DELTA'!C153</f>
        <v>1</v>
      </c>
      <c r="D153" s="168" t="n">
        <f aca="false">'VOL DWNLD'!D153+'VOL DELTA'!D153</f>
        <v>1</v>
      </c>
      <c r="E153" s="168" t="n">
        <f aca="false">'VOL DWNLD'!E153+'VOL DELTA'!E153</f>
        <v>1</v>
      </c>
      <c r="F153" s="168" t="n">
        <f aca="false">'VOL DWNLD'!F153+'VOL DELTA'!F153</f>
        <v>1</v>
      </c>
      <c r="G153" s="168" t="n">
        <f aca="false">'VOL DWNLD'!G153+'VOL DELTA'!G153</f>
        <v>1</v>
      </c>
      <c r="H153" s="168" t="n">
        <f aca="false">'VOL DWNLD'!H153+'VOL DELTA'!H153</f>
        <v>1</v>
      </c>
      <c r="I153" s="168" t="n">
        <f aca="false">'VOL DWNLD'!I153+'VOL DELTA'!I153</f>
        <v>1</v>
      </c>
      <c r="J153" s="168" t="n">
        <f aca="false">'VOL DWNLD'!J153+'VOL DELTA'!J153</f>
        <v>1</v>
      </c>
      <c r="K153" s="168" t="n">
        <f aca="false">'VOL DWNLD'!K153+'VOL DELTA'!K153</f>
        <v>1</v>
      </c>
      <c r="L153" s="168" t="n">
        <f aca="false">'VOL DWNLD'!L153+'VOL DELTA'!L153</f>
        <v>1</v>
      </c>
      <c r="M153" s="168" t="n">
        <f aca="false">'VOL DWNLD'!M153+'VOL DELTA'!M153</f>
        <v>1</v>
      </c>
      <c r="N153" s="168" t="n">
        <f aca="false">'VOL DWNLD'!N153+'VOL DELTA'!N153</f>
        <v>1</v>
      </c>
      <c r="O153" s="168" t="n">
        <f aca="false">'VOL DWNLD'!O153+'VOL DELTA'!O153</f>
        <v>1</v>
      </c>
      <c r="P153" s="168" t="n">
        <f aca="false">'VOL DWNLD'!P153+'VOL DELTA'!P153</f>
        <v>1.03</v>
      </c>
      <c r="Q153" s="168" t="n">
        <f aca="false">'VOL DWNLD'!Q153+'VOL DELTA'!Q153</f>
        <v>1</v>
      </c>
      <c r="R153" s="168" t="n">
        <f aca="false">'VOL DWNLD'!R153+'VOL DELTA'!R153</f>
        <v>1</v>
      </c>
      <c r="S153" s="168" t="n">
        <f aca="false">'VOL DWNLD'!S153+'VOL DELTA'!S153</f>
        <v>1.02</v>
      </c>
      <c r="T153" s="168" t="n">
        <f aca="false">'VOL DWNLD'!T153+'VOL DELTA'!T153</f>
        <v>1</v>
      </c>
      <c r="U153" s="168" t="n">
        <f aca="false">'VOL DWNLD'!U153+'VOL DELTA'!U153</f>
        <v>1</v>
      </c>
      <c r="V153" s="168" t="n">
        <f aca="false">'VOL DWNLD'!V153+'VOL DELTA'!V153</f>
        <v>1</v>
      </c>
      <c r="W153" s="168" t="n">
        <f aca="false">'VOL DWNLD'!W153+'VOL DELTA'!W153</f>
        <v>1</v>
      </c>
      <c r="X153" s="168" t="n">
        <f aca="false">'VOL DWNLD'!X153+'VOL DELTA'!X153</f>
        <v>1</v>
      </c>
      <c r="Y153" s="168" t="n">
        <f aca="false">'VOL DWNLD'!Y153+'VOL DELTA'!Y153</f>
        <v>1</v>
      </c>
      <c r="Z153" s="168" t="n">
        <f aca="false">'VOL DWNLD'!Z153+'VOL DELTA'!Z153</f>
        <v>1</v>
      </c>
      <c r="AA153" s="168" t="n">
        <f aca="false">'VOL DWNLD'!AA153+'VOL DELTA'!AA153</f>
        <v>1</v>
      </c>
      <c r="AB153" s="168" t="n">
        <f aca="false">'VOL DWNLD'!AB153+'VOL DELTA'!AB153</f>
        <v>1</v>
      </c>
      <c r="AC153" s="168" t="n">
        <f aca="false">'VOL DWNLD'!AC153+'VOL DELTA'!AC153</f>
        <v>1</v>
      </c>
      <c r="AD153" s="168" t="n">
        <f aca="false">'VOL DWNLD'!AD153+'VOL DELTA'!AD153</f>
        <v>1</v>
      </c>
      <c r="AE153" s="168" t="n">
        <f aca="false">'VOL DWNLD'!AE153+'VOL DELTA'!AE153</f>
        <v>1</v>
      </c>
      <c r="AF153" s="168" t="n">
        <f aca="false">'VOL DWNLD'!AF153+'VOL DELTA'!AF153</f>
        <v>1.1</v>
      </c>
      <c r="AG153" s="168" t="n">
        <f aca="false">'VOL DWNLD'!AG153+'VOL DELTA'!AG153</f>
        <v>1.1</v>
      </c>
      <c r="AH153" s="168" t="n">
        <f aca="false">'VOL DWNLD'!AH153+'VOL DELTA'!AH153</f>
        <v>1.05</v>
      </c>
      <c r="AI153" s="168" t="n">
        <f aca="false">'VOL DWNLD'!AI153+'VOL DELTA'!AI153</f>
        <v>1</v>
      </c>
      <c r="AJ153" s="168" t="n">
        <f aca="false">'VOL DWNLD'!AJ153+'VOL DELTA'!AJ153</f>
        <v>1</v>
      </c>
      <c r="AK153" s="168" t="n">
        <f aca="false">'VOL DWNLD'!AK153+'VOL DELTA'!AK153</f>
        <v>1.02</v>
      </c>
      <c r="AL153" s="168" t="n">
        <f aca="false">'VOL DWNLD'!AL153+'VOL DELTA'!AL153</f>
        <v>1</v>
      </c>
      <c r="AM153" s="168" t="n">
        <f aca="false">'VOL DWNLD'!AM153+'VOL DELTA'!AM153</f>
        <v>1</v>
      </c>
      <c r="AN153" s="168" t="n">
        <f aca="false">'VOL DWNLD'!AN153+'VOL DELTA'!AN153</f>
        <v>1</v>
      </c>
      <c r="AO153" s="168" t="n">
        <f aca="false">'VOL DWNLD'!AO153+'VOL DELTA'!AO153</f>
        <v>1</v>
      </c>
    </row>
    <row r="154" customFormat="false" ht="12.75" hidden="false" customHeight="false" outlineLevel="0" collapsed="false">
      <c r="A154" s="167" t="n">
        <v>41365</v>
      </c>
      <c r="B154" s="168" t="n">
        <f aca="false">'VOL DWNLD'!B154+'VOL DELTA'!B154</f>
        <v>1</v>
      </c>
      <c r="C154" s="168" t="n">
        <f aca="false">'VOL DWNLD'!C154+'VOL DELTA'!C154</f>
        <v>1</v>
      </c>
      <c r="D154" s="168" t="n">
        <f aca="false">'VOL DWNLD'!D154+'VOL DELTA'!D154</f>
        <v>1</v>
      </c>
      <c r="E154" s="168" t="n">
        <f aca="false">'VOL DWNLD'!E154+'VOL DELTA'!E154</f>
        <v>1</v>
      </c>
      <c r="F154" s="168" t="n">
        <f aca="false">'VOL DWNLD'!F154+'VOL DELTA'!F154</f>
        <v>1</v>
      </c>
      <c r="G154" s="168" t="n">
        <f aca="false">'VOL DWNLD'!G154+'VOL DELTA'!G154</f>
        <v>1</v>
      </c>
      <c r="H154" s="168" t="n">
        <f aca="false">'VOL DWNLD'!H154+'VOL DELTA'!H154</f>
        <v>1</v>
      </c>
      <c r="I154" s="168" t="n">
        <f aca="false">'VOL DWNLD'!I154+'VOL DELTA'!I154</f>
        <v>1</v>
      </c>
      <c r="J154" s="168" t="n">
        <f aca="false">'VOL DWNLD'!J154+'VOL DELTA'!J154</f>
        <v>1</v>
      </c>
      <c r="K154" s="168" t="n">
        <f aca="false">'VOL DWNLD'!K154+'VOL DELTA'!K154</f>
        <v>1</v>
      </c>
      <c r="L154" s="168" t="n">
        <f aca="false">'VOL DWNLD'!L154+'VOL DELTA'!L154</f>
        <v>1</v>
      </c>
      <c r="M154" s="168" t="n">
        <f aca="false">'VOL DWNLD'!M154+'VOL DELTA'!M154</f>
        <v>1</v>
      </c>
      <c r="N154" s="168" t="n">
        <f aca="false">'VOL DWNLD'!N154+'VOL DELTA'!N154</f>
        <v>1</v>
      </c>
      <c r="O154" s="168" t="n">
        <f aca="false">'VOL DWNLD'!O154+'VOL DELTA'!O154</f>
        <v>1</v>
      </c>
      <c r="P154" s="168" t="n">
        <f aca="false">'VOL DWNLD'!P154+'VOL DELTA'!P154</f>
        <v>1.03</v>
      </c>
      <c r="Q154" s="168" t="n">
        <f aca="false">'VOL DWNLD'!Q154+'VOL DELTA'!Q154</f>
        <v>1</v>
      </c>
      <c r="R154" s="168" t="n">
        <f aca="false">'VOL DWNLD'!R154+'VOL DELTA'!R154</f>
        <v>1</v>
      </c>
      <c r="S154" s="168" t="n">
        <f aca="false">'VOL DWNLD'!S154+'VOL DELTA'!S154</f>
        <v>1.02</v>
      </c>
      <c r="T154" s="168" t="n">
        <f aca="false">'VOL DWNLD'!T154+'VOL DELTA'!T154</f>
        <v>1</v>
      </c>
      <c r="U154" s="168" t="n">
        <f aca="false">'VOL DWNLD'!U154+'VOL DELTA'!U154</f>
        <v>1</v>
      </c>
      <c r="V154" s="168" t="n">
        <f aca="false">'VOL DWNLD'!V154+'VOL DELTA'!V154</f>
        <v>1</v>
      </c>
      <c r="W154" s="168" t="n">
        <f aca="false">'VOL DWNLD'!W154+'VOL DELTA'!W154</f>
        <v>1</v>
      </c>
      <c r="X154" s="168" t="n">
        <f aca="false">'VOL DWNLD'!X154+'VOL DELTA'!X154</f>
        <v>1</v>
      </c>
      <c r="Y154" s="168" t="n">
        <f aca="false">'VOL DWNLD'!Y154+'VOL DELTA'!Y154</f>
        <v>1.02</v>
      </c>
      <c r="Z154" s="168" t="n">
        <f aca="false">'VOL DWNLD'!Z154+'VOL DELTA'!Z154</f>
        <v>1</v>
      </c>
      <c r="AA154" s="168" t="n">
        <f aca="false">'VOL DWNLD'!AA154+'VOL DELTA'!AA154</f>
        <v>1</v>
      </c>
      <c r="AB154" s="168" t="n">
        <f aca="false">'VOL DWNLD'!AB154+'VOL DELTA'!AB154</f>
        <v>1</v>
      </c>
      <c r="AC154" s="168" t="n">
        <f aca="false">'VOL DWNLD'!AC154+'VOL DELTA'!AC154</f>
        <v>1</v>
      </c>
      <c r="AD154" s="168" t="n">
        <f aca="false">'VOL DWNLD'!AD154+'VOL DELTA'!AD154</f>
        <v>0.98</v>
      </c>
      <c r="AE154" s="168" t="n">
        <f aca="false">'VOL DWNLD'!AE154+'VOL DELTA'!AE154</f>
        <v>0.98</v>
      </c>
      <c r="AF154" s="168" t="n">
        <f aca="false">'VOL DWNLD'!AF154+'VOL DELTA'!AF154</f>
        <v>0.98</v>
      </c>
      <c r="AG154" s="168" t="n">
        <f aca="false">'VOL DWNLD'!AG154+'VOL DELTA'!AG154</f>
        <v>0.98</v>
      </c>
      <c r="AH154" s="168" t="n">
        <f aca="false">'VOL DWNLD'!AH154+'VOL DELTA'!AH154</f>
        <v>1.05</v>
      </c>
      <c r="AI154" s="168" t="n">
        <f aca="false">'VOL DWNLD'!AI154+'VOL DELTA'!AI154</f>
        <v>1</v>
      </c>
      <c r="AJ154" s="168" t="n">
        <f aca="false">'VOL DWNLD'!AJ154+'VOL DELTA'!AJ154</f>
        <v>1</v>
      </c>
      <c r="AK154" s="168" t="n">
        <f aca="false">'VOL DWNLD'!AK154+'VOL DELTA'!AK154</f>
        <v>1.02</v>
      </c>
      <c r="AL154" s="168" t="n">
        <f aca="false">'VOL DWNLD'!AL154+'VOL DELTA'!AL154</f>
        <v>1</v>
      </c>
      <c r="AM154" s="168" t="n">
        <f aca="false">'VOL DWNLD'!AM154+'VOL DELTA'!AM154</f>
        <v>1</v>
      </c>
      <c r="AN154" s="168" t="n">
        <f aca="false">'VOL DWNLD'!AN154+'VOL DELTA'!AN154</f>
        <v>1</v>
      </c>
      <c r="AO154" s="168" t="n">
        <f aca="false">'VOL DWNLD'!AO154+'VOL DELTA'!AO154</f>
        <v>1</v>
      </c>
    </row>
    <row r="155" customFormat="false" ht="12.75" hidden="false" customHeight="false" outlineLevel="0" collapsed="false">
      <c r="A155" s="167" t="n">
        <v>41395</v>
      </c>
      <c r="B155" s="168" t="n">
        <f aca="false">'VOL DWNLD'!B155+'VOL DELTA'!B155</f>
        <v>1</v>
      </c>
      <c r="C155" s="168" t="n">
        <f aca="false">'VOL DWNLD'!C155+'VOL DELTA'!C155</f>
        <v>1</v>
      </c>
      <c r="D155" s="168" t="n">
        <f aca="false">'VOL DWNLD'!D155+'VOL DELTA'!D155</f>
        <v>1</v>
      </c>
      <c r="E155" s="168" t="n">
        <f aca="false">'VOL DWNLD'!E155+'VOL DELTA'!E155</f>
        <v>1</v>
      </c>
      <c r="F155" s="168" t="n">
        <f aca="false">'VOL DWNLD'!F155+'VOL DELTA'!F155</f>
        <v>1</v>
      </c>
      <c r="G155" s="168" t="n">
        <f aca="false">'VOL DWNLD'!G155+'VOL DELTA'!G155</f>
        <v>1</v>
      </c>
      <c r="H155" s="168" t="n">
        <f aca="false">'VOL DWNLD'!H155+'VOL DELTA'!H155</f>
        <v>1</v>
      </c>
      <c r="I155" s="168" t="n">
        <f aca="false">'VOL DWNLD'!I155+'VOL DELTA'!I155</f>
        <v>1</v>
      </c>
      <c r="J155" s="168" t="n">
        <f aca="false">'VOL DWNLD'!J155+'VOL DELTA'!J155</f>
        <v>1</v>
      </c>
      <c r="K155" s="168" t="n">
        <f aca="false">'VOL DWNLD'!K155+'VOL DELTA'!K155</f>
        <v>1</v>
      </c>
      <c r="L155" s="168" t="n">
        <f aca="false">'VOL DWNLD'!L155+'VOL DELTA'!L155</f>
        <v>1</v>
      </c>
      <c r="M155" s="168" t="n">
        <f aca="false">'VOL DWNLD'!M155+'VOL DELTA'!M155</f>
        <v>1</v>
      </c>
      <c r="N155" s="168" t="n">
        <f aca="false">'VOL DWNLD'!N155+'VOL DELTA'!N155</f>
        <v>1</v>
      </c>
      <c r="O155" s="168" t="n">
        <f aca="false">'VOL DWNLD'!O155+'VOL DELTA'!O155</f>
        <v>1</v>
      </c>
      <c r="P155" s="168" t="n">
        <f aca="false">'VOL DWNLD'!P155+'VOL DELTA'!P155</f>
        <v>1.03</v>
      </c>
      <c r="Q155" s="168" t="n">
        <f aca="false">'VOL DWNLD'!Q155+'VOL DELTA'!Q155</f>
        <v>1</v>
      </c>
      <c r="R155" s="168" t="n">
        <f aca="false">'VOL DWNLD'!R155+'VOL DELTA'!R155</f>
        <v>1</v>
      </c>
      <c r="S155" s="168" t="n">
        <f aca="false">'VOL DWNLD'!S155+'VOL DELTA'!S155</f>
        <v>1.02</v>
      </c>
      <c r="T155" s="168" t="n">
        <f aca="false">'VOL DWNLD'!T155+'VOL DELTA'!T155</f>
        <v>1</v>
      </c>
      <c r="U155" s="168" t="n">
        <f aca="false">'VOL DWNLD'!U155+'VOL DELTA'!U155</f>
        <v>1</v>
      </c>
      <c r="V155" s="168" t="n">
        <f aca="false">'VOL DWNLD'!V155+'VOL DELTA'!V155</f>
        <v>1</v>
      </c>
      <c r="W155" s="168" t="n">
        <f aca="false">'VOL DWNLD'!W155+'VOL DELTA'!W155</f>
        <v>1</v>
      </c>
      <c r="X155" s="168" t="n">
        <f aca="false">'VOL DWNLD'!X155+'VOL DELTA'!X155</f>
        <v>1</v>
      </c>
      <c r="Y155" s="168" t="n">
        <f aca="false">'VOL DWNLD'!Y155+'VOL DELTA'!Y155</f>
        <v>1.02</v>
      </c>
      <c r="Z155" s="168" t="n">
        <f aca="false">'VOL DWNLD'!Z155+'VOL DELTA'!Z155</f>
        <v>1</v>
      </c>
      <c r="AA155" s="168" t="n">
        <f aca="false">'VOL DWNLD'!AA155+'VOL DELTA'!AA155</f>
        <v>1</v>
      </c>
      <c r="AB155" s="168" t="n">
        <f aca="false">'VOL DWNLD'!AB155+'VOL DELTA'!AB155</f>
        <v>1</v>
      </c>
      <c r="AC155" s="168" t="n">
        <f aca="false">'VOL DWNLD'!AC155+'VOL DELTA'!AC155</f>
        <v>1</v>
      </c>
      <c r="AD155" s="168" t="n">
        <f aca="false">'VOL DWNLD'!AD155+'VOL DELTA'!AD155</f>
        <v>0.98</v>
      </c>
      <c r="AE155" s="168" t="n">
        <f aca="false">'VOL DWNLD'!AE155+'VOL DELTA'!AE155</f>
        <v>0.98</v>
      </c>
      <c r="AF155" s="168" t="n">
        <f aca="false">'VOL DWNLD'!AF155+'VOL DELTA'!AF155</f>
        <v>0.98</v>
      </c>
      <c r="AG155" s="168" t="n">
        <f aca="false">'VOL DWNLD'!AG155+'VOL DELTA'!AG155</f>
        <v>0.98</v>
      </c>
      <c r="AH155" s="168" t="n">
        <f aca="false">'VOL DWNLD'!AH155+'VOL DELTA'!AH155</f>
        <v>1.05</v>
      </c>
      <c r="AI155" s="168" t="n">
        <f aca="false">'VOL DWNLD'!AI155+'VOL DELTA'!AI155</f>
        <v>1</v>
      </c>
      <c r="AJ155" s="168" t="n">
        <f aca="false">'VOL DWNLD'!AJ155+'VOL DELTA'!AJ155</f>
        <v>1</v>
      </c>
      <c r="AK155" s="168" t="n">
        <f aca="false">'VOL DWNLD'!AK155+'VOL DELTA'!AK155</f>
        <v>1.02</v>
      </c>
      <c r="AL155" s="168" t="n">
        <f aca="false">'VOL DWNLD'!AL155+'VOL DELTA'!AL155</f>
        <v>1</v>
      </c>
      <c r="AM155" s="168" t="n">
        <f aca="false">'VOL DWNLD'!AM155+'VOL DELTA'!AM155</f>
        <v>1</v>
      </c>
      <c r="AN155" s="168" t="n">
        <f aca="false">'VOL DWNLD'!AN155+'VOL DELTA'!AN155</f>
        <v>1</v>
      </c>
      <c r="AO155" s="168" t="n">
        <f aca="false">'VOL DWNLD'!AO155+'VOL DELTA'!AO155</f>
        <v>1</v>
      </c>
    </row>
    <row r="156" customFormat="false" ht="12.75" hidden="false" customHeight="false" outlineLevel="0" collapsed="false">
      <c r="A156" s="167" t="n">
        <v>41426</v>
      </c>
      <c r="B156" s="168" t="n">
        <f aca="false">'VOL DWNLD'!B156+'VOL DELTA'!B156</f>
        <v>1</v>
      </c>
      <c r="C156" s="168" t="n">
        <f aca="false">'VOL DWNLD'!C156+'VOL DELTA'!C156</f>
        <v>1</v>
      </c>
      <c r="D156" s="168" t="n">
        <f aca="false">'VOL DWNLD'!D156+'VOL DELTA'!D156</f>
        <v>1</v>
      </c>
      <c r="E156" s="168" t="n">
        <f aca="false">'VOL DWNLD'!E156+'VOL DELTA'!E156</f>
        <v>1</v>
      </c>
      <c r="F156" s="168" t="n">
        <f aca="false">'VOL DWNLD'!F156+'VOL DELTA'!F156</f>
        <v>1</v>
      </c>
      <c r="G156" s="168" t="n">
        <f aca="false">'VOL DWNLD'!G156+'VOL DELTA'!G156</f>
        <v>1</v>
      </c>
      <c r="H156" s="168" t="n">
        <f aca="false">'VOL DWNLD'!H156+'VOL DELTA'!H156</f>
        <v>1</v>
      </c>
      <c r="I156" s="168" t="n">
        <f aca="false">'VOL DWNLD'!I156+'VOL DELTA'!I156</f>
        <v>1</v>
      </c>
      <c r="J156" s="168" t="n">
        <f aca="false">'VOL DWNLD'!J156+'VOL DELTA'!J156</f>
        <v>1</v>
      </c>
      <c r="K156" s="168" t="n">
        <f aca="false">'VOL DWNLD'!K156+'VOL DELTA'!K156</f>
        <v>1</v>
      </c>
      <c r="L156" s="168" t="n">
        <f aca="false">'VOL DWNLD'!L156+'VOL DELTA'!L156</f>
        <v>1</v>
      </c>
      <c r="M156" s="168" t="n">
        <f aca="false">'VOL DWNLD'!M156+'VOL DELTA'!M156</f>
        <v>1</v>
      </c>
      <c r="N156" s="168" t="n">
        <f aca="false">'VOL DWNLD'!N156+'VOL DELTA'!N156</f>
        <v>1</v>
      </c>
      <c r="O156" s="168" t="n">
        <f aca="false">'VOL DWNLD'!O156+'VOL DELTA'!O156</f>
        <v>1</v>
      </c>
      <c r="P156" s="168" t="n">
        <f aca="false">'VOL DWNLD'!P156+'VOL DELTA'!P156</f>
        <v>1.03</v>
      </c>
      <c r="Q156" s="168" t="n">
        <f aca="false">'VOL DWNLD'!Q156+'VOL DELTA'!Q156</f>
        <v>1</v>
      </c>
      <c r="R156" s="168" t="n">
        <f aca="false">'VOL DWNLD'!R156+'VOL DELTA'!R156</f>
        <v>1</v>
      </c>
      <c r="S156" s="168" t="n">
        <f aca="false">'VOL DWNLD'!S156+'VOL DELTA'!S156</f>
        <v>1.02</v>
      </c>
      <c r="T156" s="168" t="n">
        <f aca="false">'VOL DWNLD'!T156+'VOL DELTA'!T156</f>
        <v>1</v>
      </c>
      <c r="U156" s="168" t="n">
        <f aca="false">'VOL DWNLD'!U156+'VOL DELTA'!U156</f>
        <v>1</v>
      </c>
      <c r="V156" s="168" t="n">
        <f aca="false">'VOL DWNLD'!V156+'VOL DELTA'!V156</f>
        <v>1</v>
      </c>
      <c r="W156" s="168" t="n">
        <f aca="false">'VOL DWNLD'!W156+'VOL DELTA'!W156</f>
        <v>1</v>
      </c>
      <c r="X156" s="168" t="n">
        <f aca="false">'VOL DWNLD'!X156+'VOL DELTA'!X156</f>
        <v>1</v>
      </c>
      <c r="Y156" s="168" t="n">
        <f aca="false">'VOL DWNLD'!Y156+'VOL DELTA'!Y156</f>
        <v>1.02</v>
      </c>
      <c r="Z156" s="168" t="n">
        <f aca="false">'VOL DWNLD'!Z156+'VOL DELTA'!Z156</f>
        <v>1</v>
      </c>
      <c r="AA156" s="168" t="n">
        <f aca="false">'VOL DWNLD'!AA156+'VOL DELTA'!AA156</f>
        <v>1</v>
      </c>
      <c r="AB156" s="168" t="n">
        <f aca="false">'VOL DWNLD'!AB156+'VOL DELTA'!AB156</f>
        <v>1</v>
      </c>
      <c r="AC156" s="168" t="n">
        <f aca="false">'VOL DWNLD'!AC156+'VOL DELTA'!AC156</f>
        <v>1</v>
      </c>
      <c r="AD156" s="168" t="n">
        <f aca="false">'VOL DWNLD'!AD156+'VOL DELTA'!AD156</f>
        <v>0.98</v>
      </c>
      <c r="AE156" s="168" t="n">
        <f aca="false">'VOL DWNLD'!AE156+'VOL DELTA'!AE156</f>
        <v>0.98</v>
      </c>
      <c r="AF156" s="168" t="n">
        <f aca="false">'VOL DWNLD'!AF156+'VOL DELTA'!AF156</f>
        <v>0.98</v>
      </c>
      <c r="AG156" s="168" t="n">
        <f aca="false">'VOL DWNLD'!AG156+'VOL DELTA'!AG156</f>
        <v>0.98</v>
      </c>
      <c r="AH156" s="168" t="n">
        <f aca="false">'VOL DWNLD'!AH156+'VOL DELTA'!AH156</f>
        <v>1.05</v>
      </c>
      <c r="AI156" s="168" t="n">
        <f aca="false">'VOL DWNLD'!AI156+'VOL DELTA'!AI156</f>
        <v>1</v>
      </c>
      <c r="AJ156" s="168" t="n">
        <f aca="false">'VOL DWNLD'!AJ156+'VOL DELTA'!AJ156</f>
        <v>1</v>
      </c>
      <c r="AK156" s="168" t="n">
        <f aca="false">'VOL DWNLD'!AK156+'VOL DELTA'!AK156</f>
        <v>1.02</v>
      </c>
      <c r="AL156" s="168" t="n">
        <f aca="false">'VOL DWNLD'!AL156+'VOL DELTA'!AL156</f>
        <v>1</v>
      </c>
      <c r="AM156" s="168" t="n">
        <f aca="false">'VOL DWNLD'!AM156+'VOL DELTA'!AM156</f>
        <v>1</v>
      </c>
      <c r="AN156" s="168" t="n">
        <f aca="false">'VOL DWNLD'!AN156+'VOL DELTA'!AN156</f>
        <v>1</v>
      </c>
      <c r="AO156" s="168" t="n">
        <f aca="false">'VOL DWNLD'!AO156+'VOL DELTA'!AO156</f>
        <v>1</v>
      </c>
    </row>
    <row r="157" customFormat="false" ht="12.75" hidden="false" customHeight="false" outlineLevel="0" collapsed="false">
      <c r="A157" s="167" t="n">
        <v>41456</v>
      </c>
      <c r="B157" s="168" t="n">
        <f aca="false">'VOL DWNLD'!B157+'VOL DELTA'!B157</f>
        <v>1</v>
      </c>
      <c r="C157" s="168" t="n">
        <f aca="false">'VOL DWNLD'!C157+'VOL DELTA'!C157</f>
        <v>1</v>
      </c>
      <c r="D157" s="168" t="n">
        <f aca="false">'VOL DWNLD'!D157+'VOL DELTA'!D157</f>
        <v>1</v>
      </c>
      <c r="E157" s="168" t="n">
        <f aca="false">'VOL DWNLD'!E157+'VOL DELTA'!E157</f>
        <v>1</v>
      </c>
      <c r="F157" s="168" t="n">
        <f aca="false">'VOL DWNLD'!F157+'VOL DELTA'!F157</f>
        <v>1</v>
      </c>
      <c r="G157" s="168" t="n">
        <f aca="false">'VOL DWNLD'!G157+'VOL DELTA'!G157</f>
        <v>1</v>
      </c>
      <c r="H157" s="168" t="n">
        <f aca="false">'VOL DWNLD'!H157+'VOL DELTA'!H157</f>
        <v>1</v>
      </c>
      <c r="I157" s="168" t="n">
        <f aca="false">'VOL DWNLD'!I157+'VOL DELTA'!I157</f>
        <v>1</v>
      </c>
      <c r="J157" s="168" t="n">
        <f aca="false">'VOL DWNLD'!J157+'VOL DELTA'!J157</f>
        <v>1</v>
      </c>
      <c r="K157" s="168" t="n">
        <f aca="false">'VOL DWNLD'!K157+'VOL DELTA'!K157</f>
        <v>1</v>
      </c>
      <c r="L157" s="168" t="n">
        <f aca="false">'VOL DWNLD'!L157+'VOL DELTA'!L157</f>
        <v>1</v>
      </c>
      <c r="M157" s="168" t="n">
        <f aca="false">'VOL DWNLD'!M157+'VOL DELTA'!M157</f>
        <v>1</v>
      </c>
      <c r="N157" s="168" t="n">
        <f aca="false">'VOL DWNLD'!N157+'VOL DELTA'!N157</f>
        <v>1</v>
      </c>
      <c r="O157" s="168" t="n">
        <f aca="false">'VOL DWNLD'!O157+'VOL DELTA'!O157</f>
        <v>1</v>
      </c>
      <c r="P157" s="168" t="n">
        <f aca="false">'VOL DWNLD'!P157+'VOL DELTA'!P157</f>
        <v>1.03</v>
      </c>
      <c r="Q157" s="168" t="n">
        <f aca="false">'VOL DWNLD'!Q157+'VOL DELTA'!Q157</f>
        <v>1</v>
      </c>
      <c r="R157" s="168" t="n">
        <f aca="false">'VOL DWNLD'!R157+'VOL DELTA'!R157</f>
        <v>1</v>
      </c>
      <c r="S157" s="168" t="n">
        <f aca="false">'VOL DWNLD'!S157+'VOL DELTA'!S157</f>
        <v>1.02</v>
      </c>
      <c r="T157" s="168" t="n">
        <f aca="false">'VOL DWNLD'!T157+'VOL DELTA'!T157</f>
        <v>1</v>
      </c>
      <c r="U157" s="168" t="n">
        <f aca="false">'VOL DWNLD'!U157+'VOL DELTA'!U157</f>
        <v>1</v>
      </c>
      <c r="V157" s="168" t="n">
        <f aca="false">'VOL DWNLD'!V157+'VOL DELTA'!V157</f>
        <v>1</v>
      </c>
      <c r="W157" s="168" t="n">
        <f aca="false">'VOL DWNLD'!W157+'VOL DELTA'!W157</f>
        <v>1</v>
      </c>
      <c r="X157" s="168" t="n">
        <f aca="false">'VOL DWNLD'!X157+'VOL DELTA'!X157</f>
        <v>1</v>
      </c>
      <c r="Y157" s="168" t="n">
        <f aca="false">'VOL DWNLD'!Y157+'VOL DELTA'!Y157</f>
        <v>1.02</v>
      </c>
      <c r="Z157" s="168" t="n">
        <f aca="false">'VOL DWNLD'!Z157+'VOL DELTA'!Z157</f>
        <v>1</v>
      </c>
      <c r="AA157" s="168" t="n">
        <f aca="false">'VOL DWNLD'!AA157+'VOL DELTA'!AA157</f>
        <v>1</v>
      </c>
      <c r="AB157" s="168" t="n">
        <f aca="false">'VOL DWNLD'!AB157+'VOL DELTA'!AB157</f>
        <v>1</v>
      </c>
      <c r="AC157" s="168" t="n">
        <f aca="false">'VOL DWNLD'!AC157+'VOL DELTA'!AC157</f>
        <v>1</v>
      </c>
      <c r="AD157" s="168" t="n">
        <f aca="false">'VOL DWNLD'!AD157+'VOL DELTA'!AD157</f>
        <v>0.98</v>
      </c>
      <c r="AE157" s="168" t="n">
        <f aca="false">'VOL DWNLD'!AE157+'VOL DELTA'!AE157</f>
        <v>0.98</v>
      </c>
      <c r="AF157" s="168" t="n">
        <f aca="false">'VOL DWNLD'!AF157+'VOL DELTA'!AF157</f>
        <v>0.98</v>
      </c>
      <c r="AG157" s="168" t="n">
        <f aca="false">'VOL DWNLD'!AG157+'VOL DELTA'!AG157</f>
        <v>0.98</v>
      </c>
      <c r="AH157" s="168" t="n">
        <f aca="false">'VOL DWNLD'!AH157+'VOL DELTA'!AH157</f>
        <v>1.05</v>
      </c>
      <c r="AI157" s="168" t="n">
        <f aca="false">'VOL DWNLD'!AI157+'VOL DELTA'!AI157</f>
        <v>1</v>
      </c>
      <c r="AJ157" s="168" t="n">
        <f aca="false">'VOL DWNLD'!AJ157+'VOL DELTA'!AJ157</f>
        <v>1</v>
      </c>
      <c r="AK157" s="168" t="n">
        <f aca="false">'VOL DWNLD'!AK157+'VOL DELTA'!AK157</f>
        <v>1.02</v>
      </c>
      <c r="AL157" s="168" t="n">
        <f aca="false">'VOL DWNLD'!AL157+'VOL DELTA'!AL157</f>
        <v>1</v>
      </c>
      <c r="AM157" s="168" t="n">
        <f aca="false">'VOL DWNLD'!AM157+'VOL DELTA'!AM157</f>
        <v>1</v>
      </c>
      <c r="AN157" s="168" t="n">
        <f aca="false">'VOL DWNLD'!AN157+'VOL DELTA'!AN157</f>
        <v>1</v>
      </c>
      <c r="AO157" s="168" t="n">
        <f aca="false">'VOL DWNLD'!AO157+'VOL DELTA'!AO157</f>
        <v>1</v>
      </c>
    </row>
    <row r="158" customFormat="false" ht="12.75" hidden="false" customHeight="false" outlineLevel="0" collapsed="false">
      <c r="A158" s="167" t="n">
        <v>41487</v>
      </c>
      <c r="B158" s="168" t="n">
        <f aca="false">'VOL DWNLD'!B158+'VOL DELTA'!B158</f>
        <v>1</v>
      </c>
      <c r="C158" s="168" t="n">
        <f aca="false">'VOL DWNLD'!C158+'VOL DELTA'!C158</f>
        <v>1</v>
      </c>
      <c r="D158" s="168" t="n">
        <f aca="false">'VOL DWNLD'!D158+'VOL DELTA'!D158</f>
        <v>1</v>
      </c>
      <c r="E158" s="168" t="n">
        <f aca="false">'VOL DWNLD'!E158+'VOL DELTA'!E158</f>
        <v>1</v>
      </c>
      <c r="F158" s="168" t="n">
        <f aca="false">'VOL DWNLD'!F158+'VOL DELTA'!F158</f>
        <v>1</v>
      </c>
      <c r="G158" s="168" t="n">
        <f aca="false">'VOL DWNLD'!G158+'VOL DELTA'!G158</f>
        <v>1</v>
      </c>
      <c r="H158" s="168" t="n">
        <f aca="false">'VOL DWNLD'!H158+'VOL DELTA'!H158</f>
        <v>1</v>
      </c>
      <c r="I158" s="168" t="n">
        <f aca="false">'VOL DWNLD'!I158+'VOL DELTA'!I158</f>
        <v>1</v>
      </c>
      <c r="J158" s="168" t="n">
        <f aca="false">'VOL DWNLD'!J158+'VOL DELTA'!J158</f>
        <v>1</v>
      </c>
      <c r="K158" s="168" t="n">
        <f aca="false">'VOL DWNLD'!K158+'VOL DELTA'!K158</f>
        <v>1</v>
      </c>
      <c r="L158" s="168" t="n">
        <f aca="false">'VOL DWNLD'!L158+'VOL DELTA'!L158</f>
        <v>1</v>
      </c>
      <c r="M158" s="168" t="n">
        <f aca="false">'VOL DWNLD'!M158+'VOL DELTA'!M158</f>
        <v>1</v>
      </c>
      <c r="N158" s="168" t="n">
        <f aca="false">'VOL DWNLD'!N158+'VOL DELTA'!N158</f>
        <v>1</v>
      </c>
      <c r="O158" s="168" t="n">
        <f aca="false">'VOL DWNLD'!O158+'VOL DELTA'!O158</f>
        <v>1</v>
      </c>
      <c r="P158" s="168" t="n">
        <f aca="false">'VOL DWNLD'!P158+'VOL DELTA'!P158</f>
        <v>1.03</v>
      </c>
      <c r="Q158" s="168" t="n">
        <f aca="false">'VOL DWNLD'!Q158+'VOL DELTA'!Q158</f>
        <v>1</v>
      </c>
      <c r="R158" s="168" t="n">
        <f aca="false">'VOL DWNLD'!R158+'VOL DELTA'!R158</f>
        <v>1</v>
      </c>
      <c r="S158" s="168" t="n">
        <f aca="false">'VOL DWNLD'!S158+'VOL DELTA'!S158</f>
        <v>1.02</v>
      </c>
      <c r="T158" s="168" t="n">
        <f aca="false">'VOL DWNLD'!T158+'VOL DELTA'!T158</f>
        <v>1</v>
      </c>
      <c r="U158" s="168" t="n">
        <f aca="false">'VOL DWNLD'!U158+'VOL DELTA'!U158</f>
        <v>1</v>
      </c>
      <c r="V158" s="168" t="n">
        <f aca="false">'VOL DWNLD'!V158+'VOL DELTA'!V158</f>
        <v>1</v>
      </c>
      <c r="W158" s="168" t="n">
        <f aca="false">'VOL DWNLD'!W158+'VOL DELTA'!W158</f>
        <v>1</v>
      </c>
      <c r="X158" s="168" t="n">
        <f aca="false">'VOL DWNLD'!X158+'VOL DELTA'!X158</f>
        <v>1</v>
      </c>
      <c r="Y158" s="168" t="n">
        <f aca="false">'VOL DWNLD'!Y158+'VOL DELTA'!Y158</f>
        <v>1.02</v>
      </c>
      <c r="Z158" s="168" t="n">
        <f aca="false">'VOL DWNLD'!Z158+'VOL DELTA'!Z158</f>
        <v>1</v>
      </c>
      <c r="AA158" s="168" t="n">
        <f aca="false">'VOL DWNLD'!AA158+'VOL DELTA'!AA158</f>
        <v>1</v>
      </c>
      <c r="AB158" s="168" t="n">
        <f aca="false">'VOL DWNLD'!AB158+'VOL DELTA'!AB158</f>
        <v>1</v>
      </c>
      <c r="AC158" s="168" t="n">
        <f aca="false">'VOL DWNLD'!AC158+'VOL DELTA'!AC158</f>
        <v>1</v>
      </c>
      <c r="AD158" s="168" t="n">
        <f aca="false">'VOL DWNLD'!AD158+'VOL DELTA'!AD158</f>
        <v>0.98</v>
      </c>
      <c r="AE158" s="168" t="n">
        <f aca="false">'VOL DWNLD'!AE158+'VOL DELTA'!AE158</f>
        <v>0.98</v>
      </c>
      <c r="AF158" s="168" t="n">
        <f aca="false">'VOL DWNLD'!AF158+'VOL DELTA'!AF158</f>
        <v>0.98</v>
      </c>
      <c r="AG158" s="168" t="n">
        <f aca="false">'VOL DWNLD'!AG158+'VOL DELTA'!AG158</f>
        <v>0.98</v>
      </c>
      <c r="AH158" s="168" t="n">
        <f aca="false">'VOL DWNLD'!AH158+'VOL DELTA'!AH158</f>
        <v>1.05</v>
      </c>
      <c r="AI158" s="168" t="n">
        <f aca="false">'VOL DWNLD'!AI158+'VOL DELTA'!AI158</f>
        <v>1</v>
      </c>
      <c r="AJ158" s="168" t="n">
        <f aca="false">'VOL DWNLD'!AJ158+'VOL DELTA'!AJ158</f>
        <v>1</v>
      </c>
      <c r="AK158" s="168" t="n">
        <f aca="false">'VOL DWNLD'!AK158+'VOL DELTA'!AK158</f>
        <v>1.02</v>
      </c>
      <c r="AL158" s="168" t="n">
        <f aca="false">'VOL DWNLD'!AL158+'VOL DELTA'!AL158</f>
        <v>1</v>
      </c>
      <c r="AM158" s="168" t="n">
        <f aca="false">'VOL DWNLD'!AM158+'VOL DELTA'!AM158</f>
        <v>1</v>
      </c>
      <c r="AN158" s="168" t="n">
        <f aca="false">'VOL DWNLD'!AN158+'VOL DELTA'!AN158</f>
        <v>1</v>
      </c>
      <c r="AO158" s="168" t="n">
        <f aca="false">'VOL DWNLD'!AO158+'VOL DELTA'!AO158</f>
        <v>1</v>
      </c>
    </row>
    <row r="159" customFormat="false" ht="12.75" hidden="false" customHeight="false" outlineLevel="0" collapsed="false">
      <c r="A159" s="167" t="n">
        <v>41518</v>
      </c>
      <c r="B159" s="168" t="n">
        <f aca="false">'VOL DWNLD'!B159+'VOL DELTA'!B159</f>
        <v>1</v>
      </c>
      <c r="C159" s="168" t="n">
        <f aca="false">'VOL DWNLD'!C159+'VOL DELTA'!C159</f>
        <v>1</v>
      </c>
      <c r="D159" s="168" t="n">
        <f aca="false">'VOL DWNLD'!D159+'VOL DELTA'!D159</f>
        <v>1</v>
      </c>
      <c r="E159" s="168" t="n">
        <f aca="false">'VOL DWNLD'!E159+'VOL DELTA'!E159</f>
        <v>1</v>
      </c>
      <c r="F159" s="168" t="n">
        <f aca="false">'VOL DWNLD'!F159+'VOL DELTA'!F159</f>
        <v>1</v>
      </c>
      <c r="G159" s="168" t="n">
        <f aca="false">'VOL DWNLD'!G159+'VOL DELTA'!G159</f>
        <v>1</v>
      </c>
      <c r="H159" s="168" t="n">
        <f aca="false">'VOL DWNLD'!H159+'VOL DELTA'!H159</f>
        <v>1</v>
      </c>
      <c r="I159" s="168" t="n">
        <f aca="false">'VOL DWNLD'!I159+'VOL DELTA'!I159</f>
        <v>1</v>
      </c>
      <c r="J159" s="168" t="n">
        <f aca="false">'VOL DWNLD'!J159+'VOL DELTA'!J159</f>
        <v>1</v>
      </c>
      <c r="K159" s="168" t="n">
        <f aca="false">'VOL DWNLD'!K159+'VOL DELTA'!K159</f>
        <v>1</v>
      </c>
      <c r="L159" s="168" t="n">
        <f aca="false">'VOL DWNLD'!L159+'VOL DELTA'!L159</f>
        <v>1</v>
      </c>
      <c r="M159" s="168" t="n">
        <f aca="false">'VOL DWNLD'!M159+'VOL DELTA'!M159</f>
        <v>1</v>
      </c>
      <c r="N159" s="168" t="n">
        <f aca="false">'VOL DWNLD'!N159+'VOL DELTA'!N159</f>
        <v>1</v>
      </c>
      <c r="O159" s="168" t="n">
        <f aca="false">'VOL DWNLD'!O159+'VOL DELTA'!O159</f>
        <v>1</v>
      </c>
      <c r="P159" s="168" t="n">
        <f aca="false">'VOL DWNLD'!P159+'VOL DELTA'!P159</f>
        <v>1.03</v>
      </c>
      <c r="Q159" s="168" t="n">
        <f aca="false">'VOL DWNLD'!Q159+'VOL DELTA'!Q159</f>
        <v>1</v>
      </c>
      <c r="R159" s="168" t="n">
        <f aca="false">'VOL DWNLD'!R159+'VOL DELTA'!R159</f>
        <v>1</v>
      </c>
      <c r="S159" s="168" t="n">
        <f aca="false">'VOL DWNLD'!S159+'VOL DELTA'!S159</f>
        <v>1.02</v>
      </c>
      <c r="T159" s="168" t="n">
        <f aca="false">'VOL DWNLD'!T159+'VOL DELTA'!T159</f>
        <v>1</v>
      </c>
      <c r="U159" s="168" t="n">
        <f aca="false">'VOL DWNLD'!U159+'VOL DELTA'!U159</f>
        <v>1</v>
      </c>
      <c r="V159" s="168" t="n">
        <f aca="false">'VOL DWNLD'!V159+'VOL DELTA'!V159</f>
        <v>1</v>
      </c>
      <c r="W159" s="168" t="n">
        <f aca="false">'VOL DWNLD'!W159+'VOL DELTA'!W159</f>
        <v>1</v>
      </c>
      <c r="X159" s="168" t="n">
        <f aca="false">'VOL DWNLD'!X159+'VOL DELTA'!X159</f>
        <v>1</v>
      </c>
      <c r="Y159" s="168" t="n">
        <f aca="false">'VOL DWNLD'!Y159+'VOL DELTA'!Y159</f>
        <v>1.02</v>
      </c>
      <c r="Z159" s="168" t="n">
        <f aca="false">'VOL DWNLD'!Z159+'VOL DELTA'!Z159</f>
        <v>1</v>
      </c>
      <c r="AA159" s="168" t="n">
        <f aca="false">'VOL DWNLD'!AA159+'VOL DELTA'!AA159</f>
        <v>1</v>
      </c>
      <c r="AB159" s="168" t="n">
        <f aca="false">'VOL DWNLD'!AB159+'VOL DELTA'!AB159</f>
        <v>1</v>
      </c>
      <c r="AC159" s="168" t="n">
        <f aca="false">'VOL DWNLD'!AC159+'VOL DELTA'!AC159</f>
        <v>1</v>
      </c>
      <c r="AD159" s="168" t="n">
        <f aca="false">'VOL DWNLD'!AD159+'VOL DELTA'!AD159</f>
        <v>0.98</v>
      </c>
      <c r="AE159" s="168" t="n">
        <f aca="false">'VOL DWNLD'!AE159+'VOL DELTA'!AE159</f>
        <v>0.98</v>
      </c>
      <c r="AF159" s="168" t="n">
        <f aca="false">'VOL DWNLD'!AF159+'VOL DELTA'!AF159</f>
        <v>0.98</v>
      </c>
      <c r="AG159" s="168" t="n">
        <f aca="false">'VOL DWNLD'!AG159+'VOL DELTA'!AG159</f>
        <v>0.98</v>
      </c>
      <c r="AH159" s="168" t="n">
        <f aca="false">'VOL DWNLD'!AH159+'VOL DELTA'!AH159</f>
        <v>1.05</v>
      </c>
      <c r="AI159" s="168" t="n">
        <f aca="false">'VOL DWNLD'!AI159+'VOL DELTA'!AI159</f>
        <v>1</v>
      </c>
      <c r="AJ159" s="168" t="n">
        <f aca="false">'VOL DWNLD'!AJ159+'VOL DELTA'!AJ159</f>
        <v>1</v>
      </c>
      <c r="AK159" s="168" t="n">
        <f aca="false">'VOL DWNLD'!AK159+'VOL DELTA'!AK159</f>
        <v>1.02</v>
      </c>
      <c r="AL159" s="168" t="n">
        <f aca="false">'VOL DWNLD'!AL159+'VOL DELTA'!AL159</f>
        <v>1</v>
      </c>
      <c r="AM159" s="168" t="n">
        <f aca="false">'VOL DWNLD'!AM159+'VOL DELTA'!AM159</f>
        <v>1</v>
      </c>
      <c r="AN159" s="168" t="n">
        <f aca="false">'VOL DWNLD'!AN159+'VOL DELTA'!AN159</f>
        <v>1</v>
      </c>
      <c r="AO159" s="168" t="n">
        <f aca="false">'VOL DWNLD'!AO159+'VOL DELTA'!AO159</f>
        <v>1</v>
      </c>
    </row>
    <row r="160" customFormat="false" ht="12.75" hidden="false" customHeight="false" outlineLevel="0" collapsed="false">
      <c r="A160" s="167" t="n">
        <v>41548</v>
      </c>
      <c r="B160" s="168" t="n">
        <f aca="false">'VOL DWNLD'!B160+'VOL DELTA'!B160</f>
        <v>1</v>
      </c>
      <c r="C160" s="168" t="n">
        <f aca="false">'VOL DWNLD'!C160+'VOL DELTA'!C160</f>
        <v>1</v>
      </c>
      <c r="D160" s="168" t="n">
        <f aca="false">'VOL DWNLD'!D160+'VOL DELTA'!D160</f>
        <v>1</v>
      </c>
      <c r="E160" s="168" t="n">
        <f aca="false">'VOL DWNLD'!E160+'VOL DELTA'!E160</f>
        <v>1</v>
      </c>
      <c r="F160" s="168" t="n">
        <f aca="false">'VOL DWNLD'!F160+'VOL DELTA'!F160</f>
        <v>1</v>
      </c>
      <c r="G160" s="168" t="n">
        <f aca="false">'VOL DWNLD'!G160+'VOL DELTA'!G160</f>
        <v>1</v>
      </c>
      <c r="H160" s="168" t="n">
        <f aca="false">'VOL DWNLD'!H160+'VOL DELTA'!H160</f>
        <v>1</v>
      </c>
      <c r="I160" s="168" t="n">
        <f aca="false">'VOL DWNLD'!I160+'VOL DELTA'!I160</f>
        <v>1</v>
      </c>
      <c r="J160" s="168" t="n">
        <f aca="false">'VOL DWNLD'!J160+'VOL DELTA'!J160</f>
        <v>1</v>
      </c>
      <c r="K160" s="168" t="n">
        <f aca="false">'VOL DWNLD'!K160+'VOL DELTA'!K160</f>
        <v>1</v>
      </c>
      <c r="L160" s="168" t="n">
        <f aca="false">'VOL DWNLD'!L160+'VOL DELTA'!L160</f>
        <v>1</v>
      </c>
      <c r="M160" s="168" t="n">
        <f aca="false">'VOL DWNLD'!M160+'VOL DELTA'!M160</f>
        <v>1</v>
      </c>
      <c r="N160" s="168" t="n">
        <f aca="false">'VOL DWNLD'!N160+'VOL DELTA'!N160</f>
        <v>1</v>
      </c>
      <c r="O160" s="168" t="n">
        <f aca="false">'VOL DWNLD'!O160+'VOL DELTA'!O160</f>
        <v>1</v>
      </c>
      <c r="P160" s="168" t="n">
        <f aca="false">'VOL DWNLD'!P160+'VOL DELTA'!P160</f>
        <v>1.03</v>
      </c>
      <c r="Q160" s="168" t="n">
        <f aca="false">'VOL DWNLD'!Q160+'VOL DELTA'!Q160</f>
        <v>1</v>
      </c>
      <c r="R160" s="168" t="n">
        <f aca="false">'VOL DWNLD'!R160+'VOL DELTA'!R160</f>
        <v>1</v>
      </c>
      <c r="S160" s="168" t="n">
        <f aca="false">'VOL DWNLD'!S160+'VOL DELTA'!S160</f>
        <v>1.02</v>
      </c>
      <c r="T160" s="168" t="n">
        <f aca="false">'VOL DWNLD'!T160+'VOL DELTA'!T160</f>
        <v>1</v>
      </c>
      <c r="U160" s="168" t="n">
        <f aca="false">'VOL DWNLD'!U160+'VOL DELTA'!U160</f>
        <v>1</v>
      </c>
      <c r="V160" s="168" t="n">
        <f aca="false">'VOL DWNLD'!V160+'VOL DELTA'!V160</f>
        <v>1</v>
      </c>
      <c r="W160" s="168" t="n">
        <f aca="false">'VOL DWNLD'!W160+'VOL DELTA'!W160</f>
        <v>1</v>
      </c>
      <c r="X160" s="168" t="n">
        <f aca="false">'VOL DWNLD'!X160+'VOL DELTA'!X160</f>
        <v>1</v>
      </c>
      <c r="Y160" s="168" t="n">
        <f aca="false">'VOL DWNLD'!Y160+'VOL DELTA'!Y160</f>
        <v>1.02</v>
      </c>
      <c r="Z160" s="168" t="n">
        <f aca="false">'VOL DWNLD'!Z160+'VOL DELTA'!Z160</f>
        <v>1</v>
      </c>
      <c r="AA160" s="168" t="n">
        <f aca="false">'VOL DWNLD'!AA160+'VOL DELTA'!AA160</f>
        <v>1</v>
      </c>
      <c r="AB160" s="168" t="n">
        <f aca="false">'VOL DWNLD'!AB160+'VOL DELTA'!AB160</f>
        <v>1</v>
      </c>
      <c r="AC160" s="168" t="n">
        <f aca="false">'VOL DWNLD'!AC160+'VOL DELTA'!AC160</f>
        <v>1</v>
      </c>
      <c r="AD160" s="168" t="n">
        <f aca="false">'VOL DWNLD'!AD160+'VOL DELTA'!AD160</f>
        <v>0.98</v>
      </c>
      <c r="AE160" s="168" t="n">
        <f aca="false">'VOL DWNLD'!AE160+'VOL DELTA'!AE160</f>
        <v>0.98</v>
      </c>
      <c r="AF160" s="168" t="n">
        <f aca="false">'VOL DWNLD'!AF160+'VOL DELTA'!AF160</f>
        <v>0.98</v>
      </c>
      <c r="AG160" s="168" t="n">
        <f aca="false">'VOL DWNLD'!AG160+'VOL DELTA'!AG160</f>
        <v>0.98</v>
      </c>
      <c r="AH160" s="168" t="n">
        <f aca="false">'VOL DWNLD'!AH160+'VOL DELTA'!AH160</f>
        <v>1.05</v>
      </c>
      <c r="AI160" s="168" t="n">
        <f aca="false">'VOL DWNLD'!AI160+'VOL DELTA'!AI160</f>
        <v>1</v>
      </c>
      <c r="AJ160" s="168" t="n">
        <f aca="false">'VOL DWNLD'!AJ160+'VOL DELTA'!AJ160</f>
        <v>1</v>
      </c>
      <c r="AK160" s="168" t="n">
        <f aca="false">'VOL DWNLD'!AK160+'VOL DELTA'!AK160</f>
        <v>1.02</v>
      </c>
      <c r="AL160" s="168" t="n">
        <f aca="false">'VOL DWNLD'!AL160+'VOL DELTA'!AL160</f>
        <v>1</v>
      </c>
      <c r="AM160" s="168" t="n">
        <f aca="false">'VOL DWNLD'!AM160+'VOL DELTA'!AM160</f>
        <v>1</v>
      </c>
      <c r="AN160" s="168" t="n">
        <f aca="false">'VOL DWNLD'!AN160+'VOL DELTA'!AN160</f>
        <v>1</v>
      </c>
      <c r="AO160" s="168" t="n">
        <f aca="false">'VOL DWNLD'!AO160+'VOL DELTA'!AO160</f>
        <v>1</v>
      </c>
    </row>
    <row r="161" customFormat="false" ht="12.75" hidden="false" customHeight="false" outlineLevel="0" collapsed="false">
      <c r="A161" s="167" t="n">
        <v>41579</v>
      </c>
      <c r="B161" s="168" t="n">
        <f aca="false">'VOL DWNLD'!B161+'VOL DELTA'!B161</f>
        <v>1</v>
      </c>
      <c r="C161" s="168" t="n">
        <f aca="false">'VOL DWNLD'!C161+'VOL DELTA'!C161</f>
        <v>1</v>
      </c>
      <c r="D161" s="168" t="n">
        <f aca="false">'VOL DWNLD'!D161+'VOL DELTA'!D161</f>
        <v>1</v>
      </c>
      <c r="E161" s="168" t="n">
        <f aca="false">'VOL DWNLD'!E161+'VOL DELTA'!E161</f>
        <v>1</v>
      </c>
      <c r="F161" s="168" t="n">
        <f aca="false">'VOL DWNLD'!F161+'VOL DELTA'!F161</f>
        <v>1</v>
      </c>
      <c r="G161" s="168" t="n">
        <f aca="false">'VOL DWNLD'!G161+'VOL DELTA'!G161</f>
        <v>1</v>
      </c>
      <c r="H161" s="168" t="n">
        <f aca="false">'VOL DWNLD'!H161+'VOL DELTA'!H161</f>
        <v>1</v>
      </c>
      <c r="I161" s="168" t="n">
        <f aca="false">'VOL DWNLD'!I161+'VOL DELTA'!I161</f>
        <v>1</v>
      </c>
      <c r="J161" s="168" t="n">
        <f aca="false">'VOL DWNLD'!J161+'VOL DELTA'!J161</f>
        <v>1</v>
      </c>
      <c r="K161" s="168" t="n">
        <f aca="false">'VOL DWNLD'!K161+'VOL DELTA'!K161</f>
        <v>1</v>
      </c>
      <c r="L161" s="168" t="n">
        <f aca="false">'VOL DWNLD'!L161+'VOL DELTA'!L161</f>
        <v>1</v>
      </c>
      <c r="M161" s="168" t="n">
        <f aca="false">'VOL DWNLD'!M161+'VOL DELTA'!M161</f>
        <v>1</v>
      </c>
      <c r="N161" s="168" t="n">
        <f aca="false">'VOL DWNLD'!N161+'VOL DELTA'!N161</f>
        <v>1</v>
      </c>
      <c r="O161" s="168" t="n">
        <f aca="false">'VOL DWNLD'!O161+'VOL DELTA'!O161</f>
        <v>1</v>
      </c>
      <c r="P161" s="168" t="n">
        <f aca="false">'VOL DWNLD'!P161+'VOL DELTA'!P161</f>
        <v>1.03</v>
      </c>
      <c r="Q161" s="168" t="n">
        <f aca="false">'VOL DWNLD'!Q161+'VOL DELTA'!Q161</f>
        <v>1</v>
      </c>
      <c r="R161" s="168" t="n">
        <f aca="false">'VOL DWNLD'!R161+'VOL DELTA'!R161</f>
        <v>1</v>
      </c>
      <c r="S161" s="168" t="n">
        <f aca="false">'VOL DWNLD'!S161+'VOL DELTA'!S161</f>
        <v>1.02</v>
      </c>
      <c r="T161" s="168" t="n">
        <f aca="false">'VOL DWNLD'!T161+'VOL DELTA'!T161</f>
        <v>1</v>
      </c>
      <c r="U161" s="168" t="n">
        <f aca="false">'VOL DWNLD'!U161+'VOL DELTA'!U161</f>
        <v>1</v>
      </c>
      <c r="V161" s="168" t="n">
        <f aca="false">'VOL DWNLD'!V161+'VOL DELTA'!V161</f>
        <v>1</v>
      </c>
      <c r="W161" s="168" t="n">
        <f aca="false">'VOL DWNLD'!W161+'VOL DELTA'!W161</f>
        <v>1</v>
      </c>
      <c r="X161" s="168" t="n">
        <f aca="false">'VOL DWNLD'!X161+'VOL DELTA'!X161</f>
        <v>1</v>
      </c>
      <c r="Y161" s="168" t="n">
        <f aca="false">'VOL DWNLD'!Y161+'VOL DELTA'!Y161</f>
        <v>1</v>
      </c>
      <c r="Z161" s="168" t="n">
        <f aca="false">'VOL DWNLD'!Z161+'VOL DELTA'!Z161</f>
        <v>1</v>
      </c>
      <c r="AA161" s="168" t="n">
        <f aca="false">'VOL DWNLD'!AA161+'VOL DELTA'!AA161</f>
        <v>1</v>
      </c>
      <c r="AB161" s="168" t="n">
        <f aca="false">'VOL DWNLD'!AB161+'VOL DELTA'!AB161</f>
        <v>1</v>
      </c>
      <c r="AC161" s="168" t="n">
        <f aca="false">'VOL DWNLD'!AC161+'VOL DELTA'!AC161</f>
        <v>1</v>
      </c>
      <c r="AD161" s="168" t="n">
        <f aca="false">'VOL DWNLD'!AD161+'VOL DELTA'!AD161</f>
        <v>1</v>
      </c>
      <c r="AE161" s="168" t="n">
        <f aca="false">'VOL DWNLD'!AE161+'VOL DELTA'!AE161</f>
        <v>1</v>
      </c>
      <c r="AF161" s="168" t="n">
        <f aca="false">'VOL DWNLD'!AF161+'VOL DELTA'!AF161</f>
        <v>1.1</v>
      </c>
      <c r="AG161" s="168" t="n">
        <f aca="false">'VOL DWNLD'!AG161+'VOL DELTA'!AG161</f>
        <v>1.1</v>
      </c>
      <c r="AH161" s="168" t="n">
        <f aca="false">'VOL DWNLD'!AH161+'VOL DELTA'!AH161</f>
        <v>1.05</v>
      </c>
      <c r="AI161" s="168" t="n">
        <f aca="false">'VOL DWNLD'!AI161+'VOL DELTA'!AI161</f>
        <v>1</v>
      </c>
      <c r="AJ161" s="168" t="n">
        <f aca="false">'VOL DWNLD'!AJ161+'VOL DELTA'!AJ161</f>
        <v>1</v>
      </c>
      <c r="AK161" s="168" t="n">
        <f aca="false">'VOL DWNLD'!AK161+'VOL DELTA'!AK161</f>
        <v>1.02</v>
      </c>
      <c r="AL161" s="168" t="n">
        <f aca="false">'VOL DWNLD'!AL161+'VOL DELTA'!AL161</f>
        <v>1</v>
      </c>
      <c r="AM161" s="168" t="n">
        <f aca="false">'VOL DWNLD'!AM161+'VOL DELTA'!AM161</f>
        <v>1</v>
      </c>
      <c r="AN161" s="168" t="n">
        <f aca="false">'VOL DWNLD'!AN161+'VOL DELTA'!AN161</f>
        <v>1</v>
      </c>
      <c r="AO161" s="168" t="n">
        <f aca="false">'VOL DWNLD'!AO161+'VOL DELTA'!AO161</f>
        <v>1</v>
      </c>
    </row>
    <row r="162" customFormat="false" ht="12.75" hidden="false" customHeight="false" outlineLevel="0" collapsed="false">
      <c r="A162" s="167" t="n">
        <v>41609</v>
      </c>
      <c r="B162" s="168" t="n">
        <f aca="false">'VOL DWNLD'!B162+'VOL DELTA'!B162</f>
        <v>1</v>
      </c>
      <c r="C162" s="168" t="n">
        <f aca="false">'VOL DWNLD'!C162+'VOL DELTA'!C162</f>
        <v>1</v>
      </c>
      <c r="D162" s="168" t="n">
        <f aca="false">'VOL DWNLD'!D162+'VOL DELTA'!D162</f>
        <v>1</v>
      </c>
      <c r="E162" s="168" t="n">
        <f aca="false">'VOL DWNLD'!E162+'VOL DELTA'!E162</f>
        <v>1</v>
      </c>
      <c r="F162" s="168" t="n">
        <f aca="false">'VOL DWNLD'!F162+'VOL DELTA'!F162</f>
        <v>1</v>
      </c>
      <c r="G162" s="168" t="n">
        <f aca="false">'VOL DWNLD'!G162+'VOL DELTA'!G162</f>
        <v>1</v>
      </c>
      <c r="H162" s="168" t="n">
        <f aca="false">'VOL DWNLD'!H162+'VOL DELTA'!H162</f>
        <v>1</v>
      </c>
      <c r="I162" s="168" t="n">
        <f aca="false">'VOL DWNLD'!I162+'VOL DELTA'!I162</f>
        <v>1</v>
      </c>
      <c r="J162" s="168" t="n">
        <f aca="false">'VOL DWNLD'!J162+'VOL DELTA'!J162</f>
        <v>1</v>
      </c>
      <c r="K162" s="168" t="n">
        <f aca="false">'VOL DWNLD'!K162+'VOL DELTA'!K162</f>
        <v>1</v>
      </c>
      <c r="L162" s="168" t="n">
        <f aca="false">'VOL DWNLD'!L162+'VOL DELTA'!L162</f>
        <v>1</v>
      </c>
      <c r="M162" s="168" t="n">
        <f aca="false">'VOL DWNLD'!M162+'VOL DELTA'!M162</f>
        <v>1</v>
      </c>
      <c r="N162" s="168" t="n">
        <f aca="false">'VOL DWNLD'!N162+'VOL DELTA'!N162</f>
        <v>1</v>
      </c>
      <c r="O162" s="168" t="n">
        <f aca="false">'VOL DWNLD'!O162+'VOL DELTA'!O162</f>
        <v>1</v>
      </c>
      <c r="P162" s="168" t="n">
        <f aca="false">'VOL DWNLD'!P162+'VOL DELTA'!P162</f>
        <v>1.03</v>
      </c>
      <c r="Q162" s="168" t="n">
        <f aca="false">'VOL DWNLD'!Q162+'VOL DELTA'!Q162</f>
        <v>1</v>
      </c>
      <c r="R162" s="168" t="n">
        <f aca="false">'VOL DWNLD'!R162+'VOL DELTA'!R162</f>
        <v>1</v>
      </c>
      <c r="S162" s="168" t="n">
        <f aca="false">'VOL DWNLD'!S162+'VOL DELTA'!S162</f>
        <v>1.02</v>
      </c>
      <c r="T162" s="168" t="n">
        <f aca="false">'VOL DWNLD'!T162+'VOL DELTA'!T162</f>
        <v>1</v>
      </c>
      <c r="U162" s="168" t="n">
        <f aca="false">'VOL DWNLD'!U162+'VOL DELTA'!U162</f>
        <v>1</v>
      </c>
      <c r="V162" s="168" t="n">
        <f aca="false">'VOL DWNLD'!V162+'VOL DELTA'!V162</f>
        <v>1</v>
      </c>
      <c r="W162" s="168" t="n">
        <f aca="false">'VOL DWNLD'!W162+'VOL DELTA'!W162</f>
        <v>1</v>
      </c>
      <c r="X162" s="168" t="n">
        <f aca="false">'VOL DWNLD'!X162+'VOL DELTA'!X162</f>
        <v>1</v>
      </c>
      <c r="Y162" s="168" t="n">
        <f aca="false">'VOL DWNLD'!Y162+'VOL DELTA'!Y162</f>
        <v>1</v>
      </c>
      <c r="Z162" s="168" t="n">
        <f aca="false">'VOL DWNLD'!Z162+'VOL DELTA'!Z162</f>
        <v>1</v>
      </c>
      <c r="AA162" s="168" t="n">
        <f aca="false">'VOL DWNLD'!AA162+'VOL DELTA'!AA162</f>
        <v>1</v>
      </c>
      <c r="AB162" s="168" t="n">
        <f aca="false">'VOL DWNLD'!AB162+'VOL DELTA'!AB162</f>
        <v>1</v>
      </c>
      <c r="AC162" s="168" t="n">
        <f aca="false">'VOL DWNLD'!AC162+'VOL DELTA'!AC162</f>
        <v>1</v>
      </c>
      <c r="AD162" s="168" t="n">
        <f aca="false">'VOL DWNLD'!AD162+'VOL DELTA'!AD162</f>
        <v>1</v>
      </c>
      <c r="AE162" s="168" t="n">
        <f aca="false">'VOL DWNLD'!AE162+'VOL DELTA'!AE162</f>
        <v>1</v>
      </c>
      <c r="AF162" s="168" t="n">
        <f aca="false">'VOL DWNLD'!AF162+'VOL DELTA'!AF162</f>
        <v>1.1</v>
      </c>
      <c r="AG162" s="168" t="n">
        <f aca="false">'VOL DWNLD'!AG162+'VOL DELTA'!AG162</f>
        <v>1.1</v>
      </c>
      <c r="AH162" s="168" t="n">
        <f aca="false">'VOL DWNLD'!AH162+'VOL DELTA'!AH162</f>
        <v>1.05</v>
      </c>
      <c r="AI162" s="168" t="n">
        <f aca="false">'VOL DWNLD'!AI162+'VOL DELTA'!AI162</f>
        <v>1</v>
      </c>
      <c r="AJ162" s="168" t="n">
        <f aca="false">'VOL DWNLD'!AJ162+'VOL DELTA'!AJ162</f>
        <v>1</v>
      </c>
      <c r="AK162" s="168" t="n">
        <f aca="false">'VOL DWNLD'!AK162+'VOL DELTA'!AK162</f>
        <v>1.02</v>
      </c>
      <c r="AL162" s="168" t="n">
        <f aca="false">'VOL DWNLD'!AL162+'VOL DELTA'!AL162</f>
        <v>1</v>
      </c>
      <c r="AM162" s="168" t="n">
        <f aca="false">'VOL DWNLD'!AM162+'VOL DELTA'!AM162</f>
        <v>1</v>
      </c>
      <c r="AN162" s="168" t="n">
        <f aca="false">'VOL DWNLD'!AN162+'VOL DELTA'!AN162</f>
        <v>1</v>
      </c>
      <c r="AO162" s="168" t="n">
        <f aca="false">'VOL DWNLD'!AO162+'VOL DELTA'!AO162</f>
        <v>1</v>
      </c>
    </row>
    <row r="163" customFormat="false" ht="12.75" hidden="false" customHeight="false" outlineLevel="0" collapsed="false">
      <c r="A163" s="167" t="n">
        <v>41640</v>
      </c>
      <c r="B163" s="168" t="n">
        <f aca="false">'VOL DWNLD'!B163+'VOL DELTA'!B163</f>
        <v>1</v>
      </c>
      <c r="C163" s="168" t="n">
        <f aca="false">'VOL DWNLD'!C163+'VOL DELTA'!C163</f>
        <v>1</v>
      </c>
      <c r="D163" s="168" t="n">
        <f aca="false">'VOL DWNLD'!D163+'VOL DELTA'!D163</f>
        <v>1</v>
      </c>
      <c r="E163" s="168" t="n">
        <f aca="false">'VOL DWNLD'!E163+'VOL DELTA'!E163</f>
        <v>1</v>
      </c>
      <c r="F163" s="168" t="n">
        <f aca="false">'VOL DWNLD'!F163+'VOL DELTA'!F163</f>
        <v>1</v>
      </c>
      <c r="G163" s="168" t="n">
        <f aca="false">'VOL DWNLD'!G163+'VOL DELTA'!G163</f>
        <v>1</v>
      </c>
      <c r="H163" s="168" t="n">
        <f aca="false">'VOL DWNLD'!H163+'VOL DELTA'!H163</f>
        <v>1</v>
      </c>
      <c r="I163" s="168" t="n">
        <f aca="false">'VOL DWNLD'!I163+'VOL DELTA'!I163</f>
        <v>1</v>
      </c>
      <c r="J163" s="168" t="n">
        <f aca="false">'VOL DWNLD'!J163+'VOL DELTA'!J163</f>
        <v>1</v>
      </c>
      <c r="K163" s="168" t="n">
        <f aca="false">'VOL DWNLD'!K163+'VOL DELTA'!K163</f>
        <v>1</v>
      </c>
      <c r="L163" s="168" t="n">
        <f aca="false">'VOL DWNLD'!L163+'VOL DELTA'!L163</f>
        <v>1</v>
      </c>
      <c r="M163" s="168" t="n">
        <f aca="false">'VOL DWNLD'!M163+'VOL DELTA'!M163</f>
        <v>1</v>
      </c>
      <c r="N163" s="168" t="n">
        <f aca="false">'VOL DWNLD'!N163+'VOL DELTA'!N163</f>
        <v>1</v>
      </c>
      <c r="O163" s="168" t="n">
        <f aca="false">'VOL DWNLD'!O163+'VOL DELTA'!O163</f>
        <v>1</v>
      </c>
      <c r="P163" s="168" t="n">
        <f aca="false">'VOL DWNLD'!P163+'VOL DELTA'!P163</f>
        <v>1.03</v>
      </c>
      <c r="Q163" s="168" t="n">
        <f aca="false">'VOL DWNLD'!Q163+'VOL DELTA'!Q163</f>
        <v>1</v>
      </c>
      <c r="R163" s="168" t="n">
        <f aca="false">'VOL DWNLD'!R163+'VOL DELTA'!R163</f>
        <v>1</v>
      </c>
      <c r="S163" s="168" t="n">
        <f aca="false">'VOL DWNLD'!S163+'VOL DELTA'!S163</f>
        <v>1.02</v>
      </c>
      <c r="T163" s="168" t="n">
        <f aca="false">'VOL DWNLD'!T163+'VOL DELTA'!T163</f>
        <v>1</v>
      </c>
      <c r="U163" s="168" t="n">
        <f aca="false">'VOL DWNLD'!U163+'VOL DELTA'!U163</f>
        <v>1</v>
      </c>
      <c r="V163" s="168" t="n">
        <f aca="false">'VOL DWNLD'!V163+'VOL DELTA'!V163</f>
        <v>1</v>
      </c>
      <c r="W163" s="168" t="n">
        <f aca="false">'VOL DWNLD'!W163+'VOL DELTA'!W163</f>
        <v>1</v>
      </c>
      <c r="X163" s="168" t="n">
        <f aca="false">'VOL DWNLD'!X163+'VOL DELTA'!X163</f>
        <v>1</v>
      </c>
      <c r="Y163" s="168" t="n">
        <f aca="false">'VOL DWNLD'!Y163+'VOL DELTA'!Y163</f>
        <v>1</v>
      </c>
      <c r="Z163" s="168" t="n">
        <f aca="false">'VOL DWNLD'!Z163+'VOL DELTA'!Z163</f>
        <v>1</v>
      </c>
      <c r="AA163" s="168" t="n">
        <f aca="false">'VOL DWNLD'!AA163+'VOL DELTA'!AA163</f>
        <v>1</v>
      </c>
      <c r="AB163" s="168" t="n">
        <f aca="false">'VOL DWNLD'!AB163+'VOL DELTA'!AB163</f>
        <v>1</v>
      </c>
      <c r="AC163" s="168" t="n">
        <f aca="false">'VOL DWNLD'!AC163+'VOL DELTA'!AC163</f>
        <v>1</v>
      </c>
      <c r="AD163" s="168" t="n">
        <f aca="false">'VOL DWNLD'!AD163+'VOL DELTA'!AD163</f>
        <v>1</v>
      </c>
      <c r="AE163" s="168" t="n">
        <f aca="false">'VOL DWNLD'!AE163+'VOL DELTA'!AE163</f>
        <v>1</v>
      </c>
      <c r="AF163" s="168" t="n">
        <f aca="false">'VOL DWNLD'!AF163+'VOL DELTA'!AF163</f>
        <v>1.1</v>
      </c>
      <c r="AG163" s="168" t="n">
        <f aca="false">'VOL DWNLD'!AG163+'VOL DELTA'!AG163</f>
        <v>1.1</v>
      </c>
      <c r="AH163" s="168" t="n">
        <f aca="false">'VOL DWNLD'!AH163+'VOL DELTA'!AH163</f>
        <v>1.05</v>
      </c>
      <c r="AI163" s="168" t="n">
        <f aca="false">'VOL DWNLD'!AI163+'VOL DELTA'!AI163</f>
        <v>1</v>
      </c>
      <c r="AJ163" s="168" t="n">
        <f aca="false">'VOL DWNLD'!AJ163+'VOL DELTA'!AJ163</f>
        <v>1</v>
      </c>
      <c r="AK163" s="168" t="n">
        <f aca="false">'VOL DWNLD'!AK163+'VOL DELTA'!AK163</f>
        <v>1.02</v>
      </c>
      <c r="AL163" s="168" t="n">
        <f aca="false">'VOL DWNLD'!AL163+'VOL DELTA'!AL163</f>
        <v>1</v>
      </c>
      <c r="AM163" s="168" t="n">
        <f aca="false">'VOL DWNLD'!AM163+'VOL DELTA'!AM163</f>
        <v>1</v>
      </c>
      <c r="AN163" s="168" t="n">
        <f aca="false">'VOL DWNLD'!AN163+'VOL DELTA'!AN163</f>
        <v>1</v>
      </c>
      <c r="AO163" s="168" t="n">
        <f aca="false">'VOL DWNLD'!AO163+'VOL DELTA'!AO163</f>
        <v>1</v>
      </c>
    </row>
    <row r="164" customFormat="false" ht="12.75" hidden="false" customHeight="false" outlineLevel="0" collapsed="false">
      <c r="A164" s="167" t="n">
        <v>41671</v>
      </c>
      <c r="B164" s="168" t="n">
        <f aca="false">'VOL DWNLD'!B164+'VOL DELTA'!B164</f>
        <v>1</v>
      </c>
      <c r="C164" s="168" t="n">
        <f aca="false">'VOL DWNLD'!C164+'VOL DELTA'!C164</f>
        <v>1</v>
      </c>
      <c r="D164" s="168" t="n">
        <f aca="false">'VOL DWNLD'!D164+'VOL DELTA'!D164</f>
        <v>1</v>
      </c>
      <c r="E164" s="168" t="n">
        <f aca="false">'VOL DWNLD'!E164+'VOL DELTA'!E164</f>
        <v>1</v>
      </c>
      <c r="F164" s="168" t="n">
        <f aca="false">'VOL DWNLD'!F164+'VOL DELTA'!F164</f>
        <v>1</v>
      </c>
      <c r="G164" s="168" t="n">
        <f aca="false">'VOL DWNLD'!G164+'VOL DELTA'!G164</f>
        <v>1</v>
      </c>
      <c r="H164" s="168" t="n">
        <f aca="false">'VOL DWNLD'!H164+'VOL DELTA'!H164</f>
        <v>1</v>
      </c>
      <c r="I164" s="168" t="n">
        <f aca="false">'VOL DWNLD'!I164+'VOL DELTA'!I164</f>
        <v>1</v>
      </c>
      <c r="J164" s="168" t="n">
        <f aca="false">'VOL DWNLD'!J164+'VOL DELTA'!J164</f>
        <v>1</v>
      </c>
      <c r="K164" s="168" t="n">
        <f aca="false">'VOL DWNLD'!K164+'VOL DELTA'!K164</f>
        <v>1</v>
      </c>
      <c r="L164" s="168" t="n">
        <f aca="false">'VOL DWNLD'!L164+'VOL DELTA'!L164</f>
        <v>1</v>
      </c>
      <c r="M164" s="168" t="n">
        <f aca="false">'VOL DWNLD'!M164+'VOL DELTA'!M164</f>
        <v>1</v>
      </c>
      <c r="N164" s="168" t="n">
        <f aca="false">'VOL DWNLD'!N164+'VOL DELTA'!N164</f>
        <v>1</v>
      </c>
      <c r="O164" s="168" t="n">
        <f aca="false">'VOL DWNLD'!O164+'VOL DELTA'!O164</f>
        <v>1</v>
      </c>
      <c r="P164" s="168" t="n">
        <f aca="false">'VOL DWNLD'!P164+'VOL DELTA'!P164</f>
        <v>1.03</v>
      </c>
      <c r="Q164" s="168" t="n">
        <f aca="false">'VOL DWNLD'!Q164+'VOL DELTA'!Q164</f>
        <v>1</v>
      </c>
      <c r="R164" s="168" t="n">
        <f aca="false">'VOL DWNLD'!R164+'VOL DELTA'!R164</f>
        <v>1</v>
      </c>
      <c r="S164" s="168" t="n">
        <f aca="false">'VOL DWNLD'!S164+'VOL DELTA'!S164</f>
        <v>1.02</v>
      </c>
      <c r="T164" s="168" t="n">
        <f aca="false">'VOL DWNLD'!T164+'VOL DELTA'!T164</f>
        <v>1</v>
      </c>
      <c r="U164" s="168" t="n">
        <f aca="false">'VOL DWNLD'!U164+'VOL DELTA'!U164</f>
        <v>1</v>
      </c>
      <c r="V164" s="168" t="n">
        <f aca="false">'VOL DWNLD'!V164+'VOL DELTA'!V164</f>
        <v>1</v>
      </c>
      <c r="W164" s="168" t="n">
        <f aca="false">'VOL DWNLD'!W164+'VOL DELTA'!W164</f>
        <v>1</v>
      </c>
      <c r="X164" s="168" t="n">
        <f aca="false">'VOL DWNLD'!X164+'VOL DELTA'!X164</f>
        <v>1</v>
      </c>
      <c r="Y164" s="168" t="n">
        <f aca="false">'VOL DWNLD'!Y164+'VOL DELTA'!Y164</f>
        <v>1</v>
      </c>
      <c r="Z164" s="168" t="n">
        <f aca="false">'VOL DWNLD'!Z164+'VOL DELTA'!Z164</f>
        <v>1</v>
      </c>
      <c r="AA164" s="168" t="n">
        <f aca="false">'VOL DWNLD'!AA164+'VOL DELTA'!AA164</f>
        <v>1</v>
      </c>
      <c r="AB164" s="168" t="n">
        <f aca="false">'VOL DWNLD'!AB164+'VOL DELTA'!AB164</f>
        <v>1</v>
      </c>
      <c r="AC164" s="168" t="n">
        <f aca="false">'VOL DWNLD'!AC164+'VOL DELTA'!AC164</f>
        <v>1</v>
      </c>
      <c r="AD164" s="168" t="n">
        <f aca="false">'VOL DWNLD'!AD164+'VOL DELTA'!AD164</f>
        <v>1</v>
      </c>
      <c r="AE164" s="168" t="n">
        <f aca="false">'VOL DWNLD'!AE164+'VOL DELTA'!AE164</f>
        <v>1</v>
      </c>
      <c r="AF164" s="168" t="n">
        <f aca="false">'VOL DWNLD'!AF164+'VOL DELTA'!AF164</f>
        <v>1.1</v>
      </c>
      <c r="AG164" s="168" t="n">
        <f aca="false">'VOL DWNLD'!AG164+'VOL DELTA'!AG164</f>
        <v>1.1</v>
      </c>
      <c r="AH164" s="168" t="n">
        <f aca="false">'VOL DWNLD'!AH164+'VOL DELTA'!AH164</f>
        <v>1.05</v>
      </c>
      <c r="AI164" s="168" t="n">
        <f aca="false">'VOL DWNLD'!AI164+'VOL DELTA'!AI164</f>
        <v>1</v>
      </c>
      <c r="AJ164" s="168" t="n">
        <f aca="false">'VOL DWNLD'!AJ164+'VOL DELTA'!AJ164</f>
        <v>1</v>
      </c>
      <c r="AK164" s="168" t="n">
        <f aca="false">'VOL DWNLD'!AK164+'VOL DELTA'!AK164</f>
        <v>1.02</v>
      </c>
      <c r="AL164" s="168" t="n">
        <f aca="false">'VOL DWNLD'!AL164+'VOL DELTA'!AL164</f>
        <v>1</v>
      </c>
      <c r="AM164" s="168" t="n">
        <f aca="false">'VOL DWNLD'!AM164+'VOL DELTA'!AM164</f>
        <v>1</v>
      </c>
      <c r="AN164" s="168" t="n">
        <f aca="false">'VOL DWNLD'!AN164+'VOL DELTA'!AN164</f>
        <v>1</v>
      </c>
      <c r="AO164" s="168" t="n">
        <f aca="false">'VOL DWNLD'!AO164+'VOL DELTA'!AO164</f>
        <v>1</v>
      </c>
    </row>
    <row r="165" customFormat="false" ht="12.75" hidden="false" customHeight="false" outlineLevel="0" collapsed="false">
      <c r="A165" s="167" t="n">
        <v>41699</v>
      </c>
      <c r="B165" s="168" t="n">
        <f aca="false">'VOL DWNLD'!B165+'VOL DELTA'!B165</f>
        <v>1</v>
      </c>
      <c r="C165" s="168" t="n">
        <f aca="false">'VOL DWNLD'!C165+'VOL DELTA'!C165</f>
        <v>1</v>
      </c>
      <c r="D165" s="168" t="n">
        <f aca="false">'VOL DWNLD'!D165+'VOL DELTA'!D165</f>
        <v>1</v>
      </c>
      <c r="E165" s="168" t="n">
        <f aca="false">'VOL DWNLD'!E165+'VOL DELTA'!E165</f>
        <v>1</v>
      </c>
      <c r="F165" s="168" t="n">
        <f aca="false">'VOL DWNLD'!F165+'VOL DELTA'!F165</f>
        <v>1</v>
      </c>
      <c r="G165" s="168" t="n">
        <f aca="false">'VOL DWNLD'!G165+'VOL DELTA'!G165</f>
        <v>1</v>
      </c>
      <c r="H165" s="168" t="n">
        <f aca="false">'VOL DWNLD'!H165+'VOL DELTA'!H165</f>
        <v>1</v>
      </c>
      <c r="I165" s="168" t="n">
        <f aca="false">'VOL DWNLD'!I165+'VOL DELTA'!I165</f>
        <v>1</v>
      </c>
      <c r="J165" s="168" t="n">
        <f aca="false">'VOL DWNLD'!J165+'VOL DELTA'!J165</f>
        <v>1</v>
      </c>
      <c r="K165" s="168" t="n">
        <f aca="false">'VOL DWNLD'!K165+'VOL DELTA'!K165</f>
        <v>1</v>
      </c>
      <c r="L165" s="168" t="n">
        <f aca="false">'VOL DWNLD'!L165+'VOL DELTA'!L165</f>
        <v>1</v>
      </c>
      <c r="M165" s="168" t="n">
        <f aca="false">'VOL DWNLD'!M165+'VOL DELTA'!M165</f>
        <v>1</v>
      </c>
      <c r="N165" s="168" t="n">
        <f aca="false">'VOL DWNLD'!N165+'VOL DELTA'!N165</f>
        <v>1</v>
      </c>
      <c r="O165" s="168" t="n">
        <f aca="false">'VOL DWNLD'!O165+'VOL DELTA'!O165</f>
        <v>1</v>
      </c>
      <c r="P165" s="168" t="n">
        <f aca="false">'VOL DWNLD'!P165+'VOL DELTA'!P165</f>
        <v>1.03</v>
      </c>
      <c r="Q165" s="168" t="n">
        <f aca="false">'VOL DWNLD'!Q165+'VOL DELTA'!Q165</f>
        <v>1</v>
      </c>
      <c r="R165" s="168" t="n">
        <f aca="false">'VOL DWNLD'!R165+'VOL DELTA'!R165</f>
        <v>1</v>
      </c>
      <c r="S165" s="168" t="n">
        <f aca="false">'VOL DWNLD'!S165+'VOL DELTA'!S165</f>
        <v>1.02</v>
      </c>
      <c r="T165" s="168" t="n">
        <f aca="false">'VOL DWNLD'!T165+'VOL DELTA'!T165</f>
        <v>1</v>
      </c>
      <c r="U165" s="168" t="n">
        <f aca="false">'VOL DWNLD'!U165+'VOL DELTA'!U165</f>
        <v>1</v>
      </c>
      <c r="V165" s="168" t="n">
        <f aca="false">'VOL DWNLD'!V165+'VOL DELTA'!V165</f>
        <v>1</v>
      </c>
      <c r="W165" s="168" t="n">
        <f aca="false">'VOL DWNLD'!W165+'VOL DELTA'!W165</f>
        <v>1</v>
      </c>
      <c r="X165" s="168" t="n">
        <f aca="false">'VOL DWNLD'!X165+'VOL DELTA'!X165</f>
        <v>1</v>
      </c>
      <c r="Y165" s="168" t="n">
        <f aca="false">'VOL DWNLD'!Y165+'VOL DELTA'!Y165</f>
        <v>1</v>
      </c>
      <c r="Z165" s="168" t="n">
        <f aca="false">'VOL DWNLD'!Z165+'VOL DELTA'!Z165</f>
        <v>1</v>
      </c>
      <c r="AA165" s="168" t="n">
        <f aca="false">'VOL DWNLD'!AA165+'VOL DELTA'!AA165</f>
        <v>1</v>
      </c>
      <c r="AB165" s="168" t="n">
        <f aca="false">'VOL DWNLD'!AB165+'VOL DELTA'!AB165</f>
        <v>1</v>
      </c>
      <c r="AC165" s="168" t="n">
        <f aca="false">'VOL DWNLD'!AC165+'VOL DELTA'!AC165</f>
        <v>1</v>
      </c>
      <c r="AD165" s="168" t="n">
        <f aca="false">'VOL DWNLD'!AD165+'VOL DELTA'!AD165</f>
        <v>1</v>
      </c>
      <c r="AE165" s="168" t="n">
        <f aca="false">'VOL DWNLD'!AE165+'VOL DELTA'!AE165</f>
        <v>1</v>
      </c>
      <c r="AF165" s="168" t="n">
        <f aca="false">'VOL DWNLD'!AF165+'VOL DELTA'!AF165</f>
        <v>1.1</v>
      </c>
      <c r="AG165" s="168" t="n">
        <f aca="false">'VOL DWNLD'!AG165+'VOL DELTA'!AG165</f>
        <v>1.1</v>
      </c>
      <c r="AH165" s="168" t="n">
        <f aca="false">'VOL DWNLD'!AH165+'VOL DELTA'!AH165</f>
        <v>1.05</v>
      </c>
      <c r="AI165" s="168" t="n">
        <f aca="false">'VOL DWNLD'!AI165+'VOL DELTA'!AI165</f>
        <v>1</v>
      </c>
      <c r="AJ165" s="168" t="n">
        <f aca="false">'VOL DWNLD'!AJ165+'VOL DELTA'!AJ165</f>
        <v>1</v>
      </c>
      <c r="AK165" s="168" t="n">
        <f aca="false">'VOL DWNLD'!AK165+'VOL DELTA'!AK165</f>
        <v>1.02</v>
      </c>
      <c r="AL165" s="168" t="n">
        <f aca="false">'VOL DWNLD'!AL165+'VOL DELTA'!AL165</f>
        <v>1</v>
      </c>
      <c r="AM165" s="168" t="n">
        <f aca="false">'VOL DWNLD'!AM165+'VOL DELTA'!AM165</f>
        <v>1</v>
      </c>
      <c r="AN165" s="168" t="n">
        <f aca="false">'VOL DWNLD'!AN165+'VOL DELTA'!AN165</f>
        <v>1</v>
      </c>
      <c r="AO165" s="168" t="n">
        <f aca="false">'VOL DWNLD'!AO165+'VOL DELTA'!AO165</f>
        <v>1</v>
      </c>
    </row>
    <row r="166" customFormat="false" ht="12.75" hidden="false" customHeight="false" outlineLevel="0" collapsed="false">
      <c r="A166" s="167" t="n">
        <v>41730</v>
      </c>
      <c r="B166" s="168" t="n">
        <f aca="false">'VOL DWNLD'!B166+'VOL DELTA'!B166</f>
        <v>1</v>
      </c>
      <c r="C166" s="168" t="n">
        <f aca="false">'VOL DWNLD'!C166+'VOL DELTA'!C166</f>
        <v>1</v>
      </c>
      <c r="D166" s="168" t="n">
        <f aca="false">'VOL DWNLD'!D166+'VOL DELTA'!D166</f>
        <v>1</v>
      </c>
      <c r="E166" s="168" t="n">
        <f aca="false">'VOL DWNLD'!E166+'VOL DELTA'!E166</f>
        <v>1</v>
      </c>
      <c r="F166" s="168" t="n">
        <f aca="false">'VOL DWNLD'!F166+'VOL DELTA'!F166</f>
        <v>1</v>
      </c>
      <c r="G166" s="168" t="n">
        <f aca="false">'VOL DWNLD'!G166+'VOL DELTA'!G166</f>
        <v>1</v>
      </c>
      <c r="H166" s="168" t="n">
        <f aca="false">'VOL DWNLD'!H166+'VOL DELTA'!H166</f>
        <v>1</v>
      </c>
      <c r="I166" s="168" t="n">
        <f aca="false">'VOL DWNLD'!I166+'VOL DELTA'!I166</f>
        <v>1</v>
      </c>
      <c r="J166" s="168" t="n">
        <f aca="false">'VOL DWNLD'!J166+'VOL DELTA'!J166</f>
        <v>1</v>
      </c>
      <c r="K166" s="168" t="n">
        <f aca="false">'VOL DWNLD'!K166+'VOL DELTA'!K166</f>
        <v>1</v>
      </c>
      <c r="L166" s="168" t="n">
        <f aca="false">'VOL DWNLD'!L166+'VOL DELTA'!L166</f>
        <v>1</v>
      </c>
      <c r="M166" s="168" t="n">
        <f aca="false">'VOL DWNLD'!M166+'VOL DELTA'!M166</f>
        <v>1</v>
      </c>
      <c r="N166" s="168" t="n">
        <f aca="false">'VOL DWNLD'!N166+'VOL DELTA'!N166</f>
        <v>1</v>
      </c>
      <c r="O166" s="168" t="n">
        <f aca="false">'VOL DWNLD'!O166+'VOL DELTA'!O166</f>
        <v>1</v>
      </c>
      <c r="P166" s="168" t="n">
        <f aca="false">'VOL DWNLD'!P166+'VOL DELTA'!P166</f>
        <v>1.03</v>
      </c>
      <c r="Q166" s="168" t="n">
        <f aca="false">'VOL DWNLD'!Q166+'VOL DELTA'!Q166</f>
        <v>1</v>
      </c>
      <c r="R166" s="168" t="n">
        <f aca="false">'VOL DWNLD'!R166+'VOL DELTA'!R166</f>
        <v>1</v>
      </c>
      <c r="S166" s="168" t="n">
        <f aca="false">'VOL DWNLD'!S166+'VOL DELTA'!S166</f>
        <v>1.02</v>
      </c>
      <c r="T166" s="168" t="n">
        <f aca="false">'VOL DWNLD'!T166+'VOL DELTA'!T166</f>
        <v>1</v>
      </c>
      <c r="U166" s="168" t="n">
        <f aca="false">'VOL DWNLD'!U166+'VOL DELTA'!U166</f>
        <v>1</v>
      </c>
      <c r="V166" s="168" t="n">
        <f aca="false">'VOL DWNLD'!V166+'VOL DELTA'!V166</f>
        <v>1</v>
      </c>
      <c r="W166" s="168" t="n">
        <f aca="false">'VOL DWNLD'!W166+'VOL DELTA'!W166</f>
        <v>1</v>
      </c>
      <c r="X166" s="168" t="n">
        <f aca="false">'VOL DWNLD'!X166+'VOL DELTA'!X166</f>
        <v>1</v>
      </c>
      <c r="Y166" s="168" t="n">
        <f aca="false">'VOL DWNLD'!Y166+'VOL DELTA'!Y166</f>
        <v>1.02</v>
      </c>
      <c r="Z166" s="168" t="n">
        <f aca="false">'VOL DWNLD'!Z166+'VOL DELTA'!Z166</f>
        <v>1</v>
      </c>
      <c r="AA166" s="168" t="n">
        <f aca="false">'VOL DWNLD'!AA166+'VOL DELTA'!AA166</f>
        <v>1</v>
      </c>
      <c r="AB166" s="168" t="n">
        <f aca="false">'VOL DWNLD'!AB166+'VOL DELTA'!AB166</f>
        <v>1</v>
      </c>
      <c r="AC166" s="168" t="n">
        <f aca="false">'VOL DWNLD'!AC166+'VOL DELTA'!AC166</f>
        <v>1</v>
      </c>
      <c r="AD166" s="168" t="n">
        <f aca="false">'VOL DWNLD'!AD166+'VOL DELTA'!AD166</f>
        <v>0.98</v>
      </c>
      <c r="AE166" s="168" t="n">
        <f aca="false">'VOL DWNLD'!AE166+'VOL DELTA'!AE166</f>
        <v>0.98</v>
      </c>
      <c r="AF166" s="168" t="n">
        <f aca="false">'VOL DWNLD'!AF166+'VOL DELTA'!AF166</f>
        <v>0.98</v>
      </c>
      <c r="AG166" s="168" t="n">
        <f aca="false">'VOL DWNLD'!AG166+'VOL DELTA'!AG166</f>
        <v>0.98</v>
      </c>
      <c r="AH166" s="168" t="n">
        <f aca="false">'VOL DWNLD'!AH166+'VOL DELTA'!AH166</f>
        <v>1.05</v>
      </c>
      <c r="AI166" s="168" t="n">
        <f aca="false">'VOL DWNLD'!AI166+'VOL DELTA'!AI166</f>
        <v>1</v>
      </c>
      <c r="AJ166" s="168" t="n">
        <f aca="false">'VOL DWNLD'!AJ166+'VOL DELTA'!AJ166</f>
        <v>1</v>
      </c>
      <c r="AK166" s="168" t="n">
        <f aca="false">'VOL DWNLD'!AK166+'VOL DELTA'!AK166</f>
        <v>1.02</v>
      </c>
      <c r="AL166" s="168" t="n">
        <f aca="false">'VOL DWNLD'!AL166+'VOL DELTA'!AL166</f>
        <v>1</v>
      </c>
      <c r="AM166" s="168" t="n">
        <f aca="false">'VOL DWNLD'!AM166+'VOL DELTA'!AM166</f>
        <v>1</v>
      </c>
      <c r="AN166" s="168" t="n">
        <f aca="false">'VOL DWNLD'!AN166+'VOL DELTA'!AN166</f>
        <v>1</v>
      </c>
      <c r="AO166" s="168" t="n">
        <f aca="false">'VOL DWNLD'!AO166+'VOL DELTA'!AO166</f>
        <v>1</v>
      </c>
    </row>
    <row r="167" customFormat="false" ht="12.75" hidden="false" customHeight="false" outlineLevel="0" collapsed="false">
      <c r="A167" s="167" t="n">
        <v>41760</v>
      </c>
      <c r="B167" s="168" t="n">
        <f aca="false">'VOL DWNLD'!B167+'VOL DELTA'!B167</f>
        <v>1</v>
      </c>
      <c r="C167" s="168" t="n">
        <f aca="false">'VOL DWNLD'!C167+'VOL DELTA'!C167</f>
        <v>1</v>
      </c>
      <c r="D167" s="168" t="n">
        <f aca="false">'VOL DWNLD'!D167+'VOL DELTA'!D167</f>
        <v>1</v>
      </c>
      <c r="E167" s="168" t="n">
        <f aca="false">'VOL DWNLD'!E167+'VOL DELTA'!E167</f>
        <v>1</v>
      </c>
      <c r="F167" s="168" t="n">
        <f aca="false">'VOL DWNLD'!F167+'VOL DELTA'!F167</f>
        <v>1</v>
      </c>
      <c r="G167" s="168" t="n">
        <f aca="false">'VOL DWNLD'!G167+'VOL DELTA'!G167</f>
        <v>1</v>
      </c>
      <c r="H167" s="168" t="n">
        <f aca="false">'VOL DWNLD'!H167+'VOL DELTA'!H167</f>
        <v>1</v>
      </c>
      <c r="I167" s="168" t="n">
        <f aca="false">'VOL DWNLD'!I167+'VOL DELTA'!I167</f>
        <v>1</v>
      </c>
      <c r="J167" s="168" t="n">
        <f aca="false">'VOL DWNLD'!J167+'VOL DELTA'!J167</f>
        <v>1</v>
      </c>
      <c r="K167" s="168" t="n">
        <f aca="false">'VOL DWNLD'!K167+'VOL DELTA'!K167</f>
        <v>1</v>
      </c>
      <c r="L167" s="168" t="n">
        <f aca="false">'VOL DWNLD'!L167+'VOL DELTA'!L167</f>
        <v>1</v>
      </c>
      <c r="M167" s="168" t="n">
        <f aca="false">'VOL DWNLD'!M167+'VOL DELTA'!M167</f>
        <v>1</v>
      </c>
      <c r="N167" s="168" t="n">
        <f aca="false">'VOL DWNLD'!N167+'VOL DELTA'!N167</f>
        <v>1</v>
      </c>
      <c r="O167" s="168" t="n">
        <f aca="false">'VOL DWNLD'!O167+'VOL DELTA'!O167</f>
        <v>1</v>
      </c>
      <c r="P167" s="168" t="n">
        <f aca="false">'VOL DWNLD'!P167+'VOL DELTA'!P167</f>
        <v>1.03</v>
      </c>
      <c r="Q167" s="168" t="n">
        <f aca="false">'VOL DWNLD'!Q167+'VOL DELTA'!Q167</f>
        <v>1</v>
      </c>
      <c r="R167" s="168" t="n">
        <f aca="false">'VOL DWNLD'!R167+'VOL DELTA'!R167</f>
        <v>1</v>
      </c>
      <c r="S167" s="168" t="n">
        <f aca="false">'VOL DWNLD'!S167+'VOL DELTA'!S167</f>
        <v>1.02</v>
      </c>
      <c r="T167" s="168" t="n">
        <f aca="false">'VOL DWNLD'!T167+'VOL DELTA'!T167</f>
        <v>1</v>
      </c>
      <c r="U167" s="168" t="n">
        <f aca="false">'VOL DWNLD'!U167+'VOL DELTA'!U167</f>
        <v>1</v>
      </c>
      <c r="V167" s="168" t="n">
        <f aca="false">'VOL DWNLD'!V167+'VOL DELTA'!V167</f>
        <v>1</v>
      </c>
      <c r="W167" s="168" t="n">
        <f aca="false">'VOL DWNLD'!W167+'VOL DELTA'!W167</f>
        <v>1</v>
      </c>
      <c r="X167" s="168" t="n">
        <f aca="false">'VOL DWNLD'!X167+'VOL DELTA'!X167</f>
        <v>1</v>
      </c>
      <c r="Y167" s="168" t="n">
        <f aca="false">'VOL DWNLD'!Y167+'VOL DELTA'!Y167</f>
        <v>1.02</v>
      </c>
      <c r="Z167" s="168" t="n">
        <f aca="false">'VOL DWNLD'!Z167+'VOL DELTA'!Z167</f>
        <v>1</v>
      </c>
      <c r="AA167" s="168" t="n">
        <f aca="false">'VOL DWNLD'!AA167+'VOL DELTA'!AA167</f>
        <v>1</v>
      </c>
      <c r="AB167" s="168" t="n">
        <f aca="false">'VOL DWNLD'!AB167+'VOL DELTA'!AB167</f>
        <v>1</v>
      </c>
      <c r="AC167" s="168" t="n">
        <f aca="false">'VOL DWNLD'!AC167+'VOL DELTA'!AC167</f>
        <v>1</v>
      </c>
      <c r="AD167" s="168" t="n">
        <f aca="false">'VOL DWNLD'!AD167+'VOL DELTA'!AD167</f>
        <v>0.98</v>
      </c>
      <c r="AE167" s="168" t="n">
        <f aca="false">'VOL DWNLD'!AE167+'VOL DELTA'!AE167</f>
        <v>0.98</v>
      </c>
      <c r="AF167" s="168" t="n">
        <f aca="false">'VOL DWNLD'!AF167+'VOL DELTA'!AF167</f>
        <v>0.98</v>
      </c>
      <c r="AG167" s="168" t="n">
        <f aca="false">'VOL DWNLD'!AG167+'VOL DELTA'!AG167</f>
        <v>0.98</v>
      </c>
      <c r="AH167" s="168" t="n">
        <f aca="false">'VOL DWNLD'!AH167+'VOL DELTA'!AH167</f>
        <v>1.05</v>
      </c>
      <c r="AI167" s="168" t="n">
        <f aca="false">'VOL DWNLD'!AI167+'VOL DELTA'!AI167</f>
        <v>1</v>
      </c>
      <c r="AJ167" s="168" t="n">
        <f aca="false">'VOL DWNLD'!AJ167+'VOL DELTA'!AJ167</f>
        <v>1</v>
      </c>
      <c r="AK167" s="168" t="n">
        <f aca="false">'VOL DWNLD'!AK167+'VOL DELTA'!AK167</f>
        <v>1.02</v>
      </c>
      <c r="AL167" s="168" t="n">
        <f aca="false">'VOL DWNLD'!AL167+'VOL DELTA'!AL167</f>
        <v>1</v>
      </c>
      <c r="AM167" s="168" t="n">
        <f aca="false">'VOL DWNLD'!AM167+'VOL DELTA'!AM167</f>
        <v>1</v>
      </c>
      <c r="AN167" s="168" t="n">
        <f aca="false">'VOL DWNLD'!AN167+'VOL DELTA'!AN167</f>
        <v>1</v>
      </c>
      <c r="AO167" s="168" t="n">
        <f aca="false">'VOL DWNLD'!AO167+'VOL DELTA'!AO167</f>
        <v>1</v>
      </c>
    </row>
    <row r="168" customFormat="false" ht="12.75" hidden="false" customHeight="false" outlineLevel="0" collapsed="false">
      <c r="A168" s="167" t="n">
        <v>41791</v>
      </c>
      <c r="B168" s="168" t="n">
        <f aca="false">'VOL DWNLD'!B168+'VOL DELTA'!B168</f>
        <v>1</v>
      </c>
      <c r="C168" s="168" t="n">
        <f aca="false">'VOL DWNLD'!C168+'VOL DELTA'!C168</f>
        <v>1</v>
      </c>
      <c r="D168" s="168" t="n">
        <f aca="false">'VOL DWNLD'!D168+'VOL DELTA'!D168</f>
        <v>1</v>
      </c>
      <c r="E168" s="168" t="n">
        <f aca="false">'VOL DWNLD'!E168+'VOL DELTA'!E168</f>
        <v>1</v>
      </c>
      <c r="F168" s="168" t="n">
        <f aca="false">'VOL DWNLD'!F168+'VOL DELTA'!F168</f>
        <v>1</v>
      </c>
      <c r="G168" s="168" t="n">
        <f aca="false">'VOL DWNLD'!G168+'VOL DELTA'!G168</f>
        <v>1</v>
      </c>
      <c r="H168" s="168" t="n">
        <f aca="false">'VOL DWNLD'!H168+'VOL DELTA'!H168</f>
        <v>1</v>
      </c>
      <c r="I168" s="168" t="n">
        <f aca="false">'VOL DWNLD'!I168+'VOL DELTA'!I168</f>
        <v>1</v>
      </c>
      <c r="J168" s="168" t="n">
        <f aca="false">'VOL DWNLD'!J168+'VOL DELTA'!J168</f>
        <v>1</v>
      </c>
      <c r="K168" s="168" t="n">
        <f aca="false">'VOL DWNLD'!K168+'VOL DELTA'!K168</f>
        <v>1</v>
      </c>
      <c r="L168" s="168" t="n">
        <f aca="false">'VOL DWNLD'!L168+'VOL DELTA'!L168</f>
        <v>1</v>
      </c>
      <c r="M168" s="168" t="n">
        <f aca="false">'VOL DWNLD'!M168+'VOL DELTA'!M168</f>
        <v>1</v>
      </c>
      <c r="N168" s="168" t="n">
        <f aca="false">'VOL DWNLD'!N168+'VOL DELTA'!N168</f>
        <v>1</v>
      </c>
      <c r="O168" s="168" t="n">
        <f aca="false">'VOL DWNLD'!O168+'VOL DELTA'!O168</f>
        <v>1</v>
      </c>
      <c r="P168" s="168" t="n">
        <f aca="false">'VOL DWNLD'!P168+'VOL DELTA'!P168</f>
        <v>1.03</v>
      </c>
      <c r="Q168" s="168" t="n">
        <f aca="false">'VOL DWNLD'!Q168+'VOL DELTA'!Q168</f>
        <v>1</v>
      </c>
      <c r="R168" s="168" t="n">
        <f aca="false">'VOL DWNLD'!R168+'VOL DELTA'!R168</f>
        <v>1</v>
      </c>
      <c r="S168" s="168" t="n">
        <f aca="false">'VOL DWNLD'!S168+'VOL DELTA'!S168</f>
        <v>1.02</v>
      </c>
      <c r="T168" s="168" t="n">
        <f aca="false">'VOL DWNLD'!T168+'VOL DELTA'!T168</f>
        <v>1</v>
      </c>
      <c r="U168" s="168" t="n">
        <f aca="false">'VOL DWNLD'!U168+'VOL DELTA'!U168</f>
        <v>1</v>
      </c>
      <c r="V168" s="168" t="n">
        <f aca="false">'VOL DWNLD'!V168+'VOL DELTA'!V168</f>
        <v>1</v>
      </c>
      <c r="W168" s="168" t="n">
        <f aca="false">'VOL DWNLD'!W168+'VOL DELTA'!W168</f>
        <v>1</v>
      </c>
      <c r="X168" s="168" t="n">
        <f aca="false">'VOL DWNLD'!X168+'VOL DELTA'!X168</f>
        <v>1</v>
      </c>
      <c r="Y168" s="168" t="n">
        <f aca="false">'VOL DWNLD'!Y168+'VOL DELTA'!Y168</f>
        <v>1.02</v>
      </c>
      <c r="Z168" s="168" t="n">
        <f aca="false">'VOL DWNLD'!Z168+'VOL DELTA'!Z168</f>
        <v>1</v>
      </c>
      <c r="AA168" s="168" t="n">
        <f aca="false">'VOL DWNLD'!AA168+'VOL DELTA'!AA168</f>
        <v>1</v>
      </c>
      <c r="AB168" s="168" t="n">
        <f aca="false">'VOL DWNLD'!AB168+'VOL DELTA'!AB168</f>
        <v>1</v>
      </c>
      <c r="AC168" s="168" t="n">
        <f aca="false">'VOL DWNLD'!AC168+'VOL DELTA'!AC168</f>
        <v>1</v>
      </c>
      <c r="AD168" s="168" t="n">
        <f aca="false">'VOL DWNLD'!AD168+'VOL DELTA'!AD168</f>
        <v>0.98</v>
      </c>
      <c r="AE168" s="168" t="n">
        <f aca="false">'VOL DWNLD'!AE168+'VOL DELTA'!AE168</f>
        <v>0.98</v>
      </c>
      <c r="AF168" s="168" t="n">
        <f aca="false">'VOL DWNLD'!AF168+'VOL DELTA'!AF168</f>
        <v>0.98</v>
      </c>
      <c r="AG168" s="168" t="n">
        <f aca="false">'VOL DWNLD'!AG168+'VOL DELTA'!AG168</f>
        <v>0.98</v>
      </c>
      <c r="AH168" s="168" t="n">
        <f aca="false">'VOL DWNLD'!AH168+'VOL DELTA'!AH168</f>
        <v>1.05</v>
      </c>
      <c r="AI168" s="168" t="n">
        <f aca="false">'VOL DWNLD'!AI168+'VOL DELTA'!AI168</f>
        <v>1</v>
      </c>
      <c r="AJ168" s="168" t="n">
        <f aca="false">'VOL DWNLD'!AJ168+'VOL DELTA'!AJ168</f>
        <v>1</v>
      </c>
      <c r="AK168" s="168" t="n">
        <f aca="false">'VOL DWNLD'!AK168+'VOL DELTA'!AK168</f>
        <v>1.02</v>
      </c>
      <c r="AL168" s="168" t="n">
        <f aca="false">'VOL DWNLD'!AL168+'VOL DELTA'!AL168</f>
        <v>1</v>
      </c>
      <c r="AM168" s="168" t="n">
        <f aca="false">'VOL DWNLD'!AM168+'VOL DELTA'!AM168</f>
        <v>1</v>
      </c>
      <c r="AN168" s="168" t="n">
        <f aca="false">'VOL DWNLD'!AN168+'VOL DELTA'!AN168</f>
        <v>1</v>
      </c>
      <c r="AO168" s="168" t="n">
        <f aca="false">'VOL DWNLD'!AO168+'VOL DELTA'!AO168</f>
        <v>1</v>
      </c>
    </row>
    <row r="169" customFormat="false" ht="12.75" hidden="false" customHeight="false" outlineLevel="0" collapsed="false">
      <c r="A169" s="167" t="n">
        <v>41821</v>
      </c>
      <c r="B169" s="168" t="n">
        <f aca="false">'VOL DWNLD'!B169+'VOL DELTA'!B169</f>
        <v>1</v>
      </c>
      <c r="C169" s="168" t="n">
        <f aca="false">'VOL DWNLD'!C169+'VOL DELTA'!C169</f>
        <v>1</v>
      </c>
      <c r="D169" s="168" t="n">
        <f aca="false">'VOL DWNLD'!D169+'VOL DELTA'!D169</f>
        <v>1</v>
      </c>
      <c r="E169" s="168" t="n">
        <f aca="false">'VOL DWNLD'!E169+'VOL DELTA'!E169</f>
        <v>1</v>
      </c>
      <c r="F169" s="168" t="n">
        <f aca="false">'VOL DWNLD'!F169+'VOL DELTA'!F169</f>
        <v>1</v>
      </c>
      <c r="G169" s="168" t="n">
        <f aca="false">'VOL DWNLD'!G169+'VOL DELTA'!G169</f>
        <v>1</v>
      </c>
      <c r="H169" s="168" t="n">
        <f aca="false">'VOL DWNLD'!H169+'VOL DELTA'!H169</f>
        <v>1</v>
      </c>
      <c r="I169" s="168" t="n">
        <f aca="false">'VOL DWNLD'!I169+'VOL DELTA'!I169</f>
        <v>1</v>
      </c>
      <c r="J169" s="168" t="n">
        <f aca="false">'VOL DWNLD'!J169+'VOL DELTA'!J169</f>
        <v>1</v>
      </c>
      <c r="K169" s="168" t="n">
        <f aca="false">'VOL DWNLD'!K169+'VOL DELTA'!K169</f>
        <v>1</v>
      </c>
      <c r="L169" s="168" t="n">
        <f aca="false">'VOL DWNLD'!L169+'VOL DELTA'!L169</f>
        <v>1</v>
      </c>
      <c r="M169" s="168" t="n">
        <f aca="false">'VOL DWNLD'!M169+'VOL DELTA'!M169</f>
        <v>1</v>
      </c>
      <c r="N169" s="168" t="n">
        <f aca="false">'VOL DWNLD'!N169+'VOL DELTA'!N169</f>
        <v>1</v>
      </c>
      <c r="O169" s="168" t="n">
        <f aca="false">'VOL DWNLD'!O169+'VOL DELTA'!O169</f>
        <v>1</v>
      </c>
      <c r="P169" s="168" t="n">
        <f aca="false">'VOL DWNLD'!P169+'VOL DELTA'!P169</f>
        <v>1.03</v>
      </c>
      <c r="Q169" s="168" t="n">
        <f aca="false">'VOL DWNLD'!Q169+'VOL DELTA'!Q169</f>
        <v>1</v>
      </c>
      <c r="R169" s="168" t="n">
        <f aca="false">'VOL DWNLD'!R169+'VOL DELTA'!R169</f>
        <v>1</v>
      </c>
      <c r="S169" s="168" t="n">
        <f aca="false">'VOL DWNLD'!S169+'VOL DELTA'!S169</f>
        <v>1.02</v>
      </c>
      <c r="T169" s="168" t="n">
        <f aca="false">'VOL DWNLD'!T169+'VOL DELTA'!T169</f>
        <v>1</v>
      </c>
      <c r="U169" s="168" t="n">
        <f aca="false">'VOL DWNLD'!U169+'VOL DELTA'!U169</f>
        <v>1</v>
      </c>
      <c r="V169" s="168" t="n">
        <f aca="false">'VOL DWNLD'!V169+'VOL DELTA'!V169</f>
        <v>1</v>
      </c>
      <c r="W169" s="168" t="n">
        <f aca="false">'VOL DWNLD'!W169+'VOL DELTA'!W169</f>
        <v>1</v>
      </c>
      <c r="X169" s="168" t="n">
        <f aca="false">'VOL DWNLD'!X169+'VOL DELTA'!X169</f>
        <v>1</v>
      </c>
      <c r="Y169" s="168" t="n">
        <f aca="false">'VOL DWNLD'!Y169+'VOL DELTA'!Y169</f>
        <v>1.02</v>
      </c>
      <c r="Z169" s="168" t="n">
        <f aca="false">'VOL DWNLD'!Z169+'VOL DELTA'!Z169</f>
        <v>1</v>
      </c>
      <c r="AA169" s="168" t="n">
        <f aca="false">'VOL DWNLD'!AA169+'VOL DELTA'!AA169</f>
        <v>1</v>
      </c>
      <c r="AB169" s="168" t="n">
        <f aca="false">'VOL DWNLD'!AB169+'VOL DELTA'!AB169</f>
        <v>1</v>
      </c>
      <c r="AC169" s="168" t="n">
        <f aca="false">'VOL DWNLD'!AC169+'VOL DELTA'!AC169</f>
        <v>1</v>
      </c>
      <c r="AD169" s="168" t="n">
        <f aca="false">'VOL DWNLD'!AD169+'VOL DELTA'!AD169</f>
        <v>0.98</v>
      </c>
      <c r="AE169" s="168" t="n">
        <f aca="false">'VOL DWNLD'!AE169+'VOL DELTA'!AE169</f>
        <v>0.98</v>
      </c>
      <c r="AF169" s="168" t="n">
        <f aca="false">'VOL DWNLD'!AF169+'VOL DELTA'!AF169</f>
        <v>0.98</v>
      </c>
      <c r="AG169" s="168" t="n">
        <f aca="false">'VOL DWNLD'!AG169+'VOL DELTA'!AG169</f>
        <v>0.98</v>
      </c>
      <c r="AH169" s="168" t="n">
        <f aca="false">'VOL DWNLD'!AH169+'VOL DELTA'!AH169</f>
        <v>1.05</v>
      </c>
      <c r="AI169" s="168" t="n">
        <f aca="false">'VOL DWNLD'!AI169+'VOL DELTA'!AI169</f>
        <v>1</v>
      </c>
      <c r="AJ169" s="168" t="n">
        <f aca="false">'VOL DWNLD'!AJ169+'VOL DELTA'!AJ169</f>
        <v>1</v>
      </c>
      <c r="AK169" s="168" t="n">
        <f aca="false">'VOL DWNLD'!AK169+'VOL DELTA'!AK169</f>
        <v>1.02</v>
      </c>
      <c r="AL169" s="168" t="n">
        <f aca="false">'VOL DWNLD'!AL169+'VOL DELTA'!AL169</f>
        <v>1</v>
      </c>
      <c r="AM169" s="168" t="n">
        <f aca="false">'VOL DWNLD'!AM169+'VOL DELTA'!AM169</f>
        <v>1</v>
      </c>
      <c r="AN169" s="168" t="n">
        <f aca="false">'VOL DWNLD'!AN169+'VOL DELTA'!AN169</f>
        <v>1</v>
      </c>
      <c r="AO169" s="168" t="n">
        <f aca="false">'VOL DWNLD'!AO169+'VOL DELTA'!AO169</f>
        <v>1</v>
      </c>
    </row>
    <row r="170" customFormat="false" ht="12.75" hidden="false" customHeight="false" outlineLevel="0" collapsed="false">
      <c r="A170" s="167" t="n">
        <v>41852</v>
      </c>
      <c r="B170" s="168" t="n">
        <f aca="false">'VOL DWNLD'!B170+'VOL DELTA'!B170</f>
        <v>1</v>
      </c>
      <c r="C170" s="168" t="n">
        <f aca="false">'VOL DWNLD'!C170+'VOL DELTA'!C170</f>
        <v>1</v>
      </c>
      <c r="D170" s="168" t="n">
        <f aca="false">'VOL DWNLD'!D170+'VOL DELTA'!D170</f>
        <v>1</v>
      </c>
      <c r="E170" s="168" t="n">
        <f aca="false">'VOL DWNLD'!E170+'VOL DELTA'!E170</f>
        <v>1</v>
      </c>
      <c r="F170" s="168" t="n">
        <f aca="false">'VOL DWNLD'!F170+'VOL DELTA'!F170</f>
        <v>1</v>
      </c>
      <c r="G170" s="168" t="n">
        <f aca="false">'VOL DWNLD'!G170+'VOL DELTA'!G170</f>
        <v>1</v>
      </c>
      <c r="H170" s="168" t="n">
        <f aca="false">'VOL DWNLD'!H170+'VOL DELTA'!H170</f>
        <v>1</v>
      </c>
      <c r="I170" s="168" t="n">
        <f aca="false">'VOL DWNLD'!I170+'VOL DELTA'!I170</f>
        <v>1</v>
      </c>
      <c r="J170" s="168" t="n">
        <f aca="false">'VOL DWNLD'!J170+'VOL DELTA'!J170</f>
        <v>1</v>
      </c>
      <c r="K170" s="168" t="n">
        <f aca="false">'VOL DWNLD'!K170+'VOL DELTA'!K170</f>
        <v>1</v>
      </c>
      <c r="L170" s="168" t="n">
        <f aca="false">'VOL DWNLD'!L170+'VOL DELTA'!L170</f>
        <v>1</v>
      </c>
      <c r="M170" s="168" t="n">
        <f aca="false">'VOL DWNLD'!M170+'VOL DELTA'!M170</f>
        <v>1</v>
      </c>
      <c r="N170" s="168" t="n">
        <f aca="false">'VOL DWNLD'!N170+'VOL DELTA'!N170</f>
        <v>1</v>
      </c>
      <c r="O170" s="168" t="n">
        <f aca="false">'VOL DWNLD'!O170+'VOL DELTA'!O170</f>
        <v>1</v>
      </c>
      <c r="P170" s="168" t="n">
        <f aca="false">'VOL DWNLD'!P170+'VOL DELTA'!P170</f>
        <v>1.03</v>
      </c>
      <c r="Q170" s="168" t="n">
        <f aca="false">'VOL DWNLD'!Q170+'VOL DELTA'!Q170</f>
        <v>1</v>
      </c>
      <c r="R170" s="168" t="n">
        <f aca="false">'VOL DWNLD'!R170+'VOL DELTA'!R170</f>
        <v>1</v>
      </c>
      <c r="S170" s="168" t="n">
        <f aca="false">'VOL DWNLD'!S170+'VOL DELTA'!S170</f>
        <v>1.02</v>
      </c>
      <c r="T170" s="168" t="n">
        <f aca="false">'VOL DWNLD'!T170+'VOL DELTA'!T170</f>
        <v>1</v>
      </c>
      <c r="U170" s="168" t="n">
        <f aca="false">'VOL DWNLD'!U170+'VOL DELTA'!U170</f>
        <v>1</v>
      </c>
      <c r="V170" s="168" t="n">
        <f aca="false">'VOL DWNLD'!V170+'VOL DELTA'!V170</f>
        <v>1</v>
      </c>
      <c r="W170" s="168" t="n">
        <f aca="false">'VOL DWNLD'!W170+'VOL DELTA'!W170</f>
        <v>1</v>
      </c>
      <c r="X170" s="168" t="n">
        <f aca="false">'VOL DWNLD'!X170+'VOL DELTA'!X170</f>
        <v>1</v>
      </c>
      <c r="Y170" s="168" t="n">
        <f aca="false">'VOL DWNLD'!Y170+'VOL DELTA'!Y170</f>
        <v>1.02</v>
      </c>
      <c r="Z170" s="168" t="n">
        <f aca="false">'VOL DWNLD'!Z170+'VOL DELTA'!Z170</f>
        <v>1</v>
      </c>
      <c r="AA170" s="168" t="n">
        <f aca="false">'VOL DWNLD'!AA170+'VOL DELTA'!AA170</f>
        <v>1</v>
      </c>
      <c r="AB170" s="168" t="n">
        <f aca="false">'VOL DWNLD'!AB170+'VOL DELTA'!AB170</f>
        <v>1</v>
      </c>
      <c r="AC170" s="168" t="n">
        <f aca="false">'VOL DWNLD'!AC170+'VOL DELTA'!AC170</f>
        <v>1</v>
      </c>
      <c r="AD170" s="168" t="n">
        <f aca="false">'VOL DWNLD'!AD170+'VOL DELTA'!AD170</f>
        <v>0.98</v>
      </c>
      <c r="AE170" s="168" t="n">
        <f aca="false">'VOL DWNLD'!AE170+'VOL DELTA'!AE170</f>
        <v>0.98</v>
      </c>
      <c r="AF170" s="168" t="n">
        <f aca="false">'VOL DWNLD'!AF170+'VOL DELTA'!AF170</f>
        <v>0.98</v>
      </c>
      <c r="AG170" s="168" t="n">
        <f aca="false">'VOL DWNLD'!AG170+'VOL DELTA'!AG170</f>
        <v>0.98</v>
      </c>
      <c r="AH170" s="168" t="n">
        <f aca="false">'VOL DWNLD'!AH170+'VOL DELTA'!AH170</f>
        <v>1.05</v>
      </c>
      <c r="AI170" s="168" t="n">
        <f aca="false">'VOL DWNLD'!AI170+'VOL DELTA'!AI170</f>
        <v>1</v>
      </c>
      <c r="AJ170" s="168" t="n">
        <f aca="false">'VOL DWNLD'!AJ170+'VOL DELTA'!AJ170</f>
        <v>1</v>
      </c>
      <c r="AK170" s="168" t="n">
        <f aca="false">'VOL DWNLD'!AK170+'VOL DELTA'!AK170</f>
        <v>1.02</v>
      </c>
      <c r="AL170" s="168" t="n">
        <f aca="false">'VOL DWNLD'!AL170+'VOL DELTA'!AL170</f>
        <v>1</v>
      </c>
      <c r="AM170" s="168" t="n">
        <f aca="false">'VOL DWNLD'!AM170+'VOL DELTA'!AM170</f>
        <v>1</v>
      </c>
      <c r="AN170" s="168" t="n">
        <f aca="false">'VOL DWNLD'!AN170+'VOL DELTA'!AN170</f>
        <v>1</v>
      </c>
      <c r="AO170" s="168" t="n">
        <f aca="false">'VOL DWNLD'!AO170+'VOL DELTA'!AO170</f>
        <v>1</v>
      </c>
    </row>
    <row r="171" customFormat="false" ht="12.75" hidden="false" customHeight="false" outlineLevel="0" collapsed="false">
      <c r="A171" s="167" t="n">
        <v>41883</v>
      </c>
      <c r="B171" s="168" t="n">
        <f aca="false">'VOL DWNLD'!B171+'VOL DELTA'!B171</f>
        <v>1</v>
      </c>
      <c r="C171" s="168" t="n">
        <f aca="false">'VOL DWNLD'!C171+'VOL DELTA'!C171</f>
        <v>1</v>
      </c>
      <c r="D171" s="168" t="n">
        <f aca="false">'VOL DWNLD'!D171+'VOL DELTA'!D171</f>
        <v>1</v>
      </c>
      <c r="E171" s="168" t="n">
        <f aca="false">'VOL DWNLD'!E171+'VOL DELTA'!E171</f>
        <v>1</v>
      </c>
      <c r="F171" s="168" t="n">
        <f aca="false">'VOL DWNLD'!F171+'VOL DELTA'!F171</f>
        <v>1</v>
      </c>
      <c r="G171" s="168" t="n">
        <f aca="false">'VOL DWNLD'!G171+'VOL DELTA'!G171</f>
        <v>1</v>
      </c>
      <c r="H171" s="168" t="n">
        <f aca="false">'VOL DWNLD'!H171+'VOL DELTA'!H171</f>
        <v>1</v>
      </c>
      <c r="I171" s="168" t="n">
        <f aca="false">'VOL DWNLD'!I171+'VOL DELTA'!I171</f>
        <v>1</v>
      </c>
      <c r="J171" s="168" t="n">
        <f aca="false">'VOL DWNLD'!J171+'VOL DELTA'!J171</f>
        <v>1</v>
      </c>
      <c r="K171" s="168" t="n">
        <f aca="false">'VOL DWNLD'!K171+'VOL DELTA'!K171</f>
        <v>1</v>
      </c>
      <c r="L171" s="168" t="n">
        <f aca="false">'VOL DWNLD'!L171+'VOL DELTA'!L171</f>
        <v>1</v>
      </c>
      <c r="M171" s="168" t="n">
        <f aca="false">'VOL DWNLD'!M171+'VOL DELTA'!M171</f>
        <v>1</v>
      </c>
      <c r="N171" s="168" t="n">
        <f aca="false">'VOL DWNLD'!N171+'VOL DELTA'!N171</f>
        <v>1</v>
      </c>
      <c r="O171" s="168" t="n">
        <f aca="false">'VOL DWNLD'!O171+'VOL DELTA'!O171</f>
        <v>1</v>
      </c>
      <c r="P171" s="168" t="n">
        <f aca="false">'VOL DWNLD'!P171+'VOL DELTA'!P171</f>
        <v>1.03</v>
      </c>
      <c r="Q171" s="168" t="n">
        <f aca="false">'VOL DWNLD'!Q171+'VOL DELTA'!Q171</f>
        <v>1</v>
      </c>
      <c r="R171" s="168" t="n">
        <f aca="false">'VOL DWNLD'!R171+'VOL DELTA'!R171</f>
        <v>1</v>
      </c>
      <c r="S171" s="168" t="n">
        <f aca="false">'VOL DWNLD'!S171+'VOL DELTA'!S171</f>
        <v>1.02</v>
      </c>
      <c r="T171" s="168" t="n">
        <f aca="false">'VOL DWNLD'!T171+'VOL DELTA'!T171</f>
        <v>1</v>
      </c>
      <c r="U171" s="168" t="n">
        <f aca="false">'VOL DWNLD'!U171+'VOL DELTA'!U171</f>
        <v>1</v>
      </c>
      <c r="V171" s="168" t="n">
        <f aca="false">'VOL DWNLD'!V171+'VOL DELTA'!V171</f>
        <v>1</v>
      </c>
      <c r="W171" s="168" t="n">
        <f aca="false">'VOL DWNLD'!W171+'VOL DELTA'!W171</f>
        <v>1</v>
      </c>
      <c r="X171" s="168" t="n">
        <f aca="false">'VOL DWNLD'!X171+'VOL DELTA'!X171</f>
        <v>1</v>
      </c>
      <c r="Y171" s="168" t="n">
        <f aca="false">'VOL DWNLD'!Y171+'VOL DELTA'!Y171</f>
        <v>1.02</v>
      </c>
      <c r="Z171" s="168" t="n">
        <f aca="false">'VOL DWNLD'!Z171+'VOL DELTA'!Z171</f>
        <v>1</v>
      </c>
      <c r="AA171" s="168" t="n">
        <f aca="false">'VOL DWNLD'!AA171+'VOL DELTA'!AA171</f>
        <v>1</v>
      </c>
      <c r="AB171" s="168" t="n">
        <f aca="false">'VOL DWNLD'!AB171+'VOL DELTA'!AB171</f>
        <v>1</v>
      </c>
      <c r="AC171" s="168" t="n">
        <f aca="false">'VOL DWNLD'!AC171+'VOL DELTA'!AC171</f>
        <v>1</v>
      </c>
      <c r="AD171" s="168" t="n">
        <f aca="false">'VOL DWNLD'!AD171+'VOL DELTA'!AD171</f>
        <v>0.98</v>
      </c>
      <c r="AE171" s="168" t="n">
        <f aca="false">'VOL DWNLD'!AE171+'VOL DELTA'!AE171</f>
        <v>0.98</v>
      </c>
      <c r="AF171" s="168" t="n">
        <f aca="false">'VOL DWNLD'!AF171+'VOL DELTA'!AF171</f>
        <v>0.98</v>
      </c>
      <c r="AG171" s="168" t="n">
        <f aca="false">'VOL DWNLD'!AG171+'VOL DELTA'!AG171</f>
        <v>0.98</v>
      </c>
      <c r="AH171" s="168" t="n">
        <f aca="false">'VOL DWNLD'!AH171+'VOL DELTA'!AH171</f>
        <v>1.05</v>
      </c>
      <c r="AI171" s="168" t="n">
        <f aca="false">'VOL DWNLD'!AI171+'VOL DELTA'!AI171</f>
        <v>1</v>
      </c>
      <c r="AJ171" s="168" t="n">
        <f aca="false">'VOL DWNLD'!AJ171+'VOL DELTA'!AJ171</f>
        <v>1</v>
      </c>
      <c r="AK171" s="168" t="n">
        <f aca="false">'VOL DWNLD'!AK171+'VOL DELTA'!AK171</f>
        <v>1.02</v>
      </c>
      <c r="AL171" s="168" t="n">
        <f aca="false">'VOL DWNLD'!AL171+'VOL DELTA'!AL171</f>
        <v>1</v>
      </c>
      <c r="AM171" s="168" t="n">
        <f aca="false">'VOL DWNLD'!AM171+'VOL DELTA'!AM171</f>
        <v>1</v>
      </c>
      <c r="AN171" s="168" t="n">
        <f aca="false">'VOL DWNLD'!AN171+'VOL DELTA'!AN171</f>
        <v>1</v>
      </c>
      <c r="AO171" s="168" t="n">
        <f aca="false">'VOL DWNLD'!AO171+'VOL DELTA'!AO171</f>
        <v>1</v>
      </c>
    </row>
    <row r="172" customFormat="false" ht="12.75" hidden="false" customHeight="false" outlineLevel="0" collapsed="false">
      <c r="A172" s="167" t="n">
        <v>41913</v>
      </c>
      <c r="B172" s="168" t="n">
        <f aca="false">'VOL DWNLD'!B172+'VOL DELTA'!B172</f>
        <v>1</v>
      </c>
      <c r="C172" s="168" t="n">
        <f aca="false">'VOL DWNLD'!C172+'VOL DELTA'!C172</f>
        <v>1</v>
      </c>
      <c r="D172" s="168" t="n">
        <f aca="false">'VOL DWNLD'!D172+'VOL DELTA'!D172</f>
        <v>1</v>
      </c>
      <c r="E172" s="168" t="n">
        <f aca="false">'VOL DWNLD'!E172+'VOL DELTA'!E172</f>
        <v>1</v>
      </c>
      <c r="F172" s="168" t="n">
        <f aca="false">'VOL DWNLD'!F172+'VOL DELTA'!F172</f>
        <v>1</v>
      </c>
      <c r="G172" s="168" t="n">
        <f aca="false">'VOL DWNLD'!G172+'VOL DELTA'!G172</f>
        <v>1</v>
      </c>
      <c r="H172" s="168" t="n">
        <f aca="false">'VOL DWNLD'!H172+'VOL DELTA'!H172</f>
        <v>1</v>
      </c>
      <c r="I172" s="168" t="n">
        <f aca="false">'VOL DWNLD'!I172+'VOL DELTA'!I172</f>
        <v>1</v>
      </c>
      <c r="J172" s="168" t="n">
        <f aca="false">'VOL DWNLD'!J172+'VOL DELTA'!J172</f>
        <v>1</v>
      </c>
      <c r="K172" s="168" t="n">
        <f aca="false">'VOL DWNLD'!K172+'VOL DELTA'!K172</f>
        <v>1</v>
      </c>
      <c r="L172" s="168" t="n">
        <f aca="false">'VOL DWNLD'!L172+'VOL DELTA'!L172</f>
        <v>1</v>
      </c>
      <c r="M172" s="168" t="n">
        <f aca="false">'VOL DWNLD'!M172+'VOL DELTA'!M172</f>
        <v>1</v>
      </c>
      <c r="N172" s="168" t="n">
        <f aca="false">'VOL DWNLD'!N172+'VOL DELTA'!N172</f>
        <v>1</v>
      </c>
      <c r="O172" s="168" t="n">
        <f aca="false">'VOL DWNLD'!O172+'VOL DELTA'!O172</f>
        <v>1</v>
      </c>
      <c r="P172" s="168" t="n">
        <f aca="false">'VOL DWNLD'!P172+'VOL DELTA'!P172</f>
        <v>1.03</v>
      </c>
      <c r="Q172" s="168" t="n">
        <f aca="false">'VOL DWNLD'!Q172+'VOL DELTA'!Q172</f>
        <v>1</v>
      </c>
      <c r="R172" s="168" t="n">
        <f aca="false">'VOL DWNLD'!R172+'VOL DELTA'!R172</f>
        <v>1</v>
      </c>
      <c r="S172" s="168" t="n">
        <f aca="false">'VOL DWNLD'!S172+'VOL DELTA'!S172</f>
        <v>1.02</v>
      </c>
      <c r="T172" s="168" t="n">
        <f aca="false">'VOL DWNLD'!T172+'VOL DELTA'!T172</f>
        <v>1</v>
      </c>
      <c r="U172" s="168" t="n">
        <f aca="false">'VOL DWNLD'!U172+'VOL DELTA'!U172</f>
        <v>1</v>
      </c>
      <c r="V172" s="168" t="n">
        <f aca="false">'VOL DWNLD'!V172+'VOL DELTA'!V172</f>
        <v>1</v>
      </c>
      <c r="W172" s="168" t="n">
        <f aca="false">'VOL DWNLD'!W172+'VOL DELTA'!W172</f>
        <v>1</v>
      </c>
      <c r="X172" s="168" t="n">
        <f aca="false">'VOL DWNLD'!X172+'VOL DELTA'!X172</f>
        <v>1</v>
      </c>
      <c r="Y172" s="168" t="n">
        <f aca="false">'VOL DWNLD'!Y172+'VOL DELTA'!Y172</f>
        <v>1.02</v>
      </c>
      <c r="Z172" s="168" t="n">
        <f aca="false">'VOL DWNLD'!Z172+'VOL DELTA'!Z172</f>
        <v>1</v>
      </c>
      <c r="AA172" s="168" t="n">
        <f aca="false">'VOL DWNLD'!AA172+'VOL DELTA'!AA172</f>
        <v>1</v>
      </c>
      <c r="AB172" s="168" t="n">
        <f aca="false">'VOL DWNLD'!AB172+'VOL DELTA'!AB172</f>
        <v>1</v>
      </c>
      <c r="AC172" s="168" t="n">
        <f aca="false">'VOL DWNLD'!AC172+'VOL DELTA'!AC172</f>
        <v>1</v>
      </c>
      <c r="AD172" s="168" t="n">
        <f aca="false">'VOL DWNLD'!AD172+'VOL DELTA'!AD172</f>
        <v>0.98</v>
      </c>
      <c r="AE172" s="168" t="n">
        <f aca="false">'VOL DWNLD'!AE172+'VOL DELTA'!AE172</f>
        <v>0.98</v>
      </c>
      <c r="AF172" s="168" t="n">
        <f aca="false">'VOL DWNLD'!AF172+'VOL DELTA'!AF172</f>
        <v>0.98</v>
      </c>
      <c r="AG172" s="168" t="n">
        <f aca="false">'VOL DWNLD'!AG172+'VOL DELTA'!AG172</f>
        <v>0.98</v>
      </c>
      <c r="AH172" s="168" t="n">
        <f aca="false">'VOL DWNLD'!AH172+'VOL DELTA'!AH172</f>
        <v>1.05</v>
      </c>
      <c r="AI172" s="168" t="n">
        <f aca="false">'VOL DWNLD'!AI172+'VOL DELTA'!AI172</f>
        <v>1</v>
      </c>
      <c r="AJ172" s="168" t="n">
        <f aca="false">'VOL DWNLD'!AJ172+'VOL DELTA'!AJ172</f>
        <v>1</v>
      </c>
      <c r="AK172" s="168" t="n">
        <f aca="false">'VOL DWNLD'!AK172+'VOL DELTA'!AK172</f>
        <v>1.02</v>
      </c>
      <c r="AL172" s="168" t="n">
        <f aca="false">'VOL DWNLD'!AL172+'VOL DELTA'!AL172</f>
        <v>1</v>
      </c>
      <c r="AM172" s="168" t="n">
        <f aca="false">'VOL DWNLD'!AM172+'VOL DELTA'!AM172</f>
        <v>1</v>
      </c>
      <c r="AN172" s="168" t="n">
        <f aca="false">'VOL DWNLD'!AN172+'VOL DELTA'!AN172</f>
        <v>1</v>
      </c>
      <c r="AO172" s="168" t="n">
        <f aca="false">'VOL DWNLD'!AO172+'VOL DELTA'!AO172</f>
        <v>1</v>
      </c>
    </row>
    <row r="173" customFormat="false" ht="12.75" hidden="false" customHeight="false" outlineLevel="0" collapsed="false">
      <c r="A173" s="167" t="n">
        <v>41944</v>
      </c>
      <c r="B173" s="168" t="n">
        <f aca="false">'VOL DWNLD'!B173+'VOL DELTA'!B173</f>
        <v>1</v>
      </c>
      <c r="C173" s="168" t="n">
        <f aca="false">'VOL DWNLD'!C173+'VOL DELTA'!C173</f>
        <v>1</v>
      </c>
      <c r="D173" s="168" t="n">
        <f aca="false">'VOL DWNLD'!D173+'VOL DELTA'!D173</f>
        <v>1</v>
      </c>
      <c r="E173" s="168" t="n">
        <f aca="false">'VOL DWNLD'!E173+'VOL DELTA'!E173</f>
        <v>1</v>
      </c>
      <c r="F173" s="168" t="n">
        <f aca="false">'VOL DWNLD'!F173+'VOL DELTA'!F173</f>
        <v>1</v>
      </c>
      <c r="G173" s="168" t="n">
        <f aca="false">'VOL DWNLD'!G173+'VOL DELTA'!G173</f>
        <v>1</v>
      </c>
      <c r="H173" s="168" t="n">
        <f aca="false">'VOL DWNLD'!H173+'VOL DELTA'!H173</f>
        <v>1</v>
      </c>
      <c r="I173" s="168" t="n">
        <f aca="false">'VOL DWNLD'!I173+'VOL DELTA'!I173</f>
        <v>1</v>
      </c>
      <c r="J173" s="168" t="n">
        <f aca="false">'VOL DWNLD'!J173+'VOL DELTA'!J173</f>
        <v>1</v>
      </c>
      <c r="K173" s="168" t="n">
        <f aca="false">'VOL DWNLD'!K173+'VOL DELTA'!K173</f>
        <v>1</v>
      </c>
      <c r="L173" s="168" t="n">
        <f aca="false">'VOL DWNLD'!L173+'VOL DELTA'!L173</f>
        <v>1</v>
      </c>
      <c r="M173" s="168" t="n">
        <f aca="false">'VOL DWNLD'!M173+'VOL DELTA'!M173</f>
        <v>1</v>
      </c>
      <c r="N173" s="168" t="n">
        <f aca="false">'VOL DWNLD'!N173+'VOL DELTA'!N173</f>
        <v>1</v>
      </c>
      <c r="O173" s="168" t="n">
        <f aca="false">'VOL DWNLD'!O173+'VOL DELTA'!O173</f>
        <v>1</v>
      </c>
      <c r="P173" s="168" t="n">
        <f aca="false">'VOL DWNLD'!P173+'VOL DELTA'!P173</f>
        <v>1.03</v>
      </c>
      <c r="Q173" s="168" t="n">
        <f aca="false">'VOL DWNLD'!Q173+'VOL DELTA'!Q173</f>
        <v>1</v>
      </c>
      <c r="R173" s="168" t="n">
        <f aca="false">'VOL DWNLD'!R173+'VOL DELTA'!R173</f>
        <v>1</v>
      </c>
      <c r="S173" s="168" t="n">
        <f aca="false">'VOL DWNLD'!S173+'VOL DELTA'!S173</f>
        <v>1.02</v>
      </c>
      <c r="T173" s="168" t="n">
        <f aca="false">'VOL DWNLD'!T173+'VOL DELTA'!T173</f>
        <v>1</v>
      </c>
      <c r="U173" s="168" t="n">
        <f aca="false">'VOL DWNLD'!U173+'VOL DELTA'!U173</f>
        <v>1</v>
      </c>
      <c r="V173" s="168" t="n">
        <f aca="false">'VOL DWNLD'!V173+'VOL DELTA'!V173</f>
        <v>1</v>
      </c>
      <c r="W173" s="168" t="n">
        <f aca="false">'VOL DWNLD'!W173+'VOL DELTA'!W173</f>
        <v>1</v>
      </c>
      <c r="X173" s="168" t="n">
        <f aca="false">'VOL DWNLD'!X173+'VOL DELTA'!X173</f>
        <v>1</v>
      </c>
      <c r="Y173" s="168" t="n">
        <f aca="false">'VOL DWNLD'!Y173+'VOL DELTA'!Y173</f>
        <v>1</v>
      </c>
      <c r="Z173" s="168" t="n">
        <f aca="false">'VOL DWNLD'!Z173+'VOL DELTA'!Z173</f>
        <v>1</v>
      </c>
      <c r="AA173" s="168" t="n">
        <f aca="false">'VOL DWNLD'!AA173+'VOL DELTA'!AA173</f>
        <v>1</v>
      </c>
      <c r="AB173" s="168" t="n">
        <f aca="false">'VOL DWNLD'!AB173+'VOL DELTA'!AB173</f>
        <v>1</v>
      </c>
      <c r="AC173" s="168" t="n">
        <f aca="false">'VOL DWNLD'!AC173+'VOL DELTA'!AC173</f>
        <v>1</v>
      </c>
      <c r="AD173" s="168" t="n">
        <f aca="false">'VOL DWNLD'!AD173+'VOL DELTA'!AD173</f>
        <v>1</v>
      </c>
      <c r="AE173" s="168" t="n">
        <f aca="false">'VOL DWNLD'!AE173+'VOL DELTA'!AE173</f>
        <v>1</v>
      </c>
      <c r="AF173" s="168" t="n">
        <f aca="false">'VOL DWNLD'!AF173+'VOL DELTA'!AF173</f>
        <v>1.1</v>
      </c>
      <c r="AG173" s="168" t="n">
        <f aca="false">'VOL DWNLD'!AG173+'VOL DELTA'!AG173</f>
        <v>1.1</v>
      </c>
      <c r="AH173" s="168" t="n">
        <f aca="false">'VOL DWNLD'!AH173+'VOL DELTA'!AH173</f>
        <v>1.05</v>
      </c>
      <c r="AI173" s="168" t="n">
        <f aca="false">'VOL DWNLD'!AI173+'VOL DELTA'!AI173</f>
        <v>1</v>
      </c>
      <c r="AJ173" s="168" t="n">
        <f aca="false">'VOL DWNLD'!AJ173+'VOL DELTA'!AJ173</f>
        <v>1</v>
      </c>
      <c r="AK173" s="168" t="n">
        <f aca="false">'VOL DWNLD'!AK173+'VOL DELTA'!AK173</f>
        <v>1.02</v>
      </c>
      <c r="AL173" s="168" t="n">
        <f aca="false">'VOL DWNLD'!AL173+'VOL DELTA'!AL173</f>
        <v>1</v>
      </c>
      <c r="AM173" s="168" t="n">
        <f aca="false">'VOL DWNLD'!AM173+'VOL DELTA'!AM173</f>
        <v>1</v>
      </c>
      <c r="AN173" s="168" t="n">
        <f aca="false">'VOL DWNLD'!AN173+'VOL DELTA'!AN173</f>
        <v>1</v>
      </c>
      <c r="AO173" s="168" t="n">
        <f aca="false">'VOL DWNLD'!AO173+'VOL DELTA'!AO173</f>
        <v>1</v>
      </c>
    </row>
    <row r="174" customFormat="false" ht="12.75" hidden="false" customHeight="false" outlineLevel="0" collapsed="false">
      <c r="A174" s="167" t="n">
        <v>41974</v>
      </c>
      <c r="B174" s="168" t="n">
        <f aca="false">'VOL DWNLD'!B174+'VOL DELTA'!B174</f>
        <v>1</v>
      </c>
      <c r="C174" s="168" t="n">
        <f aca="false">'VOL DWNLD'!C174+'VOL DELTA'!C174</f>
        <v>1</v>
      </c>
      <c r="D174" s="168" t="n">
        <f aca="false">'VOL DWNLD'!D174+'VOL DELTA'!D174</f>
        <v>1</v>
      </c>
      <c r="E174" s="168" t="n">
        <f aca="false">'VOL DWNLD'!E174+'VOL DELTA'!E174</f>
        <v>1</v>
      </c>
      <c r="F174" s="168" t="n">
        <f aca="false">'VOL DWNLD'!F174+'VOL DELTA'!F174</f>
        <v>1</v>
      </c>
      <c r="G174" s="168" t="n">
        <f aca="false">'VOL DWNLD'!G174+'VOL DELTA'!G174</f>
        <v>1</v>
      </c>
      <c r="H174" s="168" t="n">
        <f aca="false">'VOL DWNLD'!H174+'VOL DELTA'!H174</f>
        <v>1</v>
      </c>
      <c r="I174" s="168" t="n">
        <f aca="false">'VOL DWNLD'!I174+'VOL DELTA'!I174</f>
        <v>1</v>
      </c>
      <c r="J174" s="168" t="n">
        <f aca="false">'VOL DWNLD'!J174+'VOL DELTA'!J174</f>
        <v>1</v>
      </c>
      <c r="K174" s="168" t="n">
        <f aca="false">'VOL DWNLD'!K174+'VOL DELTA'!K174</f>
        <v>1</v>
      </c>
      <c r="L174" s="168" t="n">
        <f aca="false">'VOL DWNLD'!L174+'VOL DELTA'!L174</f>
        <v>1</v>
      </c>
      <c r="M174" s="168" t="n">
        <f aca="false">'VOL DWNLD'!M174+'VOL DELTA'!M174</f>
        <v>1</v>
      </c>
      <c r="N174" s="168" t="n">
        <f aca="false">'VOL DWNLD'!N174+'VOL DELTA'!N174</f>
        <v>1</v>
      </c>
      <c r="O174" s="168" t="n">
        <f aca="false">'VOL DWNLD'!O174+'VOL DELTA'!O174</f>
        <v>1</v>
      </c>
      <c r="P174" s="168" t="n">
        <f aca="false">'VOL DWNLD'!P174+'VOL DELTA'!P174</f>
        <v>1.03</v>
      </c>
      <c r="Q174" s="168" t="n">
        <f aca="false">'VOL DWNLD'!Q174+'VOL DELTA'!Q174</f>
        <v>1</v>
      </c>
      <c r="R174" s="168" t="n">
        <f aca="false">'VOL DWNLD'!R174+'VOL DELTA'!R174</f>
        <v>1</v>
      </c>
      <c r="S174" s="168" t="n">
        <f aca="false">'VOL DWNLD'!S174+'VOL DELTA'!S174</f>
        <v>1.02</v>
      </c>
      <c r="T174" s="168" t="n">
        <f aca="false">'VOL DWNLD'!T174+'VOL DELTA'!T174</f>
        <v>1</v>
      </c>
      <c r="U174" s="168" t="n">
        <f aca="false">'VOL DWNLD'!U174+'VOL DELTA'!U174</f>
        <v>1</v>
      </c>
      <c r="V174" s="168" t="n">
        <f aca="false">'VOL DWNLD'!V174+'VOL DELTA'!V174</f>
        <v>1</v>
      </c>
      <c r="W174" s="168" t="n">
        <f aca="false">'VOL DWNLD'!W174+'VOL DELTA'!W174</f>
        <v>1</v>
      </c>
      <c r="X174" s="168" t="n">
        <f aca="false">'VOL DWNLD'!X174+'VOL DELTA'!X174</f>
        <v>1</v>
      </c>
      <c r="Y174" s="168" t="n">
        <f aca="false">'VOL DWNLD'!Y174+'VOL DELTA'!Y174</f>
        <v>1</v>
      </c>
      <c r="Z174" s="168" t="n">
        <f aca="false">'VOL DWNLD'!Z174+'VOL DELTA'!Z174</f>
        <v>1</v>
      </c>
      <c r="AA174" s="168" t="n">
        <f aca="false">'VOL DWNLD'!AA174+'VOL DELTA'!AA174</f>
        <v>1</v>
      </c>
      <c r="AB174" s="168" t="n">
        <f aca="false">'VOL DWNLD'!AB174+'VOL DELTA'!AB174</f>
        <v>1</v>
      </c>
      <c r="AC174" s="168" t="n">
        <f aca="false">'VOL DWNLD'!AC174+'VOL DELTA'!AC174</f>
        <v>1</v>
      </c>
      <c r="AD174" s="168" t="n">
        <f aca="false">'VOL DWNLD'!AD174+'VOL DELTA'!AD174</f>
        <v>1</v>
      </c>
      <c r="AE174" s="168" t="n">
        <f aca="false">'VOL DWNLD'!AE174+'VOL DELTA'!AE174</f>
        <v>1</v>
      </c>
      <c r="AF174" s="168" t="n">
        <f aca="false">'VOL DWNLD'!AF174+'VOL DELTA'!AF174</f>
        <v>1.1</v>
      </c>
      <c r="AG174" s="168" t="n">
        <f aca="false">'VOL DWNLD'!AG174+'VOL DELTA'!AG174</f>
        <v>1.1</v>
      </c>
      <c r="AH174" s="168" t="n">
        <f aca="false">'VOL DWNLD'!AH174+'VOL DELTA'!AH174</f>
        <v>1.05</v>
      </c>
      <c r="AI174" s="168" t="n">
        <f aca="false">'VOL DWNLD'!AI174+'VOL DELTA'!AI174</f>
        <v>1</v>
      </c>
      <c r="AJ174" s="168" t="n">
        <f aca="false">'VOL DWNLD'!AJ174+'VOL DELTA'!AJ174</f>
        <v>1</v>
      </c>
      <c r="AK174" s="168" t="n">
        <f aca="false">'VOL DWNLD'!AK174+'VOL DELTA'!AK174</f>
        <v>1.02</v>
      </c>
      <c r="AL174" s="168" t="n">
        <f aca="false">'VOL DWNLD'!AL174+'VOL DELTA'!AL174</f>
        <v>1</v>
      </c>
      <c r="AM174" s="168" t="n">
        <f aca="false">'VOL DWNLD'!AM174+'VOL DELTA'!AM174</f>
        <v>1</v>
      </c>
      <c r="AN174" s="168" t="n">
        <f aca="false">'VOL DWNLD'!AN174+'VOL DELTA'!AN174</f>
        <v>1</v>
      </c>
      <c r="AO174" s="168" t="n">
        <f aca="false">'VOL DWNLD'!AO174+'VOL DELTA'!AO174</f>
        <v>1</v>
      </c>
    </row>
    <row r="175" customFormat="false" ht="12.75" hidden="false" customHeight="false" outlineLevel="0" collapsed="false">
      <c r="A175" s="167" t="n">
        <v>42005</v>
      </c>
      <c r="B175" s="168" t="n">
        <f aca="false">'VOL DWNLD'!B175+'VOL DELTA'!B175</f>
        <v>1</v>
      </c>
      <c r="C175" s="168" t="n">
        <f aca="false">'VOL DWNLD'!C175+'VOL DELTA'!C175</f>
        <v>1</v>
      </c>
      <c r="D175" s="168" t="n">
        <f aca="false">'VOL DWNLD'!D175+'VOL DELTA'!D175</f>
        <v>1</v>
      </c>
      <c r="E175" s="168" t="n">
        <f aca="false">'VOL DWNLD'!E175+'VOL DELTA'!E175</f>
        <v>1</v>
      </c>
      <c r="F175" s="168" t="n">
        <f aca="false">'VOL DWNLD'!F175+'VOL DELTA'!F175</f>
        <v>1</v>
      </c>
      <c r="G175" s="168" t="n">
        <f aca="false">'VOL DWNLD'!G175+'VOL DELTA'!G175</f>
        <v>1</v>
      </c>
      <c r="H175" s="168" t="n">
        <f aca="false">'VOL DWNLD'!H175+'VOL DELTA'!H175</f>
        <v>1</v>
      </c>
      <c r="I175" s="168" t="n">
        <f aca="false">'VOL DWNLD'!I175+'VOL DELTA'!I175</f>
        <v>1</v>
      </c>
      <c r="J175" s="168" t="n">
        <f aca="false">'VOL DWNLD'!J175+'VOL DELTA'!J175</f>
        <v>1</v>
      </c>
      <c r="K175" s="168" t="n">
        <f aca="false">'VOL DWNLD'!K175+'VOL DELTA'!K175</f>
        <v>1</v>
      </c>
      <c r="L175" s="168" t="n">
        <f aca="false">'VOL DWNLD'!L175+'VOL DELTA'!L175</f>
        <v>1</v>
      </c>
      <c r="M175" s="168" t="n">
        <f aca="false">'VOL DWNLD'!M175+'VOL DELTA'!M175</f>
        <v>1</v>
      </c>
      <c r="N175" s="168" t="n">
        <f aca="false">'VOL DWNLD'!N175+'VOL DELTA'!N175</f>
        <v>1</v>
      </c>
      <c r="O175" s="168" t="n">
        <f aca="false">'VOL DWNLD'!O175+'VOL DELTA'!O175</f>
        <v>1</v>
      </c>
      <c r="P175" s="168" t="n">
        <f aca="false">'VOL DWNLD'!P175+'VOL DELTA'!P175</f>
        <v>1.03</v>
      </c>
      <c r="Q175" s="168" t="n">
        <f aca="false">'VOL DWNLD'!Q175+'VOL DELTA'!Q175</f>
        <v>1</v>
      </c>
      <c r="R175" s="168" t="n">
        <f aca="false">'VOL DWNLD'!R175+'VOL DELTA'!R175</f>
        <v>1</v>
      </c>
      <c r="S175" s="168" t="n">
        <f aca="false">'VOL DWNLD'!S175+'VOL DELTA'!S175</f>
        <v>1.02</v>
      </c>
      <c r="T175" s="168" t="n">
        <f aca="false">'VOL DWNLD'!T175+'VOL DELTA'!T175</f>
        <v>1</v>
      </c>
      <c r="U175" s="168" t="n">
        <f aca="false">'VOL DWNLD'!U175+'VOL DELTA'!U175</f>
        <v>1</v>
      </c>
      <c r="V175" s="168" t="n">
        <f aca="false">'VOL DWNLD'!V175+'VOL DELTA'!V175</f>
        <v>1</v>
      </c>
      <c r="W175" s="168" t="n">
        <f aca="false">'VOL DWNLD'!W175+'VOL DELTA'!W175</f>
        <v>1</v>
      </c>
      <c r="X175" s="168" t="n">
        <f aca="false">'VOL DWNLD'!X175+'VOL DELTA'!X175</f>
        <v>1</v>
      </c>
      <c r="Y175" s="168" t="n">
        <f aca="false">'VOL DWNLD'!Y175+'VOL DELTA'!Y175</f>
        <v>1</v>
      </c>
      <c r="Z175" s="168" t="n">
        <f aca="false">'VOL DWNLD'!Z175+'VOL DELTA'!Z175</f>
        <v>1</v>
      </c>
      <c r="AA175" s="168" t="n">
        <f aca="false">'VOL DWNLD'!AA175+'VOL DELTA'!AA175</f>
        <v>1</v>
      </c>
      <c r="AB175" s="168" t="n">
        <f aca="false">'VOL DWNLD'!AB175+'VOL DELTA'!AB175</f>
        <v>1</v>
      </c>
      <c r="AC175" s="168" t="n">
        <f aca="false">'VOL DWNLD'!AC175+'VOL DELTA'!AC175</f>
        <v>1</v>
      </c>
      <c r="AD175" s="168" t="n">
        <f aca="false">'VOL DWNLD'!AD175+'VOL DELTA'!AD175</f>
        <v>1</v>
      </c>
      <c r="AE175" s="168" t="n">
        <f aca="false">'VOL DWNLD'!AE175+'VOL DELTA'!AE175</f>
        <v>1</v>
      </c>
      <c r="AF175" s="168" t="n">
        <f aca="false">'VOL DWNLD'!AF175+'VOL DELTA'!AF175</f>
        <v>1.1</v>
      </c>
      <c r="AG175" s="168" t="n">
        <f aca="false">'VOL DWNLD'!AG175+'VOL DELTA'!AG175</f>
        <v>1.1</v>
      </c>
      <c r="AH175" s="168" t="n">
        <f aca="false">'VOL DWNLD'!AH175+'VOL DELTA'!AH175</f>
        <v>1.05</v>
      </c>
      <c r="AI175" s="168" t="n">
        <f aca="false">'VOL DWNLD'!AI175+'VOL DELTA'!AI175</f>
        <v>1</v>
      </c>
      <c r="AJ175" s="168" t="n">
        <f aca="false">'VOL DWNLD'!AJ175+'VOL DELTA'!AJ175</f>
        <v>1</v>
      </c>
      <c r="AK175" s="168" t="n">
        <f aca="false">'VOL DWNLD'!AK175+'VOL DELTA'!AK175</f>
        <v>1.02</v>
      </c>
      <c r="AL175" s="168" t="n">
        <f aca="false">'VOL DWNLD'!AL175+'VOL DELTA'!AL175</f>
        <v>1</v>
      </c>
      <c r="AM175" s="168" t="n">
        <f aca="false">'VOL DWNLD'!AM175+'VOL DELTA'!AM175</f>
        <v>1</v>
      </c>
      <c r="AN175" s="168" t="n">
        <f aca="false">'VOL DWNLD'!AN175+'VOL DELTA'!AN175</f>
        <v>1</v>
      </c>
      <c r="AO175" s="168" t="n">
        <f aca="false">'VOL DWNLD'!AO175+'VOL DELTA'!AO175</f>
        <v>1</v>
      </c>
    </row>
    <row r="176" customFormat="false" ht="12.75" hidden="false" customHeight="false" outlineLevel="0" collapsed="false">
      <c r="A176" s="167" t="n">
        <v>42036</v>
      </c>
      <c r="B176" s="168" t="n">
        <f aca="false">'VOL DWNLD'!B176+'VOL DELTA'!B176</f>
        <v>1</v>
      </c>
      <c r="C176" s="168" t="n">
        <f aca="false">'VOL DWNLD'!C176+'VOL DELTA'!C176</f>
        <v>1</v>
      </c>
      <c r="D176" s="168" t="n">
        <f aca="false">'VOL DWNLD'!D176+'VOL DELTA'!D176</f>
        <v>1</v>
      </c>
      <c r="E176" s="168" t="n">
        <f aca="false">'VOL DWNLD'!E176+'VOL DELTA'!E176</f>
        <v>1</v>
      </c>
      <c r="F176" s="168" t="n">
        <f aca="false">'VOL DWNLD'!F176+'VOL DELTA'!F176</f>
        <v>1</v>
      </c>
      <c r="G176" s="168" t="n">
        <f aca="false">'VOL DWNLD'!G176+'VOL DELTA'!G176</f>
        <v>1</v>
      </c>
      <c r="H176" s="168" t="n">
        <f aca="false">'VOL DWNLD'!H176+'VOL DELTA'!H176</f>
        <v>1</v>
      </c>
      <c r="I176" s="168" t="n">
        <f aca="false">'VOL DWNLD'!I176+'VOL DELTA'!I176</f>
        <v>1</v>
      </c>
      <c r="J176" s="168" t="n">
        <f aca="false">'VOL DWNLD'!J176+'VOL DELTA'!J176</f>
        <v>1</v>
      </c>
      <c r="K176" s="168" t="n">
        <f aca="false">'VOL DWNLD'!K176+'VOL DELTA'!K176</f>
        <v>1</v>
      </c>
      <c r="L176" s="168" t="n">
        <f aca="false">'VOL DWNLD'!L176+'VOL DELTA'!L176</f>
        <v>1</v>
      </c>
      <c r="M176" s="168" t="n">
        <f aca="false">'VOL DWNLD'!M176+'VOL DELTA'!M176</f>
        <v>1</v>
      </c>
      <c r="N176" s="168" t="n">
        <f aca="false">'VOL DWNLD'!N176+'VOL DELTA'!N176</f>
        <v>1</v>
      </c>
      <c r="O176" s="168" t="n">
        <f aca="false">'VOL DWNLD'!O176+'VOL DELTA'!O176</f>
        <v>1</v>
      </c>
      <c r="P176" s="168" t="n">
        <f aca="false">'VOL DWNLD'!P176+'VOL DELTA'!P176</f>
        <v>1.03</v>
      </c>
      <c r="Q176" s="168" t="n">
        <f aca="false">'VOL DWNLD'!Q176+'VOL DELTA'!Q176</f>
        <v>1</v>
      </c>
      <c r="R176" s="168" t="n">
        <f aca="false">'VOL DWNLD'!R176+'VOL DELTA'!R176</f>
        <v>1</v>
      </c>
      <c r="S176" s="168" t="n">
        <f aca="false">'VOL DWNLD'!S176+'VOL DELTA'!S176</f>
        <v>1.02</v>
      </c>
      <c r="T176" s="168" t="n">
        <f aca="false">'VOL DWNLD'!T176+'VOL DELTA'!T176</f>
        <v>1</v>
      </c>
      <c r="U176" s="168" t="n">
        <f aca="false">'VOL DWNLD'!U176+'VOL DELTA'!U176</f>
        <v>1</v>
      </c>
      <c r="V176" s="168" t="n">
        <f aca="false">'VOL DWNLD'!V176+'VOL DELTA'!V176</f>
        <v>1</v>
      </c>
      <c r="W176" s="168" t="n">
        <f aca="false">'VOL DWNLD'!W176+'VOL DELTA'!W176</f>
        <v>1</v>
      </c>
      <c r="X176" s="168" t="n">
        <f aca="false">'VOL DWNLD'!X176+'VOL DELTA'!X176</f>
        <v>1</v>
      </c>
      <c r="Y176" s="168" t="n">
        <f aca="false">'VOL DWNLD'!Y176+'VOL DELTA'!Y176</f>
        <v>1</v>
      </c>
      <c r="Z176" s="168" t="n">
        <f aca="false">'VOL DWNLD'!Z176+'VOL DELTA'!Z176</f>
        <v>1</v>
      </c>
      <c r="AA176" s="168" t="n">
        <f aca="false">'VOL DWNLD'!AA176+'VOL DELTA'!AA176</f>
        <v>1</v>
      </c>
      <c r="AB176" s="168" t="n">
        <f aca="false">'VOL DWNLD'!AB176+'VOL DELTA'!AB176</f>
        <v>1</v>
      </c>
      <c r="AC176" s="168" t="n">
        <f aca="false">'VOL DWNLD'!AC176+'VOL DELTA'!AC176</f>
        <v>1</v>
      </c>
      <c r="AD176" s="168" t="n">
        <f aca="false">'VOL DWNLD'!AD176+'VOL DELTA'!AD176</f>
        <v>1</v>
      </c>
      <c r="AE176" s="168" t="n">
        <f aca="false">'VOL DWNLD'!AE176+'VOL DELTA'!AE176</f>
        <v>1</v>
      </c>
      <c r="AF176" s="168" t="n">
        <f aca="false">'VOL DWNLD'!AF176+'VOL DELTA'!AF176</f>
        <v>1.1</v>
      </c>
      <c r="AG176" s="168" t="n">
        <f aca="false">'VOL DWNLD'!AG176+'VOL DELTA'!AG176</f>
        <v>1.1</v>
      </c>
      <c r="AH176" s="168" t="n">
        <f aca="false">'VOL DWNLD'!AH176+'VOL DELTA'!AH176</f>
        <v>1.05</v>
      </c>
      <c r="AI176" s="168" t="n">
        <f aca="false">'VOL DWNLD'!AI176+'VOL DELTA'!AI176</f>
        <v>1</v>
      </c>
      <c r="AJ176" s="168" t="n">
        <f aca="false">'VOL DWNLD'!AJ176+'VOL DELTA'!AJ176</f>
        <v>1</v>
      </c>
      <c r="AK176" s="168" t="n">
        <f aca="false">'VOL DWNLD'!AK176+'VOL DELTA'!AK176</f>
        <v>1.02</v>
      </c>
      <c r="AL176" s="168" t="n">
        <f aca="false">'VOL DWNLD'!AL176+'VOL DELTA'!AL176</f>
        <v>1</v>
      </c>
      <c r="AM176" s="168" t="n">
        <f aca="false">'VOL DWNLD'!AM176+'VOL DELTA'!AM176</f>
        <v>1</v>
      </c>
      <c r="AN176" s="168" t="n">
        <f aca="false">'VOL DWNLD'!AN176+'VOL DELTA'!AN176</f>
        <v>1</v>
      </c>
      <c r="AO176" s="168" t="n">
        <f aca="false">'VOL DWNLD'!AO176+'VOL DELTA'!AO176</f>
        <v>1</v>
      </c>
    </row>
    <row r="177" customFormat="false" ht="12.75" hidden="false" customHeight="false" outlineLevel="0" collapsed="false">
      <c r="A177" s="167" t="n">
        <v>42064</v>
      </c>
      <c r="B177" s="168" t="n">
        <f aca="false">'VOL DWNLD'!B177+'VOL DELTA'!B177</f>
        <v>1</v>
      </c>
      <c r="C177" s="168" t="n">
        <f aca="false">'VOL DWNLD'!C177+'VOL DELTA'!C177</f>
        <v>1</v>
      </c>
      <c r="D177" s="168" t="n">
        <f aca="false">'VOL DWNLD'!D177+'VOL DELTA'!D177</f>
        <v>1</v>
      </c>
      <c r="E177" s="168" t="n">
        <f aca="false">'VOL DWNLD'!E177+'VOL DELTA'!E177</f>
        <v>1</v>
      </c>
      <c r="F177" s="168" t="n">
        <f aca="false">'VOL DWNLD'!F177+'VOL DELTA'!F177</f>
        <v>1</v>
      </c>
      <c r="G177" s="168" t="n">
        <f aca="false">'VOL DWNLD'!G177+'VOL DELTA'!G177</f>
        <v>1</v>
      </c>
      <c r="H177" s="168" t="n">
        <f aca="false">'VOL DWNLD'!H177+'VOL DELTA'!H177</f>
        <v>1</v>
      </c>
      <c r="I177" s="168" t="n">
        <f aca="false">'VOL DWNLD'!I177+'VOL DELTA'!I177</f>
        <v>1</v>
      </c>
      <c r="J177" s="168" t="n">
        <f aca="false">'VOL DWNLD'!J177+'VOL DELTA'!J177</f>
        <v>1</v>
      </c>
      <c r="K177" s="168" t="n">
        <f aca="false">'VOL DWNLD'!K177+'VOL DELTA'!K177</f>
        <v>1</v>
      </c>
      <c r="L177" s="168" t="n">
        <f aca="false">'VOL DWNLD'!L177+'VOL DELTA'!L177</f>
        <v>1</v>
      </c>
      <c r="M177" s="168" t="n">
        <f aca="false">'VOL DWNLD'!M177+'VOL DELTA'!M177</f>
        <v>1</v>
      </c>
      <c r="N177" s="168" t="n">
        <f aca="false">'VOL DWNLD'!N177+'VOL DELTA'!N177</f>
        <v>1</v>
      </c>
      <c r="O177" s="168" t="n">
        <f aca="false">'VOL DWNLD'!O177+'VOL DELTA'!O177</f>
        <v>1</v>
      </c>
      <c r="P177" s="168" t="n">
        <f aca="false">'VOL DWNLD'!P177+'VOL DELTA'!P177</f>
        <v>1.03</v>
      </c>
      <c r="Q177" s="168" t="n">
        <f aca="false">'VOL DWNLD'!Q177+'VOL DELTA'!Q177</f>
        <v>1</v>
      </c>
      <c r="R177" s="168" t="n">
        <f aca="false">'VOL DWNLD'!R177+'VOL DELTA'!R177</f>
        <v>1</v>
      </c>
      <c r="S177" s="168" t="n">
        <f aca="false">'VOL DWNLD'!S177+'VOL DELTA'!S177</f>
        <v>1.02</v>
      </c>
      <c r="T177" s="168" t="n">
        <f aca="false">'VOL DWNLD'!T177+'VOL DELTA'!T177</f>
        <v>1</v>
      </c>
      <c r="U177" s="168" t="n">
        <f aca="false">'VOL DWNLD'!U177+'VOL DELTA'!U177</f>
        <v>1</v>
      </c>
      <c r="V177" s="168" t="n">
        <f aca="false">'VOL DWNLD'!V177+'VOL DELTA'!V177</f>
        <v>1</v>
      </c>
      <c r="W177" s="168" t="n">
        <f aca="false">'VOL DWNLD'!W177+'VOL DELTA'!W177</f>
        <v>1</v>
      </c>
      <c r="X177" s="168" t="n">
        <f aca="false">'VOL DWNLD'!X177+'VOL DELTA'!X177</f>
        <v>1</v>
      </c>
      <c r="Y177" s="168" t="n">
        <f aca="false">'VOL DWNLD'!Y177+'VOL DELTA'!Y177</f>
        <v>1</v>
      </c>
      <c r="Z177" s="168" t="n">
        <f aca="false">'VOL DWNLD'!Z177+'VOL DELTA'!Z177</f>
        <v>1</v>
      </c>
      <c r="AA177" s="168" t="n">
        <f aca="false">'VOL DWNLD'!AA177+'VOL DELTA'!AA177</f>
        <v>1</v>
      </c>
      <c r="AB177" s="168" t="n">
        <f aca="false">'VOL DWNLD'!AB177+'VOL DELTA'!AB177</f>
        <v>1</v>
      </c>
      <c r="AC177" s="168" t="n">
        <f aca="false">'VOL DWNLD'!AC177+'VOL DELTA'!AC177</f>
        <v>1</v>
      </c>
      <c r="AD177" s="168" t="n">
        <f aca="false">'VOL DWNLD'!AD177+'VOL DELTA'!AD177</f>
        <v>1</v>
      </c>
      <c r="AE177" s="168" t="n">
        <f aca="false">'VOL DWNLD'!AE177+'VOL DELTA'!AE177</f>
        <v>1</v>
      </c>
      <c r="AF177" s="168" t="n">
        <f aca="false">'VOL DWNLD'!AF177+'VOL DELTA'!AF177</f>
        <v>1.1</v>
      </c>
      <c r="AG177" s="168" t="n">
        <f aca="false">'VOL DWNLD'!AG177+'VOL DELTA'!AG177</f>
        <v>1.1</v>
      </c>
      <c r="AH177" s="168" t="n">
        <f aca="false">'VOL DWNLD'!AH177+'VOL DELTA'!AH177</f>
        <v>1.05</v>
      </c>
      <c r="AI177" s="168" t="n">
        <f aca="false">'VOL DWNLD'!AI177+'VOL DELTA'!AI177</f>
        <v>1</v>
      </c>
      <c r="AJ177" s="168" t="n">
        <f aca="false">'VOL DWNLD'!AJ177+'VOL DELTA'!AJ177</f>
        <v>1</v>
      </c>
      <c r="AK177" s="168" t="n">
        <f aca="false">'VOL DWNLD'!AK177+'VOL DELTA'!AK177</f>
        <v>1.02</v>
      </c>
      <c r="AL177" s="168" t="n">
        <f aca="false">'VOL DWNLD'!AL177+'VOL DELTA'!AL177</f>
        <v>1</v>
      </c>
      <c r="AM177" s="168" t="n">
        <f aca="false">'VOL DWNLD'!AM177+'VOL DELTA'!AM177</f>
        <v>1</v>
      </c>
      <c r="AN177" s="168" t="n">
        <f aca="false">'VOL DWNLD'!AN177+'VOL DELTA'!AN177</f>
        <v>1</v>
      </c>
      <c r="AO177" s="168" t="n">
        <f aca="false">'VOL DWNLD'!AO177+'VOL DELTA'!AO177</f>
        <v>1</v>
      </c>
    </row>
    <row r="178" customFormat="false" ht="12.75" hidden="false" customHeight="false" outlineLevel="0" collapsed="false">
      <c r="A178" s="167" t="n">
        <v>42095</v>
      </c>
      <c r="B178" s="168" t="n">
        <f aca="false">'VOL DWNLD'!B178+'VOL DELTA'!B178</f>
        <v>1</v>
      </c>
      <c r="C178" s="168" t="n">
        <f aca="false">'VOL DWNLD'!C178+'VOL DELTA'!C178</f>
        <v>1</v>
      </c>
      <c r="D178" s="168" t="n">
        <f aca="false">'VOL DWNLD'!D178+'VOL DELTA'!D178</f>
        <v>1</v>
      </c>
      <c r="E178" s="168" t="n">
        <f aca="false">'VOL DWNLD'!E178+'VOL DELTA'!E178</f>
        <v>1</v>
      </c>
      <c r="F178" s="168" t="n">
        <f aca="false">'VOL DWNLD'!F178+'VOL DELTA'!F178</f>
        <v>1</v>
      </c>
      <c r="G178" s="168" t="n">
        <f aca="false">'VOL DWNLD'!G178+'VOL DELTA'!G178</f>
        <v>1</v>
      </c>
      <c r="H178" s="168" t="n">
        <f aca="false">'VOL DWNLD'!H178+'VOL DELTA'!H178</f>
        <v>1</v>
      </c>
      <c r="I178" s="168" t="n">
        <f aca="false">'VOL DWNLD'!I178+'VOL DELTA'!I178</f>
        <v>1</v>
      </c>
      <c r="J178" s="168" t="n">
        <f aca="false">'VOL DWNLD'!J178+'VOL DELTA'!J178</f>
        <v>1</v>
      </c>
      <c r="K178" s="168" t="n">
        <f aca="false">'VOL DWNLD'!K178+'VOL DELTA'!K178</f>
        <v>1</v>
      </c>
      <c r="L178" s="168" t="n">
        <f aca="false">'VOL DWNLD'!L178+'VOL DELTA'!L178</f>
        <v>1</v>
      </c>
      <c r="M178" s="168" t="n">
        <f aca="false">'VOL DWNLD'!M178+'VOL DELTA'!M178</f>
        <v>1</v>
      </c>
      <c r="N178" s="168" t="n">
        <f aca="false">'VOL DWNLD'!N178+'VOL DELTA'!N178</f>
        <v>1</v>
      </c>
      <c r="O178" s="168" t="n">
        <f aca="false">'VOL DWNLD'!O178+'VOL DELTA'!O178</f>
        <v>1</v>
      </c>
      <c r="P178" s="168" t="n">
        <f aca="false">'VOL DWNLD'!P178+'VOL DELTA'!P178</f>
        <v>1.03</v>
      </c>
      <c r="Q178" s="168" t="n">
        <f aca="false">'VOL DWNLD'!Q178+'VOL DELTA'!Q178</f>
        <v>1</v>
      </c>
      <c r="R178" s="168" t="n">
        <f aca="false">'VOL DWNLD'!R178+'VOL DELTA'!R178</f>
        <v>1</v>
      </c>
      <c r="S178" s="168" t="n">
        <f aca="false">'VOL DWNLD'!S178+'VOL DELTA'!S178</f>
        <v>1.02</v>
      </c>
      <c r="T178" s="168" t="n">
        <f aca="false">'VOL DWNLD'!T178+'VOL DELTA'!T178</f>
        <v>1</v>
      </c>
      <c r="U178" s="168" t="n">
        <f aca="false">'VOL DWNLD'!U178+'VOL DELTA'!U178</f>
        <v>1</v>
      </c>
      <c r="V178" s="168" t="n">
        <f aca="false">'VOL DWNLD'!V178+'VOL DELTA'!V178</f>
        <v>1</v>
      </c>
      <c r="W178" s="168" t="n">
        <f aca="false">'VOL DWNLD'!W178+'VOL DELTA'!W178</f>
        <v>1</v>
      </c>
      <c r="X178" s="168" t="n">
        <f aca="false">'VOL DWNLD'!X178+'VOL DELTA'!X178</f>
        <v>1</v>
      </c>
      <c r="Y178" s="168" t="n">
        <f aca="false">'VOL DWNLD'!Y178+'VOL DELTA'!Y178</f>
        <v>1.02</v>
      </c>
      <c r="Z178" s="168" t="n">
        <f aca="false">'VOL DWNLD'!Z178+'VOL DELTA'!Z178</f>
        <v>1</v>
      </c>
      <c r="AA178" s="168" t="n">
        <f aca="false">'VOL DWNLD'!AA178+'VOL DELTA'!AA178</f>
        <v>1</v>
      </c>
      <c r="AB178" s="168" t="n">
        <f aca="false">'VOL DWNLD'!AB178+'VOL DELTA'!AB178</f>
        <v>1</v>
      </c>
      <c r="AC178" s="168" t="n">
        <f aca="false">'VOL DWNLD'!AC178+'VOL DELTA'!AC178</f>
        <v>1</v>
      </c>
      <c r="AD178" s="168" t="n">
        <f aca="false">'VOL DWNLD'!AD178+'VOL DELTA'!AD178</f>
        <v>0.98</v>
      </c>
      <c r="AE178" s="168" t="n">
        <f aca="false">'VOL DWNLD'!AE178+'VOL DELTA'!AE178</f>
        <v>0.98</v>
      </c>
      <c r="AF178" s="168" t="n">
        <f aca="false">'VOL DWNLD'!AF178+'VOL DELTA'!AF178</f>
        <v>0.98</v>
      </c>
      <c r="AG178" s="168" t="n">
        <f aca="false">'VOL DWNLD'!AG178+'VOL DELTA'!AG178</f>
        <v>0.98</v>
      </c>
      <c r="AH178" s="168" t="n">
        <f aca="false">'VOL DWNLD'!AH178+'VOL DELTA'!AH178</f>
        <v>1.05</v>
      </c>
      <c r="AI178" s="168" t="n">
        <f aca="false">'VOL DWNLD'!AI178+'VOL DELTA'!AI178</f>
        <v>1</v>
      </c>
      <c r="AJ178" s="168" t="n">
        <f aca="false">'VOL DWNLD'!AJ178+'VOL DELTA'!AJ178</f>
        <v>1</v>
      </c>
      <c r="AK178" s="168" t="n">
        <f aca="false">'VOL DWNLD'!AK178+'VOL DELTA'!AK178</f>
        <v>1.02</v>
      </c>
      <c r="AL178" s="168" t="n">
        <f aca="false">'VOL DWNLD'!AL178+'VOL DELTA'!AL178</f>
        <v>1</v>
      </c>
      <c r="AM178" s="168" t="n">
        <f aca="false">'VOL DWNLD'!AM178+'VOL DELTA'!AM178</f>
        <v>1</v>
      </c>
      <c r="AN178" s="168" t="n">
        <f aca="false">'VOL DWNLD'!AN178+'VOL DELTA'!AN178</f>
        <v>1</v>
      </c>
      <c r="AO178" s="168" t="n">
        <f aca="false">'VOL DWNLD'!AO178+'VOL DELTA'!AO178</f>
        <v>1</v>
      </c>
    </row>
    <row r="179" customFormat="false" ht="12.75" hidden="false" customHeight="false" outlineLevel="0" collapsed="false">
      <c r="A179" s="167" t="n">
        <v>42125</v>
      </c>
      <c r="B179" s="168" t="n">
        <f aca="false">'VOL DWNLD'!B179+'VOL DELTA'!B179</f>
        <v>1</v>
      </c>
      <c r="C179" s="168" t="n">
        <f aca="false">'VOL DWNLD'!C179+'VOL DELTA'!C179</f>
        <v>1</v>
      </c>
      <c r="D179" s="168" t="n">
        <f aca="false">'VOL DWNLD'!D179+'VOL DELTA'!D179</f>
        <v>1</v>
      </c>
      <c r="E179" s="168" t="n">
        <f aca="false">'VOL DWNLD'!E179+'VOL DELTA'!E179</f>
        <v>1</v>
      </c>
      <c r="F179" s="168" t="n">
        <f aca="false">'VOL DWNLD'!F179+'VOL DELTA'!F179</f>
        <v>1</v>
      </c>
      <c r="G179" s="168" t="n">
        <f aca="false">'VOL DWNLD'!G179+'VOL DELTA'!G179</f>
        <v>1</v>
      </c>
      <c r="H179" s="168" t="n">
        <f aca="false">'VOL DWNLD'!H179+'VOL DELTA'!H179</f>
        <v>1</v>
      </c>
      <c r="I179" s="168" t="n">
        <f aca="false">'VOL DWNLD'!I179+'VOL DELTA'!I179</f>
        <v>1</v>
      </c>
      <c r="J179" s="168" t="n">
        <f aca="false">'VOL DWNLD'!J179+'VOL DELTA'!J179</f>
        <v>1</v>
      </c>
      <c r="K179" s="168" t="n">
        <f aca="false">'VOL DWNLD'!K179+'VOL DELTA'!K179</f>
        <v>1</v>
      </c>
      <c r="L179" s="168" t="n">
        <f aca="false">'VOL DWNLD'!L179+'VOL DELTA'!L179</f>
        <v>1</v>
      </c>
      <c r="M179" s="168" t="n">
        <f aca="false">'VOL DWNLD'!M179+'VOL DELTA'!M179</f>
        <v>1</v>
      </c>
      <c r="N179" s="168" t="n">
        <f aca="false">'VOL DWNLD'!N179+'VOL DELTA'!N179</f>
        <v>1</v>
      </c>
      <c r="O179" s="168" t="n">
        <f aca="false">'VOL DWNLD'!O179+'VOL DELTA'!O179</f>
        <v>1</v>
      </c>
      <c r="P179" s="168" t="n">
        <f aca="false">'VOL DWNLD'!P179+'VOL DELTA'!P179</f>
        <v>1.03</v>
      </c>
      <c r="Q179" s="168" t="n">
        <f aca="false">'VOL DWNLD'!Q179+'VOL DELTA'!Q179</f>
        <v>1</v>
      </c>
      <c r="R179" s="168" t="n">
        <f aca="false">'VOL DWNLD'!R179+'VOL DELTA'!R179</f>
        <v>1</v>
      </c>
      <c r="S179" s="168" t="n">
        <f aca="false">'VOL DWNLD'!S179+'VOL DELTA'!S179</f>
        <v>1.02</v>
      </c>
      <c r="T179" s="168" t="n">
        <f aca="false">'VOL DWNLD'!T179+'VOL DELTA'!T179</f>
        <v>1</v>
      </c>
      <c r="U179" s="168" t="n">
        <f aca="false">'VOL DWNLD'!U179+'VOL DELTA'!U179</f>
        <v>1</v>
      </c>
      <c r="V179" s="168" t="n">
        <f aca="false">'VOL DWNLD'!V179+'VOL DELTA'!V179</f>
        <v>1</v>
      </c>
      <c r="W179" s="168" t="n">
        <f aca="false">'VOL DWNLD'!W179+'VOL DELTA'!W179</f>
        <v>1</v>
      </c>
      <c r="X179" s="168" t="n">
        <f aca="false">'VOL DWNLD'!X179+'VOL DELTA'!X179</f>
        <v>1</v>
      </c>
      <c r="Y179" s="168" t="n">
        <f aca="false">'VOL DWNLD'!Y179+'VOL DELTA'!Y179</f>
        <v>1.02</v>
      </c>
      <c r="Z179" s="168" t="n">
        <f aca="false">'VOL DWNLD'!Z179+'VOL DELTA'!Z179</f>
        <v>1</v>
      </c>
      <c r="AA179" s="168" t="n">
        <f aca="false">'VOL DWNLD'!AA179+'VOL DELTA'!AA179</f>
        <v>1</v>
      </c>
      <c r="AB179" s="168" t="n">
        <f aca="false">'VOL DWNLD'!AB179+'VOL DELTA'!AB179</f>
        <v>1</v>
      </c>
      <c r="AC179" s="168" t="n">
        <f aca="false">'VOL DWNLD'!AC179+'VOL DELTA'!AC179</f>
        <v>1</v>
      </c>
      <c r="AD179" s="168" t="n">
        <f aca="false">'VOL DWNLD'!AD179+'VOL DELTA'!AD179</f>
        <v>0.98</v>
      </c>
      <c r="AE179" s="168" t="n">
        <f aca="false">'VOL DWNLD'!AE179+'VOL DELTA'!AE179</f>
        <v>0.98</v>
      </c>
      <c r="AF179" s="168" t="n">
        <f aca="false">'VOL DWNLD'!AF179+'VOL DELTA'!AF179</f>
        <v>0.98</v>
      </c>
      <c r="AG179" s="168" t="n">
        <f aca="false">'VOL DWNLD'!AG179+'VOL DELTA'!AG179</f>
        <v>0.98</v>
      </c>
      <c r="AH179" s="168" t="n">
        <f aca="false">'VOL DWNLD'!AH179+'VOL DELTA'!AH179</f>
        <v>1.05</v>
      </c>
      <c r="AI179" s="168" t="n">
        <f aca="false">'VOL DWNLD'!AI179+'VOL DELTA'!AI179</f>
        <v>1</v>
      </c>
      <c r="AJ179" s="168" t="n">
        <f aca="false">'VOL DWNLD'!AJ179+'VOL DELTA'!AJ179</f>
        <v>1</v>
      </c>
      <c r="AK179" s="168" t="n">
        <f aca="false">'VOL DWNLD'!AK179+'VOL DELTA'!AK179</f>
        <v>1.02</v>
      </c>
      <c r="AL179" s="168" t="n">
        <f aca="false">'VOL DWNLD'!AL179+'VOL DELTA'!AL179</f>
        <v>1</v>
      </c>
      <c r="AM179" s="168" t="n">
        <f aca="false">'VOL DWNLD'!AM179+'VOL DELTA'!AM179</f>
        <v>1</v>
      </c>
      <c r="AN179" s="168" t="n">
        <f aca="false">'VOL DWNLD'!AN179+'VOL DELTA'!AN179</f>
        <v>1</v>
      </c>
      <c r="AO179" s="168" t="n">
        <f aca="false">'VOL DWNLD'!AO179+'VOL DELTA'!AO179</f>
        <v>1</v>
      </c>
    </row>
    <row r="180" customFormat="false" ht="12.75" hidden="false" customHeight="false" outlineLevel="0" collapsed="false">
      <c r="A180" s="167" t="n">
        <v>42156</v>
      </c>
      <c r="B180" s="168" t="n">
        <f aca="false">'VOL DWNLD'!B180+'VOL DELTA'!B180</f>
        <v>1</v>
      </c>
      <c r="C180" s="168" t="n">
        <f aca="false">'VOL DWNLD'!C180+'VOL DELTA'!C180</f>
        <v>1</v>
      </c>
      <c r="D180" s="168" t="n">
        <f aca="false">'VOL DWNLD'!D180+'VOL DELTA'!D180</f>
        <v>1</v>
      </c>
      <c r="E180" s="168" t="n">
        <f aca="false">'VOL DWNLD'!E180+'VOL DELTA'!E180</f>
        <v>1</v>
      </c>
      <c r="F180" s="168" t="n">
        <f aca="false">'VOL DWNLD'!F180+'VOL DELTA'!F180</f>
        <v>1</v>
      </c>
      <c r="G180" s="168" t="n">
        <f aca="false">'VOL DWNLD'!G180+'VOL DELTA'!G180</f>
        <v>1</v>
      </c>
      <c r="H180" s="168" t="n">
        <f aca="false">'VOL DWNLD'!H180+'VOL DELTA'!H180</f>
        <v>1</v>
      </c>
      <c r="I180" s="168" t="n">
        <f aca="false">'VOL DWNLD'!I180+'VOL DELTA'!I180</f>
        <v>1</v>
      </c>
      <c r="J180" s="168" t="n">
        <f aca="false">'VOL DWNLD'!J180+'VOL DELTA'!J180</f>
        <v>1</v>
      </c>
      <c r="K180" s="168" t="n">
        <f aca="false">'VOL DWNLD'!K180+'VOL DELTA'!K180</f>
        <v>1</v>
      </c>
      <c r="L180" s="168" t="n">
        <f aca="false">'VOL DWNLD'!L180+'VOL DELTA'!L180</f>
        <v>1</v>
      </c>
      <c r="M180" s="168" t="n">
        <f aca="false">'VOL DWNLD'!M180+'VOL DELTA'!M180</f>
        <v>1</v>
      </c>
      <c r="N180" s="168" t="n">
        <f aca="false">'VOL DWNLD'!N180+'VOL DELTA'!N180</f>
        <v>1</v>
      </c>
      <c r="O180" s="168" t="n">
        <f aca="false">'VOL DWNLD'!O180+'VOL DELTA'!O180</f>
        <v>1</v>
      </c>
      <c r="P180" s="168" t="n">
        <f aca="false">'VOL DWNLD'!P180+'VOL DELTA'!P180</f>
        <v>1.03</v>
      </c>
      <c r="Q180" s="168" t="n">
        <f aca="false">'VOL DWNLD'!Q180+'VOL DELTA'!Q180</f>
        <v>1</v>
      </c>
      <c r="R180" s="168" t="n">
        <f aca="false">'VOL DWNLD'!R180+'VOL DELTA'!R180</f>
        <v>1</v>
      </c>
      <c r="S180" s="168" t="n">
        <f aca="false">'VOL DWNLD'!S180+'VOL DELTA'!S180</f>
        <v>1.02</v>
      </c>
      <c r="T180" s="168" t="n">
        <f aca="false">'VOL DWNLD'!T180+'VOL DELTA'!T180</f>
        <v>1</v>
      </c>
      <c r="U180" s="168" t="n">
        <f aca="false">'VOL DWNLD'!U180+'VOL DELTA'!U180</f>
        <v>1</v>
      </c>
      <c r="V180" s="168" t="n">
        <f aca="false">'VOL DWNLD'!V180+'VOL DELTA'!V180</f>
        <v>1</v>
      </c>
      <c r="W180" s="168" t="n">
        <f aca="false">'VOL DWNLD'!W180+'VOL DELTA'!W180</f>
        <v>1</v>
      </c>
      <c r="X180" s="168" t="n">
        <f aca="false">'VOL DWNLD'!X180+'VOL DELTA'!X180</f>
        <v>1</v>
      </c>
      <c r="Y180" s="168" t="n">
        <f aca="false">'VOL DWNLD'!Y180+'VOL DELTA'!Y180</f>
        <v>1.02</v>
      </c>
      <c r="Z180" s="168" t="n">
        <f aca="false">'VOL DWNLD'!Z180+'VOL DELTA'!Z180</f>
        <v>1</v>
      </c>
      <c r="AA180" s="168" t="n">
        <f aca="false">'VOL DWNLD'!AA180+'VOL DELTA'!AA180</f>
        <v>1</v>
      </c>
      <c r="AB180" s="168" t="n">
        <f aca="false">'VOL DWNLD'!AB180+'VOL DELTA'!AB180</f>
        <v>1</v>
      </c>
      <c r="AC180" s="168" t="n">
        <f aca="false">'VOL DWNLD'!AC180+'VOL DELTA'!AC180</f>
        <v>1</v>
      </c>
      <c r="AD180" s="168" t="n">
        <f aca="false">'VOL DWNLD'!AD180+'VOL DELTA'!AD180</f>
        <v>0.98</v>
      </c>
      <c r="AE180" s="168" t="n">
        <f aca="false">'VOL DWNLD'!AE180+'VOL DELTA'!AE180</f>
        <v>0.98</v>
      </c>
      <c r="AF180" s="168" t="n">
        <f aca="false">'VOL DWNLD'!AF180+'VOL DELTA'!AF180</f>
        <v>0.98</v>
      </c>
      <c r="AG180" s="168" t="n">
        <f aca="false">'VOL DWNLD'!AG180+'VOL DELTA'!AG180</f>
        <v>0.98</v>
      </c>
      <c r="AH180" s="168" t="n">
        <f aca="false">'VOL DWNLD'!AH180+'VOL DELTA'!AH180</f>
        <v>1.05</v>
      </c>
      <c r="AI180" s="168" t="n">
        <f aca="false">'VOL DWNLD'!AI180+'VOL DELTA'!AI180</f>
        <v>1</v>
      </c>
      <c r="AJ180" s="168" t="n">
        <f aca="false">'VOL DWNLD'!AJ180+'VOL DELTA'!AJ180</f>
        <v>1</v>
      </c>
      <c r="AK180" s="168" t="n">
        <f aca="false">'VOL DWNLD'!AK180+'VOL DELTA'!AK180</f>
        <v>1.02</v>
      </c>
      <c r="AL180" s="168" t="n">
        <f aca="false">'VOL DWNLD'!AL180+'VOL DELTA'!AL180</f>
        <v>1</v>
      </c>
      <c r="AM180" s="168" t="n">
        <f aca="false">'VOL DWNLD'!AM180+'VOL DELTA'!AM180</f>
        <v>1</v>
      </c>
      <c r="AN180" s="168" t="n">
        <f aca="false">'VOL DWNLD'!AN180+'VOL DELTA'!AN180</f>
        <v>1</v>
      </c>
      <c r="AO180" s="168" t="n">
        <f aca="false">'VOL DWNLD'!AO180+'VOL DELTA'!AO180</f>
        <v>1</v>
      </c>
    </row>
    <row r="181" customFormat="false" ht="12.75" hidden="false" customHeight="false" outlineLevel="0" collapsed="false">
      <c r="A181" s="167" t="n">
        <v>42186</v>
      </c>
      <c r="B181" s="168" t="n">
        <f aca="false">'VOL DWNLD'!B181+'VOL DELTA'!B181</f>
        <v>1</v>
      </c>
      <c r="C181" s="168" t="n">
        <f aca="false">'VOL DWNLD'!C181+'VOL DELTA'!C181</f>
        <v>1</v>
      </c>
      <c r="D181" s="168" t="n">
        <f aca="false">'VOL DWNLD'!D181+'VOL DELTA'!D181</f>
        <v>1</v>
      </c>
      <c r="E181" s="168" t="n">
        <f aca="false">'VOL DWNLD'!E181+'VOL DELTA'!E181</f>
        <v>1</v>
      </c>
      <c r="F181" s="168" t="n">
        <f aca="false">'VOL DWNLD'!F181+'VOL DELTA'!F181</f>
        <v>1</v>
      </c>
      <c r="G181" s="168" t="n">
        <f aca="false">'VOL DWNLD'!G181+'VOL DELTA'!G181</f>
        <v>1</v>
      </c>
      <c r="H181" s="168" t="n">
        <f aca="false">'VOL DWNLD'!H181+'VOL DELTA'!H181</f>
        <v>1</v>
      </c>
      <c r="I181" s="168" t="n">
        <f aca="false">'VOL DWNLD'!I181+'VOL DELTA'!I181</f>
        <v>1</v>
      </c>
      <c r="J181" s="168" t="n">
        <f aca="false">'VOL DWNLD'!J181+'VOL DELTA'!J181</f>
        <v>1</v>
      </c>
      <c r="K181" s="168" t="n">
        <f aca="false">'VOL DWNLD'!K181+'VOL DELTA'!K181</f>
        <v>1</v>
      </c>
      <c r="L181" s="168" t="n">
        <f aca="false">'VOL DWNLD'!L181+'VOL DELTA'!L181</f>
        <v>1</v>
      </c>
      <c r="M181" s="168" t="n">
        <f aca="false">'VOL DWNLD'!M181+'VOL DELTA'!M181</f>
        <v>1</v>
      </c>
      <c r="N181" s="168" t="n">
        <f aca="false">'VOL DWNLD'!N181+'VOL DELTA'!N181</f>
        <v>1</v>
      </c>
      <c r="O181" s="168" t="n">
        <f aca="false">'VOL DWNLD'!O181+'VOL DELTA'!O181</f>
        <v>1</v>
      </c>
      <c r="P181" s="168" t="n">
        <f aca="false">'VOL DWNLD'!P181+'VOL DELTA'!P181</f>
        <v>1.03</v>
      </c>
      <c r="Q181" s="168" t="n">
        <f aca="false">'VOL DWNLD'!Q181+'VOL DELTA'!Q181</f>
        <v>1</v>
      </c>
      <c r="R181" s="168" t="n">
        <f aca="false">'VOL DWNLD'!R181+'VOL DELTA'!R181</f>
        <v>1</v>
      </c>
      <c r="S181" s="168" t="n">
        <f aca="false">'VOL DWNLD'!S181+'VOL DELTA'!S181</f>
        <v>1.02</v>
      </c>
      <c r="T181" s="168" t="n">
        <f aca="false">'VOL DWNLD'!T181+'VOL DELTA'!T181</f>
        <v>1</v>
      </c>
      <c r="U181" s="168" t="n">
        <f aca="false">'VOL DWNLD'!U181+'VOL DELTA'!U181</f>
        <v>1</v>
      </c>
      <c r="V181" s="168" t="n">
        <f aca="false">'VOL DWNLD'!V181+'VOL DELTA'!V181</f>
        <v>1</v>
      </c>
      <c r="W181" s="168" t="n">
        <f aca="false">'VOL DWNLD'!W181+'VOL DELTA'!W181</f>
        <v>1</v>
      </c>
      <c r="X181" s="168" t="n">
        <f aca="false">'VOL DWNLD'!X181+'VOL DELTA'!X181</f>
        <v>1</v>
      </c>
      <c r="Y181" s="168" t="n">
        <f aca="false">'VOL DWNLD'!Y181+'VOL DELTA'!Y181</f>
        <v>1.02</v>
      </c>
      <c r="Z181" s="168" t="n">
        <f aca="false">'VOL DWNLD'!Z181+'VOL DELTA'!Z181</f>
        <v>1</v>
      </c>
      <c r="AA181" s="168" t="n">
        <f aca="false">'VOL DWNLD'!AA181+'VOL DELTA'!AA181</f>
        <v>1</v>
      </c>
      <c r="AB181" s="168" t="n">
        <f aca="false">'VOL DWNLD'!AB181+'VOL DELTA'!AB181</f>
        <v>1</v>
      </c>
      <c r="AC181" s="168" t="n">
        <f aca="false">'VOL DWNLD'!AC181+'VOL DELTA'!AC181</f>
        <v>1</v>
      </c>
      <c r="AD181" s="168" t="n">
        <f aca="false">'VOL DWNLD'!AD181+'VOL DELTA'!AD181</f>
        <v>0.98</v>
      </c>
      <c r="AE181" s="168" t="n">
        <f aca="false">'VOL DWNLD'!AE181+'VOL DELTA'!AE181</f>
        <v>0.98</v>
      </c>
      <c r="AF181" s="168" t="n">
        <f aca="false">'VOL DWNLD'!AF181+'VOL DELTA'!AF181</f>
        <v>0.98</v>
      </c>
      <c r="AG181" s="168" t="n">
        <f aca="false">'VOL DWNLD'!AG181+'VOL DELTA'!AG181</f>
        <v>0.98</v>
      </c>
      <c r="AH181" s="168" t="n">
        <f aca="false">'VOL DWNLD'!AH181+'VOL DELTA'!AH181</f>
        <v>1.05</v>
      </c>
      <c r="AI181" s="168" t="n">
        <f aca="false">'VOL DWNLD'!AI181+'VOL DELTA'!AI181</f>
        <v>1</v>
      </c>
      <c r="AJ181" s="168" t="n">
        <f aca="false">'VOL DWNLD'!AJ181+'VOL DELTA'!AJ181</f>
        <v>1</v>
      </c>
      <c r="AK181" s="168" t="n">
        <f aca="false">'VOL DWNLD'!AK181+'VOL DELTA'!AK181</f>
        <v>1.02</v>
      </c>
      <c r="AL181" s="168" t="n">
        <f aca="false">'VOL DWNLD'!AL181+'VOL DELTA'!AL181</f>
        <v>1</v>
      </c>
      <c r="AM181" s="168" t="n">
        <f aca="false">'VOL DWNLD'!AM181+'VOL DELTA'!AM181</f>
        <v>1</v>
      </c>
      <c r="AN181" s="168" t="n">
        <f aca="false">'VOL DWNLD'!AN181+'VOL DELTA'!AN181</f>
        <v>1</v>
      </c>
      <c r="AO181" s="168" t="n">
        <f aca="false">'VOL DWNLD'!AO181+'VOL DELTA'!AO181</f>
        <v>1</v>
      </c>
    </row>
    <row r="182" customFormat="false" ht="12.75" hidden="false" customHeight="false" outlineLevel="0" collapsed="false">
      <c r="A182" s="167" t="n">
        <v>42217</v>
      </c>
      <c r="B182" s="168" t="n">
        <f aca="false">'VOL DWNLD'!B182+'VOL DELTA'!B182</f>
        <v>1</v>
      </c>
      <c r="C182" s="168" t="n">
        <f aca="false">'VOL DWNLD'!C182+'VOL DELTA'!C182</f>
        <v>1</v>
      </c>
      <c r="D182" s="168" t="n">
        <f aca="false">'VOL DWNLD'!D182+'VOL DELTA'!D182</f>
        <v>1</v>
      </c>
      <c r="E182" s="168" t="n">
        <f aca="false">'VOL DWNLD'!E182+'VOL DELTA'!E182</f>
        <v>1</v>
      </c>
      <c r="F182" s="168" t="n">
        <f aca="false">'VOL DWNLD'!F182+'VOL DELTA'!F182</f>
        <v>1</v>
      </c>
      <c r="G182" s="168" t="n">
        <f aca="false">'VOL DWNLD'!G182+'VOL DELTA'!G182</f>
        <v>1</v>
      </c>
      <c r="H182" s="168" t="n">
        <f aca="false">'VOL DWNLD'!H182+'VOL DELTA'!H182</f>
        <v>1</v>
      </c>
      <c r="I182" s="168" t="n">
        <f aca="false">'VOL DWNLD'!I182+'VOL DELTA'!I182</f>
        <v>1</v>
      </c>
      <c r="J182" s="168" t="n">
        <f aca="false">'VOL DWNLD'!J182+'VOL DELTA'!J182</f>
        <v>1</v>
      </c>
      <c r="K182" s="168" t="n">
        <f aca="false">'VOL DWNLD'!K182+'VOL DELTA'!K182</f>
        <v>1</v>
      </c>
      <c r="L182" s="168" t="n">
        <f aca="false">'VOL DWNLD'!L182+'VOL DELTA'!L182</f>
        <v>1</v>
      </c>
      <c r="M182" s="168" t="n">
        <f aca="false">'VOL DWNLD'!M182+'VOL DELTA'!M182</f>
        <v>1</v>
      </c>
      <c r="N182" s="168" t="n">
        <f aca="false">'VOL DWNLD'!N182+'VOL DELTA'!N182</f>
        <v>1</v>
      </c>
      <c r="O182" s="168" t="n">
        <f aca="false">'VOL DWNLD'!O182+'VOL DELTA'!O182</f>
        <v>1</v>
      </c>
      <c r="P182" s="168" t="n">
        <f aca="false">'VOL DWNLD'!P182+'VOL DELTA'!P182</f>
        <v>1.03</v>
      </c>
      <c r="Q182" s="168" t="n">
        <f aca="false">'VOL DWNLD'!Q182+'VOL DELTA'!Q182</f>
        <v>1</v>
      </c>
      <c r="R182" s="168" t="n">
        <f aca="false">'VOL DWNLD'!R182+'VOL DELTA'!R182</f>
        <v>1</v>
      </c>
      <c r="S182" s="168" t="n">
        <f aca="false">'VOL DWNLD'!S182+'VOL DELTA'!S182</f>
        <v>1.02</v>
      </c>
      <c r="T182" s="168" t="n">
        <f aca="false">'VOL DWNLD'!T182+'VOL DELTA'!T182</f>
        <v>1</v>
      </c>
      <c r="U182" s="168" t="n">
        <f aca="false">'VOL DWNLD'!U182+'VOL DELTA'!U182</f>
        <v>1</v>
      </c>
      <c r="V182" s="168" t="n">
        <f aca="false">'VOL DWNLD'!V182+'VOL DELTA'!V182</f>
        <v>1</v>
      </c>
      <c r="W182" s="168" t="n">
        <f aca="false">'VOL DWNLD'!W182+'VOL DELTA'!W182</f>
        <v>1</v>
      </c>
      <c r="X182" s="168" t="n">
        <f aca="false">'VOL DWNLD'!X182+'VOL DELTA'!X182</f>
        <v>1</v>
      </c>
      <c r="Y182" s="168" t="n">
        <f aca="false">'VOL DWNLD'!Y182+'VOL DELTA'!Y182</f>
        <v>1.02</v>
      </c>
      <c r="Z182" s="168" t="n">
        <f aca="false">'VOL DWNLD'!Z182+'VOL DELTA'!Z182</f>
        <v>1</v>
      </c>
      <c r="AA182" s="168" t="n">
        <f aca="false">'VOL DWNLD'!AA182+'VOL DELTA'!AA182</f>
        <v>1</v>
      </c>
      <c r="AB182" s="168" t="n">
        <f aca="false">'VOL DWNLD'!AB182+'VOL DELTA'!AB182</f>
        <v>1</v>
      </c>
      <c r="AC182" s="168" t="n">
        <f aca="false">'VOL DWNLD'!AC182+'VOL DELTA'!AC182</f>
        <v>1</v>
      </c>
      <c r="AD182" s="168" t="n">
        <f aca="false">'VOL DWNLD'!AD182+'VOL DELTA'!AD182</f>
        <v>0.98</v>
      </c>
      <c r="AE182" s="168" t="n">
        <f aca="false">'VOL DWNLD'!AE182+'VOL DELTA'!AE182</f>
        <v>0.98</v>
      </c>
      <c r="AF182" s="168" t="n">
        <f aca="false">'VOL DWNLD'!AF182+'VOL DELTA'!AF182</f>
        <v>0.98</v>
      </c>
      <c r="AG182" s="168" t="n">
        <f aca="false">'VOL DWNLD'!AG182+'VOL DELTA'!AG182</f>
        <v>0.98</v>
      </c>
      <c r="AH182" s="168" t="n">
        <f aca="false">'VOL DWNLD'!AH182+'VOL DELTA'!AH182</f>
        <v>1.05</v>
      </c>
      <c r="AI182" s="168" t="n">
        <f aca="false">'VOL DWNLD'!AI182+'VOL DELTA'!AI182</f>
        <v>1</v>
      </c>
      <c r="AJ182" s="168" t="n">
        <f aca="false">'VOL DWNLD'!AJ182+'VOL DELTA'!AJ182</f>
        <v>1</v>
      </c>
      <c r="AK182" s="168" t="n">
        <f aca="false">'VOL DWNLD'!AK182+'VOL DELTA'!AK182</f>
        <v>1.02</v>
      </c>
      <c r="AL182" s="168" t="n">
        <f aca="false">'VOL DWNLD'!AL182+'VOL DELTA'!AL182</f>
        <v>1</v>
      </c>
      <c r="AM182" s="168" t="n">
        <f aca="false">'VOL DWNLD'!AM182+'VOL DELTA'!AM182</f>
        <v>1</v>
      </c>
      <c r="AN182" s="168" t="n">
        <f aca="false">'VOL DWNLD'!AN182+'VOL DELTA'!AN182</f>
        <v>1</v>
      </c>
      <c r="AO182" s="168" t="n">
        <f aca="false">'VOL DWNLD'!AO182+'VOL DELTA'!AO182</f>
        <v>1</v>
      </c>
    </row>
    <row r="183" customFormat="false" ht="12.75" hidden="false" customHeight="false" outlineLevel="0" collapsed="false">
      <c r="A183" s="167" t="n">
        <v>42248</v>
      </c>
      <c r="B183" s="168" t="n">
        <f aca="false">'VOL DWNLD'!B183+'VOL DELTA'!B183</f>
        <v>1</v>
      </c>
      <c r="C183" s="168" t="n">
        <f aca="false">'VOL DWNLD'!C183+'VOL DELTA'!C183</f>
        <v>1</v>
      </c>
      <c r="D183" s="168" t="n">
        <f aca="false">'VOL DWNLD'!D183+'VOL DELTA'!D183</f>
        <v>1</v>
      </c>
      <c r="E183" s="168" t="n">
        <f aca="false">'VOL DWNLD'!E183+'VOL DELTA'!E183</f>
        <v>1</v>
      </c>
      <c r="F183" s="168" t="n">
        <f aca="false">'VOL DWNLD'!F183+'VOL DELTA'!F183</f>
        <v>1</v>
      </c>
      <c r="G183" s="168" t="n">
        <f aca="false">'VOL DWNLD'!G183+'VOL DELTA'!G183</f>
        <v>1</v>
      </c>
      <c r="H183" s="168" t="n">
        <f aca="false">'VOL DWNLD'!H183+'VOL DELTA'!H183</f>
        <v>1</v>
      </c>
      <c r="I183" s="168" t="n">
        <f aca="false">'VOL DWNLD'!I183+'VOL DELTA'!I183</f>
        <v>1</v>
      </c>
      <c r="J183" s="168" t="n">
        <f aca="false">'VOL DWNLD'!J183+'VOL DELTA'!J183</f>
        <v>1</v>
      </c>
      <c r="K183" s="168" t="n">
        <f aca="false">'VOL DWNLD'!K183+'VOL DELTA'!K183</f>
        <v>1</v>
      </c>
      <c r="L183" s="168" t="n">
        <f aca="false">'VOL DWNLD'!L183+'VOL DELTA'!L183</f>
        <v>1</v>
      </c>
      <c r="M183" s="168" t="n">
        <f aca="false">'VOL DWNLD'!M183+'VOL DELTA'!M183</f>
        <v>1</v>
      </c>
      <c r="N183" s="168" t="n">
        <f aca="false">'VOL DWNLD'!N183+'VOL DELTA'!N183</f>
        <v>1</v>
      </c>
      <c r="O183" s="168" t="n">
        <f aca="false">'VOL DWNLD'!O183+'VOL DELTA'!O183</f>
        <v>1</v>
      </c>
      <c r="P183" s="168" t="n">
        <f aca="false">'VOL DWNLD'!P183+'VOL DELTA'!P183</f>
        <v>1.03</v>
      </c>
      <c r="Q183" s="168" t="n">
        <f aca="false">'VOL DWNLD'!Q183+'VOL DELTA'!Q183</f>
        <v>1</v>
      </c>
      <c r="R183" s="168" t="n">
        <f aca="false">'VOL DWNLD'!R183+'VOL DELTA'!R183</f>
        <v>1</v>
      </c>
      <c r="S183" s="168" t="n">
        <f aca="false">'VOL DWNLD'!S183+'VOL DELTA'!S183</f>
        <v>1.02</v>
      </c>
      <c r="T183" s="168" t="n">
        <f aca="false">'VOL DWNLD'!T183+'VOL DELTA'!T183</f>
        <v>1</v>
      </c>
      <c r="U183" s="168" t="n">
        <f aca="false">'VOL DWNLD'!U183+'VOL DELTA'!U183</f>
        <v>1</v>
      </c>
      <c r="V183" s="168" t="n">
        <f aca="false">'VOL DWNLD'!V183+'VOL DELTA'!V183</f>
        <v>1</v>
      </c>
      <c r="W183" s="168" t="n">
        <f aca="false">'VOL DWNLD'!W183+'VOL DELTA'!W183</f>
        <v>1</v>
      </c>
      <c r="X183" s="168" t="n">
        <f aca="false">'VOL DWNLD'!X183+'VOL DELTA'!X183</f>
        <v>1</v>
      </c>
      <c r="Y183" s="168" t="n">
        <f aca="false">'VOL DWNLD'!Y183+'VOL DELTA'!Y183</f>
        <v>1.02</v>
      </c>
      <c r="Z183" s="168" t="n">
        <f aca="false">'VOL DWNLD'!Z183+'VOL DELTA'!Z183</f>
        <v>1</v>
      </c>
      <c r="AA183" s="168" t="n">
        <f aca="false">'VOL DWNLD'!AA183+'VOL DELTA'!AA183</f>
        <v>1</v>
      </c>
      <c r="AB183" s="168" t="n">
        <f aca="false">'VOL DWNLD'!AB183+'VOL DELTA'!AB183</f>
        <v>1</v>
      </c>
      <c r="AC183" s="168" t="n">
        <f aca="false">'VOL DWNLD'!AC183+'VOL DELTA'!AC183</f>
        <v>1</v>
      </c>
      <c r="AD183" s="168" t="n">
        <f aca="false">'VOL DWNLD'!AD183+'VOL DELTA'!AD183</f>
        <v>0.98</v>
      </c>
      <c r="AE183" s="168" t="n">
        <f aca="false">'VOL DWNLD'!AE183+'VOL DELTA'!AE183</f>
        <v>0.98</v>
      </c>
      <c r="AF183" s="168" t="n">
        <f aca="false">'VOL DWNLD'!AF183+'VOL DELTA'!AF183</f>
        <v>0.98</v>
      </c>
      <c r="AG183" s="168" t="n">
        <f aca="false">'VOL DWNLD'!AG183+'VOL DELTA'!AG183</f>
        <v>0.98</v>
      </c>
      <c r="AH183" s="168" t="n">
        <f aca="false">'VOL DWNLD'!AH183+'VOL DELTA'!AH183</f>
        <v>1.05</v>
      </c>
      <c r="AI183" s="168" t="n">
        <f aca="false">'VOL DWNLD'!AI183+'VOL DELTA'!AI183</f>
        <v>1</v>
      </c>
      <c r="AJ183" s="168" t="n">
        <f aca="false">'VOL DWNLD'!AJ183+'VOL DELTA'!AJ183</f>
        <v>1</v>
      </c>
      <c r="AK183" s="168" t="n">
        <f aca="false">'VOL DWNLD'!AK183+'VOL DELTA'!AK183</f>
        <v>1.02</v>
      </c>
      <c r="AL183" s="168" t="n">
        <f aca="false">'VOL DWNLD'!AL183+'VOL DELTA'!AL183</f>
        <v>1</v>
      </c>
      <c r="AM183" s="168" t="n">
        <f aca="false">'VOL DWNLD'!AM183+'VOL DELTA'!AM183</f>
        <v>1</v>
      </c>
      <c r="AN183" s="168" t="n">
        <f aca="false">'VOL DWNLD'!AN183+'VOL DELTA'!AN183</f>
        <v>1</v>
      </c>
      <c r="AO183" s="168" t="n">
        <f aca="false">'VOL DWNLD'!AO183+'VOL DELTA'!AO183</f>
        <v>1</v>
      </c>
    </row>
    <row r="184" customFormat="false" ht="12.75" hidden="false" customHeight="false" outlineLevel="0" collapsed="false">
      <c r="A184" s="167" t="n">
        <v>42278</v>
      </c>
      <c r="B184" s="168" t="n">
        <f aca="false">'VOL DWNLD'!B184+'VOL DELTA'!B184</f>
        <v>1</v>
      </c>
      <c r="C184" s="168" t="n">
        <f aca="false">'VOL DWNLD'!C184+'VOL DELTA'!C184</f>
        <v>1</v>
      </c>
      <c r="D184" s="168" t="n">
        <f aca="false">'VOL DWNLD'!D184+'VOL DELTA'!D184</f>
        <v>1</v>
      </c>
      <c r="E184" s="168" t="n">
        <f aca="false">'VOL DWNLD'!E184+'VOL DELTA'!E184</f>
        <v>1</v>
      </c>
      <c r="F184" s="168" t="n">
        <f aca="false">'VOL DWNLD'!F184+'VOL DELTA'!F184</f>
        <v>1</v>
      </c>
      <c r="G184" s="168" t="n">
        <f aca="false">'VOL DWNLD'!G184+'VOL DELTA'!G184</f>
        <v>1</v>
      </c>
      <c r="H184" s="168" t="n">
        <f aca="false">'VOL DWNLD'!H184+'VOL DELTA'!H184</f>
        <v>1</v>
      </c>
      <c r="I184" s="168" t="n">
        <f aca="false">'VOL DWNLD'!I184+'VOL DELTA'!I184</f>
        <v>1</v>
      </c>
      <c r="J184" s="168" t="n">
        <f aca="false">'VOL DWNLD'!J184+'VOL DELTA'!J184</f>
        <v>1</v>
      </c>
      <c r="K184" s="168" t="n">
        <f aca="false">'VOL DWNLD'!K184+'VOL DELTA'!K184</f>
        <v>1</v>
      </c>
      <c r="L184" s="168" t="n">
        <f aca="false">'VOL DWNLD'!L184+'VOL DELTA'!L184</f>
        <v>1</v>
      </c>
      <c r="M184" s="168" t="n">
        <f aca="false">'VOL DWNLD'!M184+'VOL DELTA'!M184</f>
        <v>1</v>
      </c>
      <c r="N184" s="168" t="n">
        <f aca="false">'VOL DWNLD'!N184+'VOL DELTA'!N184</f>
        <v>1</v>
      </c>
      <c r="O184" s="168" t="n">
        <f aca="false">'VOL DWNLD'!O184+'VOL DELTA'!O184</f>
        <v>1</v>
      </c>
      <c r="P184" s="168" t="n">
        <f aca="false">'VOL DWNLD'!P184+'VOL DELTA'!P184</f>
        <v>1.03</v>
      </c>
      <c r="Q184" s="168" t="n">
        <f aca="false">'VOL DWNLD'!Q184+'VOL DELTA'!Q184</f>
        <v>1</v>
      </c>
      <c r="R184" s="168" t="n">
        <f aca="false">'VOL DWNLD'!R184+'VOL DELTA'!R184</f>
        <v>1</v>
      </c>
      <c r="S184" s="168" t="n">
        <f aca="false">'VOL DWNLD'!S184+'VOL DELTA'!S184</f>
        <v>1.02</v>
      </c>
      <c r="T184" s="168" t="n">
        <f aca="false">'VOL DWNLD'!T184+'VOL DELTA'!T184</f>
        <v>1</v>
      </c>
      <c r="U184" s="168" t="n">
        <f aca="false">'VOL DWNLD'!U184+'VOL DELTA'!U184</f>
        <v>1</v>
      </c>
      <c r="V184" s="168" t="n">
        <f aca="false">'VOL DWNLD'!V184+'VOL DELTA'!V184</f>
        <v>1</v>
      </c>
      <c r="W184" s="168" t="n">
        <f aca="false">'VOL DWNLD'!W184+'VOL DELTA'!W184</f>
        <v>1</v>
      </c>
      <c r="X184" s="168" t="n">
        <f aca="false">'VOL DWNLD'!X184+'VOL DELTA'!X184</f>
        <v>1</v>
      </c>
      <c r="Y184" s="168" t="n">
        <f aca="false">'VOL DWNLD'!Y184+'VOL DELTA'!Y184</f>
        <v>1.02</v>
      </c>
      <c r="Z184" s="168" t="n">
        <f aca="false">'VOL DWNLD'!Z184+'VOL DELTA'!Z184</f>
        <v>1</v>
      </c>
      <c r="AA184" s="168" t="n">
        <f aca="false">'VOL DWNLD'!AA184+'VOL DELTA'!AA184</f>
        <v>1</v>
      </c>
      <c r="AB184" s="168" t="n">
        <f aca="false">'VOL DWNLD'!AB184+'VOL DELTA'!AB184</f>
        <v>1</v>
      </c>
      <c r="AC184" s="168" t="n">
        <f aca="false">'VOL DWNLD'!AC184+'VOL DELTA'!AC184</f>
        <v>1</v>
      </c>
      <c r="AD184" s="168" t="n">
        <f aca="false">'VOL DWNLD'!AD184+'VOL DELTA'!AD184</f>
        <v>0.98</v>
      </c>
      <c r="AE184" s="168" t="n">
        <f aca="false">'VOL DWNLD'!AE184+'VOL DELTA'!AE184</f>
        <v>0.98</v>
      </c>
      <c r="AF184" s="168" t="n">
        <f aca="false">'VOL DWNLD'!AF184+'VOL DELTA'!AF184</f>
        <v>0.98</v>
      </c>
      <c r="AG184" s="168" t="n">
        <f aca="false">'VOL DWNLD'!AG184+'VOL DELTA'!AG184</f>
        <v>0.98</v>
      </c>
      <c r="AH184" s="168" t="n">
        <f aca="false">'VOL DWNLD'!AH184+'VOL DELTA'!AH184</f>
        <v>1.05</v>
      </c>
      <c r="AI184" s="168" t="n">
        <f aca="false">'VOL DWNLD'!AI184+'VOL DELTA'!AI184</f>
        <v>1</v>
      </c>
      <c r="AJ184" s="168" t="n">
        <f aca="false">'VOL DWNLD'!AJ184+'VOL DELTA'!AJ184</f>
        <v>1</v>
      </c>
      <c r="AK184" s="168" t="n">
        <f aca="false">'VOL DWNLD'!AK184+'VOL DELTA'!AK184</f>
        <v>1.02</v>
      </c>
      <c r="AL184" s="168" t="n">
        <f aca="false">'VOL DWNLD'!AL184+'VOL DELTA'!AL184</f>
        <v>1</v>
      </c>
      <c r="AM184" s="168" t="n">
        <f aca="false">'VOL DWNLD'!AM184+'VOL DELTA'!AM184</f>
        <v>1</v>
      </c>
      <c r="AN184" s="168" t="n">
        <f aca="false">'VOL DWNLD'!AN184+'VOL DELTA'!AN184</f>
        <v>1</v>
      </c>
      <c r="AO184" s="168" t="n">
        <f aca="false">'VOL DWNLD'!AO184+'VOL DELTA'!AO184</f>
        <v>1</v>
      </c>
    </row>
    <row r="185" customFormat="false" ht="12.75" hidden="false" customHeight="false" outlineLevel="0" collapsed="false">
      <c r="A185" s="167" t="n">
        <v>42309</v>
      </c>
      <c r="B185" s="168" t="n">
        <f aca="false">'VOL DWNLD'!B185+'VOL DELTA'!B185</f>
        <v>1</v>
      </c>
      <c r="C185" s="168" t="n">
        <f aca="false">'VOL DWNLD'!C185+'VOL DELTA'!C185</f>
        <v>1</v>
      </c>
      <c r="D185" s="168" t="n">
        <f aca="false">'VOL DWNLD'!D185+'VOL DELTA'!D185</f>
        <v>1</v>
      </c>
      <c r="E185" s="168" t="n">
        <f aca="false">'VOL DWNLD'!E185+'VOL DELTA'!E185</f>
        <v>1</v>
      </c>
      <c r="F185" s="168" t="n">
        <f aca="false">'VOL DWNLD'!F185+'VOL DELTA'!F185</f>
        <v>1</v>
      </c>
      <c r="G185" s="168" t="n">
        <f aca="false">'VOL DWNLD'!G185+'VOL DELTA'!G185</f>
        <v>1</v>
      </c>
      <c r="H185" s="168" t="n">
        <f aca="false">'VOL DWNLD'!H185+'VOL DELTA'!H185</f>
        <v>1</v>
      </c>
      <c r="I185" s="168" t="n">
        <f aca="false">'VOL DWNLD'!I185+'VOL DELTA'!I185</f>
        <v>1</v>
      </c>
      <c r="J185" s="168" t="n">
        <f aca="false">'VOL DWNLD'!J185+'VOL DELTA'!J185</f>
        <v>1</v>
      </c>
      <c r="K185" s="168" t="n">
        <f aca="false">'VOL DWNLD'!K185+'VOL DELTA'!K185</f>
        <v>1</v>
      </c>
      <c r="L185" s="168" t="n">
        <f aca="false">'VOL DWNLD'!L185+'VOL DELTA'!L185</f>
        <v>1</v>
      </c>
      <c r="M185" s="168" t="n">
        <f aca="false">'VOL DWNLD'!M185+'VOL DELTA'!M185</f>
        <v>1</v>
      </c>
      <c r="N185" s="168" t="n">
        <f aca="false">'VOL DWNLD'!N185+'VOL DELTA'!N185</f>
        <v>1</v>
      </c>
      <c r="O185" s="168" t="n">
        <f aca="false">'VOL DWNLD'!O185+'VOL DELTA'!O185</f>
        <v>1</v>
      </c>
      <c r="P185" s="168" t="n">
        <f aca="false">'VOL DWNLD'!P185+'VOL DELTA'!P185</f>
        <v>1.03</v>
      </c>
      <c r="Q185" s="168" t="n">
        <f aca="false">'VOL DWNLD'!Q185+'VOL DELTA'!Q185</f>
        <v>1</v>
      </c>
      <c r="R185" s="168" t="n">
        <f aca="false">'VOL DWNLD'!R185+'VOL DELTA'!R185</f>
        <v>1</v>
      </c>
      <c r="S185" s="168" t="n">
        <f aca="false">'VOL DWNLD'!S185+'VOL DELTA'!S185</f>
        <v>1.02</v>
      </c>
      <c r="T185" s="168" t="n">
        <f aca="false">'VOL DWNLD'!T185+'VOL DELTA'!T185</f>
        <v>1</v>
      </c>
      <c r="U185" s="168" t="n">
        <f aca="false">'VOL DWNLD'!U185+'VOL DELTA'!U185</f>
        <v>1</v>
      </c>
      <c r="V185" s="168" t="n">
        <f aca="false">'VOL DWNLD'!V185+'VOL DELTA'!V185</f>
        <v>1</v>
      </c>
      <c r="W185" s="168" t="n">
        <f aca="false">'VOL DWNLD'!W185+'VOL DELTA'!W185</f>
        <v>1</v>
      </c>
      <c r="X185" s="168" t="n">
        <f aca="false">'VOL DWNLD'!X185+'VOL DELTA'!X185</f>
        <v>1</v>
      </c>
      <c r="Y185" s="168" t="n">
        <f aca="false">'VOL DWNLD'!Y185+'VOL DELTA'!Y185</f>
        <v>1</v>
      </c>
      <c r="Z185" s="168" t="n">
        <f aca="false">'VOL DWNLD'!Z185+'VOL DELTA'!Z185</f>
        <v>1</v>
      </c>
      <c r="AA185" s="168" t="n">
        <f aca="false">'VOL DWNLD'!AA185+'VOL DELTA'!AA185</f>
        <v>1</v>
      </c>
      <c r="AB185" s="168" t="n">
        <f aca="false">'VOL DWNLD'!AB185+'VOL DELTA'!AB185</f>
        <v>1</v>
      </c>
      <c r="AC185" s="168" t="n">
        <f aca="false">'VOL DWNLD'!AC185+'VOL DELTA'!AC185</f>
        <v>1</v>
      </c>
      <c r="AD185" s="168" t="n">
        <f aca="false">'VOL DWNLD'!AD185+'VOL DELTA'!AD185</f>
        <v>1</v>
      </c>
      <c r="AE185" s="168" t="n">
        <f aca="false">'VOL DWNLD'!AE185+'VOL DELTA'!AE185</f>
        <v>1</v>
      </c>
      <c r="AF185" s="168" t="n">
        <f aca="false">'VOL DWNLD'!AF185+'VOL DELTA'!AF185</f>
        <v>1.1</v>
      </c>
      <c r="AG185" s="168" t="n">
        <f aca="false">'VOL DWNLD'!AG185+'VOL DELTA'!AG185</f>
        <v>1.1</v>
      </c>
      <c r="AH185" s="168" t="n">
        <f aca="false">'VOL DWNLD'!AH185+'VOL DELTA'!AH185</f>
        <v>1.05</v>
      </c>
      <c r="AI185" s="168" t="n">
        <f aca="false">'VOL DWNLD'!AI185+'VOL DELTA'!AI185</f>
        <v>1</v>
      </c>
      <c r="AJ185" s="168" t="n">
        <f aca="false">'VOL DWNLD'!AJ185+'VOL DELTA'!AJ185</f>
        <v>1</v>
      </c>
      <c r="AK185" s="168" t="n">
        <f aca="false">'VOL DWNLD'!AK185+'VOL DELTA'!AK185</f>
        <v>1.02</v>
      </c>
      <c r="AL185" s="168" t="n">
        <f aca="false">'VOL DWNLD'!AL185+'VOL DELTA'!AL185</f>
        <v>1</v>
      </c>
      <c r="AM185" s="168" t="n">
        <f aca="false">'VOL DWNLD'!AM185+'VOL DELTA'!AM185</f>
        <v>1</v>
      </c>
      <c r="AN185" s="168" t="n">
        <f aca="false">'VOL DWNLD'!AN185+'VOL DELTA'!AN185</f>
        <v>1</v>
      </c>
      <c r="AO185" s="168" t="n">
        <f aca="false">'VOL DWNLD'!AO185+'VOL DELTA'!AO185</f>
        <v>1</v>
      </c>
    </row>
    <row r="186" customFormat="false" ht="12.75" hidden="false" customHeight="false" outlineLevel="0" collapsed="false">
      <c r="A186" s="167" t="n">
        <v>42339</v>
      </c>
      <c r="B186" s="168" t="n">
        <f aca="false">'VOL DWNLD'!B186+'VOL DELTA'!B186</f>
        <v>1</v>
      </c>
      <c r="C186" s="168" t="n">
        <f aca="false">'VOL DWNLD'!C186+'VOL DELTA'!C186</f>
        <v>1</v>
      </c>
      <c r="D186" s="168" t="n">
        <f aca="false">'VOL DWNLD'!D186+'VOL DELTA'!D186</f>
        <v>1</v>
      </c>
      <c r="E186" s="168" t="n">
        <f aca="false">'VOL DWNLD'!E186+'VOL DELTA'!E186</f>
        <v>1</v>
      </c>
      <c r="F186" s="168" t="n">
        <f aca="false">'VOL DWNLD'!F186+'VOL DELTA'!F186</f>
        <v>1</v>
      </c>
      <c r="G186" s="168" t="n">
        <f aca="false">'VOL DWNLD'!G186+'VOL DELTA'!G186</f>
        <v>1</v>
      </c>
      <c r="H186" s="168" t="n">
        <f aca="false">'VOL DWNLD'!H186+'VOL DELTA'!H186</f>
        <v>1</v>
      </c>
      <c r="I186" s="168" t="n">
        <f aca="false">'VOL DWNLD'!I186+'VOL DELTA'!I186</f>
        <v>1</v>
      </c>
      <c r="J186" s="168" t="n">
        <f aca="false">'VOL DWNLD'!J186+'VOL DELTA'!J186</f>
        <v>1</v>
      </c>
      <c r="K186" s="168" t="n">
        <f aca="false">'VOL DWNLD'!K186+'VOL DELTA'!K186</f>
        <v>1</v>
      </c>
      <c r="L186" s="168" t="n">
        <f aca="false">'VOL DWNLD'!L186+'VOL DELTA'!L186</f>
        <v>1</v>
      </c>
      <c r="M186" s="168" t="n">
        <f aca="false">'VOL DWNLD'!M186+'VOL DELTA'!M186</f>
        <v>1</v>
      </c>
      <c r="N186" s="168" t="n">
        <f aca="false">'VOL DWNLD'!N186+'VOL DELTA'!N186</f>
        <v>1</v>
      </c>
      <c r="O186" s="168" t="n">
        <f aca="false">'VOL DWNLD'!O186+'VOL DELTA'!O186</f>
        <v>1</v>
      </c>
      <c r="P186" s="168" t="n">
        <f aca="false">'VOL DWNLD'!P186+'VOL DELTA'!P186</f>
        <v>1.03</v>
      </c>
      <c r="Q186" s="168" t="n">
        <f aca="false">'VOL DWNLD'!Q186+'VOL DELTA'!Q186</f>
        <v>1</v>
      </c>
      <c r="R186" s="168" t="n">
        <f aca="false">'VOL DWNLD'!R186+'VOL DELTA'!R186</f>
        <v>1</v>
      </c>
      <c r="S186" s="168" t="n">
        <f aca="false">'VOL DWNLD'!S186+'VOL DELTA'!S186</f>
        <v>1.02</v>
      </c>
      <c r="T186" s="168" t="n">
        <f aca="false">'VOL DWNLD'!T186+'VOL DELTA'!T186</f>
        <v>1</v>
      </c>
      <c r="U186" s="168" t="n">
        <f aca="false">'VOL DWNLD'!U186+'VOL DELTA'!U186</f>
        <v>1</v>
      </c>
      <c r="V186" s="168" t="n">
        <f aca="false">'VOL DWNLD'!V186+'VOL DELTA'!V186</f>
        <v>1</v>
      </c>
      <c r="W186" s="168" t="n">
        <f aca="false">'VOL DWNLD'!W186+'VOL DELTA'!W186</f>
        <v>1</v>
      </c>
      <c r="X186" s="168" t="n">
        <f aca="false">'VOL DWNLD'!X186+'VOL DELTA'!X186</f>
        <v>1</v>
      </c>
      <c r="Y186" s="168" t="n">
        <f aca="false">'VOL DWNLD'!Y186+'VOL DELTA'!Y186</f>
        <v>1</v>
      </c>
      <c r="Z186" s="168" t="n">
        <f aca="false">'VOL DWNLD'!Z186+'VOL DELTA'!Z186</f>
        <v>1</v>
      </c>
      <c r="AA186" s="168" t="n">
        <f aca="false">'VOL DWNLD'!AA186+'VOL DELTA'!AA186</f>
        <v>1</v>
      </c>
      <c r="AB186" s="168" t="n">
        <f aca="false">'VOL DWNLD'!AB186+'VOL DELTA'!AB186</f>
        <v>1</v>
      </c>
      <c r="AC186" s="168" t="n">
        <f aca="false">'VOL DWNLD'!AC186+'VOL DELTA'!AC186</f>
        <v>1</v>
      </c>
      <c r="AD186" s="168" t="n">
        <f aca="false">'VOL DWNLD'!AD186+'VOL DELTA'!AD186</f>
        <v>1</v>
      </c>
      <c r="AE186" s="168" t="n">
        <f aca="false">'VOL DWNLD'!AE186+'VOL DELTA'!AE186</f>
        <v>1</v>
      </c>
      <c r="AF186" s="168" t="n">
        <f aca="false">'VOL DWNLD'!AF186+'VOL DELTA'!AF186</f>
        <v>1.1</v>
      </c>
      <c r="AG186" s="168" t="n">
        <f aca="false">'VOL DWNLD'!AG186+'VOL DELTA'!AG186</f>
        <v>1.1</v>
      </c>
      <c r="AH186" s="168" t="n">
        <f aca="false">'VOL DWNLD'!AH186+'VOL DELTA'!AH186</f>
        <v>1.05</v>
      </c>
      <c r="AI186" s="168" t="n">
        <f aca="false">'VOL DWNLD'!AI186+'VOL DELTA'!AI186</f>
        <v>1</v>
      </c>
      <c r="AJ186" s="168" t="n">
        <f aca="false">'VOL DWNLD'!AJ186+'VOL DELTA'!AJ186</f>
        <v>1</v>
      </c>
      <c r="AK186" s="168" t="n">
        <f aca="false">'VOL DWNLD'!AK186+'VOL DELTA'!AK186</f>
        <v>1.02</v>
      </c>
      <c r="AL186" s="168" t="n">
        <f aca="false">'VOL DWNLD'!AL186+'VOL DELTA'!AL186</f>
        <v>1</v>
      </c>
      <c r="AM186" s="168" t="n">
        <f aca="false">'VOL DWNLD'!AM186+'VOL DELTA'!AM186</f>
        <v>1</v>
      </c>
      <c r="AN186" s="168" t="n">
        <f aca="false">'VOL DWNLD'!AN186+'VOL DELTA'!AN186</f>
        <v>1</v>
      </c>
      <c r="AO186" s="168" t="n">
        <f aca="false">'VOL DWNLD'!AO186+'VOL DELTA'!AO186</f>
        <v>1</v>
      </c>
    </row>
    <row r="187" customFormat="false" ht="12.75" hidden="false" customHeight="false" outlineLevel="0" collapsed="false">
      <c r="A187" s="167" t="n">
        <v>42370</v>
      </c>
      <c r="B187" s="168" t="n">
        <f aca="false">'VOL DWNLD'!B187+'VOL DELTA'!B187</f>
        <v>1</v>
      </c>
      <c r="C187" s="168" t="n">
        <f aca="false">'VOL DWNLD'!C187+'VOL DELTA'!C187</f>
        <v>1</v>
      </c>
      <c r="D187" s="168" t="n">
        <f aca="false">'VOL DWNLD'!D187+'VOL DELTA'!D187</f>
        <v>1</v>
      </c>
      <c r="E187" s="168" t="n">
        <f aca="false">'VOL DWNLD'!E187+'VOL DELTA'!E187</f>
        <v>1</v>
      </c>
      <c r="F187" s="168" t="n">
        <f aca="false">'VOL DWNLD'!F187+'VOL DELTA'!F187</f>
        <v>1</v>
      </c>
      <c r="G187" s="168" t="n">
        <f aca="false">'VOL DWNLD'!G187+'VOL DELTA'!G187</f>
        <v>1</v>
      </c>
      <c r="H187" s="168" t="n">
        <f aca="false">'VOL DWNLD'!H187+'VOL DELTA'!H187</f>
        <v>1</v>
      </c>
      <c r="I187" s="168" t="n">
        <f aca="false">'VOL DWNLD'!I187+'VOL DELTA'!I187</f>
        <v>1</v>
      </c>
      <c r="J187" s="168" t="n">
        <f aca="false">'VOL DWNLD'!J187+'VOL DELTA'!J187</f>
        <v>1</v>
      </c>
      <c r="K187" s="168" t="n">
        <f aca="false">'VOL DWNLD'!K187+'VOL DELTA'!K187</f>
        <v>1</v>
      </c>
      <c r="L187" s="168" t="n">
        <f aca="false">'VOL DWNLD'!L187+'VOL DELTA'!L187</f>
        <v>1</v>
      </c>
      <c r="M187" s="168" t="n">
        <f aca="false">'VOL DWNLD'!M187+'VOL DELTA'!M187</f>
        <v>1</v>
      </c>
      <c r="N187" s="168" t="n">
        <f aca="false">'VOL DWNLD'!N187+'VOL DELTA'!N187</f>
        <v>1</v>
      </c>
      <c r="O187" s="168" t="n">
        <f aca="false">'VOL DWNLD'!O187+'VOL DELTA'!O187</f>
        <v>1</v>
      </c>
      <c r="P187" s="168" t="n">
        <f aca="false">'VOL DWNLD'!P187+'VOL DELTA'!P187</f>
        <v>1.03</v>
      </c>
      <c r="Q187" s="168" t="n">
        <f aca="false">'VOL DWNLD'!Q187+'VOL DELTA'!Q187</f>
        <v>1</v>
      </c>
      <c r="R187" s="168" t="n">
        <f aca="false">'VOL DWNLD'!R187+'VOL DELTA'!R187</f>
        <v>1</v>
      </c>
      <c r="S187" s="168" t="n">
        <f aca="false">'VOL DWNLD'!S187+'VOL DELTA'!S187</f>
        <v>1.02</v>
      </c>
      <c r="T187" s="168" t="n">
        <f aca="false">'VOL DWNLD'!T187+'VOL DELTA'!T187</f>
        <v>1</v>
      </c>
      <c r="U187" s="168" t="n">
        <f aca="false">'VOL DWNLD'!U187+'VOL DELTA'!U187</f>
        <v>1</v>
      </c>
      <c r="V187" s="168" t="n">
        <f aca="false">'VOL DWNLD'!V187+'VOL DELTA'!V187</f>
        <v>1</v>
      </c>
      <c r="W187" s="168" t="n">
        <f aca="false">'VOL DWNLD'!W187+'VOL DELTA'!W187</f>
        <v>1</v>
      </c>
      <c r="X187" s="168" t="n">
        <f aca="false">'VOL DWNLD'!X187+'VOL DELTA'!X187</f>
        <v>1</v>
      </c>
      <c r="Y187" s="168" t="n">
        <f aca="false">'VOL DWNLD'!Y187+'VOL DELTA'!Y187</f>
        <v>1</v>
      </c>
      <c r="Z187" s="168" t="n">
        <f aca="false">'VOL DWNLD'!Z187+'VOL DELTA'!Z187</f>
        <v>1</v>
      </c>
      <c r="AA187" s="168" t="n">
        <f aca="false">'VOL DWNLD'!AA187+'VOL DELTA'!AA187</f>
        <v>1</v>
      </c>
      <c r="AB187" s="168" t="n">
        <f aca="false">'VOL DWNLD'!AB187+'VOL DELTA'!AB187</f>
        <v>1</v>
      </c>
      <c r="AC187" s="168" t="n">
        <f aca="false">'VOL DWNLD'!AC187+'VOL DELTA'!AC187</f>
        <v>1</v>
      </c>
      <c r="AD187" s="168" t="n">
        <f aca="false">'VOL DWNLD'!AD187+'VOL DELTA'!AD187</f>
        <v>1</v>
      </c>
      <c r="AE187" s="168" t="n">
        <f aca="false">'VOL DWNLD'!AE187+'VOL DELTA'!AE187</f>
        <v>1</v>
      </c>
      <c r="AF187" s="168" t="n">
        <f aca="false">'VOL DWNLD'!AF187+'VOL DELTA'!AF187</f>
        <v>1.1</v>
      </c>
      <c r="AG187" s="168" t="n">
        <f aca="false">'VOL DWNLD'!AG187+'VOL DELTA'!AG187</f>
        <v>1.1</v>
      </c>
      <c r="AH187" s="168" t="n">
        <f aca="false">'VOL DWNLD'!AH187+'VOL DELTA'!AH187</f>
        <v>1.05</v>
      </c>
      <c r="AI187" s="168" t="n">
        <f aca="false">'VOL DWNLD'!AI187+'VOL DELTA'!AI187</f>
        <v>1</v>
      </c>
      <c r="AJ187" s="168" t="n">
        <f aca="false">'VOL DWNLD'!AJ187+'VOL DELTA'!AJ187</f>
        <v>1</v>
      </c>
      <c r="AK187" s="168" t="n">
        <f aca="false">'VOL DWNLD'!AK187+'VOL DELTA'!AK187</f>
        <v>1.02</v>
      </c>
      <c r="AL187" s="168" t="n">
        <f aca="false">'VOL DWNLD'!AL187+'VOL DELTA'!AL187</f>
        <v>1</v>
      </c>
      <c r="AM187" s="168" t="n">
        <f aca="false">'VOL DWNLD'!AM187+'VOL DELTA'!AM187</f>
        <v>1</v>
      </c>
      <c r="AN187" s="168" t="n">
        <f aca="false">'VOL DWNLD'!AN187+'VOL DELTA'!AN187</f>
        <v>1</v>
      </c>
      <c r="AO187" s="168" t="n">
        <f aca="false">'VOL DWNLD'!AO187+'VOL DELTA'!AO187</f>
        <v>1</v>
      </c>
    </row>
    <row r="188" customFormat="false" ht="12.75" hidden="false" customHeight="false" outlineLevel="0" collapsed="false">
      <c r="A188" s="167" t="n">
        <v>42401</v>
      </c>
      <c r="B188" s="168" t="n">
        <f aca="false">'VOL DWNLD'!B188+'VOL DELTA'!B188</f>
        <v>1</v>
      </c>
      <c r="C188" s="168" t="n">
        <f aca="false">'VOL DWNLD'!C188+'VOL DELTA'!C188</f>
        <v>1</v>
      </c>
      <c r="D188" s="168" t="n">
        <f aca="false">'VOL DWNLD'!D188+'VOL DELTA'!D188</f>
        <v>1</v>
      </c>
      <c r="E188" s="168" t="n">
        <f aca="false">'VOL DWNLD'!E188+'VOL DELTA'!E188</f>
        <v>1</v>
      </c>
      <c r="F188" s="168" t="n">
        <f aca="false">'VOL DWNLD'!F188+'VOL DELTA'!F188</f>
        <v>1</v>
      </c>
      <c r="G188" s="168" t="n">
        <f aca="false">'VOL DWNLD'!G188+'VOL DELTA'!G188</f>
        <v>1</v>
      </c>
      <c r="H188" s="168" t="n">
        <f aca="false">'VOL DWNLD'!H188+'VOL DELTA'!H188</f>
        <v>1</v>
      </c>
      <c r="I188" s="168" t="n">
        <f aca="false">'VOL DWNLD'!I188+'VOL DELTA'!I188</f>
        <v>1</v>
      </c>
      <c r="J188" s="168" t="n">
        <f aca="false">'VOL DWNLD'!J188+'VOL DELTA'!J188</f>
        <v>1</v>
      </c>
      <c r="K188" s="168" t="n">
        <f aca="false">'VOL DWNLD'!K188+'VOL DELTA'!K188</f>
        <v>1</v>
      </c>
      <c r="L188" s="168" t="n">
        <f aca="false">'VOL DWNLD'!L188+'VOL DELTA'!L188</f>
        <v>1</v>
      </c>
      <c r="M188" s="168" t="n">
        <f aca="false">'VOL DWNLD'!M188+'VOL DELTA'!M188</f>
        <v>1</v>
      </c>
      <c r="N188" s="168" t="n">
        <f aca="false">'VOL DWNLD'!N188+'VOL DELTA'!N188</f>
        <v>1</v>
      </c>
      <c r="O188" s="168" t="n">
        <f aca="false">'VOL DWNLD'!O188+'VOL DELTA'!O188</f>
        <v>1</v>
      </c>
      <c r="P188" s="168" t="n">
        <f aca="false">'VOL DWNLD'!P188+'VOL DELTA'!P188</f>
        <v>1.03</v>
      </c>
      <c r="Q188" s="168" t="n">
        <f aca="false">'VOL DWNLD'!Q188+'VOL DELTA'!Q188</f>
        <v>1</v>
      </c>
      <c r="R188" s="168" t="n">
        <f aca="false">'VOL DWNLD'!R188+'VOL DELTA'!R188</f>
        <v>1</v>
      </c>
      <c r="S188" s="168" t="n">
        <f aca="false">'VOL DWNLD'!S188+'VOL DELTA'!S188</f>
        <v>1.02</v>
      </c>
      <c r="T188" s="168" t="n">
        <f aca="false">'VOL DWNLD'!T188+'VOL DELTA'!T188</f>
        <v>1</v>
      </c>
      <c r="U188" s="168" t="n">
        <f aca="false">'VOL DWNLD'!U188+'VOL DELTA'!U188</f>
        <v>1</v>
      </c>
      <c r="V188" s="168" t="n">
        <f aca="false">'VOL DWNLD'!V188+'VOL DELTA'!V188</f>
        <v>1</v>
      </c>
      <c r="W188" s="168" t="n">
        <f aca="false">'VOL DWNLD'!W188+'VOL DELTA'!W188</f>
        <v>1</v>
      </c>
      <c r="X188" s="168" t="n">
        <f aca="false">'VOL DWNLD'!X188+'VOL DELTA'!X188</f>
        <v>1</v>
      </c>
      <c r="Y188" s="168" t="n">
        <f aca="false">'VOL DWNLD'!Y188+'VOL DELTA'!Y188</f>
        <v>1</v>
      </c>
      <c r="Z188" s="168" t="n">
        <f aca="false">'VOL DWNLD'!Z188+'VOL DELTA'!Z188</f>
        <v>1</v>
      </c>
      <c r="AA188" s="168" t="n">
        <f aca="false">'VOL DWNLD'!AA188+'VOL DELTA'!AA188</f>
        <v>1</v>
      </c>
      <c r="AB188" s="168" t="n">
        <f aca="false">'VOL DWNLD'!AB188+'VOL DELTA'!AB188</f>
        <v>1</v>
      </c>
      <c r="AC188" s="168" t="n">
        <f aca="false">'VOL DWNLD'!AC188+'VOL DELTA'!AC188</f>
        <v>1</v>
      </c>
      <c r="AD188" s="168" t="n">
        <f aca="false">'VOL DWNLD'!AD188+'VOL DELTA'!AD188</f>
        <v>1</v>
      </c>
      <c r="AE188" s="168" t="n">
        <f aca="false">'VOL DWNLD'!AE188+'VOL DELTA'!AE188</f>
        <v>1</v>
      </c>
      <c r="AF188" s="168" t="n">
        <f aca="false">'VOL DWNLD'!AF188+'VOL DELTA'!AF188</f>
        <v>1.1</v>
      </c>
      <c r="AG188" s="168" t="n">
        <f aca="false">'VOL DWNLD'!AG188+'VOL DELTA'!AG188</f>
        <v>1.1</v>
      </c>
      <c r="AH188" s="168" t="n">
        <f aca="false">'VOL DWNLD'!AH188+'VOL DELTA'!AH188</f>
        <v>1.05</v>
      </c>
      <c r="AI188" s="168" t="n">
        <f aca="false">'VOL DWNLD'!AI188+'VOL DELTA'!AI188</f>
        <v>1</v>
      </c>
      <c r="AJ188" s="168" t="n">
        <f aca="false">'VOL DWNLD'!AJ188+'VOL DELTA'!AJ188</f>
        <v>1</v>
      </c>
      <c r="AK188" s="168" t="n">
        <f aca="false">'VOL DWNLD'!AK188+'VOL DELTA'!AK188</f>
        <v>1.02</v>
      </c>
      <c r="AL188" s="168" t="n">
        <f aca="false">'VOL DWNLD'!AL188+'VOL DELTA'!AL188</f>
        <v>1</v>
      </c>
      <c r="AM188" s="168" t="n">
        <f aca="false">'VOL DWNLD'!AM188+'VOL DELTA'!AM188</f>
        <v>1</v>
      </c>
      <c r="AN188" s="168" t="n">
        <f aca="false">'VOL DWNLD'!AN188+'VOL DELTA'!AN188</f>
        <v>1</v>
      </c>
      <c r="AO188" s="168" t="n">
        <f aca="false">'VOL DWNLD'!AO188+'VOL DELTA'!AO188</f>
        <v>1</v>
      </c>
    </row>
    <row r="189" customFormat="false" ht="12.75" hidden="false" customHeight="false" outlineLevel="0" collapsed="false">
      <c r="A189" s="167" t="n">
        <v>42430</v>
      </c>
      <c r="B189" s="168" t="n">
        <f aca="false">'VOL DWNLD'!B189+'VOL DELTA'!B189</f>
        <v>1</v>
      </c>
      <c r="C189" s="168" t="n">
        <f aca="false">'VOL DWNLD'!C189+'VOL DELTA'!C189</f>
        <v>1</v>
      </c>
      <c r="D189" s="168" t="n">
        <f aca="false">'VOL DWNLD'!D189+'VOL DELTA'!D189</f>
        <v>1</v>
      </c>
      <c r="E189" s="168" t="n">
        <f aca="false">'VOL DWNLD'!E189+'VOL DELTA'!E189</f>
        <v>1</v>
      </c>
      <c r="F189" s="168" t="n">
        <f aca="false">'VOL DWNLD'!F189+'VOL DELTA'!F189</f>
        <v>1</v>
      </c>
      <c r="G189" s="168" t="n">
        <f aca="false">'VOL DWNLD'!G189+'VOL DELTA'!G189</f>
        <v>1</v>
      </c>
      <c r="H189" s="168" t="n">
        <f aca="false">'VOL DWNLD'!H189+'VOL DELTA'!H189</f>
        <v>1</v>
      </c>
      <c r="I189" s="168" t="n">
        <f aca="false">'VOL DWNLD'!I189+'VOL DELTA'!I189</f>
        <v>1</v>
      </c>
      <c r="J189" s="168" t="n">
        <f aca="false">'VOL DWNLD'!J189+'VOL DELTA'!J189</f>
        <v>1</v>
      </c>
      <c r="K189" s="168" t="n">
        <f aca="false">'VOL DWNLD'!K189+'VOL DELTA'!K189</f>
        <v>1</v>
      </c>
      <c r="L189" s="168" t="n">
        <f aca="false">'VOL DWNLD'!L189+'VOL DELTA'!L189</f>
        <v>1</v>
      </c>
      <c r="M189" s="168" t="n">
        <f aca="false">'VOL DWNLD'!M189+'VOL DELTA'!M189</f>
        <v>1</v>
      </c>
      <c r="N189" s="168" t="n">
        <f aca="false">'VOL DWNLD'!N189+'VOL DELTA'!N189</f>
        <v>1</v>
      </c>
      <c r="O189" s="168" t="n">
        <f aca="false">'VOL DWNLD'!O189+'VOL DELTA'!O189</f>
        <v>1</v>
      </c>
      <c r="P189" s="168" t="n">
        <f aca="false">'VOL DWNLD'!P189+'VOL DELTA'!P189</f>
        <v>1.03</v>
      </c>
      <c r="Q189" s="168" t="n">
        <f aca="false">'VOL DWNLD'!Q189+'VOL DELTA'!Q189</f>
        <v>1</v>
      </c>
      <c r="R189" s="168" t="n">
        <f aca="false">'VOL DWNLD'!R189+'VOL DELTA'!R189</f>
        <v>1</v>
      </c>
      <c r="S189" s="168" t="n">
        <f aca="false">'VOL DWNLD'!S189+'VOL DELTA'!S189</f>
        <v>1.02</v>
      </c>
      <c r="T189" s="168" t="n">
        <f aca="false">'VOL DWNLD'!T189+'VOL DELTA'!T189</f>
        <v>1</v>
      </c>
      <c r="U189" s="168" t="n">
        <f aca="false">'VOL DWNLD'!U189+'VOL DELTA'!U189</f>
        <v>1</v>
      </c>
      <c r="V189" s="168" t="n">
        <f aca="false">'VOL DWNLD'!V189+'VOL DELTA'!V189</f>
        <v>1</v>
      </c>
      <c r="W189" s="168" t="n">
        <f aca="false">'VOL DWNLD'!W189+'VOL DELTA'!W189</f>
        <v>1</v>
      </c>
      <c r="X189" s="168" t="n">
        <f aca="false">'VOL DWNLD'!X189+'VOL DELTA'!X189</f>
        <v>1</v>
      </c>
      <c r="Y189" s="168" t="n">
        <f aca="false">'VOL DWNLD'!Y189+'VOL DELTA'!Y189</f>
        <v>1</v>
      </c>
      <c r="Z189" s="168" t="n">
        <f aca="false">'VOL DWNLD'!Z189+'VOL DELTA'!Z189</f>
        <v>1</v>
      </c>
      <c r="AA189" s="168" t="n">
        <f aca="false">'VOL DWNLD'!AA189+'VOL DELTA'!AA189</f>
        <v>1</v>
      </c>
      <c r="AB189" s="168" t="n">
        <f aca="false">'VOL DWNLD'!AB189+'VOL DELTA'!AB189</f>
        <v>1</v>
      </c>
      <c r="AC189" s="168" t="n">
        <f aca="false">'VOL DWNLD'!AC189+'VOL DELTA'!AC189</f>
        <v>1</v>
      </c>
      <c r="AD189" s="168" t="n">
        <f aca="false">'VOL DWNLD'!AD189+'VOL DELTA'!AD189</f>
        <v>1</v>
      </c>
      <c r="AE189" s="168" t="n">
        <f aca="false">'VOL DWNLD'!AE189+'VOL DELTA'!AE189</f>
        <v>1</v>
      </c>
      <c r="AF189" s="168" t="n">
        <f aca="false">'VOL DWNLD'!AF189+'VOL DELTA'!AF189</f>
        <v>1.1</v>
      </c>
      <c r="AG189" s="168" t="n">
        <f aca="false">'VOL DWNLD'!AG189+'VOL DELTA'!AG189</f>
        <v>1.1</v>
      </c>
      <c r="AH189" s="168" t="n">
        <f aca="false">'VOL DWNLD'!AH189+'VOL DELTA'!AH189</f>
        <v>1.05</v>
      </c>
      <c r="AI189" s="168" t="n">
        <f aca="false">'VOL DWNLD'!AI189+'VOL DELTA'!AI189</f>
        <v>1</v>
      </c>
      <c r="AJ189" s="168" t="n">
        <f aca="false">'VOL DWNLD'!AJ189+'VOL DELTA'!AJ189</f>
        <v>1</v>
      </c>
      <c r="AK189" s="168" t="n">
        <f aca="false">'VOL DWNLD'!AK189+'VOL DELTA'!AK189</f>
        <v>1.02</v>
      </c>
      <c r="AL189" s="168" t="n">
        <f aca="false">'VOL DWNLD'!AL189+'VOL DELTA'!AL189</f>
        <v>1</v>
      </c>
      <c r="AM189" s="168" t="n">
        <f aca="false">'VOL DWNLD'!AM189+'VOL DELTA'!AM189</f>
        <v>1</v>
      </c>
      <c r="AN189" s="168" t="n">
        <f aca="false">'VOL DWNLD'!AN189+'VOL DELTA'!AN189</f>
        <v>1</v>
      </c>
      <c r="AO189" s="168" t="n">
        <f aca="false">'VOL DWNLD'!AO189+'VOL DELTA'!AO189</f>
        <v>1</v>
      </c>
    </row>
    <row r="190" customFormat="false" ht="12.75" hidden="false" customHeight="false" outlineLevel="0" collapsed="false">
      <c r="A190" s="167" t="n">
        <v>42461</v>
      </c>
      <c r="B190" s="168" t="n">
        <f aca="false">'VOL DWNLD'!B190+'VOL DELTA'!B190</f>
        <v>1</v>
      </c>
      <c r="C190" s="168" t="n">
        <f aca="false">'VOL DWNLD'!C190+'VOL DELTA'!C190</f>
        <v>1</v>
      </c>
      <c r="D190" s="168" t="n">
        <f aca="false">'VOL DWNLD'!D190+'VOL DELTA'!D190</f>
        <v>1</v>
      </c>
      <c r="E190" s="168" t="n">
        <f aca="false">'VOL DWNLD'!E190+'VOL DELTA'!E190</f>
        <v>1</v>
      </c>
      <c r="F190" s="168" t="n">
        <f aca="false">'VOL DWNLD'!F190+'VOL DELTA'!F190</f>
        <v>1</v>
      </c>
      <c r="G190" s="168" t="n">
        <f aca="false">'VOL DWNLD'!G190+'VOL DELTA'!G190</f>
        <v>1</v>
      </c>
      <c r="H190" s="168" t="n">
        <f aca="false">'VOL DWNLD'!H190+'VOL DELTA'!H190</f>
        <v>1</v>
      </c>
      <c r="I190" s="168" t="n">
        <f aca="false">'VOL DWNLD'!I190+'VOL DELTA'!I190</f>
        <v>1</v>
      </c>
      <c r="J190" s="168" t="n">
        <f aca="false">'VOL DWNLD'!J190+'VOL DELTA'!J190</f>
        <v>1</v>
      </c>
      <c r="K190" s="168" t="n">
        <f aca="false">'VOL DWNLD'!K190+'VOL DELTA'!K190</f>
        <v>1</v>
      </c>
      <c r="L190" s="168" t="n">
        <f aca="false">'VOL DWNLD'!L190+'VOL DELTA'!L190</f>
        <v>1</v>
      </c>
      <c r="M190" s="168" t="n">
        <f aca="false">'VOL DWNLD'!M190+'VOL DELTA'!M190</f>
        <v>1</v>
      </c>
      <c r="N190" s="168" t="n">
        <f aca="false">'VOL DWNLD'!N190+'VOL DELTA'!N190</f>
        <v>1</v>
      </c>
      <c r="O190" s="168" t="n">
        <f aca="false">'VOL DWNLD'!O190+'VOL DELTA'!O190</f>
        <v>1</v>
      </c>
      <c r="P190" s="168" t="n">
        <f aca="false">'VOL DWNLD'!P190+'VOL DELTA'!P190</f>
        <v>1.03</v>
      </c>
      <c r="Q190" s="168" t="n">
        <f aca="false">'VOL DWNLD'!Q190+'VOL DELTA'!Q190</f>
        <v>1</v>
      </c>
      <c r="R190" s="168" t="n">
        <f aca="false">'VOL DWNLD'!R190+'VOL DELTA'!R190</f>
        <v>1</v>
      </c>
      <c r="S190" s="168" t="n">
        <f aca="false">'VOL DWNLD'!S190+'VOL DELTA'!S190</f>
        <v>1.02</v>
      </c>
      <c r="T190" s="168" t="n">
        <f aca="false">'VOL DWNLD'!T190+'VOL DELTA'!T190</f>
        <v>1</v>
      </c>
      <c r="U190" s="168" t="n">
        <f aca="false">'VOL DWNLD'!U190+'VOL DELTA'!U190</f>
        <v>1</v>
      </c>
      <c r="V190" s="168" t="n">
        <f aca="false">'VOL DWNLD'!V190+'VOL DELTA'!V190</f>
        <v>1</v>
      </c>
      <c r="W190" s="168" t="n">
        <f aca="false">'VOL DWNLD'!W190+'VOL DELTA'!W190</f>
        <v>1</v>
      </c>
      <c r="X190" s="168" t="n">
        <f aca="false">'VOL DWNLD'!X190+'VOL DELTA'!X190</f>
        <v>1</v>
      </c>
      <c r="Y190" s="168" t="n">
        <f aca="false">'VOL DWNLD'!Y190+'VOL DELTA'!Y190</f>
        <v>1.02</v>
      </c>
      <c r="Z190" s="168" t="n">
        <f aca="false">'VOL DWNLD'!Z190+'VOL DELTA'!Z190</f>
        <v>1</v>
      </c>
      <c r="AA190" s="168" t="n">
        <f aca="false">'VOL DWNLD'!AA190+'VOL DELTA'!AA190</f>
        <v>1</v>
      </c>
      <c r="AB190" s="168" t="n">
        <f aca="false">'VOL DWNLD'!AB190+'VOL DELTA'!AB190</f>
        <v>1</v>
      </c>
      <c r="AC190" s="168" t="n">
        <f aca="false">'VOL DWNLD'!AC190+'VOL DELTA'!AC190</f>
        <v>1</v>
      </c>
      <c r="AD190" s="168" t="n">
        <f aca="false">'VOL DWNLD'!AD190+'VOL DELTA'!AD190</f>
        <v>0.98</v>
      </c>
      <c r="AE190" s="168" t="n">
        <f aca="false">'VOL DWNLD'!AE190+'VOL DELTA'!AE190</f>
        <v>0.98</v>
      </c>
      <c r="AF190" s="168" t="n">
        <f aca="false">'VOL DWNLD'!AF190+'VOL DELTA'!AF190</f>
        <v>0.98</v>
      </c>
      <c r="AG190" s="168" t="n">
        <f aca="false">'VOL DWNLD'!AG190+'VOL DELTA'!AG190</f>
        <v>0.98</v>
      </c>
      <c r="AH190" s="168" t="n">
        <f aca="false">'VOL DWNLD'!AH190+'VOL DELTA'!AH190</f>
        <v>1.05</v>
      </c>
      <c r="AI190" s="168" t="n">
        <f aca="false">'VOL DWNLD'!AI190+'VOL DELTA'!AI190</f>
        <v>1</v>
      </c>
      <c r="AJ190" s="168" t="n">
        <f aca="false">'VOL DWNLD'!AJ190+'VOL DELTA'!AJ190</f>
        <v>1</v>
      </c>
      <c r="AK190" s="168" t="n">
        <f aca="false">'VOL DWNLD'!AK190+'VOL DELTA'!AK190</f>
        <v>1.02</v>
      </c>
      <c r="AL190" s="168" t="n">
        <f aca="false">'VOL DWNLD'!AL190+'VOL DELTA'!AL190</f>
        <v>1</v>
      </c>
      <c r="AM190" s="168" t="n">
        <f aca="false">'VOL DWNLD'!AM190+'VOL DELTA'!AM190</f>
        <v>1</v>
      </c>
      <c r="AN190" s="168" t="n">
        <f aca="false">'VOL DWNLD'!AN190+'VOL DELTA'!AN190</f>
        <v>1</v>
      </c>
      <c r="AO190" s="168" t="n">
        <f aca="false">'VOL DWNLD'!AO190+'VOL DELTA'!AO190</f>
        <v>1</v>
      </c>
    </row>
    <row r="191" customFormat="false" ht="12.75" hidden="false" customHeight="false" outlineLevel="0" collapsed="false">
      <c r="A191" s="167" t="n">
        <v>42491</v>
      </c>
      <c r="B191" s="168" t="n">
        <f aca="false">'VOL DWNLD'!B191+'VOL DELTA'!B191</f>
        <v>1</v>
      </c>
      <c r="C191" s="168" t="n">
        <f aca="false">'VOL DWNLD'!C191+'VOL DELTA'!C191</f>
        <v>1</v>
      </c>
      <c r="D191" s="168" t="n">
        <f aca="false">'VOL DWNLD'!D191+'VOL DELTA'!D191</f>
        <v>1</v>
      </c>
      <c r="E191" s="168" t="n">
        <f aca="false">'VOL DWNLD'!E191+'VOL DELTA'!E191</f>
        <v>1</v>
      </c>
      <c r="F191" s="168" t="n">
        <f aca="false">'VOL DWNLD'!F191+'VOL DELTA'!F191</f>
        <v>1</v>
      </c>
      <c r="G191" s="168" t="n">
        <f aca="false">'VOL DWNLD'!G191+'VOL DELTA'!G191</f>
        <v>1</v>
      </c>
      <c r="H191" s="168" t="n">
        <f aca="false">'VOL DWNLD'!H191+'VOL DELTA'!H191</f>
        <v>1</v>
      </c>
      <c r="I191" s="168" t="n">
        <f aca="false">'VOL DWNLD'!I191+'VOL DELTA'!I191</f>
        <v>1</v>
      </c>
      <c r="J191" s="168" t="n">
        <f aca="false">'VOL DWNLD'!J191+'VOL DELTA'!J191</f>
        <v>1</v>
      </c>
      <c r="K191" s="168" t="n">
        <f aca="false">'VOL DWNLD'!K191+'VOL DELTA'!K191</f>
        <v>1</v>
      </c>
      <c r="L191" s="168" t="n">
        <f aca="false">'VOL DWNLD'!L191+'VOL DELTA'!L191</f>
        <v>1</v>
      </c>
      <c r="M191" s="168" t="n">
        <f aca="false">'VOL DWNLD'!M191+'VOL DELTA'!M191</f>
        <v>1</v>
      </c>
      <c r="N191" s="168" t="n">
        <f aca="false">'VOL DWNLD'!N191+'VOL DELTA'!N191</f>
        <v>1</v>
      </c>
      <c r="O191" s="168" t="n">
        <f aca="false">'VOL DWNLD'!O191+'VOL DELTA'!O191</f>
        <v>1</v>
      </c>
      <c r="P191" s="168" t="n">
        <f aca="false">'VOL DWNLD'!P191+'VOL DELTA'!P191</f>
        <v>1.03</v>
      </c>
      <c r="Q191" s="168" t="n">
        <f aca="false">'VOL DWNLD'!Q191+'VOL DELTA'!Q191</f>
        <v>1</v>
      </c>
      <c r="R191" s="168" t="n">
        <f aca="false">'VOL DWNLD'!R191+'VOL DELTA'!R191</f>
        <v>1</v>
      </c>
      <c r="S191" s="168" t="n">
        <f aca="false">'VOL DWNLD'!S191+'VOL DELTA'!S191</f>
        <v>1.02</v>
      </c>
      <c r="T191" s="168" t="n">
        <f aca="false">'VOL DWNLD'!T191+'VOL DELTA'!T191</f>
        <v>1</v>
      </c>
      <c r="U191" s="168" t="n">
        <f aca="false">'VOL DWNLD'!U191+'VOL DELTA'!U191</f>
        <v>1</v>
      </c>
      <c r="V191" s="168" t="n">
        <f aca="false">'VOL DWNLD'!V191+'VOL DELTA'!V191</f>
        <v>1</v>
      </c>
      <c r="W191" s="168" t="n">
        <f aca="false">'VOL DWNLD'!W191+'VOL DELTA'!W191</f>
        <v>1</v>
      </c>
      <c r="X191" s="168" t="n">
        <f aca="false">'VOL DWNLD'!X191+'VOL DELTA'!X191</f>
        <v>1</v>
      </c>
      <c r="Y191" s="168" t="n">
        <f aca="false">'VOL DWNLD'!Y191+'VOL DELTA'!Y191</f>
        <v>1.02</v>
      </c>
      <c r="Z191" s="168" t="n">
        <f aca="false">'VOL DWNLD'!Z191+'VOL DELTA'!Z191</f>
        <v>1</v>
      </c>
      <c r="AA191" s="168" t="n">
        <f aca="false">'VOL DWNLD'!AA191+'VOL DELTA'!AA191</f>
        <v>1</v>
      </c>
      <c r="AB191" s="168" t="n">
        <f aca="false">'VOL DWNLD'!AB191+'VOL DELTA'!AB191</f>
        <v>1</v>
      </c>
      <c r="AC191" s="168" t="n">
        <f aca="false">'VOL DWNLD'!AC191+'VOL DELTA'!AC191</f>
        <v>1</v>
      </c>
      <c r="AD191" s="168" t="n">
        <f aca="false">'VOL DWNLD'!AD191+'VOL DELTA'!AD191</f>
        <v>0.98</v>
      </c>
      <c r="AE191" s="168" t="n">
        <f aca="false">'VOL DWNLD'!AE191+'VOL DELTA'!AE191</f>
        <v>0.98</v>
      </c>
      <c r="AF191" s="168" t="n">
        <f aca="false">'VOL DWNLD'!AF191+'VOL DELTA'!AF191</f>
        <v>0.98</v>
      </c>
      <c r="AG191" s="168" t="n">
        <f aca="false">'VOL DWNLD'!AG191+'VOL DELTA'!AG191</f>
        <v>0.98</v>
      </c>
      <c r="AH191" s="168" t="n">
        <f aca="false">'VOL DWNLD'!AH191+'VOL DELTA'!AH191</f>
        <v>1.05</v>
      </c>
      <c r="AI191" s="168" t="n">
        <f aca="false">'VOL DWNLD'!AI191+'VOL DELTA'!AI191</f>
        <v>1</v>
      </c>
      <c r="AJ191" s="168" t="n">
        <f aca="false">'VOL DWNLD'!AJ191+'VOL DELTA'!AJ191</f>
        <v>1</v>
      </c>
      <c r="AK191" s="168" t="n">
        <f aca="false">'VOL DWNLD'!AK191+'VOL DELTA'!AK191</f>
        <v>1.02</v>
      </c>
      <c r="AL191" s="168" t="n">
        <f aca="false">'VOL DWNLD'!AL191+'VOL DELTA'!AL191</f>
        <v>1</v>
      </c>
      <c r="AM191" s="168" t="n">
        <f aca="false">'VOL DWNLD'!AM191+'VOL DELTA'!AM191</f>
        <v>1</v>
      </c>
      <c r="AN191" s="168" t="n">
        <f aca="false">'VOL DWNLD'!AN191+'VOL DELTA'!AN191</f>
        <v>1</v>
      </c>
      <c r="AO191" s="168" t="n">
        <f aca="false">'VOL DWNLD'!AO191+'VOL DELTA'!AO191</f>
        <v>1</v>
      </c>
    </row>
    <row r="192" customFormat="false" ht="12.75" hidden="false" customHeight="false" outlineLevel="0" collapsed="false">
      <c r="A192" s="167" t="n">
        <v>42522</v>
      </c>
      <c r="B192" s="168" t="n">
        <f aca="false">'VOL DWNLD'!B192+'VOL DELTA'!B192</f>
        <v>1</v>
      </c>
      <c r="C192" s="168" t="n">
        <f aca="false">'VOL DWNLD'!C192+'VOL DELTA'!C192</f>
        <v>1</v>
      </c>
      <c r="D192" s="168" t="n">
        <f aca="false">'VOL DWNLD'!D192+'VOL DELTA'!D192</f>
        <v>1</v>
      </c>
      <c r="E192" s="168" t="n">
        <f aca="false">'VOL DWNLD'!E192+'VOL DELTA'!E192</f>
        <v>1</v>
      </c>
      <c r="F192" s="168" t="n">
        <f aca="false">'VOL DWNLD'!F192+'VOL DELTA'!F192</f>
        <v>1</v>
      </c>
      <c r="G192" s="168" t="n">
        <f aca="false">'VOL DWNLD'!G192+'VOL DELTA'!G192</f>
        <v>1</v>
      </c>
      <c r="H192" s="168" t="n">
        <f aca="false">'VOL DWNLD'!H192+'VOL DELTA'!H192</f>
        <v>1</v>
      </c>
      <c r="I192" s="168" t="n">
        <f aca="false">'VOL DWNLD'!I192+'VOL DELTA'!I192</f>
        <v>1</v>
      </c>
      <c r="J192" s="168" t="n">
        <f aca="false">'VOL DWNLD'!J192+'VOL DELTA'!J192</f>
        <v>1</v>
      </c>
      <c r="K192" s="168" t="n">
        <f aca="false">'VOL DWNLD'!K192+'VOL DELTA'!K192</f>
        <v>1</v>
      </c>
      <c r="L192" s="168" t="n">
        <f aca="false">'VOL DWNLD'!L192+'VOL DELTA'!L192</f>
        <v>1</v>
      </c>
      <c r="M192" s="168" t="n">
        <f aca="false">'VOL DWNLD'!M192+'VOL DELTA'!M192</f>
        <v>1</v>
      </c>
      <c r="N192" s="168" t="n">
        <f aca="false">'VOL DWNLD'!N192+'VOL DELTA'!N192</f>
        <v>1</v>
      </c>
      <c r="O192" s="168" t="n">
        <f aca="false">'VOL DWNLD'!O192+'VOL DELTA'!O192</f>
        <v>1</v>
      </c>
      <c r="P192" s="168" t="n">
        <f aca="false">'VOL DWNLD'!P192+'VOL DELTA'!P192</f>
        <v>1.03</v>
      </c>
      <c r="Q192" s="168" t="n">
        <f aca="false">'VOL DWNLD'!Q192+'VOL DELTA'!Q192</f>
        <v>1</v>
      </c>
      <c r="R192" s="168" t="n">
        <f aca="false">'VOL DWNLD'!R192+'VOL DELTA'!R192</f>
        <v>1</v>
      </c>
      <c r="S192" s="168" t="n">
        <f aca="false">'VOL DWNLD'!S192+'VOL DELTA'!S192</f>
        <v>1.02</v>
      </c>
      <c r="T192" s="168" t="n">
        <f aca="false">'VOL DWNLD'!T192+'VOL DELTA'!T192</f>
        <v>1</v>
      </c>
      <c r="U192" s="168" t="n">
        <f aca="false">'VOL DWNLD'!U192+'VOL DELTA'!U192</f>
        <v>1</v>
      </c>
      <c r="V192" s="168" t="n">
        <f aca="false">'VOL DWNLD'!V192+'VOL DELTA'!V192</f>
        <v>1</v>
      </c>
      <c r="W192" s="168" t="n">
        <f aca="false">'VOL DWNLD'!W192+'VOL DELTA'!W192</f>
        <v>1</v>
      </c>
      <c r="X192" s="168" t="n">
        <f aca="false">'VOL DWNLD'!X192+'VOL DELTA'!X192</f>
        <v>1</v>
      </c>
      <c r="Y192" s="168" t="n">
        <f aca="false">'VOL DWNLD'!Y192+'VOL DELTA'!Y192</f>
        <v>1.02</v>
      </c>
      <c r="Z192" s="168" t="n">
        <f aca="false">'VOL DWNLD'!Z192+'VOL DELTA'!Z192</f>
        <v>1</v>
      </c>
      <c r="AA192" s="168" t="n">
        <f aca="false">'VOL DWNLD'!AA192+'VOL DELTA'!AA192</f>
        <v>1</v>
      </c>
      <c r="AB192" s="168" t="n">
        <f aca="false">'VOL DWNLD'!AB192+'VOL DELTA'!AB192</f>
        <v>1</v>
      </c>
      <c r="AC192" s="168" t="n">
        <f aca="false">'VOL DWNLD'!AC192+'VOL DELTA'!AC192</f>
        <v>1</v>
      </c>
      <c r="AD192" s="168" t="n">
        <f aca="false">'VOL DWNLD'!AD192+'VOL DELTA'!AD192</f>
        <v>0.98</v>
      </c>
      <c r="AE192" s="168" t="n">
        <f aca="false">'VOL DWNLD'!AE192+'VOL DELTA'!AE192</f>
        <v>0.98</v>
      </c>
      <c r="AF192" s="168" t="n">
        <f aca="false">'VOL DWNLD'!AF192+'VOL DELTA'!AF192</f>
        <v>0.98</v>
      </c>
      <c r="AG192" s="168" t="n">
        <f aca="false">'VOL DWNLD'!AG192+'VOL DELTA'!AG192</f>
        <v>0.98</v>
      </c>
      <c r="AH192" s="168" t="n">
        <f aca="false">'VOL DWNLD'!AH192+'VOL DELTA'!AH192</f>
        <v>1.05</v>
      </c>
      <c r="AI192" s="168" t="n">
        <f aca="false">'VOL DWNLD'!AI192+'VOL DELTA'!AI192</f>
        <v>1</v>
      </c>
      <c r="AJ192" s="168" t="n">
        <f aca="false">'VOL DWNLD'!AJ192+'VOL DELTA'!AJ192</f>
        <v>1</v>
      </c>
      <c r="AK192" s="168" t="n">
        <f aca="false">'VOL DWNLD'!AK192+'VOL DELTA'!AK192</f>
        <v>1.02</v>
      </c>
      <c r="AL192" s="168" t="n">
        <f aca="false">'VOL DWNLD'!AL192+'VOL DELTA'!AL192</f>
        <v>1</v>
      </c>
      <c r="AM192" s="168" t="n">
        <f aca="false">'VOL DWNLD'!AM192+'VOL DELTA'!AM192</f>
        <v>1</v>
      </c>
      <c r="AN192" s="168" t="n">
        <f aca="false">'VOL DWNLD'!AN192+'VOL DELTA'!AN192</f>
        <v>1</v>
      </c>
      <c r="AO192" s="168" t="n">
        <f aca="false">'VOL DWNLD'!AO192+'VOL DELTA'!AO192</f>
        <v>1</v>
      </c>
    </row>
    <row r="193" customFormat="false" ht="12.75" hidden="false" customHeight="false" outlineLevel="0" collapsed="false">
      <c r="A193" s="167" t="n">
        <v>42552</v>
      </c>
      <c r="B193" s="168" t="n">
        <f aca="false">'VOL DWNLD'!B193+'VOL DELTA'!B193</f>
        <v>1</v>
      </c>
      <c r="C193" s="168" t="n">
        <f aca="false">'VOL DWNLD'!C193+'VOL DELTA'!C193</f>
        <v>1</v>
      </c>
      <c r="D193" s="168" t="n">
        <f aca="false">'VOL DWNLD'!D193+'VOL DELTA'!D193</f>
        <v>1</v>
      </c>
      <c r="E193" s="168" t="n">
        <f aca="false">'VOL DWNLD'!E193+'VOL DELTA'!E193</f>
        <v>1</v>
      </c>
      <c r="F193" s="168" t="n">
        <f aca="false">'VOL DWNLD'!F193+'VOL DELTA'!F193</f>
        <v>1</v>
      </c>
      <c r="G193" s="168" t="n">
        <f aca="false">'VOL DWNLD'!G193+'VOL DELTA'!G193</f>
        <v>1</v>
      </c>
      <c r="H193" s="168" t="n">
        <f aca="false">'VOL DWNLD'!H193+'VOL DELTA'!H193</f>
        <v>1</v>
      </c>
      <c r="I193" s="168" t="n">
        <f aca="false">'VOL DWNLD'!I193+'VOL DELTA'!I193</f>
        <v>1</v>
      </c>
      <c r="J193" s="168" t="n">
        <f aca="false">'VOL DWNLD'!J193+'VOL DELTA'!J193</f>
        <v>1</v>
      </c>
      <c r="K193" s="168" t="n">
        <f aca="false">'VOL DWNLD'!K193+'VOL DELTA'!K193</f>
        <v>1</v>
      </c>
      <c r="L193" s="168" t="n">
        <f aca="false">'VOL DWNLD'!L193+'VOL DELTA'!L193</f>
        <v>1</v>
      </c>
      <c r="M193" s="168" t="n">
        <f aca="false">'VOL DWNLD'!M193+'VOL DELTA'!M193</f>
        <v>1</v>
      </c>
      <c r="N193" s="168" t="n">
        <f aca="false">'VOL DWNLD'!N193+'VOL DELTA'!N193</f>
        <v>1</v>
      </c>
      <c r="O193" s="168" t="n">
        <f aca="false">'VOL DWNLD'!O193+'VOL DELTA'!O193</f>
        <v>1</v>
      </c>
      <c r="P193" s="168" t="n">
        <f aca="false">'VOL DWNLD'!P193+'VOL DELTA'!P193</f>
        <v>1.03</v>
      </c>
      <c r="Q193" s="168" t="n">
        <f aca="false">'VOL DWNLD'!Q193+'VOL DELTA'!Q193</f>
        <v>1</v>
      </c>
      <c r="R193" s="168" t="n">
        <f aca="false">'VOL DWNLD'!R193+'VOL DELTA'!R193</f>
        <v>1</v>
      </c>
      <c r="S193" s="168" t="n">
        <f aca="false">'VOL DWNLD'!S193+'VOL DELTA'!S193</f>
        <v>1.02</v>
      </c>
      <c r="T193" s="168" t="n">
        <f aca="false">'VOL DWNLD'!T193+'VOL DELTA'!T193</f>
        <v>1</v>
      </c>
      <c r="U193" s="168" t="n">
        <f aca="false">'VOL DWNLD'!U193+'VOL DELTA'!U193</f>
        <v>1</v>
      </c>
      <c r="V193" s="168" t="n">
        <f aca="false">'VOL DWNLD'!V193+'VOL DELTA'!V193</f>
        <v>1</v>
      </c>
      <c r="W193" s="168" t="n">
        <f aca="false">'VOL DWNLD'!W193+'VOL DELTA'!W193</f>
        <v>1</v>
      </c>
      <c r="X193" s="168" t="n">
        <f aca="false">'VOL DWNLD'!X193+'VOL DELTA'!X193</f>
        <v>1</v>
      </c>
      <c r="Y193" s="168" t="n">
        <f aca="false">'VOL DWNLD'!Y193+'VOL DELTA'!Y193</f>
        <v>1.02</v>
      </c>
      <c r="Z193" s="168" t="n">
        <f aca="false">'VOL DWNLD'!Z193+'VOL DELTA'!Z193</f>
        <v>1</v>
      </c>
      <c r="AA193" s="168" t="n">
        <f aca="false">'VOL DWNLD'!AA193+'VOL DELTA'!AA193</f>
        <v>1</v>
      </c>
      <c r="AB193" s="168" t="n">
        <f aca="false">'VOL DWNLD'!AB193+'VOL DELTA'!AB193</f>
        <v>1</v>
      </c>
      <c r="AC193" s="168" t="n">
        <f aca="false">'VOL DWNLD'!AC193+'VOL DELTA'!AC193</f>
        <v>1</v>
      </c>
      <c r="AD193" s="168" t="n">
        <f aca="false">'VOL DWNLD'!AD193+'VOL DELTA'!AD193</f>
        <v>0.98</v>
      </c>
      <c r="AE193" s="168" t="n">
        <f aca="false">'VOL DWNLD'!AE193+'VOL DELTA'!AE193</f>
        <v>0.98</v>
      </c>
      <c r="AF193" s="168" t="n">
        <f aca="false">'VOL DWNLD'!AF193+'VOL DELTA'!AF193</f>
        <v>0.98</v>
      </c>
      <c r="AG193" s="168" t="n">
        <f aca="false">'VOL DWNLD'!AG193+'VOL DELTA'!AG193</f>
        <v>0.98</v>
      </c>
      <c r="AH193" s="168" t="n">
        <f aca="false">'VOL DWNLD'!AH193+'VOL DELTA'!AH193</f>
        <v>1.05</v>
      </c>
      <c r="AI193" s="168" t="n">
        <f aca="false">'VOL DWNLD'!AI193+'VOL DELTA'!AI193</f>
        <v>1</v>
      </c>
      <c r="AJ193" s="168" t="n">
        <f aca="false">'VOL DWNLD'!AJ193+'VOL DELTA'!AJ193</f>
        <v>1</v>
      </c>
      <c r="AK193" s="168" t="n">
        <f aca="false">'VOL DWNLD'!AK193+'VOL DELTA'!AK193</f>
        <v>1.02</v>
      </c>
      <c r="AL193" s="168" t="n">
        <f aca="false">'VOL DWNLD'!AL193+'VOL DELTA'!AL193</f>
        <v>1</v>
      </c>
      <c r="AM193" s="168" t="n">
        <f aca="false">'VOL DWNLD'!AM193+'VOL DELTA'!AM193</f>
        <v>1</v>
      </c>
      <c r="AN193" s="168" t="n">
        <f aca="false">'VOL DWNLD'!AN193+'VOL DELTA'!AN193</f>
        <v>1</v>
      </c>
      <c r="AO193" s="168" t="n">
        <f aca="false">'VOL DWNLD'!AO193+'VOL DELTA'!AO193</f>
        <v>1</v>
      </c>
    </row>
    <row r="194" customFormat="false" ht="12.75" hidden="false" customHeight="false" outlineLevel="0" collapsed="false">
      <c r="A194" s="167" t="n">
        <v>42583</v>
      </c>
      <c r="B194" s="168" t="n">
        <f aca="false">'VOL DWNLD'!B194+'VOL DELTA'!B194</f>
        <v>1</v>
      </c>
      <c r="C194" s="168" t="n">
        <f aca="false">'VOL DWNLD'!C194+'VOL DELTA'!C194</f>
        <v>1</v>
      </c>
      <c r="D194" s="168" t="n">
        <f aca="false">'VOL DWNLD'!D194+'VOL DELTA'!D194</f>
        <v>1</v>
      </c>
      <c r="E194" s="168" t="n">
        <f aca="false">'VOL DWNLD'!E194+'VOL DELTA'!E194</f>
        <v>1</v>
      </c>
      <c r="F194" s="168" t="n">
        <f aca="false">'VOL DWNLD'!F194+'VOL DELTA'!F194</f>
        <v>1</v>
      </c>
      <c r="G194" s="168" t="n">
        <f aca="false">'VOL DWNLD'!G194+'VOL DELTA'!G194</f>
        <v>1</v>
      </c>
      <c r="H194" s="168" t="n">
        <f aca="false">'VOL DWNLD'!H194+'VOL DELTA'!H194</f>
        <v>1</v>
      </c>
      <c r="I194" s="168" t="n">
        <f aca="false">'VOL DWNLD'!I194+'VOL DELTA'!I194</f>
        <v>1</v>
      </c>
      <c r="J194" s="168" t="n">
        <f aca="false">'VOL DWNLD'!J194+'VOL DELTA'!J194</f>
        <v>1</v>
      </c>
      <c r="K194" s="168" t="n">
        <f aca="false">'VOL DWNLD'!K194+'VOL DELTA'!K194</f>
        <v>1</v>
      </c>
      <c r="L194" s="168" t="n">
        <f aca="false">'VOL DWNLD'!L194+'VOL DELTA'!L194</f>
        <v>1</v>
      </c>
      <c r="M194" s="168" t="n">
        <f aca="false">'VOL DWNLD'!M194+'VOL DELTA'!M194</f>
        <v>1</v>
      </c>
      <c r="N194" s="168" t="n">
        <f aca="false">'VOL DWNLD'!N194+'VOL DELTA'!N194</f>
        <v>1</v>
      </c>
      <c r="O194" s="168" t="n">
        <f aca="false">'VOL DWNLD'!O194+'VOL DELTA'!O194</f>
        <v>1</v>
      </c>
      <c r="P194" s="168" t="n">
        <f aca="false">'VOL DWNLD'!P194+'VOL DELTA'!P194</f>
        <v>1.03</v>
      </c>
      <c r="Q194" s="168" t="n">
        <f aca="false">'VOL DWNLD'!Q194+'VOL DELTA'!Q194</f>
        <v>1</v>
      </c>
      <c r="R194" s="168" t="n">
        <f aca="false">'VOL DWNLD'!R194+'VOL DELTA'!R194</f>
        <v>1</v>
      </c>
      <c r="S194" s="168" t="n">
        <f aca="false">'VOL DWNLD'!S194+'VOL DELTA'!S194</f>
        <v>1.02</v>
      </c>
      <c r="T194" s="168" t="n">
        <f aca="false">'VOL DWNLD'!T194+'VOL DELTA'!T194</f>
        <v>1</v>
      </c>
      <c r="U194" s="168" t="n">
        <f aca="false">'VOL DWNLD'!U194+'VOL DELTA'!U194</f>
        <v>1</v>
      </c>
      <c r="V194" s="168" t="n">
        <f aca="false">'VOL DWNLD'!V194+'VOL DELTA'!V194</f>
        <v>1</v>
      </c>
      <c r="W194" s="168" t="n">
        <f aca="false">'VOL DWNLD'!W194+'VOL DELTA'!W194</f>
        <v>1</v>
      </c>
      <c r="X194" s="168" t="n">
        <f aca="false">'VOL DWNLD'!X194+'VOL DELTA'!X194</f>
        <v>1</v>
      </c>
      <c r="Y194" s="168" t="n">
        <f aca="false">'VOL DWNLD'!Y194+'VOL DELTA'!Y194</f>
        <v>1.02</v>
      </c>
      <c r="Z194" s="168" t="n">
        <f aca="false">'VOL DWNLD'!Z194+'VOL DELTA'!Z194</f>
        <v>1</v>
      </c>
      <c r="AA194" s="168" t="n">
        <f aca="false">'VOL DWNLD'!AA194+'VOL DELTA'!AA194</f>
        <v>1</v>
      </c>
      <c r="AB194" s="168" t="n">
        <f aca="false">'VOL DWNLD'!AB194+'VOL DELTA'!AB194</f>
        <v>1</v>
      </c>
      <c r="AC194" s="168" t="n">
        <f aca="false">'VOL DWNLD'!AC194+'VOL DELTA'!AC194</f>
        <v>1</v>
      </c>
      <c r="AD194" s="168" t="n">
        <f aca="false">'VOL DWNLD'!AD194+'VOL DELTA'!AD194</f>
        <v>0.98</v>
      </c>
      <c r="AE194" s="168" t="n">
        <f aca="false">'VOL DWNLD'!AE194+'VOL DELTA'!AE194</f>
        <v>0.98</v>
      </c>
      <c r="AF194" s="168" t="n">
        <f aca="false">'VOL DWNLD'!AF194+'VOL DELTA'!AF194</f>
        <v>0.98</v>
      </c>
      <c r="AG194" s="168" t="n">
        <f aca="false">'VOL DWNLD'!AG194+'VOL DELTA'!AG194</f>
        <v>0.98</v>
      </c>
      <c r="AH194" s="168" t="n">
        <f aca="false">'VOL DWNLD'!AH194+'VOL DELTA'!AH194</f>
        <v>1.05</v>
      </c>
      <c r="AI194" s="168" t="n">
        <f aca="false">'VOL DWNLD'!AI194+'VOL DELTA'!AI194</f>
        <v>1</v>
      </c>
      <c r="AJ194" s="168" t="n">
        <f aca="false">'VOL DWNLD'!AJ194+'VOL DELTA'!AJ194</f>
        <v>1</v>
      </c>
      <c r="AK194" s="168" t="n">
        <f aca="false">'VOL DWNLD'!AK194+'VOL DELTA'!AK194</f>
        <v>1.02</v>
      </c>
      <c r="AL194" s="168" t="n">
        <f aca="false">'VOL DWNLD'!AL194+'VOL DELTA'!AL194</f>
        <v>1</v>
      </c>
      <c r="AM194" s="168" t="n">
        <f aca="false">'VOL DWNLD'!AM194+'VOL DELTA'!AM194</f>
        <v>1</v>
      </c>
      <c r="AN194" s="168" t="n">
        <f aca="false">'VOL DWNLD'!AN194+'VOL DELTA'!AN194</f>
        <v>1</v>
      </c>
      <c r="AO194" s="168" t="n">
        <f aca="false">'VOL DWNLD'!AO194+'VOL DELTA'!AO194</f>
        <v>1</v>
      </c>
    </row>
    <row r="195" customFormat="false" ht="12.75" hidden="false" customHeight="false" outlineLevel="0" collapsed="false">
      <c r="A195" s="167" t="n">
        <v>42614</v>
      </c>
      <c r="B195" s="168" t="n">
        <f aca="false">'VOL DWNLD'!B195+'VOL DELTA'!B195</f>
        <v>1</v>
      </c>
      <c r="C195" s="168" t="n">
        <f aca="false">'VOL DWNLD'!C195+'VOL DELTA'!C195</f>
        <v>1</v>
      </c>
      <c r="D195" s="168" t="n">
        <f aca="false">'VOL DWNLD'!D195+'VOL DELTA'!D195</f>
        <v>1</v>
      </c>
      <c r="E195" s="168" t="n">
        <f aca="false">'VOL DWNLD'!E195+'VOL DELTA'!E195</f>
        <v>1</v>
      </c>
      <c r="F195" s="168" t="n">
        <f aca="false">'VOL DWNLD'!F195+'VOL DELTA'!F195</f>
        <v>1</v>
      </c>
      <c r="G195" s="168" t="n">
        <f aca="false">'VOL DWNLD'!G195+'VOL DELTA'!G195</f>
        <v>1</v>
      </c>
      <c r="H195" s="168" t="n">
        <f aca="false">'VOL DWNLD'!H195+'VOL DELTA'!H195</f>
        <v>1</v>
      </c>
      <c r="I195" s="168" t="n">
        <f aca="false">'VOL DWNLD'!I195+'VOL DELTA'!I195</f>
        <v>1</v>
      </c>
      <c r="J195" s="168" t="n">
        <f aca="false">'VOL DWNLD'!J195+'VOL DELTA'!J195</f>
        <v>1</v>
      </c>
      <c r="K195" s="168" t="n">
        <f aca="false">'VOL DWNLD'!K195+'VOL DELTA'!K195</f>
        <v>1</v>
      </c>
      <c r="L195" s="168" t="n">
        <f aca="false">'VOL DWNLD'!L195+'VOL DELTA'!L195</f>
        <v>1</v>
      </c>
      <c r="M195" s="168" t="n">
        <f aca="false">'VOL DWNLD'!M195+'VOL DELTA'!M195</f>
        <v>1</v>
      </c>
      <c r="N195" s="168" t="n">
        <f aca="false">'VOL DWNLD'!N195+'VOL DELTA'!N195</f>
        <v>1</v>
      </c>
      <c r="O195" s="168" t="n">
        <f aca="false">'VOL DWNLD'!O195+'VOL DELTA'!O195</f>
        <v>1</v>
      </c>
      <c r="P195" s="168" t="n">
        <f aca="false">'VOL DWNLD'!P195+'VOL DELTA'!P195</f>
        <v>1.03</v>
      </c>
      <c r="Q195" s="168" t="n">
        <f aca="false">'VOL DWNLD'!Q195+'VOL DELTA'!Q195</f>
        <v>1</v>
      </c>
      <c r="R195" s="168" t="n">
        <f aca="false">'VOL DWNLD'!R195+'VOL DELTA'!R195</f>
        <v>1</v>
      </c>
      <c r="S195" s="168" t="n">
        <f aca="false">'VOL DWNLD'!S195+'VOL DELTA'!S195</f>
        <v>1.02</v>
      </c>
      <c r="T195" s="168" t="n">
        <f aca="false">'VOL DWNLD'!T195+'VOL DELTA'!T195</f>
        <v>1</v>
      </c>
      <c r="U195" s="168" t="n">
        <f aca="false">'VOL DWNLD'!U195+'VOL DELTA'!U195</f>
        <v>1</v>
      </c>
      <c r="V195" s="168" t="n">
        <f aca="false">'VOL DWNLD'!V195+'VOL DELTA'!V195</f>
        <v>1</v>
      </c>
      <c r="W195" s="168" t="n">
        <f aca="false">'VOL DWNLD'!W195+'VOL DELTA'!W195</f>
        <v>1</v>
      </c>
      <c r="X195" s="168" t="n">
        <f aca="false">'VOL DWNLD'!X195+'VOL DELTA'!X195</f>
        <v>1</v>
      </c>
      <c r="Y195" s="168" t="n">
        <f aca="false">'VOL DWNLD'!Y195+'VOL DELTA'!Y195</f>
        <v>1.02</v>
      </c>
      <c r="Z195" s="168" t="n">
        <f aca="false">'VOL DWNLD'!Z195+'VOL DELTA'!Z195</f>
        <v>1</v>
      </c>
      <c r="AA195" s="168" t="n">
        <f aca="false">'VOL DWNLD'!AA195+'VOL DELTA'!AA195</f>
        <v>1</v>
      </c>
      <c r="AB195" s="168" t="n">
        <f aca="false">'VOL DWNLD'!AB195+'VOL DELTA'!AB195</f>
        <v>1</v>
      </c>
      <c r="AC195" s="168" t="n">
        <f aca="false">'VOL DWNLD'!AC195+'VOL DELTA'!AC195</f>
        <v>1</v>
      </c>
      <c r="AD195" s="168" t="n">
        <f aca="false">'VOL DWNLD'!AD195+'VOL DELTA'!AD195</f>
        <v>0.98</v>
      </c>
      <c r="AE195" s="168" t="n">
        <f aca="false">'VOL DWNLD'!AE195+'VOL DELTA'!AE195</f>
        <v>0.98</v>
      </c>
      <c r="AF195" s="168" t="n">
        <f aca="false">'VOL DWNLD'!AF195+'VOL DELTA'!AF195</f>
        <v>0.98</v>
      </c>
      <c r="AG195" s="168" t="n">
        <f aca="false">'VOL DWNLD'!AG195+'VOL DELTA'!AG195</f>
        <v>0.98</v>
      </c>
      <c r="AH195" s="168" t="n">
        <f aca="false">'VOL DWNLD'!AH195+'VOL DELTA'!AH195</f>
        <v>1.05</v>
      </c>
      <c r="AI195" s="168" t="n">
        <f aca="false">'VOL DWNLD'!AI195+'VOL DELTA'!AI195</f>
        <v>1</v>
      </c>
      <c r="AJ195" s="168" t="n">
        <f aca="false">'VOL DWNLD'!AJ195+'VOL DELTA'!AJ195</f>
        <v>1</v>
      </c>
      <c r="AK195" s="168" t="n">
        <f aca="false">'VOL DWNLD'!AK195+'VOL DELTA'!AK195</f>
        <v>1.02</v>
      </c>
      <c r="AL195" s="168" t="n">
        <f aca="false">'VOL DWNLD'!AL195+'VOL DELTA'!AL195</f>
        <v>1</v>
      </c>
      <c r="AM195" s="168" t="n">
        <f aca="false">'VOL DWNLD'!AM195+'VOL DELTA'!AM195</f>
        <v>1</v>
      </c>
      <c r="AN195" s="168" t="n">
        <f aca="false">'VOL DWNLD'!AN195+'VOL DELTA'!AN195</f>
        <v>1</v>
      </c>
      <c r="AO195" s="168" t="n">
        <f aca="false">'VOL DWNLD'!AO195+'VOL DELTA'!AO195</f>
        <v>1</v>
      </c>
    </row>
    <row r="196" customFormat="false" ht="12.75" hidden="false" customHeight="false" outlineLevel="0" collapsed="false">
      <c r="A196" s="167" t="n">
        <v>42644</v>
      </c>
      <c r="B196" s="168" t="n">
        <f aca="false">'VOL DWNLD'!B196+'VOL DELTA'!B196</f>
        <v>1</v>
      </c>
      <c r="C196" s="168" t="n">
        <f aca="false">'VOL DWNLD'!C196+'VOL DELTA'!C196</f>
        <v>1</v>
      </c>
      <c r="D196" s="168" t="n">
        <f aca="false">'VOL DWNLD'!D196+'VOL DELTA'!D196</f>
        <v>1</v>
      </c>
      <c r="E196" s="168" t="n">
        <f aca="false">'VOL DWNLD'!E196+'VOL DELTA'!E196</f>
        <v>1</v>
      </c>
      <c r="F196" s="168" t="n">
        <f aca="false">'VOL DWNLD'!F196+'VOL DELTA'!F196</f>
        <v>1</v>
      </c>
      <c r="G196" s="168" t="n">
        <f aca="false">'VOL DWNLD'!G196+'VOL DELTA'!G196</f>
        <v>1</v>
      </c>
      <c r="H196" s="168" t="n">
        <f aca="false">'VOL DWNLD'!H196+'VOL DELTA'!H196</f>
        <v>1</v>
      </c>
      <c r="I196" s="168" t="n">
        <f aca="false">'VOL DWNLD'!I196+'VOL DELTA'!I196</f>
        <v>1</v>
      </c>
      <c r="J196" s="168" t="n">
        <f aca="false">'VOL DWNLD'!J196+'VOL DELTA'!J196</f>
        <v>1</v>
      </c>
      <c r="K196" s="168" t="n">
        <f aca="false">'VOL DWNLD'!K196+'VOL DELTA'!K196</f>
        <v>1</v>
      </c>
      <c r="L196" s="168" t="n">
        <f aca="false">'VOL DWNLD'!L196+'VOL DELTA'!L196</f>
        <v>1</v>
      </c>
      <c r="M196" s="168" t="n">
        <f aca="false">'VOL DWNLD'!M196+'VOL DELTA'!M196</f>
        <v>1</v>
      </c>
      <c r="N196" s="168" t="n">
        <f aca="false">'VOL DWNLD'!N196+'VOL DELTA'!N196</f>
        <v>1</v>
      </c>
      <c r="O196" s="168" t="n">
        <f aca="false">'VOL DWNLD'!O196+'VOL DELTA'!O196</f>
        <v>1</v>
      </c>
      <c r="P196" s="168" t="n">
        <f aca="false">'VOL DWNLD'!P196+'VOL DELTA'!P196</f>
        <v>1.03</v>
      </c>
      <c r="Q196" s="168" t="n">
        <f aca="false">'VOL DWNLD'!Q196+'VOL DELTA'!Q196</f>
        <v>1</v>
      </c>
      <c r="R196" s="168" t="n">
        <f aca="false">'VOL DWNLD'!R196+'VOL DELTA'!R196</f>
        <v>1</v>
      </c>
      <c r="S196" s="168" t="n">
        <f aca="false">'VOL DWNLD'!S196+'VOL DELTA'!S196</f>
        <v>1.02</v>
      </c>
      <c r="T196" s="168" t="n">
        <f aca="false">'VOL DWNLD'!T196+'VOL DELTA'!T196</f>
        <v>1</v>
      </c>
      <c r="U196" s="168" t="n">
        <f aca="false">'VOL DWNLD'!U196+'VOL DELTA'!U196</f>
        <v>1</v>
      </c>
      <c r="V196" s="168" t="n">
        <f aca="false">'VOL DWNLD'!V196+'VOL DELTA'!V196</f>
        <v>1</v>
      </c>
      <c r="W196" s="168" t="n">
        <f aca="false">'VOL DWNLD'!W196+'VOL DELTA'!W196</f>
        <v>1</v>
      </c>
      <c r="X196" s="168" t="n">
        <f aca="false">'VOL DWNLD'!X196+'VOL DELTA'!X196</f>
        <v>1</v>
      </c>
      <c r="Y196" s="168" t="n">
        <f aca="false">'VOL DWNLD'!Y196+'VOL DELTA'!Y196</f>
        <v>1.02</v>
      </c>
      <c r="Z196" s="168" t="n">
        <f aca="false">'VOL DWNLD'!Z196+'VOL DELTA'!Z196</f>
        <v>1</v>
      </c>
      <c r="AA196" s="168" t="n">
        <f aca="false">'VOL DWNLD'!AA196+'VOL DELTA'!AA196</f>
        <v>1</v>
      </c>
      <c r="AB196" s="168" t="n">
        <f aca="false">'VOL DWNLD'!AB196+'VOL DELTA'!AB196</f>
        <v>1</v>
      </c>
      <c r="AC196" s="168" t="n">
        <f aca="false">'VOL DWNLD'!AC196+'VOL DELTA'!AC196</f>
        <v>1</v>
      </c>
      <c r="AD196" s="168" t="n">
        <f aca="false">'VOL DWNLD'!AD196+'VOL DELTA'!AD196</f>
        <v>0.98</v>
      </c>
      <c r="AE196" s="168" t="n">
        <f aca="false">'VOL DWNLD'!AE196+'VOL DELTA'!AE196</f>
        <v>0.98</v>
      </c>
      <c r="AF196" s="168" t="n">
        <f aca="false">'VOL DWNLD'!AF196+'VOL DELTA'!AF196</f>
        <v>0.98</v>
      </c>
      <c r="AG196" s="168" t="n">
        <f aca="false">'VOL DWNLD'!AG196+'VOL DELTA'!AG196</f>
        <v>0.98</v>
      </c>
      <c r="AH196" s="168" t="n">
        <f aca="false">'VOL DWNLD'!AH196+'VOL DELTA'!AH196</f>
        <v>1.05</v>
      </c>
      <c r="AI196" s="168" t="n">
        <f aca="false">'VOL DWNLD'!AI196+'VOL DELTA'!AI196</f>
        <v>1</v>
      </c>
      <c r="AJ196" s="168" t="n">
        <f aca="false">'VOL DWNLD'!AJ196+'VOL DELTA'!AJ196</f>
        <v>1</v>
      </c>
      <c r="AK196" s="168" t="n">
        <f aca="false">'VOL DWNLD'!AK196+'VOL DELTA'!AK196</f>
        <v>1.02</v>
      </c>
      <c r="AL196" s="168" t="n">
        <f aca="false">'VOL DWNLD'!AL196+'VOL DELTA'!AL196</f>
        <v>1</v>
      </c>
      <c r="AM196" s="168" t="n">
        <f aca="false">'VOL DWNLD'!AM196+'VOL DELTA'!AM196</f>
        <v>1</v>
      </c>
      <c r="AN196" s="168" t="n">
        <f aca="false">'VOL DWNLD'!AN196+'VOL DELTA'!AN196</f>
        <v>1</v>
      </c>
      <c r="AO196" s="168" t="n">
        <f aca="false">'VOL DWNLD'!AO196+'VOL DELTA'!AO196</f>
        <v>1</v>
      </c>
    </row>
    <row r="197" customFormat="false" ht="12.75" hidden="false" customHeight="false" outlineLevel="0" collapsed="false">
      <c r="A197" s="167" t="n">
        <v>42675</v>
      </c>
      <c r="B197" s="168" t="n">
        <f aca="false">'VOL DWNLD'!B197+'VOL DELTA'!B197</f>
        <v>1</v>
      </c>
      <c r="C197" s="168" t="n">
        <f aca="false">'VOL DWNLD'!C197+'VOL DELTA'!C197</f>
        <v>1</v>
      </c>
      <c r="D197" s="168" t="n">
        <f aca="false">'VOL DWNLD'!D197+'VOL DELTA'!D197</f>
        <v>1</v>
      </c>
      <c r="E197" s="168" t="n">
        <f aca="false">'VOL DWNLD'!E197+'VOL DELTA'!E197</f>
        <v>1</v>
      </c>
      <c r="F197" s="168" t="n">
        <f aca="false">'VOL DWNLD'!F197+'VOL DELTA'!F197</f>
        <v>1</v>
      </c>
      <c r="G197" s="168" t="n">
        <f aca="false">'VOL DWNLD'!G197+'VOL DELTA'!G197</f>
        <v>1</v>
      </c>
      <c r="H197" s="168" t="n">
        <f aca="false">'VOL DWNLD'!H197+'VOL DELTA'!H197</f>
        <v>1</v>
      </c>
      <c r="I197" s="168" t="n">
        <f aca="false">'VOL DWNLD'!I197+'VOL DELTA'!I197</f>
        <v>1</v>
      </c>
      <c r="J197" s="168" t="n">
        <f aca="false">'VOL DWNLD'!J197+'VOL DELTA'!J197</f>
        <v>1</v>
      </c>
      <c r="K197" s="168" t="n">
        <f aca="false">'VOL DWNLD'!K197+'VOL DELTA'!K197</f>
        <v>1</v>
      </c>
      <c r="L197" s="168" t="n">
        <f aca="false">'VOL DWNLD'!L197+'VOL DELTA'!L197</f>
        <v>1</v>
      </c>
      <c r="M197" s="168" t="n">
        <f aca="false">'VOL DWNLD'!M197+'VOL DELTA'!M197</f>
        <v>1</v>
      </c>
      <c r="N197" s="168" t="n">
        <f aca="false">'VOL DWNLD'!N197+'VOL DELTA'!N197</f>
        <v>1</v>
      </c>
      <c r="O197" s="168" t="n">
        <f aca="false">'VOL DWNLD'!O197+'VOL DELTA'!O197</f>
        <v>1</v>
      </c>
      <c r="P197" s="168" t="n">
        <f aca="false">'VOL DWNLD'!P197+'VOL DELTA'!P197</f>
        <v>1.03</v>
      </c>
      <c r="Q197" s="168" t="n">
        <f aca="false">'VOL DWNLD'!Q197+'VOL DELTA'!Q197</f>
        <v>1</v>
      </c>
      <c r="R197" s="168" t="n">
        <f aca="false">'VOL DWNLD'!R197+'VOL DELTA'!R197</f>
        <v>1</v>
      </c>
      <c r="S197" s="168" t="n">
        <f aca="false">'VOL DWNLD'!S197+'VOL DELTA'!S197</f>
        <v>1.02</v>
      </c>
      <c r="T197" s="168" t="n">
        <f aca="false">'VOL DWNLD'!T197+'VOL DELTA'!T197</f>
        <v>1</v>
      </c>
      <c r="U197" s="168" t="n">
        <f aca="false">'VOL DWNLD'!U197+'VOL DELTA'!U197</f>
        <v>1</v>
      </c>
      <c r="V197" s="168" t="n">
        <f aca="false">'VOL DWNLD'!V197+'VOL DELTA'!V197</f>
        <v>1</v>
      </c>
      <c r="W197" s="168" t="n">
        <f aca="false">'VOL DWNLD'!W197+'VOL DELTA'!W197</f>
        <v>1</v>
      </c>
      <c r="X197" s="168" t="n">
        <f aca="false">'VOL DWNLD'!X197+'VOL DELTA'!X197</f>
        <v>1</v>
      </c>
      <c r="Y197" s="168" t="n">
        <f aca="false">'VOL DWNLD'!Y197+'VOL DELTA'!Y197</f>
        <v>1</v>
      </c>
      <c r="Z197" s="168" t="n">
        <f aca="false">'VOL DWNLD'!Z197+'VOL DELTA'!Z197</f>
        <v>1</v>
      </c>
      <c r="AA197" s="168" t="n">
        <f aca="false">'VOL DWNLD'!AA197+'VOL DELTA'!AA197</f>
        <v>1</v>
      </c>
      <c r="AB197" s="168" t="n">
        <f aca="false">'VOL DWNLD'!AB197+'VOL DELTA'!AB197</f>
        <v>1</v>
      </c>
      <c r="AC197" s="168" t="n">
        <f aca="false">'VOL DWNLD'!AC197+'VOL DELTA'!AC197</f>
        <v>1</v>
      </c>
      <c r="AD197" s="168" t="n">
        <f aca="false">'VOL DWNLD'!AD197+'VOL DELTA'!AD197</f>
        <v>1</v>
      </c>
      <c r="AE197" s="168" t="n">
        <f aca="false">'VOL DWNLD'!AE197+'VOL DELTA'!AE197</f>
        <v>1</v>
      </c>
      <c r="AF197" s="168" t="n">
        <f aca="false">'VOL DWNLD'!AF197+'VOL DELTA'!AF197</f>
        <v>1.1</v>
      </c>
      <c r="AG197" s="168" t="n">
        <f aca="false">'VOL DWNLD'!AG197+'VOL DELTA'!AG197</f>
        <v>1.1</v>
      </c>
      <c r="AH197" s="168" t="n">
        <f aca="false">'VOL DWNLD'!AH197+'VOL DELTA'!AH197</f>
        <v>1.05</v>
      </c>
      <c r="AI197" s="168" t="n">
        <f aca="false">'VOL DWNLD'!AI197+'VOL DELTA'!AI197</f>
        <v>1</v>
      </c>
      <c r="AJ197" s="168" t="n">
        <f aca="false">'VOL DWNLD'!AJ197+'VOL DELTA'!AJ197</f>
        <v>1</v>
      </c>
      <c r="AK197" s="168" t="n">
        <f aca="false">'VOL DWNLD'!AK197+'VOL DELTA'!AK197</f>
        <v>1.02</v>
      </c>
      <c r="AL197" s="168" t="n">
        <f aca="false">'VOL DWNLD'!AL197+'VOL DELTA'!AL197</f>
        <v>1</v>
      </c>
      <c r="AM197" s="168" t="n">
        <f aca="false">'VOL DWNLD'!AM197+'VOL DELTA'!AM197</f>
        <v>1</v>
      </c>
      <c r="AN197" s="168" t="n">
        <f aca="false">'VOL DWNLD'!AN197+'VOL DELTA'!AN197</f>
        <v>1</v>
      </c>
      <c r="AO197" s="168" t="n">
        <f aca="false">'VOL DWNLD'!AO197+'VOL DELTA'!AO197</f>
        <v>1</v>
      </c>
    </row>
    <row r="198" customFormat="false" ht="12.75" hidden="false" customHeight="false" outlineLevel="0" collapsed="false">
      <c r="A198" s="167" t="n">
        <v>42705</v>
      </c>
      <c r="B198" s="168" t="n">
        <f aca="false">'VOL DWNLD'!B198+'VOL DELTA'!B198</f>
        <v>1</v>
      </c>
      <c r="C198" s="168" t="n">
        <f aca="false">'VOL DWNLD'!C198+'VOL DELTA'!C198</f>
        <v>1</v>
      </c>
      <c r="D198" s="168" t="n">
        <f aca="false">'VOL DWNLD'!D198+'VOL DELTA'!D198</f>
        <v>1</v>
      </c>
      <c r="E198" s="168" t="n">
        <f aca="false">'VOL DWNLD'!E198+'VOL DELTA'!E198</f>
        <v>1</v>
      </c>
      <c r="F198" s="168" t="n">
        <f aca="false">'VOL DWNLD'!F198+'VOL DELTA'!F198</f>
        <v>1</v>
      </c>
      <c r="G198" s="168" t="n">
        <f aca="false">'VOL DWNLD'!G198+'VOL DELTA'!G198</f>
        <v>1</v>
      </c>
      <c r="H198" s="168" t="n">
        <f aca="false">'VOL DWNLD'!H198+'VOL DELTA'!H198</f>
        <v>1</v>
      </c>
      <c r="I198" s="168" t="n">
        <f aca="false">'VOL DWNLD'!I198+'VOL DELTA'!I198</f>
        <v>1</v>
      </c>
      <c r="J198" s="168" t="n">
        <f aca="false">'VOL DWNLD'!J198+'VOL DELTA'!J198</f>
        <v>1</v>
      </c>
      <c r="K198" s="168" t="n">
        <f aca="false">'VOL DWNLD'!K198+'VOL DELTA'!K198</f>
        <v>1</v>
      </c>
      <c r="L198" s="168" t="n">
        <f aca="false">'VOL DWNLD'!L198+'VOL DELTA'!L198</f>
        <v>1</v>
      </c>
      <c r="M198" s="168" t="n">
        <f aca="false">'VOL DWNLD'!M198+'VOL DELTA'!M198</f>
        <v>1</v>
      </c>
      <c r="N198" s="168" t="n">
        <f aca="false">'VOL DWNLD'!N198+'VOL DELTA'!N198</f>
        <v>1</v>
      </c>
      <c r="O198" s="168" t="n">
        <f aca="false">'VOL DWNLD'!O198+'VOL DELTA'!O198</f>
        <v>1</v>
      </c>
      <c r="P198" s="168" t="n">
        <f aca="false">'VOL DWNLD'!P198+'VOL DELTA'!P198</f>
        <v>1.03</v>
      </c>
      <c r="Q198" s="168" t="n">
        <f aca="false">'VOL DWNLD'!Q198+'VOL DELTA'!Q198</f>
        <v>1</v>
      </c>
      <c r="R198" s="168" t="n">
        <f aca="false">'VOL DWNLD'!R198+'VOL DELTA'!R198</f>
        <v>1</v>
      </c>
      <c r="S198" s="168" t="n">
        <f aca="false">'VOL DWNLD'!S198+'VOL DELTA'!S198</f>
        <v>1.02</v>
      </c>
      <c r="T198" s="168" t="n">
        <f aca="false">'VOL DWNLD'!T198+'VOL DELTA'!T198</f>
        <v>1</v>
      </c>
      <c r="U198" s="168" t="n">
        <f aca="false">'VOL DWNLD'!U198+'VOL DELTA'!U198</f>
        <v>1</v>
      </c>
      <c r="V198" s="168" t="n">
        <f aca="false">'VOL DWNLD'!V198+'VOL DELTA'!V198</f>
        <v>1</v>
      </c>
      <c r="W198" s="168" t="n">
        <f aca="false">'VOL DWNLD'!W198+'VOL DELTA'!W198</f>
        <v>1</v>
      </c>
      <c r="X198" s="168" t="n">
        <f aca="false">'VOL DWNLD'!X198+'VOL DELTA'!X198</f>
        <v>1</v>
      </c>
      <c r="Y198" s="168" t="n">
        <f aca="false">'VOL DWNLD'!Y198+'VOL DELTA'!Y198</f>
        <v>1</v>
      </c>
      <c r="Z198" s="168" t="n">
        <f aca="false">'VOL DWNLD'!Z198+'VOL DELTA'!Z198</f>
        <v>1</v>
      </c>
      <c r="AA198" s="168" t="n">
        <f aca="false">'VOL DWNLD'!AA198+'VOL DELTA'!AA198</f>
        <v>1</v>
      </c>
      <c r="AB198" s="168" t="n">
        <f aca="false">'VOL DWNLD'!AB198+'VOL DELTA'!AB198</f>
        <v>1</v>
      </c>
      <c r="AC198" s="168" t="n">
        <f aca="false">'VOL DWNLD'!AC198+'VOL DELTA'!AC198</f>
        <v>1</v>
      </c>
      <c r="AD198" s="168" t="n">
        <f aca="false">'VOL DWNLD'!AD198+'VOL DELTA'!AD198</f>
        <v>1</v>
      </c>
      <c r="AE198" s="168" t="n">
        <f aca="false">'VOL DWNLD'!AE198+'VOL DELTA'!AE198</f>
        <v>1</v>
      </c>
      <c r="AF198" s="168" t="n">
        <f aca="false">'VOL DWNLD'!AF198+'VOL DELTA'!AF198</f>
        <v>1.1</v>
      </c>
      <c r="AG198" s="168" t="n">
        <f aca="false">'VOL DWNLD'!AG198+'VOL DELTA'!AG198</f>
        <v>1.1</v>
      </c>
      <c r="AH198" s="168" t="n">
        <f aca="false">'VOL DWNLD'!AH198+'VOL DELTA'!AH198</f>
        <v>1.05</v>
      </c>
      <c r="AI198" s="168" t="n">
        <f aca="false">'VOL DWNLD'!AI198+'VOL DELTA'!AI198</f>
        <v>1</v>
      </c>
      <c r="AJ198" s="168" t="n">
        <f aca="false">'VOL DWNLD'!AJ198+'VOL DELTA'!AJ198</f>
        <v>1</v>
      </c>
      <c r="AK198" s="168" t="n">
        <f aca="false">'VOL DWNLD'!AK198+'VOL DELTA'!AK198</f>
        <v>1.02</v>
      </c>
      <c r="AL198" s="168" t="n">
        <f aca="false">'VOL DWNLD'!AL198+'VOL DELTA'!AL198</f>
        <v>1</v>
      </c>
      <c r="AM198" s="168" t="n">
        <f aca="false">'VOL DWNLD'!AM198+'VOL DELTA'!AM198</f>
        <v>1</v>
      </c>
      <c r="AN198" s="168" t="n">
        <f aca="false">'VOL DWNLD'!AN198+'VOL DELTA'!AN198</f>
        <v>1</v>
      </c>
      <c r="AO198" s="168" t="n">
        <f aca="false">'VOL DWNLD'!AO198+'VOL DELTA'!AO198</f>
        <v>1</v>
      </c>
    </row>
    <row r="199" customFormat="false" ht="12.75" hidden="false" customHeight="false" outlineLevel="0" collapsed="false">
      <c r="A199" s="167" t="n">
        <v>42736</v>
      </c>
      <c r="B199" s="168" t="n">
        <f aca="false">'VOL DWNLD'!B199+'VOL DELTA'!B199</f>
        <v>1</v>
      </c>
      <c r="C199" s="168" t="n">
        <f aca="false">'VOL DWNLD'!C199+'VOL DELTA'!C199</f>
        <v>1</v>
      </c>
      <c r="D199" s="168" t="n">
        <f aca="false">'VOL DWNLD'!D199+'VOL DELTA'!D199</f>
        <v>1</v>
      </c>
      <c r="E199" s="168" t="n">
        <f aca="false">'VOL DWNLD'!E199+'VOL DELTA'!E199</f>
        <v>1</v>
      </c>
      <c r="F199" s="168" t="n">
        <f aca="false">'VOL DWNLD'!F199+'VOL DELTA'!F199</f>
        <v>1</v>
      </c>
      <c r="G199" s="168" t="n">
        <f aca="false">'VOL DWNLD'!G199+'VOL DELTA'!G199</f>
        <v>1</v>
      </c>
      <c r="H199" s="168" t="n">
        <f aca="false">'VOL DWNLD'!H199+'VOL DELTA'!H199</f>
        <v>1</v>
      </c>
      <c r="I199" s="168" t="n">
        <f aca="false">'VOL DWNLD'!I199+'VOL DELTA'!I199</f>
        <v>1</v>
      </c>
      <c r="J199" s="168" t="n">
        <f aca="false">'VOL DWNLD'!J199+'VOL DELTA'!J199</f>
        <v>1</v>
      </c>
      <c r="K199" s="168" t="n">
        <f aca="false">'VOL DWNLD'!K199+'VOL DELTA'!K199</f>
        <v>1</v>
      </c>
      <c r="L199" s="168" t="n">
        <f aca="false">'VOL DWNLD'!L199+'VOL DELTA'!L199</f>
        <v>1</v>
      </c>
      <c r="M199" s="168" t="n">
        <f aca="false">'VOL DWNLD'!M199+'VOL DELTA'!M199</f>
        <v>1</v>
      </c>
      <c r="N199" s="168" t="n">
        <f aca="false">'VOL DWNLD'!N199+'VOL DELTA'!N199</f>
        <v>1</v>
      </c>
      <c r="O199" s="168" t="n">
        <f aca="false">'VOL DWNLD'!O199+'VOL DELTA'!O199</f>
        <v>1</v>
      </c>
      <c r="P199" s="168" t="n">
        <f aca="false">'VOL DWNLD'!P199+'VOL DELTA'!P199</f>
        <v>1.03</v>
      </c>
      <c r="Q199" s="168" t="n">
        <f aca="false">'VOL DWNLD'!Q199+'VOL DELTA'!Q199</f>
        <v>1</v>
      </c>
      <c r="R199" s="168" t="n">
        <f aca="false">'VOL DWNLD'!R199+'VOL DELTA'!R199</f>
        <v>1</v>
      </c>
      <c r="S199" s="168" t="n">
        <f aca="false">'VOL DWNLD'!S199+'VOL DELTA'!S199</f>
        <v>1.02</v>
      </c>
      <c r="T199" s="168" t="n">
        <f aca="false">'VOL DWNLD'!T199+'VOL DELTA'!T199</f>
        <v>1</v>
      </c>
      <c r="U199" s="168" t="n">
        <f aca="false">'VOL DWNLD'!U199+'VOL DELTA'!U199</f>
        <v>1</v>
      </c>
      <c r="V199" s="168" t="n">
        <f aca="false">'VOL DWNLD'!V199+'VOL DELTA'!V199</f>
        <v>1</v>
      </c>
      <c r="W199" s="168" t="n">
        <f aca="false">'VOL DWNLD'!W199+'VOL DELTA'!W199</f>
        <v>1</v>
      </c>
      <c r="X199" s="168" t="n">
        <f aca="false">'VOL DWNLD'!X199+'VOL DELTA'!X199</f>
        <v>1</v>
      </c>
      <c r="Y199" s="168" t="n">
        <f aca="false">'VOL DWNLD'!Y199+'VOL DELTA'!Y199</f>
        <v>1</v>
      </c>
      <c r="Z199" s="168" t="n">
        <f aca="false">'VOL DWNLD'!Z199+'VOL DELTA'!Z199</f>
        <v>1</v>
      </c>
      <c r="AA199" s="168" t="n">
        <f aca="false">'VOL DWNLD'!AA199+'VOL DELTA'!AA199</f>
        <v>1</v>
      </c>
      <c r="AB199" s="168" t="n">
        <f aca="false">'VOL DWNLD'!AB199+'VOL DELTA'!AB199</f>
        <v>1</v>
      </c>
      <c r="AC199" s="168" t="n">
        <f aca="false">'VOL DWNLD'!AC199+'VOL DELTA'!AC199</f>
        <v>1</v>
      </c>
      <c r="AD199" s="168" t="n">
        <f aca="false">'VOL DWNLD'!AD199+'VOL DELTA'!AD199</f>
        <v>1</v>
      </c>
      <c r="AE199" s="168" t="n">
        <f aca="false">'VOL DWNLD'!AE199+'VOL DELTA'!AE199</f>
        <v>1</v>
      </c>
      <c r="AF199" s="168" t="n">
        <f aca="false">'VOL DWNLD'!AF199+'VOL DELTA'!AF199</f>
        <v>1.1</v>
      </c>
      <c r="AG199" s="168" t="n">
        <f aca="false">'VOL DWNLD'!AG199+'VOL DELTA'!AG199</f>
        <v>1.1</v>
      </c>
      <c r="AH199" s="168" t="n">
        <f aca="false">'VOL DWNLD'!AH199+'VOL DELTA'!AH199</f>
        <v>1.05</v>
      </c>
      <c r="AI199" s="168" t="n">
        <f aca="false">'VOL DWNLD'!AI199+'VOL DELTA'!AI199</f>
        <v>1</v>
      </c>
      <c r="AJ199" s="168" t="n">
        <f aca="false">'VOL DWNLD'!AJ199+'VOL DELTA'!AJ199</f>
        <v>1</v>
      </c>
      <c r="AK199" s="168" t="n">
        <f aca="false">'VOL DWNLD'!AK199+'VOL DELTA'!AK199</f>
        <v>1.02</v>
      </c>
      <c r="AL199" s="168" t="n">
        <f aca="false">'VOL DWNLD'!AL199+'VOL DELTA'!AL199</f>
        <v>1</v>
      </c>
      <c r="AM199" s="168" t="n">
        <f aca="false">'VOL DWNLD'!AM199+'VOL DELTA'!AM199</f>
        <v>1</v>
      </c>
      <c r="AN199" s="168" t="n">
        <f aca="false">'VOL DWNLD'!AN199+'VOL DELTA'!AN199</f>
        <v>1</v>
      </c>
      <c r="AO199" s="168" t="n">
        <f aca="false">'VOL DWNLD'!AO199+'VOL DELTA'!AO199</f>
        <v>1</v>
      </c>
    </row>
    <row r="200" customFormat="false" ht="12.75" hidden="false" customHeight="false" outlineLevel="0" collapsed="false">
      <c r="A200" s="167" t="n">
        <v>42767</v>
      </c>
      <c r="B200" s="168" t="n">
        <f aca="false">'VOL DWNLD'!B200+'VOL DELTA'!B200</f>
        <v>1</v>
      </c>
      <c r="C200" s="168" t="n">
        <f aca="false">'VOL DWNLD'!C200+'VOL DELTA'!C200</f>
        <v>1</v>
      </c>
      <c r="D200" s="168" t="n">
        <f aca="false">'VOL DWNLD'!D200+'VOL DELTA'!D200</f>
        <v>1</v>
      </c>
      <c r="E200" s="168" t="n">
        <f aca="false">'VOL DWNLD'!E200+'VOL DELTA'!E200</f>
        <v>1</v>
      </c>
      <c r="F200" s="168" t="n">
        <f aca="false">'VOL DWNLD'!F200+'VOL DELTA'!F200</f>
        <v>1</v>
      </c>
      <c r="G200" s="168" t="n">
        <f aca="false">'VOL DWNLD'!G200+'VOL DELTA'!G200</f>
        <v>1</v>
      </c>
      <c r="H200" s="168" t="n">
        <f aca="false">'VOL DWNLD'!H200+'VOL DELTA'!H200</f>
        <v>1</v>
      </c>
      <c r="I200" s="168" t="n">
        <f aca="false">'VOL DWNLD'!I200+'VOL DELTA'!I200</f>
        <v>1</v>
      </c>
      <c r="J200" s="168" t="n">
        <f aca="false">'VOL DWNLD'!J200+'VOL DELTA'!J200</f>
        <v>1</v>
      </c>
      <c r="K200" s="168" t="n">
        <f aca="false">'VOL DWNLD'!K200+'VOL DELTA'!K200</f>
        <v>1</v>
      </c>
      <c r="L200" s="168" t="n">
        <f aca="false">'VOL DWNLD'!L200+'VOL DELTA'!L200</f>
        <v>1</v>
      </c>
      <c r="M200" s="168" t="n">
        <f aca="false">'VOL DWNLD'!M200+'VOL DELTA'!M200</f>
        <v>1</v>
      </c>
      <c r="N200" s="168" t="n">
        <f aca="false">'VOL DWNLD'!N200+'VOL DELTA'!N200</f>
        <v>1</v>
      </c>
      <c r="O200" s="168" t="n">
        <f aca="false">'VOL DWNLD'!O200+'VOL DELTA'!O200</f>
        <v>1</v>
      </c>
      <c r="P200" s="168" t="n">
        <f aca="false">'VOL DWNLD'!P200+'VOL DELTA'!P200</f>
        <v>1.03</v>
      </c>
      <c r="Q200" s="168" t="n">
        <f aca="false">'VOL DWNLD'!Q200+'VOL DELTA'!Q200</f>
        <v>1</v>
      </c>
      <c r="R200" s="168" t="n">
        <f aca="false">'VOL DWNLD'!R200+'VOL DELTA'!R200</f>
        <v>1</v>
      </c>
      <c r="S200" s="168" t="n">
        <f aca="false">'VOL DWNLD'!S200+'VOL DELTA'!S200</f>
        <v>1.02</v>
      </c>
      <c r="T200" s="168" t="n">
        <f aca="false">'VOL DWNLD'!T200+'VOL DELTA'!T200</f>
        <v>1</v>
      </c>
      <c r="U200" s="168" t="n">
        <f aca="false">'VOL DWNLD'!U200+'VOL DELTA'!U200</f>
        <v>1</v>
      </c>
      <c r="V200" s="168" t="n">
        <f aca="false">'VOL DWNLD'!V200+'VOL DELTA'!V200</f>
        <v>1</v>
      </c>
      <c r="W200" s="168" t="n">
        <f aca="false">'VOL DWNLD'!W200+'VOL DELTA'!W200</f>
        <v>1</v>
      </c>
      <c r="X200" s="168" t="n">
        <f aca="false">'VOL DWNLD'!X200+'VOL DELTA'!X200</f>
        <v>1</v>
      </c>
      <c r="Y200" s="168" t="n">
        <f aca="false">'VOL DWNLD'!Y200+'VOL DELTA'!Y200</f>
        <v>1</v>
      </c>
      <c r="Z200" s="168" t="n">
        <f aca="false">'VOL DWNLD'!Z200+'VOL DELTA'!Z200</f>
        <v>1</v>
      </c>
      <c r="AA200" s="168" t="n">
        <f aca="false">'VOL DWNLD'!AA200+'VOL DELTA'!AA200</f>
        <v>1</v>
      </c>
      <c r="AB200" s="168" t="n">
        <f aca="false">'VOL DWNLD'!AB200+'VOL DELTA'!AB200</f>
        <v>1</v>
      </c>
      <c r="AC200" s="168" t="n">
        <f aca="false">'VOL DWNLD'!AC200+'VOL DELTA'!AC200</f>
        <v>1</v>
      </c>
      <c r="AD200" s="168" t="n">
        <f aca="false">'VOL DWNLD'!AD200+'VOL DELTA'!AD200</f>
        <v>1</v>
      </c>
      <c r="AE200" s="168" t="n">
        <f aca="false">'VOL DWNLD'!AE200+'VOL DELTA'!AE200</f>
        <v>1</v>
      </c>
      <c r="AF200" s="168" t="n">
        <f aca="false">'VOL DWNLD'!AF200+'VOL DELTA'!AF200</f>
        <v>1.1</v>
      </c>
      <c r="AG200" s="168" t="n">
        <f aca="false">'VOL DWNLD'!AG200+'VOL DELTA'!AG200</f>
        <v>1.1</v>
      </c>
      <c r="AH200" s="168" t="n">
        <f aca="false">'VOL DWNLD'!AH200+'VOL DELTA'!AH200</f>
        <v>1.05</v>
      </c>
      <c r="AI200" s="168" t="n">
        <f aca="false">'VOL DWNLD'!AI200+'VOL DELTA'!AI200</f>
        <v>1</v>
      </c>
      <c r="AJ200" s="168" t="n">
        <f aca="false">'VOL DWNLD'!AJ200+'VOL DELTA'!AJ200</f>
        <v>1</v>
      </c>
      <c r="AK200" s="168" t="n">
        <f aca="false">'VOL DWNLD'!AK200+'VOL DELTA'!AK200</f>
        <v>1.02</v>
      </c>
      <c r="AL200" s="168" t="n">
        <f aca="false">'VOL DWNLD'!AL200+'VOL DELTA'!AL200</f>
        <v>1</v>
      </c>
      <c r="AM200" s="168" t="n">
        <f aca="false">'VOL DWNLD'!AM200+'VOL DELTA'!AM200</f>
        <v>1</v>
      </c>
      <c r="AN200" s="168" t="n">
        <f aca="false">'VOL DWNLD'!AN200+'VOL DELTA'!AN200</f>
        <v>1</v>
      </c>
      <c r="AO200" s="168" t="n">
        <f aca="false">'VOL DWNLD'!AO200+'VOL DELTA'!AO200</f>
        <v>1</v>
      </c>
    </row>
    <row r="201" customFormat="false" ht="12.75" hidden="false" customHeight="false" outlineLevel="0" collapsed="false">
      <c r="A201" s="167" t="n">
        <v>42795</v>
      </c>
      <c r="B201" s="168" t="n">
        <f aca="false">'VOL DWNLD'!B201+'VOL DELTA'!B201</f>
        <v>1</v>
      </c>
      <c r="C201" s="168" t="n">
        <f aca="false">'VOL DWNLD'!C201+'VOL DELTA'!C201</f>
        <v>1</v>
      </c>
      <c r="D201" s="168" t="n">
        <f aca="false">'VOL DWNLD'!D201+'VOL DELTA'!D201</f>
        <v>1</v>
      </c>
      <c r="E201" s="168" t="n">
        <f aca="false">'VOL DWNLD'!E201+'VOL DELTA'!E201</f>
        <v>1</v>
      </c>
      <c r="F201" s="168" t="n">
        <f aca="false">'VOL DWNLD'!F201+'VOL DELTA'!F201</f>
        <v>1</v>
      </c>
      <c r="G201" s="168" t="n">
        <f aca="false">'VOL DWNLD'!G201+'VOL DELTA'!G201</f>
        <v>1</v>
      </c>
      <c r="H201" s="168" t="n">
        <f aca="false">'VOL DWNLD'!H201+'VOL DELTA'!H201</f>
        <v>1</v>
      </c>
      <c r="I201" s="168" t="n">
        <f aca="false">'VOL DWNLD'!I201+'VOL DELTA'!I201</f>
        <v>1</v>
      </c>
      <c r="J201" s="168" t="n">
        <f aca="false">'VOL DWNLD'!J201+'VOL DELTA'!J201</f>
        <v>1</v>
      </c>
      <c r="K201" s="168" t="n">
        <f aca="false">'VOL DWNLD'!K201+'VOL DELTA'!K201</f>
        <v>1</v>
      </c>
      <c r="L201" s="168" t="n">
        <f aca="false">'VOL DWNLD'!L201+'VOL DELTA'!L201</f>
        <v>1</v>
      </c>
      <c r="M201" s="168" t="n">
        <f aca="false">'VOL DWNLD'!M201+'VOL DELTA'!M201</f>
        <v>1</v>
      </c>
      <c r="N201" s="168" t="n">
        <f aca="false">'VOL DWNLD'!N201+'VOL DELTA'!N201</f>
        <v>1</v>
      </c>
      <c r="O201" s="168" t="n">
        <f aca="false">'VOL DWNLD'!O201+'VOL DELTA'!O201</f>
        <v>1</v>
      </c>
      <c r="P201" s="168" t="n">
        <f aca="false">'VOL DWNLD'!P201+'VOL DELTA'!P201</f>
        <v>1.03</v>
      </c>
      <c r="Q201" s="168" t="n">
        <f aca="false">'VOL DWNLD'!Q201+'VOL DELTA'!Q201</f>
        <v>1</v>
      </c>
      <c r="R201" s="168" t="n">
        <f aca="false">'VOL DWNLD'!R201+'VOL DELTA'!R201</f>
        <v>1</v>
      </c>
      <c r="S201" s="168" t="n">
        <f aca="false">'VOL DWNLD'!S201+'VOL DELTA'!S201</f>
        <v>1.02</v>
      </c>
      <c r="T201" s="168" t="n">
        <f aca="false">'VOL DWNLD'!T201+'VOL DELTA'!T201</f>
        <v>1</v>
      </c>
      <c r="U201" s="168" t="n">
        <f aca="false">'VOL DWNLD'!U201+'VOL DELTA'!U201</f>
        <v>1</v>
      </c>
      <c r="V201" s="168" t="n">
        <f aca="false">'VOL DWNLD'!V201+'VOL DELTA'!V201</f>
        <v>1</v>
      </c>
      <c r="W201" s="168" t="n">
        <f aca="false">'VOL DWNLD'!W201+'VOL DELTA'!W201</f>
        <v>1</v>
      </c>
      <c r="X201" s="168" t="n">
        <f aca="false">'VOL DWNLD'!X201+'VOL DELTA'!X201</f>
        <v>1</v>
      </c>
      <c r="Y201" s="168" t="n">
        <f aca="false">'VOL DWNLD'!Y201+'VOL DELTA'!Y201</f>
        <v>1</v>
      </c>
      <c r="Z201" s="168" t="n">
        <f aca="false">'VOL DWNLD'!Z201+'VOL DELTA'!Z201</f>
        <v>1</v>
      </c>
      <c r="AA201" s="168" t="n">
        <f aca="false">'VOL DWNLD'!AA201+'VOL DELTA'!AA201</f>
        <v>1</v>
      </c>
      <c r="AB201" s="168" t="n">
        <f aca="false">'VOL DWNLD'!AB201+'VOL DELTA'!AB201</f>
        <v>1</v>
      </c>
      <c r="AC201" s="168" t="n">
        <f aca="false">'VOL DWNLD'!AC201+'VOL DELTA'!AC201</f>
        <v>1</v>
      </c>
      <c r="AD201" s="168" t="n">
        <f aca="false">'VOL DWNLD'!AD201+'VOL DELTA'!AD201</f>
        <v>1</v>
      </c>
      <c r="AE201" s="168" t="n">
        <f aca="false">'VOL DWNLD'!AE201+'VOL DELTA'!AE201</f>
        <v>1</v>
      </c>
      <c r="AF201" s="168" t="n">
        <f aca="false">'VOL DWNLD'!AF201+'VOL DELTA'!AF201</f>
        <v>1.1</v>
      </c>
      <c r="AG201" s="168" t="n">
        <f aca="false">'VOL DWNLD'!AG201+'VOL DELTA'!AG201</f>
        <v>1.1</v>
      </c>
      <c r="AH201" s="168" t="n">
        <f aca="false">'VOL DWNLD'!AH201+'VOL DELTA'!AH201</f>
        <v>1.05</v>
      </c>
      <c r="AI201" s="168" t="n">
        <f aca="false">'VOL DWNLD'!AI201+'VOL DELTA'!AI201</f>
        <v>1</v>
      </c>
      <c r="AJ201" s="168" t="n">
        <f aca="false">'VOL DWNLD'!AJ201+'VOL DELTA'!AJ201</f>
        <v>1</v>
      </c>
      <c r="AK201" s="168" t="n">
        <f aca="false">'VOL DWNLD'!AK201+'VOL DELTA'!AK201</f>
        <v>1.02</v>
      </c>
      <c r="AL201" s="168" t="n">
        <f aca="false">'VOL DWNLD'!AL201+'VOL DELTA'!AL201</f>
        <v>1</v>
      </c>
      <c r="AM201" s="168" t="n">
        <f aca="false">'VOL DWNLD'!AM201+'VOL DELTA'!AM201</f>
        <v>1</v>
      </c>
      <c r="AN201" s="168" t="n">
        <f aca="false">'VOL DWNLD'!AN201+'VOL DELTA'!AN201</f>
        <v>1</v>
      </c>
      <c r="AO201" s="168" t="n">
        <f aca="false">'VOL DWNLD'!AO201+'VOL DELTA'!AO201</f>
        <v>1</v>
      </c>
    </row>
    <row r="202" customFormat="false" ht="12.75" hidden="false" customHeight="false" outlineLevel="0" collapsed="false">
      <c r="A202" s="167" t="n">
        <v>42826</v>
      </c>
      <c r="B202" s="168" t="n">
        <f aca="false">'VOL DWNLD'!B202+'VOL DELTA'!B202</f>
        <v>1</v>
      </c>
      <c r="C202" s="168" t="n">
        <f aca="false">'VOL DWNLD'!C202+'VOL DELTA'!C202</f>
        <v>1</v>
      </c>
      <c r="D202" s="168" t="n">
        <f aca="false">'VOL DWNLD'!D202+'VOL DELTA'!D202</f>
        <v>1</v>
      </c>
      <c r="E202" s="168" t="n">
        <f aca="false">'VOL DWNLD'!E202+'VOL DELTA'!E202</f>
        <v>1</v>
      </c>
      <c r="F202" s="168" t="n">
        <f aca="false">'VOL DWNLD'!F202+'VOL DELTA'!F202</f>
        <v>1</v>
      </c>
      <c r="G202" s="168" t="n">
        <f aca="false">'VOL DWNLD'!G202+'VOL DELTA'!G202</f>
        <v>1</v>
      </c>
      <c r="H202" s="168" t="n">
        <f aca="false">'VOL DWNLD'!H202+'VOL DELTA'!H202</f>
        <v>1</v>
      </c>
      <c r="I202" s="168" t="n">
        <f aca="false">'VOL DWNLD'!I202+'VOL DELTA'!I202</f>
        <v>1</v>
      </c>
      <c r="J202" s="168" t="n">
        <f aca="false">'VOL DWNLD'!J202+'VOL DELTA'!J202</f>
        <v>1</v>
      </c>
      <c r="K202" s="168" t="n">
        <f aca="false">'VOL DWNLD'!K202+'VOL DELTA'!K202</f>
        <v>1</v>
      </c>
      <c r="L202" s="168" t="n">
        <f aca="false">'VOL DWNLD'!L202+'VOL DELTA'!L202</f>
        <v>1</v>
      </c>
      <c r="M202" s="168" t="n">
        <f aca="false">'VOL DWNLD'!M202+'VOL DELTA'!M202</f>
        <v>1</v>
      </c>
      <c r="N202" s="168" t="n">
        <f aca="false">'VOL DWNLD'!N202+'VOL DELTA'!N202</f>
        <v>1</v>
      </c>
      <c r="O202" s="168" t="n">
        <f aca="false">'VOL DWNLD'!O202+'VOL DELTA'!O202</f>
        <v>1</v>
      </c>
      <c r="P202" s="168" t="n">
        <f aca="false">'VOL DWNLD'!P202+'VOL DELTA'!P202</f>
        <v>1.03</v>
      </c>
      <c r="Q202" s="168" t="n">
        <f aca="false">'VOL DWNLD'!Q202+'VOL DELTA'!Q202</f>
        <v>1</v>
      </c>
      <c r="R202" s="168" t="n">
        <f aca="false">'VOL DWNLD'!R202+'VOL DELTA'!R202</f>
        <v>1</v>
      </c>
      <c r="S202" s="168" t="n">
        <f aca="false">'VOL DWNLD'!S202+'VOL DELTA'!S202</f>
        <v>1.02</v>
      </c>
      <c r="T202" s="168" t="n">
        <f aca="false">'VOL DWNLD'!T202+'VOL DELTA'!T202</f>
        <v>1</v>
      </c>
      <c r="U202" s="168" t="n">
        <f aca="false">'VOL DWNLD'!U202+'VOL DELTA'!U202</f>
        <v>1</v>
      </c>
      <c r="V202" s="168" t="n">
        <f aca="false">'VOL DWNLD'!V202+'VOL DELTA'!V202</f>
        <v>1</v>
      </c>
      <c r="W202" s="168" t="n">
        <f aca="false">'VOL DWNLD'!W202+'VOL DELTA'!W202</f>
        <v>1</v>
      </c>
      <c r="X202" s="168" t="n">
        <f aca="false">'VOL DWNLD'!X202+'VOL DELTA'!X202</f>
        <v>1</v>
      </c>
      <c r="Y202" s="168" t="n">
        <f aca="false">'VOL DWNLD'!Y202+'VOL DELTA'!Y202</f>
        <v>1.02</v>
      </c>
      <c r="Z202" s="168" t="n">
        <f aca="false">'VOL DWNLD'!Z202+'VOL DELTA'!Z202</f>
        <v>1</v>
      </c>
      <c r="AA202" s="168" t="n">
        <f aca="false">'VOL DWNLD'!AA202+'VOL DELTA'!AA202</f>
        <v>1</v>
      </c>
      <c r="AB202" s="168" t="n">
        <f aca="false">'VOL DWNLD'!AB202+'VOL DELTA'!AB202</f>
        <v>1</v>
      </c>
      <c r="AC202" s="168" t="n">
        <f aca="false">'VOL DWNLD'!AC202+'VOL DELTA'!AC202</f>
        <v>1</v>
      </c>
      <c r="AD202" s="168" t="n">
        <f aca="false">'VOL DWNLD'!AD202+'VOL DELTA'!AD202</f>
        <v>0.98</v>
      </c>
      <c r="AE202" s="168" t="n">
        <f aca="false">'VOL DWNLD'!AE202+'VOL DELTA'!AE202</f>
        <v>0.98</v>
      </c>
      <c r="AF202" s="168" t="n">
        <f aca="false">'VOL DWNLD'!AF202+'VOL DELTA'!AF202</f>
        <v>0.98</v>
      </c>
      <c r="AG202" s="168" t="n">
        <f aca="false">'VOL DWNLD'!AG202+'VOL DELTA'!AG202</f>
        <v>0.98</v>
      </c>
      <c r="AH202" s="168" t="n">
        <f aca="false">'VOL DWNLD'!AH202+'VOL DELTA'!AH202</f>
        <v>1.05</v>
      </c>
      <c r="AI202" s="168" t="n">
        <f aca="false">'VOL DWNLD'!AI202+'VOL DELTA'!AI202</f>
        <v>1</v>
      </c>
      <c r="AJ202" s="168" t="n">
        <f aca="false">'VOL DWNLD'!AJ202+'VOL DELTA'!AJ202</f>
        <v>1</v>
      </c>
      <c r="AK202" s="168" t="n">
        <f aca="false">'VOL DWNLD'!AK202+'VOL DELTA'!AK202</f>
        <v>1.02</v>
      </c>
      <c r="AL202" s="168" t="n">
        <f aca="false">'VOL DWNLD'!AL202+'VOL DELTA'!AL202</f>
        <v>1</v>
      </c>
      <c r="AM202" s="168" t="n">
        <f aca="false">'VOL DWNLD'!AM202+'VOL DELTA'!AM202</f>
        <v>1</v>
      </c>
      <c r="AN202" s="168" t="n">
        <f aca="false">'VOL DWNLD'!AN202+'VOL DELTA'!AN202</f>
        <v>1</v>
      </c>
      <c r="AO202" s="168" t="n">
        <f aca="false">'VOL DWNLD'!AO202+'VOL DELTA'!AO202</f>
        <v>1</v>
      </c>
    </row>
    <row r="203" customFormat="false" ht="12.75" hidden="false" customHeight="false" outlineLevel="0" collapsed="false">
      <c r="A203" s="167" t="n">
        <v>42856</v>
      </c>
      <c r="B203" s="168" t="n">
        <f aca="false">'VOL DWNLD'!B203+'VOL DELTA'!B203</f>
        <v>1</v>
      </c>
      <c r="C203" s="168" t="n">
        <f aca="false">'VOL DWNLD'!C203+'VOL DELTA'!C203</f>
        <v>1</v>
      </c>
      <c r="D203" s="168" t="n">
        <f aca="false">'VOL DWNLD'!D203+'VOL DELTA'!D203</f>
        <v>1</v>
      </c>
      <c r="E203" s="168" t="n">
        <f aca="false">'VOL DWNLD'!E203+'VOL DELTA'!E203</f>
        <v>1</v>
      </c>
      <c r="F203" s="168" t="n">
        <f aca="false">'VOL DWNLD'!F203+'VOL DELTA'!F203</f>
        <v>1</v>
      </c>
      <c r="G203" s="168" t="n">
        <f aca="false">'VOL DWNLD'!G203+'VOL DELTA'!G203</f>
        <v>1</v>
      </c>
      <c r="H203" s="168" t="n">
        <f aca="false">'VOL DWNLD'!H203+'VOL DELTA'!H203</f>
        <v>1</v>
      </c>
      <c r="I203" s="168" t="n">
        <f aca="false">'VOL DWNLD'!I203+'VOL DELTA'!I203</f>
        <v>1</v>
      </c>
      <c r="J203" s="168" t="n">
        <f aca="false">'VOL DWNLD'!J203+'VOL DELTA'!J203</f>
        <v>1</v>
      </c>
      <c r="K203" s="168" t="n">
        <f aca="false">'VOL DWNLD'!K203+'VOL DELTA'!K203</f>
        <v>1</v>
      </c>
      <c r="L203" s="168" t="n">
        <f aca="false">'VOL DWNLD'!L203+'VOL DELTA'!L203</f>
        <v>1</v>
      </c>
      <c r="M203" s="168" t="n">
        <f aca="false">'VOL DWNLD'!M203+'VOL DELTA'!M203</f>
        <v>1</v>
      </c>
      <c r="N203" s="168" t="n">
        <f aca="false">'VOL DWNLD'!N203+'VOL DELTA'!N203</f>
        <v>1</v>
      </c>
      <c r="O203" s="168" t="n">
        <f aca="false">'VOL DWNLD'!O203+'VOL DELTA'!O203</f>
        <v>1</v>
      </c>
      <c r="P203" s="168" t="n">
        <f aca="false">'VOL DWNLD'!P203+'VOL DELTA'!P203</f>
        <v>1.03</v>
      </c>
      <c r="Q203" s="168" t="n">
        <f aca="false">'VOL DWNLD'!Q203+'VOL DELTA'!Q203</f>
        <v>1</v>
      </c>
      <c r="R203" s="168" t="n">
        <f aca="false">'VOL DWNLD'!R203+'VOL DELTA'!R203</f>
        <v>1</v>
      </c>
      <c r="S203" s="168" t="n">
        <f aca="false">'VOL DWNLD'!S203+'VOL DELTA'!S203</f>
        <v>1.02</v>
      </c>
      <c r="T203" s="168" t="n">
        <f aca="false">'VOL DWNLD'!T203+'VOL DELTA'!T203</f>
        <v>1</v>
      </c>
      <c r="U203" s="168" t="n">
        <f aca="false">'VOL DWNLD'!U203+'VOL DELTA'!U203</f>
        <v>1</v>
      </c>
      <c r="V203" s="168" t="n">
        <f aca="false">'VOL DWNLD'!V203+'VOL DELTA'!V203</f>
        <v>1</v>
      </c>
      <c r="W203" s="168" t="n">
        <f aca="false">'VOL DWNLD'!W203+'VOL DELTA'!W203</f>
        <v>1</v>
      </c>
      <c r="X203" s="168" t="n">
        <f aca="false">'VOL DWNLD'!X203+'VOL DELTA'!X203</f>
        <v>1</v>
      </c>
      <c r="Y203" s="168" t="n">
        <f aca="false">'VOL DWNLD'!Y203+'VOL DELTA'!Y203</f>
        <v>1.02</v>
      </c>
      <c r="Z203" s="168" t="n">
        <f aca="false">'VOL DWNLD'!Z203+'VOL DELTA'!Z203</f>
        <v>1</v>
      </c>
      <c r="AA203" s="168" t="n">
        <f aca="false">'VOL DWNLD'!AA203+'VOL DELTA'!AA203</f>
        <v>1</v>
      </c>
      <c r="AB203" s="168" t="n">
        <f aca="false">'VOL DWNLD'!AB203+'VOL DELTA'!AB203</f>
        <v>1</v>
      </c>
      <c r="AC203" s="168" t="n">
        <f aca="false">'VOL DWNLD'!AC203+'VOL DELTA'!AC203</f>
        <v>1</v>
      </c>
      <c r="AD203" s="168" t="n">
        <f aca="false">'VOL DWNLD'!AD203+'VOL DELTA'!AD203</f>
        <v>0.98</v>
      </c>
      <c r="AE203" s="168" t="n">
        <f aca="false">'VOL DWNLD'!AE203+'VOL DELTA'!AE203</f>
        <v>0.98</v>
      </c>
      <c r="AF203" s="168" t="n">
        <f aca="false">'VOL DWNLD'!AF203+'VOL DELTA'!AF203</f>
        <v>0.98</v>
      </c>
      <c r="AG203" s="168" t="n">
        <f aca="false">'VOL DWNLD'!AG203+'VOL DELTA'!AG203</f>
        <v>0.98</v>
      </c>
      <c r="AH203" s="168" t="n">
        <f aca="false">'VOL DWNLD'!AH203+'VOL DELTA'!AH203</f>
        <v>1.05</v>
      </c>
      <c r="AI203" s="168" t="n">
        <f aca="false">'VOL DWNLD'!AI203+'VOL DELTA'!AI203</f>
        <v>1</v>
      </c>
      <c r="AJ203" s="168" t="n">
        <f aca="false">'VOL DWNLD'!AJ203+'VOL DELTA'!AJ203</f>
        <v>1</v>
      </c>
      <c r="AK203" s="168" t="n">
        <f aca="false">'VOL DWNLD'!AK203+'VOL DELTA'!AK203</f>
        <v>1.02</v>
      </c>
      <c r="AL203" s="168" t="n">
        <f aca="false">'VOL DWNLD'!AL203+'VOL DELTA'!AL203</f>
        <v>1</v>
      </c>
      <c r="AM203" s="168" t="n">
        <f aca="false">'VOL DWNLD'!AM203+'VOL DELTA'!AM203</f>
        <v>1</v>
      </c>
      <c r="AN203" s="168" t="n">
        <f aca="false">'VOL DWNLD'!AN203+'VOL DELTA'!AN203</f>
        <v>1</v>
      </c>
      <c r="AO203" s="168" t="n">
        <f aca="false">'VOL DWNLD'!AO203+'VOL DELTA'!AO203</f>
        <v>1</v>
      </c>
    </row>
    <row r="204" customFormat="false" ht="12.75" hidden="false" customHeight="false" outlineLevel="0" collapsed="false">
      <c r="A204" s="167" t="n">
        <v>42887</v>
      </c>
      <c r="B204" s="168" t="n">
        <f aca="false">'VOL DWNLD'!B204+'VOL DELTA'!B204</f>
        <v>1</v>
      </c>
      <c r="C204" s="168" t="n">
        <f aca="false">'VOL DWNLD'!C204+'VOL DELTA'!C204</f>
        <v>1</v>
      </c>
      <c r="D204" s="168" t="n">
        <f aca="false">'VOL DWNLD'!D204+'VOL DELTA'!D204</f>
        <v>1</v>
      </c>
      <c r="E204" s="168" t="n">
        <f aca="false">'VOL DWNLD'!E204+'VOL DELTA'!E204</f>
        <v>1</v>
      </c>
      <c r="F204" s="168" t="n">
        <f aca="false">'VOL DWNLD'!F204+'VOL DELTA'!F204</f>
        <v>1</v>
      </c>
      <c r="G204" s="168" t="n">
        <f aca="false">'VOL DWNLD'!G204+'VOL DELTA'!G204</f>
        <v>1</v>
      </c>
      <c r="H204" s="168" t="n">
        <f aca="false">'VOL DWNLD'!H204+'VOL DELTA'!H204</f>
        <v>1</v>
      </c>
      <c r="I204" s="168" t="n">
        <f aca="false">'VOL DWNLD'!I204+'VOL DELTA'!I204</f>
        <v>1</v>
      </c>
      <c r="J204" s="168" t="n">
        <f aca="false">'VOL DWNLD'!J204+'VOL DELTA'!J204</f>
        <v>1</v>
      </c>
      <c r="K204" s="168" t="n">
        <f aca="false">'VOL DWNLD'!K204+'VOL DELTA'!K204</f>
        <v>1</v>
      </c>
      <c r="L204" s="168" t="n">
        <f aca="false">'VOL DWNLD'!L204+'VOL DELTA'!L204</f>
        <v>1</v>
      </c>
      <c r="M204" s="168" t="n">
        <f aca="false">'VOL DWNLD'!M204+'VOL DELTA'!M204</f>
        <v>1</v>
      </c>
      <c r="N204" s="168" t="n">
        <f aca="false">'VOL DWNLD'!N204+'VOL DELTA'!N204</f>
        <v>1</v>
      </c>
      <c r="O204" s="168" t="n">
        <f aca="false">'VOL DWNLD'!O204+'VOL DELTA'!O204</f>
        <v>1</v>
      </c>
      <c r="P204" s="168" t="n">
        <f aca="false">'VOL DWNLD'!P204+'VOL DELTA'!P204</f>
        <v>1.03</v>
      </c>
      <c r="Q204" s="168" t="n">
        <f aca="false">'VOL DWNLD'!Q204+'VOL DELTA'!Q204</f>
        <v>1</v>
      </c>
      <c r="R204" s="168" t="n">
        <f aca="false">'VOL DWNLD'!R204+'VOL DELTA'!R204</f>
        <v>1</v>
      </c>
      <c r="S204" s="168" t="n">
        <f aca="false">'VOL DWNLD'!S204+'VOL DELTA'!S204</f>
        <v>1.02</v>
      </c>
      <c r="T204" s="168" t="n">
        <f aca="false">'VOL DWNLD'!T204+'VOL DELTA'!T204</f>
        <v>1</v>
      </c>
      <c r="U204" s="168" t="n">
        <f aca="false">'VOL DWNLD'!U204+'VOL DELTA'!U204</f>
        <v>1</v>
      </c>
      <c r="V204" s="168" t="n">
        <f aca="false">'VOL DWNLD'!V204+'VOL DELTA'!V204</f>
        <v>1</v>
      </c>
      <c r="W204" s="168" t="n">
        <f aca="false">'VOL DWNLD'!W204+'VOL DELTA'!W204</f>
        <v>1</v>
      </c>
      <c r="X204" s="168" t="n">
        <f aca="false">'VOL DWNLD'!X204+'VOL DELTA'!X204</f>
        <v>1</v>
      </c>
      <c r="Y204" s="168" t="n">
        <f aca="false">'VOL DWNLD'!Y204+'VOL DELTA'!Y204</f>
        <v>1.02</v>
      </c>
      <c r="Z204" s="168" t="n">
        <f aca="false">'VOL DWNLD'!Z204+'VOL DELTA'!Z204</f>
        <v>1</v>
      </c>
      <c r="AA204" s="168" t="n">
        <f aca="false">'VOL DWNLD'!AA204+'VOL DELTA'!AA204</f>
        <v>1</v>
      </c>
      <c r="AB204" s="168" t="n">
        <f aca="false">'VOL DWNLD'!AB204+'VOL DELTA'!AB204</f>
        <v>1</v>
      </c>
      <c r="AC204" s="168" t="n">
        <f aca="false">'VOL DWNLD'!AC204+'VOL DELTA'!AC204</f>
        <v>1</v>
      </c>
      <c r="AD204" s="168" t="n">
        <f aca="false">'VOL DWNLD'!AD204+'VOL DELTA'!AD204</f>
        <v>0.98</v>
      </c>
      <c r="AE204" s="168" t="n">
        <f aca="false">'VOL DWNLD'!AE204+'VOL DELTA'!AE204</f>
        <v>0.98</v>
      </c>
      <c r="AF204" s="168" t="n">
        <f aca="false">'VOL DWNLD'!AF204+'VOL DELTA'!AF204</f>
        <v>0.98</v>
      </c>
      <c r="AG204" s="168" t="n">
        <f aca="false">'VOL DWNLD'!AG204+'VOL DELTA'!AG204</f>
        <v>0.98</v>
      </c>
      <c r="AH204" s="168" t="n">
        <f aca="false">'VOL DWNLD'!AH204+'VOL DELTA'!AH204</f>
        <v>1.05</v>
      </c>
      <c r="AI204" s="168" t="n">
        <f aca="false">'VOL DWNLD'!AI204+'VOL DELTA'!AI204</f>
        <v>1</v>
      </c>
      <c r="AJ204" s="168" t="n">
        <f aca="false">'VOL DWNLD'!AJ204+'VOL DELTA'!AJ204</f>
        <v>1</v>
      </c>
      <c r="AK204" s="168" t="n">
        <f aca="false">'VOL DWNLD'!AK204+'VOL DELTA'!AK204</f>
        <v>1.02</v>
      </c>
      <c r="AL204" s="168" t="n">
        <f aca="false">'VOL DWNLD'!AL204+'VOL DELTA'!AL204</f>
        <v>1</v>
      </c>
      <c r="AM204" s="168" t="n">
        <f aca="false">'VOL DWNLD'!AM204+'VOL DELTA'!AM204</f>
        <v>1</v>
      </c>
      <c r="AN204" s="168" t="n">
        <f aca="false">'VOL DWNLD'!AN204+'VOL DELTA'!AN204</f>
        <v>1</v>
      </c>
      <c r="AO204" s="168" t="n">
        <f aca="false">'VOL DWNLD'!AO204+'VOL DELTA'!AO204</f>
        <v>1</v>
      </c>
    </row>
    <row r="205" customFormat="false" ht="12.75" hidden="false" customHeight="false" outlineLevel="0" collapsed="false">
      <c r="A205" s="167" t="n">
        <v>42917</v>
      </c>
      <c r="B205" s="168" t="n">
        <f aca="false">'VOL DWNLD'!B205+'VOL DELTA'!B205</f>
        <v>1</v>
      </c>
      <c r="C205" s="168" t="n">
        <f aca="false">'VOL DWNLD'!C205+'VOL DELTA'!C205</f>
        <v>1</v>
      </c>
      <c r="D205" s="168" t="n">
        <f aca="false">'VOL DWNLD'!D205+'VOL DELTA'!D205</f>
        <v>1</v>
      </c>
      <c r="E205" s="168" t="n">
        <f aca="false">'VOL DWNLD'!E205+'VOL DELTA'!E205</f>
        <v>1</v>
      </c>
      <c r="F205" s="168" t="n">
        <f aca="false">'VOL DWNLD'!F205+'VOL DELTA'!F205</f>
        <v>1</v>
      </c>
      <c r="G205" s="168" t="n">
        <f aca="false">'VOL DWNLD'!G205+'VOL DELTA'!G205</f>
        <v>1</v>
      </c>
      <c r="H205" s="168" t="n">
        <f aca="false">'VOL DWNLD'!H205+'VOL DELTA'!H205</f>
        <v>1</v>
      </c>
      <c r="I205" s="168" t="n">
        <f aca="false">'VOL DWNLD'!I205+'VOL DELTA'!I205</f>
        <v>1</v>
      </c>
      <c r="J205" s="168" t="n">
        <f aca="false">'VOL DWNLD'!J205+'VOL DELTA'!J205</f>
        <v>1</v>
      </c>
      <c r="K205" s="168" t="n">
        <f aca="false">'VOL DWNLD'!K205+'VOL DELTA'!K205</f>
        <v>1</v>
      </c>
      <c r="L205" s="168" t="n">
        <f aca="false">'VOL DWNLD'!L205+'VOL DELTA'!L205</f>
        <v>1</v>
      </c>
      <c r="M205" s="168" t="n">
        <f aca="false">'VOL DWNLD'!M205+'VOL DELTA'!M205</f>
        <v>1</v>
      </c>
      <c r="N205" s="168" t="n">
        <f aca="false">'VOL DWNLD'!N205+'VOL DELTA'!N205</f>
        <v>1</v>
      </c>
      <c r="O205" s="168" t="n">
        <f aca="false">'VOL DWNLD'!O205+'VOL DELTA'!O205</f>
        <v>1</v>
      </c>
      <c r="P205" s="168" t="n">
        <f aca="false">'VOL DWNLD'!P205+'VOL DELTA'!P205</f>
        <v>1.03</v>
      </c>
      <c r="Q205" s="168" t="n">
        <f aca="false">'VOL DWNLD'!Q205+'VOL DELTA'!Q205</f>
        <v>1</v>
      </c>
      <c r="R205" s="168" t="n">
        <f aca="false">'VOL DWNLD'!R205+'VOL DELTA'!R205</f>
        <v>1</v>
      </c>
      <c r="S205" s="168" t="n">
        <f aca="false">'VOL DWNLD'!S205+'VOL DELTA'!S205</f>
        <v>1.02</v>
      </c>
      <c r="T205" s="168" t="n">
        <f aca="false">'VOL DWNLD'!T205+'VOL DELTA'!T205</f>
        <v>1</v>
      </c>
      <c r="U205" s="168" t="n">
        <f aca="false">'VOL DWNLD'!U205+'VOL DELTA'!U205</f>
        <v>1</v>
      </c>
      <c r="V205" s="168" t="n">
        <f aca="false">'VOL DWNLD'!V205+'VOL DELTA'!V205</f>
        <v>1</v>
      </c>
      <c r="W205" s="168" t="n">
        <f aca="false">'VOL DWNLD'!W205+'VOL DELTA'!W205</f>
        <v>1</v>
      </c>
      <c r="X205" s="168" t="n">
        <f aca="false">'VOL DWNLD'!X205+'VOL DELTA'!X205</f>
        <v>1</v>
      </c>
      <c r="Y205" s="168" t="n">
        <f aca="false">'VOL DWNLD'!Y205+'VOL DELTA'!Y205</f>
        <v>1.02</v>
      </c>
      <c r="Z205" s="168" t="n">
        <f aca="false">'VOL DWNLD'!Z205+'VOL DELTA'!Z205</f>
        <v>1</v>
      </c>
      <c r="AA205" s="168" t="n">
        <f aca="false">'VOL DWNLD'!AA205+'VOL DELTA'!AA205</f>
        <v>1</v>
      </c>
      <c r="AB205" s="168" t="n">
        <f aca="false">'VOL DWNLD'!AB205+'VOL DELTA'!AB205</f>
        <v>1</v>
      </c>
      <c r="AC205" s="168" t="n">
        <f aca="false">'VOL DWNLD'!AC205+'VOL DELTA'!AC205</f>
        <v>1</v>
      </c>
      <c r="AD205" s="168" t="n">
        <f aca="false">'VOL DWNLD'!AD205+'VOL DELTA'!AD205</f>
        <v>0.98</v>
      </c>
      <c r="AE205" s="168" t="n">
        <f aca="false">'VOL DWNLD'!AE205+'VOL DELTA'!AE205</f>
        <v>0.98</v>
      </c>
      <c r="AF205" s="168" t="n">
        <f aca="false">'VOL DWNLD'!AF205+'VOL DELTA'!AF205</f>
        <v>0.98</v>
      </c>
      <c r="AG205" s="168" t="n">
        <f aca="false">'VOL DWNLD'!AG205+'VOL DELTA'!AG205</f>
        <v>0.98</v>
      </c>
      <c r="AH205" s="168" t="n">
        <f aca="false">'VOL DWNLD'!AH205+'VOL DELTA'!AH205</f>
        <v>1.05</v>
      </c>
      <c r="AI205" s="168" t="n">
        <f aca="false">'VOL DWNLD'!AI205+'VOL DELTA'!AI205</f>
        <v>1</v>
      </c>
      <c r="AJ205" s="168" t="n">
        <f aca="false">'VOL DWNLD'!AJ205+'VOL DELTA'!AJ205</f>
        <v>1</v>
      </c>
      <c r="AK205" s="168" t="n">
        <f aca="false">'VOL DWNLD'!AK205+'VOL DELTA'!AK205</f>
        <v>1.02</v>
      </c>
      <c r="AL205" s="168" t="n">
        <f aca="false">'VOL DWNLD'!AL205+'VOL DELTA'!AL205</f>
        <v>1</v>
      </c>
      <c r="AM205" s="168" t="n">
        <f aca="false">'VOL DWNLD'!AM205+'VOL DELTA'!AM205</f>
        <v>1</v>
      </c>
      <c r="AN205" s="168" t="n">
        <f aca="false">'VOL DWNLD'!AN205+'VOL DELTA'!AN205</f>
        <v>1</v>
      </c>
      <c r="AO205" s="168" t="n">
        <f aca="false">'VOL DWNLD'!AO205+'VOL DELTA'!AO205</f>
        <v>1</v>
      </c>
    </row>
    <row r="206" customFormat="false" ht="12.75" hidden="false" customHeight="false" outlineLevel="0" collapsed="false">
      <c r="A206" s="167" t="n">
        <v>42948</v>
      </c>
      <c r="B206" s="168" t="n">
        <f aca="false">'VOL DWNLD'!B206+'VOL DELTA'!B206</f>
        <v>1</v>
      </c>
      <c r="C206" s="168" t="n">
        <f aca="false">'VOL DWNLD'!C206+'VOL DELTA'!C206</f>
        <v>1</v>
      </c>
      <c r="D206" s="168" t="n">
        <f aca="false">'VOL DWNLD'!D206+'VOL DELTA'!D206</f>
        <v>1</v>
      </c>
      <c r="E206" s="168" t="n">
        <f aca="false">'VOL DWNLD'!E206+'VOL DELTA'!E206</f>
        <v>1</v>
      </c>
      <c r="F206" s="168" t="n">
        <f aca="false">'VOL DWNLD'!F206+'VOL DELTA'!F206</f>
        <v>1</v>
      </c>
      <c r="G206" s="168" t="n">
        <f aca="false">'VOL DWNLD'!G206+'VOL DELTA'!G206</f>
        <v>1</v>
      </c>
      <c r="H206" s="168" t="n">
        <f aca="false">'VOL DWNLD'!H206+'VOL DELTA'!H206</f>
        <v>1</v>
      </c>
      <c r="I206" s="168" t="n">
        <f aca="false">'VOL DWNLD'!I206+'VOL DELTA'!I206</f>
        <v>1</v>
      </c>
      <c r="J206" s="168" t="n">
        <f aca="false">'VOL DWNLD'!J206+'VOL DELTA'!J206</f>
        <v>1</v>
      </c>
      <c r="K206" s="168" t="n">
        <f aca="false">'VOL DWNLD'!K206+'VOL DELTA'!K206</f>
        <v>1</v>
      </c>
      <c r="L206" s="168" t="n">
        <f aca="false">'VOL DWNLD'!L206+'VOL DELTA'!L206</f>
        <v>1</v>
      </c>
      <c r="M206" s="168" t="n">
        <f aca="false">'VOL DWNLD'!M206+'VOL DELTA'!M206</f>
        <v>1</v>
      </c>
      <c r="N206" s="168" t="n">
        <f aca="false">'VOL DWNLD'!N206+'VOL DELTA'!N206</f>
        <v>1</v>
      </c>
      <c r="O206" s="168" t="n">
        <f aca="false">'VOL DWNLD'!O206+'VOL DELTA'!O206</f>
        <v>1</v>
      </c>
      <c r="P206" s="168" t="n">
        <f aca="false">'VOL DWNLD'!P206+'VOL DELTA'!P206</f>
        <v>1.03</v>
      </c>
      <c r="Q206" s="168" t="n">
        <f aca="false">'VOL DWNLD'!Q206+'VOL DELTA'!Q206</f>
        <v>1</v>
      </c>
      <c r="R206" s="168" t="n">
        <f aca="false">'VOL DWNLD'!R206+'VOL DELTA'!R206</f>
        <v>1</v>
      </c>
      <c r="S206" s="168" t="n">
        <f aca="false">'VOL DWNLD'!S206+'VOL DELTA'!S206</f>
        <v>1.02</v>
      </c>
      <c r="T206" s="168" t="n">
        <f aca="false">'VOL DWNLD'!T206+'VOL DELTA'!T206</f>
        <v>1</v>
      </c>
      <c r="U206" s="168" t="n">
        <f aca="false">'VOL DWNLD'!U206+'VOL DELTA'!U206</f>
        <v>1</v>
      </c>
      <c r="V206" s="168" t="n">
        <f aca="false">'VOL DWNLD'!V206+'VOL DELTA'!V206</f>
        <v>1</v>
      </c>
      <c r="W206" s="168" t="n">
        <f aca="false">'VOL DWNLD'!W206+'VOL DELTA'!W206</f>
        <v>1</v>
      </c>
      <c r="X206" s="168" t="n">
        <f aca="false">'VOL DWNLD'!X206+'VOL DELTA'!X206</f>
        <v>1</v>
      </c>
      <c r="Y206" s="168" t="n">
        <f aca="false">'VOL DWNLD'!Y206+'VOL DELTA'!Y206</f>
        <v>1.02</v>
      </c>
      <c r="Z206" s="168" t="n">
        <f aca="false">'VOL DWNLD'!Z206+'VOL DELTA'!Z206</f>
        <v>1</v>
      </c>
      <c r="AA206" s="168" t="n">
        <f aca="false">'VOL DWNLD'!AA206+'VOL DELTA'!AA206</f>
        <v>1</v>
      </c>
      <c r="AB206" s="168" t="n">
        <f aca="false">'VOL DWNLD'!AB206+'VOL DELTA'!AB206</f>
        <v>1</v>
      </c>
      <c r="AC206" s="168" t="n">
        <f aca="false">'VOL DWNLD'!AC206+'VOL DELTA'!AC206</f>
        <v>1</v>
      </c>
      <c r="AD206" s="168" t="n">
        <f aca="false">'VOL DWNLD'!AD206+'VOL DELTA'!AD206</f>
        <v>0.98</v>
      </c>
      <c r="AE206" s="168" t="n">
        <f aca="false">'VOL DWNLD'!AE206+'VOL DELTA'!AE206</f>
        <v>0.98</v>
      </c>
      <c r="AF206" s="168" t="n">
        <f aca="false">'VOL DWNLD'!AF206+'VOL DELTA'!AF206</f>
        <v>0.98</v>
      </c>
      <c r="AG206" s="168" t="n">
        <f aca="false">'VOL DWNLD'!AG206+'VOL DELTA'!AG206</f>
        <v>0.98</v>
      </c>
      <c r="AH206" s="168" t="n">
        <f aca="false">'VOL DWNLD'!AH206+'VOL DELTA'!AH206</f>
        <v>1.05</v>
      </c>
      <c r="AI206" s="168" t="n">
        <f aca="false">'VOL DWNLD'!AI206+'VOL DELTA'!AI206</f>
        <v>1</v>
      </c>
      <c r="AJ206" s="168" t="n">
        <f aca="false">'VOL DWNLD'!AJ206+'VOL DELTA'!AJ206</f>
        <v>1</v>
      </c>
      <c r="AK206" s="168" t="n">
        <f aca="false">'VOL DWNLD'!AK206+'VOL DELTA'!AK206</f>
        <v>1.02</v>
      </c>
      <c r="AL206" s="168" t="n">
        <f aca="false">'VOL DWNLD'!AL206+'VOL DELTA'!AL206</f>
        <v>1</v>
      </c>
      <c r="AM206" s="168" t="n">
        <f aca="false">'VOL DWNLD'!AM206+'VOL DELTA'!AM206</f>
        <v>1</v>
      </c>
      <c r="AN206" s="168" t="n">
        <f aca="false">'VOL DWNLD'!AN206+'VOL DELTA'!AN206</f>
        <v>1</v>
      </c>
      <c r="AO206" s="168" t="n">
        <f aca="false">'VOL DWNLD'!AO206+'VOL DELTA'!AO206</f>
        <v>1</v>
      </c>
    </row>
    <row r="207" customFormat="false" ht="12.75" hidden="false" customHeight="false" outlineLevel="0" collapsed="false">
      <c r="A207" s="167" t="n">
        <v>42979</v>
      </c>
      <c r="B207" s="168" t="n">
        <f aca="false">'VOL DWNLD'!B207+'VOL DELTA'!B207</f>
        <v>1</v>
      </c>
      <c r="C207" s="168" t="n">
        <f aca="false">'VOL DWNLD'!C207+'VOL DELTA'!C207</f>
        <v>1</v>
      </c>
      <c r="D207" s="168" t="n">
        <f aca="false">'VOL DWNLD'!D207+'VOL DELTA'!D207</f>
        <v>1</v>
      </c>
      <c r="E207" s="168" t="n">
        <f aca="false">'VOL DWNLD'!E207+'VOL DELTA'!E207</f>
        <v>1</v>
      </c>
      <c r="F207" s="168" t="n">
        <f aca="false">'VOL DWNLD'!F207+'VOL DELTA'!F207</f>
        <v>1</v>
      </c>
      <c r="G207" s="168" t="n">
        <f aca="false">'VOL DWNLD'!G207+'VOL DELTA'!G207</f>
        <v>1</v>
      </c>
      <c r="H207" s="168" t="n">
        <f aca="false">'VOL DWNLD'!H207+'VOL DELTA'!H207</f>
        <v>1</v>
      </c>
      <c r="I207" s="168" t="n">
        <f aca="false">'VOL DWNLD'!I207+'VOL DELTA'!I207</f>
        <v>1</v>
      </c>
      <c r="J207" s="168" t="n">
        <f aca="false">'VOL DWNLD'!J207+'VOL DELTA'!J207</f>
        <v>1</v>
      </c>
      <c r="K207" s="168" t="n">
        <f aca="false">'VOL DWNLD'!K207+'VOL DELTA'!K207</f>
        <v>1</v>
      </c>
      <c r="L207" s="168" t="n">
        <f aca="false">'VOL DWNLD'!L207+'VOL DELTA'!L207</f>
        <v>1</v>
      </c>
      <c r="M207" s="168" t="n">
        <f aca="false">'VOL DWNLD'!M207+'VOL DELTA'!M207</f>
        <v>1</v>
      </c>
      <c r="N207" s="168" t="n">
        <f aca="false">'VOL DWNLD'!N207+'VOL DELTA'!N207</f>
        <v>1</v>
      </c>
      <c r="O207" s="168" t="n">
        <f aca="false">'VOL DWNLD'!O207+'VOL DELTA'!O207</f>
        <v>1</v>
      </c>
      <c r="P207" s="168" t="n">
        <f aca="false">'VOL DWNLD'!P207+'VOL DELTA'!P207</f>
        <v>1.03</v>
      </c>
      <c r="Q207" s="168" t="n">
        <f aca="false">'VOL DWNLD'!Q207+'VOL DELTA'!Q207</f>
        <v>1</v>
      </c>
      <c r="R207" s="168" t="n">
        <f aca="false">'VOL DWNLD'!R207+'VOL DELTA'!R207</f>
        <v>1</v>
      </c>
      <c r="S207" s="168" t="n">
        <f aca="false">'VOL DWNLD'!S207+'VOL DELTA'!S207</f>
        <v>1.02</v>
      </c>
      <c r="T207" s="168" t="n">
        <f aca="false">'VOL DWNLD'!T207+'VOL DELTA'!T207</f>
        <v>1</v>
      </c>
      <c r="U207" s="168" t="n">
        <f aca="false">'VOL DWNLD'!U207+'VOL DELTA'!U207</f>
        <v>1</v>
      </c>
      <c r="V207" s="168" t="n">
        <f aca="false">'VOL DWNLD'!V207+'VOL DELTA'!V207</f>
        <v>1</v>
      </c>
      <c r="W207" s="168" t="n">
        <f aca="false">'VOL DWNLD'!W207+'VOL DELTA'!W207</f>
        <v>1</v>
      </c>
      <c r="X207" s="168" t="n">
        <f aca="false">'VOL DWNLD'!X207+'VOL DELTA'!X207</f>
        <v>1</v>
      </c>
      <c r="Y207" s="168" t="n">
        <f aca="false">'VOL DWNLD'!Y207+'VOL DELTA'!Y207</f>
        <v>1.02</v>
      </c>
      <c r="Z207" s="168" t="n">
        <f aca="false">'VOL DWNLD'!Z207+'VOL DELTA'!Z207</f>
        <v>1</v>
      </c>
      <c r="AA207" s="168" t="n">
        <f aca="false">'VOL DWNLD'!AA207+'VOL DELTA'!AA207</f>
        <v>1</v>
      </c>
      <c r="AB207" s="168" t="n">
        <f aca="false">'VOL DWNLD'!AB207+'VOL DELTA'!AB207</f>
        <v>1</v>
      </c>
      <c r="AC207" s="168" t="n">
        <f aca="false">'VOL DWNLD'!AC207+'VOL DELTA'!AC207</f>
        <v>1</v>
      </c>
      <c r="AD207" s="168" t="n">
        <f aca="false">'VOL DWNLD'!AD207+'VOL DELTA'!AD207</f>
        <v>0.98</v>
      </c>
      <c r="AE207" s="168" t="n">
        <f aca="false">'VOL DWNLD'!AE207+'VOL DELTA'!AE207</f>
        <v>0.98</v>
      </c>
      <c r="AF207" s="168" t="n">
        <f aca="false">'VOL DWNLD'!AF207+'VOL DELTA'!AF207</f>
        <v>0.98</v>
      </c>
      <c r="AG207" s="168" t="n">
        <f aca="false">'VOL DWNLD'!AG207+'VOL DELTA'!AG207</f>
        <v>0.98</v>
      </c>
      <c r="AH207" s="168" t="n">
        <f aca="false">'VOL DWNLD'!AH207+'VOL DELTA'!AH207</f>
        <v>1.05</v>
      </c>
      <c r="AI207" s="168" t="n">
        <f aca="false">'VOL DWNLD'!AI207+'VOL DELTA'!AI207</f>
        <v>1</v>
      </c>
      <c r="AJ207" s="168" t="n">
        <f aca="false">'VOL DWNLD'!AJ207+'VOL DELTA'!AJ207</f>
        <v>1</v>
      </c>
      <c r="AK207" s="168" t="n">
        <f aca="false">'VOL DWNLD'!AK207+'VOL DELTA'!AK207</f>
        <v>1.02</v>
      </c>
      <c r="AL207" s="168" t="n">
        <f aca="false">'VOL DWNLD'!AL207+'VOL DELTA'!AL207</f>
        <v>1</v>
      </c>
      <c r="AM207" s="168" t="n">
        <f aca="false">'VOL DWNLD'!AM207+'VOL DELTA'!AM207</f>
        <v>1</v>
      </c>
      <c r="AN207" s="168" t="n">
        <f aca="false">'VOL DWNLD'!AN207+'VOL DELTA'!AN207</f>
        <v>1</v>
      </c>
      <c r="AO207" s="168" t="n">
        <f aca="false">'VOL DWNLD'!AO207+'VOL DELTA'!AO207</f>
        <v>1</v>
      </c>
    </row>
    <row r="208" customFormat="false" ht="12.75" hidden="false" customHeight="false" outlineLevel="0" collapsed="false">
      <c r="A208" s="167" t="n">
        <v>43009</v>
      </c>
      <c r="B208" s="168" t="n">
        <f aca="false">'VOL DWNLD'!B208+'VOL DELTA'!B208</f>
        <v>1</v>
      </c>
      <c r="C208" s="168" t="n">
        <f aca="false">'VOL DWNLD'!C208+'VOL DELTA'!C208</f>
        <v>1</v>
      </c>
      <c r="D208" s="168" t="n">
        <f aca="false">'VOL DWNLD'!D208+'VOL DELTA'!D208</f>
        <v>1</v>
      </c>
      <c r="E208" s="168" t="n">
        <f aca="false">'VOL DWNLD'!E208+'VOL DELTA'!E208</f>
        <v>1</v>
      </c>
      <c r="F208" s="168" t="n">
        <f aca="false">'VOL DWNLD'!F208+'VOL DELTA'!F208</f>
        <v>1</v>
      </c>
      <c r="G208" s="168" t="n">
        <f aca="false">'VOL DWNLD'!G208+'VOL DELTA'!G208</f>
        <v>1</v>
      </c>
      <c r="H208" s="168" t="n">
        <f aca="false">'VOL DWNLD'!H208+'VOL DELTA'!H208</f>
        <v>1</v>
      </c>
      <c r="I208" s="168" t="n">
        <f aca="false">'VOL DWNLD'!I208+'VOL DELTA'!I208</f>
        <v>1</v>
      </c>
      <c r="J208" s="168" t="n">
        <f aca="false">'VOL DWNLD'!J208+'VOL DELTA'!J208</f>
        <v>1</v>
      </c>
      <c r="K208" s="168" t="n">
        <f aca="false">'VOL DWNLD'!K208+'VOL DELTA'!K208</f>
        <v>1</v>
      </c>
      <c r="L208" s="168" t="n">
        <f aca="false">'VOL DWNLD'!L208+'VOL DELTA'!L208</f>
        <v>1</v>
      </c>
      <c r="M208" s="168" t="n">
        <f aca="false">'VOL DWNLD'!M208+'VOL DELTA'!M208</f>
        <v>1</v>
      </c>
      <c r="N208" s="168" t="n">
        <f aca="false">'VOL DWNLD'!N208+'VOL DELTA'!N208</f>
        <v>1</v>
      </c>
      <c r="O208" s="168" t="n">
        <f aca="false">'VOL DWNLD'!O208+'VOL DELTA'!O208</f>
        <v>1</v>
      </c>
      <c r="P208" s="168" t="n">
        <f aca="false">'VOL DWNLD'!P208+'VOL DELTA'!P208</f>
        <v>1.03</v>
      </c>
      <c r="Q208" s="168" t="n">
        <f aca="false">'VOL DWNLD'!Q208+'VOL DELTA'!Q208</f>
        <v>1</v>
      </c>
      <c r="R208" s="168" t="n">
        <f aca="false">'VOL DWNLD'!R208+'VOL DELTA'!R208</f>
        <v>1</v>
      </c>
      <c r="S208" s="168" t="n">
        <f aca="false">'VOL DWNLD'!S208+'VOL DELTA'!S208</f>
        <v>1.02</v>
      </c>
      <c r="T208" s="168" t="n">
        <f aca="false">'VOL DWNLD'!T208+'VOL DELTA'!T208</f>
        <v>1</v>
      </c>
      <c r="U208" s="168" t="n">
        <f aca="false">'VOL DWNLD'!U208+'VOL DELTA'!U208</f>
        <v>1</v>
      </c>
      <c r="V208" s="168" t="n">
        <f aca="false">'VOL DWNLD'!V208+'VOL DELTA'!V208</f>
        <v>1</v>
      </c>
      <c r="W208" s="168" t="n">
        <f aca="false">'VOL DWNLD'!W208+'VOL DELTA'!W208</f>
        <v>1</v>
      </c>
      <c r="X208" s="168" t="n">
        <f aca="false">'VOL DWNLD'!X208+'VOL DELTA'!X208</f>
        <v>1</v>
      </c>
      <c r="Y208" s="168" t="n">
        <f aca="false">'VOL DWNLD'!Y208+'VOL DELTA'!Y208</f>
        <v>1.02</v>
      </c>
      <c r="Z208" s="168" t="n">
        <f aca="false">'VOL DWNLD'!Z208+'VOL DELTA'!Z208</f>
        <v>1</v>
      </c>
      <c r="AA208" s="168" t="n">
        <f aca="false">'VOL DWNLD'!AA208+'VOL DELTA'!AA208</f>
        <v>1</v>
      </c>
      <c r="AB208" s="168" t="n">
        <f aca="false">'VOL DWNLD'!AB208+'VOL DELTA'!AB208</f>
        <v>1</v>
      </c>
      <c r="AC208" s="168" t="n">
        <f aca="false">'VOL DWNLD'!AC208+'VOL DELTA'!AC208</f>
        <v>1</v>
      </c>
      <c r="AD208" s="168" t="n">
        <f aca="false">'VOL DWNLD'!AD208+'VOL DELTA'!AD208</f>
        <v>0.98</v>
      </c>
      <c r="AE208" s="168" t="n">
        <f aca="false">'VOL DWNLD'!AE208+'VOL DELTA'!AE208</f>
        <v>0.98</v>
      </c>
      <c r="AF208" s="168" t="n">
        <f aca="false">'VOL DWNLD'!AF208+'VOL DELTA'!AF208</f>
        <v>0.98</v>
      </c>
      <c r="AG208" s="168" t="n">
        <f aca="false">'VOL DWNLD'!AG208+'VOL DELTA'!AG208</f>
        <v>0.98</v>
      </c>
      <c r="AH208" s="168" t="n">
        <f aca="false">'VOL DWNLD'!AH208+'VOL DELTA'!AH208</f>
        <v>1.05</v>
      </c>
      <c r="AI208" s="168" t="n">
        <f aca="false">'VOL DWNLD'!AI208+'VOL DELTA'!AI208</f>
        <v>1</v>
      </c>
      <c r="AJ208" s="168" t="n">
        <f aca="false">'VOL DWNLD'!AJ208+'VOL DELTA'!AJ208</f>
        <v>1</v>
      </c>
      <c r="AK208" s="168" t="n">
        <f aca="false">'VOL DWNLD'!AK208+'VOL DELTA'!AK208</f>
        <v>1.02</v>
      </c>
      <c r="AL208" s="168" t="n">
        <f aca="false">'VOL DWNLD'!AL208+'VOL DELTA'!AL208</f>
        <v>1</v>
      </c>
      <c r="AM208" s="168" t="n">
        <f aca="false">'VOL DWNLD'!AM208+'VOL DELTA'!AM208</f>
        <v>1</v>
      </c>
      <c r="AN208" s="168" t="n">
        <f aca="false">'VOL DWNLD'!AN208+'VOL DELTA'!AN208</f>
        <v>1</v>
      </c>
      <c r="AO208" s="168" t="n">
        <f aca="false">'VOL DWNLD'!AO208+'VOL DELTA'!AO208</f>
        <v>1</v>
      </c>
    </row>
    <row r="209" customFormat="false" ht="12.75" hidden="false" customHeight="false" outlineLevel="0" collapsed="false">
      <c r="A209" s="167" t="n">
        <v>43040</v>
      </c>
      <c r="B209" s="168" t="n">
        <f aca="false">'VOL DWNLD'!B209+'VOL DELTA'!B209</f>
        <v>1</v>
      </c>
      <c r="C209" s="168" t="n">
        <f aca="false">'VOL DWNLD'!C209+'VOL DELTA'!C209</f>
        <v>1</v>
      </c>
      <c r="D209" s="168" t="n">
        <f aca="false">'VOL DWNLD'!D209+'VOL DELTA'!D209</f>
        <v>1</v>
      </c>
      <c r="E209" s="168" t="n">
        <f aca="false">'VOL DWNLD'!E209+'VOL DELTA'!E209</f>
        <v>1</v>
      </c>
      <c r="F209" s="168" t="n">
        <f aca="false">'VOL DWNLD'!F209+'VOL DELTA'!F209</f>
        <v>1</v>
      </c>
      <c r="G209" s="168" t="n">
        <f aca="false">'VOL DWNLD'!G209+'VOL DELTA'!G209</f>
        <v>1</v>
      </c>
      <c r="H209" s="168" t="n">
        <f aca="false">'VOL DWNLD'!H209+'VOL DELTA'!H209</f>
        <v>1</v>
      </c>
      <c r="I209" s="168" t="n">
        <f aca="false">'VOL DWNLD'!I209+'VOL DELTA'!I209</f>
        <v>1</v>
      </c>
      <c r="J209" s="168" t="n">
        <f aca="false">'VOL DWNLD'!J209+'VOL DELTA'!J209</f>
        <v>1</v>
      </c>
      <c r="K209" s="168" t="n">
        <f aca="false">'VOL DWNLD'!K209+'VOL DELTA'!K209</f>
        <v>1</v>
      </c>
      <c r="L209" s="168" t="n">
        <f aca="false">'VOL DWNLD'!L209+'VOL DELTA'!L209</f>
        <v>1</v>
      </c>
      <c r="M209" s="168" t="n">
        <f aca="false">'VOL DWNLD'!M209+'VOL DELTA'!M209</f>
        <v>1</v>
      </c>
      <c r="N209" s="168" t="n">
        <f aca="false">'VOL DWNLD'!N209+'VOL DELTA'!N209</f>
        <v>1</v>
      </c>
      <c r="O209" s="168" t="n">
        <f aca="false">'VOL DWNLD'!O209+'VOL DELTA'!O209</f>
        <v>1</v>
      </c>
      <c r="P209" s="168" t="n">
        <f aca="false">'VOL DWNLD'!P209+'VOL DELTA'!P209</f>
        <v>1.03</v>
      </c>
      <c r="Q209" s="168" t="n">
        <f aca="false">'VOL DWNLD'!Q209+'VOL DELTA'!Q209</f>
        <v>1</v>
      </c>
      <c r="R209" s="168" t="n">
        <f aca="false">'VOL DWNLD'!R209+'VOL DELTA'!R209</f>
        <v>1</v>
      </c>
      <c r="S209" s="168" t="n">
        <f aca="false">'VOL DWNLD'!S209+'VOL DELTA'!S209</f>
        <v>1.02</v>
      </c>
      <c r="T209" s="168" t="n">
        <f aca="false">'VOL DWNLD'!T209+'VOL DELTA'!T209</f>
        <v>1</v>
      </c>
      <c r="U209" s="168" t="n">
        <f aca="false">'VOL DWNLD'!U209+'VOL DELTA'!U209</f>
        <v>1</v>
      </c>
      <c r="V209" s="168" t="n">
        <f aca="false">'VOL DWNLD'!V209+'VOL DELTA'!V209</f>
        <v>1</v>
      </c>
      <c r="W209" s="168" t="n">
        <f aca="false">'VOL DWNLD'!W209+'VOL DELTA'!W209</f>
        <v>1</v>
      </c>
      <c r="X209" s="168" t="n">
        <f aca="false">'VOL DWNLD'!X209+'VOL DELTA'!X209</f>
        <v>1</v>
      </c>
      <c r="Y209" s="168" t="n">
        <f aca="false">'VOL DWNLD'!Y209+'VOL DELTA'!Y209</f>
        <v>1</v>
      </c>
      <c r="Z209" s="168" t="n">
        <f aca="false">'VOL DWNLD'!Z209+'VOL DELTA'!Z209</f>
        <v>1</v>
      </c>
      <c r="AA209" s="168" t="n">
        <f aca="false">'VOL DWNLD'!AA209+'VOL DELTA'!AA209</f>
        <v>1</v>
      </c>
      <c r="AB209" s="168" t="n">
        <f aca="false">'VOL DWNLD'!AB209+'VOL DELTA'!AB209</f>
        <v>1</v>
      </c>
      <c r="AC209" s="168" t="n">
        <f aca="false">'VOL DWNLD'!AC209+'VOL DELTA'!AC209</f>
        <v>1</v>
      </c>
      <c r="AD209" s="168" t="n">
        <f aca="false">'VOL DWNLD'!AD209+'VOL DELTA'!AD209</f>
        <v>1</v>
      </c>
      <c r="AE209" s="168" t="n">
        <f aca="false">'VOL DWNLD'!AE209+'VOL DELTA'!AE209</f>
        <v>1</v>
      </c>
      <c r="AF209" s="168" t="n">
        <f aca="false">'VOL DWNLD'!AF209+'VOL DELTA'!AF209</f>
        <v>1.1</v>
      </c>
      <c r="AG209" s="168" t="n">
        <f aca="false">'VOL DWNLD'!AG209+'VOL DELTA'!AG209</f>
        <v>1.1</v>
      </c>
      <c r="AH209" s="168" t="n">
        <f aca="false">'VOL DWNLD'!AH209+'VOL DELTA'!AH209</f>
        <v>1.05</v>
      </c>
      <c r="AI209" s="168" t="n">
        <f aca="false">'VOL DWNLD'!AI209+'VOL DELTA'!AI209</f>
        <v>1</v>
      </c>
      <c r="AJ209" s="168" t="n">
        <f aca="false">'VOL DWNLD'!AJ209+'VOL DELTA'!AJ209</f>
        <v>1</v>
      </c>
      <c r="AK209" s="168" t="n">
        <f aca="false">'VOL DWNLD'!AK209+'VOL DELTA'!AK209</f>
        <v>1.02</v>
      </c>
      <c r="AL209" s="168" t="n">
        <f aca="false">'VOL DWNLD'!AL209+'VOL DELTA'!AL209</f>
        <v>1</v>
      </c>
      <c r="AM209" s="168" t="n">
        <f aca="false">'VOL DWNLD'!AM209+'VOL DELTA'!AM209</f>
        <v>1</v>
      </c>
      <c r="AN209" s="168" t="n">
        <f aca="false">'VOL DWNLD'!AN209+'VOL DELTA'!AN209</f>
        <v>1</v>
      </c>
      <c r="AO209" s="168" t="n">
        <f aca="false">'VOL DWNLD'!AO209+'VOL DELTA'!AO209</f>
        <v>1</v>
      </c>
    </row>
    <row r="210" customFormat="false" ht="12.75" hidden="false" customHeight="false" outlineLevel="0" collapsed="false">
      <c r="A210" s="167" t="n">
        <v>43070</v>
      </c>
      <c r="B210" s="168" t="n">
        <f aca="false">'VOL DWNLD'!B210+'VOL DELTA'!B210</f>
        <v>1</v>
      </c>
      <c r="C210" s="168" t="n">
        <f aca="false">'VOL DWNLD'!C210+'VOL DELTA'!C210</f>
        <v>1</v>
      </c>
      <c r="D210" s="168" t="n">
        <f aca="false">'VOL DWNLD'!D210+'VOL DELTA'!D210</f>
        <v>1</v>
      </c>
      <c r="E210" s="168" t="n">
        <f aca="false">'VOL DWNLD'!E210+'VOL DELTA'!E210</f>
        <v>1</v>
      </c>
      <c r="F210" s="168" t="n">
        <f aca="false">'VOL DWNLD'!F210+'VOL DELTA'!F210</f>
        <v>1</v>
      </c>
      <c r="G210" s="168" t="n">
        <f aca="false">'VOL DWNLD'!G210+'VOL DELTA'!G210</f>
        <v>1</v>
      </c>
      <c r="H210" s="168" t="n">
        <f aca="false">'VOL DWNLD'!H210+'VOL DELTA'!H210</f>
        <v>1</v>
      </c>
      <c r="I210" s="168" t="n">
        <f aca="false">'VOL DWNLD'!I210+'VOL DELTA'!I210</f>
        <v>1</v>
      </c>
      <c r="J210" s="168" t="n">
        <f aca="false">'VOL DWNLD'!J210+'VOL DELTA'!J210</f>
        <v>1</v>
      </c>
      <c r="K210" s="168" t="n">
        <f aca="false">'VOL DWNLD'!K210+'VOL DELTA'!K210</f>
        <v>1</v>
      </c>
      <c r="L210" s="168" t="n">
        <f aca="false">'VOL DWNLD'!L210+'VOL DELTA'!L210</f>
        <v>1</v>
      </c>
      <c r="M210" s="168" t="n">
        <f aca="false">'VOL DWNLD'!M210+'VOL DELTA'!M210</f>
        <v>1</v>
      </c>
      <c r="N210" s="168" t="n">
        <f aca="false">'VOL DWNLD'!N210+'VOL DELTA'!N210</f>
        <v>1</v>
      </c>
      <c r="O210" s="168" t="n">
        <f aca="false">'VOL DWNLD'!O210+'VOL DELTA'!O210</f>
        <v>1</v>
      </c>
      <c r="P210" s="168" t="n">
        <f aca="false">'VOL DWNLD'!P210+'VOL DELTA'!P210</f>
        <v>1.03</v>
      </c>
      <c r="Q210" s="168" t="n">
        <f aca="false">'VOL DWNLD'!Q210+'VOL DELTA'!Q210</f>
        <v>1</v>
      </c>
      <c r="R210" s="168" t="n">
        <f aca="false">'VOL DWNLD'!R210+'VOL DELTA'!R210</f>
        <v>1</v>
      </c>
      <c r="S210" s="168" t="n">
        <f aca="false">'VOL DWNLD'!S210+'VOL DELTA'!S210</f>
        <v>1.02</v>
      </c>
      <c r="T210" s="168" t="n">
        <f aca="false">'VOL DWNLD'!T210+'VOL DELTA'!T210</f>
        <v>1</v>
      </c>
      <c r="U210" s="168" t="n">
        <f aca="false">'VOL DWNLD'!U210+'VOL DELTA'!U210</f>
        <v>1</v>
      </c>
      <c r="V210" s="168" t="n">
        <f aca="false">'VOL DWNLD'!V210+'VOL DELTA'!V210</f>
        <v>1</v>
      </c>
      <c r="W210" s="168" t="n">
        <f aca="false">'VOL DWNLD'!W210+'VOL DELTA'!W210</f>
        <v>1</v>
      </c>
      <c r="X210" s="168" t="n">
        <f aca="false">'VOL DWNLD'!X210+'VOL DELTA'!X210</f>
        <v>1</v>
      </c>
      <c r="Y210" s="168" t="n">
        <f aca="false">'VOL DWNLD'!Y210+'VOL DELTA'!Y210</f>
        <v>1</v>
      </c>
      <c r="Z210" s="168" t="n">
        <f aca="false">'VOL DWNLD'!Z210+'VOL DELTA'!Z210</f>
        <v>1</v>
      </c>
      <c r="AA210" s="168" t="n">
        <f aca="false">'VOL DWNLD'!AA210+'VOL DELTA'!AA210</f>
        <v>1</v>
      </c>
      <c r="AB210" s="168" t="n">
        <f aca="false">'VOL DWNLD'!AB210+'VOL DELTA'!AB210</f>
        <v>1</v>
      </c>
      <c r="AC210" s="168" t="n">
        <f aca="false">'VOL DWNLD'!AC210+'VOL DELTA'!AC210</f>
        <v>1</v>
      </c>
      <c r="AD210" s="168" t="n">
        <f aca="false">'VOL DWNLD'!AD210+'VOL DELTA'!AD210</f>
        <v>1</v>
      </c>
      <c r="AE210" s="168" t="n">
        <f aca="false">'VOL DWNLD'!AE210+'VOL DELTA'!AE210</f>
        <v>1</v>
      </c>
      <c r="AF210" s="168" t="n">
        <f aca="false">'VOL DWNLD'!AF210+'VOL DELTA'!AF210</f>
        <v>1.1</v>
      </c>
      <c r="AG210" s="168" t="n">
        <f aca="false">'VOL DWNLD'!AG210+'VOL DELTA'!AG210</f>
        <v>1.1</v>
      </c>
      <c r="AH210" s="168" t="n">
        <f aca="false">'VOL DWNLD'!AH210+'VOL DELTA'!AH210</f>
        <v>1.05</v>
      </c>
      <c r="AI210" s="168" t="n">
        <f aca="false">'VOL DWNLD'!AI210+'VOL DELTA'!AI210</f>
        <v>1</v>
      </c>
      <c r="AJ210" s="168" t="n">
        <f aca="false">'VOL DWNLD'!AJ210+'VOL DELTA'!AJ210</f>
        <v>1</v>
      </c>
      <c r="AK210" s="168" t="n">
        <f aca="false">'VOL DWNLD'!AK210+'VOL DELTA'!AK210</f>
        <v>1.02</v>
      </c>
      <c r="AL210" s="168" t="n">
        <f aca="false">'VOL DWNLD'!AL210+'VOL DELTA'!AL210</f>
        <v>1</v>
      </c>
      <c r="AM210" s="168" t="n">
        <f aca="false">'VOL DWNLD'!AM210+'VOL DELTA'!AM210</f>
        <v>1</v>
      </c>
      <c r="AN210" s="168" t="n">
        <f aca="false">'VOL DWNLD'!AN210+'VOL DELTA'!AN210</f>
        <v>1</v>
      </c>
      <c r="AO210" s="168" t="n">
        <f aca="false">'VOL DWNLD'!AO210+'VOL DELTA'!AO210</f>
        <v>1</v>
      </c>
    </row>
    <row r="211" customFormat="false" ht="12.75" hidden="false" customHeight="false" outlineLevel="0" collapsed="false">
      <c r="B211" s="168" t="n">
        <f aca="false">'VOL DWNLD'!B211+'VOL DELTA'!B211</f>
        <v>1</v>
      </c>
      <c r="C211" s="168" t="n">
        <f aca="false">'VOL DWNLD'!C211+'VOL DELTA'!C211</f>
        <v>1</v>
      </c>
      <c r="D211" s="168" t="n">
        <f aca="false">'VOL DWNLD'!D211+'VOL DELTA'!D211</f>
        <v>1</v>
      </c>
      <c r="E211" s="168" t="n">
        <f aca="false">'VOL DWNLD'!E211+'VOL DELTA'!E211</f>
        <v>1</v>
      </c>
      <c r="F211" s="168" t="n">
        <f aca="false">'VOL DWNLD'!F211+'VOL DELTA'!F211</f>
        <v>1</v>
      </c>
      <c r="G211" s="168" t="n">
        <f aca="false">'VOL DWNLD'!G211+'VOL DELTA'!G211</f>
        <v>1</v>
      </c>
      <c r="H211" s="168" t="n">
        <f aca="false">'VOL DWNLD'!H211+'VOL DELTA'!H211</f>
        <v>1</v>
      </c>
      <c r="I211" s="168" t="n">
        <f aca="false">'VOL DWNLD'!I211+'VOL DELTA'!I211</f>
        <v>1</v>
      </c>
      <c r="J211" s="168" t="n">
        <f aca="false">'VOL DWNLD'!J211+'VOL DELTA'!J211</f>
        <v>1</v>
      </c>
      <c r="K211" s="168" t="n">
        <f aca="false">'VOL DWNLD'!K211+'VOL DELTA'!K211</f>
        <v>1</v>
      </c>
      <c r="L211" s="168" t="n">
        <f aca="false">'VOL DWNLD'!L211+'VOL DELTA'!L211</f>
        <v>1</v>
      </c>
      <c r="M211" s="168" t="n">
        <f aca="false">'VOL DWNLD'!M211+'VOL DELTA'!M211</f>
        <v>1</v>
      </c>
      <c r="N211" s="168" t="n">
        <f aca="false">'VOL DWNLD'!N211+'VOL DELTA'!N211</f>
        <v>1</v>
      </c>
      <c r="O211" s="168" t="n">
        <f aca="false">'VOL DWNLD'!O211+'VOL DELTA'!O211</f>
        <v>1</v>
      </c>
      <c r="P211" s="168" t="n">
        <f aca="false">'VOL DWNLD'!P211+'VOL DELTA'!P211</f>
        <v>1.03</v>
      </c>
      <c r="Q211" s="168" t="n">
        <f aca="false">'VOL DWNLD'!Q211+'VOL DELTA'!Q211</f>
        <v>1</v>
      </c>
      <c r="R211" s="168" t="n">
        <f aca="false">'VOL DWNLD'!R211+'VOL DELTA'!R211</f>
        <v>1</v>
      </c>
      <c r="S211" s="168" t="n">
        <f aca="false">'VOL DWNLD'!S211+'VOL DELTA'!S211</f>
        <v>1.02</v>
      </c>
      <c r="T211" s="168" t="n">
        <f aca="false">'VOL DWNLD'!T211+'VOL DELTA'!T211</f>
        <v>1</v>
      </c>
      <c r="U211" s="168" t="n">
        <f aca="false">'VOL DWNLD'!U211+'VOL DELTA'!U211</f>
        <v>1</v>
      </c>
      <c r="V211" s="168" t="n">
        <f aca="false">'VOL DWNLD'!V211+'VOL DELTA'!V211</f>
        <v>1</v>
      </c>
      <c r="W211" s="168" t="n">
        <f aca="false">'VOL DWNLD'!W211+'VOL DELTA'!W211</f>
        <v>1</v>
      </c>
      <c r="X211" s="168" t="n">
        <f aca="false">'VOL DWNLD'!X211+'VOL DELTA'!X211</f>
        <v>1</v>
      </c>
      <c r="Y211" s="168" t="n">
        <f aca="false">'VOL DWNLD'!Y211+'VOL DELTA'!Y211</f>
        <v>1</v>
      </c>
      <c r="Z211" s="168" t="n">
        <f aca="false">'VOL DWNLD'!Z211+'VOL DELTA'!Z211</f>
        <v>1</v>
      </c>
      <c r="AA211" s="168" t="n">
        <f aca="false">'VOL DWNLD'!AA211+'VOL DELTA'!AA211</f>
        <v>1</v>
      </c>
      <c r="AB211" s="168" t="n">
        <f aca="false">'VOL DWNLD'!AB211+'VOL DELTA'!AB211</f>
        <v>1</v>
      </c>
      <c r="AC211" s="168" t="n">
        <f aca="false">'VOL DWNLD'!AC211+'VOL DELTA'!AC211</f>
        <v>1</v>
      </c>
      <c r="AD211" s="168" t="n">
        <f aca="false">'VOL DWNLD'!AD211+'VOL DELTA'!AD211</f>
        <v>1</v>
      </c>
      <c r="AE211" s="168" t="n">
        <f aca="false">'VOL DWNLD'!AE211+'VOL DELTA'!AE211</f>
        <v>1</v>
      </c>
      <c r="AF211" s="168" t="n">
        <f aca="false">'VOL DWNLD'!AF211+'VOL DELTA'!AF211</f>
        <v>1.1</v>
      </c>
      <c r="AG211" s="168" t="n">
        <f aca="false">'VOL DWNLD'!AG211+'VOL DELTA'!AG211</f>
        <v>1.1</v>
      </c>
      <c r="AH211" s="168" t="n">
        <f aca="false">'VOL DWNLD'!AH211+'VOL DELTA'!AH211</f>
        <v>1.05</v>
      </c>
      <c r="AI211" s="168" t="n">
        <f aca="false">'VOL DWNLD'!AI211+'VOL DELTA'!AI211</f>
        <v>1</v>
      </c>
      <c r="AJ211" s="168" t="n">
        <f aca="false">'VOL DWNLD'!AJ211+'VOL DELTA'!AJ211</f>
        <v>1</v>
      </c>
      <c r="AK211" s="168" t="n">
        <f aca="false">'VOL DWNLD'!AK211+'VOL DELTA'!AK211</f>
        <v>1.02</v>
      </c>
      <c r="AL211" s="168" t="n">
        <f aca="false">'VOL DWNLD'!AL211+'VOL DELTA'!AL211</f>
        <v>1</v>
      </c>
      <c r="AM211" s="168" t="n">
        <f aca="false">'VOL DWNLD'!AM211+'VOL DELTA'!AM211</f>
        <v>1</v>
      </c>
      <c r="AN211" s="168" t="n">
        <f aca="false">'VOL DWNLD'!AN211+'VOL DELTA'!AN211</f>
        <v>1</v>
      </c>
      <c r="AO211" s="168" t="n">
        <f aca="false">'VOL DWNLD'!AO211+'VOL DELTA'!AO211</f>
        <v>1</v>
      </c>
    </row>
    <row r="212" customFormat="false" ht="12.75" hidden="false" customHeight="false" outlineLevel="0" collapsed="false">
      <c r="B212" s="168" t="n">
        <f aca="false">'VOL DWNLD'!B212+'VOL DELTA'!B212</f>
        <v>1</v>
      </c>
      <c r="C212" s="168" t="n">
        <f aca="false">'VOL DWNLD'!C212+'VOL DELTA'!C212</f>
        <v>1</v>
      </c>
      <c r="D212" s="168" t="n">
        <f aca="false">'VOL DWNLD'!D212+'VOL DELTA'!D212</f>
        <v>1</v>
      </c>
      <c r="E212" s="168" t="n">
        <f aca="false">'VOL DWNLD'!E212+'VOL DELTA'!E212</f>
        <v>1</v>
      </c>
      <c r="F212" s="168" t="n">
        <f aca="false">'VOL DWNLD'!F212+'VOL DELTA'!F212</f>
        <v>1</v>
      </c>
      <c r="G212" s="168" t="n">
        <f aca="false">'VOL DWNLD'!G212+'VOL DELTA'!G212</f>
        <v>1</v>
      </c>
      <c r="H212" s="168" t="n">
        <f aca="false">'VOL DWNLD'!H212+'VOL DELTA'!H212</f>
        <v>1</v>
      </c>
      <c r="I212" s="168" t="n">
        <f aca="false">'VOL DWNLD'!I212+'VOL DELTA'!I212</f>
        <v>1</v>
      </c>
      <c r="J212" s="168" t="n">
        <f aca="false">'VOL DWNLD'!J212+'VOL DELTA'!J212</f>
        <v>1</v>
      </c>
      <c r="K212" s="168" t="n">
        <f aca="false">'VOL DWNLD'!K212+'VOL DELTA'!K212</f>
        <v>1</v>
      </c>
      <c r="L212" s="168" t="n">
        <f aca="false">'VOL DWNLD'!L212+'VOL DELTA'!L212</f>
        <v>1</v>
      </c>
      <c r="M212" s="168" t="n">
        <f aca="false">'VOL DWNLD'!M212+'VOL DELTA'!M212</f>
        <v>1</v>
      </c>
      <c r="N212" s="168" t="n">
        <f aca="false">'VOL DWNLD'!N212+'VOL DELTA'!N212</f>
        <v>1</v>
      </c>
      <c r="O212" s="168" t="n">
        <f aca="false">'VOL DWNLD'!O212+'VOL DELTA'!O212</f>
        <v>1</v>
      </c>
      <c r="P212" s="168" t="n">
        <f aca="false">'VOL DWNLD'!P212+'VOL DELTA'!P212</f>
        <v>1.03</v>
      </c>
      <c r="Q212" s="168" t="n">
        <f aca="false">'VOL DWNLD'!Q212+'VOL DELTA'!Q212</f>
        <v>1</v>
      </c>
      <c r="R212" s="168" t="n">
        <f aca="false">'VOL DWNLD'!R212+'VOL DELTA'!R212</f>
        <v>1</v>
      </c>
      <c r="S212" s="168" t="n">
        <f aca="false">'VOL DWNLD'!S212+'VOL DELTA'!S212</f>
        <v>1.02</v>
      </c>
      <c r="T212" s="168" t="n">
        <f aca="false">'VOL DWNLD'!T212+'VOL DELTA'!T212</f>
        <v>1</v>
      </c>
      <c r="U212" s="168" t="n">
        <f aca="false">'VOL DWNLD'!U212+'VOL DELTA'!U212</f>
        <v>1</v>
      </c>
      <c r="V212" s="168" t="n">
        <f aca="false">'VOL DWNLD'!V212+'VOL DELTA'!V212</f>
        <v>1</v>
      </c>
      <c r="W212" s="168" t="n">
        <f aca="false">'VOL DWNLD'!W212+'VOL DELTA'!W212</f>
        <v>1</v>
      </c>
      <c r="X212" s="168" t="n">
        <f aca="false">'VOL DWNLD'!X212+'VOL DELTA'!X212</f>
        <v>1</v>
      </c>
      <c r="Y212" s="168" t="n">
        <f aca="false">'VOL DWNLD'!Y212+'VOL DELTA'!Y212</f>
        <v>1</v>
      </c>
      <c r="Z212" s="168" t="n">
        <f aca="false">'VOL DWNLD'!Z212+'VOL DELTA'!Z212</f>
        <v>1</v>
      </c>
      <c r="AA212" s="168" t="n">
        <f aca="false">'VOL DWNLD'!AA212+'VOL DELTA'!AA212</f>
        <v>1</v>
      </c>
      <c r="AB212" s="168" t="n">
        <f aca="false">'VOL DWNLD'!AB212+'VOL DELTA'!AB212</f>
        <v>1</v>
      </c>
      <c r="AC212" s="168" t="n">
        <f aca="false">'VOL DWNLD'!AC212+'VOL DELTA'!AC212</f>
        <v>1</v>
      </c>
      <c r="AD212" s="168" t="n">
        <f aca="false">'VOL DWNLD'!AD212+'VOL DELTA'!AD212</f>
        <v>1</v>
      </c>
      <c r="AE212" s="168" t="n">
        <f aca="false">'VOL DWNLD'!AE212+'VOL DELTA'!AE212</f>
        <v>1</v>
      </c>
      <c r="AF212" s="168" t="n">
        <f aca="false">'VOL DWNLD'!AF212+'VOL DELTA'!AF212</f>
        <v>1.1</v>
      </c>
      <c r="AG212" s="168" t="n">
        <f aca="false">'VOL DWNLD'!AG212+'VOL DELTA'!AG212</f>
        <v>1.1</v>
      </c>
      <c r="AH212" s="168" t="n">
        <f aca="false">'VOL DWNLD'!AH212+'VOL DELTA'!AH212</f>
        <v>1.05</v>
      </c>
      <c r="AI212" s="168" t="n">
        <f aca="false">'VOL DWNLD'!AI212+'VOL DELTA'!AI212</f>
        <v>1</v>
      </c>
      <c r="AJ212" s="168" t="n">
        <f aca="false">'VOL DWNLD'!AJ212+'VOL DELTA'!AJ212</f>
        <v>1</v>
      </c>
      <c r="AK212" s="168" t="n">
        <f aca="false">'VOL DWNLD'!AK212+'VOL DELTA'!AK212</f>
        <v>1.02</v>
      </c>
      <c r="AL212" s="168" t="n">
        <f aca="false">'VOL DWNLD'!AL212+'VOL DELTA'!AL212</f>
        <v>1</v>
      </c>
      <c r="AM212" s="168" t="n">
        <f aca="false">'VOL DWNLD'!AM212+'VOL DELTA'!AM212</f>
        <v>1</v>
      </c>
      <c r="AN212" s="168" t="n">
        <f aca="false">'VOL DWNLD'!AN212+'VOL DELTA'!AN212</f>
        <v>1</v>
      </c>
      <c r="AO212" s="168" t="n">
        <f aca="false">'VOL DWNLD'!AO212+'VOL DELTA'!AO212</f>
        <v>1</v>
      </c>
    </row>
    <row r="213" customFormat="false" ht="12.75" hidden="false" customHeight="false" outlineLevel="0" collapsed="false">
      <c r="B213" s="168" t="n">
        <f aca="false">'VOL DWNLD'!B213+'VOL DELTA'!B213</f>
        <v>1</v>
      </c>
      <c r="C213" s="168" t="n">
        <f aca="false">'VOL DWNLD'!C213+'VOL DELTA'!C213</f>
        <v>1</v>
      </c>
      <c r="D213" s="168" t="n">
        <f aca="false">'VOL DWNLD'!D213+'VOL DELTA'!D213</f>
        <v>1</v>
      </c>
      <c r="E213" s="168" t="n">
        <f aca="false">'VOL DWNLD'!E213+'VOL DELTA'!E213</f>
        <v>1</v>
      </c>
      <c r="F213" s="168" t="n">
        <f aca="false">'VOL DWNLD'!F213+'VOL DELTA'!F213</f>
        <v>1</v>
      </c>
      <c r="G213" s="168" t="n">
        <f aca="false">'VOL DWNLD'!G213+'VOL DELTA'!G213</f>
        <v>1</v>
      </c>
      <c r="H213" s="168" t="n">
        <f aca="false">'VOL DWNLD'!H213+'VOL DELTA'!H213</f>
        <v>1</v>
      </c>
      <c r="I213" s="168" t="n">
        <f aca="false">'VOL DWNLD'!I213+'VOL DELTA'!I213</f>
        <v>1</v>
      </c>
      <c r="J213" s="168" t="n">
        <f aca="false">'VOL DWNLD'!J213+'VOL DELTA'!J213</f>
        <v>1</v>
      </c>
      <c r="K213" s="168" t="n">
        <f aca="false">'VOL DWNLD'!K213+'VOL DELTA'!K213</f>
        <v>1</v>
      </c>
      <c r="L213" s="168" t="n">
        <f aca="false">'VOL DWNLD'!L213+'VOL DELTA'!L213</f>
        <v>1</v>
      </c>
      <c r="M213" s="168" t="n">
        <f aca="false">'VOL DWNLD'!M213+'VOL DELTA'!M213</f>
        <v>1</v>
      </c>
      <c r="N213" s="168" t="n">
        <f aca="false">'VOL DWNLD'!N213+'VOL DELTA'!N213</f>
        <v>1</v>
      </c>
      <c r="O213" s="168" t="n">
        <f aca="false">'VOL DWNLD'!O213+'VOL DELTA'!O213</f>
        <v>1</v>
      </c>
      <c r="P213" s="168" t="n">
        <f aca="false">'VOL DWNLD'!P213+'VOL DELTA'!P213</f>
        <v>1.03</v>
      </c>
      <c r="Q213" s="168" t="n">
        <f aca="false">'VOL DWNLD'!Q213+'VOL DELTA'!Q213</f>
        <v>1</v>
      </c>
      <c r="R213" s="168" t="n">
        <f aca="false">'VOL DWNLD'!R213+'VOL DELTA'!R213</f>
        <v>1</v>
      </c>
      <c r="S213" s="168" t="n">
        <f aca="false">'VOL DWNLD'!S213+'VOL DELTA'!S213</f>
        <v>1.02</v>
      </c>
      <c r="T213" s="168" t="n">
        <f aca="false">'VOL DWNLD'!T213+'VOL DELTA'!T213</f>
        <v>1</v>
      </c>
      <c r="U213" s="168" t="n">
        <f aca="false">'VOL DWNLD'!U213+'VOL DELTA'!U213</f>
        <v>1</v>
      </c>
      <c r="V213" s="168" t="n">
        <f aca="false">'VOL DWNLD'!V213+'VOL DELTA'!V213</f>
        <v>1</v>
      </c>
      <c r="W213" s="168" t="n">
        <f aca="false">'VOL DWNLD'!W213+'VOL DELTA'!W213</f>
        <v>1</v>
      </c>
      <c r="X213" s="168" t="n">
        <f aca="false">'VOL DWNLD'!X213+'VOL DELTA'!X213</f>
        <v>1</v>
      </c>
      <c r="Y213" s="168" t="n">
        <f aca="false">'VOL DWNLD'!Y213+'VOL DELTA'!Y213</f>
        <v>1</v>
      </c>
      <c r="Z213" s="168" t="n">
        <f aca="false">'VOL DWNLD'!Z213+'VOL DELTA'!Z213</f>
        <v>1</v>
      </c>
      <c r="AA213" s="168" t="n">
        <f aca="false">'VOL DWNLD'!AA213+'VOL DELTA'!AA213</f>
        <v>1</v>
      </c>
      <c r="AB213" s="168" t="n">
        <f aca="false">'VOL DWNLD'!AB213+'VOL DELTA'!AB213</f>
        <v>1</v>
      </c>
      <c r="AC213" s="168" t="n">
        <f aca="false">'VOL DWNLD'!AC213+'VOL DELTA'!AC213</f>
        <v>1</v>
      </c>
      <c r="AD213" s="168" t="n">
        <f aca="false">'VOL DWNLD'!AD213+'VOL DELTA'!AD213</f>
        <v>1</v>
      </c>
      <c r="AE213" s="168" t="n">
        <f aca="false">'VOL DWNLD'!AE213+'VOL DELTA'!AE213</f>
        <v>1</v>
      </c>
      <c r="AF213" s="168" t="n">
        <f aca="false">'VOL DWNLD'!AF213+'VOL DELTA'!AF213</f>
        <v>1.1</v>
      </c>
      <c r="AG213" s="168" t="n">
        <f aca="false">'VOL DWNLD'!AG213+'VOL DELTA'!AG213</f>
        <v>1.1</v>
      </c>
      <c r="AH213" s="168" t="n">
        <f aca="false">'VOL DWNLD'!AH213+'VOL DELTA'!AH213</f>
        <v>1.05</v>
      </c>
      <c r="AI213" s="168" t="n">
        <f aca="false">'VOL DWNLD'!AI213+'VOL DELTA'!AI213</f>
        <v>1</v>
      </c>
      <c r="AJ213" s="168" t="n">
        <f aca="false">'VOL DWNLD'!AJ213+'VOL DELTA'!AJ213</f>
        <v>1</v>
      </c>
      <c r="AK213" s="168" t="n">
        <f aca="false">'VOL DWNLD'!AK213+'VOL DELTA'!AK213</f>
        <v>1.02</v>
      </c>
      <c r="AL213" s="168" t="n">
        <f aca="false">'VOL DWNLD'!AL213+'VOL DELTA'!AL213</f>
        <v>1</v>
      </c>
      <c r="AM213" s="168" t="n">
        <f aca="false">'VOL DWNLD'!AM213+'VOL DELTA'!AM213</f>
        <v>1</v>
      </c>
      <c r="AN213" s="168" t="n">
        <f aca="false">'VOL DWNLD'!AN213+'VOL DELTA'!AN213</f>
        <v>1</v>
      </c>
      <c r="AO213" s="168" t="n">
        <f aca="false">'VOL DWNLD'!AO213+'VOL DELTA'!AO213</f>
        <v>1</v>
      </c>
    </row>
    <row r="214" customFormat="false" ht="12.75" hidden="false" customHeight="false" outlineLevel="0" collapsed="false">
      <c r="B214" s="168" t="n">
        <f aca="false">'VOL DWNLD'!B214+'VOL DELTA'!B214</f>
        <v>1</v>
      </c>
      <c r="C214" s="168" t="n">
        <f aca="false">'VOL DWNLD'!C214+'VOL DELTA'!C214</f>
        <v>1</v>
      </c>
      <c r="D214" s="168" t="n">
        <f aca="false">'VOL DWNLD'!D214+'VOL DELTA'!D214</f>
        <v>1</v>
      </c>
      <c r="E214" s="168" t="n">
        <f aca="false">'VOL DWNLD'!E214+'VOL DELTA'!E214</f>
        <v>1</v>
      </c>
      <c r="F214" s="168" t="n">
        <f aca="false">'VOL DWNLD'!F214+'VOL DELTA'!F214</f>
        <v>1</v>
      </c>
      <c r="G214" s="168" t="n">
        <f aca="false">'VOL DWNLD'!G214+'VOL DELTA'!G214</f>
        <v>1</v>
      </c>
      <c r="H214" s="168" t="n">
        <f aca="false">'VOL DWNLD'!H214+'VOL DELTA'!H214</f>
        <v>1</v>
      </c>
      <c r="I214" s="168" t="n">
        <f aca="false">'VOL DWNLD'!I214+'VOL DELTA'!I214</f>
        <v>1</v>
      </c>
      <c r="J214" s="168" t="n">
        <f aca="false">'VOL DWNLD'!J214+'VOL DELTA'!J214</f>
        <v>1</v>
      </c>
      <c r="K214" s="168" t="n">
        <f aca="false">'VOL DWNLD'!K214+'VOL DELTA'!K214</f>
        <v>1</v>
      </c>
      <c r="L214" s="168" t="n">
        <f aca="false">'VOL DWNLD'!L214+'VOL DELTA'!L214</f>
        <v>1</v>
      </c>
      <c r="M214" s="168" t="n">
        <f aca="false">'VOL DWNLD'!M214+'VOL DELTA'!M214</f>
        <v>1</v>
      </c>
      <c r="N214" s="168" t="n">
        <f aca="false">'VOL DWNLD'!N214+'VOL DELTA'!N214</f>
        <v>1</v>
      </c>
      <c r="O214" s="168" t="n">
        <f aca="false">'VOL DWNLD'!O214+'VOL DELTA'!O214</f>
        <v>1</v>
      </c>
      <c r="P214" s="168" t="n">
        <f aca="false">'VOL DWNLD'!P214+'VOL DELTA'!P214</f>
        <v>1.03</v>
      </c>
      <c r="Q214" s="168" t="n">
        <f aca="false">'VOL DWNLD'!Q214+'VOL DELTA'!Q214</f>
        <v>1</v>
      </c>
      <c r="R214" s="168" t="n">
        <f aca="false">'VOL DWNLD'!R214+'VOL DELTA'!R214</f>
        <v>1</v>
      </c>
      <c r="S214" s="168" t="n">
        <f aca="false">'VOL DWNLD'!S214+'VOL DELTA'!S214</f>
        <v>1.02</v>
      </c>
      <c r="T214" s="168" t="n">
        <f aca="false">'VOL DWNLD'!T214+'VOL DELTA'!T214</f>
        <v>1</v>
      </c>
      <c r="U214" s="168" t="n">
        <f aca="false">'VOL DWNLD'!U214+'VOL DELTA'!U214</f>
        <v>1</v>
      </c>
      <c r="V214" s="168" t="n">
        <f aca="false">'VOL DWNLD'!V214+'VOL DELTA'!V214</f>
        <v>1</v>
      </c>
      <c r="W214" s="168" t="n">
        <f aca="false">'VOL DWNLD'!W214+'VOL DELTA'!W214</f>
        <v>1</v>
      </c>
      <c r="X214" s="168" t="n">
        <f aca="false">'VOL DWNLD'!X214+'VOL DELTA'!X214</f>
        <v>1</v>
      </c>
      <c r="Y214" s="168" t="n">
        <f aca="false">'VOL DWNLD'!Y214+'VOL DELTA'!Y214</f>
        <v>1.02</v>
      </c>
      <c r="Z214" s="168" t="n">
        <f aca="false">'VOL DWNLD'!Z214+'VOL DELTA'!Z214</f>
        <v>1</v>
      </c>
      <c r="AA214" s="168" t="n">
        <f aca="false">'VOL DWNLD'!AA214+'VOL DELTA'!AA214</f>
        <v>1</v>
      </c>
      <c r="AB214" s="168" t="n">
        <f aca="false">'VOL DWNLD'!AB214+'VOL DELTA'!AB214</f>
        <v>1</v>
      </c>
      <c r="AC214" s="168" t="n">
        <f aca="false">'VOL DWNLD'!AC214+'VOL DELTA'!AC214</f>
        <v>1</v>
      </c>
      <c r="AD214" s="168" t="n">
        <f aca="false">'VOL DWNLD'!AD214+'VOL DELTA'!AD214</f>
        <v>0.98</v>
      </c>
      <c r="AE214" s="168" t="n">
        <f aca="false">'VOL DWNLD'!AE214+'VOL DELTA'!AE214</f>
        <v>0.98</v>
      </c>
      <c r="AF214" s="168" t="n">
        <f aca="false">'VOL DWNLD'!AF214+'VOL DELTA'!AF214</f>
        <v>0.98</v>
      </c>
      <c r="AG214" s="168" t="n">
        <f aca="false">'VOL DWNLD'!AG214+'VOL DELTA'!AG214</f>
        <v>0.98</v>
      </c>
      <c r="AH214" s="168" t="n">
        <f aca="false">'VOL DWNLD'!AH214+'VOL DELTA'!AH214</f>
        <v>1.05</v>
      </c>
      <c r="AI214" s="168" t="n">
        <f aca="false">'VOL DWNLD'!AI214+'VOL DELTA'!AI214</f>
        <v>1</v>
      </c>
      <c r="AJ214" s="168" t="n">
        <f aca="false">'VOL DWNLD'!AJ214+'VOL DELTA'!AJ214</f>
        <v>1</v>
      </c>
      <c r="AK214" s="168" t="n">
        <f aca="false">'VOL DWNLD'!AK214+'VOL DELTA'!AK214</f>
        <v>1.02</v>
      </c>
      <c r="AL214" s="168" t="n">
        <f aca="false">'VOL DWNLD'!AL214+'VOL DELTA'!AL214</f>
        <v>1</v>
      </c>
      <c r="AM214" s="168" t="n">
        <f aca="false">'VOL DWNLD'!AM214+'VOL DELTA'!AM214</f>
        <v>1</v>
      </c>
      <c r="AN214" s="168" t="n">
        <f aca="false">'VOL DWNLD'!AN214+'VOL DELTA'!AN214</f>
        <v>1</v>
      </c>
      <c r="AO214" s="168" t="n">
        <f aca="false">'VOL DWNLD'!AO214+'VOL DELTA'!AO214</f>
        <v>1</v>
      </c>
    </row>
    <row r="215" customFormat="false" ht="12.75" hidden="false" customHeight="false" outlineLevel="0" collapsed="false">
      <c r="B215" s="168" t="n">
        <f aca="false">'VOL DWNLD'!B215+'VOL DELTA'!B215</f>
        <v>1</v>
      </c>
      <c r="C215" s="168" t="n">
        <f aca="false">'VOL DWNLD'!C215+'VOL DELTA'!C215</f>
        <v>1</v>
      </c>
      <c r="D215" s="168" t="n">
        <f aca="false">'VOL DWNLD'!D215+'VOL DELTA'!D215</f>
        <v>1</v>
      </c>
      <c r="E215" s="168" t="n">
        <f aca="false">'VOL DWNLD'!E215+'VOL DELTA'!E215</f>
        <v>1</v>
      </c>
      <c r="F215" s="168" t="n">
        <f aca="false">'VOL DWNLD'!F215+'VOL DELTA'!F215</f>
        <v>1</v>
      </c>
      <c r="G215" s="168" t="n">
        <f aca="false">'VOL DWNLD'!G215+'VOL DELTA'!G215</f>
        <v>1</v>
      </c>
      <c r="H215" s="168" t="n">
        <f aca="false">'VOL DWNLD'!H215+'VOL DELTA'!H215</f>
        <v>1</v>
      </c>
      <c r="I215" s="168" t="n">
        <f aca="false">'VOL DWNLD'!I215+'VOL DELTA'!I215</f>
        <v>1</v>
      </c>
      <c r="J215" s="168" t="n">
        <f aca="false">'VOL DWNLD'!J215+'VOL DELTA'!J215</f>
        <v>1</v>
      </c>
      <c r="K215" s="168" t="n">
        <f aca="false">'VOL DWNLD'!K215+'VOL DELTA'!K215</f>
        <v>1</v>
      </c>
      <c r="L215" s="168" t="n">
        <f aca="false">'VOL DWNLD'!L215+'VOL DELTA'!L215</f>
        <v>1</v>
      </c>
      <c r="M215" s="168" t="n">
        <f aca="false">'VOL DWNLD'!M215+'VOL DELTA'!M215</f>
        <v>1</v>
      </c>
      <c r="N215" s="168" t="n">
        <f aca="false">'VOL DWNLD'!N215+'VOL DELTA'!N215</f>
        <v>1</v>
      </c>
      <c r="O215" s="168" t="n">
        <f aca="false">'VOL DWNLD'!O215+'VOL DELTA'!O215</f>
        <v>1</v>
      </c>
      <c r="P215" s="168" t="n">
        <f aca="false">'VOL DWNLD'!P215+'VOL DELTA'!P215</f>
        <v>1.03</v>
      </c>
      <c r="Q215" s="168" t="n">
        <f aca="false">'VOL DWNLD'!Q215+'VOL DELTA'!Q215</f>
        <v>1</v>
      </c>
      <c r="R215" s="168" t="n">
        <f aca="false">'VOL DWNLD'!R215+'VOL DELTA'!R215</f>
        <v>1</v>
      </c>
      <c r="S215" s="168" t="n">
        <f aca="false">'VOL DWNLD'!S215+'VOL DELTA'!S215</f>
        <v>1.02</v>
      </c>
      <c r="T215" s="168" t="n">
        <f aca="false">'VOL DWNLD'!T215+'VOL DELTA'!T215</f>
        <v>1</v>
      </c>
      <c r="U215" s="168" t="n">
        <f aca="false">'VOL DWNLD'!U215+'VOL DELTA'!U215</f>
        <v>1</v>
      </c>
      <c r="V215" s="168" t="n">
        <f aca="false">'VOL DWNLD'!V215+'VOL DELTA'!V215</f>
        <v>1</v>
      </c>
      <c r="W215" s="168" t="n">
        <f aca="false">'VOL DWNLD'!W215+'VOL DELTA'!W215</f>
        <v>1</v>
      </c>
      <c r="X215" s="168" t="n">
        <f aca="false">'VOL DWNLD'!X215+'VOL DELTA'!X215</f>
        <v>1</v>
      </c>
      <c r="Y215" s="168" t="n">
        <f aca="false">'VOL DWNLD'!Y215+'VOL DELTA'!Y215</f>
        <v>1.02</v>
      </c>
      <c r="Z215" s="168" t="n">
        <f aca="false">'VOL DWNLD'!Z215+'VOL DELTA'!Z215</f>
        <v>1</v>
      </c>
      <c r="AA215" s="168" t="n">
        <f aca="false">'VOL DWNLD'!AA215+'VOL DELTA'!AA215</f>
        <v>1</v>
      </c>
      <c r="AB215" s="168" t="n">
        <f aca="false">'VOL DWNLD'!AB215+'VOL DELTA'!AB215</f>
        <v>1</v>
      </c>
      <c r="AC215" s="168" t="n">
        <f aca="false">'VOL DWNLD'!AC215+'VOL DELTA'!AC215</f>
        <v>1</v>
      </c>
      <c r="AD215" s="168" t="n">
        <f aca="false">'VOL DWNLD'!AD215+'VOL DELTA'!AD215</f>
        <v>0.98</v>
      </c>
      <c r="AE215" s="168" t="n">
        <f aca="false">'VOL DWNLD'!AE215+'VOL DELTA'!AE215</f>
        <v>0.98</v>
      </c>
      <c r="AF215" s="168" t="n">
        <f aca="false">'VOL DWNLD'!AF215+'VOL DELTA'!AF215</f>
        <v>0.98</v>
      </c>
      <c r="AG215" s="168" t="n">
        <f aca="false">'VOL DWNLD'!AG215+'VOL DELTA'!AG215</f>
        <v>0.98</v>
      </c>
      <c r="AH215" s="168" t="n">
        <f aca="false">'VOL DWNLD'!AH215+'VOL DELTA'!AH215</f>
        <v>1.05</v>
      </c>
      <c r="AI215" s="168" t="n">
        <f aca="false">'VOL DWNLD'!AI215+'VOL DELTA'!AI215</f>
        <v>1</v>
      </c>
      <c r="AJ215" s="168" t="n">
        <f aca="false">'VOL DWNLD'!AJ215+'VOL DELTA'!AJ215</f>
        <v>1</v>
      </c>
      <c r="AK215" s="168" t="n">
        <f aca="false">'VOL DWNLD'!AK215+'VOL DELTA'!AK215</f>
        <v>1.02</v>
      </c>
      <c r="AL215" s="168" t="n">
        <f aca="false">'VOL DWNLD'!AL215+'VOL DELTA'!AL215</f>
        <v>1</v>
      </c>
      <c r="AM215" s="168" t="n">
        <f aca="false">'VOL DWNLD'!AM215+'VOL DELTA'!AM215</f>
        <v>1</v>
      </c>
      <c r="AN215" s="168" t="n">
        <f aca="false">'VOL DWNLD'!AN215+'VOL DELTA'!AN215</f>
        <v>1</v>
      </c>
      <c r="AO215" s="168" t="n">
        <f aca="false">'VOL DWNLD'!AO215+'VOL DELTA'!AO215</f>
        <v>1</v>
      </c>
    </row>
    <row r="216" customFormat="false" ht="12.75" hidden="false" customHeight="false" outlineLevel="0" collapsed="false">
      <c r="B216" s="168" t="n">
        <f aca="false">'VOL DWNLD'!B216+'VOL DELTA'!B216</f>
        <v>1</v>
      </c>
      <c r="C216" s="168" t="n">
        <f aca="false">'VOL DWNLD'!C216+'VOL DELTA'!C216</f>
        <v>1</v>
      </c>
      <c r="D216" s="168" t="n">
        <f aca="false">'VOL DWNLD'!D216+'VOL DELTA'!D216</f>
        <v>1</v>
      </c>
      <c r="E216" s="168" t="n">
        <f aca="false">'VOL DWNLD'!E216+'VOL DELTA'!E216</f>
        <v>1</v>
      </c>
      <c r="F216" s="168" t="n">
        <f aca="false">'VOL DWNLD'!F216+'VOL DELTA'!F216</f>
        <v>1</v>
      </c>
      <c r="G216" s="168" t="n">
        <f aca="false">'VOL DWNLD'!G216+'VOL DELTA'!G216</f>
        <v>1</v>
      </c>
      <c r="H216" s="168" t="n">
        <f aca="false">'VOL DWNLD'!H216+'VOL DELTA'!H216</f>
        <v>1</v>
      </c>
      <c r="I216" s="168" t="n">
        <f aca="false">'VOL DWNLD'!I216+'VOL DELTA'!I216</f>
        <v>1</v>
      </c>
      <c r="J216" s="168" t="n">
        <f aca="false">'VOL DWNLD'!J216+'VOL DELTA'!J216</f>
        <v>1</v>
      </c>
      <c r="K216" s="168" t="n">
        <f aca="false">'VOL DWNLD'!K216+'VOL DELTA'!K216</f>
        <v>1</v>
      </c>
      <c r="L216" s="168" t="n">
        <f aca="false">'VOL DWNLD'!L216+'VOL DELTA'!L216</f>
        <v>1</v>
      </c>
      <c r="M216" s="168" t="n">
        <f aca="false">'VOL DWNLD'!M216+'VOL DELTA'!M216</f>
        <v>1</v>
      </c>
      <c r="N216" s="168" t="n">
        <f aca="false">'VOL DWNLD'!N216+'VOL DELTA'!N216</f>
        <v>1</v>
      </c>
      <c r="O216" s="168" t="n">
        <f aca="false">'VOL DWNLD'!O216+'VOL DELTA'!O216</f>
        <v>1</v>
      </c>
      <c r="P216" s="168" t="n">
        <f aca="false">'VOL DWNLD'!P216+'VOL DELTA'!P216</f>
        <v>1.03</v>
      </c>
      <c r="Q216" s="168" t="n">
        <f aca="false">'VOL DWNLD'!Q216+'VOL DELTA'!Q216</f>
        <v>1</v>
      </c>
      <c r="R216" s="168" t="n">
        <f aca="false">'VOL DWNLD'!R216+'VOL DELTA'!R216</f>
        <v>1</v>
      </c>
      <c r="S216" s="168" t="n">
        <f aca="false">'VOL DWNLD'!S216+'VOL DELTA'!S216</f>
        <v>1.02</v>
      </c>
      <c r="T216" s="168" t="n">
        <f aca="false">'VOL DWNLD'!T216+'VOL DELTA'!T216</f>
        <v>1</v>
      </c>
      <c r="U216" s="168" t="n">
        <f aca="false">'VOL DWNLD'!U216+'VOL DELTA'!U216</f>
        <v>1</v>
      </c>
      <c r="V216" s="168" t="n">
        <f aca="false">'VOL DWNLD'!V216+'VOL DELTA'!V216</f>
        <v>1</v>
      </c>
      <c r="W216" s="168" t="n">
        <f aca="false">'VOL DWNLD'!W216+'VOL DELTA'!W216</f>
        <v>1</v>
      </c>
      <c r="X216" s="168" t="n">
        <f aca="false">'VOL DWNLD'!X216+'VOL DELTA'!X216</f>
        <v>1</v>
      </c>
      <c r="Y216" s="168" t="n">
        <f aca="false">'VOL DWNLD'!Y216+'VOL DELTA'!Y216</f>
        <v>1.02</v>
      </c>
      <c r="Z216" s="168" t="n">
        <f aca="false">'VOL DWNLD'!Z216+'VOL DELTA'!Z216</f>
        <v>1</v>
      </c>
      <c r="AA216" s="168" t="n">
        <f aca="false">'VOL DWNLD'!AA216+'VOL DELTA'!AA216</f>
        <v>1</v>
      </c>
      <c r="AB216" s="168" t="n">
        <f aca="false">'VOL DWNLD'!AB216+'VOL DELTA'!AB216</f>
        <v>1</v>
      </c>
      <c r="AC216" s="168" t="n">
        <f aca="false">'VOL DWNLD'!AC216+'VOL DELTA'!AC216</f>
        <v>1</v>
      </c>
      <c r="AD216" s="168" t="n">
        <f aca="false">'VOL DWNLD'!AD216+'VOL DELTA'!AD216</f>
        <v>0.98</v>
      </c>
      <c r="AE216" s="168" t="n">
        <f aca="false">'VOL DWNLD'!AE216+'VOL DELTA'!AE216</f>
        <v>0.98</v>
      </c>
      <c r="AF216" s="168" t="n">
        <f aca="false">'VOL DWNLD'!AF216+'VOL DELTA'!AF216</f>
        <v>0.98</v>
      </c>
      <c r="AG216" s="168" t="n">
        <f aca="false">'VOL DWNLD'!AG216+'VOL DELTA'!AG216</f>
        <v>0.98</v>
      </c>
      <c r="AH216" s="168" t="n">
        <f aca="false">'VOL DWNLD'!AH216+'VOL DELTA'!AH216</f>
        <v>1.05</v>
      </c>
      <c r="AI216" s="168" t="n">
        <f aca="false">'VOL DWNLD'!AI216+'VOL DELTA'!AI216</f>
        <v>1</v>
      </c>
      <c r="AJ216" s="168" t="n">
        <f aca="false">'VOL DWNLD'!AJ216+'VOL DELTA'!AJ216</f>
        <v>1</v>
      </c>
      <c r="AK216" s="168" t="n">
        <f aca="false">'VOL DWNLD'!AK216+'VOL DELTA'!AK216</f>
        <v>1.02</v>
      </c>
      <c r="AL216" s="168" t="n">
        <f aca="false">'VOL DWNLD'!AL216+'VOL DELTA'!AL216</f>
        <v>1</v>
      </c>
      <c r="AM216" s="168" t="n">
        <f aca="false">'VOL DWNLD'!AM216+'VOL DELTA'!AM216</f>
        <v>1</v>
      </c>
      <c r="AN216" s="168" t="n">
        <f aca="false">'VOL DWNLD'!AN216+'VOL DELTA'!AN216</f>
        <v>1</v>
      </c>
      <c r="AO216" s="168" t="n">
        <f aca="false">'VOL DWNLD'!AO216+'VOL DELTA'!AO216</f>
        <v>1</v>
      </c>
    </row>
    <row r="217" customFormat="false" ht="12.75" hidden="false" customHeight="false" outlineLevel="0" collapsed="false">
      <c r="B217" s="168" t="n">
        <f aca="false">'VOL DWNLD'!B217+'VOL DELTA'!B217</f>
        <v>1</v>
      </c>
      <c r="C217" s="168" t="n">
        <f aca="false">'VOL DWNLD'!C217+'VOL DELTA'!C217</f>
        <v>1</v>
      </c>
      <c r="D217" s="168" t="n">
        <f aca="false">'VOL DWNLD'!D217+'VOL DELTA'!D217</f>
        <v>1</v>
      </c>
      <c r="E217" s="168" t="n">
        <f aca="false">'VOL DWNLD'!E217+'VOL DELTA'!E217</f>
        <v>1</v>
      </c>
      <c r="F217" s="168" t="n">
        <f aca="false">'VOL DWNLD'!F217+'VOL DELTA'!F217</f>
        <v>1</v>
      </c>
      <c r="G217" s="168" t="n">
        <f aca="false">'VOL DWNLD'!G217+'VOL DELTA'!G217</f>
        <v>1</v>
      </c>
      <c r="H217" s="168" t="n">
        <f aca="false">'VOL DWNLD'!H217+'VOL DELTA'!H217</f>
        <v>1</v>
      </c>
      <c r="I217" s="168" t="n">
        <f aca="false">'VOL DWNLD'!I217+'VOL DELTA'!I217</f>
        <v>1</v>
      </c>
      <c r="J217" s="168" t="n">
        <f aca="false">'VOL DWNLD'!J217+'VOL DELTA'!J217</f>
        <v>1</v>
      </c>
      <c r="K217" s="168" t="n">
        <f aca="false">'VOL DWNLD'!K217+'VOL DELTA'!K217</f>
        <v>1</v>
      </c>
      <c r="L217" s="168" t="n">
        <f aca="false">'VOL DWNLD'!L217+'VOL DELTA'!L217</f>
        <v>1</v>
      </c>
      <c r="M217" s="168" t="n">
        <f aca="false">'VOL DWNLD'!M217+'VOL DELTA'!M217</f>
        <v>1</v>
      </c>
      <c r="N217" s="168" t="n">
        <f aca="false">'VOL DWNLD'!N217+'VOL DELTA'!N217</f>
        <v>1</v>
      </c>
      <c r="O217" s="168" t="n">
        <f aca="false">'VOL DWNLD'!O217+'VOL DELTA'!O217</f>
        <v>1</v>
      </c>
      <c r="P217" s="168" t="n">
        <f aca="false">'VOL DWNLD'!P217+'VOL DELTA'!P217</f>
        <v>1.03</v>
      </c>
      <c r="Q217" s="168" t="n">
        <f aca="false">'VOL DWNLD'!Q217+'VOL DELTA'!Q217</f>
        <v>1</v>
      </c>
      <c r="R217" s="168" t="n">
        <f aca="false">'VOL DWNLD'!R217+'VOL DELTA'!R217</f>
        <v>1</v>
      </c>
      <c r="S217" s="168" t="n">
        <f aca="false">'VOL DWNLD'!S217+'VOL DELTA'!S217</f>
        <v>1.02</v>
      </c>
      <c r="T217" s="168" t="n">
        <f aca="false">'VOL DWNLD'!T217+'VOL DELTA'!T217</f>
        <v>1</v>
      </c>
      <c r="U217" s="168" t="n">
        <f aca="false">'VOL DWNLD'!U217+'VOL DELTA'!U217</f>
        <v>1</v>
      </c>
      <c r="V217" s="168" t="n">
        <f aca="false">'VOL DWNLD'!V217+'VOL DELTA'!V217</f>
        <v>1</v>
      </c>
      <c r="W217" s="168" t="n">
        <f aca="false">'VOL DWNLD'!W217+'VOL DELTA'!W217</f>
        <v>1</v>
      </c>
      <c r="X217" s="168" t="n">
        <f aca="false">'VOL DWNLD'!X217+'VOL DELTA'!X217</f>
        <v>1</v>
      </c>
      <c r="Y217" s="168" t="n">
        <f aca="false">'VOL DWNLD'!Y217+'VOL DELTA'!Y217</f>
        <v>1.02</v>
      </c>
      <c r="Z217" s="168" t="n">
        <f aca="false">'VOL DWNLD'!Z217+'VOL DELTA'!Z217</f>
        <v>1</v>
      </c>
      <c r="AA217" s="168" t="n">
        <f aca="false">'VOL DWNLD'!AA217+'VOL DELTA'!AA217</f>
        <v>1</v>
      </c>
      <c r="AB217" s="168" t="n">
        <f aca="false">'VOL DWNLD'!AB217+'VOL DELTA'!AB217</f>
        <v>1</v>
      </c>
      <c r="AC217" s="168" t="n">
        <f aca="false">'VOL DWNLD'!AC217+'VOL DELTA'!AC217</f>
        <v>1</v>
      </c>
      <c r="AD217" s="168" t="n">
        <f aca="false">'VOL DWNLD'!AD217+'VOL DELTA'!AD217</f>
        <v>0.98</v>
      </c>
      <c r="AE217" s="168" t="n">
        <f aca="false">'VOL DWNLD'!AE217+'VOL DELTA'!AE217</f>
        <v>0.98</v>
      </c>
      <c r="AF217" s="168" t="n">
        <f aca="false">'VOL DWNLD'!AF217+'VOL DELTA'!AF217</f>
        <v>0.98</v>
      </c>
      <c r="AG217" s="168" t="n">
        <f aca="false">'VOL DWNLD'!AG217+'VOL DELTA'!AG217</f>
        <v>0.98</v>
      </c>
      <c r="AH217" s="168" t="n">
        <f aca="false">'VOL DWNLD'!AH217+'VOL DELTA'!AH217</f>
        <v>1.05</v>
      </c>
      <c r="AI217" s="168" t="n">
        <f aca="false">'VOL DWNLD'!AI217+'VOL DELTA'!AI217</f>
        <v>1</v>
      </c>
      <c r="AJ217" s="168" t="n">
        <f aca="false">'VOL DWNLD'!AJ217+'VOL DELTA'!AJ217</f>
        <v>1</v>
      </c>
      <c r="AK217" s="168" t="n">
        <f aca="false">'VOL DWNLD'!AK217+'VOL DELTA'!AK217</f>
        <v>1.02</v>
      </c>
      <c r="AL217" s="168" t="n">
        <f aca="false">'VOL DWNLD'!AL217+'VOL DELTA'!AL217</f>
        <v>1</v>
      </c>
      <c r="AM217" s="168" t="n">
        <f aca="false">'VOL DWNLD'!AM217+'VOL DELTA'!AM217</f>
        <v>1</v>
      </c>
      <c r="AN217" s="168" t="n">
        <f aca="false">'VOL DWNLD'!AN217+'VOL DELTA'!AN217</f>
        <v>1</v>
      </c>
      <c r="AO217" s="168" t="n">
        <f aca="false">'VOL DWNLD'!AO217+'VOL DELTA'!AO217</f>
        <v>1</v>
      </c>
    </row>
    <row r="218" customFormat="false" ht="12.75" hidden="false" customHeight="false" outlineLevel="0" collapsed="false">
      <c r="B218" s="168" t="n">
        <f aca="false">'VOL DWNLD'!B218+'VOL DELTA'!B218</f>
        <v>1</v>
      </c>
      <c r="C218" s="168" t="n">
        <f aca="false">'VOL DWNLD'!C218+'VOL DELTA'!C218</f>
        <v>1</v>
      </c>
      <c r="D218" s="168" t="n">
        <f aca="false">'VOL DWNLD'!D218+'VOL DELTA'!D218</f>
        <v>1</v>
      </c>
      <c r="E218" s="168" t="n">
        <f aca="false">'VOL DWNLD'!E218+'VOL DELTA'!E218</f>
        <v>1</v>
      </c>
      <c r="F218" s="168" t="n">
        <f aca="false">'VOL DWNLD'!F218+'VOL DELTA'!F218</f>
        <v>1</v>
      </c>
      <c r="G218" s="168" t="n">
        <f aca="false">'VOL DWNLD'!G218+'VOL DELTA'!G218</f>
        <v>1</v>
      </c>
      <c r="H218" s="168" t="n">
        <f aca="false">'VOL DWNLD'!H218+'VOL DELTA'!H218</f>
        <v>1</v>
      </c>
      <c r="I218" s="168" t="n">
        <f aca="false">'VOL DWNLD'!I218+'VOL DELTA'!I218</f>
        <v>1</v>
      </c>
      <c r="J218" s="168" t="n">
        <f aca="false">'VOL DWNLD'!J218+'VOL DELTA'!J218</f>
        <v>1</v>
      </c>
      <c r="K218" s="168" t="n">
        <f aca="false">'VOL DWNLD'!K218+'VOL DELTA'!K218</f>
        <v>1</v>
      </c>
      <c r="L218" s="168" t="n">
        <f aca="false">'VOL DWNLD'!L218+'VOL DELTA'!L218</f>
        <v>1</v>
      </c>
      <c r="M218" s="168" t="n">
        <f aca="false">'VOL DWNLD'!M218+'VOL DELTA'!M218</f>
        <v>1</v>
      </c>
      <c r="N218" s="168" t="n">
        <f aca="false">'VOL DWNLD'!N218+'VOL DELTA'!N218</f>
        <v>1</v>
      </c>
      <c r="O218" s="168" t="n">
        <f aca="false">'VOL DWNLD'!O218+'VOL DELTA'!O218</f>
        <v>1</v>
      </c>
      <c r="P218" s="168" t="n">
        <f aca="false">'VOL DWNLD'!P218+'VOL DELTA'!P218</f>
        <v>1.03</v>
      </c>
      <c r="Q218" s="168" t="n">
        <f aca="false">'VOL DWNLD'!Q218+'VOL DELTA'!Q218</f>
        <v>1</v>
      </c>
      <c r="R218" s="168" t="n">
        <f aca="false">'VOL DWNLD'!R218+'VOL DELTA'!R218</f>
        <v>1</v>
      </c>
      <c r="S218" s="168" t="n">
        <f aca="false">'VOL DWNLD'!S218+'VOL DELTA'!S218</f>
        <v>1.02</v>
      </c>
      <c r="T218" s="168" t="n">
        <f aca="false">'VOL DWNLD'!T218+'VOL DELTA'!T218</f>
        <v>1</v>
      </c>
      <c r="U218" s="168" t="n">
        <f aca="false">'VOL DWNLD'!U218+'VOL DELTA'!U218</f>
        <v>1</v>
      </c>
      <c r="V218" s="168" t="n">
        <f aca="false">'VOL DWNLD'!V218+'VOL DELTA'!V218</f>
        <v>1</v>
      </c>
      <c r="W218" s="168" t="n">
        <f aca="false">'VOL DWNLD'!W218+'VOL DELTA'!W218</f>
        <v>1</v>
      </c>
      <c r="X218" s="168" t="n">
        <f aca="false">'VOL DWNLD'!X218+'VOL DELTA'!X218</f>
        <v>1</v>
      </c>
      <c r="Y218" s="168" t="n">
        <f aca="false">'VOL DWNLD'!Y218+'VOL DELTA'!Y218</f>
        <v>1.02</v>
      </c>
      <c r="Z218" s="168" t="n">
        <f aca="false">'VOL DWNLD'!Z218+'VOL DELTA'!Z218</f>
        <v>1</v>
      </c>
      <c r="AA218" s="168" t="n">
        <f aca="false">'VOL DWNLD'!AA218+'VOL DELTA'!AA218</f>
        <v>1</v>
      </c>
      <c r="AB218" s="168" t="n">
        <f aca="false">'VOL DWNLD'!AB218+'VOL DELTA'!AB218</f>
        <v>1</v>
      </c>
      <c r="AC218" s="168" t="n">
        <f aca="false">'VOL DWNLD'!AC218+'VOL DELTA'!AC218</f>
        <v>1</v>
      </c>
      <c r="AD218" s="168" t="n">
        <f aca="false">'VOL DWNLD'!AD218+'VOL DELTA'!AD218</f>
        <v>0.98</v>
      </c>
      <c r="AE218" s="168" t="n">
        <f aca="false">'VOL DWNLD'!AE218+'VOL DELTA'!AE218</f>
        <v>0.98</v>
      </c>
      <c r="AF218" s="168" t="n">
        <f aca="false">'VOL DWNLD'!AF218+'VOL DELTA'!AF218</f>
        <v>0.98</v>
      </c>
      <c r="AG218" s="168" t="n">
        <f aca="false">'VOL DWNLD'!AG218+'VOL DELTA'!AG218</f>
        <v>0.98</v>
      </c>
      <c r="AH218" s="168" t="n">
        <f aca="false">'VOL DWNLD'!AH218+'VOL DELTA'!AH218</f>
        <v>1.05</v>
      </c>
      <c r="AI218" s="168" t="n">
        <f aca="false">'VOL DWNLD'!AI218+'VOL DELTA'!AI218</f>
        <v>1</v>
      </c>
      <c r="AJ218" s="168" t="n">
        <f aca="false">'VOL DWNLD'!AJ218+'VOL DELTA'!AJ218</f>
        <v>1</v>
      </c>
      <c r="AK218" s="168" t="n">
        <f aca="false">'VOL DWNLD'!AK218+'VOL DELTA'!AK218</f>
        <v>1.02</v>
      </c>
      <c r="AL218" s="168" t="n">
        <f aca="false">'VOL DWNLD'!AL218+'VOL DELTA'!AL218</f>
        <v>1</v>
      </c>
      <c r="AM218" s="168" t="n">
        <f aca="false">'VOL DWNLD'!AM218+'VOL DELTA'!AM218</f>
        <v>1</v>
      </c>
      <c r="AN218" s="168" t="n">
        <f aca="false">'VOL DWNLD'!AN218+'VOL DELTA'!AN218</f>
        <v>1</v>
      </c>
      <c r="AO218" s="168" t="n">
        <f aca="false">'VOL DWNLD'!AO218+'VOL DELTA'!AO218</f>
        <v>1</v>
      </c>
    </row>
    <row r="219" customFormat="false" ht="12.75" hidden="false" customHeight="false" outlineLevel="0" collapsed="false">
      <c r="B219" s="168" t="n">
        <f aca="false">'VOL DWNLD'!B219+'VOL DELTA'!B219</f>
        <v>1</v>
      </c>
      <c r="C219" s="168" t="n">
        <f aca="false">'VOL DWNLD'!C219+'VOL DELTA'!C219</f>
        <v>1</v>
      </c>
      <c r="D219" s="168" t="n">
        <f aca="false">'VOL DWNLD'!D219+'VOL DELTA'!D219</f>
        <v>1</v>
      </c>
      <c r="E219" s="168" t="n">
        <f aca="false">'VOL DWNLD'!E219+'VOL DELTA'!E219</f>
        <v>1</v>
      </c>
      <c r="F219" s="168" t="n">
        <f aca="false">'VOL DWNLD'!F219+'VOL DELTA'!F219</f>
        <v>1</v>
      </c>
      <c r="G219" s="168" t="n">
        <f aca="false">'VOL DWNLD'!G219+'VOL DELTA'!G219</f>
        <v>1</v>
      </c>
      <c r="H219" s="168" t="n">
        <f aca="false">'VOL DWNLD'!H219+'VOL DELTA'!H219</f>
        <v>1</v>
      </c>
      <c r="I219" s="168" t="n">
        <f aca="false">'VOL DWNLD'!I219+'VOL DELTA'!I219</f>
        <v>1</v>
      </c>
      <c r="J219" s="168" t="n">
        <f aca="false">'VOL DWNLD'!J219+'VOL DELTA'!J219</f>
        <v>1</v>
      </c>
      <c r="K219" s="168" t="n">
        <f aca="false">'VOL DWNLD'!K219+'VOL DELTA'!K219</f>
        <v>1</v>
      </c>
      <c r="L219" s="168" t="n">
        <f aca="false">'VOL DWNLD'!L219+'VOL DELTA'!L219</f>
        <v>1</v>
      </c>
      <c r="M219" s="168" t="n">
        <f aca="false">'VOL DWNLD'!M219+'VOL DELTA'!M219</f>
        <v>1</v>
      </c>
      <c r="N219" s="168" t="n">
        <f aca="false">'VOL DWNLD'!N219+'VOL DELTA'!N219</f>
        <v>1</v>
      </c>
      <c r="O219" s="168" t="n">
        <f aca="false">'VOL DWNLD'!O219+'VOL DELTA'!O219</f>
        <v>1</v>
      </c>
      <c r="P219" s="168" t="n">
        <f aca="false">'VOL DWNLD'!P219+'VOL DELTA'!P219</f>
        <v>1.03</v>
      </c>
      <c r="Q219" s="168" t="n">
        <f aca="false">'VOL DWNLD'!Q219+'VOL DELTA'!Q219</f>
        <v>1</v>
      </c>
      <c r="R219" s="168" t="n">
        <f aca="false">'VOL DWNLD'!R219+'VOL DELTA'!R219</f>
        <v>1</v>
      </c>
      <c r="S219" s="168" t="n">
        <f aca="false">'VOL DWNLD'!S219+'VOL DELTA'!S219</f>
        <v>1.02</v>
      </c>
      <c r="T219" s="168" t="n">
        <f aca="false">'VOL DWNLD'!T219+'VOL DELTA'!T219</f>
        <v>1</v>
      </c>
      <c r="U219" s="168" t="n">
        <f aca="false">'VOL DWNLD'!U219+'VOL DELTA'!U219</f>
        <v>1</v>
      </c>
      <c r="V219" s="168" t="n">
        <f aca="false">'VOL DWNLD'!V219+'VOL DELTA'!V219</f>
        <v>1</v>
      </c>
      <c r="W219" s="168" t="n">
        <f aca="false">'VOL DWNLD'!W219+'VOL DELTA'!W219</f>
        <v>1</v>
      </c>
      <c r="X219" s="168" t="n">
        <f aca="false">'VOL DWNLD'!X219+'VOL DELTA'!X219</f>
        <v>1</v>
      </c>
      <c r="Y219" s="168" t="n">
        <f aca="false">'VOL DWNLD'!Y219+'VOL DELTA'!Y219</f>
        <v>1.02</v>
      </c>
      <c r="Z219" s="168" t="n">
        <f aca="false">'VOL DWNLD'!Z219+'VOL DELTA'!Z219</f>
        <v>1</v>
      </c>
      <c r="AA219" s="168" t="n">
        <f aca="false">'VOL DWNLD'!AA219+'VOL DELTA'!AA219</f>
        <v>1</v>
      </c>
      <c r="AB219" s="168" t="n">
        <f aca="false">'VOL DWNLD'!AB219+'VOL DELTA'!AB219</f>
        <v>1</v>
      </c>
      <c r="AC219" s="168" t="n">
        <f aca="false">'VOL DWNLD'!AC219+'VOL DELTA'!AC219</f>
        <v>1</v>
      </c>
      <c r="AD219" s="168" t="n">
        <f aca="false">'VOL DWNLD'!AD219+'VOL DELTA'!AD219</f>
        <v>0.98</v>
      </c>
      <c r="AE219" s="168" t="n">
        <f aca="false">'VOL DWNLD'!AE219+'VOL DELTA'!AE219</f>
        <v>0.98</v>
      </c>
      <c r="AF219" s="168" t="n">
        <f aca="false">'VOL DWNLD'!AF219+'VOL DELTA'!AF219</f>
        <v>0.98</v>
      </c>
      <c r="AG219" s="168" t="n">
        <f aca="false">'VOL DWNLD'!AG219+'VOL DELTA'!AG219</f>
        <v>0.98</v>
      </c>
      <c r="AH219" s="168" t="n">
        <f aca="false">'VOL DWNLD'!AH219+'VOL DELTA'!AH219</f>
        <v>1.05</v>
      </c>
      <c r="AI219" s="168" t="n">
        <f aca="false">'VOL DWNLD'!AI219+'VOL DELTA'!AI219</f>
        <v>1</v>
      </c>
      <c r="AJ219" s="168" t="n">
        <f aca="false">'VOL DWNLD'!AJ219+'VOL DELTA'!AJ219</f>
        <v>1</v>
      </c>
      <c r="AK219" s="168" t="n">
        <f aca="false">'VOL DWNLD'!AK219+'VOL DELTA'!AK219</f>
        <v>1.02</v>
      </c>
      <c r="AL219" s="168" t="n">
        <f aca="false">'VOL DWNLD'!AL219+'VOL DELTA'!AL219</f>
        <v>1</v>
      </c>
      <c r="AM219" s="168" t="n">
        <f aca="false">'VOL DWNLD'!AM219+'VOL DELTA'!AM219</f>
        <v>1</v>
      </c>
      <c r="AN219" s="168" t="n">
        <f aca="false">'VOL DWNLD'!AN219+'VOL DELTA'!AN219</f>
        <v>1</v>
      </c>
      <c r="AO219" s="168" t="n">
        <f aca="false">'VOL DWNLD'!AO219+'VOL DELTA'!AO219</f>
        <v>1</v>
      </c>
    </row>
    <row r="220" customFormat="false" ht="12.75" hidden="false" customHeight="false" outlineLevel="0" collapsed="false">
      <c r="B220" s="168" t="n">
        <f aca="false">'VOL DWNLD'!B220+'VOL DELTA'!B220</f>
        <v>1</v>
      </c>
      <c r="C220" s="168" t="n">
        <f aca="false">'VOL DWNLD'!C220+'VOL DELTA'!C220</f>
        <v>1</v>
      </c>
      <c r="D220" s="168" t="n">
        <f aca="false">'VOL DWNLD'!D220+'VOL DELTA'!D220</f>
        <v>1</v>
      </c>
      <c r="E220" s="168" t="n">
        <f aca="false">'VOL DWNLD'!E220+'VOL DELTA'!E220</f>
        <v>1</v>
      </c>
      <c r="F220" s="168" t="n">
        <f aca="false">'VOL DWNLD'!F220+'VOL DELTA'!F220</f>
        <v>1</v>
      </c>
      <c r="G220" s="168" t="n">
        <f aca="false">'VOL DWNLD'!G220+'VOL DELTA'!G220</f>
        <v>1</v>
      </c>
      <c r="H220" s="168" t="n">
        <f aca="false">'VOL DWNLD'!H220+'VOL DELTA'!H220</f>
        <v>1</v>
      </c>
      <c r="I220" s="168" t="n">
        <f aca="false">'VOL DWNLD'!I220+'VOL DELTA'!I220</f>
        <v>1</v>
      </c>
      <c r="J220" s="168" t="n">
        <f aca="false">'VOL DWNLD'!J220+'VOL DELTA'!J220</f>
        <v>1</v>
      </c>
      <c r="K220" s="168" t="n">
        <f aca="false">'VOL DWNLD'!K220+'VOL DELTA'!K220</f>
        <v>1</v>
      </c>
      <c r="L220" s="168" t="n">
        <f aca="false">'VOL DWNLD'!L220+'VOL DELTA'!L220</f>
        <v>1</v>
      </c>
      <c r="M220" s="168" t="n">
        <f aca="false">'VOL DWNLD'!M220+'VOL DELTA'!M220</f>
        <v>1</v>
      </c>
      <c r="N220" s="168" t="n">
        <f aca="false">'VOL DWNLD'!N220+'VOL DELTA'!N220</f>
        <v>1</v>
      </c>
      <c r="O220" s="168" t="n">
        <f aca="false">'VOL DWNLD'!O220+'VOL DELTA'!O220</f>
        <v>1</v>
      </c>
      <c r="P220" s="168" t="n">
        <f aca="false">'VOL DWNLD'!P220+'VOL DELTA'!P220</f>
        <v>1.03</v>
      </c>
      <c r="Q220" s="168" t="n">
        <f aca="false">'VOL DWNLD'!Q220+'VOL DELTA'!Q220</f>
        <v>1</v>
      </c>
      <c r="R220" s="168" t="n">
        <f aca="false">'VOL DWNLD'!R220+'VOL DELTA'!R220</f>
        <v>1</v>
      </c>
      <c r="S220" s="168" t="n">
        <f aca="false">'VOL DWNLD'!S220+'VOL DELTA'!S220</f>
        <v>1.02</v>
      </c>
      <c r="T220" s="168" t="n">
        <f aca="false">'VOL DWNLD'!T220+'VOL DELTA'!T220</f>
        <v>1</v>
      </c>
      <c r="U220" s="168" t="n">
        <f aca="false">'VOL DWNLD'!U220+'VOL DELTA'!U220</f>
        <v>1</v>
      </c>
      <c r="V220" s="168" t="n">
        <f aca="false">'VOL DWNLD'!V220+'VOL DELTA'!V220</f>
        <v>1</v>
      </c>
      <c r="W220" s="168" t="n">
        <f aca="false">'VOL DWNLD'!W220+'VOL DELTA'!W220</f>
        <v>1</v>
      </c>
      <c r="X220" s="168" t="n">
        <f aca="false">'VOL DWNLD'!X220+'VOL DELTA'!X220</f>
        <v>1</v>
      </c>
      <c r="Y220" s="168" t="n">
        <f aca="false">'VOL DWNLD'!Y220+'VOL DELTA'!Y220</f>
        <v>1.02</v>
      </c>
      <c r="Z220" s="168" t="n">
        <f aca="false">'VOL DWNLD'!Z220+'VOL DELTA'!Z220</f>
        <v>1</v>
      </c>
      <c r="AA220" s="168" t="n">
        <f aca="false">'VOL DWNLD'!AA220+'VOL DELTA'!AA220</f>
        <v>1</v>
      </c>
      <c r="AB220" s="168" t="n">
        <f aca="false">'VOL DWNLD'!AB220+'VOL DELTA'!AB220</f>
        <v>1</v>
      </c>
      <c r="AC220" s="168" t="n">
        <f aca="false">'VOL DWNLD'!AC220+'VOL DELTA'!AC220</f>
        <v>1</v>
      </c>
      <c r="AD220" s="168" t="n">
        <f aca="false">'VOL DWNLD'!AD220+'VOL DELTA'!AD220</f>
        <v>0.98</v>
      </c>
      <c r="AE220" s="168" t="n">
        <f aca="false">'VOL DWNLD'!AE220+'VOL DELTA'!AE220</f>
        <v>0.98</v>
      </c>
      <c r="AF220" s="168" t="n">
        <f aca="false">'VOL DWNLD'!AF220+'VOL DELTA'!AF220</f>
        <v>0.98</v>
      </c>
      <c r="AG220" s="168" t="n">
        <f aca="false">'VOL DWNLD'!AG220+'VOL DELTA'!AG220</f>
        <v>0.98</v>
      </c>
      <c r="AH220" s="168" t="n">
        <f aca="false">'VOL DWNLD'!AH220+'VOL DELTA'!AH220</f>
        <v>1.05</v>
      </c>
      <c r="AI220" s="168" t="n">
        <f aca="false">'VOL DWNLD'!AI220+'VOL DELTA'!AI220</f>
        <v>1</v>
      </c>
      <c r="AJ220" s="168" t="n">
        <f aca="false">'VOL DWNLD'!AJ220+'VOL DELTA'!AJ220</f>
        <v>1</v>
      </c>
      <c r="AK220" s="168" t="n">
        <f aca="false">'VOL DWNLD'!AK220+'VOL DELTA'!AK220</f>
        <v>1.02</v>
      </c>
      <c r="AL220" s="168" t="n">
        <f aca="false">'VOL DWNLD'!AL220+'VOL DELTA'!AL220</f>
        <v>1</v>
      </c>
      <c r="AM220" s="168" t="n">
        <f aca="false">'VOL DWNLD'!AM220+'VOL DELTA'!AM220</f>
        <v>1</v>
      </c>
      <c r="AN220" s="168" t="n">
        <f aca="false">'VOL DWNLD'!AN220+'VOL DELTA'!AN220</f>
        <v>1</v>
      </c>
      <c r="AO220" s="168" t="n">
        <f aca="false">'VOL DWNLD'!AO220+'VOL DELTA'!AO220</f>
        <v>1</v>
      </c>
    </row>
    <row r="221" customFormat="false" ht="12.75" hidden="false" customHeight="false" outlineLevel="0" collapsed="false">
      <c r="B221" s="168" t="n">
        <f aca="false">'VOL DWNLD'!B221+'VOL DELTA'!B221</f>
        <v>1</v>
      </c>
      <c r="C221" s="168" t="n">
        <f aca="false">'VOL DWNLD'!C221+'VOL DELTA'!C221</f>
        <v>1</v>
      </c>
      <c r="D221" s="168" t="n">
        <f aca="false">'VOL DWNLD'!D221+'VOL DELTA'!D221</f>
        <v>1</v>
      </c>
      <c r="E221" s="168" t="n">
        <f aca="false">'VOL DWNLD'!E221+'VOL DELTA'!E221</f>
        <v>1</v>
      </c>
      <c r="F221" s="168" t="n">
        <f aca="false">'VOL DWNLD'!F221+'VOL DELTA'!F221</f>
        <v>1</v>
      </c>
      <c r="G221" s="168" t="n">
        <f aca="false">'VOL DWNLD'!G221+'VOL DELTA'!G221</f>
        <v>1</v>
      </c>
      <c r="H221" s="168" t="n">
        <f aca="false">'VOL DWNLD'!H221+'VOL DELTA'!H221</f>
        <v>1</v>
      </c>
      <c r="I221" s="168" t="n">
        <f aca="false">'VOL DWNLD'!I221+'VOL DELTA'!I221</f>
        <v>1</v>
      </c>
      <c r="J221" s="168" t="n">
        <f aca="false">'VOL DWNLD'!J221+'VOL DELTA'!J221</f>
        <v>1</v>
      </c>
      <c r="K221" s="168" t="n">
        <f aca="false">'VOL DWNLD'!K221+'VOL DELTA'!K221</f>
        <v>1</v>
      </c>
      <c r="L221" s="168" t="n">
        <f aca="false">'VOL DWNLD'!L221+'VOL DELTA'!L221</f>
        <v>1</v>
      </c>
      <c r="M221" s="168" t="n">
        <f aca="false">'VOL DWNLD'!M221+'VOL DELTA'!M221</f>
        <v>1</v>
      </c>
      <c r="N221" s="168" t="n">
        <f aca="false">'VOL DWNLD'!N221+'VOL DELTA'!N221</f>
        <v>1</v>
      </c>
      <c r="O221" s="168" t="n">
        <f aca="false">'VOL DWNLD'!O221+'VOL DELTA'!O221</f>
        <v>1</v>
      </c>
      <c r="P221" s="168" t="n">
        <f aca="false">'VOL DWNLD'!P221+'VOL DELTA'!P221</f>
        <v>1.03</v>
      </c>
      <c r="Q221" s="168" t="n">
        <f aca="false">'VOL DWNLD'!Q221+'VOL DELTA'!Q221</f>
        <v>1</v>
      </c>
      <c r="R221" s="168" t="n">
        <f aca="false">'VOL DWNLD'!R221+'VOL DELTA'!R221</f>
        <v>1</v>
      </c>
      <c r="S221" s="168" t="n">
        <f aca="false">'VOL DWNLD'!S221+'VOL DELTA'!S221</f>
        <v>1.02</v>
      </c>
      <c r="T221" s="168" t="n">
        <f aca="false">'VOL DWNLD'!T221+'VOL DELTA'!T221</f>
        <v>1</v>
      </c>
      <c r="U221" s="168" t="n">
        <f aca="false">'VOL DWNLD'!U221+'VOL DELTA'!U221</f>
        <v>1</v>
      </c>
      <c r="V221" s="168" t="n">
        <f aca="false">'VOL DWNLD'!V221+'VOL DELTA'!V221</f>
        <v>1</v>
      </c>
      <c r="W221" s="168" t="n">
        <f aca="false">'VOL DWNLD'!W221+'VOL DELTA'!W221</f>
        <v>1</v>
      </c>
      <c r="X221" s="168" t="n">
        <f aca="false">'VOL DWNLD'!X221+'VOL DELTA'!X221</f>
        <v>1</v>
      </c>
      <c r="Y221" s="168" t="n">
        <f aca="false">'VOL DWNLD'!Y221+'VOL DELTA'!Y221</f>
        <v>1</v>
      </c>
      <c r="Z221" s="168" t="n">
        <f aca="false">'VOL DWNLD'!Z221+'VOL DELTA'!Z221</f>
        <v>1</v>
      </c>
      <c r="AA221" s="168" t="n">
        <f aca="false">'VOL DWNLD'!AA221+'VOL DELTA'!AA221</f>
        <v>1</v>
      </c>
      <c r="AB221" s="168" t="n">
        <f aca="false">'VOL DWNLD'!AB221+'VOL DELTA'!AB221</f>
        <v>1</v>
      </c>
      <c r="AC221" s="168" t="n">
        <f aca="false">'VOL DWNLD'!AC221+'VOL DELTA'!AC221</f>
        <v>1</v>
      </c>
      <c r="AD221" s="168" t="n">
        <f aca="false">'VOL DWNLD'!AD221+'VOL DELTA'!AD221</f>
        <v>1</v>
      </c>
      <c r="AE221" s="168" t="n">
        <f aca="false">'VOL DWNLD'!AE221+'VOL DELTA'!AE221</f>
        <v>1</v>
      </c>
      <c r="AF221" s="168" t="n">
        <f aca="false">'VOL DWNLD'!AF221+'VOL DELTA'!AF221</f>
        <v>1.1</v>
      </c>
      <c r="AG221" s="168" t="n">
        <f aca="false">'VOL DWNLD'!AG221+'VOL DELTA'!AG221</f>
        <v>1.1</v>
      </c>
      <c r="AH221" s="168" t="n">
        <f aca="false">'VOL DWNLD'!AH221+'VOL DELTA'!AH221</f>
        <v>1.05</v>
      </c>
      <c r="AI221" s="168" t="n">
        <f aca="false">'VOL DWNLD'!AI221+'VOL DELTA'!AI221</f>
        <v>1</v>
      </c>
      <c r="AJ221" s="168" t="n">
        <f aca="false">'VOL DWNLD'!AJ221+'VOL DELTA'!AJ221</f>
        <v>1</v>
      </c>
      <c r="AK221" s="168" t="n">
        <f aca="false">'VOL DWNLD'!AK221+'VOL DELTA'!AK221</f>
        <v>1.02</v>
      </c>
      <c r="AL221" s="168" t="n">
        <f aca="false">'VOL DWNLD'!AL221+'VOL DELTA'!AL221</f>
        <v>1</v>
      </c>
      <c r="AM221" s="168" t="n">
        <f aca="false">'VOL DWNLD'!AM221+'VOL DELTA'!AM221</f>
        <v>1</v>
      </c>
      <c r="AN221" s="168" t="n">
        <f aca="false">'VOL DWNLD'!AN221+'VOL DELTA'!AN221</f>
        <v>1</v>
      </c>
      <c r="AO221" s="168" t="n">
        <f aca="false">'VOL DWNLD'!AO221+'VOL DELTA'!AO221</f>
        <v>1</v>
      </c>
    </row>
    <row r="222" customFormat="false" ht="12.75" hidden="false" customHeight="false" outlineLevel="0" collapsed="false">
      <c r="B222" s="168" t="n">
        <f aca="false">'VOL DWNLD'!B222+'VOL DELTA'!B222</f>
        <v>1</v>
      </c>
      <c r="C222" s="168" t="n">
        <f aca="false">'VOL DWNLD'!C222+'VOL DELTA'!C222</f>
        <v>1</v>
      </c>
      <c r="D222" s="168" t="n">
        <f aca="false">'VOL DWNLD'!D222+'VOL DELTA'!D222</f>
        <v>1</v>
      </c>
      <c r="E222" s="168" t="n">
        <f aca="false">'VOL DWNLD'!E222+'VOL DELTA'!E222</f>
        <v>1</v>
      </c>
      <c r="F222" s="168" t="n">
        <f aca="false">'VOL DWNLD'!F222+'VOL DELTA'!F222</f>
        <v>1</v>
      </c>
      <c r="G222" s="168" t="n">
        <f aca="false">'VOL DWNLD'!G222+'VOL DELTA'!G222</f>
        <v>1</v>
      </c>
      <c r="H222" s="168" t="n">
        <f aca="false">'VOL DWNLD'!H222+'VOL DELTA'!H222</f>
        <v>1</v>
      </c>
      <c r="I222" s="168" t="n">
        <f aca="false">'VOL DWNLD'!I222+'VOL DELTA'!I222</f>
        <v>1</v>
      </c>
      <c r="J222" s="168" t="n">
        <f aca="false">'VOL DWNLD'!J222+'VOL DELTA'!J222</f>
        <v>1</v>
      </c>
      <c r="K222" s="168" t="n">
        <f aca="false">'VOL DWNLD'!K222+'VOL DELTA'!K222</f>
        <v>1</v>
      </c>
      <c r="L222" s="168" t="n">
        <f aca="false">'VOL DWNLD'!L222+'VOL DELTA'!L222</f>
        <v>1</v>
      </c>
      <c r="M222" s="168" t="n">
        <f aca="false">'VOL DWNLD'!M222+'VOL DELTA'!M222</f>
        <v>1</v>
      </c>
      <c r="N222" s="168" t="n">
        <f aca="false">'VOL DWNLD'!N222+'VOL DELTA'!N222</f>
        <v>1</v>
      </c>
      <c r="O222" s="168" t="n">
        <f aca="false">'VOL DWNLD'!O222+'VOL DELTA'!O222</f>
        <v>1</v>
      </c>
      <c r="P222" s="168" t="n">
        <f aca="false">'VOL DWNLD'!P222+'VOL DELTA'!P222</f>
        <v>1.03</v>
      </c>
      <c r="Q222" s="168" t="n">
        <f aca="false">'VOL DWNLD'!Q222+'VOL DELTA'!Q222</f>
        <v>1</v>
      </c>
      <c r="R222" s="168" t="n">
        <f aca="false">'VOL DWNLD'!R222+'VOL DELTA'!R222</f>
        <v>1</v>
      </c>
      <c r="S222" s="168" t="n">
        <f aca="false">'VOL DWNLD'!S222+'VOL DELTA'!S222</f>
        <v>1.02</v>
      </c>
      <c r="T222" s="168" t="n">
        <f aca="false">'VOL DWNLD'!T222+'VOL DELTA'!T222</f>
        <v>1</v>
      </c>
      <c r="U222" s="168" t="n">
        <f aca="false">'VOL DWNLD'!U222+'VOL DELTA'!U222</f>
        <v>1</v>
      </c>
      <c r="V222" s="168" t="n">
        <f aca="false">'VOL DWNLD'!V222+'VOL DELTA'!V222</f>
        <v>1</v>
      </c>
      <c r="W222" s="168" t="n">
        <f aca="false">'VOL DWNLD'!W222+'VOL DELTA'!W222</f>
        <v>1</v>
      </c>
      <c r="X222" s="168" t="n">
        <f aca="false">'VOL DWNLD'!X222+'VOL DELTA'!X222</f>
        <v>1</v>
      </c>
      <c r="Y222" s="168" t="n">
        <f aca="false">'VOL DWNLD'!Y222+'VOL DELTA'!Y222</f>
        <v>1</v>
      </c>
      <c r="Z222" s="168" t="n">
        <f aca="false">'VOL DWNLD'!Z222+'VOL DELTA'!Z222</f>
        <v>1</v>
      </c>
      <c r="AA222" s="168" t="n">
        <f aca="false">'VOL DWNLD'!AA222+'VOL DELTA'!AA222</f>
        <v>1</v>
      </c>
      <c r="AB222" s="168" t="n">
        <f aca="false">'VOL DWNLD'!AB222+'VOL DELTA'!AB222</f>
        <v>1</v>
      </c>
      <c r="AC222" s="168" t="n">
        <f aca="false">'VOL DWNLD'!AC222+'VOL DELTA'!AC222</f>
        <v>1</v>
      </c>
      <c r="AD222" s="168" t="n">
        <f aca="false">'VOL DWNLD'!AD222+'VOL DELTA'!AD222</f>
        <v>1</v>
      </c>
      <c r="AE222" s="168" t="n">
        <f aca="false">'VOL DWNLD'!AE222+'VOL DELTA'!AE222</f>
        <v>1</v>
      </c>
      <c r="AF222" s="168" t="n">
        <f aca="false">'VOL DWNLD'!AF222+'VOL DELTA'!AF222</f>
        <v>1.1</v>
      </c>
      <c r="AG222" s="168" t="n">
        <f aca="false">'VOL DWNLD'!AG222+'VOL DELTA'!AG222</f>
        <v>1.1</v>
      </c>
      <c r="AH222" s="168" t="n">
        <f aca="false">'VOL DWNLD'!AH222+'VOL DELTA'!AH222</f>
        <v>1.05</v>
      </c>
      <c r="AI222" s="168" t="n">
        <f aca="false">'VOL DWNLD'!AI222+'VOL DELTA'!AI222</f>
        <v>1</v>
      </c>
      <c r="AJ222" s="168" t="n">
        <f aca="false">'VOL DWNLD'!AJ222+'VOL DELTA'!AJ222</f>
        <v>1</v>
      </c>
      <c r="AK222" s="168" t="n">
        <f aca="false">'VOL DWNLD'!AK222+'VOL DELTA'!AK222</f>
        <v>1.02</v>
      </c>
      <c r="AL222" s="168" t="n">
        <f aca="false">'VOL DWNLD'!AL222+'VOL DELTA'!AL222</f>
        <v>1</v>
      </c>
      <c r="AM222" s="168" t="n">
        <f aca="false">'VOL DWNLD'!AM222+'VOL DELTA'!AM222</f>
        <v>1</v>
      </c>
      <c r="AN222" s="168" t="n">
        <f aca="false">'VOL DWNLD'!AN222+'VOL DELTA'!AN222</f>
        <v>1</v>
      </c>
      <c r="AO222" s="168" t="n">
        <f aca="false">'VOL DWNLD'!AO222+'VOL DELTA'!AO222</f>
        <v>1</v>
      </c>
    </row>
    <row r="223" customFormat="false" ht="12.75" hidden="false" customHeight="false" outlineLevel="0" collapsed="false">
      <c r="B223" s="168" t="n">
        <f aca="false">'VOL DWNLD'!B223+'VOL DELTA'!B223</f>
        <v>1</v>
      </c>
      <c r="C223" s="168" t="n">
        <f aca="false">'VOL DWNLD'!C223+'VOL DELTA'!C223</f>
        <v>1</v>
      </c>
      <c r="D223" s="168" t="n">
        <f aca="false">'VOL DWNLD'!D223+'VOL DELTA'!D223</f>
        <v>1</v>
      </c>
      <c r="E223" s="168" t="n">
        <f aca="false">'VOL DWNLD'!E223+'VOL DELTA'!E223</f>
        <v>1</v>
      </c>
      <c r="F223" s="168" t="n">
        <f aca="false">'VOL DWNLD'!F223+'VOL DELTA'!F223</f>
        <v>1</v>
      </c>
      <c r="G223" s="168" t="n">
        <f aca="false">'VOL DWNLD'!G223+'VOL DELTA'!G223</f>
        <v>1</v>
      </c>
      <c r="H223" s="168" t="n">
        <f aca="false">'VOL DWNLD'!H223+'VOL DELTA'!H223</f>
        <v>1</v>
      </c>
      <c r="I223" s="168" t="n">
        <f aca="false">'VOL DWNLD'!I223+'VOL DELTA'!I223</f>
        <v>1</v>
      </c>
      <c r="J223" s="168" t="n">
        <f aca="false">'VOL DWNLD'!J223+'VOL DELTA'!J223</f>
        <v>1</v>
      </c>
      <c r="K223" s="168" t="n">
        <f aca="false">'VOL DWNLD'!K223+'VOL DELTA'!K223</f>
        <v>1</v>
      </c>
      <c r="L223" s="168" t="n">
        <f aca="false">'VOL DWNLD'!L223+'VOL DELTA'!L223</f>
        <v>1</v>
      </c>
      <c r="M223" s="168" t="n">
        <f aca="false">'VOL DWNLD'!M223+'VOL DELTA'!M223</f>
        <v>1</v>
      </c>
      <c r="N223" s="168" t="n">
        <f aca="false">'VOL DWNLD'!N223+'VOL DELTA'!N223</f>
        <v>1</v>
      </c>
      <c r="O223" s="168" t="n">
        <f aca="false">'VOL DWNLD'!O223+'VOL DELTA'!O223</f>
        <v>1</v>
      </c>
      <c r="P223" s="168" t="n">
        <f aca="false">'VOL DWNLD'!P223+'VOL DELTA'!P223</f>
        <v>1.03</v>
      </c>
      <c r="Q223" s="168" t="n">
        <f aca="false">'VOL DWNLD'!Q223+'VOL DELTA'!Q223</f>
        <v>1</v>
      </c>
      <c r="R223" s="168" t="n">
        <f aca="false">'VOL DWNLD'!R223+'VOL DELTA'!R223</f>
        <v>1</v>
      </c>
      <c r="S223" s="168" t="n">
        <f aca="false">'VOL DWNLD'!S223+'VOL DELTA'!S223</f>
        <v>1.02</v>
      </c>
      <c r="T223" s="168" t="n">
        <f aca="false">'VOL DWNLD'!T223+'VOL DELTA'!T223</f>
        <v>1</v>
      </c>
      <c r="U223" s="168" t="n">
        <f aca="false">'VOL DWNLD'!U223+'VOL DELTA'!U223</f>
        <v>1</v>
      </c>
      <c r="V223" s="168" t="n">
        <f aca="false">'VOL DWNLD'!V223+'VOL DELTA'!V223</f>
        <v>1</v>
      </c>
      <c r="W223" s="168" t="n">
        <f aca="false">'VOL DWNLD'!W223+'VOL DELTA'!W223</f>
        <v>1</v>
      </c>
      <c r="X223" s="168" t="n">
        <f aca="false">'VOL DWNLD'!X223+'VOL DELTA'!X223</f>
        <v>1</v>
      </c>
      <c r="Y223" s="168" t="n">
        <f aca="false">'VOL DWNLD'!Y223+'VOL DELTA'!Y223</f>
        <v>1</v>
      </c>
      <c r="Z223" s="168" t="n">
        <f aca="false">'VOL DWNLD'!Z223+'VOL DELTA'!Z223</f>
        <v>1</v>
      </c>
      <c r="AA223" s="168" t="n">
        <f aca="false">'VOL DWNLD'!AA223+'VOL DELTA'!AA223</f>
        <v>1</v>
      </c>
      <c r="AB223" s="168" t="n">
        <f aca="false">'VOL DWNLD'!AB223+'VOL DELTA'!AB223</f>
        <v>1</v>
      </c>
      <c r="AC223" s="168" t="n">
        <f aca="false">'VOL DWNLD'!AC223+'VOL DELTA'!AC223</f>
        <v>1</v>
      </c>
      <c r="AD223" s="168" t="n">
        <f aca="false">'VOL DWNLD'!AD223+'VOL DELTA'!AD223</f>
        <v>1</v>
      </c>
      <c r="AE223" s="168" t="n">
        <f aca="false">'VOL DWNLD'!AE223+'VOL DELTA'!AE223</f>
        <v>1</v>
      </c>
      <c r="AF223" s="168" t="n">
        <f aca="false">'VOL DWNLD'!AF223+'VOL DELTA'!AF223</f>
        <v>1.1</v>
      </c>
      <c r="AG223" s="168" t="n">
        <f aca="false">'VOL DWNLD'!AG223+'VOL DELTA'!AG223</f>
        <v>1.1</v>
      </c>
      <c r="AH223" s="168" t="n">
        <f aca="false">'VOL DWNLD'!AH223+'VOL DELTA'!AH223</f>
        <v>1.05</v>
      </c>
      <c r="AI223" s="168" t="n">
        <f aca="false">'VOL DWNLD'!AI223+'VOL DELTA'!AI223</f>
        <v>1</v>
      </c>
      <c r="AJ223" s="168" t="n">
        <f aca="false">'VOL DWNLD'!AJ223+'VOL DELTA'!AJ223</f>
        <v>1</v>
      </c>
      <c r="AK223" s="168" t="n">
        <f aca="false">'VOL DWNLD'!AK223+'VOL DELTA'!AK223</f>
        <v>1.02</v>
      </c>
      <c r="AL223" s="168" t="n">
        <f aca="false">'VOL DWNLD'!AL223+'VOL DELTA'!AL223</f>
        <v>1</v>
      </c>
      <c r="AM223" s="168" t="n">
        <f aca="false">'VOL DWNLD'!AM223+'VOL DELTA'!AM223</f>
        <v>1</v>
      </c>
      <c r="AN223" s="168" t="n">
        <f aca="false">'VOL DWNLD'!AN223+'VOL DELTA'!AN223</f>
        <v>1</v>
      </c>
      <c r="AO223" s="168" t="n">
        <f aca="false">'VOL DWNLD'!AO223+'VOL DELTA'!AO223</f>
        <v>1</v>
      </c>
    </row>
    <row r="224" customFormat="false" ht="12.75" hidden="false" customHeight="false" outlineLevel="0" collapsed="false">
      <c r="B224" s="168" t="n">
        <f aca="false">'VOL DWNLD'!B224+'VOL DELTA'!B224</f>
        <v>1</v>
      </c>
      <c r="C224" s="168" t="n">
        <f aca="false">'VOL DWNLD'!C224+'VOL DELTA'!C224</f>
        <v>1</v>
      </c>
      <c r="D224" s="168" t="n">
        <f aca="false">'VOL DWNLD'!D224+'VOL DELTA'!D224</f>
        <v>1</v>
      </c>
      <c r="E224" s="168" t="n">
        <f aca="false">'VOL DWNLD'!E224+'VOL DELTA'!E224</f>
        <v>1</v>
      </c>
      <c r="F224" s="168" t="n">
        <f aca="false">'VOL DWNLD'!F224+'VOL DELTA'!F224</f>
        <v>1</v>
      </c>
      <c r="G224" s="168" t="n">
        <f aca="false">'VOL DWNLD'!G224+'VOL DELTA'!G224</f>
        <v>1</v>
      </c>
      <c r="H224" s="168" t="n">
        <f aca="false">'VOL DWNLD'!H224+'VOL DELTA'!H224</f>
        <v>1</v>
      </c>
      <c r="I224" s="168" t="n">
        <f aca="false">'VOL DWNLD'!I224+'VOL DELTA'!I224</f>
        <v>1</v>
      </c>
      <c r="J224" s="168" t="n">
        <f aca="false">'VOL DWNLD'!J224+'VOL DELTA'!J224</f>
        <v>1</v>
      </c>
      <c r="K224" s="168" t="n">
        <f aca="false">'VOL DWNLD'!K224+'VOL DELTA'!K224</f>
        <v>1</v>
      </c>
      <c r="L224" s="168" t="n">
        <f aca="false">'VOL DWNLD'!L224+'VOL DELTA'!L224</f>
        <v>1</v>
      </c>
      <c r="M224" s="168" t="n">
        <f aca="false">'VOL DWNLD'!M224+'VOL DELTA'!M224</f>
        <v>1</v>
      </c>
      <c r="N224" s="168" t="n">
        <f aca="false">'VOL DWNLD'!N224+'VOL DELTA'!N224</f>
        <v>1</v>
      </c>
      <c r="O224" s="168" t="n">
        <f aca="false">'VOL DWNLD'!O224+'VOL DELTA'!O224</f>
        <v>1</v>
      </c>
      <c r="P224" s="168" t="n">
        <f aca="false">'VOL DWNLD'!P224+'VOL DELTA'!P224</f>
        <v>1.03</v>
      </c>
      <c r="Q224" s="168" t="n">
        <f aca="false">'VOL DWNLD'!Q224+'VOL DELTA'!Q224</f>
        <v>1</v>
      </c>
      <c r="R224" s="168" t="n">
        <f aca="false">'VOL DWNLD'!R224+'VOL DELTA'!R224</f>
        <v>1</v>
      </c>
      <c r="S224" s="168" t="n">
        <f aca="false">'VOL DWNLD'!S224+'VOL DELTA'!S224</f>
        <v>1.02</v>
      </c>
      <c r="T224" s="168" t="n">
        <f aca="false">'VOL DWNLD'!T224+'VOL DELTA'!T224</f>
        <v>1</v>
      </c>
      <c r="U224" s="168" t="n">
        <f aca="false">'VOL DWNLD'!U224+'VOL DELTA'!U224</f>
        <v>1</v>
      </c>
      <c r="V224" s="168" t="n">
        <f aca="false">'VOL DWNLD'!V224+'VOL DELTA'!V224</f>
        <v>1</v>
      </c>
      <c r="W224" s="168" t="n">
        <f aca="false">'VOL DWNLD'!W224+'VOL DELTA'!W224</f>
        <v>1</v>
      </c>
      <c r="X224" s="168" t="n">
        <f aca="false">'VOL DWNLD'!X224+'VOL DELTA'!X224</f>
        <v>1</v>
      </c>
      <c r="Y224" s="168" t="n">
        <f aca="false">'VOL DWNLD'!Y224+'VOL DELTA'!Y224</f>
        <v>1</v>
      </c>
      <c r="Z224" s="168" t="n">
        <f aca="false">'VOL DWNLD'!Z224+'VOL DELTA'!Z224</f>
        <v>1</v>
      </c>
      <c r="AA224" s="168" t="n">
        <f aca="false">'VOL DWNLD'!AA224+'VOL DELTA'!AA224</f>
        <v>1</v>
      </c>
      <c r="AB224" s="168" t="n">
        <f aca="false">'VOL DWNLD'!AB224+'VOL DELTA'!AB224</f>
        <v>1</v>
      </c>
      <c r="AC224" s="168" t="n">
        <f aca="false">'VOL DWNLD'!AC224+'VOL DELTA'!AC224</f>
        <v>1</v>
      </c>
      <c r="AD224" s="168" t="n">
        <f aca="false">'VOL DWNLD'!AD224+'VOL DELTA'!AD224</f>
        <v>1</v>
      </c>
      <c r="AE224" s="168" t="n">
        <f aca="false">'VOL DWNLD'!AE224+'VOL DELTA'!AE224</f>
        <v>1</v>
      </c>
      <c r="AF224" s="168" t="n">
        <f aca="false">'VOL DWNLD'!AF224+'VOL DELTA'!AF224</f>
        <v>1.1</v>
      </c>
      <c r="AG224" s="168" t="n">
        <f aca="false">'VOL DWNLD'!AG224+'VOL DELTA'!AG224</f>
        <v>1.1</v>
      </c>
      <c r="AH224" s="168" t="n">
        <f aca="false">'VOL DWNLD'!AH224+'VOL DELTA'!AH224</f>
        <v>1.05</v>
      </c>
      <c r="AI224" s="168" t="n">
        <f aca="false">'VOL DWNLD'!AI224+'VOL DELTA'!AI224</f>
        <v>1</v>
      </c>
      <c r="AJ224" s="168" t="n">
        <f aca="false">'VOL DWNLD'!AJ224+'VOL DELTA'!AJ224</f>
        <v>1</v>
      </c>
      <c r="AK224" s="168" t="n">
        <f aca="false">'VOL DWNLD'!AK224+'VOL DELTA'!AK224</f>
        <v>1.02</v>
      </c>
      <c r="AL224" s="168" t="n">
        <f aca="false">'VOL DWNLD'!AL224+'VOL DELTA'!AL224</f>
        <v>1</v>
      </c>
      <c r="AM224" s="168" t="n">
        <f aca="false">'VOL DWNLD'!AM224+'VOL DELTA'!AM224</f>
        <v>1</v>
      </c>
      <c r="AN224" s="168" t="n">
        <f aca="false">'VOL DWNLD'!AN224+'VOL DELTA'!AN224</f>
        <v>1</v>
      </c>
      <c r="AO224" s="168" t="n">
        <f aca="false">'VOL DWNLD'!AO224+'VOL DELTA'!AO224</f>
        <v>1</v>
      </c>
    </row>
    <row r="225" customFormat="false" ht="12.75" hidden="false" customHeight="false" outlineLevel="0" collapsed="false">
      <c r="B225" s="168" t="n">
        <f aca="false">'VOL DWNLD'!B225+'VOL DELTA'!B225</f>
        <v>1</v>
      </c>
      <c r="C225" s="168" t="n">
        <f aca="false">'VOL DWNLD'!C225+'VOL DELTA'!C225</f>
        <v>1</v>
      </c>
      <c r="D225" s="168" t="n">
        <f aca="false">'VOL DWNLD'!D225+'VOL DELTA'!D225</f>
        <v>1</v>
      </c>
      <c r="E225" s="168" t="n">
        <f aca="false">'VOL DWNLD'!E225+'VOL DELTA'!E225</f>
        <v>1</v>
      </c>
      <c r="F225" s="168" t="n">
        <f aca="false">'VOL DWNLD'!F225+'VOL DELTA'!F225</f>
        <v>1</v>
      </c>
      <c r="G225" s="168" t="n">
        <f aca="false">'VOL DWNLD'!G225+'VOL DELTA'!G225</f>
        <v>1</v>
      </c>
      <c r="H225" s="168" t="n">
        <f aca="false">'VOL DWNLD'!H225+'VOL DELTA'!H225</f>
        <v>1</v>
      </c>
      <c r="I225" s="168" t="n">
        <f aca="false">'VOL DWNLD'!I225+'VOL DELTA'!I225</f>
        <v>1</v>
      </c>
      <c r="J225" s="168" t="n">
        <f aca="false">'VOL DWNLD'!J225+'VOL DELTA'!J225</f>
        <v>1</v>
      </c>
      <c r="K225" s="168" t="n">
        <f aca="false">'VOL DWNLD'!K225+'VOL DELTA'!K225</f>
        <v>1</v>
      </c>
      <c r="L225" s="168" t="n">
        <f aca="false">'VOL DWNLD'!L225+'VOL DELTA'!L225</f>
        <v>1</v>
      </c>
      <c r="M225" s="168" t="n">
        <f aca="false">'VOL DWNLD'!M225+'VOL DELTA'!M225</f>
        <v>1</v>
      </c>
      <c r="N225" s="168" t="n">
        <f aca="false">'VOL DWNLD'!N225+'VOL DELTA'!N225</f>
        <v>1</v>
      </c>
      <c r="O225" s="168" t="n">
        <f aca="false">'VOL DWNLD'!O225+'VOL DELTA'!O225</f>
        <v>1</v>
      </c>
      <c r="P225" s="168" t="n">
        <f aca="false">'VOL DWNLD'!P225+'VOL DELTA'!P225</f>
        <v>1.03</v>
      </c>
      <c r="Q225" s="168" t="n">
        <f aca="false">'VOL DWNLD'!Q225+'VOL DELTA'!Q225</f>
        <v>1</v>
      </c>
      <c r="R225" s="168" t="n">
        <f aca="false">'VOL DWNLD'!R225+'VOL DELTA'!R225</f>
        <v>1</v>
      </c>
      <c r="S225" s="168" t="n">
        <f aca="false">'VOL DWNLD'!S225+'VOL DELTA'!S225</f>
        <v>1.02</v>
      </c>
      <c r="T225" s="168" t="n">
        <f aca="false">'VOL DWNLD'!T225+'VOL DELTA'!T225</f>
        <v>1</v>
      </c>
      <c r="U225" s="168" t="n">
        <f aca="false">'VOL DWNLD'!U225+'VOL DELTA'!U225</f>
        <v>1</v>
      </c>
      <c r="V225" s="168" t="n">
        <f aca="false">'VOL DWNLD'!V225+'VOL DELTA'!V225</f>
        <v>1</v>
      </c>
      <c r="W225" s="168" t="n">
        <f aca="false">'VOL DWNLD'!W225+'VOL DELTA'!W225</f>
        <v>1</v>
      </c>
      <c r="X225" s="168" t="n">
        <f aca="false">'VOL DWNLD'!X225+'VOL DELTA'!X225</f>
        <v>1</v>
      </c>
      <c r="Y225" s="168" t="n">
        <f aca="false">'VOL DWNLD'!Y225+'VOL DELTA'!Y225</f>
        <v>1</v>
      </c>
      <c r="Z225" s="168" t="n">
        <f aca="false">'VOL DWNLD'!Z225+'VOL DELTA'!Z225</f>
        <v>1</v>
      </c>
      <c r="AA225" s="168" t="n">
        <f aca="false">'VOL DWNLD'!AA225+'VOL DELTA'!AA225</f>
        <v>1</v>
      </c>
      <c r="AB225" s="168" t="n">
        <f aca="false">'VOL DWNLD'!AB225+'VOL DELTA'!AB225</f>
        <v>1</v>
      </c>
      <c r="AC225" s="168" t="n">
        <f aca="false">'VOL DWNLD'!AC225+'VOL DELTA'!AC225</f>
        <v>1</v>
      </c>
      <c r="AD225" s="168" t="n">
        <f aca="false">'VOL DWNLD'!AD225+'VOL DELTA'!AD225</f>
        <v>1</v>
      </c>
      <c r="AE225" s="168" t="n">
        <f aca="false">'VOL DWNLD'!AE225+'VOL DELTA'!AE225</f>
        <v>1</v>
      </c>
      <c r="AF225" s="168" t="n">
        <f aca="false">'VOL DWNLD'!AF225+'VOL DELTA'!AF225</f>
        <v>1.1</v>
      </c>
      <c r="AG225" s="168" t="n">
        <f aca="false">'VOL DWNLD'!AG225+'VOL DELTA'!AG225</f>
        <v>1.1</v>
      </c>
      <c r="AH225" s="168" t="n">
        <f aca="false">'VOL DWNLD'!AH225+'VOL DELTA'!AH225</f>
        <v>1.05</v>
      </c>
      <c r="AI225" s="168" t="n">
        <f aca="false">'VOL DWNLD'!AI225+'VOL DELTA'!AI225</f>
        <v>1</v>
      </c>
      <c r="AJ225" s="168" t="n">
        <f aca="false">'VOL DWNLD'!AJ225+'VOL DELTA'!AJ225</f>
        <v>1</v>
      </c>
      <c r="AK225" s="168" t="n">
        <f aca="false">'VOL DWNLD'!AK225+'VOL DELTA'!AK225</f>
        <v>1.02</v>
      </c>
      <c r="AL225" s="168" t="n">
        <f aca="false">'VOL DWNLD'!AL225+'VOL DELTA'!AL225</f>
        <v>1</v>
      </c>
      <c r="AM225" s="168" t="n">
        <f aca="false">'VOL DWNLD'!AM225+'VOL DELTA'!AM225</f>
        <v>1</v>
      </c>
      <c r="AN225" s="168" t="n">
        <f aca="false">'VOL DWNLD'!AN225+'VOL DELTA'!AN225</f>
        <v>1</v>
      </c>
      <c r="AO225" s="168" t="n">
        <f aca="false">'VOL DWNLD'!AO225+'VOL DELTA'!AO225</f>
        <v>1</v>
      </c>
    </row>
    <row r="226" customFormat="false" ht="12.75" hidden="false" customHeight="false" outlineLevel="0" collapsed="false">
      <c r="B226" s="168" t="n">
        <f aca="false">'VOL DWNLD'!B226+'VOL DELTA'!B226</f>
        <v>1</v>
      </c>
      <c r="C226" s="168" t="n">
        <f aca="false">'VOL DWNLD'!C226+'VOL DELTA'!C226</f>
        <v>1</v>
      </c>
      <c r="D226" s="168" t="n">
        <f aca="false">'VOL DWNLD'!D226+'VOL DELTA'!D226</f>
        <v>1</v>
      </c>
      <c r="E226" s="168" t="n">
        <f aca="false">'VOL DWNLD'!E226+'VOL DELTA'!E226</f>
        <v>1</v>
      </c>
      <c r="F226" s="168" t="n">
        <f aca="false">'VOL DWNLD'!F226+'VOL DELTA'!F226</f>
        <v>1</v>
      </c>
      <c r="G226" s="168" t="n">
        <f aca="false">'VOL DWNLD'!G226+'VOL DELTA'!G226</f>
        <v>1</v>
      </c>
      <c r="H226" s="168" t="n">
        <f aca="false">'VOL DWNLD'!H226+'VOL DELTA'!H226</f>
        <v>1</v>
      </c>
      <c r="I226" s="168" t="n">
        <f aca="false">'VOL DWNLD'!I226+'VOL DELTA'!I226</f>
        <v>1</v>
      </c>
      <c r="J226" s="168" t="n">
        <f aca="false">'VOL DWNLD'!J226+'VOL DELTA'!J226</f>
        <v>1</v>
      </c>
      <c r="K226" s="168" t="n">
        <f aca="false">'VOL DWNLD'!K226+'VOL DELTA'!K226</f>
        <v>1</v>
      </c>
      <c r="L226" s="168" t="n">
        <f aca="false">'VOL DWNLD'!L226+'VOL DELTA'!L226</f>
        <v>1</v>
      </c>
      <c r="M226" s="168" t="n">
        <f aca="false">'VOL DWNLD'!M226+'VOL DELTA'!M226</f>
        <v>1</v>
      </c>
      <c r="N226" s="168" t="n">
        <f aca="false">'VOL DWNLD'!N226+'VOL DELTA'!N226</f>
        <v>1</v>
      </c>
      <c r="O226" s="168" t="n">
        <f aca="false">'VOL DWNLD'!O226+'VOL DELTA'!O226</f>
        <v>1</v>
      </c>
      <c r="P226" s="168" t="n">
        <f aca="false">'VOL DWNLD'!P226+'VOL DELTA'!P226</f>
        <v>1.03</v>
      </c>
      <c r="Q226" s="168" t="n">
        <f aca="false">'VOL DWNLD'!Q226+'VOL DELTA'!Q226</f>
        <v>1</v>
      </c>
      <c r="R226" s="168" t="n">
        <f aca="false">'VOL DWNLD'!R226+'VOL DELTA'!R226</f>
        <v>1</v>
      </c>
      <c r="S226" s="168" t="n">
        <f aca="false">'VOL DWNLD'!S226+'VOL DELTA'!S226</f>
        <v>1.02</v>
      </c>
      <c r="T226" s="168" t="n">
        <f aca="false">'VOL DWNLD'!T226+'VOL DELTA'!T226</f>
        <v>1</v>
      </c>
      <c r="U226" s="168" t="n">
        <f aca="false">'VOL DWNLD'!U226+'VOL DELTA'!U226</f>
        <v>1</v>
      </c>
      <c r="V226" s="168" t="n">
        <f aca="false">'VOL DWNLD'!V226+'VOL DELTA'!V226</f>
        <v>1</v>
      </c>
      <c r="W226" s="168" t="n">
        <f aca="false">'VOL DWNLD'!W226+'VOL DELTA'!W226</f>
        <v>1</v>
      </c>
      <c r="X226" s="168" t="n">
        <f aca="false">'VOL DWNLD'!X226+'VOL DELTA'!X226</f>
        <v>1</v>
      </c>
      <c r="Y226" s="168" t="n">
        <f aca="false">'VOL DWNLD'!Y226+'VOL DELTA'!Y226</f>
        <v>1.02</v>
      </c>
      <c r="Z226" s="168" t="n">
        <f aca="false">'VOL DWNLD'!Z226+'VOL DELTA'!Z226</f>
        <v>1</v>
      </c>
      <c r="AA226" s="168" t="n">
        <f aca="false">'VOL DWNLD'!AA226+'VOL DELTA'!AA226</f>
        <v>1</v>
      </c>
      <c r="AB226" s="168" t="n">
        <f aca="false">'VOL DWNLD'!AB226+'VOL DELTA'!AB226</f>
        <v>1</v>
      </c>
      <c r="AC226" s="168" t="n">
        <f aca="false">'VOL DWNLD'!AC226+'VOL DELTA'!AC226</f>
        <v>1</v>
      </c>
      <c r="AD226" s="168" t="n">
        <f aca="false">'VOL DWNLD'!AD226+'VOL DELTA'!AD226</f>
        <v>0.98</v>
      </c>
      <c r="AE226" s="168" t="n">
        <f aca="false">'VOL DWNLD'!AE226+'VOL DELTA'!AE226</f>
        <v>0.98</v>
      </c>
      <c r="AF226" s="168" t="n">
        <f aca="false">'VOL DWNLD'!AF226+'VOL DELTA'!AF226</f>
        <v>0.98</v>
      </c>
      <c r="AG226" s="168" t="n">
        <f aca="false">'VOL DWNLD'!AG226+'VOL DELTA'!AG226</f>
        <v>0.98</v>
      </c>
      <c r="AH226" s="168" t="n">
        <f aca="false">'VOL DWNLD'!AH226+'VOL DELTA'!AH226</f>
        <v>1.05</v>
      </c>
      <c r="AI226" s="168" t="n">
        <f aca="false">'VOL DWNLD'!AI226+'VOL DELTA'!AI226</f>
        <v>1</v>
      </c>
      <c r="AJ226" s="168" t="n">
        <f aca="false">'VOL DWNLD'!AJ226+'VOL DELTA'!AJ226</f>
        <v>1</v>
      </c>
      <c r="AK226" s="168" t="n">
        <f aca="false">'VOL DWNLD'!AK226+'VOL DELTA'!AK226</f>
        <v>1.02</v>
      </c>
      <c r="AL226" s="168" t="n">
        <f aca="false">'VOL DWNLD'!AL226+'VOL DELTA'!AL226</f>
        <v>1</v>
      </c>
      <c r="AM226" s="168" t="n">
        <f aca="false">'VOL DWNLD'!AM226+'VOL DELTA'!AM226</f>
        <v>1</v>
      </c>
      <c r="AN226" s="168" t="n">
        <f aca="false">'VOL DWNLD'!AN226+'VOL DELTA'!AN226</f>
        <v>1</v>
      </c>
      <c r="AO226" s="168" t="n">
        <f aca="false">'VOL DWNLD'!AO226+'VOL DELTA'!AO226</f>
        <v>1</v>
      </c>
    </row>
    <row r="227" customFormat="false" ht="12.75" hidden="false" customHeight="false" outlineLevel="0" collapsed="false">
      <c r="B227" s="168" t="n">
        <f aca="false">'VOL DWNLD'!B227+'VOL DELTA'!B227</f>
        <v>1</v>
      </c>
      <c r="C227" s="168" t="n">
        <f aca="false">'VOL DWNLD'!C227+'VOL DELTA'!C227</f>
        <v>1</v>
      </c>
      <c r="D227" s="168" t="n">
        <f aca="false">'VOL DWNLD'!D227+'VOL DELTA'!D227</f>
        <v>1</v>
      </c>
      <c r="E227" s="168" t="n">
        <f aca="false">'VOL DWNLD'!E227+'VOL DELTA'!E227</f>
        <v>1</v>
      </c>
      <c r="F227" s="168" t="n">
        <f aca="false">'VOL DWNLD'!F227+'VOL DELTA'!F227</f>
        <v>1</v>
      </c>
      <c r="G227" s="168" t="n">
        <f aca="false">'VOL DWNLD'!G227+'VOL DELTA'!G227</f>
        <v>1</v>
      </c>
      <c r="H227" s="168" t="n">
        <f aca="false">'VOL DWNLD'!H227+'VOL DELTA'!H227</f>
        <v>1</v>
      </c>
      <c r="I227" s="168" t="n">
        <f aca="false">'VOL DWNLD'!I227+'VOL DELTA'!I227</f>
        <v>1</v>
      </c>
      <c r="J227" s="168" t="n">
        <f aca="false">'VOL DWNLD'!J227+'VOL DELTA'!J227</f>
        <v>1</v>
      </c>
      <c r="K227" s="168" t="n">
        <f aca="false">'VOL DWNLD'!K227+'VOL DELTA'!K227</f>
        <v>1</v>
      </c>
      <c r="L227" s="168" t="n">
        <f aca="false">'VOL DWNLD'!L227+'VOL DELTA'!L227</f>
        <v>1</v>
      </c>
      <c r="M227" s="168" t="n">
        <f aca="false">'VOL DWNLD'!M227+'VOL DELTA'!M227</f>
        <v>1</v>
      </c>
      <c r="N227" s="168" t="n">
        <f aca="false">'VOL DWNLD'!N227+'VOL DELTA'!N227</f>
        <v>1</v>
      </c>
      <c r="O227" s="168" t="n">
        <f aca="false">'VOL DWNLD'!O227+'VOL DELTA'!O227</f>
        <v>1</v>
      </c>
      <c r="P227" s="168" t="n">
        <f aca="false">'VOL DWNLD'!P227+'VOL DELTA'!P227</f>
        <v>1.03</v>
      </c>
      <c r="Q227" s="168" t="n">
        <f aca="false">'VOL DWNLD'!Q227+'VOL DELTA'!Q227</f>
        <v>1</v>
      </c>
      <c r="R227" s="168" t="n">
        <f aca="false">'VOL DWNLD'!R227+'VOL DELTA'!R227</f>
        <v>1</v>
      </c>
      <c r="S227" s="168" t="n">
        <f aca="false">'VOL DWNLD'!S227+'VOL DELTA'!S227</f>
        <v>1.02</v>
      </c>
      <c r="T227" s="168" t="n">
        <f aca="false">'VOL DWNLD'!T227+'VOL DELTA'!T227</f>
        <v>1</v>
      </c>
      <c r="U227" s="168" t="n">
        <f aca="false">'VOL DWNLD'!U227+'VOL DELTA'!U227</f>
        <v>1</v>
      </c>
      <c r="V227" s="168" t="n">
        <f aca="false">'VOL DWNLD'!V227+'VOL DELTA'!V227</f>
        <v>1</v>
      </c>
      <c r="W227" s="168" t="n">
        <f aca="false">'VOL DWNLD'!W227+'VOL DELTA'!W227</f>
        <v>1</v>
      </c>
      <c r="X227" s="168" t="n">
        <f aca="false">'VOL DWNLD'!X227+'VOL DELTA'!X227</f>
        <v>1</v>
      </c>
      <c r="Y227" s="168" t="n">
        <f aca="false">'VOL DWNLD'!Y227+'VOL DELTA'!Y227</f>
        <v>1.02</v>
      </c>
      <c r="Z227" s="168" t="n">
        <f aca="false">'VOL DWNLD'!Z227+'VOL DELTA'!Z227</f>
        <v>1</v>
      </c>
      <c r="AA227" s="168" t="n">
        <f aca="false">'VOL DWNLD'!AA227+'VOL DELTA'!AA227</f>
        <v>1</v>
      </c>
      <c r="AB227" s="168" t="n">
        <f aca="false">'VOL DWNLD'!AB227+'VOL DELTA'!AB227</f>
        <v>1</v>
      </c>
      <c r="AC227" s="168" t="n">
        <f aca="false">'VOL DWNLD'!AC227+'VOL DELTA'!AC227</f>
        <v>1</v>
      </c>
      <c r="AD227" s="168" t="n">
        <f aca="false">'VOL DWNLD'!AD227+'VOL DELTA'!AD227</f>
        <v>0.98</v>
      </c>
      <c r="AE227" s="168" t="n">
        <f aca="false">'VOL DWNLD'!AE227+'VOL DELTA'!AE227</f>
        <v>0.98</v>
      </c>
      <c r="AF227" s="168" t="n">
        <f aca="false">'VOL DWNLD'!AF227+'VOL DELTA'!AF227</f>
        <v>0.98</v>
      </c>
      <c r="AG227" s="168" t="n">
        <f aca="false">'VOL DWNLD'!AG227+'VOL DELTA'!AG227</f>
        <v>0.98</v>
      </c>
      <c r="AH227" s="168" t="n">
        <f aca="false">'VOL DWNLD'!AH227+'VOL DELTA'!AH227</f>
        <v>1.05</v>
      </c>
      <c r="AI227" s="168" t="n">
        <f aca="false">'VOL DWNLD'!AI227+'VOL DELTA'!AI227</f>
        <v>1</v>
      </c>
      <c r="AJ227" s="168" t="n">
        <f aca="false">'VOL DWNLD'!AJ227+'VOL DELTA'!AJ227</f>
        <v>1</v>
      </c>
      <c r="AK227" s="168" t="n">
        <f aca="false">'VOL DWNLD'!AK227+'VOL DELTA'!AK227</f>
        <v>1.02</v>
      </c>
      <c r="AL227" s="168" t="n">
        <f aca="false">'VOL DWNLD'!AL227+'VOL DELTA'!AL227</f>
        <v>1</v>
      </c>
      <c r="AM227" s="168" t="n">
        <f aca="false">'VOL DWNLD'!AM227+'VOL DELTA'!AM227</f>
        <v>1</v>
      </c>
      <c r="AN227" s="168" t="n">
        <f aca="false">'VOL DWNLD'!AN227+'VOL DELTA'!AN227</f>
        <v>1</v>
      </c>
      <c r="AO227" s="168" t="n">
        <f aca="false">'VOL DWNLD'!AO227+'VOL DELTA'!AO227</f>
        <v>1</v>
      </c>
    </row>
    <row r="228" customFormat="false" ht="12.75" hidden="false" customHeight="false" outlineLevel="0" collapsed="false">
      <c r="B228" s="168" t="n">
        <f aca="false">'VOL DWNLD'!B228+'VOL DELTA'!B228</f>
        <v>1</v>
      </c>
      <c r="C228" s="168" t="n">
        <f aca="false">'VOL DWNLD'!C228+'VOL DELTA'!C228</f>
        <v>1</v>
      </c>
      <c r="D228" s="168" t="n">
        <f aca="false">'VOL DWNLD'!D228+'VOL DELTA'!D228</f>
        <v>1</v>
      </c>
      <c r="E228" s="168" t="n">
        <f aca="false">'VOL DWNLD'!E228+'VOL DELTA'!E228</f>
        <v>1</v>
      </c>
      <c r="F228" s="168" t="n">
        <f aca="false">'VOL DWNLD'!F228+'VOL DELTA'!F228</f>
        <v>1</v>
      </c>
      <c r="G228" s="168" t="n">
        <f aca="false">'VOL DWNLD'!G228+'VOL DELTA'!G228</f>
        <v>1</v>
      </c>
      <c r="H228" s="168" t="n">
        <f aca="false">'VOL DWNLD'!H228+'VOL DELTA'!H228</f>
        <v>1</v>
      </c>
      <c r="I228" s="168" t="n">
        <f aca="false">'VOL DWNLD'!I228+'VOL DELTA'!I228</f>
        <v>1</v>
      </c>
      <c r="J228" s="168" t="n">
        <f aca="false">'VOL DWNLD'!J228+'VOL DELTA'!J228</f>
        <v>1</v>
      </c>
      <c r="K228" s="168" t="n">
        <f aca="false">'VOL DWNLD'!K228+'VOL DELTA'!K228</f>
        <v>1</v>
      </c>
      <c r="L228" s="168" t="n">
        <f aca="false">'VOL DWNLD'!L228+'VOL DELTA'!L228</f>
        <v>1</v>
      </c>
      <c r="M228" s="168" t="n">
        <f aca="false">'VOL DWNLD'!M228+'VOL DELTA'!M228</f>
        <v>1</v>
      </c>
      <c r="N228" s="168" t="n">
        <f aca="false">'VOL DWNLD'!N228+'VOL DELTA'!N228</f>
        <v>1</v>
      </c>
      <c r="O228" s="168" t="n">
        <f aca="false">'VOL DWNLD'!O228+'VOL DELTA'!O228</f>
        <v>1</v>
      </c>
      <c r="P228" s="168" t="n">
        <f aca="false">'VOL DWNLD'!P228+'VOL DELTA'!P228</f>
        <v>1.03</v>
      </c>
      <c r="Q228" s="168" t="n">
        <f aca="false">'VOL DWNLD'!Q228+'VOL DELTA'!Q228</f>
        <v>1</v>
      </c>
      <c r="R228" s="168" t="n">
        <f aca="false">'VOL DWNLD'!R228+'VOL DELTA'!R228</f>
        <v>1</v>
      </c>
      <c r="S228" s="168" t="n">
        <f aca="false">'VOL DWNLD'!S228+'VOL DELTA'!S228</f>
        <v>1.02</v>
      </c>
      <c r="T228" s="168" t="n">
        <f aca="false">'VOL DWNLD'!T228+'VOL DELTA'!T228</f>
        <v>1</v>
      </c>
      <c r="U228" s="168" t="n">
        <f aca="false">'VOL DWNLD'!U228+'VOL DELTA'!U228</f>
        <v>1</v>
      </c>
      <c r="V228" s="168" t="n">
        <f aca="false">'VOL DWNLD'!V228+'VOL DELTA'!V228</f>
        <v>1</v>
      </c>
      <c r="W228" s="168" t="n">
        <f aca="false">'VOL DWNLD'!W228+'VOL DELTA'!W228</f>
        <v>1</v>
      </c>
      <c r="X228" s="168" t="n">
        <f aca="false">'VOL DWNLD'!X228+'VOL DELTA'!X228</f>
        <v>1</v>
      </c>
      <c r="Y228" s="168" t="n">
        <f aca="false">'VOL DWNLD'!Y228+'VOL DELTA'!Y228</f>
        <v>1.02</v>
      </c>
      <c r="Z228" s="168" t="n">
        <f aca="false">'VOL DWNLD'!Z228+'VOL DELTA'!Z228</f>
        <v>1</v>
      </c>
      <c r="AA228" s="168" t="n">
        <f aca="false">'VOL DWNLD'!AA228+'VOL DELTA'!AA228</f>
        <v>1</v>
      </c>
      <c r="AB228" s="168" t="n">
        <f aca="false">'VOL DWNLD'!AB228+'VOL DELTA'!AB228</f>
        <v>1</v>
      </c>
      <c r="AC228" s="168" t="n">
        <f aca="false">'VOL DWNLD'!AC228+'VOL DELTA'!AC228</f>
        <v>1</v>
      </c>
      <c r="AD228" s="168" t="n">
        <f aca="false">'VOL DWNLD'!AD228+'VOL DELTA'!AD228</f>
        <v>0.98</v>
      </c>
      <c r="AE228" s="168" t="n">
        <f aca="false">'VOL DWNLD'!AE228+'VOL DELTA'!AE228</f>
        <v>0.98</v>
      </c>
      <c r="AF228" s="168" t="n">
        <f aca="false">'VOL DWNLD'!AF228+'VOL DELTA'!AF228</f>
        <v>0.98</v>
      </c>
      <c r="AG228" s="168" t="n">
        <f aca="false">'VOL DWNLD'!AG228+'VOL DELTA'!AG228</f>
        <v>0.98</v>
      </c>
      <c r="AH228" s="168" t="n">
        <f aca="false">'VOL DWNLD'!AH228+'VOL DELTA'!AH228</f>
        <v>1.05</v>
      </c>
      <c r="AI228" s="168" t="n">
        <f aca="false">'VOL DWNLD'!AI228+'VOL DELTA'!AI228</f>
        <v>1</v>
      </c>
      <c r="AJ228" s="168" t="n">
        <f aca="false">'VOL DWNLD'!AJ228+'VOL DELTA'!AJ228</f>
        <v>1</v>
      </c>
      <c r="AK228" s="168" t="n">
        <f aca="false">'VOL DWNLD'!AK228+'VOL DELTA'!AK228</f>
        <v>1.02</v>
      </c>
      <c r="AL228" s="168" t="n">
        <f aca="false">'VOL DWNLD'!AL228+'VOL DELTA'!AL228</f>
        <v>1</v>
      </c>
      <c r="AM228" s="168" t="n">
        <f aca="false">'VOL DWNLD'!AM228+'VOL DELTA'!AM228</f>
        <v>1</v>
      </c>
      <c r="AN228" s="168" t="n">
        <f aca="false">'VOL DWNLD'!AN228+'VOL DELTA'!AN228</f>
        <v>1</v>
      </c>
      <c r="AO228" s="168" t="n">
        <f aca="false">'VOL DWNLD'!AO228+'VOL DELTA'!AO228</f>
        <v>1</v>
      </c>
    </row>
    <row r="229" customFormat="false" ht="12.75" hidden="false" customHeight="false" outlineLevel="0" collapsed="false">
      <c r="B229" s="168" t="n">
        <f aca="false">'VOL DWNLD'!B229+'VOL DELTA'!B229</f>
        <v>1</v>
      </c>
      <c r="C229" s="168" t="n">
        <f aca="false">'VOL DWNLD'!C229+'VOL DELTA'!C229</f>
        <v>1</v>
      </c>
      <c r="D229" s="168" t="n">
        <f aca="false">'VOL DWNLD'!D229+'VOL DELTA'!D229</f>
        <v>1</v>
      </c>
      <c r="E229" s="168" t="n">
        <f aca="false">'VOL DWNLD'!E229+'VOL DELTA'!E229</f>
        <v>1</v>
      </c>
      <c r="F229" s="168" t="n">
        <f aca="false">'VOL DWNLD'!F229+'VOL DELTA'!F229</f>
        <v>1</v>
      </c>
      <c r="G229" s="168" t="n">
        <f aca="false">'VOL DWNLD'!G229+'VOL DELTA'!G229</f>
        <v>1</v>
      </c>
      <c r="H229" s="168" t="n">
        <f aca="false">'VOL DWNLD'!H229+'VOL DELTA'!H229</f>
        <v>1</v>
      </c>
      <c r="I229" s="168" t="n">
        <f aca="false">'VOL DWNLD'!I229+'VOL DELTA'!I229</f>
        <v>1</v>
      </c>
      <c r="J229" s="168" t="n">
        <f aca="false">'VOL DWNLD'!J229+'VOL DELTA'!J229</f>
        <v>1</v>
      </c>
      <c r="K229" s="168" t="n">
        <f aca="false">'VOL DWNLD'!K229+'VOL DELTA'!K229</f>
        <v>1</v>
      </c>
      <c r="L229" s="168" t="n">
        <f aca="false">'VOL DWNLD'!L229+'VOL DELTA'!L229</f>
        <v>1</v>
      </c>
      <c r="M229" s="168" t="n">
        <f aca="false">'VOL DWNLD'!M229+'VOL DELTA'!M229</f>
        <v>1</v>
      </c>
      <c r="N229" s="168" t="n">
        <f aca="false">'VOL DWNLD'!N229+'VOL DELTA'!N229</f>
        <v>1</v>
      </c>
      <c r="O229" s="168" t="n">
        <f aca="false">'VOL DWNLD'!O229+'VOL DELTA'!O229</f>
        <v>1</v>
      </c>
      <c r="P229" s="168" t="n">
        <f aca="false">'VOL DWNLD'!P229+'VOL DELTA'!P229</f>
        <v>1.03</v>
      </c>
      <c r="Q229" s="168" t="n">
        <f aca="false">'VOL DWNLD'!Q229+'VOL DELTA'!Q229</f>
        <v>1</v>
      </c>
      <c r="R229" s="168" t="n">
        <f aca="false">'VOL DWNLD'!R229+'VOL DELTA'!R229</f>
        <v>1</v>
      </c>
      <c r="S229" s="168" t="n">
        <f aca="false">'VOL DWNLD'!S229+'VOL DELTA'!S229</f>
        <v>1.02</v>
      </c>
      <c r="T229" s="168" t="n">
        <f aca="false">'VOL DWNLD'!T229+'VOL DELTA'!T229</f>
        <v>1</v>
      </c>
      <c r="U229" s="168" t="n">
        <f aca="false">'VOL DWNLD'!U229+'VOL DELTA'!U229</f>
        <v>1</v>
      </c>
      <c r="V229" s="168" t="n">
        <f aca="false">'VOL DWNLD'!V229+'VOL DELTA'!V229</f>
        <v>1</v>
      </c>
      <c r="W229" s="168" t="n">
        <f aca="false">'VOL DWNLD'!W229+'VOL DELTA'!W229</f>
        <v>1</v>
      </c>
      <c r="X229" s="168" t="n">
        <f aca="false">'VOL DWNLD'!X229+'VOL DELTA'!X229</f>
        <v>1</v>
      </c>
      <c r="Y229" s="168" t="n">
        <f aca="false">'VOL DWNLD'!Y229+'VOL DELTA'!Y229</f>
        <v>1.02</v>
      </c>
      <c r="Z229" s="168" t="n">
        <f aca="false">'VOL DWNLD'!Z229+'VOL DELTA'!Z229</f>
        <v>1</v>
      </c>
      <c r="AA229" s="168" t="n">
        <f aca="false">'VOL DWNLD'!AA229+'VOL DELTA'!AA229</f>
        <v>1</v>
      </c>
      <c r="AB229" s="168" t="n">
        <f aca="false">'VOL DWNLD'!AB229+'VOL DELTA'!AB229</f>
        <v>1</v>
      </c>
      <c r="AC229" s="168" t="n">
        <f aca="false">'VOL DWNLD'!AC229+'VOL DELTA'!AC229</f>
        <v>1</v>
      </c>
      <c r="AD229" s="168" t="n">
        <f aca="false">'VOL DWNLD'!AD229+'VOL DELTA'!AD229</f>
        <v>0.98</v>
      </c>
      <c r="AE229" s="168" t="n">
        <f aca="false">'VOL DWNLD'!AE229+'VOL DELTA'!AE229</f>
        <v>0.98</v>
      </c>
      <c r="AF229" s="168" t="n">
        <f aca="false">'VOL DWNLD'!AF229+'VOL DELTA'!AF229</f>
        <v>0.98</v>
      </c>
      <c r="AG229" s="168" t="n">
        <f aca="false">'VOL DWNLD'!AG229+'VOL DELTA'!AG229</f>
        <v>0.98</v>
      </c>
      <c r="AH229" s="168" t="n">
        <f aca="false">'VOL DWNLD'!AH229+'VOL DELTA'!AH229</f>
        <v>1.05</v>
      </c>
      <c r="AI229" s="168" t="n">
        <f aca="false">'VOL DWNLD'!AI229+'VOL DELTA'!AI229</f>
        <v>1</v>
      </c>
      <c r="AJ229" s="168" t="n">
        <f aca="false">'VOL DWNLD'!AJ229+'VOL DELTA'!AJ229</f>
        <v>1</v>
      </c>
      <c r="AK229" s="168" t="n">
        <f aca="false">'VOL DWNLD'!AK229+'VOL DELTA'!AK229</f>
        <v>1.02</v>
      </c>
      <c r="AL229" s="168" t="n">
        <f aca="false">'VOL DWNLD'!AL229+'VOL DELTA'!AL229</f>
        <v>1</v>
      </c>
      <c r="AM229" s="168" t="n">
        <f aca="false">'VOL DWNLD'!AM229+'VOL DELTA'!AM229</f>
        <v>1</v>
      </c>
      <c r="AN229" s="168" t="n">
        <f aca="false">'VOL DWNLD'!AN229+'VOL DELTA'!AN229</f>
        <v>1</v>
      </c>
      <c r="AO229" s="168" t="n">
        <f aca="false">'VOL DWNLD'!AO229+'VOL DELTA'!AO229</f>
        <v>1</v>
      </c>
    </row>
    <row r="230" customFormat="false" ht="12.75" hidden="false" customHeight="false" outlineLevel="0" collapsed="false">
      <c r="B230" s="168" t="n">
        <f aca="false">'VOL DWNLD'!B230+'VOL DELTA'!B230</f>
        <v>1</v>
      </c>
      <c r="C230" s="168" t="n">
        <f aca="false">'VOL DWNLD'!C230+'VOL DELTA'!C230</f>
        <v>1</v>
      </c>
      <c r="D230" s="168" t="n">
        <f aca="false">'VOL DWNLD'!D230+'VOL DELTA'!D230</f>
        <v>1</v>
      </c>
      <c r="E230" s="168" t="n">
        <f aca="false">'VOL DWNLD'!E230+'VOL DELTA'!E230</f>
        <v>1</v>
      </c>
      <c r="F230" s="168" t="n">
        <f aca="false">'VOL DWNLD'!F230+'VOL DELTA'!F230</f>
        <v>1</v>
      </c>
      <c r="G230" s="168" t="n">
        <f aca="false">'VOL DWNLD'!G230+'VOL DELTA'!G230</f>
        <v>1</v>
      </c>
      <c r="H230" s="168" t="n">
        <f aca="false">'VOL DWNLD'!H230+'VOL DELTA'!H230</f>
        <v>1</v>
      </c>
      <c r="I230" s="168" t="n">
        <f aca="false">'VOL DWNLD'!I230+'VOL DELTA'!I230</f>
        <v>1</v>
      </c>
      <c r="J230" s="168" t="n">
        <f aca="false">'VOL DWNLD'!J230+'VOL DELTA'!J230</f>
        <v>1</v>
      </c>
      <c r="K230" s="168" t="n">
        <f aca="false">'VOL DWNLD'!K230+'VOL DELTA'!K230</f>
        <v>1</v>
      </c>
      <c r="L230" s="168" t="n">
        <f aca="false">'VOL DWNLD'!L230+'VOL DELTA'!L230</f>
        <v>1</v>
      </c>
      <c r="M230" s="168" t="n">
        <f aca="false">'VOL DWNLD'!M230+'VOL DELTA'!M230</f>
        <v>1</v>
      </c>
      <c r="N230" s="168" t="n">
        <f aca="false">'VOL DWNLD'!N230+'VOL DELTA'!N230</f>
        <v>1</v>
      </c>
      <c r="O230" s="168" t="n">
        <f aca="false">'VOL DWNLD'!O230+'VOL DELTA'!O230</f>
        <v>1</v>
      </c>
      <c r="P230" s="168" t="n">
        <f aca="false">'VOL DWNLD'!P230+'VOL DELTA'!P230</f>
        <v>1.03</v>
      </c>
      <c r="Q230" s="168" t="n">
        <f aca="false">'VOL DWNLD'!Q230+'VOL DELTA'!Q230</f>
        <v>1</v>
      </c>
      <c r="R230" s="168" t="n">
        <f aca="false">'VOL DWNLD'!R230+'VOL DELTA'!R230</f>
        <v>1</v>
      </c>
      <c r="S230" s="168" t="n">
        <f aca="false">'VOL DWNLD'!S230+'VOL DELTA'!S230</f>
        <v>1.02</v>
      </c>
      <c r="T230" s="168" t="n">
        <f aca="false">'VOL DWNLD'!T230+'VOL DELTA'!T230</f>
        <v>1</v>
      </c>
      <c r="U230" s="168" t="n">
        <f aca="false">'VOL DWNLD'!U230+'VOL DELTA'!U230</f>
        <v>1</v>
      </c>
      <c r="V230" s="168" t="n">
        <f aca="false">'VOL DWNLD'!V230+'VOL DELTA'!V230</f>
        <v>1</v>
      </c>
      <c r="W230" s="168" t="n">
        <f aca="false">'VOL DWNLD'!W230+'VOL DELTA'!W230</f>
        <v>1</v>
      </c>
      <c r="X230" s="168" t="n">
        <f aca="false">'VOL DWNLD'!X230+'VOL DELTA'!X230</f>
        <v>1</v>
      </c>
      <c r="Y230" s="168" t="n">
        <f aca="false">'VOL DWNLD'!Y230+'VOL DELTA'!Y230</f>
        <v>1.02</v>
      </c>
      <c r="Z230" s="168" t="n">
        <f aca="false">'VOL DWNLD'!Z230+'VOL DELTA'!Z230</f>
        <v>1</v>
      </c>
      <c r="AA230" s="168" t="n">
        <f aca="false">'VOL DWNLD'!AA230+'VOL DELTA'!AA230</f>
        <v>1</v>
      </c>
      <c r="AB230" s="168" t="n">
        <f aca="false">'VOL DWNLD'!AB230+'VOL DELTA'!AB230</f>
        <v>1</v>
      </c>
      <c r="AC230" s="168" t="n">
        <f aca="false">'VOL DWNLD'!AC230+'VOL DELTA'!AC230</f>
        <v>1</v>
      </c>
      <c r="AD230" s="168" t="n">
        <f aca="false">'VOL DWNLD'!AD230+'VOL DELTA'!AD230</f>
        <v>0.98</v>
      </c>
      <c r="AE230" s="168" t="n">
        <f aca="false">'VOL DWNLD'!AE230+'VOL DELTA'!AE230</f>
        <v>0.98</v>
      </c>
      <c r="AF230" s="168" t="n">
        <f aca="false">'VOL DWNLD'!AF230+'VOL DELTA'!AF230</f>
        <v>0.98</v>
      </c>
      <c r="AG230" s="168" t="n">
        <f aca="false">'VOL DWNLD'!AG230+'VOL DELTA'!AG230</f>
        <v>0.98</v>
      </c>
      <c r="AH230" s="168" t="n">
        <f aca="false">'VOL DWNLD'!AH230+'VOL DELTA'!AH230</f>
        <v>1.05</v>
      </c>
      <c r="AI230" s="168" t="n">
        <f aca="false">'VOL DWNLD'!AI230+'VOL DELTA'!AI230</f>
        <v>1</v>
      </c>
      <c r="AJ230" s="168" t="n">
        <f aca="false">'VOL DWNLD'!AJ230+'VOL DELTA'!AJ230</f>
        <v>1</v>
      </c>
      <c r="AK230" s="168" t="n">
        <f aca="false">'VOL DWNLD'!AK230+'VOL DELTA'!AK230</f>
        <v>1.02</v>
      </c>
      <c r="AL230" s="168" t="n">
        <f aca="false">'VOL DWNLD'!AL230+'VOL DELTA'!AL230</f>
        <v>1</v>
      </c>
      <c r="AM230" s="168" t="n">
        <f aca="false">'VOL DWNLD'!AM230+'VOL DELTA'!AM230</f>
        <v>1</v>
      </c>
      <c r="AN230" s="168" t="n">
        <f aca="false">'VOL DWNLD'!AN230+'VOL DELTA'!AN230</f>
        <v>1</v>
      </c>
      <c r="AO230" s="168" t="n">
        <f aca="false">'VOL DWNLD'!AO230+'VOL DELTA'!AO230</f>
        <v>1</v>
      </c>
    </row>
    <row r="231" customFormat="false" ht="12.75" hidden="false" customHeight="false" outlineLevel="0" collapsed="false">
      <c r="B231" s="168" t="n">
        <f aca="false">'VOL DWNLD'!B231+'VOL DELTA'!B231</f>
        <v>1</v>
      </c>
      <c r="C231" s="168" t="n">
        <f aca="false">'VOL DWNLD'!C231+'VOL DELTA'!C231</f>
        <v>1</v>
      </c>
      <c r="D231" s="168" t="n">
        <f aca="false">'VOL DWNLD'!D231+'VOL DELTA'!D231</f>
        <v>1</v>
      </c>
      <c r="E231" s="168" t="n">
        <f aca="false">'VOL DWNLD'!E231+'VOL DELTA'!E231</f>
        <v>1</v>
      </c>
      <c r="F231" s="168" t="n">
        <f aca="false">'VOL DWNLD'!F231+'VOL DELTA'!F231</f>
        <v>1</v>
      </c>
      <c r="G231" s="168" t="n">
        <f aca="false">'VOL DWNLD'!G231+'VOL DELTA'!G231</f>
        <v>1</v>
      </c>
      <c r="H231" s="168" t="n">
        <f aca="false">'VOL DWNLD'!H231+'VOL DELTA'!H231</f>
        <v>1</v>
      </c>
      <c r="I231" s="168" t="n">
        <f aca="false">'VOL DWNLD'!I231+'VOL DELTA'!I231</f>
        <v>1</v>
      </c>
      <c r="J231" s="168" t="n">
        <f aca="false">'VOL DWNLD'!J231+'VOL DELTA'!J231</f>
        <v>1</v>
      </c>
      <c r="K231" s="168" t="n">
        <f aca="false">'VOL DWNLD'!K231+'VOL DELTA'!K231</f>
        <v>1</v>
      </c>
      <c r="L231" s="168" t="n">
        <f aca="false">'VOL DWNLD'!L231+'VOL DELTA'!L231</f>
        <v>1</v>
      </c>
      <c r="M231" s="168" t="n">
        <f aca="false">'VOL DWNLD'!M231+'VOL DELTA'!M231</f>
        <v>1</v>
      </c>
      <c r="N231" s="168" t="n">
        <f aca="false">'VOL DWNLD'!N231+'VOL DELTA'!N231</f>
        <v>1</v>
      </c>
      <c r="O231" s="168" t="n">
        <f aca="false">'VOL DWNLD'!O231+'VOL DELTA'!O231</f>
        <v>1</v>
      </c>
      <c r="P231" s="168" t="n">
        <f aca="false">'VOL DWNLD'!P231+'VOL DELTA'!P231</f>
        <v>1.03</v>
      </c>
      <c r="Q231" s="168" t="n">
        <f aca="false">'VOL DWNLD'!Q231+'VOL DELTA'!Q231</f>
        <v>1</v>
      </c>
      <c r="R231" s="168" t="n">
        <f aca="false">'VOL DWNLD'!R231+'VOL DELTA'!R231</f>
        <v>1</v>
      </c>
      <c r="S231" s="168" t="n">
        <f aca="false">'VOL DWNLD'!S231+'VOL DELTA'!S231</f>
        <v>1.02</v>
      </c>
      <c r="T231" s="168" t="n">
        <f aca="false">'VOL DWNLD'!T231+'VOL DELTA'!T231</f>
        <v>1</v>
      </c>
      <c r="U231" s="168" t="n">
        <f aca="false">'VOL DWNLD'!U231+'VOL DELTA'!U231</f>
        <v>1</v>
      </c>
      <c r="V231" s="168" t="n">
        <f aca="false">'VOL DWNLD'!V231+'VOL DELTA'!V231</f>
        <v>1</v>
      </c>
      <c r="W231" s="168" t="n">
        <f aca="false">'VOL DWNLD'!W231+'VOL DELTA'!W231</f>
        <v>1</v>
      </c>
      <c r="X231" s="168" t="n">
        <f aca="false">'VOL DWNLD'!X231+'VOL DELTA'!X231</f>
        <v>1</v>
      </c>
      <c r="Y231" s="168" t="n">
        <f aca="false">'VOL DWNLD'!Y231+'VOL DELTA'!Y231</f>
        <v>1.02</v>
      </c>
      <c r="Z231" s="168" t="n">
        <f aca="false">'VOL DWNLD'!Z231+'VOL DELTA'!Z231</f>
        <v>1</v>
      </c>
      <c r="AA231" s="168" t="n">
        <f aca="false">'VOL DWNLD'!AA231+'VOL DELTA'!AA231</f>
        <v>1</v>
      </c>
      <c r="AB231" s="168" t="n">
        <f aca="false">'VOL DWNLD'!AB231+'VOL DELTA'!AB231</f>
        <v>1</v>
      </c>
      <c r="AC231" s="168" t="n">
        <f aca="false">'VOL DWNLD'!AC231+'VOL DELTA'!AC231</f>
        <v>1</v>
      </c>
      <c r="AD231" s="168" t="n">
        <f aca="false">'VOL DWNLD'!AD231+'VOL DELTA'!AD231</f>
        <v>0.98</v>
      </c>
      <c r="AE231" s="168" t="n">
        <f aca="false">'VOL DWNLD'!AE231+'VOL DELTA'!AE231</f>
        <v>0.98</v>
      </c>
      <c r="AF231" s="168" t="n">
        <f aca="false">'VOL DWNLD'!AF231+'VOL DELTA'!AF231</f>
        <v>0.98</v>
      </c>
      <c r="AG231" s="168" t="n">
        <f aca="false">'VOL DWNLD'!AG231+'VOL DELTA'!AG231</f>
        <v>0.98</v>
      </c>
      <c r="AH231" s="168" t="n">
        <f aca="false">'VOL DWNLD'!AH231+'VOL DELTA'!AH231</f>
        <v>1.05</v>
      </c>
      <c r="AI231" s="168" t="n">
        <f aca="false">'VOL DWNLD'!AI231+'VOL DELTA'!AI231</f>
        <v>1</v>
      </c>
      <c r="AJ231" s="168" t="n">
        <f aca="false">'VOL DWNLD'!AJ231+'VOL DELTA'!AJ231</f>
        <v>1</v>
      </c>
      <c r="AK231" s="168" t="n">
        <f aca="false">'VOL DWNLD'!AK231+'VOL DELTA'!AK231</f>
        <v>1.02</v>
      </c>
      <c r="AL231" s="168" t="n">
        <f aca="false">'VOL DWNLD'!AL231+'VOL DELTA'!AL231</f>
        <v>1</v>
      </c>
      <c r="AM231" s="168" t="n">
        <f aca="false">'VOL DWNLD'!AM231+'VOL DELTA'!AM231</f>
        <v>1</v>
      </c>
      <c r="AN231" s="168" t="n">
        <f aca="false">'VOL DWNLD'!AN231+'VOL DELTA'!AN231</f>
        <v>1</v>
      </c>
      <c r="AO231" s="168" t="n">
        <f aca="false">'VOL DWNLD'!AO231+'VOL DELTA'!AO231</f>
        <v>1</v>
      </c>
    </row>
    <row r="232" customFormat="false" ht="12.75" hidden="false" customHeight="false" outlineLevel="0" collapsed="false">
      <c r="B232" s="168" t="n">
        <f aca="false">'VOL DWNLD'!B232+'VOL DELTA'!B232</f>
        <v>1</v>
      </c>
      <c r="C232" s="168" t="n">
        <f aca="false">'VOL DWNLD'!C232+'VOL DELTA'!C232</f>
        <v>1</v>
      </c>
      <c r="D232" s="168" t="n">
        <f aca="false">'VOL DWNLD'!D232+'VOL DELTA'!D232</f>
        <v>1</v>
      </c>
      <c r="E232" s="168" t="n">
        <f aca="false">'VOL DWNLD'!E232+'VOL DELTA'!E232</f>
        <v>1</v>
      </c>
      <c r="F232" s="168" t="n">
        <f aca="false">'VOL DWNLD'!F232+'VOL DELTA'!F232</f>
        <v>1</v>
      </c>
      <c r="G232" s="168" t="n">
        <f aca="false">'VOL DWNLD'!G232+'VOL DELTA'!G232</f>
        <v>1</v>
      </c>
      <c r="H232" s="168" t="n">
        <f aca="false">'VOL DWNLD'!H232+'VOL DELTA'!H232</f>
        <v>1</v>
      </c>
      <c r="I232" s="168" t="n">
        <f aca="false">'VOL DWNLD'!I232+'VOL DELTA'!I232</f>
        <v>1</v>
      </c>
      <c r="J232" s="168" t="n">
        <f aca="false">'VOL DWNLD'!J232+'VOL DELTA'!J232</f>
        <v>1</v>
      </c>
      <c r="K232" s="168" t="n">
        <f aca="false">'VOL DWNLD'!K232+'VOL DELTA'!K232</f>
        <v>1</v>
      </c>
      <c r="L232" s="168" t="n">
        <f aca="false">'VOL DWNLD'!L232+'VOL DELTA'!L232</f>
        <v>1</v>
      </c>
      <c r="M232" s="168" t="n">
        <f aca="false">'VOL DWNLD'!M232+'VOL DELTA'!M232</f>
        <v>1</v>
      </c>
      <c r="N232" s="168" t="n">
        <f aca="false">'VOL DWNLD'!N232+'VOL DELTA'!N232</f>
        <v>1</v>
      </c>
      <c r="O232" s="168" t="n">
        <f aca="false">'VOL DWNLD'!O232+'VOL DELTA'!O232</f>
        <v>1</v>
      </c>
      <c r="P232" s="168" t="n">
        <f aca="false">'VOL DWNLD'!P232+'VOL DELTA'!P232</f>
        <v>1.03</v>
      </c>
      <c r="Q232" s="168" t="n">
        <f aca="false">'VOL DWNLD'!Q232+'VOL DELTA'!Q232</f>
        <v>1</v>
      </c>
      <c r="R232" s="168" t="n">
        <f aca="false">'VOL DWNLD'!R232+'VOL DELTA'!R232</f>
        <v>1</v>
      </c>
      <c r="S232" s="168" t="n">
        <f aca="false">'VOL DWNLD'!S232+'VOL DELTA'!S232</f>
        <v>1.02</v>
      </c>
      <c r="T232" s="168" t="n">
        <f aca="false">'VOL DWNLD'!T232+'VOL DELTA'!T232</f>
        <v>1</v>
      </c>
      <c r="U232" s="168" t="n">
        <f aca="false">'VOL DWNLD'!U232+'VOL DELTA'!U232</f>
        <v>1</v>
      </c>
      <c r="V232" s="168" t="n">
        <f aca="false">'VOL DWNLD'!V232+'VOL DELTA'!V232</f>
        <v>1</v>
      </c>
      <c r="W232" s="168" t="n">
        <f aca="false">'VOL DWNLD'!W232+'VOL DELTA'!W232</f>
        <v>1</v>
      </c>
      <c r="X232" s="168" t="n">
        <f aca="false">'VOL DWNLD'!X232+'VOL DELTA'!X232</f>
        <v>1</v>
      </c>
      <c r="Y232" s="168" t="n">
        <f aca="false">'VOL DWNLD'!Y232+'VOL DELTA'!Y232</f>
        <v>1.02</v>
      </c>
      <c r="Z232" s="168" t="n">
        <f aca="false">'VOL DWNLD'!Z232+'VOL DELTA'!Z232</f>
        <v>1</v>
      </c>
      <c r="AA232" s="168" t="n">
        <f aca="false">'VOL DWNLD'!AA232+'VOL DELTA'!AA232</f>
        <v>1</v>
      </c>
      <c r="AB232" s="168" t="n">
        <f aca="false">'VOL DWNLD'!AB232+'VOL DELTA'!AB232</f>
        <v>1</v>
      </c>
      <c r="AC232" s="168" t="n">
        <f aca="false">'VOL DWNLD'!AC232+'VOL DELTA'!AC232</f>
        <v>1</v>
      </c>
      <c r="AD232" s="168" t="n">
        <f aca="false">'VOL DWNLD'!AD232+'VOL DELTA'!AD232</f>
        <v>0.98</v>
      </c>
      <c r="AE232" s="168" t="n">
        <f aca="false">'VOL DWNLD'!AE232+'VOL DELTA'!AE232</f>
        <v>0.98</v>
      </c>
      <c r="AF232" s="168" t="n">
        <f aca="false">'VOL DWNLD'!AF232+'VOL DELTA'!AF232</f>
        <v>0.98</v>
      </c>
      <c r="AG232" s="168" t="n">
        <f aca="false">'VOL DWNLD'!AG232+'VOL DELTA'!AG232</f>
        <v>0.98</v>
      </c>
      <c r="AH232" s="168" t="n">
        <f aca="false">'VOL DWNLD'!AH232+'VOL DELTA'!AH232</f>
        <v>1.05</v>
      </c>
      <c r="AI232" s="168" t="n">
        <f aca="false">'VOL DWNLD'!AI232+'VOL DELTA'!AI232</f>
        <v>1</v>
      </c>
      <c r="AJ232" s="168" t="n">
        <f aca="false">'VOL DWNLD'!AJ232+'VOL DELTA'!AJ232</f>
        <v>1</v>
      </c>
      <c r="AK232" s="168" t="n">
        <f aca="false">'VOL DWNLD'!AK232+'VOL DELTA'!AK232</f>
        <v>1.02</v>
      </c>
      <c r="AL232" s="168" t="n">
        <f aca="false">'VOL DWNLD'!AL232+'VOL DELTA'!AL232</f>
        <v>1</v>
      </c>
      <c r="AM232" s="168" t="n">
        <f aca="false">'VOL DWNLD'!AM232+'VOL DELTA'!AM232</f>
        <v>1</v>
      </c>
      <c r="AN232" s="168" t="n">
        <f aca="false">'VOL DWNLD'!AN232+'VOL DELTA'!AN232</f>
        <v>1</v>
      </c>
      <c r="AO232" s="168" t="n">
        <f aca="false">'VOL DWNLD'!AO232+'VOL DELTA'!AO232</f>
        <v>1</v>
      </c>
    </row>
    <row r="233" customFormat="false" ht="12.75" hidden="false" customHeight="false" outlineLevel="0" collapsed="false">
      <c r="B233" s="168" t="n">
        <f aca="false">'VOL DWNLD'!B233+'VOL DELTA'!B233</f>
        <v>1</v>
      </c>
      <c r="C233" s="168" t="n">
        <f aca="false">'VOL DWNLD'!C233+'VOL DELTA'!C233</f>
        <v>1</v>
      </c>
      <c r="D233" s="168" t="n">
        <f aca="false">'VOL DWNLD'!D233+'VOL DELTA'!D233</f>
        <v>1</v>
      </c>
      <c r="E233" s="168" t="n">
        <f aca="false">'VOL DWNLD'!E233+'VOL DELTA'!E233</f>
        <v>1</v>
      </c>
      <c r="F233" s="168" t="n">
        <f aca="false">'VOL DWNLD'!F233+'VOL DELTA'!F233</f>
        <v>1</v>
      </c>
      <c r="G233" s="168" t="n">
        <f aca="false">'VOL DWNLD'!G233+'VOL DELTA'!G233</f>
        <v>1</v>
      </c>
      <c r="H233" s="168" t="n">
        <f aca="false">'VOL DWNLD'!H233+'VOL DELTA'!H233</f>
        <v>1</v>
      </c>
      <c r="I233" s="168" t="n">
        <f aca="false">'VOL DWNLD'!I233+'VOL DELTA'!I233</f>
        <v>1</v>
      </c>
      <c r="J233" s="168" t="n">
        <f aca="false">'VOL DWNLD'!J233+'VOL DELTA'!J233</f>
        <v>1</v>
      </c>
      <c r="K233" s="168" t="n">
        <f aca="false">'VOL DWNLD'!K233+'VOL DELTA'!K233</f>
        <v>1</v>
      </c>
      <c r="L233" s="168" t="n">
        <f aca="false">'VOL DWNLD'!L233+'VOL DELTA'!L233</f>
        <v>1</v>
      </c>
      <c r="M233" s="168" t="n">
        <f aca="false">'VOL DWNLD'!M233+'VOL DELTA'!M233</f>
        <v>1</v>
      </c>
      <c r="N233" s="168" t="n">
        <f aca="false">'VOL DWNLD'!N233+'VOL DELTA'!N233</f>
        <v>1</v>
      </c>
      <c r="O233" s="168" t="n">
        <f aca="false">'VOL DWNLD'!O233+'VOL DELTA'!O233</f>
        <v>1</v>
      </c>
      <c r="P233" s="168" t="n">
        <f aca="false">'VOL DWNLD'!P233+'VOL DELTA'!P233</f>
        <v>1.03</v>
      </c>
      <c r="Q233" s="168" t="n">
        <f aca="false">'VOL DWNLD'!Q233+'VOL DELTA'!Q233</f>
        <v>1</v>
      </c>
      <c r="R233" s="168" t="n">
        <f aca="false">'VOL DWNLD'!R233+'VOL DELTA'!R233</f>
        <v>1</v>
      </c>
      <c r="S233" s="168" t="n">
        <f aca="false">'VOL DWNLD'!S233+'VOL DELTA'!S233</f>
        <v>1.02</v>
      </c>
      <c r="T233" s="168" t="n">
        <f aca="false">'VOL DWNLD'!T233+'VOL DELTA'!T233</f>
        <v>1</v>
      </c>
      <c r="U233" s="168" t="n">
        <f aca="false">'VOL DWNLD'!U233+'VOL DELTA'!U233</f>
        <v>1</v>
      </c>
      <c r="V233" s="168" t="n">
        <f aca="false">'VOL DWNLD'!V233+'VOL DELTA'!V233</f>
        <v>1</v>
      </c>
      <c r="W233" s="168" t="n">
        <f aca="false">'VOL DWNLD'!W233+'VOL DELTA'!W233</f>
        <v>1</v>
      </c>
      <c r="X233" s="168" t="n">
        <f aca="false">'VOL DWNLD'!X233+'VOL DELTA'!X233</f>
        <v>1</v>
      </c>
      <c r="Y233" s="168" t="n">
        <f aca="false">'VOL DWNLD'!Y233+'VOL DELTA'!Y233</f>
        <v>1</v>
      </c>
      <c r="Z233" s="168" t="n">
        <f aca="false">'VOL DWNLD'!Z233+'VOL DELTA'!Z233</f>
        <v>1</v>
      </c>
      <c r="AA233" s="168" t="n">
        <f aca="false">'VOL DWNLD'!AA233+'VOL DELTA'!AA233</f>
        <v>1</v>
      </c>
      <c r="AB233" s="168" t="n">
        <f aca="false">'VOL DWNLD'!AB233+'VOL DELTA'!AB233</f>
        <v>1</v>
      </c>
      <c r="AC233" s="168" t="n">
        <f aca="false">'VOL DWNLD'!AC233+'VOL DELTA'!AC233</f>
        <v>1</v>
      </c>
      <c r="AD233" s="168" t="n">
        <f aca="false">'VOL DWNLD'!AD233+'VOL DELTA'!AD233</f>
        <v>1</v>
      </c>
      <c r="AE233" s="168" t="n">
        <f aca="false">'VOL DWNLD'!AE233+'VOL DELTA'!AE233</f>
        <v>1</v>
      </c>
      <c r="AF233" s="168" t="n">
        <f aca="false">'VOL DWNLD'!AF233+'VOL DELTA'!AF233</f>
        <v>1.1</v>
      </c>
      <c r="AG233" s="168" t="n">
        <f aca="false">'VOL DWNLD'!AG233+'VOL DELTA'!AG233</f>
        <v>1.1</v>
      </c>
      <c r="AH233" s="168" t="n">
        <f aca="false">'VOL DWNLD'!AH233+'VOL DELTA'!AH233</f>
        <v>1.05</v>
      </c>
      <c r="AI233" s="168" t="n">
        <f aca="false">'VOL DWNLD'!AI233+'VOL DELTA'!AI233</f>
        <v>1</v>
      </c>
      <c r="AJ233" s="168" t="n">
        <f aca="false">'VOL DWNLD'!AJ233+'VOL DELTA'!AJ233</f>
        <v>1</v>
      </c>
      <c r="AK233" s="168" t="n">
        <f aca="false">'VOL DWNLD'!AK233+'VOL DELTA'!AK233</f>
        <v>1.02</v>
      </c>
      <c r="AL233" s="168" t="n">
        <f aca="false">'VOL DWNLD'!AL233+'VOL DELTA'!AL233</f>
        <v>1</v>
      </c>
      <c r="AM233" s="168" t="n">
        <f aca="false">'VOL DWNLD'!AM233+'VOL DELTA'!AM233</f>
        <v>1</v>
      </c>
      <c r="AN233" s="168" t="n">
        <f aca="false">'VOL DWNLD'!AN233+'VOL DELTA'!AN233</f>
        <v>1</v>
      </c>
      <c r="AO233" s="168" t="n">
        <f aca="false">'VOL DWNLD'!AO233+'VOL DELTA'!AO233</f>
        <v>1</v>
      </c>
    </row>
    <row r="234" customFormat="false" ht="12.75" hidden="false" customHeight="false" outlineLevel="0" collapsed="false">
      <c r="B234" s="168" t="n">
        <f aca="false">'VOL DWNLD'!B234+'VOL DELTA'!B234</f>
        <v>1</v>
      </c>
      <c r="C234" s="168" t="n">
        <f aca="false">'VOL DWNLD'!C234+'VOL DELTA'!C234</f>
        <v>1</v>
      </c>
      <c r="D234" s="168" t="n">
        <f aca="false">'VOL DWNLD'!D234+'VOL DELTA'!D234</f>
        <v>1</v>
      </c>
      <c r="E234" s="168" t="n">
        <f aca="false">'VOL DWNLD'!E234+'VOL DELTA'!E234</f>
        <v>1</v>
      </c>
      <c r="F234" s="168" t="n">
        <f aca="false">'VOL DWNLD'!F234+'VOL DELTA'!F234</f>
        <v>1</v>
      </c>
      <c r="G234" s="168" t="n">
        <f aca="false">'VOL DWNLD'!G234+'VOL DELTA'!G234</f>
        <v>1</v>
      </c>
      <c r="H234" s="168" t="n">
        <f aca="false">'VOL DWNLD'!H234+'VOL DELTA'!H234</f>
        <v>1</v>
      </c>
      <c r="I234" s="168" t="n">
        <f aca="false">'VOL DWNLD'!I234+'VOL DELTA'!I234</f>
        <v>1</v>
      </c>
      <c r="J234" s="168" t="n">
        <f aca="false">'VOL DWNLD'!J234+'VOL DELTA'!J234</f>
        <v>1</v>
      </c>
      <c r="K234" s="168" t="n">
        <f aca="false">'VOL DWNLD'!K234+'VOL DELTA'!K234</f>
        <v>1</v>
      </c>
      <c r="L234" s="168" t="n">
        <f aca="false">'VOL DWNLD'!L234+'VOL DELTA'!L234</f>
        <v>1</v>
      </c>
      <c r="M234" s="168" t="n">
        <f aca="false">'VOL DWNLD'!M234+'VOL DELTA'!M234</f>
        <v>1</v>
      </c>
      <c r="N234" s="168" t="n">
        <f aca="false">'VOL DWNLD'!N234+'VOL DELTA'!N234</f>
        <v>1</v>
      </c>
      <c r="O234" s="168" t="n">
        <f aca="false">'VOL DWNLD'!O234+'VOL DELTA'!O234</f>
        <v>1</v>
      </c>
      <c r="P234" s="168" t="n">
        <f aca="false">'VOL DWNLD'!P234+'VOL DELTA'!P234</f>
        <v>1.03</v>
      </c>
      <c r="Q234" s="168" t="n">
        <f aca="false">'VOL DWNLD'!Q234+'VOL DELTA'!Q234</f>
        <v>1</v>
      </c>
      <c r="R234" s="168" t="n">
        <f aca="false">'VOL DWNLD'!R234+'VOL DELTA'!R234</f>
        <v>1</v>
      </c>
      <c r="S234" s="168" t="n">
        <f aca="false">'VOL DWNLD'!S234+'VOL DELTA'!S234</f>
        <v>1.02</v>
      </c>
      <c r="T234" s="168" t="n">
        <f aca="false">'VOL DWNLD'!T234+'VOL DELTA'!T234</f>
        <v>1</v>
      </c>
      <c r="U234" s="168" t="n">
        <f aca="false">'VOL DWNLD'!U234+'VOL DELTA'!U234</f>
        <v>1</v>
      </c>
      <c r="V234" s="168" t="n">
        <f aca="false">'VOL DWNLD'!V234+'VOL DELTA'!V234</f>
        <v>1</v>
      </c>
      <c r="W234" s="168" t="n">
        <f aca="false">'VOL DWNLD'!W234+'VOL DELTA'!W234</f>
        <v>1</v>
      </c>
      <c r="X234" s="168" t="n">
        <f aca="false">'VOL DWNLD'!X234+'VOL DELTA'!X234</f>
        <v>1</v>
      </c>
      <c r="Y234" s="168" t="n">
        <f aca="false">'VOL DWNLD'!Y234+'VOL DELTA'!Y234</f>
        <v>1</v>
      </c>
      <c r="Z234" s="168" t="n">
        <f aca="false">'VOL DWNLD'!Z234+'VOL DELTA'!Z234</f>
        <v>1</v>
      </c>
      <c r="AA234" s="168" t="n">
        <f aca="false">'VOL DWNLD'!AA234+'VOL DELTA'!AA234</f>
        <v>1</v>
      </c>
      <c r="AB234" s="168" t="n">
        <f aca="false">'VOL DWNLD'!AB234+'VOL DELTA'!AB234</f>
        <v>1</v>
      </c>
      <c r="AC234" s="168" t="n">
        <f aca="false">'VOL DWNLD'!AC234+'VOL DELTA'!AC234</f>
        <v>1</v>
      </c>
      <c r="AD234" s="168" t="n">
        <f aca="false">'VOL DWNLD'!AD234+'VOL DELTA'!AD234</f>
        <v>1</v>
      </c>
      <c r="AE234" s="168" t="n">
        <f aca="false">'VOL DWNLD'!AE234+'VOL DELTA'!AE234</f>
        <v>1</v>
      </c>
      <c r="AF234" s="168" t="n">
        <f aca="false">'VOL DWNLD'!AF234+'VOL DELTA'!AF234</f>
        <v>1.1</v>
      </c>
      <c r="AG234" s="168" t="n">
        <f aca="false">'VOL DWNLD'!AG234+'VOL DELTA'!AG234</f>
        <v>1.1</v>
      </c>
      <c r="AH234" s="168" t="n">
        <f aca="false">'VOL DWNLD'!AH234+'VOL DELTA'!AH234</f>
        <v>1.05</v>
      </c>
      <c r="AI234" s="168" t="n">
        <f aca="false">'VOL DWNLD'!AI234+'VOL DELTA'!AI234</f>
        <v>1</v>
      </c>
      <c r="AJ234" s="168" t="n">
        <f aca="false">'VOL DWNLD'!AJ234+'VOL DELTA'!AJ234</f>
        <v>1</v>
      </c>
      <c r="AK234" s="168" t="n">
        <f aca="false">'VOL DWNLD'!AK234+'VOL DELTA'!AK234</f>
        <v>1.02</v>
      </c>
      <c r="AL234" s="168" t="n">
        <f aca="false">'VOL DWNLD'!AL234+'VOL DELTA'!AL234</f>
        <v>1</v>
      </c>
      <c r="AM234" s="168" t="n">
        <f aca="false">'VOL DWNLD'!AM234+'VOL DELTA'!AM234</f>
        <v>1</v>
      </c>
      <c r="AN234" s="168" t="n">
        <f aca="false">'VOL DWNLD'!AN234+'VOL DELTA'!AN234</f>
        <v>1</v>
      </c>
      <c r="AO234" s="168" t="n">
        <f aca="false">'VOL DWNLD'!AO234+'VOL DELTA'!AO234</f>
        <v>1</v>
      </c>
    </row>
    <row r="235" customFormat="false" ht="12.75" hidden="false" customHeight="false" outlineLevel="0" collapsed="false">
      <c r="B235" s="168" t="n">
        <f aca="false">'VOL DWNLD'!B235+'VOL DELTA'!B235</f>
        <v>1</v>
      </c>
      <c r="C235" s="168" t="n">
        <f aca="false">'VOL DWNLD'!C235+'VOL DELTA'!C235</f>
        <v>1</v>
      </c>
      <c r="D235" s="168" t="n">
        <f aca="false">'VOL DWNLD'!D235+'VOL DELTA'!D235</f>
        <v>1</v>
      </c>
      <c r="E235" s="168" t="n">
        <f aca="false">'VOL DWNLD'!E235+'VOL DELTA'!E235</f>
        <v>1</v>
      </c>
      <c r="F235" s="168" t="n">
        <f aca="false">'VOL DWNLD'!F235+'VOL DELTA'!F235</f>
        <v>1</v>
      </c>
      <c r="G235" s="168" t="n">
        <f aca="false">'VOL DWNLD'!G235+'VOL DELTA'!G235</f>
        <v>1</v>
      </c>
      <c r="H235" s="168" t="n">
        <f aca="false">'VOL DWNLD'!H235+'VOL DELTA'!H235</f>
        <v>1</v>
      </c>
      <c r="I235" s="168" t="n">
        <f aca="false">'VOL DWNLD'!I235+'VOL DELTA'!I235</f>
        <v>1</v>
      </c>
      <c r="J235" s="168" t="n">
        <f aca="false">'VOL DWNLD'!J235+'VOL DELTA'!J235</f>
        <v>1</v>
      </c>
      <c r="K235" s="168" t="n">
        <f aca="false">'VOL DWNLD'!K235+'VOL DELTA'!K235</f>
        <v>1</v>
      </c>
      <c r="L235" s="168" t="n">
        <f aca="false">'VOL DWNLD'!L235+'VOL DELTA'!L235</f>
        <v>1</v>
      </c>
      <c r="M235" s="168" t="n">
        <f aca="false">'VOL DWNLD'!M235+'VOL DELTA'!M235</f>
        <v>1</v>
      </c>
      <c r="N235" s="168" t="n">
        <f aca="false">'VOL DWNLD'!N235+'VOL DELTA'!N235</f>
        <v>1</v>
      </c>
      <c r="O235" s="168" t="n">
        <f aca="false">'VOL DWNLD'!O235+'VOL DELTA'!O235</f>
        <v>1</v>
      </c>
      <c r="P235" s="168" t="n">
        <f aca="false">'VOL DWNLD'!P235+'VOL DELTA'!P235</f>
        <v>1.03</v>
      </c>
      <c r="Q235" s="168" t="n">
        <f aca="false">'VOL DWNLD'!Q235+'VOL DELTA'!Q235</f>
        <v>1</v>
      </c>
      <c r="R235" s="168" t="n">
        <f aca="false">'VOL DWNLD'!R235+'VOL DELTA'!R235</f>
        <v>1</v>
      </c>
      <c r="S235" s="168" t="n">
        <f aca="false">'VOL DWNLD'!S235+'VOL DELTA'!S235</f>
        <v>1.02</v>
      </c>
      <c r="T235" s="168" t="n">
        <f aca="false">'VOL DWNLD'!T235+'VOL DELTA'!T235</f>
        <v>1</v>
      </c>
      <c r="U235" s="168" t="n">
        <f aca="false">'VOL DWNLD'!U235+'VOL DELTA'!U235</f>
        <v>1</v>
      </c>
      <c r="V235" s="168" t="n">
        <f aca="false">'VOL DWNLD'!V235+'VOL DELTA'!V235</f>
        <v>1</v>
      </c>
      <c r="W235" s="168" t="n">
        <f aca="false">'VOL DWNLD'!W235+'VOL DELTA'!W235</f>
        <v>1</v>
      </c>
      <c r="X235" s="168" t="n">
        <f aca="false">'VOL DWNLD'!X235+'VOL DELTA'!X235</f>
        <v>1</v>
      </c>
      <c r="Y235" s="168" t="n">
        <f aca="false">'VOL DWNLD'!Y235+'VOL DELTA'!Y235</f>
        <v>1</v>
      </c>
      <c r="Z235" s="168" t="n">
        <f aca="false">'VOL DWNLD'!Z235+'VOL DELTA'!Z235</f>
        <v>1</v>
      </c>
      <c r="AA235" s="168" t="n">
        <f aca="false">'VOL DWNLD'!AA235+'VOL DELTA'!AA235</f>
        <v>1</v>
      </c>
      <c r="AB235" s="168" t="n">
        <f aca="false">'VOL DWNLD'!AB235+'VOL DELTA'!AB235</f>
        <v>1</v>
      </c>
      <c r="AC235" s="168" t="n">
        <f aca="false">'VOL DWNLD'!AC235+'VOL DELTA'!AC235</f>
        <v>1</v>
      </c>
      <c r="AD235" s="168" t="n">
        <f aca="false">'VOL DWNLD'!AD235+'VOL DELTA'!AD235</f>
        <v>1</v>
      </c>
      <c r="AE235" s="168" t="n">
        <f aca="false">'VOL DWNLD'!AE235+'VOL DELTA'!AE235</f>
        <v>1</v>
      </c>
      <c r="AF235" s="168" t="n">
        <f aca="false">'VOL DWNLD'!AF235+'VOL DELTA'!AF235</f>
        <v>1.1</v>
      </c>
      <c r="AG235" s="168" t="n">
        <f aca="false">'VOL DWNLD'!AG235+'VOL DELTA'!AG235</f>
        <v>1.1</v>
      </c>
      <c r="AH235" s="168" t="n">
        <f aca="false">'VOL DWNLD'!AH235+'VOL DELTA'!AH235</f>
        <v>1.05</v>
      </c>
      <c r="AI235" s="168" t="n">
        <f aca="false">'VOL DWNLD'!AI235+'VOL DELTA'!AI235</f>
        <v>1</v>
      </c>
      <c r="AJ235" s="168" t="n">
        <f aca="false">'VOL DWNLD'!AJ235+'VOL DELTA'!AJ235</f>
        <v>1</v>
      </c>
      <c r="AK235" s="168" t="n">
        <f aca="false">'VOL DWNLD'!AK235+'VOL DELTA'!AK235</f>
        <v>1.02</v>
      </c>
      <c r="AL235" s="168" t="n">
        <f aca="false">'VOL DWNLD'!AL235+'VOL DELTA'!AL235</f>
        <v>1</v>
      </c>
      <c r="AM235" s="168" t="n">
        <f aca="false">'VOL DWNLD'!AM235+'VOL DELTA'!AM235</f>
        <v>1</v>
      </c>
      <c r="AN235" s="168" t="n">
        <f aca="false">'VOL DWNLD'!AN235+'VOL DELTA'!AN235</f>
        <v>1</v>
      </c>
      <c r="AO235" s="168" t="n">
        <f aca="false">'VOL DWNLD'!AO235+'VOL DELTA'!AO235</f>
        <v>1</v>
      </c>
    </row>
    <row r="236" customFormat="false" ht="12.75" hidden="false" customHeight="false" outlineLevel="0" collapsed="false">
      <c r="B236" s="168" t="n">
        <f aca="false">'VOL DWNLD'!B236+'VOL DELTA'!B236</f>
        <v>1</v>
      </c>
      <c r="C236" s="168" t="n">
        <f aca="false">'VOL DWNLD'!C236+'VOL DELTA'!C236</f>
        <v>1</v>
      </c>
      <c r="D236" s="168" t="n">
        <f aca="false">'VOL DWNLD'!D236+'VOL DELTA'!D236</f>
        <v>1</v>
      </c>
      <c r="E236" s="168" t="n">
        <f aca="false">'VOL DWNLD'!E236+'VOL DELTA'!E236</f>
        <v>1</v>
      </c>
      <c r="F236" s="168" t="n">
        <f aca="false">'VOL DWNLD'!F236+'VOL DELTA'!F236</f>
        <v>1</v>
      </c>
      <c r="G236" s="168" t="n">
        <f aca="false">'VOL DWNLD'!G236+'VOL DELTA'!G236</f>
        <v>1</v>
      </c>
      <c r="H236" s="168" t="n">
        <f aca="false">'VOL DWNLD'!H236+'VOL DELTA'!H236</f>
        <v>1</v>
      </c>
      <c r="I236" s="168" t="n">
        <f aca="false">'VOL DWNLD'!I236+'VOL DELTA'!I236</f>
        <v>1</v>
      </c>
      <c r="J236" s="168" t="n">
        <f aca="false">'VOL DWNLD'!J236+'VOL DELTA'!J236</f>
        <v>1</v>
      </c>
      <c r="K236" s="168" t="n">
        <f aca="false">'VOL DWNLD'!K236+'VOL DELTA'!K236</f>
        <v>1</v>
      </c>
      <c r="L236" s="168" t="n">
        <f aca="false">'VOL DWNLD'!L236+'VOL DELTA'!L236</f>
        <v>1</v>
      </c>
      <c r="M236" s="168" t="n">
        <f aca="false">'VOL DWNLD'!M236+'VOL DELTA'!M236</f>
        <v>1</v>
      </c>
      <c r="N236" s="168" t="n">
        <f aca="false">'VOL DWNLD'!N236+'VOL DELTA'!N236</f>
        <v>1</v>
      </c>
      <c r="O236" s="168" t="n">
        <f aca="false">'VOL DWNLD'!O236+'VOL DELTA'!O236</f>
        <v>1</v>
      </c>
      <c r="P236" s="168" t="n">
        <f aca="false">'VOL DWNLD'!P236+'VOL DELTA'!P236</f>
        <v>1.03</v>
      </c>
      <c r="Q236" s="168" t="n">
        <f aca="false">'VOL DWNLD'!Q236+'VOL DELTA'!Q236</f>
        <v>1</v>
      </c>
      <c r="R236" s="168" t="n">
        <f aca="false">'VOL DWNLD'!R236+'VOL DELTA'!R236</f>
        <v>1</v>
      </c>
      <c r="S236" s="168" t="n">
        <f aca="false">'VOL DWNLD'!S236+'VOL DELTA'!S236</f>
        <v>1.02</v>
      </c>
      <c r="T236" s="168" t="n">
        <f aca="false">'VOL DWNLD'!T236+'VOL DELTA'!T236</f>
        <v>1</v>
      </c>
      <c r="U236" s="168" t="n">
        <f aca="false">'VOL DWNLD'!U236+'VOL DELTA'!U236</f>
        <v>1</v>
      </c>
      <c r="V236" s="168" t="n">
        <f aca="false">'VOL DWNLD'!V236+'VOL DELTA'!V236</f>
        <v>1</v>
      </c>
      <c r="W236" s="168" t="n">
        <f aca="false">'VOL DWNLD'!W236+'VOL DELTA'!W236</f>
        <v>1</v>
      </c>
      <c r="X236" s="168" t="n">
        <f aca="false">'VOL DWNLD'!X236+'VOL DELTA'!X236</f>
        <v>1</v>
      </c>
      <c r="Y236" s="168" t="n">
        <f aca="false">'VOL DWNLD'!Y236+'VOL DELTA'!Y236</f>
        <v>1</v>
      </c>
      <c r="Z236" s="168" t="n">
        <f aca="false">'VOL DWNLD'!Z236+'VOL DELTA'!Z236</f>
        <v>1</v>
      </c>
      <c r="AA236" s="168" t="n">
        <f aca="false">'VOL DWNLD'!AA236+'VOL DELTA'!AA236</f>
        <v>1</v>
      </c>
      <c r="AB236" s="168" t="n">
        <f aca="false">'VOL DWNLD'!AB236+'VOL DELTA'!AB236</f>
        <v>1</v>
      </c>
      <c r="AC236" s="168" t="n">
        <f aca="false">'VOL DWNLD'!AC236+'VOL DELTA'!AC236</f>
        <v>1</v>
      </c>
      <c r="AD236" s="168" t="n">
        <f aca="false">'VOL DWNLD'!AD236+'VOL DELTA'!AD236</f>
        <v>1</v>
      </c>
      <c r="AE236" s="168" t="n">
        <f aca="false">'VOL DWNLD'!AE236+'VOL DELTA'!AE236</f>
        <v>1</v>
      </c>
      <c r="AF236" s="168" t="n">
        <f aca="false">'VOL DWNLD'!AF236+'VOL DELTA'!AF236</f>
        <v>1.1</v>
      </c>
      <c r="AG236" s="168" t="n">
        <f aca="false">'VOL DWNLD'!AG236+'VOL DELTA'!AG236</f>
        <v>1.1</v>
      </c>
      <c r="AH236" s="168" t="n">
        <f aca="false">'VOL DWNLD'!AH236+'VOL DELTA'!AH236</f>
        <v>1.05</v>
      </c>
      <c r="AI236" s="168" t="n">
        <f aca="false">'VOL DWNLD'!AI236+'VOL DELTA'!AI236</f>
        <v>1</v>
      </c>
      <c r="AJ236" s="168" t="n">
        <f aca="false">'VOL DWNLD'!AJ236+'VOL DELTA'!AJ236</f>
        <v>1</v>
      </c>
      <c r="AK236" s="168" t="n">
        <f aca="false">'VOL DWNLD'!AK236+'VOL DELTA'!AK236</f>
        <v>1.02</v>
      </c>
      <c r="AL236" s="168" t="n">
        <f aca="false">'VOL DWNLD'!AL236+'VOL DELTA'!AL236</f>
        <v>1</v>
      </c>
      <c r="AM236" s="168" t="n">
        <f aca="false">'VOL DWNLD'!AM236+'VOL DELTA'!AM236</f>
        <v>1</v>
      </c>
      <c r="AN236" s="168" t="n">
        <f aca="false">'VOL DWNLD'!AN236+'VOL DELTA'!AN236</f>
        <v>1</v>
      </c>
      <c r="AO236" s="168" t="n">
        <f aca="false">'VOL DWNLD'!AO236+'VOL DELTA'!AO236</f>
        <v>1</v>
      </c>
    </row>
    <row r="237" customFormat="false" ht="12.75" hidden="false" customHeight="false" outlineLevel="0" collapsed="false">
      <c r="B237" s="168" t="n">
        <f aca="false">'VOL DWNLD'!B237+'VOL DELTA'!B237</f>
        <v>1</v>
      </c>
      <c r="C237" s="168" t="n">
        <f aca="false">'VOL DWNLD'!C237+'VOL DELTA'!C237</f>
        <v>1</v>
      </c>
      <c r="D237" s="168" t="n">
        <f aca="false">'VOL DWNLD'!D237+'VOL DELTA'!D237</f>
        <v>1</v>
      </c>
      <c r="E237" s="168" t="n">
        <f aca="false">'VOL DWNLD'!E237+'VOL DELTA'!E237</f>
        <v>1</v>
      </c>
      <c r="F237" s="168" t="n">
        <f aca="false">'VOL DWNLD'!F237+'VOL DELTA'!F237</f>
        <v>1</v>
      </c>
      <c r="G237" s="168" t="n">
        <f aca="false">'VOL DWNLD'!G237+'VOL DELTA'!G237</f>
        <v>1</v>
      </c>
      <c r="H237" s="168" t="n">
        <f aca="false">'VOL DWNLD'!H237+'VOL DELTA'!H237</f>
        <v>1</v>
      </c>
      <c r="I237" s="168" t="n">
        <f aca="false">'VOL DWNLD'!I237+'VOL DELTA'!I237</f>
        <v>1</v>
      </c>
      <c r="J237" s="168" t="n">
        <f aca="false">'VOL DWNLD'!J237+'VOL DELTA'!J237</f>
        <v>1</v>
      </c>
      <c r="K237" s="168" t="n">
        <f aca="false">'VOL DWNLD'!K237+'VOL DELTA'!K237</f>
        <v>1</v>
      </c>
      <c r="L237" s="168" t="n">
        <f aca="false">'VOL DWNLD'!L237+'VOL DELTA'!L237</f>
        <v>1</v>
      </c>
      <c r="M237" s="168" t="n">
        <f aca="false">'VOL DWNLD'!M237+'VOL DELTA'!M237</f>
        <v>1</v>
      </c>
      <c r="N237" s="168" t="n">
        <f aca="false">'VOL DWNLD'!N237+'VOL DELTA'!N237</f>
        <v>1</v>
      </c>
      <c r="O237" s="168" t="n">
        <f aca="false">'VOL DWNLD'!O237+'VOL DELTA'!O237</f>
        <v>1</v>
      </c>
      <c r="P237" s="168" t="n">
        <f aca="false">'VOL DWNLD'!P237+'VOL DELTA'!P237</f>
        <v>1.03</v>
      </c>
      <c r="Q237" s="168" t="n">
        <f aca="false">'VOL DWNLD'!Q237+'VOL DELTA'!Q237</f>
        <v>1</v>
      </c>
      <c r="R237" s="168" t="n">
        <f aca="false">'VOL DWNLD'!R237+'VOL DELTA'!R237</f>
        <v>1</v>
      </c>
      <c r="S237" s="168" t="n">
        <f aca="false">'VOL DWNLD'!S237+'VOL DELTA'!S237</f>
        <v>1.02</v>
      </c>
      <c r="T237" s="168" t="n">
        <f aca="false">'VOL DWNLD'!T237+'VOL DELTA'!T237</f>
        <v>1</v>
      </c>
      <c r="U237" s="168" t="n">
        <f aca="false">'VOL DWNLD'!U237+'VOL DELTA'!U237</f>
        <v>1</v>
      </c>
      <c r="V237" s="168" t="n">
        <f aca="false">'VOL DWNLD'!V237+'VOL DELTA'!V237</f>
        <v>1</v>
      </c>
      <c r="W237" s="168" t="n">
        <f aca="false">'VOL DWNLD'!W237+'VOL DELTA'!W237</f>
        <v>1</v>
      </c>
      <c r="X237" s="168" t="n">
        <f aca="false">'VOL DWNLD'!X237+'VOL DELTA'!X237</f>
        <v>1</v>
      </c>
      <c r="Y237" s="168" t="n">
        <f aca="false">'VOL DWNLD'!Y237+'VOL DELTA'!Y237</f>
        <v>1</v>
      </c>
      <c r="Z237" s="168" t="n">
        <f aca="false">'VOL DWNLD'!Z237+'VOL DELTA'!Z237</f>
        <v>1</v>
      </c>
      <c r="AA237" s="168" t="n">
        <f aca="false">'VOL DWNLD'!AA237+'VOL DELTA'!AA237</f>
        <v>1</v>
      </c>
      <c r="AB237" s="168" t="n">
        <f aca="false">'VOL DWNLD'!AB237+'VOL DELTA'!AB237</f>
        <v>1</v>
      </c>
      <c r="AC237" s="168" t="n">
        <f aca="false">'VOL DWNLD'!AC237+'VOL DELTA'!AC237</f>
        <v>1</v>
      </c>
      <c r="AD237" s="168" t="n">
        <f aca="false">'VOL DWNLD'!AD237+'VOL DELTA'!AD237</f>
        <v>1</v>
      </c>
      <c r="AE237" s="168" t="n">
        <f aca="false">'VOL DWNLD'!AE237+'VOL DELTA'!AE237</f>
        <v>1</v>
      </c>
      <c r="AF237" s="168" t="n">
        <f aca="false">'VOL DWNLD'!AF237+'VOL DELTA'!AF237</f>
        <v>1.1</v>
      </c>
      <c r="AG237" s="168" t="n">
        <f aca="false">'VOL DWNLD'!AG237+'VOL DELTA'!AG237</f>
        <v>1.1</v>
      </c>
      <c r="AH237" s="168" t="n">
        <f aca="false">'VOL DWNLD'!AH237+'VOL DELTA'!AH237</f>
        <v>1.05</v>
      </c>
      <c r="AI237" s="168" t="n">
        <f aca="false">'VOL DWNLD'!AI237+'VOL DELTA'!AI237</f>
        <v>1</v>
      </c>
      <c r="AJ237" s="168" t="n">
        <f aca="false">'VOL DWNLD'!AJ237+'VOL DELTA'!AJ237</f>
        <v>1</v>
      </c>
      <c r="AK237" s="168" t="n">
        <f aca="false">'VOL DWNLD'!AK237+'VOL DELTA'!AK237</f>
        <v>1.02</v>
      </c>
      <c r="AL237" s="168" t="n">
        <f aca="false">'VOL DWNLD'!AL237+'VOL DELTA'!AL237</f>
        <v>1</v>
      </c>
      <c r="AM237" s="168" t="n">
        <f aca="false">'VOL DWNLD'!AM237+'VOL DELTA'!AM237</f>
        <v>1</v>
      </c>
      <c r="AN237" s="168" t="n">
        <f aca="false">'VOL DWNLD'!AN237+'VOL DELTA'!AN237</f>
        <v>1</v>
      </c>
      <c r="AO237" s="168" t="n">
        <f aca="false">'VOL DWNLD'!AO237+'VOL DELTA'!AO237</f>
        <v>1</v>
      </c>
    </row>
    <row r="238" customFormat="false" ht="12.75" hidden="false" customHeight="false" outlineLevel="0" collapsed="false">
      <c r="B238" s="168" t="n">
        <f aca="false">'VOL DWNLD'!B238+'VOL DELTA'!B238</f>
        <v>1</v>
      </c>
      <c r="C238" s="168" t="n">
        <f aca="false">'VOL DWNLD'!C238+'VOL DELTA'!C238</f>
        <v>1</v>
      </c>
      <c r="D238" s="168" t="n">
        <f aca="false">'VOL DWNLD'!D238+'VOL DELTA'!D238</f>
        <v>1</v>
      </c>
      <c r="E238" s="168" t="n">
        <f aca="false">'VOL DWNLD'!E238+'VOL DELTA'!E238</f>
        <v>1</v>
      </c>
      <c r="F238" s="168" t="n">
        <f aca="false">'VOL DWNLD'!F238+'VOL DELTA'!F238</f>
        <v>1</v>
      </c>
      <c r="G238" s="168" t="n">
        <f aca="false">'VOL DWNLD'!G238+'VOL DELTA'!G238</f>
        <v>1</v>
      </c>
      <c r="H238" s="168" t="n">
        <f aca="false">'VOL DWNLD'!H238+'VOL DELTA'!H238</f>
        <v>1</v>
      </c>
      <c r="I238" s="168" t="n">
        <f aca="false">'VOL DWNLD'!I238+'VOL DELTA'!I238</f>
        <v>1</v>
      </c>
      <c r="J238" s="168" t="n">
        <f aca="false">'VOL DWNLD'!J238+'VOL DELTA'!J238</f>
        <v>1</v>
      </c>
      <c r="K238" s="168" t="n">
        <f aca="false">'VOL DWNLD'!K238+'VOL DELTA'!K238</f>
        <v>1</v>
      </c>
      <c r="L238" s="168" t="n">
        <f aca="false">'VOL DWNLD'!L238+'VOL DELTA'!L238</f>
        <v>1</v>
      </c>
      <c r="M238" s="168" t="n">
        <f aca="false">'VOL DWNLD'!M238+'VOL DELTA'!M238</f>
        <v>1</v>
      </c>
      <c r="N238" s="168" t="n">
        <f aca="false">'VOL DWNLD'!N238+'VOL DELTA'!N238</f>
        <v>1</v>
      </c>
      <c r="O238" s="168" t="n">
        <f aca="false">'VOL DWNLD'!O238+'VOL DELTA'!O238</f>
        <v>1</v>
      </c>
      <c r="P238" s="168" t="n">
        <f aca="false">'VOL DWNLD'!P238+'VOL DELTA'!P238</f>
        <v>1.03</v>
      </c>
      <c r="Q238" s="168" t="n">
        <f aca="false">'VOL DWNLD'!Q238+'VOL DELTA'!Q238</f>
        <v>1</v>
      </c>
      <c r="R238" s="168" t="n">
        <f aca="false">'VOL DWNLD'!R238+'VOL DELTA'!R238</f>
        <v>1</v>
      </c>
      <c r="S238" s="168" t="n">
        <f aca="false">'VOL DWNLD'!S238+'VOL DELTA'!S238</f>
        <v>1.02</v>
      </c>
      <c r="T238" s="168" t="n">
        <f aca="false">'VOL DWNLD'!T238+'VOL DELTA'!T238</f>
        <v>1</v>
      </c>
      <c r="U238" s="168" t="n">
        <f aca="false">'VOL DWNLD'!U238+'VOL DELTA'!U238</f>
        <v>1</v>
      </c>
      <c r="V238" s="168" t="n">
        <f aca="false">'VOL DWNLD'!V238+'VOL DELTA'!V238</f>
        <v>1</v>
      </c>
      <c r="W238" s="168" t="n">
        <f aca="false">'VOL DWNLD'!W238+'VOL DELTA'!W238</f>
        <v>1</v>
      </c>
      <c r="X238" s="168" t="n">
        <f aca="false">'VOL DWNLD'!X238+'VOL DELTA'!X238</f>
        <v>1</v>
      </c>
      <c r="Y238" s="168" t="n">
        <f aca="false">'VOL DWNLD'!Y238+'VOL DELTA'!Y238</f>
        <v>1.02</v>
      </c>
      <c r="Z238" s="168" t="n">
        <f aca="false">'VOL DWNLD'!Z238+'VOL DELTA'!Z238</f>
        <v>1</v>
      </c>
      <c r="AA238" s="168" t="n">
        <f aca="false">'VOL DWNLD'!AA238+'VOL DELTA'!AA238</f>
        <v>1</v>
      </c>
      <c r="AB238" s="168" t="n">
        <f aca="false">'VOL DWNLD'!AB238+'VOL DELTA'!AB238</f>
        <v>1</v>
      </c>
      <c r="AC238" s="168" t="n">
        <f aca="false">'VOL DWNLD'!AC238+'VOL DELTA'!AC238</f>
        <v>1</v>
      </c>
      <c r="AD238" s="168" t="n">
        <f aca="false">'VOL DWNLD'!AD238+'VOL DELTA'!AD238</f>
        <v>0.98</v>
      </c>
      <c r="AE238" s="168" t="n">
        <f aca="false">'VOL DWNLD'!AE238+'VOL DELTA'!AE238</f>
        <v>0.98</v>
      </c>
      <c r="AF238" s="168" t="n">
        <f aca="false">'VOL DWNLD'!AF238+'VOL DELTA'!AF238</f>
        <v>0.98</v>
      </c>
      <c r="AG238" s="168" t="n">
        <f aca="false">'VOL DWNLD'!AG238+'VOL DELTA'!AG238</f>
        <v>0.98</v>
      </c>
      <c r="AH238" s="168" t="n">
        <f aca="false">'VOL DWNLD'!AH238+'VOL DELTA'!AH238</f>
        <v>1.05</v>
      </c>
      <c r="AI238" s="168" t="n">
        <f aca="false">'VOL DWNLD'!AI238+'VOL DELTA'!AI238</f>
        <v>1</v>
      </c>
      <c r="AJ238" s="168" t="n">
        <f aca="false">'VOL DWNLD'!AJ238+'VOL DELTA'!AJ238</f>
        <v>1</v>
      </c>
      <c r="AK238" s="168" t="n">
        <f aca="false">'VOL DWNLD'!AK238+'VOL DELTA'!AK238</f>
        <v>1.02</v>
      </c>
      <c r="AL238" s="168" t="n">
        <f aca="false">'VOL DWNLD'!AL238+'VOL DELTA'!AL238</f>
        <v>1</v>
      </c>
      <c r="AM238" s="168" t="n">
        <f aca="false">'VOL DWNLD'!AM238+'VOL DELTA'!AM238</f>
        <v>1</v>
      </c>
      <c r="AN238" s="168" t="n">
        <f aca="false">'VOL DWNLD'!AN238+'VOL DELTA'!AN238</f>
        <v>1</v>
      </c>
      <c r="AO238" s="168" t="n">
        <f aca="false">'VOL DWNLD'!AO238+'VOL DELTA'!AO238</f>
        <v>1</v>
      </c>
    </row>
    <row r="239" customFormat="false" ht="12.75" hidden="false" customHeight="false" outlineLevel="0" collapsed="false">
      <c r="B239" s="168" t="n">
        <f aca="false">'VOL DWNLD'!B239+'VOL DELTA'!B239</f>
        <v>1</v>
      </c>
      <c r="C239" s="168" t="n">
        <f aca="false">'VOL DWNLD'!C239+'VOL DELTA'!C239</f>
        <v>1</v>
      </c>
      <c r="D239" s="168" t="n">
        <f aca="false">'VOL DWNLD'!D239+'VOL DELTA'!D239</f>
        <v>1</v>
      </c>
      <c r="E239" s="168" t="n">
        <f aca="false">'VOL DWNLD'!E239+'VOL DELTA'!E239</f>
        <v>1</v>
      </c>
      <c r="F239" s="168" t="n">
        <f aca="false">'VOL DWNLD'!F239+'VOL DELTA'!F239</f>
        <v>1</v>
      </c>
      <c r="G239" s="168" t="n">
        <f aca="false">'VOL DWNLD'!G239+'VOL DELTA'!G239</f>
        <v>1</v>
      </c>
      <c r="H239" s="168" t="n">
        <f aca="false">'VOL DWNLD'!H239+'VOL DELTA'!H239</f>
        <v>1</v>
      </c>
      <c r="I239" s="168" t="n">
        <f aca="false">'VOL DWNLD'!I239+'VOL DELTA'!I239</f>
        <v>1</v>
      </c>
      <c r="J239" s="168" t="n">
        <f aca="false">'VOL DWNLD'!J239+'VOL DELTA'!J239</f>
        <v>1</v>
      </c>
      <c r="K239" s="168" t="n">
        <f aca="false">'VOL DWNLD'!K239+'VOL DELTA'!K239</f>
        <v>1</v>
      </c>
      <c r="L239" s="168" t="n">
        <f aca="false">'VOL DWNLD'!L239+'VOL DELTA'!L239</f>
        <v>1</v>
      </c>
      <c r="M239" s="168" t="n">
        <f aca="false">'VOL DWNLD'!M239+'VOL DELTA'!M239</f>
        <v>1</v>
      </c>
      <c r="N239" s="168" t="n">
        <f aca="false">'VOL DWNLD'!N239+'VOL DELTA'!N239</f>
        <v>1</v>
      </c>
      <c r="O239" s="168" t="n">
        <f aca="false">'VOL DWNLD'!O239+'VOL DELTA'!O239</f>
        <v>1</v>
      </c>
      <c r="P239" s="168" t="n">
        <f aca="false">'VOL DWNLD'!P239+'VOL DELTA'!P239</f>
        <v>1.03</v>
      </c>
      <c r="Q239" s="168" t="n">
        <f aca="false">'VOL DWNLD'!Q239+'VOL DELTA'!Q239</f>
        <v>1</v>
      </c>
      <c r="R239" s="168" t="n">
        <f aca="false">'VOL DWNLD'!R239+'VOL DELTA'!R239</f>
        <v>1</v>
      </c>
      <c r="S239" s="168" t="n">
        <f aca="false">'VOL DWNLD'!S239+'VOL DELTA'!S239</f>
        <v>1.02</v>
      </c>
      <c r="T239" s="168" t="n">
        <f aca="false">'VOL DWNLD'!T239+'VOL DELTA'!T239</f>
        <v>1</v>
      </c>
      <c r="U239" s="168" t="n">
        <f aca="false">'VOL DWNLD'!U239+'VOL DELTA'!U239</f>
        <v>1</v>
      </c>
      <c r="V239" s="168" t="n">
        <f aca="false">'VOL DWNLD'!V239+'VOL DELTA'!V239</f>
        <v>1</v>
      </c>
      <c r="W239" s="168" t="n">
        <f aca="false">'VOL DWNLD'!W239+'VOL DELTA'!W239</f>
        <v>1</v>
      </c>
      <c r="X239" s="168" t="n">
        <f aca="false">'VOL DWNLD'!X239+'VOL DELTA'!X239</f>
        <v>1</v>
      </c>
      <c r="Y239" s="168" t="n">
        <f aca="false">'VOL DWNLD'!Y239+'VOL DELTA'!Y239</f>
        <v>1.02</v>
      </c>
      <c r="Z239" s="168" t="n">
        <f aca="false">'VOL DWNLD'!Z239+'VOL DELTA'!Z239</f>
        <v>1</v>
      </c>
      <c r="AA239" s="168" t="n">
        <f aca="false">'VOL DWNLD'!AA239+'VOL DELTA'!AA239</f>
        <v>1</v>
      </c>
      <c r="AB239" s="168" t="n">
        <f aca="false">'VOL DWNLD'!AB239+'VOL DELTA'!AB239</f>
        <v>1</v>
      </c>
      <c r="AC239" s="168" t="n">
        <f aca="false">'VOL DWNLD'!AC239+'VOL DELTA'!AC239</f>
        <v>1</v>
      </c>
      <c r="AD239" s="168" t="n">
        <f aca="false">'VOL DWNLD'!AD239+'VOL DELTA'!AD239</f>
        <v>0.98</v>
      </c>
      <c r="AE239" s="168" t="n">
        <f aca="false">'VOL DWNLD'!AE239+'VOL DELTA'!AE239</f>
        <v>0.98</v>
      </c>
      <c r="AF239" s="168" t="n">
        <f aca="false">'VOL DWNLD'!AF239+'VOL DELTA'!AF239</f>
        <v>0.98</v>
      </c>
      <c r="AG239" s="168" t="n">
        <f aca="false">'VOL DWNLD'!AG239+'VOL DELTA'!AG239</f>
        <v>0.98</v>
      </c>
      <c r="AH239" s="168" t="n">
        <f aca="false">'VOL DWNLD'!AH239+'VOL DELTA'!AH239</f>
        <v>1.05</v>
      </c>
      <c r="AI239" s="168" t="n">
        <f aca="false">'VOL DWNLD'!AI239+'VOL DELTA'!AI239</f>
        <v>1</v>
      </c>
      <c r="AJ239" s="168" t="n">
        <f aca="false">'VOL DWNLD'!AJ239+'VOL DELTA'!AJ239</f>
        <v>1</v>
      </c>
      <c r="AK239" s="168" t="n">
        <f aca="false">'VOL DWNLD'!AK239+'VOL DELTA'!AK239</f>
        <v>1.02</v>
      </c>
      <c r="AL239" s="168" t="n">
        <f aca="false">'VOL DWNLD'!AL239+'VOL DELTA'!AL239</f>
        <v>1</v>
      </c>
      <c r="AM239" s="168" t="n">
        <f aca="false">'VOL DWNLD'!AM239+'VOL DELTA'!AM239</f>
        <v>1</v>
      </c>
      <c r="AN239" s="168" t="n">
        <f aca="false">'VOL DWNLD'!AN239+'VOL DELTA'!AN239</f>
        <v>1</v>
      </c>
      <c r="AO239" s="168" t="n">
        <f aca="false">'VOL DWNLD'!AO239+'VOL DELTA'!AO239</f>
        <v>1</v>
      </c>
    </row>
    <row r="240" customFormat="false" ht="12.75" hidden="false" customHeight="false" outlineLevel="0" collapsed="false">
      <c r="B240" s="168" t="n">
        <f aca="false">'VOL DWNLD'!B240+'VOL DELTA'!B240</f>
        <v>1</v>
      </c>
      <c r="C240" s="168" t="n">
        <f aca="false">'VOL DWNLD'!C240+'VOL DELTA'!C240</f>
        <v>1</v>
      </c>
      <c r="D240" s="168" t="n">
        <f aca="false">'VOL DWNLD'!D240+'VOL DELTA'!D240</f>
        <v>1</v>
      </c>
      <c r="E240" s="168" t="n">
        <f aca="false">'VOL DWNLD'!E240+'VOL DELTA'!E240</f>
        <v>1</v>
      </c>
      <c r="F240" s="168" t="n">
        <f aca="false">'VOL DWNLD'!F240+'VOL DELTA'!F240</f>
        <v>1</v>
      </c>
      <c r="G240" s="168" t="n">
        <f aca="false">'VOL DWNLD'!G240+'VOL DELTA'!G240</f>
        <v>1</v>
      </c>
      <c r="H240" s="168" t="n">
        <f aca="false">'VOL DWNLD'!H240+'VOL DELTA'!H240</f>
        <v>1</v>
      </c>
      <c r="I240" s="168" t="n">
        <f aca="false">'VOL DWNLD'!I240+'VOL DELTA'!I240</f>
        <v>1</v>
      </c>
      <c r="J240" s="168" t="n">
        <f aca="false">'VOL DWNLD'!J240+'VOL DELTA'!J240</f>
        <v>1</v>
      </c>
      <c r="K240" s="168" t="n">
        <f aca="false">'VOL DWNLD'!K240+'VOL DELTA'!K240</f>
        <v>1</v>
      </c>
      <c r="L240" s="168" t="n">
        <f aca="false">'VOL DWNLD'!L240+'VOL DELTA'!L240</f>
        <v>1</v>
      </c>
      <c r="M240" s="168" t="n">
        <f aca="false">'VOL DWNLD'!M240+'VOL DELTA'!M240</f>
        <v>1</v>
      </c>
      <c r="N240" s="168" t="n">
        <f aca="false">'VOL DWNLD'!N240+'VOL DELTA'!N240</f>
        <v>1</v>
      </c>
      <c r="O240" s="168" t="n">
        <f aca="false">'VOL DWNLD'!O240+'VOL DELTA'!O240</f>
        <v>1</v>
      </c>
      <c r="P240" s="168" t="n">
        <f aca="false">'VOL DWNLD'!P240+'VOL DELTA'!P240</f>
        <v>1.03</v>
      </c>
      <c r="Q240" s="168" t="n">
        <f aca="false">'VOL DWNLD'!Q240+'VOL DELTA'!Q240</f>
        <v>1</v>
      </c>
      <c r="R240" s="168" t="n">
        <f aca="false">'VOL DWNLD'!R240+'VOL DELTA'!R240</f>
        <v>1</v>
      </c>
      <c r="S240" s="168" t="n">
        <f aca="false">'VOL DWNLD'!S240+'VOL DELTA'!S240</f>
        <v>1.02</v>
      </c>
      <c r="T240" s="168" t="n">
        <f aca="false">'VOL DWNLD'!T240+'VOL DELTA'!T240</f>
        <v>1</v>
      </c>
      <c r="U240" s="168" t="n">
        <f aca="false">'VOL DWNLD'!U240+'VOL DELTA'!U240</f>
        <v>1</v>
      </c>
      <c r="V240" s="168" t="n">
        <f aca="false">'VOL DWNLD'!V240+'VOL DELTA'!V240</f>
        <v>1</v>
      </c>
      <c r="W240" s="168" t="n">
        <f aca="false">'VOL DWNLD'!W240+'VOL DELTA'!W240</f>
        <v>1</v>
      </c>
      <c r="X240" s="168" t="n">
        <f aca="false">'VOL DWNLD'!X240+'VOL DELTA'!X240</f>
        <v>1</v>
      </c>
      <c r="Y240" s="168" t="n">
        <f aca="false">'VOL DWNLD'!Y240+'VOL DELTA'!Y240</f>
        <v>1.02</v>
      </c>
      <c r="Z240" s="168" t="n">
        <f aca="false">'VOL DWNLD'!Z240+'VOL DELTA'!Z240</f>
        <v>1</v>
      </c>
      <c r="AA240" s="168" t="n">
        <f aca="false">'VOL DWNLD'!AA240+'VOL DELTA'!AA240</f>
        <v>1</v>
      </c>
      <c r="AB240" s="168" t="n">
        <f aca="false">'VOL DWNLD'!AB240+'VOL DELTA'!AB240</f>
        <v>1</v>
      </c>
      <c r="AC240" s="168" t="n">
        <f aca="false">'VOL DWNLD'!AC240+'VOL DELTA'!AC240</f>
        <v>1</v>
      </c>
      <c r="AD240" s="168" t="n">
        <f aca="false">'VOL DWNLD'!AD240+'VOL DELTA'!AD240</f>
        <v>0.98</v>
      </c>
      <c r="AE240" s="168" t="n">
        <f aca="false">'VOL DWNLD'!AE240+'VOL DELTA'!AE240</f>
        <v>0.98</v>
      </c>
      <c r="AF240" s="168" t="n">
        <f aca="false">'VOL DWNLD'!AF240+'VOL DELTA'!AF240</f>
        <v>0.98</v>
      </c>
      <c r="AG240" s="168" t="n">
        <f aca="false">'VOL DWNLD'!AG240+'VOL DELTA'!AG240</f>
        <v>0.98</v>
      </c>
      <c r="AH240" s="168" t="n">
        <f aca="false">'VOL DWNLD'!AH240+'VOL DELTA'!AH240</f>
        <v>1.05</v>
      </c>
      <c r="AI240" s="168" t="n">
        <f aca="false">'VOL DWNLD'!AI240+'VOL DELTA'!AI240</f>
        <v>1</v>
      </c>
      <c r="AJ240" s="168" t="n">
        <f aca="false">'VOL DWNLD'!AJ240+'VOL DELTA'!AJ240</f>
        <v>1</v>
      </c>
      <c r="AK240" s="168" t="n">
        <f aca="false">'VOL DWNLD'!AK240+'VOL DELTA'!AK240</f>
        <v>1.02</v>
      </c>
      <c r="AL240" s="168" t="n">
        <f aca="false">'VOL DWNLD'!AL240+'VOL DELTA'!AL240</f>
        <v>1</v>
      </c>
      <c r="AM240" s="168" t="n">
        <f aca="false">'VOL DWNLD'!AM240+'VOL DELTA'!AM240</f>
        <v>1</v>
      </c>
      <c r="AN240" s="168" t="n">
        <f aca="false">'VOL DWNLD'!AN240+'VOL DELTA'!AN240</f>
        <v>1</v>
      </c>
      <c r="AO240" s="168" t="n">
        <f aca="false">'VOL DWNLD'!AO240+'VOL DELTA'!AO240</f>
        <v>1</v>
      </c>
    </row>
    <row r="241" customFormat="false" ht="12.75" hidden="false" customHeight="false" outlineLevel="0" collapsed="false">
      <c r="B241" s="168" t="n">
        <f aca="false">'VOL DWNLD'!B241+'VOL DELTA'!B241</f>
        <v>1</v>
      </c>
      <c r="C241" s="168" t="n">
        <f aca="false">'VOL DWNLD'!C241+'VOL DELTA'!C241</f>
        <v>1</v>
      </c>
      <c r="D241" s="168" t="n">
        <f aca="false">'VOL DWNLD'!D241+'VOL DELTA'!D241</f>
        <v>1</v>
      </c>
      <c r="E241" s="168" t="n">
        <f aca="false">'VOL DWNLD'!E241+'VOL DELTA'!E241</f>
        <v>1</v>
      </c>
      <c r="F241" s="168" t="n">
        <f aca="false">'VOL DWNLD'!F241+'VOL DELTA'!F241</f>
        <v>1</v>
      </c>
      <c r="G241" s="168" t="n">
        <f aca="false">'VOL DWNLD'!G241+'VOL DELTA'!G241</f>
        <v>1</v>
      </c>
      <c r="H241" s="168" t="n">
        <f aca="false">'VOL DWNLD'!H241+'VOL DELTA'!H241</f>
        <v>1</v>
      </c>
      <c r="I241" s="168" t="n">
        <f aca="false">'VOL DWNLD'!I241+'VOL DELTA'!I241</f>
        <v>1</v>
      </c>
      <c r="J241" s="168" t="n">
        <f aca="false">'VOL DWNLD'!J241+'VOL DELTA'!J241</f>
        <v>1</v>
      </c>
      <c r="K241" s="168" t="n">
        <f aca="false">'VOL DWNLD'!K241+'VOL DELTA'!K241</f>
        <v>1</v>
      </c>
      <c r="L241" s="168" t="n">
        <f aca="false">'VOL DWNLD'!L241+'VOL DELTA'!L241</f>
        <v>1</v>
      </c>
      <c r="M241" s="168" t="n">
        <f aca="false">'VOL DWNLD'!M241+'VOL DELTA'!M241</f>
        <v>1</v>
      </c>
      <c r="N241" s="168" t="n">
        <f aca="false">'VOL DWNLD'!N241+'VOL DELTA'!N241</f>
        <v>1</v>
      </c>
      <c r="O241" s="168" t="n">
        <f aca="false">'VOL DWNLD'!O241+'VOL DELTA'!O241</f>
        <v>1</v>
      </c>
      <c r="P241" s="168" t="n">
        <f aca="false">'VOL DWNLD'!P241+'VOL DELTA'!P241</f>
        <v>1.03</v>
      </c>
      <c r="Q241" s="168" t="n">
        <f aca="false">'VOL DWNLD'!Q241+'VOL DELTA'!Q241</f>
        <v>1</v>
      </c>
      <c r="R241" s="168" t="n">
        <f aca="false">'VOL DWNLD'!R241+'VOL DELTA'!R241</f>
        <v>1</v>
      </c>
      <c r="S241" s="168" t="n">
        <f aca="false">'VOL DWNLD'!S241+'VOL DELTA'!S241</f>
        <v>1.02</v>
      </c>
      <c r="T241" s="168" t="n">
        <f aca="false">'VOL DWNLD'!T241+'VOL DELTA'!T241</f>
        <v>1</v>
      </c>
      <c r="U241" s="168" t="n">
        <f aca="false">'VOL DWNLD'!U241+'VOL DELTA'!U241</f>
        <v>1</v>
      </c>
      <c r="V241" s="168" t="n">
        <f aca="false">'VOL DWNLD'!V241+'VOL DELTA'!V241</f>
        <v>1</v>
      </c>
      <c r="W241" s="168" t="n">
        <f aca="false">'VOL DWNLD'!W241+'VOL DELTA'!W241</f>
        <v>1</v>
      </c>
      <c r="X241" s="168" t="n">
        <f aca="false">'VOL DWNLD'!X241+'VOL DELTA'!X241</f>
        <v>1</v>
      </c>
      <c r="Y241" s="168" t="n">
        <f aca="false">'VOL DWNLD'!Y241+'VOL DELTA'!Y241</f>
        <v>1.02</v>
      </c>
      <c r="Z241" s="168" t="n">
        <f aca="false">'VOL DWNLD'!Z241+'VOL DELTA'!Z241</f>
        <v>1</v>
      </c>
      <c r="AA241" s="168" t="n">
        <f aca="false">'VOL DWNLD'!AA241+'VOL DELTA'!AA241</f>
        <v>1</v>
      </c>
      <c r="AB241" s="168" t="n">
        <f aca="false">'VOL DWNLD'!AB241+'VOL DELTA'!AB241</f>
        <v>1</v>
      </c>
      <c r="AC241" s="168" t="n">
        <f aca="false">'VOL DWNLD'!AC241+'VOL DELTA'!AC241</f>
        <v>1</v>
      </c>
      <c r="AD241" s="168" t="n">
        <f aca="false">'VOL DWNLD'!AD241+'VOL DELTA'!AD241</f>
        <v>0.98</v>
      </c>
      <c r="AE241" s="168" t="n">
        <f aca="false">'VOL DWNLD'!AE241+'VOL DELTA'!AE241</f>
        <v>0.98</v>
      </c>
      <c r="AF241" s="168" t="n">
        <f aca="false">'VOL DWNLD'!AF241+'VOL DELTA'!AF241</f>
        <v>0.98</v>
      </c>
      <c r="AG241" s="168" t="n">
        <f aca="false">'VOL DWNLD'!AG241+'VOL DELTA'!AG241</f>
        <v>0.98</v>
      </c>
      <c r="AH241" s="168" t="n">
        <f aca="false">'VOL DWNLD'!AH241+'VOL DELTA'!AH241</f>
        <v>1.05</v>
      </c>
      <c r="AI241" s="168" t="n">
        <f aca="false">'VOL DWNLD'!AI241+'VOL DELTA'!AI241</f>
        <v>1</v>
      </c>
      <c r="AJ241" s="168" t="n">
        <f aca="false">'VOL DWNLD'!AJ241+'VOL DELTA'!AJ241</f>
        <v>1</v>
      </c>
      <c r="AK241" s="168" t="n">
        <f aca="false">'VOL DWNLD'!AK241+'VOL DELTA'!AK241</f>
        <v>1.02</v>
      </c>
      <c r="AL241" s="168" t="n">
        <f aca="false">'VOL DWNLD'!AL241+'VOL DELTA'!AL241</f>
        <v>1</v>
      </c>
      <c r="AM241" s="168" t="n">
        <f aca="false">'VOL DWNLD'!AM241+'VOL DELTA'!AM241</f>
        <v>1</v>
      </c>
      <c r="AN241" s="168" t="n">
        <f aca="false">'VOL DWNLD'!AN241+'VOL DELTA'!AN241</f>
        <v>1</v>
      </c>
      <c r="AO241" s="168" t="n">
        <f aca="false">'VOL DWNLD'!AO241+'VOL DELTA'!AO241</f>
        <v>1</v>
      </c>
    </row>
    <row r="242" customFormat="false" ht="12.75" hidden="false" customHeight="false" outlineLevel="0" collapsed="false">
      <c r="B242" s="168" t="n">
        <f aca="false">'VOL DWNLD'!B242+'VOL DELTA'!B242</f>
        <v>1</v>
      </c>
      <c r="C242" s="168" t="n">
        <f aca="false">'VOL DWNLD'!C242+'VOL DELTA'!C242</f>
        <v>1</v>
      </c>
      <c r="D242" s="168" t="n">
        <f aca="false">'VOL DWNLD'!D242+'VOL DELTA'!D242</f>
        <v>1</v>
      </c>
      <c r="E242" s="168" t="n">
        <f aca="false">'VOL DWNLD'!E242+'VOL DELTA'!E242</f>
        <v>1</v>
      </c>
      <c r="F242" s="168" t="n">
        <f aca="false">'VOL DWNLD'!F242+'VOL DELTA'!F242</f>
        <v>1</v>
      </c>
      <c r="G242" s="168" t="n">
        <f aca="false">'VOL DWNLD'!G242+'VOL DELTA'!G242</f>
        <v>1</v>
      </c>
      <c r="H242" s="168" t="n">
        <f aca="false">'VOL DWNLD'!H242+'VOL DELTA'!H242</f>
        <v>1</v>
      </c>
      <c r="I242" s="168" t="n">
        <f aca="false">'VOL DWNLD'!I242+'VOL DELTA'!I242</f>
        <v>1</v>
      </c>
      <c r="J242" s="168" t="n">
        <f aca="false">'VOL DWNLD'!J242+'VOL DELTA'!J242</f>
        <v>1</v>
      </c>
      <c r="K242" s="168" t="n">
        <f aca="false">'VOL DWNLD'!K242+'VOL DELTA'!K242</f>
        <v>1</v>
      </c>
      <c r="L242" s="168" t="n">
        <f aca="false">'VOL DWNLD'!L242+'VOL DELTA'!L242</f>
        <v>1</v>
      </c>
      <c r="M242" s="168" t="n">
        <f aca="false">'VOL DWNLD'!M242+'VOL DELTA'!M242</f>
        <v>1</v>
      </c>
      <c r="N242" s="168" t="n">
        <f aca="false">'VOL DWNLD'!N242+'VOL DELTA'!N242</f>
        <v>1</v>
      </c>
      <c r="O242" s="168" t="n">
        <f aca="false">'VOL DWNLD'!O242+'VOL DELTA'!O242</f>
        <v>1</v>
      </c>
      <c r="P242" s="168" t="n">
        <f aca="false">'VOL DWNLD'!P242+'VOL DELTA'!P242</f>
        <v>1.03</v>
      </c>
      <c r="Q242" s="168" t="n">
        <f aca="false">'VOL DWNLD'!Q242+'VOL DELTA'!Q242</f>
        <v>1</v>
      </c>
      <c r="R242" s="168" t="n">
        <f aca="false">'VOL DWNLD'!R242+'VOL DELTA'!R242</f>
        <v>1</v>
      </c>
      <c r="S242" s="168" t="n">
        <f aca="false">'VOL DWNLD'!S242+'VOL DELTA'!S242</f>
        <v>1.02</v>
      </c>
      <c r="T242" s="168" t="n">
        <f aca="false">'VOL DWNLD'!T242+'VOL DELTA'!T242</f>
        <v>1</v>
      </c>
      <c r="U242" s="168" t="n">
        <f aca="false">'VOL DWNLD'!U242+'VOL DELTA'!U242</f>
        <v>1</v>
      </c>
      <c r="V242" s="168" t="n">
        <f aca="false">'VOL DWNLD'!V242+'VOL DELTA'!V242</f>
        <v>1</v>
      </c>
      <c r="W242" s="168" t="n">
        <f aca="false">'VOL DWNLD'!W242+'VOL DELTA'!W242</f>
        <v>1</v>
      </c>
      <c r="X242" s="168" t="n">
        <f aca="false">'VOL DWNLD'!X242+'VOL DELTA'!X242</f>
        <v>1</v>
      </c>
      <c r="Y242" s="168" t="n">
        <f aca="false">'VOL DWNLD'!Y242+'VOL DELTA'!Y242</f>
        <v>1.02</v>
      </c>
      <c r="Z242" s="168" t="n">
        <f aca="false">'VOL DWNLD'!Z242+'VOL DELTA'!Z242</f>
        <v>1</v>
      </c>
      <c r="AA242" s="168" t="n">
        <f aca="false">'VOL DWNLD'!AA242+'VOL DELTA'!AA242</f>
        <v>1</v>
      </c>
      <c r="AB242" s="168" t="n">
        <f aca="false">'VOL DWNLD'!AB242+'VOL DELTA'!AB242</f>
        <v>1</v>
      </c>
      <c r="AC242" s="168" t="n">
        <f aca="false">'VOL DWNLD'!AC242+'VOL DELTA'!AC242</f>
        <v>1</v>
      </c>
      <c r="AD242" s="168" t="n">
        <f aca="false">'VOL DWNLD'!AD242+'VOL DELTA'!AD242</f>
        <v>0.98</v>
      </c>
      <c r="AE242" s="168" t="n">
        <f aca="false">'VOL DWNLD'!AE242+'VOL DELTA'!AE242</f>
        <v>0.98</v>
      </c>
      <c r="AF242" s="168" t="n">
        <f aca="false">'VOL DWNLD'!AF242+'VOL DELTA'!AF242</f>
        <v>0.98</v>
      </c>
      <c r="AG242" s="168" t="n">
        <f aca="false">'VOL DWNLD'!AG242+'VOL DELTA'!AG242</f>
        <v>0.98</v>
      </c>
      <c r="AH242" s="168" t="n">
        <f aca="false">'VOL DWNLD'!AH242+'VOL DELTA'!AH242</f>
        <v>1.05</v>
      </c>
      <c r="AI242" s="168" t="n">
        <f aca="false">'VOL DWNLD'!AI242+'VOL DELTA'!AI242</f>
        <v>1</v>
      </c>
      <c r="AJ242" s="168" t="n">
        <f aca="false">'VOL DWNLD'!AJ242+'VOL DELTA'!AJ242</f>
        <v>1</v>
      </c>
      <c r="AK242" s="168" t="n">
        <f aca="false">'VOL DWNLD'!AK242+'VOL DELTA'!AK242</f>
        <v>1.02</v>
      </c>
      <c r="AL242" s="168" t="n">
        <f aca="false">'VOL DWNLD'!AL242+'VOL DELTA'!AL242</f>
        <v>1</v>
      </c>
      <c r="AM242" s="168" t="n">
        <f aca="false">'VOL DWNLD'!AM242+'VOL DELTA'!AM242</f>
        <v>1</v>
      </c>
      <c r="AN242" s="168" t="n">
        <f aca="false">'VOL DWNLD'!AN242+'VOL DELTA'!AN242</f>
        <v>1</v>
      </c>
      <c r="AO242" s="168" t="n">
        <f aca="false">'VOL DWNLD'!AO242+'VOL DELTA'!AO242</f>
        <v>1</v>
      </c>
    </row>
    <row r="243" customFormat="false" ht="12.75" hidden="false" customHeight="false" outlineLevel="0" collapsed="false">
      <c r="B243" s="168" t="n">
        <f aca="false">'VOL DWNLD'!B243+'VOL DELTA'!B243</f>
        <v>1</v>
      </c>
      <c r="C243" s="168" t="n">
        <f aca="false">'VOL DWNLD'!C243+'VOL DELTA'!C243</f>
        <v>1</v>
      </c>
      <c r="D243" s="168" t="n">
        <f aca="false">'VOL DWNLD'!D243+'VOL DELTA'!D243</f>
        <v>1</v>
      </c>
      <c r="E243" s="168" t="n">
        <f aca="false">'VOL DWNLD'!E243+'VOL DELTA'!E243</f>
        <v>1</v>
      </c>
      <c r="F243" s="168" t="n">
        <f aca="false">'VOL DWNLD'!F243+'VOL DELTA'!F243</f>
        <v>1</v>
      </c>
      <c r="G243" s="168" t="n">
        <f aca="false">'VOL DWNLD'!G243+'VOL DELTA'!G243</f>
        <v>1</v>
      </c>
      <c r="H243" s="168" t="n">
        <f aca="false">'VOL DWNLD'!H243+'VOL DELTA'!H243</f>
        <v>1</v>
      </c>
      <c r="I243" s="168" t="n">
        <f aca="false">'VOL DWNLD'!I243+'VOL DELTA'!I243</f>
        <v>1</v>
      </c>
      <c r="J243" s="168" t="n">
        <f aca="false">'VOL DWNLD'!J243+'VOL DELTA'!J243</f>
        <v>1</v>
      </c>
      <c r="K243" s="168" t="n">
        <f aca="false">'VOL DWNLD'!K243+'VOL DELTA'!K243</f>
        <v>1</v>
      </c>
      <c r="L243" s="168" t="n">
        <f aca="false">'VOL DWNLD'!L243+'VOL DELTA'!L243</f>
        <v>1</v>
      </c>
      <c r="M243" s="168" t="n">
        <f aca="false">'VOL DWNLD'!M243+'VOL DELTA'!M243</f>
        <v>1</v>
      </c>
      <c r="N243" s="168" t="n">
        <f aca="false">'VOL DWNLD'!N243+'VOL DELTA'!N243</f>
        <v>1</v>
      </c>
      <c r="O243" s="168" t="n">
        <f aca="false">'VOL DWNLD'!O243+'VOL DELTA'!O243</f>
        <v>1</v>
      </c>
      <c r="P243" s="168" t="n">
        <f aca="false">'VOL DWNLD'!P243+'VOL DELTA'!P243</f>
        <v>1.03</v>
      </c>
      <c r="Q243" s="168" t="n">
        <f aca="false">'VOL DWNLD'!Q243+'VOL DELTA'!Q243</f>
        <v>1</v>
      </c>
      <c r="R243" s="168" t="n">
        <f aca="false">'VOL DWNLD'!R243+'VOL DELTA'!R243</f>
        <v>1</v>
      </c>
      <c r="S243" s="168" t="n">
        <f aca="false">'VOL DWNLD'!S243+'VOL DELTA'!S243</f>
        <v>1.02</v>
      </c>
      <c r="T243" s="168" t="n">
        <f aca="false">'VOL DWNLD'!T243+'VOL DELTA'!T243</f>
        <v>1</v>
      </c>
      <c r="U243" s="168" t="n">
        <f aca="false">'VOL DWNLD'!U243+'VOL DELTA'!U243</f>
        <v>1</v>
      </c>
      <c r="V243" s="168" t="n">
        <f aca="false">'VOL DWNLD'!V243+'VOL DELTA'!V243</f>
        <v>1</v>
      </c>
      <c r="W243" s="168" t="n">
        <f aca="false">'VOL DWNLD'!W243+'VOL DELTA'!W243</f>
        <v>1</v>
      </c>
      <c r="X243" s="168" t="n">
        <f aca="false">'VOL DWNLD'!X243+'VOL DELTA'!X243</f>
        <v>1</v>
      </c>
      <c r="Y243" s="168" t="n">
        <f aca="false">'VOL DWNLD'!Y243+'VOL DELTA'!Y243</f>
        <v>1.02</v>
      </c>
      <c r="Z243" s="168" t="n">
        <f aca="false">'VOL DWNLD'!Z243+'VOL DELTA'!Z243</f>
        <v>1</v>
      </c>
      <c r="AA243" s="168" t="n">
        <f aca="false">'VOL DWNLD'!AA243+'VOL DELTA'!AA243</f>
        <v>1</v>
      </c>
      <c r="AB243" s="168" t="n">
        <f aca="false">'VOL DWNLD'!AB243+'VOL DELTA'!AB243</f>
        <v>1</v>
      </c>
      <c r="AC243" s="168" t="n">
        <f aca="false">'VOL DWNLD'!AC243+'VOL DELTA'!AC243</f>
        <v>1</v>
      </c>
      <c r="AD243" s="168" t="n">
        <f aca="false">'VOL DWNLD'!AD243+'VOL DELTA'!AD243</f>
        <v>0.98</v>
      </c>
      <c r="AE243" s="168" t="n">
        <f aca="false">'VOL DWNLD'!AE243+'VOL DELTA'!AE243</f>
        <v>0.98</v>
      </c>
      <c r="AF243" s="168" t="n">
        <f aca="false">'VOL DWNLD'!AF243+'VOL DELTA'!AF243</f>
        <v>0.98</v>
      </c>
      <c r="AG243" s="168" t="n">
        <f aca="false">'VOL DWNLD'!AG243+'VOL DELTA'!AG243</f>
        <v>0.98</v>
      </c>
      <c r="AH243" s="168" t="n">
        <f aca="false">'VOL DWNLD'!AH243+'VOL DELTA'!AH243</f>
        <v>1.05</v>
      </c>
      <c r="AI243" s="168" t="n">
        <f aca="false">'VOL DWNLD'!AI243+'VOL DELTA'!AI243</f>
        <v>1</v>
      </c>
      <c r="AJ243" s="168" t="n">
        <f aca="false">'VOL DWNLD'!AJ243+'VOL DELTA'!AJ243</f>
        <v>1</v>
      </c>
      <c r="AK243" s="168" t="n">
        <f aca="false">'VOL DWNLD'!AK243+'VOL DELTA'!AK243</f>
        <v>1.02</v>
      </c>
      <c r="AL243" s="168" t="n">
        <f aca="false">'VOL DWNLD'!AL243+'VOL DELTA'!AL243</f>
        <v>1</v>
      </c>
      <c r="AM243" s="168" t="n">
        <f aca="false">'VOL DWNLD'!AM243+'VOL DELTA'!AM243</f>
        <v>1</v>
      </c>
      <c r="AN243" s="168" t="n">
        <f aca="false">'VOL DWNLD'!AN243+'VOL DELTA'!AN243</f>
        <v>1</v>
      </c>
      <c r="AO243" s="168" t="n">
        <f aca="false">'VOL DWNLD'!AO243+'VOL DELTA'!AO243</f>
        <v>1</v>
      </c>
    </row>
    <row r="244" customFormat="false" ht="12.75" hidden="false" customHeight="false" outlineLevel="0" collapsed="false">
      <c r="B244" s="168" t="n">
        <f aca="false">'VOL DWNLD'!B244+'VOL DELTA'!B244</f>
        <v>1</v>
      </c>
      <c r="C244" s="168" t="n">
        <f aca="false">'VOL DWNLD'!C244+'VOL DELTA'!C244</f>
        <v>1</v>
      </c>
      <c r="D244" s="168" t="n">
        <f aca="false">'VOL DWNLD'!D244+'VOL DELTA'!D244</f>
        <v>1</v>
      </c>
      <c r="E244" s="168" t="n">
        <f aca="false">'VOL DWNLD'!E244+'VOL DELTA'!E244</f>
        <v>1</v>
      </c>
      <c r="F244" s="168" t="n">
        <f aca="false">'VOL DWNLD'!F244+'VOL DELTA'!F244</f>
        <v>1</v>
      </c>
      <c r="G244" s="168" t="n">
        <f aca="false">'VOL DWNLD'!G244+'VOL DELTA'!G244</f>
        <v>1</v>
      </c>
      <c r="H244" s="168" t="n">
        <f aca="false">'VOL DWNLD'!H244+'VOL DELTA'!H244</f>
        <v>1</v>
      </c>
      <c r="I244" s="168" t="n">
        <f aca="false">'VOL DWNLD'!I244+'VOL DELTA'!I244</f>
        <v>1</v>
      </c>
      <c r="J244" s="168" t="n">
        <f aca="false">'VOL DWNLD'!J244+'VOL DELTA'!J244</f>
        <v>1</v>
      </c>
      <c r="K244" s="168" t="n">
        <f aca="false">'VOL DWNLD'!K244+'VOL DELTA'!K244</f>
        <v>1</v>
      </c>
      <c r="L244" s="168" t="n">
        <f aca="false">'VOL DWNLD'!L244+'VOL DELTA'!L244</f>
        <v>1</v>
      </c>
      <c r="M244" s="168" t="n">
        <f aca="false">'VOL DWNLD'!M244+'VOL DELTA'!M244</f>
        <v>1</v>
      </c>
      <c r="N244" s="168" t="n">
        <f aca="false">'VOL DWNLD'!N244+'VOL DELTA'!N244</f>
        <v>1</v>
      </c>
      <c r="O244" s="168" t="n">
        <f aca="false">'VOL DWNLD'!O244+'VOL DELTA'!O244</f>
        <v>1</v>
      </c>
      <c r="P244" s="168" t="n">
        <f aca="false">'VOL DWNLD'!P244+'VOL DELTA'!P244</f>
        <v>1.03</v>
      </c>
      <c r="Q244" s="168" t="n">
        <f aca="false">'VOL DWNLD'!Q244+'VOL DELTA'!Q244</f>
        <v>1</v>
      </c>
      <c r="R244" s="168" t="n">
        <f aca="false">'VOL DWNLD'!R244+'VOL DELTA'!R244</f>
        <v>1</v>
      </c>
      <c r="S244" s="168" t="n">
        <f aca="false">'VOL DWNLD'!S244+'VOL DELTA'!S244</f>
        <v>1.02</v>
      </c>
      <c r="T244" s="168" t="n">
        <f aca="false">'VOL DWNLD'!T244+'VOL DELTA'!T244</f>
        <v>1</v>
      </c>
      <c r="U244" s="168" t="n">
        <f aca="false">'VOL DWNLD'!U244+'VOL DELTA'!U244</f>
        <v>1</v>
      </c>
      <c r="V244" s="168" t="n">
        <f aca="false">'VOL DWNLD'!V244+'VOL DELTA'!V244</f>
        <v>1</v>
      </c>
      <c r="W244" s="168" t="n">
        <f aca="false">'VOL DWNLD'!W244+'VOL DELTA'!W244</f>
        <v>1</v>
      </c>
      <c r="X244" s="168" t="n">
        <f aca="false">'VOL DWNLD'!X244+'VOL DELTA'!X244</f>
        <v>1</v>
      </c>
      <c r="Y244" s="168" t="n">
        <f aca="false">'VOL DWNLD'!Y244+'VOL DELTA'!Y244</f>
        <v>1.02</v>
      </c>
      <c r="Z244" s="168" t="n">
        <f aca="false">'VOL DWNLD'!Z244+'VOL DELTA'!Z244</f>
        <v>1</v>
      </c>
      <c r="AA244" s="168" t="n">
        <f aca="false">'VOL DWNLD'!AA244+'VOL DELTA'!AA244</f>
        <v>1</v>
      </c>
      <c r="AB244" s="168" t="n">
        <f aca="false">'VOL DWNLD'!AB244+'VOL DELTA'!AB244</f>
        <v>1</v>
      </c>
      <c r="AC244" s="168" t="n">
        <f aca="false">'VOL DWNLD'!AC244+'VOL DELTA'!AC244</f>
        <v>1</v>
      </c>
      <c r="AD244" s="168" t="n">
        <f aca="false">'VOL DWNLD'!AD244+'VOL DELTA'!AD244</f>
        <v>0.98</v>
      </c>
      <c r="AE244" s="168" t="n">
        <f aca="false">'VOL DWNLD'!AE244+'VOL DELTA'!AE244</f>
        <v>0.98</v>
      </c>
      <c r="AF244" s="168" t="n">
        <f aca="false">'VOL DWNLD'!AF244+'VOL DELTA'!AF244</f>
        <v>0.98</v>
      </c>
      <c r="AG244" s="168" t="n">
        <f aca="false">'VOL DWNLD'!AG244+'VOL DELTA'!AG244</f>
        <v>0.98</v>
      </c>
      <c r="AH244" s="168" t="n">
        <f aca="false">'VOL DWNLD'!AH244+'VOL DELTA'!AH244</f>
        <v>1.05</v>
      </c>
      <c r="AI244" s="168" t="n">
        <f aca="false">'VOL DWNLD'!AI244+'VOL DELTA'!AI244</f>
        <v>1</v>
      </c>
      <c r="AJ244" s="168" t="n">
        <f aca="false">'VOL DWNLD'!AJ244+'VOL DELTA'!AJ244</f>
        <v>1</v>
      </c>
      <c r="AK244" s="168" t="n">
        <f aca="false">'VOL DWNLD'!AK244+'VOL DELTA'!AK244</f>
        <v>1.02</v>
      </c>
      <c r="AL244" s="168" t="n">
        <f aca="false">'VOL DWNLD'!AL244+'VOL DELTA'!AL244</f>
        <v>1</v>
      </c>
      <c r="AM244" s="168" t="n">
        <f aca="false">'VOL DWNLD'!AM244+'VOL DELTA'!AM244</f>
        <v>1</v>
      </c>
      <c r="AN244" s="168" t="n">
        <f aca="false">'VOL DWNLD'!AN244+'VOL DELTA'!AN244</f>
        <v>1</v>
      </c>
      <c r="AO244" s="168" t="n">
        <f aca="false">'VOL DWNLD'!AO244+'VOL DELTA'!AO244</f>
        <v>1</v>
      </c>
    </row>
    <row r="245" customFormat="false" ht="12.75" hidden="false" customHeight="false" outlineLevel="0" collapsed="false">
      <c r="B245" s="168" t="n">
        <f aca="false">'VOL DWNLD'!B245+'VOL DELTA'!B245</f>
        <v>1</v>
      </c>
      <c r="C245" s="168" t="n">
        <f aca="false">'VOL DWNLD'!C245+'VOL DELTA'!C245</f>
        <v>1</v>
      </c>
      <c r="D245" s="168" t="n">
        <f aca="false">'VOL DWNLD'!D245+'VOL DELTA'!D245</f>
        <v>1</v>
      </c>
      <c r="E245" s="168" t="n">
        <f aca="false">'VOL DWNLD'!E245+'VOL DELTA'!E245</f>
        <v>1</v>
      </c>
      <c r="F245" s="168" t="n">
        <f aca="false">'VOL DWNLD'!F245+'VOL DELTA'!F245</f>
        <v>1</v>
      </c>
      <c r="G245" s="168" t="n">
        <f aca="false">'VOL DWNLD'!G245+'VOL DELTA'!G245</f>
        <v>1</v>
      </c>
      <c r="H245" s="168" t="n">
        <f aca="false">'VOL DWNLD'!H245+'VOL DELTA'!H245</f>
        <v>1</v>
      </c>
      <c r="I245" s="168" t="n">
        <f aca="false">'VOL DWNLD'!I245+'VOL DELTA'!I245</f>
        <v>1</v>
      </c>
      <c r="J245" s="168" t="n">
        <f aca="false">'VOL DWNLD'!J245+'VOL DELTA'!J245</f>
        <v>1</v>
      </c>
      <c r="K245" s="168" t="n">
        <f aca="false">'VOL DWNLD'!K245+'VOL DELTA'!K245</f>
        <v>1</v>
      </c>
      <c r="L245" s="168" t="n">
        <f aca="false">'VOL DWNLD'!L245+'VOL DELTA'!L245</f>
        <v>1</v>
      </c>
      <c r="M245" s="168" t="n">
        <f aca="false">'VOL DWNLD'!M245+'VOL DELTA'!M245</f>
        <v>1</v>
      </c>
      <c r="N245" s="168" t="n">
        <f aca="false">'VOL DWNLD'!N245+'VOL DELTA'!N245</f>
        <v>1</v>
      </c>
      <c r="O245" s="168" t="n">
        <f aca="false">'VOL DWNLD'!O245+'VOL DELTA'!O245</f>
        <v>1</v>
      </c>
      <c r="P245" s="168" t="n">
        <f aca="false">'VOL DWNLD'!P245+'VOL DELTA'!P245</f>
        <v>1.03</v>
      </c>
      <c r="Q245" s="168" t="n">
        <f aca="false">'VOL DWNLD'!Q245+'VOL DELTA'!Q245</f>
        <v>1</v>
      </c>
      <c r="R245" s="168" t="n">
        <f aca="false">'VOL DWNLD'!R245+'VOL DELTA'!R245</f>
        <v>1</v>
      </c>
      <c r="S245" s="168" t="n">
        <f aca="false">'VOL DWNLD'!S245+'VOL DELTA'!S245</f>
        <v>1.02</v>
      </c>
      <c r="T245" s="168" t="n">
        <f aca="false">'VOL DWNLD'!T245+'VOL DELTA'!T245</f>
        <v>1</v>
      </c>
      <c r="U245" s="168" t="n">
        <f aca="false">'VOL DWNLD'!U245+'VOL DELTA'!U245</f>
        <v>1</v>
      </c>
      <c r="V245" s="168" t="n">
        <f aca="false">'VOL DWNLD'!V245+'VOL DELTA'!V245</f>
        <v>1</v>
      </c>
      <c r="W245" s="168" t="n">
        <f aca="false">'VOL DWNLD'!W245+'VOL DELTA'!W245</f>
        <v>1</v>
      </c>
      <c r="X245" s="168" t="n">
        <f aca="false">'VOL DWNLD'!X245+'VOL DELTA'!X245</f>
        <v>1</v>
      </c>
      <c r="Y245" s="168" t="n">
        <f aca="false">'VOL DWNLD'!Y245+'VOL DELTA'!Y245</f>
        <v>1</v>
      </c>
      <c r="Z245" s="168" t="n">
        <f aca="false">'VOL DWNLD'!Z245+'VOL DELTA'!Z245</f>
        <v>1</v>
      </c>
      <c r="AA245" s="168" t="n">
        <f aca="false">'VOL DWNLD'!AA245+'VOL DELTA'!AA245</f>
        <v>1</v>
      </c>
      <c r="AB245" s="168" t="n">
        <f aca="false">'VOL DWNLD'!AB245+'VOL DELTA'!AB245</f>
        <v>1</v>
      </c>
      <c r="AC245" s="168" t="n">
        <f aca="false">'VOL DWNLD'!AC245+'VOL DELTA'!AC245</f>
        <v>1</v>
      </c>
      <c r="AD245" s="168" t="n">
        <f aca="false">'VOL DWNLD'!AD245+'VOL DELTA'!AD245</f>
        <v>1</v>
      </c>
      <c r="AE245" s="168" t="n">
        <f aca="false">'VOL DWNLD'!AE245+'VOL DELTA'!AE245</f>
        <v>1</v>
      </c>
      <c r="AF245" s="168" t="n">
        <f aca="false">'VOL DWNLD'!AF245+'VOL DELTA'!AF245</f>
        <v>1.1</v>
      </c>
      <c r="AG245" s="168" t="n">
        <f aca="false">'VOL DWNLD'!AG245+'VOL DELTA'!AG245</f>
        <v>1.1</v>
      </c>
      <c r="AH245" s="168" t="n">
        <f aca="false">'VOL DWNLD'!AH245+'VOL DELTA'!AH245</f>
        <v>1.05</v>
      </c>
      <c r="AI245" s="168" t="n">
        <f aca="false">'VOL DWNLD'!AI245+'VOL DELTA'!AI245</f>
        <v>1</v>
      </c>
      <c r="AJ245" s="168" t="n">
        <f aca="false">'VOL DWNLD'!AJ245+'VOL DELTA'!AJ245</f>
        <v>1</v>
      </c>
      <c r="AK245" s="168" t="n">
        <f aca="false">'VOL DWNLD'!AK245+'VOL DELTA'!AK245</f>
        <v>1.02</v>
      </c>
      <c r="AL245" s="168" t="n">
        <f aca="false">'VOL DWNLD'!AL245+'VOL DELTA'!AL245</f>
        <v>1</v>
      </c>
      <c r="AM245" s="168" t="n">
        <f aca="false">'VOL DWNLD'!AM245+'VOL DELTA'!AM245</f>
        <v>1</v>
      </c>
      <c r="AN245" s="168" t="n">
        <f aca="false">'VOL DWNLD'!AN245+'VOL DELTA'!AN245</f>
        <v>1</v>
      </c>
      <c r="AO245" s="168" t="n">
        <f aca="false">'VOL DWNLD'!AO245+'VOL DELTA'!AO245</f>
        <v>1</v>
      </c>
    </row>
    <row r="246" customFormat="false" ht="12.75" hidden="false" customHeight="false" outlineLevel="0" collapsed="false">
      <c r="B246" s="168" t="n">
        <f aca="false">'VOL DWNLD'!B246+'VOL DELTA'!B246</f>
        <v>1</v>
      </c>
      <c r="C246" s="168" t="n">
        <f aca="false">'VOL DWNLD'!C246+'VOL DELTA'!C246</f>
        <v>1</v>
      </c>
      <c r="D246" s="168" t="n">
        <f aca="false">'VOL DWNLD'!D246+'VOL DELTA'!D246</f>
        <v>1</v>
      </c>
      <c r="E246" s="168" t="n">
        <f aca="false">'VOL DWNLD'!E246+'VOL DELTA'!E246</f>
        <v>1</v>
      </c>
      <c r="F246" s="168" t="n">
        <f aca="false">'VOL DWNLD'!F246+'VOL DELTA'!F246</f>
        <v>1</v>
      </c>
      <c r="G246" s="168" t="n">
        <f aca="false">'VOL DWNLD'!G246+'VOL DELTA'!G246</f>
        <v>1</v>
      </c>
      <c r="H246" s="168" t="n">
        <f aca="false">'VOL DWNLD'!H246+'VOL DELTA'!H246</f>
        <v>1</v>
      </c>
      <c r="I246" s="168" t="n">
        <f aca="false">'VOL DWNLD'!I246+'VOL DELTA'!I246</f>
        <v>1</v>
      </c>
      <c r="J246" s="168" t="n">
        <f aca="false">'VOL DWNLD'!J246+'VOL DELTA'!J246</f>
        <v>1</v>
      </c>
      <c r="K246" s="168" t="n">
        <f aca="false">'VOL DWNLD'!K246+'VOL DELTA'!K246</f>
        <v>1</v>
      </c>
      <c r="L246" s="168" t="n">
        <f aca="false">'VOL DWNLD'!L246+'VOL DELTA'!L246</f>
        <v>1</v>
      </c>
      <c r="M246" s="168" t="n">
        <f aca="false">'VOL DWNLD'!M246+'VOL DELTA'!M246</f>
        <v>1</v>
      </c>
      <c r="N246" s="168" t="n">
        <f aca="false">'VOL DWNLD'!N246+'VOL DELTA'!N246</f>
        <v>1</v>
      </c>
      <c r="O246" s="168" t="n">
        <f aca="false">'VOL DWNLD'!O246+'VOL DELTA'!O246</f>
        <v>1</v>
      </c>
      <c r="P246" s="168" t="n">
        <f aca="false">'VOL DWNLD'!P246+'VOL DELTA'!P246</f>
        <v>1.03</v>
      </c>
      <c r="Q246" s="168" t="n">
        <f aca="false">'VOL DWNLD'!Q246+'VOL DELTA'!Q246</f>
        <v>1</v>
      </c>
      <c r="R246" s="168" t="n">
        <f aca="false">'VOL DWNLD'!R246+'VOL DELTA'!R246</f>
        <v>1</v>
      </c>
      <c r="S246" s="168" t="n">
        <f aca="false">'VOL DWNLD'!S246+'VOL DELTA'!S246</f>
        <v>1.02</v>
      </c>
      <c r="T246" s="168" t="n">
        <f aca="false">'VOL DWNLD'!T246+'VOL DELTA'!T246</f>
        <v>1</v>
      </c>
      <c r="U246" s="168" t="n">
        <f aca="false">'VOL DWNLD'!U246+'VOL DELTA'!U246</f>
        <v>1</v>
      </c>
      <c r="V246" s="168" t="n">
        <f aca="false">'VOL DWNLD'!V246+'VOL DELTA'!V246</f>
        <v>1</v>
      </c>
      <c r="W246" s="168" t="n">
        <f aca="false">'VOL DWNLD'!W246+'VOL DELTA'!W246</f>
        <v>1</v>
      </c>
      <c r="X246" s="168" t="n">
        <f aca="false">'VOL DWNLD'!X246+'VOL DELTA'!X246</f>
        <v>1</v>
      </c>
      <c r="Y246" s="168" t="n">
        <f aca="false">'VOL DWNLD'!Y246+'VOL DELTA'!Y246</f>
        <v>1</v>
      </c>
      <c r="Z246" s="168" t="n">
        <f aca="false">'VOL DWNLD'!Z246+'VOL DELTA'!Z246</f>
        <v>1</v>
      </c>
      <c r="AA246" s="168" t="n">
        <f aca="false">'VOL DWNLD'!AA246+'VOL DELTA'!AA246</f>
        <v>1</v>
      </c>
      <c r="AB246" s="168" t="n">
        <f aca="false">'VOL DWNLD'!AB246+'VOL DELTA'!AB246</f>
        <v>1</v>
      </c>
      <c r="AC246" s="168" t="n">
        <f aca="false">'VOL DWNLD'!AC246+'VOL DELTA'!AC246</f>
        <v>1</v>
      </c>
      <c r="AD246" s="168" t="n">
        <f aca="false">'VOL DWNLD'!AD246+'VOL DELTA'!AD246</f>
        <v>1</v>
      </c>
      <c r="AE246" s="168" t="n">
        <f aca="false">'VOL DWNLD'!AE246+'VOL DELTA'!AE246</f>
        <v>1</v>
      </c>
      <c r="AF246" s="168" t="n">
        <f aca="false">'VOL DWNLD'!AF246+'VOL DELTA'!AF246</f>
        <v>1.1</v>
      </c>
      <c r="AG246" s="168" t="n">
        <f aca="false">'VOL DWNLD'!AG246+'VOL DELTA'!AG246</f>
        <v>1.1</v>
      </c>
      <c r="AH246" s="168" t="n">
        <f aca="false">'VOL DWNLD'!AH246+'VOL DELTA'!AH246</f>
        <v>1.05</v>
      </c>
      <c r="AI246" s="168" t="n">
        <f aca="false">'VOL DWNLD'!AI246+'VOL DELTA'!AI246</f>
        <v>1</v>
      </c>
      <c r="AJ246" s="168" t="n">
        <f aca="false">'VOL DWNLD'!AJ246+'VOL DELTA'!AJ246</f>
        <v>1</v>
      </c>
      <c r="AK246" s="168" t="n">
        <f aca="false">'VOL DWNLD'!AK246+'VOL DELTA'!AK246</f>
        <v>1.02</v>
      </c>
      <c r="AL246" s="168" t="n">
        <f aca="false">'VOL DWNLD'!AL246+'VOL DELTA'!AL246</f>
        <v>1</v>
      </c>
      <c r="AM246" s="168" t="n">
        <f aca="false">'VOL DWNLD'!AM246+'VOL DELTA'!AM246</f>
        <v>1</v>
      </c>
      <c r="AN246" s="168" t="n">
        <f aca="false">'VOL DWNLD'!AN246+'VOL DELTA'!AN246</f>
        <v>1</v>
      </c>
      <c r="AO246" s="168" t="n">
        <f aca="false">'VOL DWNLD'!AO246+'VOL DELTA'!AO246</f>
        <v>1</v>
      </c>
    </row>
    <row r="247" customFormat="false" ht="12.75" hidden="false" customHeight="false" outlineLevel="0" collapsed="false">
      <c r="B247" s="168" t="n">
        <f aca="false">'VOL DWNLD'!B247+'VOL DELTA'!B247</f>
        <v>1</v>
      </c>
      <c r="C247" s="168" t="n">
        <f aca="false">'VOL DWNLD'!C247+'VOL DELTA'!C247</f>
        <v>1</v>
      </c>
      <c r="D247" s="168" t="n">
        <f aca="false">'VOL DWNLD'!D247+'VOL DELTA'!D247</f>
        <v>1</v>
      </c>
      <c r="E247" s="168" t="n">
        <f aca="false">'VOL DWNLD'!E247+'VOL DELTA'!E247</f>
        <v>1</v>
      </c>
      <c r="F247" s="168" t="n">
        <f aca="false">'VOL DWNLD'!F247+'VOL DELTA'!F247</f>
        <v>1</v>
      </c>
      <c r="G247" s="168" t="n">
        <f aca="false">'VOL DWNLD'!G247+'VOL DELTA'!G247</f>
        <v>1</v>
      </c>
      <c r="H247" s="168" t="n">
        <f aca="false">'VOL DWNLD'!H247+'VOL DELTA'!H247</f>
        <v>1</v>
      </c>
      <c r="I247" s="168" t="n">
        <f aca="false">'VOL DWNLD'!I247+'VOL DELTA'!I247</f>
        <v>1</v>
      </c>
      <c r="J247" s="168" t="n">
        <f aca="false">'VOL DWNLD'!J247+'VOL DELTA'!J247</f>
        <v>1</v>
      </c>
      <c r="K247" s="168" t="n">
        <f aca="false">'VOL DWNLD'!K247+'VOL DELTA'!K247</f>
        <v>1</v>
      </c>
      <c r="L247" s="168" t="n">
        <f aca="false">'VOL DWNLD'!L247+'VOL DELTA'!L247</f>
        <v>1</v>
      </c>
      <c r="M247" s="168" t="n">
        <f aca="false">'VOL DWNLD'!M247+'VOL DELTA'!M247</f>
        <v>1</v>
      </c>
      <c r="N247" s="168" t="n">
        <f aca="false">'VOL DWNLD'!N247+'VOL DELTA'!N247</f>
        <v>1</v>
      </c>
      <c r="O247" s="168" t="n">
        <f aca="false">'VOL DWNLD'!O247+'VOL DELTA'!O247</f>
        <v>1</v>
      </c>
      <c r="P247" s="168" t="n">
        <f aca="false">'VOL DWNLD'!P247+'VOL DELTA'!P247</f>
        <v>1.03</v>
      </c>
      <c r="Q247" s="168" t="n">
        <f aca="false">'VOL DWNLD'!Q247+'VOL DELTA'!Q247</f>
        <v>1</v>
      </c>
      <c r="R247" s="168" t="n">
        <f aca="false">'VOL DWNLD'!R247+'VOL DELTA'!R247</f>
        <v>1</v>
      </c>
      <c r="S247" s="168" t="n">
        <f aca="false">'VOL DWNLD'!S247+'VOL DELTA'!S247</f>
        <v>1.02</v>
      </c>
      <c r="T247" s="168" t="n">
        <f aca="false">'VOL DWNLD'!T247+'VOL DELTA'!T247</f>
        <v>1</v>
      </c>
      <c r="U247" s="168" t="n">
        <f aca="false">'VOL DWNLD'!U247+'VOL DELTA'!U247</f>
        <v>1</v>
      </c>
      <c r="V247" s="168" t="n">
        <f aca="false">'VOL DWNLD'!V247+'VOL DELTA'!V247</f>
        <v>1</v>
      </c>
      <c r="W247" s="168" t="n">
        <f aca="false">'VOL DWNLD'!W247+'VOL DELTA'!W247</f>
        <v>1</v>
      </c>
      <c r="X247" s="168" t="n">
        <f aca="false">'VOL DWNLD'!X247+'VOL DELTA'!X247</f>
        <v>1</v>
      </c>
      <c r="Y247" s="168" t="n">
        <f aca="false">'VOL DWNLD'!Y247+'VOL DELTA'!Y247</f>
        <v>1</v>
      </c>
      <c r="Z247" s="168" t="n">
        <f aca="false">'VOL DWNLD'!Z247+'VOL DELTA'!Z247</f>
        <v>1</v>
      </c>
      <c r="AA247" s="168" t="n">
        <f aca="false">'VOL DWNLD'!AA247+'VOL DELTA'!AA247</f>
        <v>1</v>
      </c>
      <c r="AB247" s="168" t="n">
        <f aca="false">'VOL DWNLD'!AB247+'VOL DELTA'!AB247</f>
        <v>1</v>
      </c>
      <c r="AC247" s="168" t="n">
        <f aca="false">'VOL DWNLD'!AC247+'VOL DELTA'!AC247</f>
        <v>1</v>
      </c>
      <c r="AD247" s="168" t="n">
        <f aca="false">'VOL DWNLD'!AD247+'VOL DELTA'!AD247</f>
        <v>1</v>
      </c>
      <c r="AE247" s="168" t="n">
        <f aca="false">'VOL DWNLD'!AE247+'VOL DELTA'!AE247</f>
        <v>1</v>
      </c>
      <c r="AF247" s="168" t="n">
        <f aca="false">'VOL DWNLD'!AF247+'VOL DELTA'!AF247</f>
        <v>1.1</v>
      </c>
      <c r="AG247" s="168" t="n">
        <f aca="false">'VOL DWNLD'!AG247+'VOL DELTA'!AG247</f>
        <v>1.1</v>
      </c>
      <c r="AH247" s="168" t="n">
        <f aca="false">'VOL DWNLD'!AH247+'VOL DELTA'!AH247</f>
        <v>1.05</v>
      </c>
      <c r="AI247" s="168" t="n">
        <f aca="false">'VOL DWNLD'!AI247+'VOL DELTA'!AI247</f>
        <v>1</v>
      </c>
      <c r="AJ247" s="168" t="n">
        <f aca="false">'VOL DWNLD'!AJ247+'VOL DELTA'!AJ247</f>
        <v>1</v>
      </c>
      <c r="AK247" s="168" t="n">
        <f aca="false">'VOL DWNLD'!AK247+'VOL DELTA'!AK247</f>
        <v>1.02</v>
      </c>
      <c r="AL247" s="168" t="n">
        <f aca="false">'VOL DWNLD'!AL247+'VOL DELTA'!AL247</f>
        <v>1</v>
      </c>
      <c r="AM247" s="168" t="n">
        <f aca="false">'VOL DWNLD'!AM247+'VOL DELTA'!AM247</f>
        <v>1</v>
      </c>
      <c r="AN247" s="168" t="n">
        <f aca="false">'VOL DWNLD'!AN247+'VOL DELTA'!AN247</f>
        <v>1</v>
      </c>
      <c r="AO247" s="168" t="n">
        <f aca="false">'VOL DWNLD'!AO247+'VOL DELTA'!AO247</f>
        <v>1</v>
      </c>
    </row>
    <row r="248" customFormat="false" ht="12.75" hidden="false" customHeight="false" outlineLevel="0" collapsed="false">
      <c r="B248" s="168" t="n">
        <f aca="false">'VOL DWNLD'!B248+'VOL DELTA'!B248</f>
        <v>1</v>
      </c>
      <c r="C248" s="168" t="n">
        <f aca="false">'VOL DWNLD'!C248+'VOL DELTA'!C248</f>
        <v>1</v>
      </c>
      <c r="D248" s="168" t="n">
        <f aca="false">'VOL DWNLD'!D248+'VOL DELTA'!D248</f>
        <v>1</v>
      </c>
      <c r="E248" s="168" t="n">
        <f aca="false">'VOL DWNLD'!E248+'VOL DELTA'!E248</f>
        <v>1</v>
      </c>
      <c r="F248" s="168" t="n">
        <f aca="false">'VOL DWNLD'!F248+'VOL DELTA'!F248</f>
        <v>1</v>
      </c>
      <c r="G248" s="168" t="n">
        <f aca="false">'VOL DWNLD'!G248+'VOL DELTA'!G248</f>
        <v>1</v>
      </c>
      <c r="H248" s="168" t="n">
        <f aca="false">'VOL DWNLD'!H248+'VOL DELTA'!H248</f>
        <v>1</v>
      </c>
      <c r="I248" s="168" t="n">
        <f aca="false">'VOL DWNLD'!I248+'VOL DELTA'!I248</f>
        <v>1</v>
      </c>
      <c r="J248" s="168" t="n">
        <f aca="false">'VOL DWNLD'!J248+'VOL DELTA'!J248</f>
        <v>1</v>
      </c>
      <c r="K248" s="168" t="n">
        <f aca="false">'VOL DWNLD'!K248+'VOL DELTA'!K248</f>
        <v>1</v>
      </c>
      <c r="L248" s="168" t="n">
        <f aca="false">'VOL DWNLD'!L248+'VOL DELTA'!L248</f>
        <v>1</v>
      </c>
      <c r="M248" s="168" t="n">
        <f aca="false">'VOL DWNLD'!M248+'VOL DELTA'!M248</f>
        <v>1</v>
      </c>
      <c r="N248" s="168" t="n">
        <f aca="false">'VOL DWNLD'!N248+'VOL DELTA'!N248</f>
        <v>1</v>
      </c>
      <c r="O248" s="168" t="n">
        <f aca="false">'VOL DWNLD'!O248+'VOL DELTA'!O248</f>
        <v>1</v>
      </c>
      <c r="P248" s="168" t="n">
        <f aca="false">'VOL DWNLD'!P248+'VOL DELTA'!P248</f>
        <v>1.03</v>
      </c>
      <c r="Q248" s="168" t="n">
        <f aca="false">'VOL DWNLD'!Q248+'VOL DELTA'!Q248</f>
        <v>1</v>
      </c>
      <c r="R248" s="168" t="n">
        <f aca="false">'VOL DWNLD'!R248+'VOL DELTA'!R248</f>
        <v>1</v>
      </c>
      <c r="S248" s="168" t="n">
        <f aca="false">'VOL DWNLD'!S248+'VOL DELTA'!S248</f>
        <v>1.02</v>
      </c>
      <c r="T248" s="168" t="n">
        <f aca="false">'VOL DWNLD'!T248+'VOL DELTA'!T248</f>
        <v>1</v>
      </c>
      <c r="U248" s="168" t="n">
        <f aca="false">'VOL DWNLD'!U248+'VOL DELTA'!U248</f>
        <v>1</v>
      </c>
      <c r="V248" s="168" t="n">
        <f aca="false">'VOL DWNLD'!V248+'VOL DELTA'!V248</f>
        <v>1</v>
      </c>
      <c r="W248" s="168" t="n">
        <f aca="false">'VOL DWNLD'!W248+'VOL DELTA'!W248</f>
        <v>1</v>
      </c>
      <c r="X248" s="168" t="n">
        <f aca="false">'VOL DWNLD'!X248+'VOL DELTA'!X248</f>
        <v>1</v>
      </c>
      <c r="Y248" s="168" t="n">
        <f aca="false">'VOL DWNLD'!Y248+'VOL DELTA'!Y248</f>
        <v>1</v>
      </c>
      <c r="Z248" s="168" t="n">
        <f aca="false">'VOL DWNLD'!Z248+'VOL DELTA'!Z248</f>
        <v>1</v>
      </c>
      <c r="AA248" s="168" t="n">
        <f aca="false">'VOL DWNLD'!AA248+'VOL DELTA'!AA248</f>
        <v>1</v>
      </c>
      <c r="AB248" s="168" t="n">
        <f aca="false">'VOL DWNLD'!AB248+'VOL DELTA'!AB248</f>
        <v>1</v>
      </c>
      <c r="AC248" s="168" t="n">
        <f aca="false">'VOL DWNLD'!AC248+'VOL DELTA'!AC248</f>
        <v>1</v>
      </c>
      <c r="AD248" s="168" t="n">
        <f aca="false">'VOL DWNLD'!AD248+'VOL DELTA'!AD248</f>
        <v>1</v>
      </c>
      <c r="AE248" s="168" t="n">
        <f aca="false">'VOL DWNLD'!AE248+'VOL DELTA'!AE248</f>
        <v>1</v>
      </c>
      <c r="AF248" s="168" t="n">
        <f aca="false">'VOL DWNLD'!AF248+'VOL DELTA'!AF248</f>
        <v>1.1</v>
      </c>
      <c r="AG248" s="168" t="n">
        <f aca="false">'VOL DWNLD'!AG248+'VOL DELTA'!AG248</f>
        <v>1.1</v>
      </c>
      <c r="AH248" s="168" t="n">
        <f aca="false">'VOL DWNLD'!AH248+'VOL DELTA'!AH248</f>
        <v>1.05</v>
      </c>
      <c r="AI248" s="168" t="n">
        <f aca="false">'VOL DWNLD'!AI248+'VOL DELTA'!AI248</f>
        <v>1</v>
      </c>
      <c r="AJ248" s="168" t="n">
        <f aca="false">'VOL DWNLD'!AJ248+'VOL DELTA'!AJ248</f>
        <v>1</v>
      </c>
      <c r="AK248" s="168" t="n">
        <f aca="false">'VOL DWNLD'!AK248+'VOL DELTA'!AK248</f>
        <v>1.02</v>
      </c>
      <c r="AL248" s="168" t="n">
        <f aca="false">'VOL DWNLD'!AL248+'VOL DELTA'!AL248</f>
        <v>1</v>
      </c>
      <c r="AM248" s="168" t="n">
        <f aca="false">'VOL DWNLD'!AM248+'VOL DELTA'!AM248</f>
        <v>1</v>
      </c>
      <c r="AN248" s="168" t="n">
        <f aca="false">'VOL DWNLD'!AN248+'VOL DELTA'!AN248</f>
        <v>1</v>
      </c>
      <c r="AO248" s="168" t="n">
        <f aca="false">'VOL DWNLD'!AO248+'VOL DELTA'!AO248</f>
        <v>1</v>
      </c>
    </row>
    <row r="249" customFormat="false" ht="12.75" hidden="false" customHeight="false" outlineLevel="0" collapsed="false">
      <c r="B249" s="168" t="n">
        <f aca="false">'VOL DWNLD'!B249+'VOL DELTA'!B249</f>
        <v>1</v>
      </c>
      <c r="C249" s="168" t="n">
        <f aca="false">'VOL DWNLD'!C249+'VOL DELTA'!C249</f>
        <v>1</v>
      </c>
      <c r="D249" s="168" t="n">
        <f aca="false">'VOL DWNLD'!D249+'VOL DELTA'!D249</f>
        <v>1</v>
      </c>
      <c r="E249" s="168" t="n">
        <f aca="false">'VOL DWNLD'!E249+'VOL DELTA'!E249</f>
        <v>1</v>
      </c>
      <c r="F249" s="168" t="n">
        <f aca="false">'VOL DWNLD'!F249+'VOL DELTA'!F249</f>
        <v>1</v>
      </c>
      <c r="G249" s="168" t="n">
        <f aca="false">'VOL DWNLD'!G249+'VOL DELTA'!G249</f>
        <v>1</v>
      </c>
      <c r="H249" s="168" t="n">
        <f aca="false">'VOL DWNLD'!H249+'VOL DELTA'!H249</f>
        <v>1</v>
      </c>
      <c r="I249" s="168" t="n">
        <f aca="false">'VOL DWNLD'!I249+'VOL DELTA'!I249</f>
        <v>1</v>
      </c>
      <c r="J249" s="168" t="n">
        <f aca="false">'VOL DWNLD'!J249+'VOL DELTA'!J249</f>
        <v>1</v>
      </c>
      <c r="K249" s="168" t="n">
        <f aca="false">'VOL DWNLD'!K249+'VOL DELTA'!K249</f>
        <v>1</v>
      </c>
      <c r="L249" s="168" t="n">
        <f aca="false">'VOL DWNLD'!L249+'VOL DELTA'!L249</f>
        <v>1</v>
      </c>
      <c r="M249" s="168" t="n">
        <f aca="false">'VOL DWNLD'!M249+'VOL DELTA'!M249</f>
        <v>1</v>
      </c>
      <c r="N249" s="168" t="n">
        <f aca="false">'VOL DWNLD'!N249+'VOL DELTA'!N249</f>
        <v>1</v>
      </c>
      <c r="O249" s="168" t="n">
        <f aca="false">'VOL DWNLD'!O249+'VOL DELTA'!O249</f>
        <v>1</v>
      </c>
      <c r="P249" s="168" t="n">
        <f aca="false">'VOL DWNLD'!P249+'VOL DELTA'!P249</f>
        <v>1.03</v>
      </c>
      <c r="Q249" s="168" t="n">
        <f aca="false">'VOL DWNLD'!Q249+'VOL DELTA'!Q249</f>
        <v>1</v>
      </c>
      <c r="R249" s="168" t="n">
        <f aca="false">'VOL DWNLD'!R249+'VOL DELTA'!R249</f>
        <v>1</v>
      </c>
      <c r="S249" s="168" t="n">
        <f aca="false">'VOL DWNLD'!S249+'VOL DELTA'!S249</f>
        <v>1.02</v>
      </c>
      <c r="T249" s="168" t="n">
        <f aca="false">'VOL DWNLD'!T249+'VOL DELTA'!T249</f>
        <v>1</v>
      </c>
      <c r="U249" s="168" t="n">
        <f aca="false">'VOL DWNLD'!U249+'VOL DELTA'!U249</f>
        <v>1</v>
      </c>
      <c r="V249" s="168" t="n">
        <f aca="false">'VOL DWNLD'!V249+'VOL DELTA'!V249</f>
        <v>1</v>
      </c>
      <c r="W249" s="168" t="n">
        <f aca="false">'VOL DWNLD'!W249+'VOL DELTA'!W249</f>
        <v>1</v>
      </c>
      <c r="X249" s="168" t="n">
        <f aca="false">'VOL DWNLD'!X249+'VOL DELTA'!X249</f>
        <v>1</v>
      </c>
      <c r="Y249" s="168" t="n">
        <f aca="false">'VOL DWNLD'!Y249+'VOL DELTA'!Y249</f>
        <v>1</v>
      </c>
      <c r="Z249" s="168" t="n">
        <f aca="false">'VOL DWNLD'!Z249+'VOL DELTA'!Z249</f>
        <v>1</v>
      </c>
      <c r="AA249" s="168" t="n">
        <f aca="false">'VOL DWNLD'!AA249+'VOL DELTA'!AA249</f>
        <v>1</v>
      </c>
      <c r="AB249" s="168" t="n">
        <f aca="false">'VOL DWNLD'!AB249+'VOL DELTA'!AB249</f>
        <v>1</v>
      </c>
      <c r="AC249" s="168" t="n">
        <f aca="false">'VOL DWNLD'!AC249+'VOL DELTA'!AC249</f>
        <v>1</v>
      </c>
      <c r="AD249" s="168" t="n">
        <f aca="false">'VOL DWNLD'!AD249+'VOL DELTA'!AD249</f>
        <v>1</v>
      </c>
      <c r="AE249" s="168" t="n">
        <f aca="false">'VOL DWNLD'!AE249+'VOL DELTA'!AE249</f>
        <v>1</v>
      </c>
      <c r="AF249" s="168" t="n">
        <f aca="false">'VOL DWNLD'!AF249+'VOL DELTA'!AF249</f>
        <v>1.1</v>
      </c>
      <c r="AG249" s="168" t="n">
        <f aca="false">'VOL DWNLD'!AG249+'VOL DELTA'!AG249</f>
        <v>1.1</v>
      </c>
      <c r="AH249" s="168" t="n">
        <f aca="false">'VOL DWNLD'!AH249+'VOL DELTA'!AH249</f>
        <v>1.05</v>
      </c>
      <c r="AI249" s="168" t="n">
        <f aca="false">'VOL DWNLD'!AI249+'VOL DELTA'!AI249</f>
        <v>1</v>
      </c>
      <c r="AJ249" s="168" t="n">
        <f aca="false">'VOL DWNLD'!AJ249+'VOL DELTA'!AJ249</f>
        <v>1</v>
      </c>
      <c r="AK249" s="168" t="n">
        <f aca="false">'VOL DWNLD'!AK249+'VOL DELTA'!AK249</f>
        <v>1.02</v>
      </c>
      <c r="AL249" s="168" t="n">
        <f aca="false">'VOL DWNLD'!AL249+'VOL DELTA'!AL249</f>
        <v>1</v>
      </c>
      <c r="AM249" s="168" t="n">
        <f aca="false">'VOL DWNLD'!AM249+'VOL DELTA'!AM249</f>
        <v>1</v>
      </c>
      <c r="AN249" s="168" t="n">
        <f aca="false">'VOL DWNLD'!AN249+'VOL DELTA'!AN249</f>
        <v>1</v>
      </c>
      <c r="AO249" s="168" t="n">
        <f aca="false">'VOL DWNLD'!AO249+'VOL DELTA'!AO249</f>
        <v>1</v>
      </c>
    </row>
    <row r="250" customFormat="false" ht="12.75" hidden="false" customHeight="false" outlineLevel="0" collapsed="false">
      <c r="B250" s="168" t="n">
        <f aca="false">'VOL DWNLD'!B250+'VOL DELTA'!B250</f>
        <v>1</v>
      </c>
      <c r="C250" s="168" t="n">
        <f aca="false">'VOL DWNLD'!C250+'VOL DELTA'!C250</f>
        <v>1</v>
      </c>
      <c r="D250" s="168" t="n">
        <f aca="false">'VOL DWNLD'!D250+'VOL DELTA'!D250</f>
        <v>1</v>
      </c>
      <c r="E250" s="168" t="n">
        <f aca="false">'VOL DWNLD'!E250+'VOL DELTA'!E250</f>
        <v>1</v>
      </c>
      <c r="F250" s="168" t="n">
        <f aca="false">'VOL DWNLD'!F250+'VOL DELTA'!F250</f>
        <v>1</v>
      </c>
      <c r="G250" s="168" t="n">
        <f aca="false">'VOL DWNLD'!G250+'VOL DELTA'!G250</f>
        <v>1</v>
      </c>
      <c r="H250" s="168" t="n">
        <f aca="false">'VOL DWNLD'!H250+'VOL DELTA'!H250</f>
        <v>1</v>
      </c>
      <c r="I250" s="168" t="n">
        <f aca="false">'VOL DWNLD'!I250+'VOL DELTA'!I250</f>
        <v>1</v>
      </c>
      <c r="J250" s="168" t="n">
        <f aca="false">'VOL DWNLD'!J250+'VOL DELTA'!J250</f>
        <v>1</v>
      </c>
      <c r="K250" s="168" t="n">
        <f aca="false">'VOL DWNLD'!K250+'VOL DELTA'!K250</f>
        <v>1</v>
      </c>
      <c r="L250" s="168" t="n">
        <f aca="false">'VOL DWNLD'!L250+'VOL DELTA'!L250</f>
        <v>1</v>
      </c>
      <c r="M250" s="168" t="n">
        <f aca="false">'VOL DWNLD'!M250+'VOL DELTA'!M250</f>
        <v>1</v>
      </c>
      <c r="N250" s="168" t="n">
        <f aca="false">'VOL DWNLD'!N250+'VOL DELTA'!N250</f>
        <v>1</v>
      </c>
      <c r="O250" s="168" t="n">
        <f aca="false">'VOL DWNLD'!O250+'VOL DELTA'!O250</f>
        <v>1</v>
      </c>
      <c r="P250" s="168" t="n">
        <f aca="false">'VOL DWNLD'!P250+'VOL DELTA'!P250</f>
        <v>1.03</v>
      </c>
      <c r="Q250" s="168" t="n">
        <f aca="false">'VOL DWNLD'!Q250+'VOL DELTA'!Q250</f>
        <v>1</v>
      </c>
      <c r="R250" s="168" t="n">
        <f aca="false">'VOL DWNLD'!R250+'VOL DELTA'!R250</f>
        <v>1</v>
      </c>
      <c r="S250" s="168" t="n">
        <f aca="false">'VOL DWNLD'!S250+'VOL DELTA'!S250</f>
        <v>1.02</v>
      </c>
      <c r="T250" s="168" t="n">
        <f aca="false">'VOL DWNLD'!T250+'VOL DELTA'!T250</f>
        <v>1</v>
      </c>
      <c r="U250" s="168" t="n">
        <f aca="false">'VOL DWNLD'!U250+'VOL DELTA'!U250</f>
        <v>1</v>
      </c>
      <c r="V250" s="168" t="n">
        <f aca="false">'VOL DWNLD'!V250+'VOL DELTA'!V250</f>
        <v>1</v>
      </c>
      <c r="W250" s="168" t="n">
        <f aca="false">'VOL DWNLD'!W250+'VOL DELTA'!W250</f>
        <v>1</v>
      </c>
      <c r="X250" s="168" t="n">
        <f aca="false">'VOL DWNLD'!X250+'VOL DELTA'!X250</f>
        <v>1</v>
      </c>
      <c r="Y250" s="168" t="n">
        <f aca="false">'VOL DWNLD'!Y250+'VOL DELTA'!Y250</f>
        <v>1.02</v>
      </c>
      <c r="Z250" s="168" t="n">
        <f aca="false">'VOL DWNLD'!Z250+'VOL DELTA'!Z250</f>
        <v>1</v>
      </c>
      <c r="AA250" s="168" t="n">
        <f aca="false">'VOL DWNLD'!AA250+'VOL DELTA'!AA250</f>
        <v>1</v>
      </c>
      <c r="AB250" s="168" t="n">
        <f aca="false">'VOL DWNLD'!AB250+'VOL DELTA'!AB250</f>
        <v>1</v>
      </c>
      <c r="AC250" s="168" t="n">
        <f aca="false">'VOL DWNLD'!AC250+'VOL DELTA'!AC250</f>
        <v>1</v>
      </c>
      <c r="AD250" s="168" t="n">
        <f aca="false">'VOL DWNLD'!AD250+'VOL DELTA'!AD250</f>
        <v>0.98</v>
      </c>
      <c r="AE250" s="168" t="n">
        <f aca="false">'VOL DWNLD'!AE250+'VOL DELTA'!AE250</f>
        <v>0.98</v>
      </c>
      <c r="AF250" s="168" t="n">
        <f aca="false">'VOL DWNLD'!AF250+'VOL DELTA'!AF250</f>
        <v>0.98</v>
      </c>
      <c r="AG250" s="168" t="n">
        <f aca="false">'VOL DWNLD'!AG250+'VOL DELTA'!AG250</f>
        <v>0.98</v>
      </c>
      <c r="AH250" s="168" t="n">
        <f aca="false">'VOL DWNLD'!AH250+'VOL DELTA'!AH250</f>
        <v>1.05</v>
      </c>
      <c r="AI250" s="168" t="n">
        <f aca="false">'VOL DWNLD'!AI250+'VOL DELTA'!AI250</f>
        <v>1</v>
      </c>
      <c r="AJ250" s="168" t="n">
        <f aca="false">'VOL DWNLD'!AJ250+'VOL DELTA'!AJ250</f>
        <v>1</v>
      </c>
      <c r="AK250" s="168" t="n">
        <f aca="false">'VOL DWNLD'!AK250+'VOL DELTA'!AK250</f>
        <v>1.02</v>
      </c>
      <c r="AL250" s="168" t="n">
        <f aca="false">'VOL DWNLD'!AL250+'VOL DELTA'!AL250</f>
        <v>1</v>
      </c>
      <c r="AM250" s="168" t="n">
        <f aca="false">'VOL DWNLD'!AM250+'VOL DELTA'!AM250</f>
        <v>1</v>
      </c>
      <c r="AN250" s="168" t="n">
        <f aca="false">'VOL DWNLD'!AN250+'VOL DELTA'!AN250</f>
        <v>1</v>
      </c>
      <c r="AO250" s="168" t="n">
        <f aca="false">'VOL DWNLD'!AO250+'VOL DELTA'!AO250</f>
        <v>1</v>
      </c>
    </row>
    <row r="251" customFormat="false" ht="12.75" hidden="false" customHeight="false" outlineLevel="0" collapsed="false">
      <c r="B251" s="168" t="n">
        <f aca="false">'VOL DWNLD'!B251+'VOL DELTA'!B251</f>
        <v>1</v>
      </c>
      <c r="C251" s="168" t="n">
        <f aca="false">'VOL DWNLD'!C251+'VOL DELTA'!C251</f>
        <v>1</v>
      </c>
      <c r="D251" s="168" t="n">
        <f aca="false">'VOL DWNLD'!D251+'VOL DELTA'!D251</f>
        <v>1</v>
      </c>
      <c r="E251" s="168" t="n">
        <f aca="false">'VOL DWNLD'!E251+'VOL DELTA'!E251</f>
        <v>1</v>
      </c>
      <c r="F251" s="168" t="n">
        <f aca="false">'VOL DWNLD'!F251+'VOL DELTA'!F251</f>
        <v>1</v>
      </c>
      <c r="G251" s="168" t="n">
        <f aca="false">'VOL DWNLD'!G251+'VOL DELTA'!G251</f>
        <v>1</v>
      </c>
      <c r="H251" s="168" t="n">
        <f aca="false">'VOL DWNLD'!H251+'VOL DELTA'!H251</f>
        <v>1</v>
      </c>
      <c r="I251" s="168" t="n">
        <f aca="false">'VOL DWNLD'!I251+'VOL DELTA'!I251</f>
        <v>1</v>
      </c>
      <c r="J251" s="168" t="n">
        <f aca="false">'VOL DWNLD'!J251+'VOL DELTA'!J251</f>
        <v>1</v>
      </c>
      <c r="K251" s="168" t="n">
        <f aca="false">'VOL DWNLD'!K251+'VOL DELTA'!K251</f>
        <v>1</v>
      </c>
      <c r="L251" s="168" t="n">
        <f aca="false">'VOL DWNLD'!L251+'VOL DELTA'!L251</f>
        <v>1</v>
      </c>
      <c r="M251" s="168" t="n">
        <f aca="false">'VOL DWNLD'!M251+'VOL DELTA'!M251</f>
        <v>1</v>
      </c>
      <c r="N251" s="168" t="n">
        <f aca="false">'VOL DWNLD'!N251+'VOL DELTA'!N251</f>
        <v>1</v>
      </c>
      <c r="O251" s="168" t="n">
        <f aca="false">'VOL DWNLD'!O251+'VOL DELTA'!O251</f>
        <v>1</v>
      </c>
      <c r="P251" s="168" t="n">
        <f aca="false">'VOL DWNLD'!P251+'VOL DELTA'!P251</f>
        <v>1.03</v>
      </c>
      <c r="Q251" s="168" t="n">
        <f aca="false">'VOL DWNLD'!Q251+'VOL DELTA'!Q251</f>
        <v>1</v>
      </c>
      <c r="R251" s="168" t="n">
        <f aca="false">'VOL DWNLD'!R251+'VOL DELTA'!R251</f>
        <v>1</v>
      </c>
      <c r="S251" s="168" t="n">
        <f aca="false">'VOL DWNLD'!S251+'VOL DELTA'!S251</f>
        <v>1.02</v>
      </c>
      <c r="T251" s="168" t="n">
        <f aca="false">'VOL DWNLD'!T251+'VOL DELTA'!T251</f>
        <v>1</v>
      </c>
      <c r="U251" s="168" t="n">
        <f aca="false">'VOL DWNLD'!U251+'VOL DELTA'!U251</f>
        <v>1</v>
      </c>
      <c r="V251" s="168" t="n">
        <f aca="false">'VOL DWNLD'!V251+'VOL DELTA'!V251</f>
        <v>1</v>
      </c>
      <c r="W251" s="168" t="n">
        <f aca="false">'VOL DWNLD'!W251+'VOL DELTA'!W251</f>
        <v>1</v>
      </c>
      <c r="X251" s="168" t="n">
        <f aca="false">'VOL DWNLD'!X251+'VOL DELTA'!X251</f>
        <v>1</v>
      </c>
      <c r="Y251" s="168" t="n">
        <f aca="false">'VOL DWNLD'!Y251+'VOL DELTA'!Y251</f>
        <v>1.02</v>
      </c>
      <c r="Z251" s="168" t="n">
        <f aca="false">'VOL DWNLD'!Z251+'VOL DELTA'!Z251</f>
        <v>1</v>
      </c>
      <c r="AA251" s="168" t="n">
        <f aca="false">'VOL DWNLD'!AA251+'VOL DELTA'!AA251</f>
        <v>1</v>
      </c>
      <c r="AB251" s="168" t="n">
        <f aca="false">'VOL DWNLD'!AB251+'VOL DELTA'!AB251</f>
        <v>1</v>
      </c>
      <c r="AC251" s="168" t="n">
        <f aca="false">'VOL DWNLD'!AC251+'VOL DELTA'!AC251</f>
        <v>1</v>
      </c>
      <c r="AD251" s="168" t="n">
        <f aca="false">'VOL DWNLD'!AD251+'VOL DELTA'!AD251</f>
        <v>0.98</v>
      </c>
      <c r="AE251" s="168" t="n">
        <f aca="false">'VOL DWNLD'!AE251+'VOL DELTA'!AE251</f>
        <v>0.98</v>
      </c>
      <c r="AF251" s="168" t="n">
        <f aca="false">'VOL DWNLD'!AF251+'VOL DELTA'!AF251</f>
        <v>0.98</v>
      </c>
      <c r="AG251" s="168" t="n">
        <f aca="false">'VOL DWNLD'!AG251+'VOL DELTA'!AG251</f>
        <v>0.98</v>
      </c>
      <c r="AH251" s="168" t="n">
        <f aca="false">'VOL DWNLD'!AH251+'VOL DELTA'!AH251</f>
        <v>1.05</v>
      </c>
      <c r="AI251" s="168" t="n">
        <f aca="false">'VOL DWNLD'!AI251+'VOL DELTA'!AI251</f>
        <v>1</v>
      </c>
      <c r="AJ251" s="168" t="n">
        <f aca="false">'VOL DWNLD'!AJ251+'VOL DELTA'!AJ251</f>
        <v>1</v>
      </c>
      <c r="AK251" s="168" t="n">
        <f aca="false">'VOL DWNLD'!AK251+'VOL DELTA'!AK251</f>
        <v>1.02</v>
      </c>
      <c r="AL251" s="168" t="n">
        <f aca="false">'VOL DWNLD'!AL251+'VOL DELTA'!AL251</f>
        <v>1</v>
      </c>
      <c r="AM251" s="168" t="n">
        <f aca="false">'VOL DWNLD'!AM251+'VOL DELTA'!AM251</f>
        <v>1</v>
      </c>
      <c r="AN251" s="168" t="n">
        <f aca="false">'VOL DWNLD'!AN251+'VOL DELTA'!AN251</f>
        <v>1</v>
      </c>
      <c r="AO251" s="168" t="n">
        <f aca="false">'VOL DWNLD'!AO251+'VOL DELTA'!AO251</f>
        <v>1</v>
      </c>
    </row>
    <row r="252" customFormat="false" ht="12.75" hidden="false" customHeight="false" outlineLevel="0" collapsed="false">
      <c r="B252" s="168" t="n">
        <f aca="false">'VOL DWNLD'!B252+'VOL DELTA'!B252</f>
        <v>1</v>
      </c>
      <c r="C252" s="168" t="n">
        <f aca="false">'VOL DWNLD'!C252+'VOL DELTA'!C252</f>
        <v>1</v>
      </c>
      <c r="D252" s="168" t="n">
        <f aca="false">'VOL DWNLD'!D252+'VOL DELTA'!D252</f>
        <v>1</v>
      </c>
      <c r="E252" s="168" t="n">
        <f aca="false">'VOL DWNLD'!E252+'VOL DELTA'!E252</f>
        <v>1</v>
      </c>
      <c r="F252" s="168" t="n">
        <f aca="false">'VOL DWNLD'!F252+'VOL DELTA'!F252</f>
        <v>1</v>
      </c>
      <c r="G252" s="168" t="n">
        <f aca="false">'VOL DWNLD'!G252+'VOL DELTA'!G252</f>
        <v>1</v>
      </c>
      <c r="H252" s="168" t="n">
        <f aca="false">'VOL DWNLD'!H252+'VOL DELTA'!H252</f>
        <v>1</v>
      </c>
      <c r="I252" s="168" t="n">
        <f aca="false">'VOL DWNLD'!I252+'VOL DELTA'!I252</f>
        <v>1</v>
      </c>
      <c r="J252" s="168" t="n">
        <f aca="false">'VOL DWNLD'!J252+'VOL DELTA'!J252</f>
        <v>1</v>
      </c>
      <c r="K252" s="168" t="n">
        <f aca="false">'VOL DWNLD'!K252+'VOL DELTA'!K252</f>
        <v>1</v>
      </c>
      <c r="L252" s="168" t="n">
        <f aca="false">'VOL DWNLD'!L252+'VOL DELTA'!L252</f>
        <v>1</v>
      </c>
      <c r="M252" s="168" t="n">
        <f aca="false">'VOL DWNLD'!M252+'VOL DELTA'!M252</f>
        <v>1</v>
      </c>
      <c r="N252" s="168" t="n">
        <f aca="false">'VOL DWNLD'!N252+'VOL DELTA'!N252</f>
        <v>1</v>
      </c>
      <c r="O252" s="168" t="n">
        <f aca="false">'VOL DWNLD'!O252+'VOL DELTA'!O252</f>
        <v>1</v>
      </c>
      <c r="P252" s="168" t="n">
        <f aca="false">'VOL DWNLD'!P252+'VOL DELTA'!P252</f>
        <v>1.03</v>
      </c>
      <c r="Q252" s="168" t="n">
        <f aca="false">'VOL DWNLD'!Q252+'VOL DELTA'!Q252</f>
        <v>1</v>
      </c>
      <c r="R252" s="168" t="n">
        <f aca="false">'VOL DWNLD'!R252+'VOL DELTA'!R252</f>
        <v>1</v>
      </c>
      <c r="S252" s="168" t="n">
        <f aca="false">'VOL DWNLD'!S252+'VOL DELTA'!S252</f>
        <v>1.02</v>
      </c>
      <c r="T252" s="168" t="n">
        <f aca="false">'VOL DWNLD'!T252+'VOL DELTA'!T252</f>
        <v>1</v>
      </c>
      <c r="U252" s="168" t="n">
        <f aca="false">'VOL DWNLD'!U252+'VOL DELTA'!U252</f>
        <v>1</v>
      </c>
      <c r="V252" s="168" t="n">
        <f aca="false">'VOL DWNLD'!V252+'VOL DELTA'!V252</f>
        <v>1</v>
      </c>
      <c r="W252" s="168" t="n">
        <f aca="false">'VOL DWNLD'!W252+'VOL DELTA'!W252</f>
        <v>1</v>
      </c>
      <c r="X252" s="168" t="n">
        <f aca="false">'VOL DWNLD'!X252+'VOL DELTA'!X252</f>
        <v>1</v>
      </c>
      <c r="Y252" s="168" t="n">
        <f aca="false">'VOL DWNLD'!Y252+'VOL DELTA'!Y252</f>
        <v>1.02</v>
      </c>
      <c r="Z252" s="168" t="n">
        <f aca="false">'VOL DWNLD'!Z252+'VOL DELTA'!Z252</f>
        <v>1</v>
      </c>
      <c r="AA252" s="168" t="n">
        <f aca="false">'VOL DWNLD'!AA252+'VOL DELTA'!AA252</f>
        <v>1</v>
      </c>
      <c r="AB252" s="168" t="n">
        <f aca="false">'VOL DWNLD'!AB252+'VOL DELTA'!AB252</f>
        <v>1</v>
      </c>
      <c r="AC252" s="168" t="n">
        <f aca="false">'VOL DWNLD'!AC252+'VOL DELTA'!AC252</f>
        <v>1</v>
      </c>
      <c r="AD252" s="168" t="n">
        <f aca="false">'VOL DWNLD'!AD252+'VOL DELTA'!AD252</f>
        <v>0.98</v>
      </c>
      <c r="AE252" s="168" t="n">
        <f aca="false">'VOL DWNLD'!AE252+'VOL DELTA'!AE252</f>
        <v>0.98</v>
      </c>
      <c r="AF252" s="168" t="n">
        <f aca="false">'VOL DWNLD'!AF252+'VOL DELTA'!AF252</f>
        <v>0.98</v>
      </c>
      <c r="AG252" s="168" t="n">
        <f aca="false">'VOL DWNLD'!AG252+'VOL DELTA'!AG252</f>
        <v>0.98</v>
      </c>
      <c r="AH252" s="168" t="n">
        <f aca="false">'VOL DWNLD'!AH252+'VOL DELTA'!AH252</f>
        <v>1.05</v>
      </c>
      <c r="AI252" s="168" t="n">
        <f aca="false">'VOL DWNLD'!AI252+'VOL DELTA'!AI252</f>
        <v>1</v>
      </c>
      <c r="AJ252" s="168" t="n">
        <f aca="false">'VOL DWNLD'!AJ252+'VOL DELTA'!AJ252</f>
        <v>1</v>
      </c>
      <c r="AK252" s="168" t="n">
        <f aca="false">'VOL DWNLD'!AK252+'VOL DELTA'!AK252</f>
        <v>1.02</v>
      </c>
      <c r="AL252" s="168" t="n">
        <f aca="false">'VOL DWNLD'!AL252+'VOL DELTA'!AL252</f>
        <v>1</v>
      </c>
      <c r="AM252" s="168" t="n">
        <f aca="false">'VOL DWNLD'!AM252+'VOL DELTA'!AM252</f>
        <v>1</v>
      </c>
      <c r="AN252" s="168" t="n">
        <f aca="false">'VOL DWNLD'!AN252+'VOL DELTA'!AN252</f>
        <v>1</v>
      </c>
      <c r="AO252" s="168" t="n">
        <f aca="false">'VOL DWNLD'!AO252+'VOL DELTA'!AO252</f>
        <v>1</v>
      </c>
    </row>
    <row r="253" customFormat="false" ht="12.75" hidden="false" customHeight="false" outlineLevel="0" collapsed="false">
      <c r="B253" s="168" t="n">
        <f aca="false">'VOL DWNLD'!B253+'VOL DELTA'!B253</f>
        <v>1</v>
      </c>
      <c r="C253" s="168" t="n">
        <f aca="false">'VOL DWNLD'!C253+'VOL DELTA'!C253</f>
        <v>1</v>
      </c>
      <c r="D253" s="168" t="n">
        <f aca="false">'VOL DWNLD'!D253+'VOL DELTA'!D253</f>
        <v>1</v>
      </c>
      <c r="E253" s="168" t="n">
        <f aca="false">'VOL DWNLD'!E253+'VOL DELTA'!E253</f>
        <v>1</v>
      </c>
      <c r="F253" s="168" t="n">
        <f aca="false">'VOL DWNLD'!F253+'VOL DELTA'!F253</f>
        <v>1</v>
      </c>
      <c r="G253" s="168" t="n">
        <f aca="false">'VOL DWNLD'!G253+'VOL DELTA'!G253</f>
        <v>1</v>
      </c>
      <c r="H253" s="168" t="n">
        <f aca="false">'VOL DWNLD'!H253+'VOL DELTA'!H253</f>
        <v>1</v>
      </c>
      <c r="I253" s="168" t="n">
        <f aca="false">'VOL DWNLD'!I253+'VOL DELTA'!I253</f>
        <v>1</v>
      </c>
      <c r="J253" s="168" t="n">
        <f aca="false">'VOL DWNLD'!J253+'VOL DELTA'!J253</f>
        <v>1</v>
      </c>
      <c r="K253" s="168" t="n">
        <f aca="false">'VOL DWNLD'!K253+'VOL DELTA'!K253</f>
        <v>1</v>
      </c>
      <c r="L253" s="168" t="n">
        <f aca="false">'VOL DWNLD'!L253+'VOL DELTA'!L253</f>
        <v>1</v>
      </c>
      <c r="M253" s="168" t="n">
        <f aca="false">'VOL DWNLD'!M253+'VOL DELTA'!M253</f>
        <v>1</v>
      </c>
      <c r="N253" s="168" t="n">
        <f aca="false">'VOL DWNLD'!N253+'VOL DELTA'!N253</f>
        <v>1</v>
      </c>
      <c r="O253" s="168" t="n">
        <f aca="false">'VOL DWNLD'!O253+'VOL DELTA'!O253</f>
        <v>1</v>
      </c>
      <c r="P253" s="168" t="n">
        <f aca="false">'VOL DWNLD'!P253+'VOL DELTA'!P253</f>
        <v>1.03</v>
      </c>
      <c r="Q253" s="168" t="n">
        <f aca="false">'VOL DWNLD'!Q253+'VOL DELTA'!Q253</f>
        <v>1</v>
      </c>
      <c r="R253" s="168" t="n">
        <f aca="false">'VOL DWNLD'!R253+'VOL DELTA'!R253</f>
        <v>1</v>
      </c>
      <c r="S253" s="168" t="n">
        <f aca="false">'VOL DWNLD'!S253+'VOL DELTA'!S253</f>
        <v>1.02</v>
      </c>
      <c r="T253" s="168" t="n">
        <f aca="false">'VOL DWNLD'!T253+'VOL DELTA'!T253</f>
        <v>1</v>
      </c>
      <c r="U253" s="168" t="n">
        <f aca="false">'VOL DWNLD'!U253+'VOL DELTA'!U253</f>
        <v>1</v>
      </c>
      <c r="V253" s="168" t="n">
        <f aca="false">'VOL DWNLD'!V253+'VOL DELTA'!V253</f>
        <v>1</v>
      </c>
      <c r="W253" s="168" t="n">
        <f aca="false">'VOL DWNLD'!W253+'VOL DELTA'!W253</f>
        <v>1</v>
      </c>
      <c r="X253" s="168" t="n">
        <f aca="false">'VOL DWNLD'!X253+'VOL DELTA'!X253</f>
        <v>1</v>
      </c>
      <c r="Y253" s="168" t="n">
        <f aca="false">'VOL DWNLD'!Y253+'VOL DELTA'!Y253</f>
        <v>1.02</v>
      </c>
      <c r="Z253" s="168" t="n">
        <f aca="false">'VOL DWNLD'!Z253+'VOL DELTA'!Z253</f>
        <v>1</v>
      </c>
      <c r="AA253" s="168" t="n">
        <f aca="false">'VOL DWNLD'!AA253+'VOL DELTA'!AA253</f>
        <v>1</v>
      </c>
      <c r="AB253" s="168" t="n">
        <f aca="false">'VOL DWNLD'!AB253+'VOL DELTA'!AB253</f>
        <v>1</v>
      </c>
      <c r="AC253" s="168" t="n">
        <f aca="false">'VOL DWNLD'!AC253+'VOL DELTA'!AC253</f>
        <v>1</v>
      </c>
      <c r="AD253" s="168" t="n">
        <f aca="false">'VOL DWNLD'!AD253+'VOL DELTA'!AD253</f>
        <v>0.98</v>
      </c>
      <c r="AE253" s="168" t="n">
        <f aca="false">'VOL DWNLD'!AE253+'VOL DELTA'!AE253</f>
        <v>0.98</v>
      </c>
      <c r="AF253" s="168" t="n">
        <f aca="false">'VOL DWNLD'!AF253+'VOL DELTA'!AF253</f>
        <v>0.98</v>
      </c>
      <c r="AG253" s="168" t="n">
        <f aca="false">'VOL DWNLD'!AG253+'VOL DELTA'!AG253</f>
        <v>0.98</v>
      </c>
      <c r="AH253" s="168" t="n">
        <f aca="false">'VOL DWNLD'!AH253+'VOL DELTA'!AH253</f>
        <v>1.05</v>
      </c>
      <c r="AI253" s="168" t="n">
        <f aca="false">'VOL DWNLD'!AI253+'VOL DELTA'!AI253</f>
        <v>1</v>
      </c>
      <c r="AJ253" s="168" t="n">
        <f aca="false">'VOL DWNLD'!AJ253+'VOL DELTA'!AJ253</f>
        <v>1</v>
      </c>
      <c r="AK253" s="168" t="n">
        <f aca="false">'VOL DWNLD'!AK253+'VOL DELTA'!AK253</f>
        <v>1.02</v>
      </c>
      <c r="AL253" s="168" t="n">
        <f aca="false">'VOL DWNLD'!AL253+'VOL DELTA'!AL253</f>
        <v>1</v>
      </c>
      <c r="AM253" s="168" t="n">
        <f aca="false">'VOL DWNLD'!AM253+'VOL DELTA'!AM253</f>
        <v>1</v>
      </c>
      <c r="AN253" s="168" t="n">
        <f aca="false">'VOL DWNLD'!AN253+'VOL DELTA'!AN253</f>
        <v>1</v>
      </c>
      <c r="AO253" s="168" t="n">
        <f aca="false">'VOL DWNLD'!AO253+'VOL DELTA'!AO253</f>
        <v>1</v>
      </c>
    </row>
    <row r="254" customFormat="false" ht="12.75" hidden="false" customHeight="false" outlineLevel="0" collapsed="false">
      <c r="B254" s="168" t="n">
        <f aca="false">'VOL DWNLD'!B254+'VOL DELTA'!B254</f>
        <v>1</v>
      </c>
      <c r="C254" s="168" t="n">
        <f aca="false">'VOL DWNLD'!C254+'VOL DELTA'!C254</f>
        <v>1</v>
      </c>
      <c r="D254" s="168" t="n">
        <f aca="false">'VOL DWNLD'!D254+'VOL DELTA'!D254</f>
        <v>1</v>
      </c>
      <c r="E254" s="168" t="n">
        <f aca="false">'VOL DWNLD'!E254+'VOL DELTA'!E254</f>
        <v>1</v>
      </c>
      <c r="F254" s="168" t="n">
        <f aca="false">'VOL DWNLD'!F254+'VOL DELTA'!F254</f>
        <v>1</v>
      </c>
      <c r="G254" s="168" t="n">
        <f aca="false">'VOL DWNLD'!G254+'VOL DELTA'!G254</f>
        <v>1</v>
      </c>
      <c r="H254" s="168" t="n">
        <f aca="false">'VOL DWNLD'!H254+'VOL DELTA'!H254</f>
        <v>1</v>
      </c>
      <c r="I254" s="168" t="n">
        <f aca="false">'VOL DWNLD'!I254+'VOL DELTA'!I254</f>
        <v>1</v>
      </c>
      <c r="J254" s="168" t="n">
        <f aca="false">'VOL DWNLD'!J254+'VOL DELTA'!J254</f>
        <v>1</v>
      </c>
      <c r="K254" s="168" t="n">
        <f aca="false">'VOL DWNLD'!K254+'VOL DELTA'!K254</f>
        <v>1</v>
      </c>
      <c r="L254" s="168" t="n">
        <f aca="false">'VOL DWNLD'!L254+'VOL DELTA'!L254</f>
        <v>1</v>
      </c>
      <c r="M254" s="168" t="n">
        <f aca="false">'VOL DWNLD'!M254+'VOL DELTA'!M254</f>
        <v>1</v>
      </c>
      <c r="N254" s="168" t="n">
        <f aca="false">'VOL DWNLD'!N254+'VOL DELTA'!N254</f>
        <v>1</v>
      </c>
      <c r="O254" s="168" t="n">
        <f aca="false">'VOL DWNLD'!O254+'VOL DELTA'!O254</f>
        <v>1</v>
      </c>
      <c r="P254" s="168" t="n">
        <f aca="false">'VOL DWNLD'!P254+'VOL DELTA'!P254</f>
        <v>1.03</v>
      </c>
      <c r="Q254" s="168" t="n">
        <f aca="false">'VOL DWNLD'!Q254+'VOL DELTA'!Q254</f>
        <v>1</v>
      </c>
      <c r="R254" s="168" t="n">
        <f aca="false">'VOL DWNLD'!R254+'VOL DELTA'!R254</f>
        <v>1</v>
      </c>
      <c r="S254" s="168" t="n">
        <f aca="false">'VOL DWNLD'!S254+'VOL DELTA'!S254</f>
        <v>1.02</v>
      </c>
      <c r="T254" s="168" t="n">
        <f aca="false">'VOL DWNLD'!T254+'VOL DELTA'!T254</f>
        <v>1</v>
      </c>
      <c r="U254" s="168" t="n">
        <f aca="false">'VOL DWNLD'!U254+'VOL DELTA'!U254</f>
        <v>1</v>
      </c>
      <c r="V254" s="168" t="n">
        <f aca="false">'VOL DWNLD'!V254+'VOL DELTA'!V254</f>
        <v>1</v>
      </c>
      <c r="W254" s="168" t="n">
        <f aca="false">'VOL DWNLD'!W254+'VOL DELTA'!W254</f>
        <v>1</v>
      </c>
      <c r="X254" s="168" t="n">
        <f aca="false">'VOL DWNLD'!X254+'VOL DELTA'!X254</f>
        <v>1</v>
      </c>
      <c r="Y254" s="168" t="n">
        <f aca="false">'VOL DWNLD'!Y254+'VOL DELTA'!Y254</f>
        <v>1.02</v>
      </c>
      <c r="Z254" s="168" t="n">
        <f aca="false">'VOL DWNLD'!Z254+'VOL DELTA'!Z254</f>
        <v>1</v>
      </c>
      <c r="AA254" s="168" t="n">
        <f aca="false">'VOL DWNLD'!AA254+'VOL DELTA'!AA254</f>
        <v>1</v>
      </c>
      <c r="AB254" s="168" t="n">
        <f aca="false">'VOL DWNLD'!AB254+'VOL DELTA'!AB254</f>
        <v>1</v>
      </c>
      <c r="AC254" s="168" t="n">
        <f aca="false">'VOL DWNLD'!AC254+'VOL DELTA'!AC254</f>
        <v>1</v>
      </c>
      <c r="AD254" s="168" t="n">
        <f aca="false">'VOL DWNLD'!AD254+'VOL DELTA'!AD254</f>
        <v>0.98</v>
      </c>
      <c r="AE254" s="168" t="n">
        <f aca="false">'VOL DWNLD'!AE254+'VOL DELTA'!AE254</f>
        <v>0.98</v>
      </c>
      <c r="AF254" s="168" t="n">
        <f aca="false">'VOL DWNLD'!AF254+'VOL DELTA'!AF254</f>
        <v>0.98</v>
      </c>
      <c r="AG254" s="168" t="n">
        <f aca="false">'VOL DWNLD'!AG254+'VOL DELTA'!AG254</f>
        <v>0.98</v>
      </c>
      <c r="AH254" s="168" t="n">
        <f aca="false">'VOL DWNLD'!AH254+'VOL DELTA'!AH254</f>
        <v>1.05</v>
      </c>
      <c r="AI254" s="168" t="n">
        <f aca="false">'VOL DWNLD'!AI254+'VOL DELTA'!AI254</f>
        <v>1</v>
      </c>
      <c r="AJ254" s="168" t="n">
        <f aca="false">'VOL DWNLD'!AJ254+'VOL DELTA'!AJ254</f>
        <v>1</v>
      </c>
      <c r="AK254" s="168" t="n">
        <f aca="false">'VOL DWNLD'!AK254+'VOL DELTA'!AK254</f>
        <v>1.02</v>
      </c>
      <c r="AL254" s="168" t="n">
        <f aca="false">'VOL DWNLD'!AL254+'VOL DELTA'!AL254</f>
        <v>1</v>
      </c>
      <c r="AM254" s="168" t="n">
        <f aca="false">'VOL DWNLD'!AM254+'VOL DELTA'!AM254</f>
        <v>1</v>
      </c>
      <c r="AN254" s="168" t="n">
        <f aca="false">'VOL DWNLD'!AN254+'VOL DELTA'!AN254</f>
        <v>1</v>
      </c>
      <c r="AO254" s="168" t="n">
        <f aca="false">'VOL DWNLD'!AO254+'VOL DELTA'!AO254</f>
        <v>1</v>
      </c>
    </row>
    <row r="255" customFormat="false" ht="12.75" hidden="false" customHeight="false" outlineLevel="0" collapsed="false">
      <c r="B255" s="168" t="n">
        <f aca="false">'VOL DWNLD'!B255+'VOL DELTA'!B255</f>
        <v>1</v>
      </c>
      <c r="C255" s="168" t="n">
        <f aca="false">'VOL DWNLD'!C255+'VOL DELTA'!C255</f>
        <v>1</v>
      </c>
      <c r="D255" s="168" t="n">
        <f aca="false">'VOL DWNLD'!D255+'VOL DELTA'!D255</f>
        <v>1</v>
      </c>
      <c r="E255" s="168" t="n">
        <f aca="false">'VOL DWNLD'!E255+'VOL DELTA'!E255</f>
        <v>1</v>
      </c>
      <c r="F255" s="168" t="n">
        <f aca="false">'VOL DWNLD'!F255+'VOL DELTA'!F255</f>
        <v>1</v>
      </c>
      <c r="G255" s="168" t="n">
        <f aca="false">'VOL DWNLD'!G255+'VOL DELTA'!G255</f>
        <v>1</v>
      </c>
      <c r="H255" s="168" t="n">
        <f aca="false">'VOL DWNLD'!H255+'VOL DELTA'!H255</f>
        <v>1</v>
      </c>
      <c r="I255" s="168" t="n">
        <f aca="false">'VOL DWNLD'!I255+'VOL DELTA'!I255</f>
        <v>1</v>
      </c>
      <c r="J255" s="168" t="n">
        <f aca="false">'VOL DWNLD'!J255+'VOL DELTA'!J255</f>
        <v>1</v>
      </c>
      <c r="K255" s="168" t="n">
        <f aca="false">'VOL DWNLD'!K255+'VOL DELTA'!K255</f>
        <v>1</v>
      </c>
      <c r="L255" s="168" t="n">
        <f aca="false">'VOL DWNLD'!L255+'VOL DELTA'!L255</f>
        <v>1</v>
      </c>
      <c r="M255" s="168" t="n">
        <f aca="false">'VOL DWNLD'!M255+'VOL DELTA'!M255</f>
        <v>1</v>
      </c>
      <c r="N255" s="168" t="n">
        <f aca="false">'VOL DWNLD'!N255+'VOL DELTA'!N255</f>
        <v>1</v>
      </c>
      <c r="O255" s="168" t="n">
        <f aca="false">'VOL DWNLD'!O255+'VOL DELTA'!O255</f>
        <v>1</v>
      </c>
      <c r="P255" s="168" t="n">
        <f aca="false">'VOL DWNLD'!P255+'VOL DELTA'!P255</f>
        <v>1.03</v>
      </c>
      <c r="Q255" s="168" t="n">
        <f aca="false">'VOL DWNLD'!Q255+'VOL DELTA'!Q255</f>
        <v>1</v>
      </c>
      <c r="R255" s="168" t="n">
        <f aca="false">'VOL DWNLD'!R255+'VOL DELTA'!R255</f>
        <v>1</v>
      </c>
      <c r="S255" s="168" t="n">
        <f aca="false">'VOL DWNLD'!S255+'VOL DELTA'!S255</f>
        <v>1.02</v>
      </c>
      <c r="T255" s="168" t="n">
        <f aca="false">'VOL DWNLD'!T255+'VOL DELTA'!T255</f>
        <v>1</v>
      </c>
      <c r="U255" s="168" t="n">
        <f aca="false">'VOL DWNLD'!U255+'VOL DELTA'!U255</f>
        <v>1</v>
      </c>
      <c r="V255" s="168" t="n">
        <f aca="false">'VOL DWNLD'!V255+'VOL DELTA'!V255</f>
        <v>1</v>
      </c>
      <c r="W255" s="168" t="n">
        <f aca="false">'VOL DWNLD'!W255+'VOL DELTA'!W255</f>
        <v>1</v>
      </c>
      <c r="X255" s="168" t="n">
        <f aca="false">'VOL DWNLD'!X255+'VOL DELTA'!X255</f>
        <v>1</v>
      </c>
      <c r="Y255" s="168" t="n">
        <f aca="false">'VOL DWNLD'!Y255+'VOL DELTA'!Y255</f>
        <v>1.02</v>
      </c>
      <c r="Z255" s="168" t="n">
        <f aca="false">'VOL DWNLD'!Z255+'VOL DELTA'!Z255</f>
        <v>1</v>
      </c>
      <c r="AA255" s="168" t="n">
        <f aca="false">'VOL DWNLD'!AA255+'VOL DELTA'!AA255</f>
        <v>1</v>
      </c>
      <c r="AB255" s="168" t="n">
        <f aca="false">'VOL DWNLD'!AB255+'VOL DELTA'!AB255</f>
        <v>1</v>
      </c>
      <c r="AC255" s="168" t="n">
        <f aca="false">'VOL DWNLD'!AC255+'VOL DELTA'!AC255</f>
        <v>1</v>
      </c>
      <c r="AD255" s="168" t="n">
        <f aca="false">'VOL DWNLD'!AD255+'VOL DELTA'!AD255</f>
        <v>0.98</v>
      </c>
      <c r="AE255" s="168" t="n">
        <f aca="false">'VOL DWNLD'!AE255+'VOL DELTA'!AE255</f>
        <v>0.98</v>
      </c>
      <c r="AF255" s="168" t="n">
        <f aca="false">'VOL DWNLD'!AF255+'VOL DELTA'!AF255</f>
        <v>0.98</v>
      </c>
      <c r="AG255" s="168" t="n">
        <f aca="false">'VOL DWNLD'!AG255+'VOL DELTA'!AG255</f>
        <v>0.98</v>
      </c>
      <c r="AH255" s="168" t="n">
        <f aca="false">'VOL DWNLD'!AH255+'VOL DELTA'!AH255</f>
        <v>1.05</v>
      </c>
      <c r="AI255" s="168" t="n">
        <f aca="false">'VOL DWNLD'!AI255+'VOL DELTA'!AI255</f>
        <v>1</v>
      </c>
      <c r="AJ255" s="168" t="n">
        <f aca="false">'VOL DWNLD'!AJ255+'VOL DELTA'!AJ255</f>
        <v>1</v>
      </c>
      <c r="AK255" s="168" t="n">
        <f aca="false">'VOL DWNLD'!AK255+'VOL DELTA'!AK255</f>
        <v>1.02</v>
      </c>
      <c r="AL255" s="168" t="n">
        <f aca="false">'VOL DWNLD'!AL255+'VOL DELTA'!AL255</f>
        <v>1</v>
      </c>
      <c r="AM255" s="168" t="n">
        <f aca="false">'VOL DWNLD'!AM255+'VOL DELTA'!AM255</f>
        <v>1</v>
      </c>
      <c r="AN255" s="168" t="n">
        <f aca="false">'VOL DWNLD'!AN255+'VOL DELTA'!AN255</f>
        <v>1</v>
      </c>
      <c r="AO255" s="168" t="n">
        <f aca="false">'VOL DWNLD'!AO255+'VOL DELTA'!AO255</f>
        <v>1</v>
      </c>
    </row>
    <row r="256" customFormat="false" ht="12.75" hidden="false" customHeight="false" outlineLevel="0" collapsed="false">
      <c r="B256" s="168" t="n">
        <f aca="false">'VOL DWNLD'!B256+'VOL DELTA'!B256</f>
        <v>1</v>
      </c>
      <c r="C256" s="168" t="n">
        <f aca="false">'VOL DWNLD'!C256+'VOL DELTA'!C256</f>
        <v>1</v>
      </c>
      <c r="D256" s="168" t="n">
        <f aca="false">'VOL DWNLD'!D256+'VOL DELTA'!D256</f>
        <v>1</v>
      </c>
      <c r="E256" s="168" t="n">
        <f aca="false">'VOL DWNLD'!E256+'VOL DELTA'!E256</f>
        <v>1</v>
      </c>
      <c r="F256" s="168" t="n">
        <f aca="false">'VOL DWNLD'!F256+'VOL DELTA'!F256</f>
        <v>1</v>
      </c>
      <c r="G256" s="168" t="n">
        <f aca="false">'VOL DWNLD'!G256+'VOL DELTA'!G256</f>
        <v>1</v>
      </c>
      <c r="H256" s="168" t="n">
        <f aca="false">'VOL DWNLD'!H256+'VOL DELTA'!H256</f>
        <v>1</v>
      </c>
      <c r="I256" s="168" t="n">
        <f aca="false">'VOL DWNLD'!I256+'VOL DELTA'!I256</f>
        <v>1</v>
      </c>
      <c r="J256" s="168" t="n">
        <f aca="false">'VOL DWNLD'!J256+'VOL DELTA'!J256</f>
        <v>1</v>
      </c>
      <c r="K256" s="168" t="n">
        <f aca="false">'VOL DWNLD'!K256+'VOL DELTA'!K256</f>
        <v>1</v>
      </c>
      <c r="L256" s="168" t="n">
        <f aca="false">'VOL DWNLD'!L256+'VOL DELTA'!L256</f>
        <v>1</v>
      </c>
      <c r="M256" s="168" t="n">
        <f aca="false">'VOL DWNLD'!M256+'VOL DELTA'!M256</f>
        <v>1</v>
      </c>
      <c r="N256" s="168" t="n">
        <f aca="false">'VOL DWNLD'!N256+'VOL DELTA'!N256</f>
        <v>1</v>
      </c>
      <c r="O256" s="168" t="n">
        <f aca="false">'VOL DWNLD'!O256+'VOL DELTA'!O256</f>
        <v>1</v>
      </c>
      <c r="P256" s="168" t="n">
        <f aca="false">'VOL DWNLD'!P256+'VOL DELTA'!P256</f>
        <v>1.03</v>
      </c>
      <c r="Q256" s="168" t="n">
        <f aca="false">'VOL DWNLD'!Q256+'VOL DELTA'!Q256</f>
        <v>1</v>
      </c>
      <c r="R256" s="168" t="n">
        <f aca="false">'VOL DWNLD'!R256+'VOL DELTA'!R256</f>
        <v>1</v>
      </c>
      <c r="S256" s="168" t="n">
        <f aca="false">'VOL DWNLD'!S256+'VOL DELTA'!S256</f>
        <v>1.02</v>
      </c>
      <c r="T256" s="168" t="n">
        <f aca="false">'VOL DWNLD'!T256+'VOL DELTA'!T256</f>
        <v>1</v>
      </c>
      <c r="U256" s="168" t="n">
        <f aca="false">'VOL DWNLD'!U256+'VOL DELTA'!U256</f>
        <v>1</v>
      </c>
      <c r="V256" s="168" t="n">
        <f aca="false">'VOL DWNLD'!V256+'VOL DELTA'!V256</f>
        <v>1</v>
      </c>
      <c r="W256" s="168" t="n">
        <f aca="false">'VOL DWNLD'!W256+'VOL DELTA'!W256</f>
        <v>1</v>
      </c>
      <c r="X256" s="168" t="n">
        <f aca="false">'VOL DWNLD'!X256+'VOL DELTA'!X256</f>
        <v>1</v>
      </c>
      <c r="Y256" s="168" t="n">
        <f aca="false">'VOL DWNLD'!Y256+'VOL DELTA'!Y256</f>
        <v>1.02</v>
      </c>
      <c r="Z256" s="168" t="n">
        <f aca="false">'VOL DWNLD'!Z256+'VOL DELTA'!Z256</f>
        <v>1</v>
      </c>
      <c r="AA256" s="168" t="n">
        <f aca="false">'VOL DWNLD'!AA256+'VOL DELTA'!AA256</f>
        <v>1</v>
      </c>
      <c r="AB256" s="168" t="n">
        <f aca="false">'VOL DWNLD'!AB256+'VOL DELTA'!AB256</f>
        <v>1</v>
      </c>
      <c r="AC256" s="168" t="n">
        <f aca="false">'VOL DWNLD'!AC256+'VOL DELTA'!AC256</f>
        <v>1</v>
      </c>
      <c r="AD256" s="168" t="n">
        <f aca="false">'VOL DWNLD'!AD256+'VOL DELTA'!AD256</f>
        <v>0.98</v>
      </c>
      <c r="AE256" s="168" t="n">
        <f aca="false">'VOL DWNLD'!AE256+'VOL DELTA'!AE256</f>
        <v>0.98</v>
      </c>
      <c r="AF256" s="168" t="n">
        <f aca="false">'VOL DWNLD'!AF256+'VOL DELTA'!AF256</f>
        <v>0.98</v>
      </c>
      <c r="AG256" s="168" t="n">
        <f aca="false">'VOL DWNLD'!AG256+'VOL DELTA'!AG256</f>
        <v>0.98</v>
      </c>
      <c r="AH256" s="168" t="n">
        <f aca="false">'VOL DWNLD'!AH256+'VOL DELTA'!AH256</f>
        <v>1.05</v>
      </c>
      <c r="AI256" s="168" t="n">
        <f aca="false">'VOL DWNLD'!AI256+'VOL DELTA'!AI256</f>
        <v>1</v>
      </c>
      <c r="AJ256" s="168" t="n">
        <f aca="false">'VOL DWNLD'!AJ256+'VOL DELTA'!AJ256</f>
        <v>1</v>
      </c>
      <c r="AK256" s="168" t="n">
        <f aca="false">'VOL DWNLD'!AK256+'VOL DELTA'!AK256</f>
        <v>1.02</v>
      </c>
      <c r="AL256" s="168" t="n">
        <f aca="false">'VOL DWNLD'!AL256+'VOL DELTA'!AL256</f>
        <v>1</v>
      </c>
      <c r="AM256" s="168" t="n">
        <f aca="false">'VOL DWNLD'!AM256+'VOL DELTA'!AM256</f>
        <v>1</v>
      </c>
      <c r="AN256" s="168" t="n">
        <f aca="false">'VOL DWNLD'!AN256+'VOL DELTA'!AN256</f>
        <v>1</v>
      </c>
      <c r="AO256" s="168" t="n">
        <f aca="false">'VOL DWNLD'!AO256+'VOL DELTA'!AO256</f>
        <v>1</v>
      </c>
    </row>
    <row r="257" customFormat="false" ht="12.75" hidden="false" customHeight="false" outlineLevel="0" collapsed="false">
      <c r="B257" s="168" t="n">
        <f aca="false">'VOL DWNLD'!B257+'VOL DELTA'!B257</f>
        <v>1</v>
      </c>
      <c r="C257" s="168" t="n">
        <f aca="false">'VOL DWNLD'!C257+'VOL DELTA'!C257</f>
        <v>1</v>
      </c>
      <c r="D257" s="168" t="n">
        <f aca="false">'VOL DWNLD'!D257+'VOL DELTA'!D257</f>
        <v>1</v>
      </c>
      <c r="E257" s="168" t="n">
        <f aca="false">'VOL DWNLD'!E257+'VOL DELTA'!E257</f>
        <v>1</v>
      </c>
      <c r="F257" s="168" t="n">
        <f aca="false">'VOL DWNLD'!F257+'VOL DELTA'!F257</f>
        <v>1</v>
      </c>
      <c r="G257" s="168" t="n">
        <f aca="false">'VOL DWNLD'!G257+'VOL DELTA'!G257</f>
        <v>1</v>
      </c>
      <c r="H257" s="168" t="n">
        <f aca="false">'VOL DWNLD'!H257+'VOL DELTA'!H257</f>
        <v>1</v>
      </c>
      <c r="I257" s="168" t="n">
        <f aca="false">'VOL DWNLD'!I257+'VOL DELTA'!I257</f>
        <v>1</v>
      </c>
      <c r="J257" s="168" t="n">
        <f aca="false">'VOL DWNLD'!J257+'VOL DELTA'!J257</f>
        <v>1</v>
      </c>
      <c r="K257" s="168" t="n">
        <f aca="false">'VOL DWNLD'!K257+'VOL DELTA'!K257</f>
        <v>1</v>
      </c>
      <c r="L257" s="168" t="n">
        <f aca="false">'VOL DWNLD'!L257+'VOL DELTA'!L257</f>
        <v>1</v>
      </c>
      <c r="M257" s="168" t="n">
        <f aca="false">'VOL DWNLD'!M257+'VOL DELTA'!M257</f>
        <v>1</v>
      </c>
      <c r="N257" s="168" t="n">
        <f aca="false">'VOL DWNLD'!N257+'VOL DELTA'!N257</f>
        <v>1</v>
      </c>
      <c r="O257" s="168" t="n">
        <f aca="false">'VOL DWNLD'!O257+'VOL DELTA'!O257</f>
        <v>1</v>
      </c>
      <c r="P257" s="168" t="n">
        <f aca="false">'VOL DWNLD'!P257+'VOL DELTA'!P257</f>
        <v>1.03</v>
      </c>
      <c r="Q257" s="168" t="n">
        <f aca="false">'VOL DWNLD'!Q257+'VOL DELTA'!Q257</f>
        <v>1</v>
      </c>
      <c r="R257" s="168" t="n">
        <f aca="false">'VOL DWNLD'!R257+'VOL DELTA'!R257</f>
        <v>1</v>
      </c>
      <c r="S257" s="168" t="n">
        <f aca="false">'VOL DWNLD'!S257+'VOL DELTA'!S257</f>
        <v>1.02</v>
      </c>
      <c r="T257" s="168" t="n">
        <f aca="false">'VOL DWNLD'!T257+'VOL DELTA'!T257</f>
        <v>1</v>
      </c>
      <c r="U257" s="168" t="n">
        <f aca="false">'VOL DWNLD'!U257+'VOL DELTA'!U257</f>
        <v>1</v>
      </c>
      <c r="V257" s="168" t="n">
        <f aca="false">'VOL DWNLD'!V257+'VOL DELTA'!V257</f>
        <v>1</v>
      </c>
      <c r="W257" s="168" t="n">
        <f aca="false">'VOL DWNLD'!W257+'VOL DELTA'!W257</f>
        <v>1</v>
      </c>
      <c r="X257" s="168" t="n">
        <f aca="false">'VOL DWNLD'!X257+'VOL DELTA'!X257</f>
        <v>1</v>
      </c>
      <c r="Y257" s="168" t="n">
        <f aca="false">'VOL DWNLD'!Y257+'VOL DELTA'!Y257</f>
        <v>1</v>
      </c>
      <c r="Z257" s="168" t="n">
        <f aca="false">'VOL DWNLD'!Z257+'VOL DELTA'!Z257</f>
        <v>1</v>
      </c>
      <c r="AA257" s="168" t="n">
        <f aca="false">'VOL DWNLD'!AA257+'VOL DELTA'!AA257</f>
        <v>1</v>
      </c>
      <c r="AB257" s="168" t="n">
        <f aca="false">'VOL DWNLD'!AB257+'VOL DELTA'!AB257</f>
        <v>1</v>
      </c>
      <c r="AC257" s="168" t="n">
        <f aca="false">'VOL DWNLD'!AC257+'VOL DELTA'!AC257</f>
        <v>1</v>
      </c>
      <c r="AD257" s="168" t="n">
        <f aca="false">'VOL DWNLD'!AD257+'VOL DELTA'!AD257</f>
        <v>1</v>
      </c>
      <c r="AE257" s="168" t="n">
        <f aca="false">'VOL DWNLD'!AE257+'VOL DELTA'!AE257</f>
        <v>1</v>
      </c>
      <c r="AF257" s="168" t="n">
        <f aca="false">'VOL DWNLD'!AF257+'VOL DELTA'!AF257</f>
        <v>1.1</v>
      </c>
      <c r="AG257" s="168" t="n">
        <f aca="false">'VOL DWNLD'!AG257+'VOL DELTA'!AG257</f>
        <v>1.1</v>
      </c>
      <c r="AH257" s="168" t="n">
        <f aca="false">'VOL DWNLD'!AH257+'VOL DELTA'!AH257</f>
        <v>1.05</v>
      </c>
      <c r="AI257" s="168" t="n">
        <f aca="false">'VOL DWNLD'!AI257+'VOL DELTA'!AI257</f>
        <v>1</v>
      </c>
      <c r="AJ257" s="168" t="n">
        <f aca="false">'VOL DWNLD'!AJ257+'VOL DELTA'!AJ257</f>
        <v>1</v>
      </c>
      <c r="AK257" s="168" t="n">
        <f aca="false">'VOL DWNLD'!AK257+'VOL DELTA'!AK257</f>
        <v>1.02</v>
      </c>
      <c r="AL257" s="168" t="n">
        <f aca="false">'VOL DWNLD'!AL257+'VOL DELTA'!AL257</f>
        <v>1</v>
      </c>
      <c r="AM257" s="168" t="n">
        <f aca="false">'VOL DWNLD'!AM257+'VOL DELTA'!AM257</f>
        <v>1</v>
      </c>
      <c r="AN257" s="168" t="n">
        <f aca="false">'VOL DWNLD'!AN257+'VOL DELTA'!AN257</f>
        <v>1</v>
      </c>
      <c r="AO257" s="168" t="n">
        <f aca="false">'VOL DWNLD'!AO257+'VOL DELTA'!AO257</f>
        <v>1</v>
      </c>
    </row>
    <row r="258" customFormat="false" ht="12.75" hidden="false" customHeight="false" outlineLevel="0" collapsed="false">
      <c r="B258" s="168" t="n">
        <f aca="false">'VOL DWNLD'!B258+'VOL DELTA'!B258</f>
        <v>1</v>
      </c>
      <c r="C258" s="168" t="n">
        <f aca="false">'VOL DWNLD'!C258+'VOL DELTA'!C258</f>
        <v>1</v>
      </c>
      <c r="D258" s="168" t="n">
        <f aca="false">'VOL DWNLD'!D258+'VOL DELTA'!D258</f>
        <v>1</v>
      </c>
      <c r="E258" s="168" t="n">
        <f aca="false">'VOL DWNLD'!E258+'VOL DELTA'!E258</f>
        <v>1</v>
      </c>
      <c r="F258" s="168" t="n">
        <f aca="false">'VOL DWNLD'!F258+'VOL DELTA'!F258</f>
        <v>1</v>
      </c>
      <c r="G258" s="168" t="n">
        <f aca="false">'VOL DWNLD'!G258+'VOL DELTA'!G258</f>
        <v>1</v>
      </c>
      <c r="H258" s="168" t="n">
        <f aca="false">'VOL DWNLD'!H258+'VOL DELTA'!H258</f>
        <v>1</v>
      </c>
      <c r="I258" s="168" t="n">
        <f aca="false">'VOL DWNLD'!I258+'VOL DELTA'!I258</f>
        <v>1</v>
      </c>
      <c r="J258" s="168" t="n">
        <f aca="false">'VOL DWNLD'!J258+'VOL DELTA'!J258</f>
        <v>1</v>
      </c>
      <c r="K258" s="168" t="n">
        <f aca="false">'VOL DWNLD'!K258+'VOL DELTA'!K258</f>
        <v>1</v>
      </c>
      <c r="L258" s="168" t="n">
        <f aca="false">'VOL DWNLD'!L258+'VOL DELTA'!L258</f>
        <v>1</v>
      </c>
      <c r="M258" s="168" t="n">
        <f aca="false">'VOL DWNLD'!M258+'VOL DELTA'!M258</f>
        <v>1</v>
      </c>
      <c r="N258" s="168" t="n">
        <f aca="false">'VOL DWNLD'!N258+'VOL DELTA'!N258</f>
        <v>1</v>
      </c>
      <c r="O258" s="168" t="n">
        <f aca="false">'VOL DWNLD'!O258+'VOL DELTA'!O258</f>
        <v>1</v>
      </c>
      <c r="P258" s="168" t="n">
        <f aca="false">'VOL DWNLD'!P258+'VOL DELTA'!P258</f>
        <v>1.03</v>
      </c>
      <c r="Q258" s="168" t="n">
        <f aca="false">'VOL DWNLD'!Q258+'VOL DELTA'!Q258</f>
        <v>1</v>
      </c>
      <c r="R258" s="168" t="n">
        <f aca="false">'VOL DWNLD'!R258+'VOL DELTA'!R258</f>
        <v>1</v>
      </c>
      <c r="S258" s="168" t="n">
        <f aca="false">'VOL DWNLD'!S258+'VOL DELTA'!S258</f>
        <v>1.02</v>
      </c>
      <c r="T258" s="168" t="n">
        <f aca="false">'VOL DWNLD'!T258+'VOL DELTA'!T258</f>
        <v>1</v>
      </c>
      <c r="U258" s="168" t="n">
        <f aca="false">'VOL DWNLD'!U258+'VOL DELTA'!U258</f>
        <v>1</v>
      </c>
      <c r="V258" s="168" t="n">
        <f aca="false">'VOL DWNLD'!V258+'VOL DELTA'!V258</f>
        <v>1</v>
      </c>
      <c r="W258" s="168" t="n">
        <f aca="false">'VOL DWNLD'!W258+'VOL DELTA'!W258</f>
        <v>1</v>
      </c>
      <c r="X258" s="168" t="n">
        <f aca="false">'VOL DWNLD'!X258+'VOL DELTA'!X258</f>
        <v>1</v>
      </c>
      <c r="Y258" s="168" t="n">
        <f aca="false">'VOL DWNLD'!Y258+'VOL DELTA'!Y258</f>
        <v>1</v>
      </c>
      <c r="Z258" s="168" t="n">
        <f aca="false">'VOL DWNLD'!Z258+'VOL DELTA'!Z258</f>
        <v>1</v>
      </c>
      <c r="AA258" s="168" t="n">
        <f aca="false">'VOL DWNLD'!AA258+'VOL DELTA'!AA258</f>
        <v>1</v>
      </c>
      <c r="AB258" s="168" t="n">
        <f aca="false">'VOL DWNLD'!AB258+'VOL DELTA'!AB258</f>
        <v>1</v>
      </c>
      <c r="AC258" s="168" t="n">
        <f aca="false">'VOL DWNLD'!AC258+'VOL DELTA'!AC258</f>
        <v>1</v>
      </c>
      <c r="AD258" s="168" t="n">
        <f aca="false">'VOL DWNLD'!AD258+'VOL DELTA'!AD258</f>
        <v>1</v>
      </c>
      <c r="AE258" s="168" t="n">
        <f aca="false">'VOL DWNLD'!AE258+'VOL DELTA'!AE258</f>
        <v>1</v>
      </c>
      <c r="AF258" s="168" t="n">
        <f aca="false">'VOL DWNLD'!AF258+'VOL DELTA'!AF258</f>
        <v>1.1</v>
      </c>
      <c r="AG258" s="168" t="n">
        <f aca="false">'VOL DWNLD'!AG258+'VOL DELTA'!AG258</f>
        <v>1.1</v>
      </c>
      <c r="AH258" s="168" t="n">
        <f aca="false">'VOL DWNLD'!AH258+'VOL DELTA'!AH258</f>
        <v>1.05</v>
      </c>
      <c r="AI258" s="168" t="n">
        <f aca="false">'VOL DWNLD'!AI258+'VOL DELTA'!AI258</f>
        <v>1</v>
      </c>
      <c r="AJ258" s="168" t="n">
        <f aca="false">'VOL DWNLD'!AJ258+'VOL DELTA'!AJ258</f>
        <v>1</v>
      </c>
      <c r="AK258" s="168" t="n">
        <f aca="false">'VOL DWNLD'!AK258+'VOL DELTA'!AK258</f>
        <v>1.02</v>
      </c>
      <c r="AL258" s="168" t="n">
        <f aca="false">'VOL DWNLD'!AL258+'VOL DELTA'!AL258</f>
        <v>1</v>
      </c>
      <c r="AM258" s="168" t="n">
        <f aca="false">'VOL DWNLD'!AM258+'VOL DELTA'!AM258</f>
        <v>1</v>
      </c>
      <c r="AN258" s="168" t="n">
        <f aca="false">'VOL DWNLD'!AN258+'VOL DELTA'!AN258</f>
        <v>1</v>
      </c>
      <c r="AO258" s="168" t="n">
        <f aca="false">'VOL DWNLD'!AO258+'VOL DELTA'!AO258</f>
        <v>1</v>
      </c>
    </row>
    <row r="259" customFormat="false" ht="12.75" hidden="false" customHeight="false" outlineLevel="0" collapsed="false">
      <c r="B259" s="168" t="n">
        <f aca="false">'VOL DWNLD'!B259+'VOL DELTA'!B259</f>
        <v>1</v>
      </c>
      <c r="C259" s="168" t="n">
        <f aca="false">'VOL DWNLD'!C259+'VOL DELTA'!C259</f>
        <v>1</v>
      </c>
      <c r="D259" s="168" t="n">
        <f aca="false">'VOL DWNLD'!D259+'VOL DELTA'!D259</f>
        <v>1</v>
      </c>
      <c r="E259" s="168" t="n">
        <f aca="false">'VOL DWNLD'!E259+'VOL DELTA'!E259</f>
        <v>1</v>
      </c>
      <c r="F259" s="168" t="n">
        <f aca="false">'VOL DWNLD'!F259+'VOL DELTA'!F259</f>
        <v>1</v>
      </c>
      <c r="G259" s="168" t="n">
        <f aca="false">'VOL DWNLD'!G259+'VOL DELTA'!G259</f>
        <v>1</v>
      </c>
      <c r="H259" s="168" t="n">
        <f aca="false">'VOL DWNLD'!H259+'VOL DELTA'!H259</f>
        <v>1</v>
      </c>
      <c r="I259" s="168" t="n">
        <f aca="false">'VOL DWNLD'!I259+'VOL DELTA'!I259</f>
        <v>1</v>
      </c>
      <c r="J259" s="168" t="n">
        <f aca="false">'VOL DWNLD'!J259+'VOL DELTA'!J259</f>
        <v>1</v>
      </c>
      <c r="K259" s="168" t="n">
        <f aca="false">'VOL DWNLD'!K259+'VOL DELTA'!K259</f>
        <v>1</v>
      </c>
      <c r="L259" s="168" t="n">
        <f aca="false">'VOL DWNLD'!L259+'VOL DELTA'!L259</f>
        <v>1</v>
      </c>
      <c r="M259" s="168" t="n">
        <f aca="false">'VOL DWNLD'!M259+'VOL DELTA'!M259</f>
        <v>1</v>
      </c>
      <c r="N259" s="168" t="n">
        <f aca="false">'VOL DWNLD'!N259+'VOL DELTA'!N259</f>
        <v>1</v>
      </c>
      <c r="O259" s="168" t="n">
        <f aca="false">'VOL DWNLD'!O259+'VOL DELTA'!O259</f>
        <v>1</v>
      </c>
      <c r="P259" s="168" t="n">
        <f aca="false">'VOL DWNLD'!P259+'VOL DELTA'!P259</f>
        <v>1.03</v>
      </c>
      <c r="Q259" s="168" t="n">
        <f aca="false">'VOL DWNLD'!Q259+'VOL DELTA'!Q259</f>
        <v>1</v>
      </c>
      <c r="R259" s="168" t="n">
        <f aca="false">'VOL DWNLD'!R259+'VOL DELTA'!R259</f>
        <v>1</v>
      </c>
      <c r="S259" s="168" t="n">
        <f aca="false">'VOL DWNLD'!S259+'VOL DELTA'!S259</f>
        <v>1.02</v>
      </c>
      <c r="T259" s="168" t="n">
        <f aca="false">'VOL DWNLD'!T259+'VOL DELTA'!T259</f>
        <v>1</v>
      </c>
      <c r="U259" s="168" t="n">
        <f aca="false">'VOL DWNLD'!U259+'VOL DELTA'!U259</f>
        <v>1</v>
      </c>
      <c r="V259" s="168" t="n">
        <f aca="false">'VOL DWNLD'!V259+'VOL DELTA'!V259</f>
        <v>1</v>
      </c>
      <c r="W259" s="168" t="n">
        <f aca="false">'VOL DWNLD'!W259+'VOL DELTA'!W259</f>
        <v>1</v>
      </c>
      <c r="X259" s="168" t="n">
        <f aca="false">'VOL DWNLD'!X259+'VOL DELTA'!X259</f>
        <v>1</v>
      </c>
      <c r="Y259" s="168" t="n">
        <f aca="false">'VOL DWNLD'!Y259+'VOL DELTA'!Y259</f>
        <v>1</v>
      </c>
      <c r="Z259" s="168" t="n">
        <f aca="false">'VOL DWNLD'!Z259+'VOL DELTA'!Z259</f>
        <v>1</v>
      </c>
      <c r="AA259" s="168" t="n">
        <f aca="false">'VOL DWNLD'!AA259+'VOL DELTA'!AA259</f>
        <v>1</v>
      </c>
      <c r="AB259" s="168" t="n">
        <f aca="false">'VOL DWNLD'!AB259+'VOL DELTA'!AB259</f>
        <v>1</v>
      </c>
      <c r="AC259" s="168" t="n">
        <f aca="false">'VOL DWNLD'!AC259+'VOL DELTA'!AC259</f>
        <v>1</v>
      </c>
      <c r="AD259" s="168" t="n">
        <f aca="false">'VOL DWNLD'!AD259+'VOL DELTA'!AD259</f>
        <v>1</v>
      </c>
      <c r="AE259" s="168" t="n">
        <f aca="false">'VOL DWNLD'!AE259+'VOL DELTA'!AE259</f>
        <v>1</v>
      </c>
      <c r="AF259" s="168" t="n">
        <f aca="false">'VOL DWNLD'!AF259+'VOL DELTA'!AF259</f>
        <v>1.1</v>
      </c>
      <c r="AG259" s="168" t="n">
        <f aca="false">'VOL DWNLD'!AG259+'VOL DELTA'!AG259</f>
        <v>1.1</v>
      </c>
      <c r="AH259" s="168" t="n">
        <f aca="false">'VOL DWNLD'!AH259+'VOL DELTA'!AH259</f>
        <v>1.05</v>
      </c>
      <c r="AI259" s="168" t="n">
        <f aca="false">'VOL DWNLD'!AI259+'VOL DELTA'!AI259</f>
        <v>1</v>
      </c>
      <c r="AJ259" s="168" t="n">
        <f aca="false">'VOL DWNLD'!AJ259+'VOL DELTA'!AJ259</f>
        <v>1</v>
      </c>
      <c r="AK259" s="168" t="n">
        <f aca="false">'VOL DWNLD'!AK259+'VOL DELTA'!AK259</f>
        <v>1.02</v>
      </c>
      <c r="AL259" s="168" t="n">
        <f aca="false">'VOL DWNLD'!AL259+'VOL DELTA'!AL259</f>
        <v>1</v>
      </c>
      <c r="AM259" s="168" t="n">
        <f aca="false">'VOL DWNLD'!AM259+'VOL DELTA'!AM259</f>
        <v>1</v>
      </c>
      <c r="AN259" s="168" t="n">
        <f aca="false">'VOL DWNLD'!AN259+'VOL DELTA'!AN259</f>
        <v>1</v>
      </c>
      <c r="AO259" s="168" t="n">
        <f aca="false">'VOL DWNLD'!AO259+'VOL DELTA'!AO259</f>
        <v>1</v>
      </c>
    </row>
    <row r="260" customFormat="false" ht="12.75" hidden="false" customHeight="false" outlineLevel="0" collapsed="false">
      <c r="B260" s="168" t="n">
        <f aca="false">'VOL DWNLD'!B260+'VOL DELTA'!B260</f>
        <v>1</v>
      </c>
      <c r="C260" s="168" t="n">
        <f aca="false">'VOL DWNLD'!C260+'VOL DELTA'!C260</f>
        <v>1</v>
      </c>
      <c r="D260" s="168" t="n">
        <f aca="false">'VOL DWNLD'!D260+'VOL DELTA'!D260</f>
        <v>1</v>
      </c>
      <c r="E260" s="168" t="n">
        <f aca="false">'VOL DWNLD'!E260+'VOL DELTA'!E260</f>
        <v>1</v>
      </c>
      <c r="F260" s="168" t="n">
        <f aca="false">'VOL DWNLD'!F260+'VOL DELTA'!F260</f>
        <v>1</v>
      </c>
      <c r="G260" s="168" t="n">
        <f aca="false">'VOL DWNLD'!G260+'VOL DELTA'!G260</f>
        <v>1</v>
      </c>
      <c r="H260" s="168" t="n">
        <f aca="false">'VOL DWNLD'!H260+'VOL DELTA'!H260</f>
        <v>1</v>
      </c>
      <c r="I260" s="168" t="n">
        <f aca="false">'VOL DWNLD'!I260+'VOL DELTA'!I260</f>
        <v>1</v>
      </c>
      <c r="J260" s="168" t="n">
        <f aca="false">'VOL DWNLD'!J260+'VOL DELTA'!J260</f>
        <v>1</v>
      </c>
      <c r="K260" s="168" t="n">
        <f aca="false">'VOL DWNLD'!K260+'VOL DELTA'!K260</f>
        <v>1</v>
      </c>
      <c r="L260" s="168" t="n">
        <f aca="false">'VOL DWNLD'!L260+'VOL DELTA'!L260</f>
        <v>1</v>
      </c>
      <c r="M260" s="168" t="n">
        <f aca="false">'VOL DWNLD'!M260+'VOL DELTA'!M260</f>
        <v>1</v>
      </c>
      <c r="N260" s="168" t="n">
        <f aca="false">'VOL DWNLD'!N260+'VOL DELTA'!N260</f>
        <v>1</v>
      </c>
      <c r="O260" s="168" t="n">
        <f aca="false">'VOL DWNLD'!O260+'VOL DELTA'!O260</f>
        <v>1</v>
      </c>
      <c r="P260" s="168" t="n">
        <f aca="false">'VOL DWNLD'!P260+'VOL DELTA'!P260</f>
        <v>1.03</v>
      </c>
      <c r="Q260" s="168" t="n">
        <f aca="false">'VOL DWNLD'!Q260+'VOL DELTA'!Q260</f>
        <v>1</v>
      </c>
      <c r="R260" s="168" t="n">
        <f aca="false">'VOL DWNLD'!R260+'VOL DELTA'!R260</f>
        <v>1</v>
      </c>
      <c r="S260" s="168" t="n">
        <f aca="false">'VOL DWNLD'!S260+'VOL DELTA'!S260</f>
        <v>1.02</v>
      </c>
      <c r="T260" s="168" t="n">
        <f aca="false">'VOL DWNLD'!T260+'VOL DELTA'!T260</f>
        <v>1</v>
      </c>
      <c r="U260" s="168" t="n">
        <f aca="false">'VOL DWNLD'!U260+'VOL DELTA'!U260</f>
        <v>1</v>
      </c>
      <c r="V260" s="168" t="n">
        <f aca="false">'VOL DWNLD'!V260+'VOL DELTA'!V260</f>
        <v>1</v>
      </c>
      <c r="W260" s="168" t="n">
        <f aca="false">'VOL DWNLD'!W260+'VOL DELTA'!W260</f>
        <v>1</v>
      </c>
      <c r="X260" s="168" t="n">
        <f aca="false">'VOL DWNLD'!X260+'VOL DELTA'!X260</f>
        <v>1</v>
      </c>
      <c r="Y260" s="168" t="n">
        <f aca="false">'VOL DWNLD'!Y260+'VOL DELTA'!Y260</f>
        <v>1</v>
      </c>
      <c r="Z260" s="168" t="n">
        <f aca="false">'VOL DWNLD'!Z260+'VOL DELTA'!Z260</f>
        <v>1</v>
      </c>
      <c r="AA260" s="168" t="n">
        <f aca="false">'VOL DWNLD'!AA260+'VOL DELTA'!AA260</f>
        <v>1</v>
      </c>
      <c r="AB260" s="168" t="n">
        <f aca="false">'VOL DWNLD'!AB260+'VOL DELTA'!AB260</f>
        <v>1</v>
      </c>
      <c r="AC260" s="168" t="n">
        <f aca="false">'VOL DWNLD'!AC260+'VOL DELTA'!AC260</f>
        <v>1</v>
      </c>
      <c r="AD260" s="168" t="n">
        <f aca="false">'VOL DWNLD'!AD260+'VOL DELTA'!AD260</f>
        <v>1</v>
      </c>
      <c r="AE260" s="168" t="n">
        <f aca="false">'VOL DWNLD'!AE260+'VOL DELTA'!AE260</f>
        <v>1</v>
      </c>
      <c r="AF260" s="168" t="n">
        <f aca="false">'VOL DWNLD'!AF260+'VOL DELTA'!AF260</f>
        <v>1.1</v>
      </c>
      <c r="AG260" s="168" t="n">
        <f aca="false">'VOL DWNLD'!AG260+'VOL DELTA'!AG260</f>
        <v>1.1</v>
      </c>
      <c r="AH260" s="168" t="n">
        <f aca="false">'VOL DWNLD'!AH260+'VOL DELTA'!AH260</f>
        <v>1.05</v>
      </c>
      <c r="AI260" s="168" t="n">
        <f aca="false">'VOL DWNLD'!AI260+'VOL DELTA'!AI260</f>
        <v>1</v>
      </c>
      <c r="AJ260" s="168" t="n">
        <f aca="false">'VOL DWNLD'!AJ260+'VOL DELTA'!AJ260</f>
        <v>1</v>
      </c>
      <c r="AK260" s="168" t="n">
        <f aca="false">'VOL DWNLD'!AK260+'VOL DELTA'!AK260</f>
        <v>1.02</v>
      </c>
      <c r="AL260" s="168" t="n">
        <f aca="false">'VOL DWNLD'!AL260+'VOL DELTA'!AL260</f>
        <v>1</v>
      </c>
      <c r="AM260" s="168" t="n">
        <f aca="false">'VOL DWNLD'!AM260+'VOL DELTA'!AM260</f>
        <v>1</v>
      </c>
      <c r="AN260" s="168" t="n">
        <f aca="false">'VOL DWNLD'!AN260+'VOL DELTA'!AN260</f>
        <v>1</v>
      </c>
      <c r="AO260" s="168" t="n">
        <f aca="false">'VOL DWNLD'!AO260+'VOL DELTA'!AO260</f>
        <v>1</v>
      </c>
    </row>
    <row r="261" customFormat="false" ht="12.75" hidden="false" customHeight="false" outlineLevel="0" collapsed="false">
      <c r="B261" s="168" t="n">
        <f aca="false">'VOL DWNLD'!B261+'VOL DELTA'!B261</f>
        <v>1</v>
      </c>
      <c r="C261" s="168" t="n">
        <f aca="false">'VOL DWNLD'!C261+'VOL DELTA'!C261</f>
        <v>1</v>
      </c>
      <c r="D261" s="168" t="n">
        <f aca="false">'VOL DWNLD'!D261+'VOL DELTA'!D261</f>
        <v>1</v>
      </c>
      <c r="E261" s="168" t="n">
        <f aca="false">'VOL DWNLD'!E261+'VOL DELTA'!E261</f>
        <v>1</v>
      </c>
      <c r="F261" s="168" t="n">
        <f aca="false">'VOL DWNLD'!F261+'VOL DELTA'!F261</f>
        <v>1</v>
      </c>
      <c r="G261" s="168" t="n">
        <f aca="false">'VOL DWNLD'!G261+'VOL DELTA'!G261</f>
        <v>1</v>
      </c>
      <c r="H261" s="168" t="n">
        <f aca="false">'VOL DWNLD'!H261+'VOL DELTA'!H261</f>
        <v>1</v>
      </c>
      <c r="I261" s="168" t="n">
        <f aca="false">'VOL DWNLD'!I261+'VOL DELTA'!I261</f>
        <v>1</v>
      </c>
      <c r="J261" s="168" t="n">
        <f aca="false">'VOL DWNLD'!J261+'VOL DELTA'!J261</f>
        <v>1</v>
      </c>
      <c r="K261" s="168" t="n">
        <f aca="false">'VOL DWNLD'!K261+'VOL DELTA'!K261</f>
        <v>1</v>
      </c>
      <c r="L261" s="168" t="n">
        <f aca="false">'VOL DWNLD'!L261+'VOL DELTA'!L261</f>
        <v>1</v>
      </c>
      <c r="M261" s="168" t="n">
        <f aca="false">'VOL DWNLD'!M261+'VOL DELTA'!M261</f>
        <v>1</v>
      </c>
      <c r="N261" s="168" t="n">
        <f aca="false">'VOL DWNLD'!N261+'VOL DELTA'!N261</f>
        <v>1</v>
      </c>
      <c r="O261" s="168" t="n">
        <f aca="false">'VOL DWNLD'!O261+'VOL DELTA'!O261</f>
        <v>1</v>
      </c>
      <c r="P261" s="168" t="n">
        <f aca="false">'VOL DWNLD'!P261+'VOL DELTA'!P261</f>
        <v>1.03</v>
      </c>
      <c r="Q261" s="168" t="n">
        <f aca="false">'VOL DWNLD'!Q261+'VOL DELTA'!Q261</f>
        <v>1</v>
      </c>
      <c r="R261" s="168" t="n">
        <f aca="false">'VOL DWNLD'!R261+'VOL DELTA'!R261</f>
        <v>1</v>
      </c>
      <c r="S261" s="168" t="n">
        <f aca="false">'VOL DWNLD'!S261+'VOL DELTA'!S261</f>
        <v>1.02</v>
      </c>
      <c r="T261" s="168" t="n">
        <f aca="false">'VOL DWNLD'!T261+'VOL DELTA'!T261</f>
        <v>1</v>
      </c>
      <c r="U261" s="168" t="n">
        <f aca="false">'VOL DWNLD'!U261+'VOL DELTA'!U261</f>
        <v>1</v>
      </c>
      <c r="V261" s="168" t="n">
        <f aca="false">'VOL DWNLD'!V261+'VOL DELTA'!V261</f>
        <v>1</v>
      </c>
      <c r="W261" s="168" t="n">
        <f aca="false">'VOL DWNLD'!W261+'VOL DELTA'!W261</f>
        <v>1</v>
      </c>
      <c r="X261" s="168" t="n">
        <f aca="false">'VOL DWNLD'!X261+'VOL DELTA'!X261</f>
        <v>1</v>
      </c>
      <c r="Y261" s="168" t="n">
        <f aca="false">'VOL DWNLD'!Y261+'VOL DELTA'!Y261</f>
        <v>1</v>
      </c>
      <c r="Z261" s="168" t="n">
        <f aca="false">'VOL DWNLD'!Z261+'VOL DELTA'!Z261</f>
        <v>1</v>
      </c>
      <c r="AA261" s="168" t="n">
        <f aca="false">'VOL DWNLD'!AA261+'VOL DELTA'!AA261</f>
        <v>1</v>
      </c>
      <c r="AB261" s="168" t="n">
        <f aca="false">'VOL DWNLD'!AB261+'VOL DELTA'!AB261</f>
        <v>1</v>
      </c>
      <c r="AC261" s="168" t="n">
        <f aca="false">'VOL DWNLD'!AC261+'VOL DELTA'!AC261</f>
        <v>1</v>
      </c>
      <c r="AD261" s="168" t="n">
        <f aca="false">'VOL DWNLD'!AD261+'VOL DELTA'!AD261</f>
        <v>1</v>
      </c>
      <c r="AE261" s="168" t="n">
        <f aca="false">'VOL DWNLD'!AE261+'VOL DELTA'!AE261</f>
        <v>1</v>
      </c>
      <c r="AF261" s="168" t="n">
        <f aca="false">'VOL DWNLD'!AF261+'VOL DELTA'!AF261</f>
        <v>1.1</v>
      </c>
      <c r="AG261" s="168" t="n">
        <f aca="false">'VOL DWNLD'!AG261+'VOL DELTA'!AG261</f>
        <v>1.1</v>
      </c>
      <c r="AH261" s="168" t="n">
        <f aca="false">'VOL DWNLD'!AH261+'VOL DELTA'!AH261</f>
        <v>1.05</v>
      </c>
      <c r="AI261" s="168" t="n">
        <f aca="false">'VOL DWNLD'!AI261+'VOL DELTA'!AI261</f>
        <v>1</v>
      </c>
      <c r="AJ261" s="168" t="n">
        <f aca="false">'VOL DWNLD'!AJ261+'VOL DELTA'!AJ261</f>
        <v>1</v>
      </c>
      <c r="AK261" s="168" t="n">
        <f aca="false">'VOL DWNLD'!AK261+'VOL DELTA'!AK261</f>
        <v>1.02</v>
      </c>
      <c r="AL261" s="168" t="n">
        <f aca="false">'VOL DWNLD'!AL261+'VOL DELTA'!AL261</f>
        <v>1</v>
      </c>
      <c r="AM261" s="168" t="n">
        <f aca="false">'VOL DWNLD'!AM261+'VOL DELTA'!AM261</f>
        <v>1</v>
      </c>
      <c r="AN261" s="168" t="n">
        <f aca="false">'VOL DWNLD'!AN261+'VOL DELTA'!AN261</f>
        <v>1</v>
      </c>
      <c r="AO261" s="168" t="n">
        <f aca="false">'VOL DWNLD'!AO261+'VOL DELTA'!AO261</f>
        <v>1</v>
      </c>
    </row>
    <row r="262" customFormat="false" ht="12.75" hidden="false" customHeight="false" outlineLevel="0" collapsed="false">
      <c r="B262" s="168" t="n">
        <f aca="false">'VOL DWNLD'!B262+'VOL DELTA'!B262</f>
        <v>1</v>
      </c>
      <c r="C262" s="168" t="n">
        <f aca="false">'VOL DWNLD'!C262+'VOL DELTA'!C262</f>
        <v>1</v>
      </c>
      <c r="D262" s="168" t="n">
        <f aca="false">'VOL DWNLD'!D262+'VOL DELTA'!D262</f>
        <v>1</v>
      </c>
      <c r="E262" s="168" t="n">
        <f aca="false">'VOL DWNLD'!E262+'VOL DELTA'!E262</f>
        <v>1</v>
      </c>
      <c r="F262" s="168" t="n">
        <f aca="false">'VOL DWNLD'!F262+'VOL DELTA'!F262</f>
        <v>1</v>
      </c>
      <c r="G262" s="168" t="n">
        <f aca="false">'VOL DWNLD'!G262+'VOL DELTA'!G262</f>
        <v>1</v>
      </c>
      <c r="H262" s="168" t="n">
        <f aca="false">'VOL DWNLD'!H262+'VOL DELTA'!H262</f>
        <v>1</v>
      </c>
      <c r="I262" s="168" t="n">
        <f aca="false">'VOL DWNLD'!I262+'VOL DELTA'!I262</f>
        <v>1</v>
      </c>
      <c r="J262" s="168" t="n">
        <f aca="false">'VOL DWNLD'!J262+'VOL DELTA'!J262</f>
        <v>1</v>
      </c>
      <c r="K262" s="168" t="n">
        <f aca="false">'VOL DWNLD'!K262+'VOL DELTA'!K262</f>
        <v>1</v>
      </c>
      <c r="L262" s="168" t="n">
        <f aca="false">'VOL DWNLD'!L262+'VOL DELTA'!L262</f>
        <v>1</v>
      </c>
      <c r="M262" s="168" t="n">
        <f aca="false">'VOL DWNLD'!M262+'VOL DELTA'!M262</f>
        <v>1</v>
      </c>
      <c r="N262" s="168" t="n">
        <f aca="false">'VOL DWNLD'!N262+'VOL DELTA'!N262</f>
        <v>1</v>
      </c>
      <c r="O262" s="168" t="n">
        <f aca="false">'VOL DWNLD'!O262+'VOL DELTA'!O262</f>
        <v>1</v>
      </c>
      <c r="P262" s="168" t="n">
        <f aca="false">'VOL DWNLD'!P262+'VOL DELTA'!P262</f>
        <v>1.03</v>
      </c>
      <c r="Q262" s="168" t="n">
        <f aca="false">'VOL DWNLD'!Q262+'VOL DELTA'!Q262</f>
        <v>1</v>
      </c>
      <c r="R262" s="168" t="n">
        <f aca="false">'VOL DWNLD'!R262+'VOL DELTA'!R262</f>
        <v>1</v>
      </c>
      <c r="S262" s="168" t="n">
        <f aca="false">'VOL DWNLD'!S262+'VOL DELTA'!S262</f>
        <v>1.02</v>
      </c>
      <c r="T262" s="168" t="n">
        <f aca="false">'VOL DWNLD'!T262+'VOL DELTA'!T262</f>
        <v>1</v>
      </c>
      <c r="U262" s="168" t="n">
        <f aca="false">'VOL DWNLD'!U262+'VOL DELTA'!U262</f>
        <v>1</v>
      </c>
      <c r="V262" s="168" t="n">
        <f aca="false">'VOL DWNLD'!V262+'VOL DELTA'!V262</f>
        <v>1</v>
      </c>
      <c r="W262" s="168" t="n">
        <f aca="false">'VOL DWNLD'!W262+'VOL DELTA'!W262</f>
        <v>1</v>
      </c>
      <c r="X262" s="168" t="n">
        <f aca="false">'VOL DWNLD'!X262+'VOL DELTA'!X262</f>
        <v>1</v>
      </c>
      <c r="Y262" s="168" t="n">
        <f aca="false">'VOL DWNLD'!Y262+'VOL DELTA'!Y262</f>
        <v>1.02</v>
      </c>
      <c r="Z262" s="168" t="n">
        <f aca="false">'VOL DWNLD'!Z262+'VOL DELTA'!Z262</f>
        <v>1</v>
      </c>
      <c r="AA262" s="168" t="n">
        <f aca="false">'VOL DWNLD'!AA262+'VOL DELTA'!AA262</f>
        <v>1</v>
      </c>
      <c r="AB262" s="168" t="n">
        <f aca="false">'VOL DWNLD'!AB262+'VOL DELTA'!AB262</f>
        <v>1</v>
      </c>
      <c r="AC262" s="168" t="n">
        <f aca="false">'VOL DWNLD'!AC262+'VOL DELTA'!AC262</f>
        <v>1</v>
      </c>
      <c r="AD262" s="168" t="n">
        <f aca="false">'VOL DWNLD'!AD262+'VOL DELTA'!AD262</f>
        <v>0.98</v>
      </c>
      <c r="AE262" s="168" t="n">
        <f aca="false">'VOL DWNLD'!AE262+'VOL DELTA'!AE262</f>
        <v>0.98</v>
      </c>
      <c r="AF262" s="168" t="n">
        <f aca="false">'VOL DWNLD'!AF262+'VOL DELTA'!AF262</f>
        <v>0.98</v>
      </c>
      <c r="AG262" s="168" t="n">
        <f aca="false">'VOL DWNLD'!AG262+'VOL DELTA'!AG262</f>
        <v>0.98</v>
      </c>
      <c r="AH262" s="168" t="n">
        <f aca="false">'VOL DWNLD'!AH262+'VOL DELTA'!AH262</f>
        <v>1.05</v>
      </c>
      <c r="AI262" s="168" t="n">
        <f aca="false">'VOL DWNLD'!AI262+'VOL DELTA'!AI262</f>
        <v>1</v>
      </c>
      <c r="AJ262" s="168" t="n">
        <f aca="false">'VOL DWNLD'!AJ262+'VOL DELTA'!AJ262</f>
        <v>1</v>
      </c>
      <c r="AK262" s="168" t="n">
        <f aca="false">'VOL DWNLD'!AK262+'VOL DELTA'!AK262</f>
        <v>1.02</v>
      </c>
      <c r="AL262" s="168" t="n">
        <f aca="false">'VOL DWNLD'!AL262+'VOL DELTA'!AL262</f>
        <v>1</v>
      </c>
      <c r="AM262" s="168" t="n">
        <f aca="false">'VOL DWNLD'!AM262+'VOL DELTA'!AM262</f>
        <v>1</v>
      </c>
      <c r="AN262" s="168" t="n">
        <f aca="false">'VOL DWNLD'!AN262+'VOL DELTA'!AN262</f>
        <v>1</v>
      </c>
      <c r="AO262" s="168" t="n">
        <f aca="false">'VOL DWNLD'!AO262+'VOL DELTA'!AO262</f>
        <v>1</v>
      </c>
    </row>
    <row r="263" customFormat="false" ht="12.75" hidden="false" customHeight="false" outlineLevel="0" collapsed="false">
      <c r="B263" s="168" t="n">
        <f aca="false">'VOL DWNLD'!B263+'VOL DELTA'!B263</f>
        <v>1</v>
      </c>
      <c r="C263" s="168" t="n">
        <f aca="false">'VOL DWNLD'!C263+'VOL DELTA'!C263</f>
        <v>1</v>
      </c>
      <c r="D263" s="168" t="n">
        <f aca="false">'VOL DWNLD'!D263+'VOL DELTA'!D263</f>
        <v>1</v>
      </c>
      <c r="E263" s="168" t="n">
        <f aca="false">'VOL DWNLD'!E263+'VOL DELTA'!E263</f>
        <v>1</v>
      </c>
      <c r="F263" s="168" t="n">
        <f aca="false">'VOL DWNLD'!F263+'VOL DELTA'!F263</f>
        <v>1</v>
      </c>
      <c r="G263" s="168" t="n">
        <f aca="false">'VOL DWNLD'!G263+'VOL DELTA'!G263</f>
        <v>1</v>
      </c>
      <c r="H263" s="168" t="n">
        <f aca="false">'VOL DWNLD'!H263+'VOL DELTA'!H263</f>
        <v>1</v>
      </c>
      <c r="I263" s="168" t="n">
        <f aca="false">'VOL DWNLD'!I263+'VOL DELTA'!I263</f>
        <v>1</v>
      </c>
      <c r="J263" s="168" t="n">
        <f aca="false">'VOL DWNLD'!J263+'VOL DELTA'!J263</f>
        <v>1</v>
      </c>
      <c r="K263" s="168" t="n">
        <f aca="false">'VOL DWNLD'!K263+'VOL DELTA'!K263</f>
        <v>1</v>
      </c>
      <c r="L263" s="168" t="n">
        <f aca="false">'VOL DWNLD'!L263+'VOL DELTA'!L263</f>
        <v>1</v>
      </c>
      <c r="M263" s="168" t="n">
        <f aca="false">'VOL DWNLD'!M263+'VOL DELTA'!M263</f>
        <v>1</v>
      </c>
      <c r="N263" s="168" t="n">
        <f aca="false">'VOL DWNLD'!N263+'VOL DELTA'!N263</f>
        <v>1</v>
      </c>
      <c r="O263" s="168" t="n">
        <f aca="false">'VOL DWNLD'!O263+'VOL DELTA'!O263</f>
        <v>1</v>
      </c>
      <c r="P263" s="168" t="n">
        <f aca="false">'VOL DWNLD'!P263+'VOL DELTA'!P263</f>
        <v>1.03</v>
      </c>
      <c r="Q263" s="168" t="n">
        <f aca="false">'VOL DWNLD'!Q263+'VOL DELTA'!Q263</f>
        <v>1</v>
      </c>
      <c r="R263" s="168" t="n">
        <f aca="false">'VOL DWNLD'!R263+'VOL DELTA'!R263</f>
        <v>1</v>
      </c>
      <c r="S263" s="168" t="n">
        <f aca="false">'VOL DWNLD'!S263+'VOL DELTA'!S263</f>
        <v>1.02</v>
      </c>
      <c r="T263" s="168" t="n">
        <f aca="false">'VOL DWNLD'!T263+'VOL DELTA'!T263</f>
        <v>1</v>
      </c>
      <c r="U263" s="168" t="n">
        <f aca="false">'VOL DWNLD'!U263+'VOL DELTA'!U263</f>
        <v>1</v>
      </c>
      <c r="V263" s="168" t="n">
        <f aca="false">'VOL DWNLD'!V263+'VOL DELTA'!V263</f>
        <v>1</v>
      </c>
      <c r="W263" s="168" t="n">
        <f aca="false">'VOL DWNLD'!W263+'VOL DELTA'!W263</f>
        <v>1</v>
      </c>
      <c r="X263" s="168" t="n">
        <f aca="false">'VOL DWNLD'!X263+'VOL DELTA'!X263</f>
        <v>1</v>
      </c>
      <c r="Y263" s="168" t="n">
        <f aca="false">'VOL DWNLD'!Y263+'VOL DELTA'!Y263</f>
        <v>1.02</v>
      </c>
      <c r="Z263" s="168" t="n">
        <f aca="false">'VOL DWNLD'!Z263+'VOL DELTA'!Z263</f>
        <v>1</v>
      </c>
      <c r="AA263" s="168" t="n">
        <f aca="false">'VOL DWNLD'!AA263+'VOL DELTA'!AA263</f>
        <v>1</v>
      </c>
      <c r="AB263" s="168" t="n">
        <f aca="false">'VOL DWNLD'!AB263+'VOL DELTA'!AB263</f>
        <v>1</v>
      </c>
      <c r="AC263" s="168" t="n">
        <f aca="false">'VOL DWNLD'!AC263+'VOL DELTA'!AC263</f>
        <v>1</v>
      </c>
      <c r="AD263" s="168" t="n">
        <f aca="false">'VOL DWNLD'!AD263+'VOL DELTA'!AD263</f>
        <v>0.98</v>
      </c>
      <c r="AE263" s="168" t="n">
        <f aca="false">'VOL DWNLD'!AE263+'VOL DELTA'!AE263</f>
        <v>0.98</v>
      </c>
      <c r="AF263" s="168" t="n">
        <f aca="false">'VOL DWNLD'!AF263+'VOL DELTA'!AF263</f>
        <v>0.98</v>
      </c>
      <c r="AG263" s="168" t="n">
        <f aca="false">'VOL DWNLD'!AG263+'VOL DELTA'!AG263</f>
        <v>0.98</v>
      </c>
      <c r="AH263" s="168" t="n">
        <f aca="false">'VOL DWNLD'!AH263+'VOL DELTA'!AH263</f>
        <v>1.05</v>
      </c>
      <c r="AI263" s="168" t="n">
        <f aca="false">'VOL DWNLD'!AI263+'VOL DELTA'!AI263</f>
        <v>1</v>
      </c>
      <c r="AJ263" s="168" t="n">
        <f aca="false">'VOL DWNLD'!AJ263+'VOL DELTA'!AJ263</f>
        <v>1</v>
      </c>
      <c r="AK263" s="168" t="n">
        <f aca="false">'VOL DWNLD'!AK263+'VOL DELTA'!AK263</f>
        <v>1.02</v>
      </c>
      <c r="AL263" s="168" t="n">
        <f aca="false">'VOL DWNLD'!AL263+'VOL DELTA'!AL263</f>
        <v>1</v>
      </c>
      <c r="AM263" s="168" t="n">
        <f aca="false">'VOL DWNLD'!AM263+'VOL DELTA'!AM263</f>
        <v>1</v>
      </c>
      <c r="AN263" s="168" t="n">
        <f aca="false">'VOL DWNLD'!AN263+'VOL DELTA'!AN263</f>
        <v>1</v>
      </c>
      <c r="AO263" s="168" t="n">
        <f aca="false">'VOL DWNLD'!AO263+'VOL DELTA'!AO263</f>
        <v>1</v>
      </c>
    </row>
    <row r="264" customFormat="false" ht="12.75" hidden="false" customHeight="false" outlineLevel="0" collapsed="false">
      <c r="B264" s="168" t="n">
        <f aca="false">'VOL DWNLD'!B264+'VOL DELTA'!B264</f>
        <v>1</v>
      </c>
      <c r="C264" s="168" t="n">
        <f aca="false">'VOL DWNLD'!C264+'VOL DELTA'!C264</f>
        <v>1</v>
      </c>
      <c r="D264" s="168" t="n">
        <f aca="false">'VOL DWNLD'!D264+'VOL DELTA'!D264</f>
        <v>1</v>
      </c>
      <c r="E264" s="168" t="n">
        <f aca="false">'VOL DWNLD'!E264+'VOL DELTA'!E264</f>
        <v>1</v>
      </c>
      <c r="F264" s="168" t="n">
        <f aca="false">'VOL DWNLD'!F264+'VOL DELTA'!F264</f>
        <v>1</v>
      </c>
      <c r="G264" s="168" t="n">
        <f aca="false">'VOL DWNLD'!G264+'VOL DELTA'!G264</f>
        <v>1</v>
      </c>
      <c r="H264" s="168" t="n">
        <f aca="false">'VOL DWNLD'!H264+'VOL DELTA'!H264</f>
        <v>1</v>
      </c>
      <c r="I264" s="168" t="n">
        <f aca="false">'VOL DWNLD'!I264+'VOL DELTA'!I264</f>
        <v>1</v>
      </c>
      <c r="J264" s="168" t="n">
        <f aca="false">'VOL DWNLD'!J264+'VOL DELTA'!J264</f>
        <v>1</v>
      </c>
      <c r="K264" s="168" t="n">
        <f aca="false">'VOL DWNLD'!K264+'VOL DELTA'!K264</f>
        <v>1</v>
      </c>
      <c r="L264" s="168" t="n">
        <f aca="false">'VOL DWNLD'!L264+'VOL DELTA'!L264</f>
        <v>1</v>
      </c>
      <c r="M264" s="168" t="n">
        <f aca="false">'VOL DWNLD'!M264+'VOL DELTA'!M264</f>
        <v>1</v>
      </c>
      <c r="N264" s="168" t="n">
        <f aca="false">'VOL DWNLD'!N264+'VOL DELTA'!N264</f>
        <v>1</v>
      </c>
      <c r="O264" s="168" t="n">
        <f aca="false">'VOL DWNLD'!O264+'VOL DELTA'!O264</f>
        <v>1</v>
      </c>
      <c r="P264" s="168" t="n">
        <f aca="false">'VOL DWNLD'!P264+'VOL DELTA'!P264</f>
        <v>1.03</v>
      </c>
      <c r="Q264" s="168" t="n">
        <f aca="false">'VOL DWNLD'!Q264+'VOL DELTA'!Q264</f>
        <v>1</v>
      </c>
      <c r="R264" s="168" t="n">
        <f aca="false">'VOL DWNLD'!R264+'VOL DELTA'!R264</f>
        <v>1</v>
      </c>
      <c r="S264" s="168" t="n">
        <f aca="false">'VOL DWNLD'!S264+'VOL DELTA'!S264</f>
        <v>1.02</v>
      </c>
      <c r="T264" s="168" t="n">
        <f aca="false">'VOL DWNLD'!T264+'VOL DELTA'!T264</f>
        <v>1</v>
      </c>
      <c r="U264" s="168" t="n">
        <f aca="false">'VOL DWNLD'!U264+'VOL DELTA'!U264</f>
        <v>1</v>
      </c>
      <c r="V264" s="168" t="n">
        <f aca="false">'VOL DWNLD'!V264+'VOL DELTA'!V264</f>
        <v>1</v>
      </c>
      <c r="W264" s="168" t="n">
        <f aca="false">'VOL DWNLD'!W264+'VOL DELTA'!W264</f>
        <v>1</v>
      </c>
      <c r="X264" s="168" t="n">
        <f aca="false">'VOL DWNLD'!X264+'VOL DELTA'!X264</f>
        <v>1</v>
      </c>
      <c r="Y264" s="168" t="n">
        <f aca="false">'VOL DWNLD'!Y264+'VOL DELTA'!Y264</f>
        <v>1.02</v>
      </c>
      <c r="Z264" s="168" t="n">
        <f aca="false">'VOL DWNLD'!Z264+'VOL DELTA'!Z264</f>
        <v>1</v>
      </c>
      <c r="AA264" s="168" t="n">
        <f aca="false">'VOL DWNLD'!AA264+'VOL DELTA'!AA264</f>
        <v>1</v>
      </c>
      <c r="AB264" s="168" t="n">
        <f aca="false">'VOL DWNLD'!AB264+'VOL DELTA'!AB264</f>
        <v>1</v>
      </c>
      <c r="AC264" s="168" t="n">
        <f aca="false">'VOL DWNLD'!AC264+'VOL DELTA'!AC264</f>
        <v>1</v>
      </c>
      <c r="AD264" s="168" t="n">
        <f aca="false">'VOL DWNLD'!AD264+'VOL DELTA'!AD264</f>
        <v>0.98</v>
      </c>
      <c r="AE264" s="168" t="n">
        <f aca="false">'VOL DWNLD'!AE264+'VOL DELTA'!AE264</f>
        <v>0.98</v>
      </c>
      <c r="AF264" s="168" t="n">
        <f aca="false">'VOL DWNLD'!AF264+'VOL DELTA'!AF264</f>
        <v>0.98</v>
      </c>
      <c r="AG264" s="168" t="n">
        <f aca="false">'VOL DWNLD'!AG264+'VOL DELTA'!AG264</f>
        <v>0.98</v>
      </c>
      <c r="AH264" s="168" t="n">
        <f aca="false">'VOL DWNLD'!AH264+'VOL DELTA'!AH264</f>
        <v>1.05</v>
      </c>
      <c r="AI264" s="168" t="n">
        <f aca="false">'VOL DWNLD'!AI264+'VOL DELTA'!AI264</f>
        <v>1</v>
      </c>
      <c r="AJ264" s="168" t="n">
        <f aca="false">'VOL DWNLD'!AJ264+'VOL DELTA'!AJ264</f>
        <v>1</v>
      </c>
      <c r="AK264" s="168" t="n">
        <f aca="false">'VOL DWNLD'!AK264+'VOL DELTA'!AK264</f>
        <v>1.02</v>
      </c>
      <c r="AL264" s="168" t="n">
        <f aca="false">'VOL DWNLD'!AL264+'VOL DELTA'!AL264</f>
        <v>1</v>
      </c>
      <c r="AM264" s="168" t="n">
        <f aca="false">'VOL DWNLD'!AM264+'VOL DELTA'!AM264</f>
        <v>1</v>
      </c>
      <c r="AN264" s="168" t="n">
        <f aca="false">'VOL DWNLD'!AN264+'VOL DELTA'!AN264</f>
        <v>1</v>
      </c>
      <c r="AO264" s="168" t="n">
        <f aca="false">'VOL DWNLD'!AO264+'VOL DELTA'!AO264</f>
        <v>1</v>
      </c>
    </row>
    <row r="265" customFormat="false" ht="12.75" hidden="false" customHeight="false" outlineLevel="0" collapsed="false">
      <c r="B265" s="168" t="n">
        <f aca="false">'VOL DWNLD'!B265+'VOL DELTA'!B265</f>
        <v>1</v>
      </c>
      <c r="C265" s="168" t="n">
        <f aca="false">'VOL DWNLD'!C265+'VOL DELTA'!C265</f>
        <v>1</v>
      </c>
      <c r="D265" s="168" t="n">
        <f aca="false">'VOL DWNLD'!D265+'VOL DELTA'!D265</f>
        <v>1</v>
      </c>
      <c r="E265" s="168" t="n">
        <f aca="false">'VOL DWNLD'!E265+'VOL DELTA'!E265</f>
        <v>1</v>
      </c>
      <c r="F265" s="168" t="n">
        <f aca="false">'VOL DWNLD'!F265+'VOL DELTA'!F265</f>
        <v>1</v>
      </c>
      <c r="G265" s="168" t="n">
        <f aca="false">'VOL DWNLD'!G265+'VOL DELTA'!G265</f>
        <v>1</v>
      </c>
      <c r="H265" s="168" t="n">
        <f aca="false">'VOL DWNLD'!H265+'VOL DELTA'!H265</f>
        <v>1</v>
      </c>
      <c r="I265" s="168" t="n">
        <f aca="false">'VOL DWNLD'!I265+'VOL DELTA'!I265</f>
        <v>1</v>
      </c>
      <c r="J265" s="168" t="n">
        <f aca="false">'VOL DWNLD'!J265+'VOL DELTA'!J265</f>
        <v>1</v>
      </c>
      <c r="K265" s="168" t="n">
        <f aca="false">'VOL DWNLD'!K265+'VOL DELTA'!K265</f>
        <v>1</v>
      </c>
      <c r="L265" s="168" t="n">
        <f aca="false">'VOL DWNLD'!L265+'VOL DELTA'!L265</f>
        <v>1</v>
      </c>
      <c r="M265" s="168" t="n">
        <f aca="false">'VOL DWNLD'!M265+'VOL DELTA'!M265</f>
        <v>1</v>
      </c>
      <c r="N265" s="168" t="n">
        <f aca="false">'VOL DWNLD'!N265+'VOL DELTA'!N265</f>
        <v>1</v>
      </c>
      <c r="O265" s="168" t="n">
        <f aca="false">'VOL DWNLD'!O265+'VOL DELTA'!O265</f>
        <v>1</v>
      </c>
      <c r="P265" s="168" t="n">
        <f aca="false">'VOL DWNLD'!P265+'VOL DELTA'!P265</f>
        <v>1.03</v>
      </c>
      <c r="Q265" s="168" t="n">
        <f aca="false">'VOL DWNLD'!Q265+'VOL DELTA'!Q265</f>
        <v>1</v>
      </c>
      <c r="R265" s="168" t="n">
        <f aca="false">'VOL DWNLD'!R265+'VOL DELTA'!R265</f>
        <v>1</v>
      </c>
      <c r="S265" s="168" t="n">
        <f aca="false">'VOL DWNLD'!S265+'VOL DELTA'!S265</f>
        <v>1.02</v>
      </c>
      <c r="T265" s="168" t="n">
        <f aca="false">'VOL DWNLD'!T265+'VOL DELTA'!T265</f>
        <v>1</v>
      </c>
      <c r="U265" s="168" t="n">
        <f aca="false">'VOL DWNLD'!U265+'VOL DELTA'!U265</f>
        <v>1</v>
      </c>
      <c r="V265" s="168" t="n">
        <f aca="false">'VOL DWNLD'!V265+'VOL DELTA'!V265</f>
        <v>1</v>
      </c>
      <c r="W265" s="168" t="n">
        <f aca="false">'VOL DWNLD'!W265+'VOL DELTA'!W265</f>
        <v>1</v>
      </c>
      <c r="X265" s="168" t="n">
        <f aca="false">'VOL DWNLD'!X265+'VOL DELTA'!X265</f>
        <v>1</v>
      </c>
      <c r="Y265" s="168" t="n">
        <f aca="false">'VOL DWNLD'!Y265+'VOL DELTA'!Y265</f>
        <v>1.02</v>
      </c>
      <c r="Z265" s="168" t="n">
        <f aca="false">'VOL DWNLD'!Z265+'VOL DELTA'!Z265</f>
        <v>1</v>
      </c>
      <c r="AA265" s="168" t="n">
        <f aca="false">'VOL DWNLD'!AA265+'VOL DELTA'!AA265</f>
        <v>1</v>
      </c>
      <c r="AB265" s="168" t="n">
        <f aca="false">'VOL DWNLD'!AB265+'VOL DELTA'!AB265</f>
        <v>1</v>
      </c>
      <c r="AC265" s="168" t="n">
        <f aca="false">'VOL DWNLD'!AC265+'VOL DELTA'!AC265</f>
        <v>1</v>
      </c>
      <c r="AD265" s="168" t="n">
        <f aca="false">'VOL DWNLD'!AD265+'VOL DELTA'!AD265</f>
        <v>0.98</v>
      </c>
      <c r="AE265" s="168" t="n">
        <f aca="false">'VOL DWNLD'!AE265+'VOL DELTA'!AE265</f>
        <v>0.98</v>
      </c>
      <c r="AF265" s="168" t="n">
        <f aca="false">'VOL DWNLD'!AF265+'VOL DELTA'!AF265</f>
        <v>0.98</v>
      </c>
      <c r="AG265" s="168" t="n">
        <f aca="false">'VOL DWNLD'!AG265+'VOL DELTA'!AG265</f>
        <v>0.98</v>
      </c>
      <c r="AH265" s="168" t="n">
        <f aca="false">'VOL DWNLD'!AH265+'VOL DELTA'!AH265</f>
        <v>1.05</v>
      </c>
      <c r="AI265" s="168" t="n">
        <f aca="false">'VOL DWNLD'!AI265+'VOL DELTA'!AI265</f>
        <v>1</v>
      </c>
      <c r="AJ265" s="168" t="n">
        <f aca="false">'VOL DWNLD'!AJ265+'VOL DELTA'!AJ265</f>
        <v>1</v>
      </c>
      <c r="AK265" s="168" t="n">
        <f aca="false">'VOL DWNLD'!AK265+'VOL DELTA'!AK265</f>
        <v>1.02</v>
      </c>
      <c r="AL265" s="168" t="n">
        <f aca="false">'VOL DWNLD'!AL265+'VOL DELTA'!AL265</f>
        <v>1</v>
      </c>
      <c r="AM265" s="168" t="n">
        <f aca="false">'VOL DWNLD'!AM265+'VOL DELTA'!AM265</f>
        <v>1</v>
      </c>
      <c r="AN265" s="168" t="n">
        <f aca="false">'VOL DWNLD'!AN265+'VOL DELTA'!AN265</f>
        <v>1</v>
      </c>
      <c r="AO265" s="168" t="n">
        <f aca="false">'VOL DWNLD'!AO265+'VOL DELTA'!AO265</f>
        <v>1</v>
      </c>
    </row>
    <row r="266" customFormat="false" ht="12.75" hidden="false" customHeight="false" outlineLevel="0" collapsed="false">
      <c r="B266" s="168" t="n">
        <f aca="false">'VOL DWNLD'!B266+'VOL DELTA'!B266</f>
        <v>1</v>
      </c>
      <c r="C266" s="168" t="n">
        <f aca="false">'VOL DWNLD'!C266+'VOL DELTA'!C266</f>
        <v>1</v>
      </c>
      <c r="D266" s="168" t="n">
        <f aca="false">'VOL DWNLD'!D266+'VOL DELTA'!D266</f>
        <v>1</v>
      </c>
      <c r="E266" s="168" t="n">
        <f aca="false">'VOL DWNLD'!E266+'VOL DELTA'!E266</f>
        <v>1</v>
      </c>
      <c r="F266" s="168" t="n">
        <f aca="false">'VOL DWNLD'!F266+'VOL DELTA'!F266</f>
        <v>1</v>
      </c>
      <c r="G266" s="168" t="n">
        <f aca="false">'VOL DWNLD'!G266+'VOL DELTA'!G266</f>
        <v>1</v>
      </c>
      <c r="H266" s="168" t="n">
        <f aca="false">'VOL DWNLD'!H266+'VOL DELTA'!H266</f>
        <v>1</v>
      </c>
      <c r="I266" s="168" t="n">
        <f aca="false">'VOL DWNLD'!I266+'VOL DELTA'!I266</f>
        <v>1</v>
      </c>
      <c r="J266" s="168" t="n">
        <f aca="false">'VOL DWNLD'!J266+'VOL DELTA'!J266</f>
        <v>1</v>
      </c>
      <c r="K266" s="168" t="n">
        <f aca="false">'VOL DWNLD'!K266+'VOL DELTA'!K266</f>
        <v>1</v>
      </c>
      <c r="L266" s="168" t="n">
        <f aca="false">'VOL DWNLD'!L266+'VOL DELTA'!L266</f>
        <v>1</v>
      </c>
      <c r="M266" s="168" t="n">
        <f aca="false">'VOL DWNLD'!M266+'VOL DELTA'!M266</f>
        <v>1</v>
      </c>
      <c r="N266" s="168" t="n">
        <f aca="false">'VOL DWNLD'!N266+'VOL DELTA'!N266</f>
        <v>1</v>
      </c>
      <c r="O266" s="168" t="n">
        <f aca="false">'VOL DWNLD'!O266+'VOL DELTA'!O266</f>
        <v>1</v>
      </c>
      <c r="P266" s="168" t="n">
        <f aca="false">'VOL DWNLD'!P266+'VOL DELTA'!P266</f>
        <v>1.03</v>
      </c>
      <c r="Q266" s="168" t="n">
        <f aca="false">'VOL DWNLD'!Q266+'VOL DELTA'!Q266</f>
        <v>1</v>
      </c>
      <c r="R266" s="168" t="n">
        <f aca="false">'VOL DWNLD'!R266+'VOL DELTA'!R266</f>
        <v>1</v>
      </c>
      <c r="S266" s="168" t="n">
        <f aca="false">'VOL DWNLD'!S266+'VOL DELTA'!S266</f>
        <v>1.02</v>
      </c>
      <c r="T266" s="168" t="n">
        <f aca="false">'VOL DWNLD'!T266+'VOL DELTA'!T266</f>
        <v>1</v>
      </c>
      <c r="U266" s="168" t="n">
        <f aca="false">'VOL DWNLD'!U266+'VOL DELTA'!U266</f>
        <v>1</v>
      </c>
      <c r="V266" s="168" t="n">
        <f aca="false">'VOL DWNLD'!V266+'VOL DELTA'!V266</f>
        <v>1</v>
      </c>
      <c r="W266" s="168" t="n">
        <f aca="false">'VOL DWNLD'!W266+'VOL DELTA'!W266</f>
        <v>1</v>
      </c>
      <c r="X266" s="168" t="n">
        <f aca="false">'VOL DWNLD'!X266+'VOL DELTA'!X266</f>
        <v>1</v>
      </c>
      <c r="Y266" s="168" t="n">
        <f aca="false">'VOL DWNLD'!Y266+'VOL DELTA'!Y266</f>
        <v>1.02</v>
      </c>
      <c r="Z266" s="168" t="n">
        <f aca="false">'VOL DWNLD'!Z266+'VOL DELTA'!Z266</f>
        <v>1</v>
      </c>
      <c r="AA266" s="168" t="n">
        <f aca="false">'VOL DWNLD'!AA266+'VOL DELTA'!AA266</f>
        <v>1</v>
      </c>
      <c r="AB266" s="168" t="n">
        <f aca="false">'VOL DWNLD'!AB266+'VOL DELTA'!AB266</f>
        <v>1</v>
      </c>
      <c r="AC266" s="168" t="n">
        <f aca="false">'VOL DWNLD'!AC266+'VOL DELTA'!AC266</f>
        <v>1</v>
      </c>
      <c r="AD266" s="168" t="n">
        <f aca="false">'VOL DWNLD'!AD266+'VOL DELTA'!AD266</f>
        <v>0.98</v>
      </c>
      <c r="AE266" s="168" t="n">
        <f aca="false">'VOL DWNLD'!AE266+'VOL DELTA'!AE266</f>
        <v>0.98</v>
      </c>
      <c r="AF266" s="168" t="n">
        <f aca="false">'VOL DWNLD'!AF266+'VOL DELTA'!AF266</f>
        <v>0.98</v>
      </c>
      <c r="AG266" s="168" t="n">
        <f aca="false">'VOL DWNLD'!AG266+'VOL DELTA'!AG266</f>
        <v>0.98</v>
      </c>
      <c r="AH266" s="168" t="n">
        <f aca="false">'VOL DWNLD'!AH266+'VOL DELTA'!AH266</f>
        <v>1.05</v>
      </c>
      <c r="AI266" s="168" t="n">
        <f aca="false">'VOL DWNLD'!AI266+'VOL DELTA'!AI266</f>
        <v>1</v>
      </c>
      <c r="AJ266" s="168" t="n">
        <f aca="false">'VOL DWNLD'!AJ266+'VOL DELTA'!AJ266</f>
        <v>1</v>
      </c>
      <c r="AK266" s="168" t="n">
        <f aca="false">'VOL DWNLD'!AK266+'VOL DELTA'!AK266</f>
        <v>1.02</v>
      </c>
      <c r="AL266" s="168" t="n">
        <f aca="false">'VOL DWNLD'!AL266+'VOL DELTA'!AL266</f>
        <v>1</v>
      </c>
      <c r="AM266" s="168" t="n">
        <f aca="false">'VOL DWNLD'!AM266+'VOL DELTA'!AM266</f>
        <v>1</v>
      </c>
      <c r="AN266" s="168" t="n">
        <f aca="false">'VOL DWNLD'!AN266+'VOL DELTA'!AN266</f>
        <v>1</v>
      </c>
      <c r="AO266" s="168" t="n">
        <f aca="false">'VOL DWNLD'!AO266+'VOL DELTA'!AO266</f>
        <v>1</v>
      </c>
    </row>
    <row r="267" customFormat="false" ht="12.75" hidden="false" customHeight="false" outlineLevel="0" collapsed="false">
      <c r="B267" s="168" t="n">
        <f aca="false">'VOL DWNLD'!B267+'VOL DELTA'!B267</f>
        <v>1</v>
      </c>
      <c r="C267" s="168" t="n">
        <f aca="false">'VOL DWNLD'!C267+'VOL DELTA'!C267</f>
        <v>1</v>
      </c>
      <c r="D267" s="168" t="n">
        <f aca="false">'VOL DWNLD'!D267+'VOL DELTA'!D267</f>
        <v>1</v>
      </c>
      <c r="E267" s="168" t="n">
        <f aca="false">'VOL DWNLD'!E267+'VOL DELTA'!E267</f>
        <v>1</v>
      </c>
      <c r="F267" s="168" t="n">
        <f aca="false">'VOL DWNLD'!F267+'VOL DELTA'!F267</f>
        <v>1</v>
      </c>
      <c r="G267" s="168" t="n">
        <f aca="false">'VOL DWNLD'!G267+'VOL DELTA'!G267</f>
        <v>1</v>
      </c>
      <c r="H267" s="168" t="n">
        <f aca="false">'VOL DWNLD'!H267+'VOL DELTA'!H267</f>
        <v>1</v>
      </c>
      <c r="I267" s="168" t="n">
        <f aca="false">'VOL DWNLD'!I267+'VOL DELTA'!I267</f>
        <v>1</v>
      </c>
      <c r="J267" s="168" t="n">
        <f aca="false">'VOL DWNLD'!J267+'VOL DELTA'!J267</f>
        <v>1</v>
      </c>
      <c r="K267" s="168" t="n">
        <f aca="false">'VOL DWNLD'!K267+'VOL DELTA'!K267</f>
        <v>1</v>
      </c>
      <c r="L267" s="168" t="n">
        <f aca="false">'VOL DWNLD'!L267+'VOL DELTA'!L267</f>
        <v>1</v>
      </c>
      <c r="M267" s="168" t="n">
        <f aca="false">'VOL DWNLD'!M267+'VOL DELTA'!M267</f>
        <v>1</v>
      </c>
      <c r="N267" s="168" t="n">
        <f aca="false">'VOL DWNLD'!N267+'VOL DELTA'!N267</f>
        <v>1</v>
      </c>
      <c r="O267" s="168" t="n">
        <f aca="false">'VOL DWNLD'!O267+'VOL DELTA'!O267</f>
        <v>1</v>
      </c>
      <c r="P267" s="168" t="n">
        <f aca="false">'VOL DWNLD'!P267+'VOL DELTA'!P267</f>
        <v>1.03</v>
      </c>
      <c r="Q267" s="168" t="n">
        <f aca="false">'VOL DWNLD'!Q267+'VOL DELTA'!Q267</f>
        <v>1</v>
      </c>
      <c r="R267" s="168" t="n">
        <f aca="false">'VOL DWNLD'!R267+'VOL DELTA'!R267</f>
        <v>1</v>
      </c>
      <c r="S267" s="168" t="n">
        <f aca="false">'VOL DWNLD'!S267+'VOL DELTA'!S267</f>
        <v>1.02</v>
      </c>
      <c r="T267" s="168" t="n">
        <f aca="false">'VOL DWNLD'!T267+'VOL DELTA'!T267</f>
        <v>1</v>
      </c>
      <c r="U267" s="168" t="n">
        <f aca="false">'VOL DWNLD'!U267+'VOL DELTA'!U267</f>
        <v>1</v>
      </c>
      <c r="V267" s="168" t="n">
        <f aca="false">'VOL DWNLD'!V267+'VOL DELTA'!V267</f>
        <v>1</v>
      </c>
      <c r="W267" s="168" t="n">
        <f aca="false">'VOL DWNLD'!W267+'VOL DELTA'!W267</f>
        <v>1</v>
      </c>
      <c r="X267" s="168" t="n">
        <f aca="false">'VOL DWNLD'!X267+'VOL DELTA'!X267</f>
        <v>1</v>
      </c>
      <c r="Y267" s="168" t="n">
        <f aca="false">'VOL DWNLD'!Y267+'VOL DELTA'!Y267</f>
        <v>1.02</v>
      </c>
      <c r="Z267" s="168" t="n">
        <f aca="false">'VOL DWNLD'!Z267+'VOL DELTA'!Z267</f>
        <v>1</v>
      </c>
      <c r="AA267" s="168" t="n">
        <f aca="false">'VOL DWNLD'!AA267+'VOL DELTA'!AA267</f>
        <v>1</v>
      </c>
      <c r="AB267" s="168" t="n">
        <f aca="false">'VOL DWNLD'!AB267+'VOL DELTA'!AB267</f>
        <v>1</v>
      </c>
      <c r="AC267" s="168" t="n">
        <f aca="false">'VOL DWNLD'!AC267+'VOL DELTA'!AC267</f>
        <v>1</v>
      </c>
      <c r="AD267" s="168" t="n">
        <f aca="false">'VOL DWNLD'!AD267+'VOL DELTA'!AD267</f>
        <v>0.98</v>
      </c>
      <c r="AE267" s="168" t="n">
        <f aca="false">'VOL DWNLD'!AE267+'VOL DELTA'!AE267</f>
        <v>0.98</v>
      </c>
      <c r="AF267" s="168" t="n">
        <f aca="false">'VOL DWNLD'!AF267+'VOL DELTA'!AF267</f>
        <v>0.98</v>
      </c>
      <c r="AG267" s="168" t="n">
        <f aca="false">'VOL DWNLD'!AG267+'VOL DELTA'!AG267</f>
        <v>0.98</v>
      </c>
      <c r="AH267" s="168" t="n">
        <f aca="false">'VOL DWNLD'!AH267+'VOL DELTA'!AH267</f>
        <v>1.05</v>
      </c>
      <c r="AI267" s="168" t="n">
        <f aca="false">'VOL DWNLD'!AI267+'VOL DELTA'!AI267</f>
        <v>1</v>
      </c>
      <c r="AJ267" s="168" t="n">
        <f aca="false">'VOL DWNLD'!AJ267+'VOL DELTA'!AJ267</f>
        <v>1</v>
      </c>
      <c r="AK267" s="168" t="n">
        <f aca="false">'VOL DWNLD'!AK267+'VOL DELTA'!AK267</f>
        <v>1.02</v>
      </c>
      <c r="AL267" s="168" t="n">
        <f aca="false">'VOL DWNLD'!AL267+'VOL DELTA'!AL267</f>
        <v>1</v>
      </c>
      <c r="AM267" s="168" t="n">
        <f aca="false">'VOL DWNLD'!AM267+'VOL DELTA'!AM267</f>
        <v>1</v>
      </c>
      <c r="AN267" s="168" t="n">
        <f aca="false">'VOL DWNLD'!AN267+'VOL DELTA'!AN267</f>
        <v>1</v>
      </c>
      <c r="AO267" s="168" t="n">
        <f aca="false">'VOL DWNLD'!AO267+'VOL DELTA'!AO267</f>
        <v>1</v>
      </c>
    </row>
    <row r="268" customFormat="false" ht="12.75" hidden="false" customHeight="false" outlineLevel="0" collapsed="false">
      <c r="B268" s="168" t="n">
        <f aca="false">'VOL DWNLD'!B268+'VOL DELTA'!B268</f>
        <v>1</v>
      </c>
      <c r="C268" s="168" t="n">
        <f aca="false">'VOL DWNLD'!C268+'VOL DELTA'!C268</f>
        <v>1</v>
      </c>
      <c r="D268" s="168" t="n">
        <f aca="false">'VOL DWNLD'!D268+'VOL DELTA'!D268</f>
        <v>1</v>
      </c>
      <c r="E268" s="168" t="n">
        <f aca="false">'VOL DWNLD'!E268+'VOL DELTA'!E268</f>
        <v>1</v>
      </c>
      <c r="F268" s="168" t="n">
        <f aca="false">'VOL DWNLD'!F268+'VOL DELTA'!F268</f>
        <v>1</v>
      </c>
      <c r="G268" s="168" t="n">
        <f aca="false">'VOL DWNLD'!G268+'VOL DELTA'!G268</f>
        <v>1</v>
      </c>
      <c r="H268" s="168" t="n">
        <f aca="false">'VOL DWNLD'!H268+'VOL DELTA'!H268</f>
        <v>1</v>
      </c>
      <c r="I268" s="168" t="n">
        <f aca="false">'VOL DWNLD'!I268+'VOL DELTA'!I268</f>
        <v>1</v>
      </c>
      <c r="J268" s="168" t="n">
        <f aca="false">'VOL DWNLD'!J268+'VOL DELTA'!J268</f>
        <v>1</v>
      </c>
      <c r="K268" s="168" t="n">
        <f aca="false">'VOL DWNLD'!K268+'VOL DELTA'!K268</f>
        <v>1</v>
      </c>
      <c r="L268" s="168" t="n">
        <f aca="false">'VOL DWNLD'!L268+'VOL DELTA'!L268</f>
        <v>1</v>
      </c>
      <c r="M268" s="168" t="n">
        <f aca="false">'VOL DWNLD'!M268+'VOL DELTA'!M268</f>
        <v>1</v>
      </c>
      <c r="N268" s="168" t="n">
        <f aca="false">'VOL DWNLD'!N268+'VOL DELTA'!N268</f>
        <v>1</v>
      </c>
      <c r="O268" s="168" t="n">
        <f aca="false">'VOL DWNLD'!O268+'VOL DELTA'!O268</f>
        <v>1</v>
      </c>
      <c r="P268" s="168" t="n">
        <f aca="false">'VOL DWNLD'!P268+'VOL DELTA'!P268</f>
        <v>1.03</v>
      </c>
      <c r="Q268" s="168" t="n">
        <f aca="false">'VOL DWNLD'!Q268+'VOL DELTA'!Q268</f>
        <v>1</v>
      </c>
      <c r="R268" s="168" t="n">
        <f aca="false">'VOL DWNLD'!R268+'VOL DELTA'!R268</f>
        <v>1</v>
      </c>
      <c r="S268" s="168" t="n">
        <f aca="false">'VOL DWNLD'!S268+'VOL DELTA'!S268</f>
        <v>1.02</v>
      </c>
      <c r="T268" s="168" t="n">
        <f aca="false">'VOL DWNLD'!T268+'VOL DELTA'!T268</f>
        <v>1</v>
      </c>
      <c r="U268" s="168" t="n">
        <f aca="false">'VOL DWNLD'!U268+'VOL DELTA'!U268</f>
        <v>1</v>
      </c>
      <c r="V268" s="168" t="n">
        <f aca="false">'VOL DWNLD'!V268+'VOL DELTA'!V268</f>
        <v>1</v>
      </c>
      <c r="W268" s="168" t="n">
        <f aca="false">'VOL DWNLD'!W268+'VOL DELTA'!W268</f>
        <v>1</v>
      </c>
      <c r="X268" s="168" t="n">
        <f aca="false">'VOL DWNLD'!X268+'VOL DELTA'!X268</f>
        <v>1</v>
      </c>
      <c r="Y268" s="168" t="n">
        <f aca="false">'VOL DWNLD'!Y268+'VOL DELTA'!Y268</f>
        <v>1.02</v>
      </c>
      <c r="Z268" s="168" t="n">
        <f aca="false">'VOL DWNLD'!Z268+'VOL DELTA'!Z268</f>
        <v>1</v>
      </c>
      <c r="AA268" s="168" t="n">
        <f aca="false">'VOL DWNLD'!AA268+'VOL DELTA'!AA268</f>
        <v>1</v>
      </c>
      <c r="AB268" s="168" t="n">
        <f aca="false">'VOL DWNLD'!AB268+'VOL DELTA'!AB268</f>
        <v>1</v>
      </c>
      <c r="AC268" s="168" t="n">
        <f aca="false">'VOL DWNLD'!AC268+'VOL DELTA'!AC268</f>
        <v>1</v>
      </c>
      <c r="AD268" s="168" t="n">
        <f aca="false">'VOL DWNLD'!AD268+'VOL DELTA'!AD268</f>
        <v>0.98</v>
      </c>
      <c r="AE268" s="168" t="n">
        <f aca="false">'VOL DWNLD'!AE268+'VOL DELTA'!AE268</f>
        <v>0.98</v>
      </c>
      <c r="AF268" s="168" t="n">
        <f aca="false">'VOL DWNLD'!AF268+'VOL DELTA'!AF268</f>
        <v>0.98</v>
      </c>
      <c r="AG268" s="168" t="n">
        <f aca="false">'VOL DWNLD'!AG268+'VOL DELTA'!AG268</f>
        <v>0.98</v>
      </c>
      <c r="AH268" s="168" t="n">
        <f aca="false">'VOL DWNLD'!AH268+'VOL DELTA'!AH268</f>
        <v>1.05</v>
      </c>
      <c r="AI268" s="168" t="n">
        <f aca="false">'VOL DWNLD'!AI268+'VOL DELTA'!AI268</f>
        <v>1</v>
      </c>
      <c r="AJ268" s="168" t="n">
        <f aca="false">'VOL DWNLD'!AJ268+'VOL DELTA'!AJ268</f>
        <v>1</v>
      </c>
      <c r="AK268" s="168" t="n">
        <f aca="false">'VOL DWNLD'!AK268+'VOL DELTA'!AK268</f>
        <v>1.02</v>
      </c>
      <c r="AL268" s="168" t="n">
        <f aca="false">'VOL DWNLD'!AL268+'VOL DELTA'!AL268</f>
        <v>1</v>
      </c>
      <c r="AM268" s="168" t="n">
        <f aca="false">'VOL DWNLD'!AM268+'VOL DELTA'!AM268</f>
        <v>1</v>
      </c>
      <c r="AN268" s="168" t="n">
        <f aca="false">'VOL DWNLD'!AN268+'VOL DELTA'!AN268</f>
        <v>1</v>
      </c>
      <c r="AO268" s="168" t="n">
        <f aca="false">'VOL DWNLD'!AO268+'VOL DELTA'!AO268</f>
        <v>1</v>
      </c>
    </row>
    <row r="269" customFormat="false" ht="12.75" hidden="false" customHeight="false" outlineLevel="0" collapsed="false">
      <c r="B269" s="168" t="n">
        <f aca="false">'VOL DWNLD'!B269+'VOL DELTA'!B269</f>
        <v>1</v>
      </c>
      <c r="C269" s="168" t="n">
        <f aca="false">'VOL DWNLD'!C269+'VOL DELTA'!C269</f>
        <v>1</v>
      </c>
      <c r="D269" s="168" t="n">
        <f aca="false">'VOL DWNLD'!D269+'VOL DELTA'!D269</f>
        <v>1</v>
      </c>
      <c r="E269" s="168" t="n">
        <f aca="false">'VOL DWNLD'!E269+'VOL DELTA'!E269</f>
        <v>1</v>
      </c>
      <c r="F269" s="168" t="n">
        <f aca="false">'VOL DWNLD'!F269+'VOL DELTA'!F269</f>
        <v>1</v>
      </c>
      <c r="G269" s="168" t="n">
        <f aca="false">'VOL DWNLD'!G269+'VOL DELTA'!G269</f>
        <v>1</v>
      </c>
      <c r="H269" s="168" t="n">
        <f aca="false">'VOL DWNLD'!H269+'VOL DELTA'!H269</f>
        <v>1</v>
      </c>
      <c r="I269" s="168" t="n">
        <f aca="false">'VOL DWNLD'!I269+'VOL DELTA'!I269</f>
        <v>1</v>
      </c>
      <c r="J269" s="168" t="n">
        <f aca="false">'VOL DWNLD'!J269+'VOL DELTA'!J269</f>
        <v>1</v>
      </c>
      <c r="K269" s="168" t="n">
        <f aca="false">'VOL DWNLD'!K269+'VOL DELTA'!K269</f>
        <v>1</v>
      </c>
      <c r="L269" s="168" t="n">
        <f aca="false">'VOL DWNLD'!L269+'VOL DELTA'!L269</f>
        <v>1</v>
      </c>
      <c r="M269" s="168" t="n">
        <f aca="false">'VOL DWNLD'!M269+'VOL DELTA'!M269</f>
        <v>1</v>
      </c>
      <c r="N269" s="168" t="n">
        <f aca="false">'VOL DWNLD'!N269+'VOL DELTA'!N269</f>
        <v>1</v>
      </c>
      <c r="O269" s="168" t="n">
        <f aca="false">'VOL DWNLD'!O269+'VOL DELTA'!O269</f>
        <v>1</v>
      </c>
      <c r="P269" s="168" t="n">
        <f aca="false">'VOL DWNLD'!P269+'VOL DELTA'!P269</f>
        <v>1.03</v>
      </c>
      <c r="Q269" s="168" t="n">
        <f aca="false">'VOL DWNLD'!Q269+'VOL DELTA'!Q269</f>
        <v>1</v>
      </c>
      <c r="R269" s="168" t="n">
        <f aca="false">'VOL DWNLD'!R269+'VOL DELTA'!R269</f>
        <v>1</v>
      </c>
      <c r="S269" s="168" t="n">
        <f aca="false">'VOL DWNLD'!S269+'VOL DELTA'!S269</f>
        <v>1.02</v>
      </c>
      <c r="T269" s="168" t="n">
        <f aca="false">'VOL DWNLD'!T269+'VOL DELTA'!T269</f>
        <v>1</v>
      </c>
      <c r="U269" s="168" t="n">
        <f aca="false">'VOL DWNLD'!U269+'VOL DELTA'!U269</f>
        <v>1</v>
      </c>
      <c r="V269" s="168" t="n">
        <f aca="false">'VOL DWNLD'!V269+'VOL DELTA'!V269</f>
        <v>1</v>
      </c>
      <c r="W269" s="168" t="n">
        <f aca="false">'VOL DWNLD'!W269+'VOL DELTA'!W269</f>
        <v>1</v>
      </c>
      <c r="X269" s="168" t="n">
        <f aca="false">'VOL DWNLD'!X269+'VOL DELTA'!X269</f>
        <v>1</v>
      </c>
      <c r="Y269" s="168" t="n">
        <f aca="false">'VOL DWNLD'!Y269+'VOL DELTA'!Y269</f>
        <v>1</v>
      </c>
      <c r="Z269" s="168" t="n">
        <f aca="false">'VOL DWNLD'!Z269+'VOL DELTA'!Z269</f>
        <v>1</v>
      </c>
      <c r="AA269" s="168" t="n">
        <f aca="false">'VOL DWNLD'!AA269+'VOL DELTA'!AA269</f>
        <v>1</v>
      </c>
      <c r="AB269" s="168" t="n">
        <f aca="false">'VOL DWNLD'!AB269+'VOL DELTA'!AB269</f>
        <v>1</v>
      </c>
      <c r="AC269" s="168" t="n">
        <f aca="false">'VOL DWNLD'!AC269+'VOL DELTA'!AC269</f>
        <v>1</v>
      </c>
      <c r="AD269" s="168" t="n">
        <f aca="false">'VOL DWNLD'!AD269+'VOL DELTA'!AD269</f>
        <v>1</v>
      </c>
      <c r="AE269" s="168" t="n">
        <f aca="false">'VOL DWNLD'!AE269+'VOL DELTA'!AE269</f>
        <v>1</v>
      </c>
      <c r="AF269" s="168" t="n">
        <f aca="false">'VOL DWNLD'!AF269+'VOL DELTA'!AF269</f>
        <v>1.1</v>
      </c>
      <c r="AG269" s="168" t="n">
        <f aca="false">'VOL DWNLD'!AG269+'VOL DELTA'!AG269</f>
        <v>1.1</v>
      </c>
      <c r="AH269" s="168" t="n">
        <f aca="false">'VOL DWNLD'!AH269+'VOL DELTA'!AH269</f>
        <v>1.05</v>
      </c>
      <c r="AI269" s="168" t="n">
        <f aca="false">'VOL DWNLD'!AI269+'VOL DELTA'!AI269</f>
        <v>1</v>
      </c>
      <c r="AJ269" s="168" t="n">
        <f aca="false">'VOL DWNLD'!AJ269+'VOL DELTA'!AJ269</f>
        <v>1</v>
      </c>
      <c r="AK269" s="168" t="n">
        <f aca="false">'VOL DWNLD'!AK269+'VOL DELTA'!AK269</f>
        <v>1.02</v>
      </c>
      <c r="AL269" s="168" t="n">
        <f aca="false">'VOL DWNLD'!AL269+'VOL DELTA'!AL269</f>
        <v>1</v>
      </c>
      <c r="AM269" s="168" t="n">
        <f aca="false">'VOL DWNLD'!AM269+'VOL DELTA'!AM269</f>
        <v>1</v>
      </c>
      <c r="AN269" s="168" t="n">
        <f aca="false">'VOL DWNLD'!AN269+'VOL DELTA'!AN269</f>
        <v>1</v>
      </c>
      <c r="AO269" s="168" t="n">
        <f aca="false">'VOL DWNLD'!AO269+'VOL DELTA'!AO269</f>
        <v>1</v>
      </c>
    </row>
    <row r="270" customFormat="false" ht="12.75" hidden="false" customHeight="false" outlineLevel="0" collapsed="false">
      <c r="B270" s="168" t="n">
        <f aca="false">'VOL DWNLD'!B270+'VOL DELTA'!B270</f>
        <v>1</v>
      </c>
      <c r="C270" s="168" t="n">
        <f aca="false">'VOL DWNLD'!C270+'VOL DELTA'!C270</f>
        <v>1</v>
      </c>
      <c r="D270" s="168" t="n">
        <f aca="false">'VOL DWNLD'!D270+'VOL DELTA'!D270</f>
        <v>1</v>
      </c>
      <c r="E270" s="168" t="n">
        <f aca="false">'VOL DWNLD'!E270+'VOL DELTA'!E270</f>
        <v>1</v>
      </c>
      <c r="F270" s="168" t="n">
        <f aca="false">'VOL DWNLD'!F270+'VOL DELTA'!F270</f>
        <v>1</v>
      </c>
      <c r="G270" s="168" t="n">
        <f aca="false">'VOL DWNLD'!G270+'VOL DELTA'!G270</f>
        <v>1</v>
      </c>
      <c r="H270" s="168" t="n">
        <f aca="false">'VOL DWNLD'!H270+'VOL DELTA'!H270</f>
        <v>1</v>
      </c>
      <c r="I270" s="168" t="n">
        <f aca="false">'VOL DWNLD'!I270+'VOL DELTA'!I270</f>
        <v>1</v>
      </c>
      <c r="J270" s="168" t="n">
        <f aca="false">'VOL DWNLD'!J270+'VOL DELTA'!J270</f>
        <v>1</v>
      </c>
      <c r="K270" s="168" t="n">
        <f aca="false">'VOL DWNLD'!K270+'VOL DELTA'!K270</f>
        <v>1</v>
      </c>
      <c r="L270" s="168" t="n">
        <f aca="false">'VOL DWNLD'!L270+'VOL DELTA'!L270</f>
        <v>1</v>
      </c>
      <c r="M270" s="168" t="n">
        <f aca="false">'VOL DWNLD'!M270+'VOL DELTA'!M270</f>
        <v>1</v>
      </c>
      <c r="N270" s="168" t="n">
        <f aca="false">'VOL DWNLD'!N270+'VOL DELTA'!N270</f>
        <v>1</v>
      </c>
      <c r="O270" s="168" t="n">
        <f aca="false">'VOL DWNLD'!O270+'VOL DELTA'!O270</f>
        <v>1</v>
      </c>
      <c r="P270" s="168" t="n">
        <f aca="false">'VOL DWNLD'!P270+'VOL DELTA'!P270</f>
        <v>1.03</v>
      </c>
      <c r="Q270" s="168" t="n">
        <f aca="false">'VOL DWNLD'!Q270+'VOL DELTA'!Q270</f>
        <v>1</v>
      </c>
      <c r="R270" s="168" t="n">
        <f aca="false">'VOL DWNLD'!R270+'VOL DELTA'!R270</f>
        <v>1</v>
      </c>
      <c r="S270" s="168" t="n">
        <f aca="false">'VOL DWNLD'!S270+'VOL DELTA'!S270</f>
        <v>1.02</v>
      </c>
      <c r="T270" s="168" t="n">
        <f aca="false">'VOL DWNLD'!T270+'VOL DELTA'!T270</f>
        <v>1</v>
      </c>
      <c r="U270" s="168" t="n">
        <f aca="false">'VOL DWNLD'!U270+'VOL DELTA'!U270</f>
        <v>1</v>
      </c>
      <c r="V270" s="168" t="n">
        <f aca="false">'VOL DWNLD'!V270+'VOL DELTA'!V270</f>
        <v>1</v>
      </c>
      <c r="W270" s="168" t="n">
        <f aca="false">'VOL DWNLD'!W270+'VOL DELTA'!W270</f>
        <v>1</v>
      </c>
      <c r="X270" s="168" t="n">
        <f aca="false">'VOL DWNLD'!X270+'VOL DELTA'!X270</f>
        <v>1</v>
      </c>
      <c r="Y270" s="168" t="n">
        <f aca="false">'VOL DWNLD'!Y270+'VOL DELTA'!Y270</f>
        <v>1</v>
      </c>
      <c r="Z270" s="168" t="n">
        <f aca="false">'VOL DWNLD'!Z270+'VOL DELTA'!Z270</f>
        <v>1</v>
      </c>
      <c r="AA270" s="168" t="n">
        <f aca="false">'VOL DWNLD'!AA270+'VOL DELTA'!AA270</f>
        <v>1</v>
      </c>
      <c r="AB270" s="168" t="n">
        <f aca="false">'VOL DWNLD'!AB270+'VOL DELTA'!AB270</f>
        <v>1</v>
      </c>
      <c r="AC270" s="168" t="n">
        <f aca="false">'VOL DWNLD'!AC270+'VOL DELTA'!AC270</f>
        <v>1</v>
      </c>
      <c r="AD270" s="168" t="n">
        <f aca="false">'VOL DWNLD'!AD270+'VOL DELTA'!AD270</f>
        <v>1</v>
      </c>
      <c r="AE270" s="168" t="n">
        <f aca="false">'VOL DWNLD'!AE270+'VOL DELTA'!AE270</f>
        <v>1</v>
      </c>
      <c r="AF270" s="168" t="n">
        <f aca="false">'VOL DWNLD'!AF270+'VOL DELTA'!AF270</f>
        <v>1.1</v>
      </c>
      <c r="AG270" s="168" t="n">
        <f aca="false">'VOL DWNLD'!AG270+'VOL DELTA'!AG270</f>
        <v>1.1</v>
      </c>
      <c r="AH270" s="168" t="n">
        <f aca="false">'VOL DWNLD'!AH270+'VOL DELTA'!AH270</f>
        <v>1.05</v>
      </c>
      <c r="AI270" s="168" t="n">
        <f aca="false">'VOL DWNLD'!AI270+'VOL DELTA'!AI270</f>
        <v>1</v>
      </c>
      <c r="AJ270" s="168" t="n">
        <f aca="false">'VOL DWNLD'!AJ270+'VOL DELTA'!AJ270</f>
        <v>1</v>
      </c>
      <c r="AK270" s="168" t="n">
        <f aca="false">'VOL DWNLD'!AK270+'VOL DELTA'!AK270</f>
        <v>1.02</v>
      </c>
      <c r="AL270" s="168" t="n">
        <f aca="false">'VOL DWNLD'!AL270+'VOL DELTA'!AL270</f>
        <v>1</v>
      </c>
      <c r="AM270" s="168" t="n">
        <f aca="false">'VOL DWNLD'!AM270+'VOL DELTA'!AM270</f>
        <v>1</v>
      </c>
      <c r="AN270" s="168" t="n">
        <f aca="false">'VOL DWNLD'!AN270+'VOL DELTA'!AN270</f>
        <v>1</v>
      </c>
      <c r="AO270" s="168" t="n">
        <f aca="false">'VOL DWNLD'!AO270+'VOL DELTA'!AO270</f>
        <v>1</v>
      </c>
    </row>
    <row r="271" customFormat="false" ht="12.75" hidden="false" customHeight="false" outlineLevel="0" collapsed="false">
      <c r="B271" s="168" t="n">
        <f aca="false">'VOL DWNLD'!B271+'VOL DELTA'!B271</f>
        <v>1</v>
      </c>
      <c r="C271" s="168" t="n">
        <f aca="false">'VOL DWNLD'!C271+'VOL DELTA'!C271</f>
        <v>1</v>
      </c>
      <c r="D271" s="168" t="n">
        <f aca="false">'VOL DWNLD'!D271+'VOL DELTA'!D271</f>
        <v>1</v>
      </c>
      <c r="E271" s="168" t="n">
        <f aca="false">'VOL DWNLD'!E271+'VOL DELTA'!E271</f>
        <v>1</v>
      </c>
      <c r="F271" s="168" t="n">
        <f aca="false">'VOL DWNLD'!F271+'VOL DELTA'!F271</f>
        <v>1</v>
      </c>
      <c r="G271" s="168" t="n">
        <f aca="false">'VOL DWNLD'!G271+'VOL DELTA'!G271</f>
        <v>1</v>
      </c>
      <c r="H271" s="168" t="n">
        <f aca="false">'VOL DWNLD'!H271+'VOL DELTA'!H271</f>
        <v>1</v>
      </c>
      <c r="I271" s="168" t="n">
        <f aca="false">'VOL DWNLD'!I271+'VOL DELTA'!I271</f>
        <v>1</v>
      </c>
      <c r="J271" s="168" t="n">
        <f aca="false">'VOL DWNLD'!J271+'VOL DELTA'!J271</f>
        <v>1</v>
      </c>
      <c r="K271" s="168" t="n">
        <f aca="false">'VOL DWNLD'!K271+'VOL DELTA'!K271</f>
        <v>1</v>
      </c>
      <c r="L271" s="168" t="n">
        <f aca="false">'VOL DWNLD'!L271+'VOL DELTA'!L271</f>
        <v>1</v>
      </c>
      <c r="M271" s="168" t="n">
        <f aca="false">'VOL DWNLD'!M271+'VOL DELTA'!M271</f>
        <v>1</v>
      </c>
      <c r="N271" s="168" t="n">
        <f aca="false">'VOL DWNLD'!N271+'VOL DELTA'!N271</f>
        <v>1</v>
      </c>
      <c r="O271" s="168" t="n">
        <f aca="false">'VOL DWNLD'!O271+'VOL DELTA'!O271</f>
        <v>1</v>
      </c>
      <c r="P271" s="168" t="n">
        <f aca="false">'VOL DWNLD'!P271+'VOL DELTA'!P271</f>
        <v>1.03</v>
      </c>
      <c r="Q271" s="168" t="n">
        <f aca="false">'VOL DWNLD'!Q271+'VOL DELTA'!Q271</f>
        <v>1</v>
      </c>
      <c r="R271" s="168" t="n">
        <f aca="false">'VOL DWNLD'!R271+'VOL DELTA'!R271</f>
        <v>1</v>
      </c>
      <c r="S271" s="168" t="n">
        <f aca="false">'VOL DWNLD'!S271+'VOL DELTA'!S271</f>
        <v>1.02</v>
      </c>
      <c r="T271" s="168" t="n">
        <f aca="false">'VOL DWNLD'!T271+'VOL DELTA'!T271</f>
        <v>1</v>
      </c>
      <c r="U271" s="168" t="n">
        <f aca="false">'VOL DWNLD'!U271+'VOL DELTA'!U271</f>
        <v>1</v>
      </c>
      <c r="V271" s="168" t="n">
        <f aca="false">'VOL DWNLD'!V271+'VOL DELTA'!V271</f>
        <v>1</v>
      </c>
      <c r="W271" s="168" t="n">
        <f aca="false">'VOL DWNLD'!W271+'VOL DELTA'!W271</f>
        <v>1</v>
      </c>
      <c r="X271" s="168" t="n">
        <f aca="false">'VOL DWNLD'!X271+'VOL DELTA'!X271</f>
        <v>1</v>
      </c>
      <c r="Y271" s="168" t="n">
        <f aca="false">'VOL DWNLD'!Y271+'VOL DELTA'!Y271</f>
        <v>1</v>
      </c>
      <c r="Z271" s="168" t="n">
        <f aca="false">'VOL DWNLD'!Z271+'VOL DELTA'!Z271</f>
        <v>1</v>
      </c>
      <c r="AA271" s="168" t="n">
        <f aca="false">'VOL DWNLD'!AA271+'VOL DELTA'!AA271</f>
        <v>1</v>
      </c>
      <c r="AB271" s="168" t="n">
        <f aca="false">'VOL DWNLD'!AB271+'VOL DELTA'!AB271</f>
        <v>1</v>
      </c>
      <c r="AC271" s="168" t="n">
        <f aca="false">'VOL DWNLD'!AC271+'VOL DELTA'!AC271</f>
        <v>1</v>
      </c>
      <c r="AD271" s="168" t="n">
        <f aca="false">'VOL DWNLD'!AD271+'VOL DELTA'!AD271</f>
        <v>1</v>
      </c>
      <c r="AE271" s="168" t="n">
        <f aca="false">'VOL DWNLD'!AE271+'VOL DELTA'!AE271</f>
        <v>1</v>
      </c>
      <c r="AF271" s="168" t="n">
        <f aca="false">'VOL DWNLD'!AF271+'VOL DELTA'!AF271</f>
        <v>1.1</v>
      </c>
      <c r="AG271" s="168" t="n">
        <f aca="false">'VOL DWNLD'!AG271+'VOL DELTA'!AG271</f>
        <v>1.1</v>
      </c>
      <c r="AH271" s="168" t="n">
        <f aca="false">'VOL DWNLD'!AH271+'VOL DELTA'!AH271</f>
        <v>1.05</v>
      </c>
      <c r="AI271" s="168" t="n">
        <f aca="false">'VOL DWNLD'!AI271+'VOL DELTA'!AI271</f>
        <v>1</v>
      </c>
      <c r="AJ271" s="168" t="n">
        <f aca="false">'VOL DWNLD'!AJ271+'VOL DELTA'!AJ271</f>
        <v>1</v>
      </c>
      <c r="AK271" s="168" t="n">
        <f aca="false">'VOL DWNLD'!AK271+'VOL DELTA'!AK271</f>
        <v>1.02</v>
      </c>
      <c r="AL271" s="168" t="n">
        <f aca="false">'VOL DWNLD'!AL271+'VOL DELTA'!AL271</f>
        <v>1</v>
      </c>
      <c r="AM271" s="168" t="n">
        <f aca="false">'VOL DWNLD'!AM271+'VOL DELTA'!AM271</f>
        <v>1</v>
      </c>
      <c r="AN271" s="168" t="n">
        <f aca="false">'VOL DWNLD'!AN271+'VOL DELTA'!AN271</f>
        <v>1</v>
      </c>
      <c r="AO271" s="168" t="n">
        <f aca="false">'VOL DWNLD'!AO271+'VOL DELTA'!AO271</f>
        <v>1</v>
      </c>
    </row>
    <row r="272" customFormat="false" ht="12.75" hidden="false" customHeight="false" outlineLevel="0" collapsed="false">
      <c r="B272" s="168" t="n">
        <f aca="false">'VOL DWNLD'!B272+'VOL DELTA'!B272</f>
        <v>1</v>
      </c>
      <c r="C272" s="168" t="n">
        <f aca="false">'VOL DWNLD'!C272+'VOL DELTA'!C272</f>
        <v>1</v>
      </c>
      <c r="D272" s="168" t="n">
        <f aca="false">'VOL DWNLD'!D272+'VOL DELTA'!D272</f>
        <v>1</v>
      </c>
      <c r="E272" s="168" t="n">
        <f aca="false">'VOL DWNLD'!E272+'VOL DELTA'!E272</f>
        <v>1</v>
      </c>
      <c r="F272" s="168" t="n">
        <f aca="false">'VOL DWNLD'!F272+'VOL DELTA'!F272</f>
        <v>1</v>
      </c>
      <c r="G272" s="168" t="n">
        <f aca="false">'VOL DWNLD'!G272+'VOL DELTA'!G272</f>
        <v>1</v>
      </c>
      <c r="H272" s="168" t="n">
        <f aca="false">'VOL DWNLD'!H272+'VOL DELTA'!H272</f>
        <v>1</v>
      </c>
      <c r="I272" s="168" t="n">
        <f aca="false">'VOL DWNLD'!I272+'VOL DELTA'!I272</f>
        <v>1</v>
      </c>
      <c r="J272" s="168" t="n">
        <f aca="false">'VOL DWNLD'!J272+'VOL DELTA'!J272</f>
        <v>1</v>
      </c>
      <c r="K272" s="168" t="n">
        <f aca="false">'VOL DWNLD'!K272+'VOL DELTA'!K272</f>
        <v>1</v>
      </c>
      <c r="L272" s="168" t="n">
        <f aca="false">'VOL DWNLD'!L272+'VOL DELTA'!L272</f>
        <v>1</v>
      </c>
      <c r="M272" s="168" t="n">
        <f aca="false">'VOL DWNLD'!M272+'VOL DELTA'!M272</f>
        <v>1</v>
      </c>
      <c r="N272" s="168" t="n">
        <f aca="false">'VOL DWNLD'!N272+'VOL DELTA'!N272</f>
        <v>1</v>
      </c>
      <c r="O272" s="168" t="n">
        <f aca="false">'VOL DWNLD'!O272+'VOL DELTA'!O272</f>
        <v>1</v>
      </c>
      <c r="P272" s="168" t="n">
        <f aca="false">'VOL DWNLD'!P272+'VOL DELTA'!P272</f>
        <v>1.03</v>
      </c>
      <c r="Q272" s="168" t="n">
        <f aca="false">'VOL DWNLD'!Q272+'VOL DELTA'!Q272</f>
        <v>1</v>
      </c>
      <c r="R272" s="168" t="n">
        <f aca="false">'VOL DWNLD'!R272+'VOL DELTA'!R272</f>
        <v>1</v>
      </c>
      <c r="S272" s="168" t="n">
        <f aca="false">'VOL DWNLD'!S272+'VOL DELTA'!S272</f>
        <v>1.02</v>
      </c>
      <c r="T272" s="168" t="n">
        <f aca="false">'VOL DWNLD'!T272+'VOL DELTA'!T272</f>
        <v>1</v>
      </c>
      <c r="U272" s="168" t="n">
        <f aca="false">'VOL DWNLD'!U272+'VOL DELTA'!U272</f>
        <v>1</v>
      </c>
      <c r="V272" s="168" t="n">
        <f aca="false">'VOL DWNLD'!V272+'VOL DELTA'!V272</f>
        <v>1</v>
      </c>
      <c r="W272" s="168" t="n">
        <f aca="false">'VOL DWNLD'!W272+'VOL DELTA'!W272</f>
        <v>1</v>
      </c>
      <c r="X272" s="168" t="n">
        <f aca="false">'VOL DWNLD'!X272+'VOL DELTA'!X272</f>
        <v>1</v>
      </c>
      <c r="Y272" s="168" t="n">
        <f aca="false">'VOL DWNLD'!Y272+'VOL DELTA'!Y272</f>
        <v>1</v>
      </c>
      <c r="Z272" s="168" t="n">
        <f aca="false">'VOL DWNLD'!Z272+'VOL DELTA'!Z272</f>
        <v>1</v>
      </c>
      <c r="AA272" s="168" t="n">
        <f aca="false">'VOL DWNLD'!AA272+'VOL DELTA'!AA272</f>
        <v>1</v>
      </c>
      <c r="AB272" s="168" t="n">
        <f aca="false">'VOL DWNLD'!AB272+'VOL DELTA'!AB272</f>
        <v>1</v>
      </c>
      <c r="AC272" s="168" t="n">
        <f aca="false">'VOL DWNLD'!AC272+'VOL DELTA'!AC272</f>
        <v>1</v>
      </c>
      <c r="AD272" s="168" t="n">
        <f aca="false">'VOL DWNLD'!AD272+'VOL DELTA'!AD272</f>
        <v>1</v>
      </c>
      <c r="AE272" s="168" t="n">
        <f aca="false">'VOL DWNLD'!AE272+'VOL DELTA'!AE272</f>
        <v>1</v>
      </c>
      <c r="AF272" s="168" t="n">
        <f aca="false">'VOL DWNLD'!AF272+'VOL DELTA'!AF272</f>
        <v>1.1</v>
      </c>
      <c r="AG272" s="168" t="n">
        <f aca="false">'VOL DWNLD'!AG272+'VOL DELTA'!AG272</f>
        <v>1.1</v>
      </c>
      <c r="AH272" s="168" t="n">
        <f aca="false">'VOL DWNLD'!AH272+'VOL DELTA'!AH272</f>
        <v>1.05</v>
      </c>
      <c r="AI272" s="168" t="n">
        <f aca="false">'VOL DWNLD'!AI272+'VOL DELTA'!AI272</f>
        <v>1</v>
      </c>
      <c r="AJ272" s="168" t="n">
        <f aca="false">'VOL DWNLD'!AJ272+'VOL DELTA'!AJ272</f>
        <v>1</v>
      </c>
      <c r="AK272" s="168" t="n">
        <f aca="false">'VOL DWNLD'!AK272+'VOL DELTA'!AK272</f>
        <v>1.02</v>
      </c>
      <c r="AL272" s="168" t="n">
        <f aca="false">'VOL DWNLD'!AL272+'VOL DELTA'!AL272</f>
        <v>1</v>
      </c>
      <c r="AM272" s="168" t="n">
        <f aca="false">'VOL DWNLD'!AM272+'VOL DELTA'!AM272</f>
        <v>1</v>
      </c>
      <c r="AN272" s="168" t="n">
        <f aca="false">'VOL DWNLD'!AN272+'VOL DELTA'!AN272</f>
        <v>1</v>
      </c>
      <c r="AO272" s="168" t="n">
        <f aca="false">'VOL DWNLD'!AO272+'VOL DELTA'!AO272</f>
        <v>1</v>
      </c>
    </row>
    <row r="273" customFormat="false" ht="12.75" hidden="false" customHeight="false" outlineLevel="0" collapsed="false">
      <c r="B273" s="168" t="n">
        <f aca="false">'VOL DWNLD'!B273+'VOL DELTA'!B273</f>
        <v>1</v>
      </c>
      <c r="C273" s="168" t="n">
        <f aca="false">'VOL DWNLD'!C273+'VOL DELTA'!C273</f>
        <v>1</v>
      </c>
      <c r="D273" s="168" t="n">
        <f aca="false">'VOL DWNLD'!D273+'VOL DELTA'!D273</f>
        <v>1</v>
      </c>
      <c r="E273" s="168" t="n">
        <f aca="false">'VOL DWNLD'!E273+'VOL DELTA'!E273</f>
        <v>1</v>
      </c>
      <c r="F273" s="168" t="n">
        <f aca="false">'VOL DWNLD'!F273+'VOL DELTA'!F273</f>
        <v>1</v>
      </c>
      <c r="G273" s="168" t="n">
        <f aca="false">'VOL DWNLD'!G273+'VOL DELTA'!G273</f>
        <v>1</v>
      </c>
      <c r="H273" s="168" t="n">
        <f aca="false">'VOL DWNLD'!H273+'VOL DELTA'!H273</f>
        <v>1</v>
      </c>
      <c r="I273" s="168" t="n">
        <f aca="false">'VOL DWNLD'!I273+'VOL DELTA'!I273</f>
        <v>1</v>
      </c>
      <c r="J273" s="168" t="n">
        <f aca="false">'VOL DWNLD'!J273+'VOL DELTA'!J273</f>
        <v>1</v>
      </c>
      <c r="K273" s="168" t="n">
        <f aca="false">'VOL DWNLD'!K273+'VOL DELTA'!K273</f>
        <v>1</v>
      </c>
      <c r="L273" s="168" t="n">
        <f aca="false">'VOL DWNLD'!L273+'VOL DELTA'!L273</f>
        <v>1</v>
      </c>
      <c r="M273" s="168" t="n">
        <f aca="false">'VOL DWNLD'!M273+'VOL DELTA'!M273</f>
        <v>1</v>
      </c>
      <c r="N273" s="168" t="n">
        <f aca="false">'VOL DWNLD'!N273+'VOL DELTA'!N273</f>
        <v>1</v>
      </c>
      <c r="O273" s="168" t="n">
        <f aca="false">'VOL DWNLD'!O273+'VOL DELTA'!O273</f>
        <v>1</v>
      </c>
      <c r="P273" s="168" t="n">
        <f aca="false">'VOL DWNLD'!P273+'VOL DELTA'!P273</f>
        <v>1.03</v>
      </c>
      <c r="Q273" s="168" t="n">
        <f aca="false">'VOL DWNLD'!Q273+'VOL DELTA'!Q273</f>
        <v>1</v>
      </c>
      <c r="R273" s="168" t="n">
        <f aca="false">'VOL DWNLD'!R273+'VOL DELTA'!R273</f>
        <v>1</v>
      </c>
      <c r="S273" s="168" t="n">
        <f aca="false">'VOL DWNLD'!S273+'VOL DELTA'!S273</f>
        <v>1.02</v>
      </c>
      <c r="T273" s="168" t="n">
        <f aca="false">'VOL DWNLD'!T273+'VOL DELTA'!T273</f>
        <v>1</v>
      </c>
      <c r="U273" s="168" t="n">
        <f aca="false">'VOL DWNLD'!U273+'VOL DELTA'!U273</f>
        <v>1</v>
      </c>
      <c r="V273" s="168" t="n">
        <f aca="false">'VOL DWNLD'!V273+'VOL DELTA'!V273</f>
        <v>1</v>
      </c>
      <c r="W273" s="168" t="n">
        <f aca="false">'VOL DWNLD'!W273+'VOL DELTA'!W273</f>
        <v>1</v>
      </c>
      <c r="X273" s="168" t="n">
        <f aca="false">'VOL DWNLD'!X273+'VOL DELTA'!X273</f>
        <v>1</v>
      </c>
      <c r="Y273" s="168" t="n">
        <f aca="false">'VOL DWNLD'!Y273+'VOL DELTA'!Y273</f>
        <v>1</v>
      </c>
      <c r="Z273" s="168" t="n">
        <f aca="false">'VOL DWNLD'!Z273+'VOL DELTA'!Z273</f>
        <v>1</v>
      </c>
      <c r="AA273" s="168" t="n">
        <f aca="false">'VOL DWNLD'!AA273+'VOL DELTA'!AA273</f>
        <v>1</v>
      </c>
      <c r="AB273" s="168" t="n">
        <f aca="false">'VOL DWNLD'!AB273+'VOL DELTA'!AB273</f>
        <v>1</v>
      </c>
      <c r="AC273" s="168" t="n">
        <f aca="false">'VOL DWNLD'!AC273+'VOL DELTA'!AC273</f>
        <v>1</v>
      </c>
      <c r="AD273" s="168" t="n">
        <f aca="false">'VOL DWNLD'!AD273+'VOL DELTA'!AD273</f>
        <v>1</v>
      </c>
      <c r="AE273" s="168" t="n">
        <f aca="false">'VOL DWNLD'!AE273+'VOL DELTA'!AE273</f>
        <v>1</v>
      </c>
      <c r="AF273" s="168" t="n">
        <f aca="false">'VOL DWNLD'!AF273+'VOL DELTA'!AF273</f>
        <v>1.1</v>
      </c>
      <c r="AG273" s="168" t="n">
        <f aca="false">'VOL DWNLD'!AG273+'VOL DELTA'!AG273</f>
        <v>1.1</v>
      </c>
      <c r="AH273" s="168" t="n">
        <f aca="false">'VOL DWNLD'!AH273+'VOL DELTA'!AH273</f>
        <v>1.05</v>
      </c>
      <c r="AI273" s="168" t="n">
        <f aca="false">'VOL DWNLD'!AI273+'VOL DELTA'!AI273</f>
        <v>1</v>
      </c>
      <c r="AJ273" s="168" t="n">
        <f aca="false">'VOL DWNLD'!AJ273+'VOL DELTA'!AJ273</f>
        <v>1</v>
      </c>
      <c r="AK273" s="168" t="n">
        <f aca="false">'VOL DWNLD'!AK273+'VOL DELTA'!AK273</f>
        <v>1.02</v>
      </c>
      <c r="AL273" s="168" t="n">
        <f aca="false">'VOL DWNLD'!AL273+'VOL DELTA'!AL273</f>
        <v>1</v>
      </c>
      <c r="AM273" s="168" t="n">
        <f aca="false">'VOL DWNLD'!AM273+'VOL DELTA'!AM273</f>
        <v>1</v>
      </c>
      <c r="AN273" s="168" t="n">
        <f aca="false">'VOL DWNLD'!AN273+'VOL DELTA'!AN273</f>
        <v>1</v>
      </c>
      <c r="AO273" s="168" t="n">
        <f aca="false">'VOL DWNLD'!AO273+'VOL DELTA'!AO273</f>
        <v>1</v>
      </c>
    </row>
    <row r="274" customFormat="false" ht="12.75" hidden="false" customHeight="false" outlineLevel="0" collapsed="false">
      <c r="B274" s="168" t="n">
        <f aca="false">'VOL DWNLD'!B274+'VOL DELTA'!B274</f>
        <v>1</v>
      </c>
      <c r="C274" s="168" t="n">
        <f aca="false">'VOL DWNLD'!C274+'VOL DELTA'!C274</f>
        <v>1</v>
      </c>
      <c r="D274" s="168" t="n">
        <f aca="false">'VOL DWNLD'!D274+'VOL DELTA'!D274</f>
        <v>1</v>
      </c>
      <c r="E274" s="168" t="n">
        <f aca="false">'VOL DWNLD'!E274+'VOL DELTA'!E274</f>
        <v>1</v>
      </c>
      <c r="F274" s="168" t="n">
        <f aca="false">'VOL DWNLD'!F274+'VOL DELTA'!F274</f>
        <v>1</v>
      </c>
      <c r="G274" s="168" t="n">
        <f aca="false">'VOL DWNLD'!G274+'VOL DELTA'!G274</f>
        <v>1</v>
      </c>
      <c r="H274" s="168" t="n">
        <f aca="false">'VOL DWNLD'!H274+'VOL DELTA'!H274</f>
        <v>1</v>
      </c>
      <c r="I274" s="168" t="n">
        <f aca="false">'VOL DWNLD'!I274+'VOL DELTA'!I274</f>
        <v>1</v>
      </c>
      <c r="J274" s="168" t="n">
        <f aca="false">'VOL DWNLD'!J274+'VOL DELTA'!J274</f>
        <v>1</v>
      </c>
      <c r="K274" s="168" t="n">
        <f aca="false">'VOL DWNLD'!K274+'VOL DELTA'!K274</f>
        <v>1</v>
      </c>
      <c r="L274" s="168" t="n">
        <f aca="false">'VOL DWNLD'!L274+'VOL DELTA'!L274</f>
        <v>1</v>
      </c>
      <c r="M274" s="168" t="n">
        <f aca="false">'VOL DWNLD'!M274+'VOL DELTA'!M274</f>
        <v>1</v>
      </c>
      <c r="N274" s="168" t="n">
        <f aca="false">'VOL DWNLD'!N274+'VOL DELTA'!N274</f>
        <v>1</v>
      </c>
      <c r="O274" s="168" t="n">
        <f aca="false">'VOL DWNLD'!O274+'VOL DELTA'!O274</f>
        <v>1</v>
      </c>
      <c r="P274" s="168" t="n">
        <f aca="false">'VOL DWNLD'!P274+'VOL DELTA'!P274</f>
        <v>1.03</v>
      </c>
      <c r="Q274" s="168" t="n">
        <f aca="false">'VOL DWNLD'!Q274+'VOL DELTA'!Q274</f>
        <v>1</v>
      </c>
      <c r="R274" s="168" t="n">
        <f aca="false">'VOL DWNLD'!R274+'VOL DELTA'!R274</f>
        <v>1</v>
      </c>
      <c r="S274" s="168" t="n">
        <f aca="false">'VOL DWNLD'!S274+'VOL DELTA'!S274</f>
        <v>1.02</v>
      </c>
      <c r="T274" s="168" t="n">
        <f aca="false">'VOL DWNLD'!T274+'VOL DELTA'!T274</f>
        <v>1</v>
      </c>
      <c r="U274" s="168" t="n">
        <f aca="false">'VOL DWNLD'!U274+'VOL DELTA'!U274</f>
        <v>1</v>
      </c>
      <c r="V274" s="168" t="n">
        <f aca="false">'VOL DWNLD'!V274+'VOL DELTA'!V274</f>
        <v>1</v>
      </c>
      <c r="W274" s="168" t="n">
        <f aca="false">'VOL DWNLD'!W274+'VOL DELTA'!W274</f>
        <v>1</v>
      </c>
      <c r="X274" s="168" t="n">
        <f aca="false">'VOL DWNLD'!X274+'VOL DELTA'!X274</f>
        <v>1</v>
      </c>
      <c r="Y274" s="168" t="n">
        <f aca="false">'VOL DWNLD'!Y274+'VOL DELTA'!Y274</f>
        <v>1.02</v>
      </c>
      <c r="Z274" s="168" t="n">
        <f aca="false">'VOL DWNLD'!Z274+'VOL DELTA'!Z274</f>
        <v>1</v>
      </c>
      <c r="AA274" s="168" t="n">
        <f aca="false">'VOL DWNLD'!AA274+'VOL DELTA'!AA274</f>
        <v>1</v>
      </c>
      <c r="AB274" s="168" t="n">
        <f aca="false">'VOL DWNLD'!AB274+'VOL DELTA'!AB274</f>
        <v>1</v>
      </c>
      <c r="AC274" s="168" t="n">
        <f aca="false">'VOL DWNLD'!AC274+'VOL DELTA'!AC274</f>
        <v>1</v>
      </c>
      <c r="AD274" s="168" t="n">
        <f aca="false">'VOL DWNLD'!AD274+'VOL DELTA'!AD274</f>
        <v>0.98</v>
      </c>
      <c r="AE274" s="168" t="n">
        <f aca="false">'VOL DWNLD'!AE274+'VOL DELTA'!AE274</f>
        <v>0.98</v>
      </c>
      <c r="AF274" s="168" t="n">
        <f aca="false">'VOL DWNLD'!AF274+'VOL DELTA'!AF274</f>
        <v>0.98</v>
      </c>
      <c r="AG274" s="168" t="n">
        <f aca="false">'VOL DWNLD'!AG274+'VOL DELTA'!AG274</f>
        <v>0.98</v>
      </c>
      <c r="AH274" s="168" t="n">
        <f aca="false">'VOL DWNLD'!AH274+'VOL DELTA'!AH274</f>
        <v>1.05</v>
      </c>
      <c r="AI274" s="168" t="n">
        <f aca="false">'VOL DWNLD'!AI274+'VOL DELTA'!AI274</f>
        <v>1</v>
      </c>
      <c r="AJ274" s="168" t="n">
        <f aca="false">'VOL DWNLD'!AJ274+'VOL DELTA'!AJ274</f>
        <v>1</v>
      </c>
      <c r="AK274" s="168" t="n">
        <f aca="false">'VOL DWNLD'!AK274+'VOL DELTA'!AK274</f>
        <v>1.02</v>
      </c>
      <c r="AL274" s="168" t="n">
        <f aca="false">'VOL DWNLD'!AL274+'VOL DELTA'!AL274</f>
        <v>1</v>
      </c>
      <c r="AM274" s="168" t="n">
        <f aca="false">'VOL DWNLD'!AM274+'VOL DELTA'!AM274</f>
        <v>1</v>
      </c>
      <c r="AN274" s="168" t="n">
        <f aca="false">'VOL DWNLD'!AN274+'VOL DELTA'!AN274</f>
        <v>1</v>
      </c>
      <c r="AO274" s="168" t="n">
        <f aca="false">'VOL DWNLD'!AO274+'VOL DELTA'!AO274</f>
        <v>1</v>
      </c>
    </row>
    <row r="275" customFormat="false" ht="12.75" hidden="false" customHeight="false" outlineLevel="0" collapsed="false">
      <c r="B275" s="168" t="n">
        <f aca="false">'VOL DWNLD'!B275+'VOL DELTA'!B275</f>
        <v>1</v>
      </c>
      <c r="C275" s="168" t="n">
        <f aca="false">'VOL DWNLD'!C275+'VOL DELTA'!C275</f>
        <v>1</v>
      </c>
      <c r="D275" s="168" t="n">
        <f aca="false">'VOL DWNLD'!D275+'VOL DELTA'!D275</f>
        <v>1</v>
      </c>
      <c r="E275" s="168" t="n">
        <f aca="false">'VOL DWNLD'!E275+'VOL DELTA'!E275</f>
        <v>1</v>
      </c>
      <c r="F275" s="168" t="n">
        <f aca="false">'VOL DWNLD'!F275+'VOL DELTA'!F275</f>
        <v>1</v>
      </c>
      <c r="G275" s="168" t="n">
        <f aca="false">'VOL DWNLD'!G275+'VOL DELTA'!G275</f>
        <v>1</v>
      </c>
      <c r="H275" s="168" t="n">
        <f aca="false">'VOL DWNLD'!H275+'VOL DELTA'!H275</f>
        <v>1</v>
      </c>
      <c r="I275" s="168" t="n">
        <f aca="false">'VOL DWNLD'!I275+'VOL DELTA'!I275</f>
        <v>1</v>
      </c>
      <c r="J275" s="168" t="n">
        <f aca="false">'VOL DWNLD'!J275+'VOL DELTA'!J275</f>
        <v>1</v>
      </c>
      <c r="K275" s="168" t="n">
        <f aca="false">'VOL DWNLD'!K275+'VOL DELTA'!K275</f>
        <v>1</v>
      </c>
      <c r="L275" s="168" t="n">
        <f aca="false">'VOL DWNLD'!L275+'VOL DELTA'!L275</f>
        <v>1</v>
      </c>
      <c r="M275" s="168" t="n">
        <f aca="false">'VOL DWNLD'!M275+'VOL DELTA'!M275</f>
        <v>1</v>
      </c>
      <c r="N275" s="168" t="n">
        <f aca="false">'VOL DWNLD'!N275+'VOL DELTA'!N275</f>
        <v>1</v>
      </c>
      <c r="O275" s="168" t="n">
        <f aca="false">'VOL DWNLD'!O275+'VOL DELTA'!O275</f>
        <v>1</v>
      </c>
      <c r="P275" s="168" t="n">
        <f aca="false">'VOL DWNLD'!P275+'VOL DELTA'!P275</f>
        <v>1.03</v>
      </c>
      <c r="Q275" s="168" t="n">
        <f aca="false">'VOL DWNLD'!Q275+'VOL DELTA'!Q275</f>
        <v>1</v>
      </c>
      <c r="R275" s="168" t="n">
        <f aca="false">'VOL DWNLD'!R275+'VOL DELTA'!R275</f>
        <v>1</v>
      </c>
      <c r="S275" s="168" t="n">
        <f aca="false">'VOL DWNLD'!S275+'VOL DELTA'!S275</f>
        <v>1.02</v>
      </c>
      <c r="T275" s="168" t="n">
        <f aca="false">'VOL DWNLD'!T275+'VOL DELTA'!T275</f>
        <v>1</v>
      </c>
      <c r="U275" s="168" t="n">
        <f aca="false">'VOL DWNLD'!U275+'VOL DELTA'!U275</f>
        <v>1</v>
      </c>
      <c r="V275" s="168" t="n">
        <f aca="false">'VOL DWNLD'!V275+'VOL DELTA'!V275</f>
        <v>1</v>
      </c>
      <c r="W275" s="168" t="n">
        <f aca="false">'VOL DWNLD'!W275+'VOL DELTA'!W275</f>
        <v>1</v>
      </c>
      <c r="X275" s="168" t="n">
        <f aca="false">'VOL DWNLD'!X275+'VOL DELTA'!X275</f>
        <v>1</v>
      </c>
      <c r="Y275" s="168" t="n">
        <f aca="false">'VOL DWNLD'!Y275+'VOL DELTA'!Y275</f>
        <v>1.02</v>
      </c>
      <c r="Z275" s="168" t="n">
        <f aca="false">'VOL DWNLD'!Z275+'VOL DELTA'!Z275</f>
        <v>1</v>
      </c>
      <c r="AA275" s="168" t="n">
        <f aca="false">'VOL DWNLD'!AA275+'VOL DELTA'!AA275</f>
        <v>1</v>
      </c>
      <c r="AB275" s="168" t="n">
        <f aca="false">'VOL DWNLD'!AB275+'VOL DELTA'!AB275</f>
        <v>1</v>
      </c>
      <c r="AC275" s="168" t="n">
        <f aca="false">'VOL DWNLD'!AC275+'VOL DELTA'!AC275</f>
        <v>1</v>
      </c>
      <c r="AD275" s="168" t="n">
        <f aca="false">'VOL DWNLD'!AD275+'VOL DELTA'!AD275</f>
        <v>0.98</v>
      </c>
      <c r="AE275" s="168" t="n">
        <f aca="false">'VOL DWNLD'!AE275+'VOL DELTA'!AE275</f>
        <v>0.98</v>
      </c>
      <c r="AF275" s="168" t="n">
        <f aca="false">'VOL DWNLD'!AF275+'VOL DELTA'!AF275</f>
        <v>0.98</v>
      </c>
      <c r="AG275" s="168" t="n">
        <f aca="false">'VOL DWNLD'!AG275+'VOL DELTA'!AG275</f>
        <v>0.98</v>
      </c>
      <c r="AH275" s="168" t="n">
        <f aca="false">'VOL DWNLD'!AH275+'VOL DELTA'!AH275</f>
        <v>1.05</v>
      </c>
      <c r="AI275" s="168" t="n">
        <f aca="false">'VOL DWNLD'!AI275+'VOL DELTA'!AI275</f>
        <v>1</v>
      </c>
      <c r="AJ275" s="168" t="n">
        <f aca="false">'VOL DWNLD'!AJ275+'VOL DELTA'!AJ275</f>
        <v>1</v>
      </c>
      <c r="AK275" s="168" t="n">
        <f aca="false">'VOL DWNLD'!AK275+'VOL DELTA'!AK275</f>
        <v>1.02</v>
      </c>
      <c r="AL275" s="168" t="n">
        <f aca="false">'VOL DWNLD'!AL275+'VOL DELTA'!AL275</f>
        <v>1</v>
      </c>
      <c r="AM275" s="168" t="n">
        <f aca="false">'VOL DWNLD'!AM275+'VOL DELTA'!AM275</f>
        <v>1</v>
      </c>
      <c r="AN275" s="168" t="n">
        <f aca="false">'VOL DWNLD'!AN275+'VOL DELTA'!AN275</f>
        <v>1</v>
      </c>
      <c r="AO275" s="168" t="n">
        <f aca="false">'VOL DWNLD'!AO275+'VOL DELTA'!AO275</f>
        <v>1</v>
      </c>
    </row>
    <row r="276" customFormat="false" ht="12.75" hidden="false" customHeight="false" outlineLevel="0" collapsed="false">
      <c r="B276" s="168" t="n">
        <f aca="false">'VOL DWNLD'!B276+'VOL DELTA'!B276</f>
        <v>1</v>
      </c>
      <c r="C276" s="168" t="n">
        <f aca="false">'VOL DWNLD'!C276+'VOL DELTA'!C276</f>
        <v>1</v>
      </c>
      <c r="D276" s="168" t="n">
        <f aca="false">'VOL DWNLD'!D276+'VOL DELTA'!D276</f>
        <v>1</v>
      </c>
      <c r="E276" s="168" t="n">
        <f aca="false">'VOL DWNLD'!E276+'VOL DELTA'!E276</f>
        <v>1</v>
      </c>
      <c r="F276" s="168" t="n">
        <f aca="false">'VOL DWNLD'!F276+'VOL DELTA'!F276</f>
        <v>1</v>
      </c>
      <c r="G276" s="168" t="n">
        <f aca="false">'VOL DWNLD'!G276+'VOL DELTA'!G276</f>
        <v>1</v>
      </c>
      <c r="H276" s="168" t="n">
        <f aca="false">'VOL DWNLD'!H276+'VOL DELTA'!H276</f>
        <v>1</v>
      </c>
      <c r="I276" s="168" t="n">
        <f aca="false">'VOL DWNLD'!I276+'VOL DELTA'!I276</f>
        <v>1</v>
      </c>
      <c r="J276" s="168" t="n">
        <f aca="false">'VOL DWNLD'!J276+'VOL DELTA'!J276</f>
        <v>1</v>
      </c>
      <c r="K276" s="168" t="n">
        <f aca="false">'VOL DWNLD'!K276+'VOL DELTA'!K276</f>
        <v>1</v>
      </c>
      <c r="L276" s="168" t="n">
        <f aca="false">'VOL DWNLD'!L276+'VOL DELTA'!L276</f>
        <v>1</v>
      </c>
      <c r="M276" s="168" t="n">
        <f aca="false">'VOL DWNLD'!M276+'VOL DELTA'!M276</f>
        <v>1</v>
      </c>
      <c r="N276" s="168" t="n">
        <f aca="false">'VOL DWNLD'!N276+'VOL DELTA'!N276</f>
        <v>1</v>
      </c>
      <c r="O276" s="168" t="n">
        <f aca="false">'VOL DWNLD'!O276+'VOL DELTA'!O276</f>
        <v>1</v>
      </c>
      <c r="P276" s="168" t="n">
        <f aca="false">'VOL DWNLD'!P276+'VOL DELTA'!P276</f>
        <v>1.03</v>
      </c>
      <c r="Q276" s="168" t="n">
        <f aca="false">'VOL DWNLD'!Q276+'VOL DELTA'!Q276</f>
        <v>1</v>
      </c>
      <c r="R276" s="168" t="n">
        <f aca="false">'VOL DWNLD'!R276+'VOL DELTA'!R276</f>
        <v>1</v>
      </c>
      <c r="S276" s="168" t="n">
        <f aca="false">'VOL DWNLD'!S276+'VOL DELTA'!S276</f>
        <v>1.02</v>
      </c>
      <c r="T276" s="168" t="n">
        <f aca="false">'VOL DWNLD'!T276+'VOL DELTA'!T276</f>
        <v>1</v>
      </c>
      <c r="U276" s="168" t="n">
        <f aca="false">'VOL DWNLD'!U276+'VOL DELTA'!U276</f>
        <v>1</v>
      </c>
      <c r="V276" s="168" t="n">
        <f aca="false">'VOL DWNLD'!V276+'VOL DELTA'!V276</f>
        <v>1</v>
      </c>
      <c r="W276" s="168" t="n">
        <f aca="false">'VOL DWNLD'!W276+'VOL DELTA'!W276</f>
        <v>1</v>
      </c>
      <c r="X276" s="168" t="n">
        <f aca="false">'VOL DWNLD'!X276+'VOL DELTA'!X276</f>
        <v>1</v>
      </c>
      <c r="Y276" s="168" t="n">
        <f aca="false">'VOL DWNLD'!Y276+'VOL DELTA'!Y276</f>
        <v>1.02</v>
      </c>
      <c r="Z276" s="168" t="n">
        <f aca="false">'VOL DWNLD'!Z276+'VOL DELTA'!Z276</f>
        <v>1</v>
      </c>
      <c r="AA276" s="168" t="n">
        <f aca="false">'VOL DWNLD'!AA276+'VOL DELTA'!AA276</f>
        <v>1</v>
      </c>
      <c r="AB276" s="168" t="n">
        <f aca="false">'VOL DWNLD'!AB276+'VOL DELTA'!AB276</f>
        <v>1</v>
      </c>
      <c r="AC276" s="168" t="n">
        <f aca="false">'VOL DWNLD'!AC276+'VOL DELTA'!AC276</f>
        <v>1</v>
      </c>
      <c r="AD276" s="168" t="n">
        <f aca="false">'VOL DWNLD'!AD276+'VOL DELTA'!AD276</f>
        <v>0.98</v>
      </c>
      <c r="AE276" s="168" t="n">
        <f aca="false">'VOL DWNLD'!AE276+'VOL DELTA'!AE276</f>
        <v>0.98</v>
      </c>
      <c r="AF276" s="168" t="n">
        <f aca="false">'VOL DWNLD'!AF276+'VOL DELTA'!AF276</f>
        <v>0.98</v>
      </c>
      <c r="AG276" s="168" t="n">
        <f aca="false">'VOL DWNLD'!AG276+'VOL DELTA'!AG276</f>
        <v>0.98</v>
      </c>
      <c r="AH276" s="168" t="n">
        <f aca="false">'VOL DWNLD'!AH276+'VOL DELTA'!AH276</f>
        <v>1.05</v>
      </c>
      <c r="AI276" s="168" t="n">
        <f aca="false">'VOL DWNLD'!AI276+'VOL DELTA'!AI276</f>
        <v>1</v>
      </c>
      <c r="AJ276" s="168" t="n">
        <f aca="false">'VOL DWNLD'!AJ276+'VOL DELTA'!AJ276</f>
        <v>1</v>
      </c>
      <c r="AK276" s="168" t="n">
        <f aca="false">'VOL DWNLD'!AK276+'VOL DELTA'!AK276</f>
        <v>1.02</v>
      </c>
      <c r="AL276" s="168" t="n">
        <f aca="false">'VOL DWNLD'!AL276+'VOL DELTA'!AL276</f>
        <v>1</v>
      </c>
      <c r="AM276" s="168" t="n">
        <f aca="false">'VOL DWNLD'!AM276+'VOL DELTA'!AM276</f>
        <v>1</v>
      </c>
      <c r="AN276" s="168" t="n">
        <f aca="false">'VOL DWNLD'!AN276+'VOL DELTA'!AN276</f>
        <v>1</v>
      </c>
      <c r="AO276" s="168" t="n">
        <f aca="false">'VOL DWNLD'!AO276+'VOL DELTA'!AO276</f>
        <v>1</v>
      </c>
    </row>
    <row r="277" customFormat="false" ht="12.75" hidden="false" customHeight="false" outlineLevel="0" collapsed="false">
      <c r="B277" s="168" t="n">
        <f aca="false">'VOL DWNLD'!B277+'VOL DELTA'!B277</f>
        <v>1</v>
      </c>
      <c r="C277" s="168" t="n">
        <f aca="false">'VOL DWNLD'!C277+'VOL DELTA'!C277</f>
        <v>1</v>
      </c>
      <c r="D277" s="168" t="n">
        <f aca="false">'VOL DWNLD'!D277+'VOL DELTA'!D277</f>
        <v>1</v>
      </c>
      <c r="E277" s="168" t="n">
        <f aca="false">'VOL DWNLD'!E277+'VOL DELTA'!E277</f>
        <v>1</v>
      </c>
      <c r="F277" s="168" t="n">
        <f aca="false">'VOL DWNLD'!F277+'VOL DELTA'!F277</f>
        <v>1</v>
      </c>
      <c r="G277" s="168" t="n">
        <f aca="false">'VOL DWNLD'!G277+'VOL DELTA'!G277</f>
        <v>1</v>
      </c>
      <c r="H277" s="168" t="n">
        <f aca="false">'VOL DWNLD'!H277+'VOL DELTA'!H277</f>
        <v>1</v>
      </c>
      <c r="I277" s="168" t="n">
        <f aca="false">'VOL DWNLD'!I277+'VOL DELTA'!I277</f>
        <v>1</v>
      </c>
      <c r="J277" s="168" t="n">
        <f aca="false">'VOL DWNLD'!J277+'VOL DELTA'!J277</f>
        <v>1</v>
      </c>
      <c r="K277" s="168" t="n">
        <f aca="false">'VOL DWNLD'!K277+'VOL DELTA'!K277</f>
        <v>1</v>
      </c>
      <c r="L277" s="168" t="n">
        <f aca="false">'VOL DWNLD'!L277+'VOL DELTA'!L277</f>
        <v>1</v>
      </c>
      <c r="M277" s="168" t="n">
        <f aca="false">'VOL DWNLD'!M277+'VOL DELTA'!M277</f>
        <v>1</v>
      </c>
      <c r="N277" s="168" t="n">
        <f aca="false">'VOL DWNLD'!N277+'VOL DELTA'!N277</f>
        <v>1</v>
      </c>
      <c r="O277" s="168" t="n">
        <f aca="false">'VOL DWNLD'!O277+'VOL DELTA'!O277</f>
        <v>1</v>
      </c>
      <c r="P277" s="168" t="n">
        <f aca="false">'VOL DWNLD'!P277+'VOL DELTA'!P277</f>
        <v>1.03</v>
      </c>
      <c r="Q277" s="168" t="n">
        <f aca="false">'VOL DWNLD'!Q277+'VOL DELTA'!Q277</f>
        <v>1</v>
      </c>
      <c r="R277" s="168" t="n">
        <f aca="false">'VOL DWNLD'!R277+'VOL DELTA'!R277</f>
        <v>1</v>
      </c>
      <c r="S277" s="168" t="n">
        <f aca="false">'VOL DWNLD'!S277+'VOL DELTA'!S277</f>
        <v>1.02</v>
      </c>
      <c r="T277" s="168" t="n">
        <f aca="false">'VOL DWNLD'!T277+'VOL DELTA'!T277</f>
        <v>1</v>
      </c>
      <c r="U277" s="168" t="n">
        <f aca="false">'VOL DWNLD'!U277+'VOL DELTA'!U277</f>
        <v>1</v>
      </c>
      <c r="V277" s="168" t="n">
        <f aca="false">'VOL DWNLD'!V277+'VOL DELTA'!V277</f>
        <v>1</v>
      </c>
      <c r="W277" s="168" t="n">
        <f aca="false">'VOL DWNLD'!W277+'VOL DELTA'!W277</f>
        <v>1</v>
      </c>
      <c r="X277" s="168" t="n">
        <f aca="false">'VOL DWNLD'!X277+'VOL DELTA'!X277</f>
        <v>1</v>
      </c>
      <c r="Y277" s="168" t="n">
        <f aca="false">'VOL DWNLD'!Y277+'VOL DELTA'!Y277</f>
        <v>1.02</v>
      </c>
      <c r="Z277" s="168" t="n">
        <f aca="false">'VOL DWNLD'!Z277+'VOL DELTA'!Z277</f>
        <v>1</v>
      </c>
      <c r="AA277" s="168" t="n">
        <f aca="false">'VOL DWNLD'!AA277+'VOL DELTA'!AA277</f>
        <v>1</v>
      </c>
      <c r="AB277" s="168" t="n">
        <f aca="false">'VOL DWNLD'!AB277+'VOL DELTA'!AB277</f>
        <v>1</v>
      </c>
      <c r="AC277" s="168" t="n">
        <f aca="false">'VOL DWNLD'!AC277+'VOL DELTA'!AC277</f>
        <v>1</v>
      </c>
      <c r="AD277" s="168" t="n">
        <f aca="false">'VOL DWNLD'!AD277+'VOL DELTA'!AD277</f>
        <v>0.98</v>
      </c>
      <c r="AE277" s="168" t="n">
        <f aca="false">'VOL DWNLD'!AE277+'VOL DELTA'!AE277</f>
        <v>0.98</v>
      </c>
      <c r="AF277" s="168" t="n">
        <f aca="false">'VOL DWNLD'!AF277+'VOL DELTA'!AF277</f>
        <v>0.98</v>
      </c>
      <c r="AG277" s="168" t="n">
        <f aca="false">'VOL DWNLD'!AG277+'VOL DELTA'!AG277</f>
        <v>0.98</v>
      </c>
      <c r="AH277" s="168" t="n">
        <f aca="false">'VOL DWNLD'!AH277+'VOL DELTA'!AH277</f>
        <v>1.05</v>
      </c>
      <c r="AI277" s="168" t="n">
        <f aca="false">'VOL DWNLD'!AI277+'VOL DELTA'!AI277</f>
        <v>1</v>
      </c>
      <c r="AJ277" s="168" t="n">
        <f aca="false">'VOL DWNLD'!AJ277+'VOL DELTA'!AJ277</f>
        <v>1</v>
      </c>
      <c r="AK277" s="168" t="n">
        <f aca="false">'VOL DWNLD'!AK277+'VOL DELTA'!AK277</f>
        <v>1.02</v>
      </c>
      <c r="AL277" s="168" t="n">
        <f aca="false">'VOL DWNLD'!AL277+'VOL DELTA'!AL277</f>
        <v>1</v>
      </c>
      <c r="AM277" s="168" t="n">
        <f aca="false">'VOL DWNLD'!AM277+'VOL DELTA'!AM277</f>
        <v>1</v>
      </c>
      <c r="AN277" s="168" t="n">
        <f aca="false">'VOL DWNLD'!AN277+'VOL DELTA'!AN277</f>
        <v>1</v>
      </c>
      <c r="AO277" s="168" t="n">
        <f aca="false">'VOL DWNLD'!AO277+'VOL DELTA'!AO277</f>
        <v>1</v>
      </c>
    </row>
    <row r="278" customFormat="false" ht="12.75" hidden="false" customHeight="false" outlineLevel="0" collapsed="false">
      <c r="B278" s="168" t="n">
        <f aca="false">'VOL DWNLD'!B278+'VOL DELTA'!B278</f>
        <v>1</v>
      </c>
      <c r="C278" s="168" t="n">
        <f aca="false">'VOL DWNLD'!C278+'VOL DELTA'!C278</f>
        <v>1</v>
      </c>
      <c r="D278" s="168" t="n">
        <f aca="false">'VOL DWNLD'!D278+'VOL DELTA'!D278</f>
        <v>1</v>
      </c>
      <c r="E278" s="168" t="n">
        <f aca="false">'VOL DWNLD'!E278+'VOL DELTA'!E278</f>
        <v>1</v>
      </c>
      <c r="F278" s="168" t="n">
        <f aca="false">'VOL DWNLD'!F278+'VOL DELTA'!F278</f>
        <v>1</v>
      </c>
      <c r="G278" s="168" t="n">
        <f aca="false">'VOL DWNLD'!G278+'VOL DELTA'!G278</f>
        <v>1</v>
      </c>
      <c r="H278" s="168" t="n">
        <f aca="false">'VOL DWNLD'!H278+'VOL DELTA'!H278</f>
        <v>1</v>
      </c>
      <c r="I278" s="168" t="n">
        <f aca="false">'VOL DWNLD'!I278+'VOL DELTA'!I278</f>
        <v>1</v>
      </c>
      <c r="J278" s="168" t="n">
        <f aca="false">'VOL DWNLD'!J278+'VOL DELTA'!J278</f>
        <v>1</v>
      </c>
      <c r="K278" s="168" t="n">
        <f aca="false">'VOL DWNLD'!K278+'VOL DELTA'!K278</f>
        <v>1</v>
      </c>
      <c r="L278" s="168" t="n">
        <f aca="false">'VOL DWNLD'!L278+'VOL DELTA'!L278</f>
        <v>1</v>
      </c>
      <c r="M278" s="168" t="n">
        <f aca="false">'VOL DWNLD'!M278+'VOL DELTA'!M278</f>
        <v>1</v>
      </c>
      <c r="N278" s="168" t="n">
        <f aca="false">'VOL DWNLD'!N278+'VOL DELTA'!N278</f>
        <v>1</v>
      </c>
      <c r="O278" s="168" t="n">
        <f aca="false">'VOL DWNLD'!O278+'VOL DELTA'!O278</f>
        <v>1</v>
      </c>
      <c r="P278" s="168" t="n">
        <f aca="false">'VOL DWNLD'!P278+'VOL DELTA'!P278</f>
        <v>1.03</v>
      </c>
      <c r="Q278" s="168" t="n">
        <f aca="false">'VOL DWNLD'!Q278+'VOL DELTA'!Q278</f>
        <v>1</v>
      </c>
      <c r="R278" s="168" t="n">
        <f aca="false">'VOL DWNLD'!R278+'VOL DELTA'!R278</f>
        <v>1</v>
      </c>
      <c r="S278" s="168" t="n">
        <f aca="false">'VOL DWNLD'!S278+'VOL DELTA'!S278</f>
        <v>1.02</v>
      </c>
      <c r="T278" s="168" t="n">
        <f aca="false">'VOL DWNLD'!T278+'VOL DELTA'!T278</f>
        <v>1</v>
      </c>
      <c r="U278" s="168" t="n">
        <f aca="false">'VOL DWNLD'!U278+'VOL DELTA'!U278</f>
        <v>1</v>
      </c>
      <c r="V278" s="168" t="n">
        <f aca="false">'VOL DWNLD'!V278+'VOL DELTA'!V278</f>
        <v>1</v>
      </c>
      <c r="W278" s="168" t="n">
        <f aca="false">'VOL DWNLD'!W278+'VOL DELTA'!W278</f>
        <v>1</v>
      </c>
      <c r="X278" s="168" t="n">
        <f aca="false">'VOL DWNLD'!X278+'VOL DELTA'!X278</f>
        <v>1</v>
      </c>
      <c r="Y278" s="168" t="n">
        <f aca="false">'VOL DWNLD'!Y278+'VOL DELTA'!Y278</f>
        <v>1.02</v>
      </c>
      <c r="Z278" s="168" t="n">
        <f aca="false">'VOL DWNLD'!Z278+'VOL DELTA'!Z278</f>
        <v>1</v>
      </c>
      <c r="AA278" s="168" t="n">
        <f aca="false">'VOL DWNLD'!AA278+'VOL DELTA'!AA278</f>
        <v>1</v>
      </c>
      <c r="AB278" s="168" t="n">
        <f aca="false">'VOL DWNLD'!AB278+'VOL DELTA'!AB278</f>
        <v>1</v>
      </c>
      <c r="AC278" s="168" t="n">
        <f aca="false">'VOL DWNLD'!AC278+'VOL DELTA'!AC278</f>
        <v>1</v>
      </c>
      <c r="AD278" s="168" t="n">
        <f aca="false">'VOL DWNLD'!AD278+'VOL DELTA'!AD278</f>
        <v>0.98</v>
      </c>
      <c r="AE278" s="168" t="n">
        <f aca="false">'VOL DWNLD'!AE278+'VOL DELTA'!AE278</f>
        <v>0.98</v>
      </c>
      <c r="AF278" s="168" t="n">
        <f aca="false">'VOL DWNLD'!AF278+'VOL DELTA'!AF278</f>
        <v>0.98</v>
      </c>
      <c r="AG278" s="168" t="n">
        <f aca="false">'VOL DWNLD'!AG278+'VOL DELTA'!AG278</f>
        <v>0.98</v>
      </c>
      <c r="AH278" s="168" t="n">
        <f aca="false">'VOL DWNLD'!AH278+'VOL DELTA'!AH278</f>
        <v>1.05</v>
      </c>
      <c r="AI278" s="168" t="n">
        <f aca="false">'VOL DWNLD'!AI278+'VOL DELTA'!AI278</f>
        <v>1</v>
      </c>
      <c r="AJ278" s="168" t="n">
        <f aca="false">'VOL DWNLD'!AJ278+'VOL DELTA'!AJ278</f>
        <v>1</v>
      </c>
      <c r="AK278" s="168" t="n">
        <f aca="false">'VOL DWNLD'!AK278+'VOL DELTA'!AK278</f>
        <v>1.02</v>
      </c>
      <c r="AL278" s="168" t="n">
        <f aca="false">'VOL DWNLD'!AL278+'VOL DELTA'!AL278</f>
        <v>1</v>
      </c>
      <c r="AM278" s="168" t="n">
        <f aca="false">'VOL DWNLD'!AM278+'VOL DELTA'!AM278</f>
        <v>1</v>
      </c>
      <c r="AN278" s="168" t="n">
        <f aca="false">'VOL DWNLD'!AN278+'VOL DELTA'!AN278</f>
        <v>1</v>
      </c>
      <c r="AO278" s="168" t="n">
        <f aca="false">'VOL DWNLD'!AO278+'VOL DELTA'!AO278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209"/>
  <sheetViews>
    <sheetView showFormulas="false" showGridLines="true" showRowColHeaders="true" showZeros="true" rightToLeft="false" tabSelected="false" showOutlineSymbols="true" defaultGridColor="true" view="normal" topLeftCell="M1" colorId="64" zoomScale="100" zoomScaleNormal="100" zoomScalePageLayoutView="100" workbookViewId="0">
      <selection pane="topLeft" activeCell="O1" activeCellId="0" sqref="O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56"/>
    <col collapsed="false" customWidth="true" hidden="false" outlineLevel="0" max="3" min="3" style="0" width="16.28"/>
    <col collapsed="false" customWidth="true" hidden="false" outlineLevel="0" max="4" min="4" style="0" width="12.85"/>
    <col collapsed="false" customWidth="true" hidden="false" outlineLevel="0" max="5" min="5" style="0" width="18.7"/>
    <col collapsed="false" customWidth="true" hidden="false" outlineLevel="0" max="6" min="6" style="0" width="17.85"/>
    <col collapsed="false" customWidth="true" hidden="false" outlineLevel="0" max="7" min="7" style="0" width="13.85"/>
    <col collapsed="false" customWidth="true" hidden="false" outlineLevel="0" max="8" min="8" style="0" width="16.13"/>
    <col collapsed="false" customWidth="true" hidden="false" outlineLevel="0" max="9" min="9" style="0" width="14.56"/>
    <col collapsed="false" customWidth="true" hidden="false" outlineLevel="0" max="10" min="10" style="0" width="12.56"/>
    <col collapsed="false" customWidth="true" hidden="false" outlineLevel="0" max="11" min="11" style="0" width="10.99"/>
    <col collapsed="false" customWidth="true" hidden="false" outlineLevel="0" max="12" min="12" style="0" width="12.28"/>
    <col collapsed="false" customWidth="true" hidden="false" outlineLevel="0" max="13" min="13" style="0" width="12.56"/>
    <col collapsed="false" customWidth="true" hidden="false" outlineLevel="0" max="14" min="14" style="0" width="17.7"/>
  </cols>
  <sheetData>
    <row r="1" customFormat="false" ht="14.25" hidden="false" customHeight="false" outlineLevel="0" collapsed="false">
      <c r="A1" s="158" t="s">
        <v>196</v>
      </c>
      <c r="B1" s="160" t="s">
        <v>93</v>
      </c>
      <c r="C1" s="161" t="s">
        <v>31</v>
      </c>
      <c r="D1" s="162" t="s">
        <v>47</v>
      </c>
      <c r="E1" s="162" t="s">
        <v>37</v>
      </c>
      <c r="F1" s="162" t="s">
        <v>100</v>
      </c>
      <c r="G1" s="162" t="s">
        <v>52</v>
      </c>
      <c r="H1" s="162" t="s">
        <v>38</v>
      </c>
      <c r="I1" s="162" t="s">
        <v>35</v>
      </c>
      <c r="J1" s="162" t="s">
        <v>67</v>
      </c>
      <c r="K1" s="162" t="s">
        <v>75</v>
      </c>
      <c r="L1" s="163" t="s">
        <v>117</v>
      </c>
      <c r="M1" s="163" t="s">
        <v>58</v>
      </c>
      <c r="N1" s="164" t="s">
        <v>87</v>
      </c>
      <c r="O1" s="164" t="s">
        <v>69</v>
      </c>
    </row>
    <row r="2" customFormat="false" ht="12.75" hidden="false" customHeight="false" outlineLevel="0" collapsed="false">
      <c r="A2" s="158"/>
      <c r="B2" s="165" t="n">
        <v>2</v>
      </c>
      <c r="C2" s="165" t="n">
        <f aca="false">B2+1</f>
        <v>3</v>
      </c>
      <c r="D2" s="165" t="n">
        <f aca="false">C2+1</f>
        <v>4</v>
      </c>
      <c r="E2" s="165" t="n">
        <f aca="false">D2+1</f>
        <v>5</v>
      </c>
      <c r="F2" s="165" t="n">
        <f aca="false">E2+1</f>
        <v>6</v>
      </c>
      <c r="G2" s="165" t="n">
        <f aca="false">F2+1</f>
        <v>7</v>
      </c>
      <c r="H2" s="165" t="n">
        <f aca="false">G2+1</f>
        <v>8</v>
      </c>
      <c r="I2" s="165" t="n">
        <f aca="false">H2+1</f>
        <v>9</v>
      </c>
      <c r="J2" s="165" t="n">
        <f aca="false">I2+1</f>
        <v>10</v>
      </c>
      <c r="K2" s="165" t="n">
        <f aca="false">J2+1</f>
        <v>11</v>
      </c>
      <c r="L2" s="165" t="n">
        <f aca="false">K2+1</f>
        <v>12</v>
      </c>
      <c r="M2" s="165" t="n">
        <f aca="false">L2+1</f>
        <v>13</v>
      </c>
      <c r="N2" s="165" t="n">
        <f aca="false">M2+1</f>
        <v>14</v>
      </c>
      <c r="O2" s="165" t="n">
        <f aca="false">N2+1</f>
        <v>15</v>
      </c>
    </row>
    <row r="3" customFormat="false" ht="12.75" hidden="false" customHeight="false" outlineLevel="0" collapsed="false">
      <c r="A3" s="158" t="n">
        <v>36770</v>
      </c>
      <c r="B3" s="108" t="n">
        <v>0.998309156840132</v>
      </c>
      <c r="C3" s="108" t="n">
        <v>0.998309156840132</v>
      </c>
      <c r="D3" s="108" t="n">
        <v>0.995</v>
      </c>
      <c r="E3" s="108" t="n">
        <v>0.84</v>
      </c>
      <c r="F3" s="108" t="n">
        <v>0.84</v>
      </c>
      <c r="G3" s="108" t="n">
        <v>0.994071440191916</v>
      </c>
      <c r="H3" s="108" t="n">
        <v>0.995</v>
      </c>
      <c r="I3" s="108" t="n">
        <v>0.9925</v>
      </c>
      <c r="J3" s="108" t="n">
        <v>0.9975</v>
      </c>
      <c r="K3" s="108" t="n">
        <v>0.83</v>
      </c>
      <c r="L3" s="108" t="n">
        <v>0.9925</v>
      </c>
      <c r="M3" s="108" t="n">
        <v>1.005</v>
      </c>
      <c r="N3" s="108" t="n">
        <v>0.99</v>
      </c>
    </row>
    <row r="4" customFormat="false" ht="12.75" hidden="false" customHeight="false" outlineLevel="0" collapsed="false">
      <c r="A4" s="158" t="n">
        <v>36800</v>
      </c>
      <c r="B4" s="108" t="n">
        <v>0.999</v>
      </c>
      <c r="C4" s="108" t="n">
        <v>0.999</v>
      </c>
      <c r="D4" s="108" t="n">
        <v>0.995</v>
      </c>
      <c r="E4" s="108" t="n">
        <v>0.84</v>
      </c>
      <c r="F4" s="108" t="n">
        <v>0.84</v>
      </c>
      <c r="G4" s="108" t="n">
        <v>0.994071440191916</v>
      </c>
      <c r="H4" s="108" t="n">
        <v>0.995</v>
      </c>
      <c r="I4" s="108" t="n">
        <v>0.9925</v>
      </c>
      <c r="J4" s="108" t="n">
        <v>0.9975</v>
      </c>
      <c r="K4" s="108" t="n">
        <v>0.73</v>
      </c>
      <c r="L4" s="108" t="n">
        <v>0.9925</v>
      </c>
      <c r="M4" s="108" t="n">
        <v>1.005</v>
      </c>
      <c r="N4" s="108" t="n">
        <v>0.99</v>
      </c>
      <c r="O4" s="108" t="n">
        <v>0.84</v>
      </c>
    </row>
    <row r="5" customFormat="false" ht="12.75" hidden="false" customHeight="false" outlineLevel="0" collapsed="false">
      <c r="A5" s="158" t="n">
        <v>36831</v>
      </c>
      <c r="B5" s="108" t="n">
        <v>0.999</v>
      </c>
      <c r="C5" s="108" t="n">
        <v>0.999</v>
      </c>
      <c r="D5" s="108" t="n">
        <v>0.995</v>
      </c>
      <c r="E5" s="108" t="n">
        <v>0.96</v>
      </c>
      <c r="F5" s="108" t="n">
        <v>0.91</v>
      </c>
      <c r="G5" s="108" t="n">
        <v>0.9985</v>
      </c>
      <c r="H5" s="108" t="n">
        <v>0.99</v>
      </c>
      <c r="I5" s="108" t="n">
        <v>0.86</v>
      </c>
      <c r="J5" s="108" t="n">
        <v>0.9985</v>
      </c>
      <c r="K5" s="108" t="n">
        <v>0.75</v>
      </c>
      <c r="L5" s="108" t="n">
        <v>0.99</v>
      </c>
      <c r="M5" s="108" t="n">
        <v>0.995</v>
      </c>
      <c r="N5" s="108" t="n">
        <v>0.995</v>
      </c>
      <c r="O5" s="108" t="n">
        <v>0.96</v>
      </c>
    </row>
    <row r="6" customFormat="false" ht="12.75" hidden="false" customHeight="false" outlineLevel="0" collapsed="false">
      <c r="A6" s="158" t="n">
        <v>36861</v>
      </c>
      <c r="B6" s="108" t="n">
        <v>0.999</v>
      </c>
      <c r="C6" s="108" t="n">
        <v>0.999</v>
      </c>
      <c r="D6" s="108" t="n">
        <v>0.995</v>
      </c>
      <c r="E6" s="108" t="n">
        <v>0.96</v>
      </c>
      <c r="F6" s="108" t="n">
        <v>0.91</v>
      </c>
      <c r="G6" s="108" t="n">
        <v>0.9985</v>
      </c>
      <c r="H6" s="108" t="n">
        <v>0.99</v>
      </c>
      <c r="I6" s="108" t="n">
        <v>0.74</v>
      </c>
      <c r="J6" s="108" t="n">
        <v>0.9985</v>
      </c>
      <c r="K6" s="108" t="n">
        <v>0.75</v>
      </c>
      <c r="L6" s="108" t="n">
        <v>0.99</v>
      </c>
      <c r="M6" s="108" t="n">
        <v>0.995</v>
      </c>
      <c r="N6" s="108" t="n">
        <v>0.995</v>
      </c>
      <c r="O6" s="108" t="n">
        <v>0.96</v>
      </c>
    </row>
    <row r="7" customFormat="false" ht="12.75" hidden="false" customHeight="false" outlineLevel="0" collapsed="false">
      <c r="A7" s="158" t="n">
        <v>36892</v>
      </c>
      <c r="B7" s="108" t="n">
        <v>0.999</v>
      </c>
      <c r="C7" s="108" t="n">
        <v>0.999</v>
      </c>
      <c r="D7" s="108" t="n">
        <v>0.995</v>
      </c>
      <c r="E7" s="108" t="n">
        <v>0.96</v>
      </c>
      <c r="F7" s="108" t="n">
        <v>0.91</v>
      </c>
      <c r="G7" s="108" t="n">
        <v>0.9985</v>
      </c>
      <c r="H7" s="108" t="n">
        <v>0.99</v>
      </c>
      <c r="I7" s="108" t="n">
        <v>0.74</v>
      </c>
      <c r="J7" s="108" t="n">
        <v>0.9985</v>
      </c>
      <c r="K7" s="108" t="n">
        <v>0.75</v>
      </c>
      <c r="L7" s="108" t="n">
        <v>0.99</v>
      </c>
      <c r="M7" s="108" t="n">
        <v>0.995</v>
      </c>
      <c r="N7" s="108" t="n">
        <v>0.995</v>
      </c>
      <c r="O7" s="108" t="n">
        <v>0.96</v>
      </c>
    </row>
    <row r="8" customFormat="false" ht="12.75" hidden="false" customHeight="false" outlineLevel="0" collapsed="false">
      <c r="A8" s="158" t="n">
        <v>36923</v>
      </c>
      <c r="B8" s="108" t="n">
        <v>0.999</v>
      </c>
      <c r="C8" s="108" t="n">
        <v>0.999</v>
      </c>
      <c r="D8" s="108" t="n">
        <v>0.995</v>
      </c>
      <c r="E8" s="108" t="n">
        <v>0.96</v>
      </c>
      <c r="F8" s="108" t="n">
        <v>0.91</v>
      </c>
      <c r="G8" s="108" t="n">
        <v>0.9985</v>
      </c>
      <c r="H8" s="108" t="n">
        <v>0.99</v>
      </c>
      <c r="I8" s="108" t="n">
        <v>0.74</v>
      </c>
      <c r="J8" s="108" t="n">
        <v>0.9985</v>
      </c>
      <c r="K8" s="108" t="n">
        <v>0.75</v>
      </c>
      <c r="L8" s="108" t="n">
        <v>0.99</v>
      </c>
      <c r="M8" s="108" t="n">
        <v>0.995</v>
      </c>
      <c r="N8" s="108" t="n">
        <v>0.995</v>
      </c>
      <c r="O8" s="108" t="n">
        <v>0.96</v>
      </c>
    </row>
    <row r="9" customFormat="false" ht="12.75" hidden="false" customHeight="false" outlineLevel="0" collapsed="false">
      <c r="A9" s="158" t="n">
        <v>36951</v>
      </c>
      <c r="B9" s="108" t="n">
        <v>0.999</v>
      </c>
      <c r="C9" s="108" t="n">
        <v>0.999</v>
      </c>
      <c r="D9" s="108" t="n">
        <v>0.995</v>
      </c>
      <c r="E9" s="108" t="n">
        <v>0.96</v>
      </c>
      <c r="F9" s="108" t="n">
        <v>0.91</v>
      </c>
      <c r="G9" s="108" t="n">
        <v>0.9985</v>
      </c>
      <c r="H9" s="108" t="n">
        <v>0.99</v>
      </c>
      <c r="I9" s="108" t="n">
        <v>0.8</v>
      </c>
      <c r="J9" s="108" t="n">
        <v>0.9985</v>
      </c>
      <c r="K9" s="108" t="n">
        <v>0.75</v>
      </c>
      <c r="L9" s="108" t="n">
        <v>0.99</v>
      </c>
      <c r="M9" s="108" t="n">
        <v>0.995</v>
      </c>
      <c r="N9" s="108" t="n">
        <v>0.995</v>
      </c>
      <c r="O9" s="108" t="n">
        <v>0.96</v>
      </c>
    </row>
    <row r="10" customFormat="false" ht="12.75" hidden="false" customHeight="false" outlineLevel="0" collapsed="false">
      <c r="A10" s="158" t="n">
        <v>36982</v>
      </c>
      <c r="B10" s="108" t="n">
        <v>0.999</v>
      </c>
      <c r="C10" s="108" t="n">
        <v>0.999</v>
      </c>
      <c r="D10" s="108" t="n">
        <v>0.995</v>
      </c>
      <c r="E10" s="108" t="n">
        <v>0.96</v>
      </c>
      <c r="F10" s="108" t="n">
        <v>0.96</v>
      </c>
      <c r="G10" s="108" t="n">
        <v>0.994071440191916</v>
      </c>
      <c r="H10" s="108" t="n">
        <v>0.99</v>
      </c>
      <c r="I10" s="108" t="n">
        <v>0.9773</v>
      </c>
      <c r="J10" s="108" t="n">
        <v>0.995</v>
      </c>
      <c r="K10" s="108" t="n">
        <v>0.85</v>
      </c>
      <c r="L10" s="108" t="n">
        <v>0.99</v>
      </c>
      <c r="M10" s="108" t="n">
        <v>1.005</v>
      </c>
      <c r="N10" s="108" t="n">
        <v>0.99</v>
      </c>
      <c r="O10" s="108" t="n">
        <v>0.96</v>
      </c>
    </row>
    <row r="11" customFormat="false" ht="12.75" hidden="false" customHeight="false" outlineLevel="0" collapsed="false">
      <c r="A11" s="158" t="n">
        <v>37012</v>
      </c>
      <c r="B11" s="108" t="n">
        <v>0.999</v>
      </c>
      <c r="C11" s="108" t="n">
        <v>0.999</v>
      </c>
      <c r="D11" s="108" t="n">
        <v>0.995</v>
      </c>
      <c r="E11" s="108" t="n">
        <v>0.96</v>
      </c>
      <c r="F11" s="108" t="n">
        <v>0.96</v>
      </c>
      <c r="G11" s="108" t="n">
        <v>0.994071440191916</v>
      </c>
      <c r="H11" s="108" t="n">
        <v>0.99</v>
      </c>
      <c r="I11" s="108" t="n">
        <v>0.9773</v>
      </c>
      <c r="J11" s="108" t="n">
        <v>0.995</v>
      </c>
      <c r="K11" s="108" t="n">
        <v>0.85</v>
      </c>
      <c r="L11" s="108" t="n">
        <v>0.99</v>
      </c>
      <c r="M11" s="108" t="n">
        <v>1.005</v>
      </c>
      <c r="N11" s="108" t="n">
        <v>0.99</v>
      </c>
      <c r="O11" s="108" t="n">
        <v>0.96</v>
      </c>
    </row>
    <row r="12" customFormat="false" ht="12.75" hidden="false" customHeight="false" outlineLevel="0" collapsed="false">
      <c r="A12" s="158" t="n">
        <v>37043</v>
      </c>
      <c r="B12" s="108" t="n">
        <v>0.999</v>
      </c>
      <c r="C12" s="108" t="n">
        <v>0.999</v>
      </c>
      <c r="D12" s="108" t="n">
        <v>0.995</v>
      </c>
      <c r="E12" s="108" t="n">
        <v>0.96</v>
      </c>
      <c r="F12" s="108" t="n">
        <v>0.96</v>
      </c>
      <c r="G12" s="108" t="n">
        <v>0.994071440191916</v>
      </c>
      <c r="H12" s="108" t="n">
        <v>0.99</v>
      </c>
      <c r="I12" s="108" t="n">
        <v>0.9773</v>
      </c>
      <c r="J12" s="108" t="n">
        <v>0.995</v>
      </c>
      <c r="K12" s="108" t="n">
        <v>0.85</v>
      </c>
      <c r="L12" s="108" t="n">
        <v>0.99</v>
      </c>
      <c r="M12" s="108" t="n">
        <v>1.005</v>
      </c>
      <c r="N12" s="108" t="n">
        <v>0.99</v>
      </c>
      <c r="O12" s="108" t="n">
        <v>0.96</v>
      </c>
    </row>
    <row r="13" customFormat="false" ht="12.75" hidden="false" customHeight="false" outlineLevel="0" collapsed="false">
      <c r="A13" s="158" t="n">
        <v>37073</v>
      </c>
      <c r="B13" s="108" t="n">
        <v>0.999</v>
      </c>
      <c r="C13" s="108" t="n">
        <v>0.999</v>
      </c>
      <c r="D13" s="108" t="n">
        <v>0.995</v>
      </c>
      <c r="E13" s="108" t="n">
        <v>0.96</v>
      </c>
      <c r="F13" s="108" t="n">
        <v>0.96</v>
      </c>
      <c r="G13" s="108" t="n">
        <v>0.994071440191916</v>
      </c>
      <c r="H13" s="108" t="n">
        <v>0.99</v>
      </c>
      <c r="I13" s="108" t="n">
        <v>0.9773</v>
      </c>
      <c r="J13" s="108" t="n">
        <v>0.995</v>
      </c>
      <c r="K13" s="108" t="n">
        <v>0.85</v>
      </c>
      <c r="L13" s="108" t="n">
        <v>0.99</v>
      </c>
      <c r="M13" s="108" t="n">
        <v>1.005</v>
      </c>
      <c r="N13" s="108" t="n">
        <v>0.99</v>
      </c>
      <c r="O13" s="108" t="n">
        <v>0.96</v>
      </c>
    </row>
    <row r="14" customFormat="false" ht="12.75" hidden="false" customHeight="false" outlineLevel="0" collapsed="false">
      <c r="A14" s="158" t="n">
        <v>37104</v>
      </c>
      <c r="B14" s="108" t="n">
        <v>0.999</v>
      </c>
      <c r="C14" s="108" t="n">
        <v>0.999</v>
      </c>
      <c r="D14" s="108" t="n">
        <v>0.995</v>
      </c>
      <c r="E14" s="108" t="n">
        <v>0.96</v>
      </c>
      <c r="F14" s="108" t="n">
        <v>0.96</v>
      </c>
      <c r="G14" s="108" t="n">
        <v>0.994071440191916</v>
      </c>
      <c r="H14" s="108" t="n">
        <v>0.99</v>
      </c>
      <c r="I14" s="108" t="n">
        <v>0.9773</v>
      </c>
      <c r="J14" s="108" t="n">
        <v>0.995</v>
      </c>
      <c r="K14" s="108" t="n">
        <v>0.85</v>
      </c>
      <c r="L14" s="108" t="n">
        <v>0.99</v>
      </c>
      <c r="M14" s="108" t="n">
        <v>1.005</v>
      </c>
      <c r="N14" s="108" t="n">
        <v>0.99</v>
      </c>
      <c r="O14" s="108" t="n">
        <v>0.96</v>
      </c>
    </row>
    <row r="15" customFormat="false" ht="12.75" hidden="false" customHeight="false" outlineLevel="0" collapsed="false">
      <c r="A15" s="158" t="n">
        <v>37135</v>
      </c>
      <c r="B15" s="108" t="n">
        <v>0.999</v>
      </c>
      <c r="C15" s="108" t="n">
        <v>0.999</v>
      </c>
      <c r="D15" s="108" t="n">
        <v>0.995</v>
      </c>
      <c r="E15" s="108" t="n">
        <v>0.96</v>
      </c>
      <c r="F15" s="108" t="n">
        <v>0.96</v>
      </c>
      <c r="G15" s="108" t="n">
        <v>0.994071440191916</v>
      </c>
      <c r="H15" s="108" t="n">
        <v>0.99</v>
      </c>
      <c r="I15" s="108" t="n">
        <v>0.9773</v>
      </c>
      <c r="J15" s="108" t="n">
        <v>0.995</v>
      </c>
      <c r="K15" s="108" t="n">
        <v>0.85</v>
      </c>
      <c r="L15" s="108" t="n">
        <v>0.99</v>
      </c>
      <c r="M15" s="108" t="n">
        <v>1.005</v>
      </c>
      <c r="N15" s="108" t="n">
        <v>0.99</v>
      </c>
      <c r="O15" s="108" t="n">
        <v>0.96</v>
      </c>
    </row>
    <row r="16" customFormat="false" ht="12.75" hidden="false" customHeight="false" outlineLevel="0" collapsed="false">
      <c r="A16" s="158" t="n">
        <v>37165</v>
      </c>
      <c r="B16" s="108" t="n">
        <v>0.999</v>
      </c>
      <c r="C16" s="108" t="n">
        <v>0.999</v>
      </c>
      <c r="D16" s="108" t="n">
        <v>0.995</v>
      </c>
      <c r="E16" s="108" t="n">
        <v>0.96</v>
      </c>
      <c r="F16" s="108" t="n">
        <v>0.96</v>
      </c>
      <c r="G16" s="108" t="n">
        <v>0.994071440191916</v>
      </c>
      <c r="H16" s="108" t="n">
        <v>0.99</v>
      </c>
      <c r="I16" s="108" t="n">
        <v>0.9773</v>
      </c>
      <c r="J16" s="108" t="n">
        <v>0.995</v>
      </c>
      <c r="K16" s="108" t="n">
        <v>0.85</v>
      </c>
      <c r="L16" s="108" t="n">
        <v>0.99</v>
      </c>
      <c r="M16" s="108" t="n">
        <v>1.005</v>
      </c>
      <c r="N16" s="108" t="n">
        <v>0.99</v>
      </c>
      <c r="O16" s="108" t="n">
        <v>0.96</v>
      </c>
    </row>
    <row r="17" customFormat="false" ht="12.75" hidden="false" customHeight="false" outlineLevel="0" collapsed="false">
      <c r="A17" s="158" t="n">
        <v>37196</v>
      </c>
      <c r="B17" s="108" t="n">
        <v>0.999</v>
      </c>
      <c r="C17" s="108" t="n">
        <v>0.999</v>
      </c>
      <c r="D17" s="108" t="n">
        <v>0.995</v>
      </c>
      <c r="E17" s="108" t="n">
        <v>0.96</v>
      </c>
      <c r="F17" s="108" t="n">
        <v>0.96</v>
      </c>
      <c r="G17" s="108" t="n">
        <v>0.984107647518451</v>
      </c>
      <c r="H17" s="108" t="n">
        <v>0.99</v>
      </c>
      <c r="I17" s="108" t="n">
        <v>0.95</v>
      </c>
      <c r="J17" s="108" t="n">
        <v>0.995</v>
      </c>
      <c r="K17" s="108" t="n">
        <v>0.98</v>
      </c>
      <c r="L17" s="108" t="n">
        <v>0.99</v>
      </c>
      <c r="M17" s="108" t="n">
        <v>1.005</v>
      </c>
      <c r="N17" s="108" t="n">
        <v>0.99</v>
      </c>
      <c r="O17" s="108" t="n">
        <v>0.96</v>
      </c>
    </row>
    <row r="18" customFormat="false" ht="12.75" hidden="false" customHeight="false" outlineLevel="0" collapsed="false">
      <c r="A18" s="158" t="n">
        <v>37226</v>
      </c>
      <c r="B18" s="108" t="n">
        <v>0.999</v>
      </c>
      <c r="C18" s="108" t="n">
        <v>0.999</v>
      </c>
      <c r="D18" s="108" t="n">
        <v>0.995</v>
      </c>
      <c r="E18" s="108" t="n">
        <v>0.96</v>
      </c>
      <c r="F18" s="108" t="n">
        <v>0.96</v>
      </c>
      <c r="G18" s="108" t="n">
        <v>0.984107647518451</v>
      </c>
      <c r="H18" s="108" t="n">
        <v>0.99</v>
      </c>
      <c r="I18" s="108" t="n">
        <v>0.95</v>
      </c>
      <c r="J18" s="108" t="n">
        <v>0.995</v>
      </c>
      <c r="K18" s="108" t="n">
        <v>0.98</v>
      </c>
      <c r="L18" s="108" t="n">
        <v>0.99</v>
      </c>
      <c r="M18" s="108" t="n">
        <v>1.005</v>
      </c>
      <c r="N18" s="108" t="n">
        <v>0.99</v>
      </c>
      <c r="O18" s="108" t="n">
        <v>0.96</v>
      </c>
    </row>
    <row r="19" customFormat="false" ht="12.75" hidden="false" customHeight="false" outlineLevel="0" collapsed="false">
      <c r="A19" s="158" t="n">
        <v>37257</v>
      </c>
      <c r="B19" s="108" t="n">
        <v>0.999</v>
      </c>
      <c r="C19" s="108" t="n">
        <v>0.999</v>
      </c>
      <c r="D19" s="108" t="n">
        <v>0.995</v>
      </c>
      <c r="E19" s="108" t="n">
        <v>0.96</v>
      </c>
      <c r="F19" s="108" t="n">
        <v>0.96</v>
      </c>
      <c r="G19" s="108" t="n">
        <v>0.984107647518451</v>
      </c>
      <c r="H19" s="108" t="n">
        <v>0.99</v>
      </c>
      <c r="I19" s="108" t="n">
        <v>0.95</v>
      </c>
      <c r="J19" s="108" t="n">
        <v>0.995</v>
      </c>
      <c r="K19" s="108" t="n">
        <v>0.98</v>
      </c>
      <c r="L19" s="108" t="n">
        <v>0.99</v>
      </c>
      <c r="M19" s="108" t="n">
        <v>1.005</v>
      </c>
      <c r="N19" s="108" t="n">
        <v>0.99</v>
      </c>
      <c r="O19" s="108" t="n">
        <v>0.96</v>
      </c>
    </row>
    <row r="20" customFormat="false" ht="12.75" hidden="false" customHeight="false" outlineLevel="0" collapsed="false">
      <c r="A20" s="158" t="n">
        <v>37288</v>
      </c>
      <c r="B20" s="108" t="n">
        <v>0.999</v>
      </c>
      <c r="C20" s="108" t="n">
        <v>0.999</v>
      </c>
      <c r="D20" s="108" t="n">
        <v>0.995</v>
      </c>
      <c r="E20" s="108" t="n">
        <v>0.96</v>
      </c>
      <c r="F20" s="108" t="n">
        <v>0.96</v>
      </c>
      <c r="G20" s="108" t="n">
        <v>0.984107647518451</v>
      </c>
      <c r="H20" s="108" t="n">
        <v>0.99</v>
      </c>
      <c r="I20" s="108" t="n">
        <v>0.95</v>
      </c>
      <c r="J20" s="108" t="n">
        <v>0.995</v>
      </c>
      <c r="K20" s="108" t="n">
        <v>0.98</v>
      </c>
      <c r="L20" s="108" t="n">
        <v>0.99</v>
      </c>
      <c r="M20" s="108" t="n">
        <v>1.005</v>
      </c>
      <c r="N20" s="108" t="n">
        <v>0.99</v>
      </c>
      <c r="O20" s="108" t="n">
        <v>0.96</v>
      </c>
    </row>
    <row r="21" customFormat="false" ht="12.75" hidden="false" customHeight="false" outlineLevel="0" collapsed="false">
      <c r="A21" s="158" t="n">
        <v>37316</v>
      </c>
      <c r="B21" s="108" t="n">
        <v>0.999</v>
      </c>
      <c r="C21" s="108" t="n">
        <v>0.999</v>
      </c>
      <c r="D21" s="108" t="n">
        <v>0.995</v>
      </c>
      <c r="E21" s="108" t="n">
        <v>0.96</v>
      </c>
      <c r="F21" s="108" t="n">
        <v>0.96</v>
      </c>
      <c r="G21" s="108" t="n">
        <v>0.984107647518451</v>
      </c>
      <c r="H21" s="108" t="n">
        <v>0.99</v>
      </c>
      <c r="I21" s="108" t="n">
        <v>0.95</v>
      </c>
      <c r="J21" s="108" t="n">
        <v>0.995</v>
      </c>
      <c r="K21" s="108" t="n">
        <v>0.98</v>
      </c>
      <c r="L21" s="108" t="n">
        <v>0.99</v>
      </c>
      <c r="M21" s="108" t="n">
        <v>1.005</v>
      </c>
      <c r="N21" s="108" t="n">
        <v>0.99</v>
      </c>
      <c r="O21" s="108" t="n">
        <v>0.96</v>
      </c>
    </row>
    <row r="22" customFormat="false" ht="12.75" hidden="false" customHeight="false" outlineLevel="0" collapsed="false">
      <c r="A22" s="158" t="n">
        <v>37347</v>
      </c>
      <c r="B22" s="108" t="n">
        <v>0.999</v>
      </c>
      <c r="C22" s="108" t="n">
        <v>0.999</v>
      </c>
      <c r="D22" s="108" t="n">
        <v>0.995</v>
      </c>
      <c r="E22" s="108" t="n">
        <v>0.96</v>
      </c>
      <c r="F22" s="108" t="n">
        <v>0.96</v>
      </c>
      <c r="G22" s="108" t="n">
        <v>0.994071440191916</v>
      </c>
      <c r="H22" s="108" t="n">
        <v>0.99</v>
      </c>
      <c r="I22" s="108" t="n">
        <v>0.980420749757432</v>
      </c>
      <c r="J22" s="108" t="n">
        <v>0.995</v>
      </c>
      <c r="K22" s="108" t="n">
        <v>0.98</v>
      </c>
      <c r="L22" s="108" t="n">
        <v>0.99</v>
      </c>
      <c r="M22" s="108" t="n">
        <v>1.005</v>
      </c>
      <c r="N22" s="108" t="n">
        <v>0.99</v>
      </c>
      <c r="O22" s="108" t="n">
        <v>0.96</v>
      </c>
    </row>
    <row r="23" customFormat="false" ht="12.75" hidden="false" customHeight="false" outlineLevel="0" collapsed="false">
      <c r="A23" s="158" t="n">
        <v>37377</v>
      </c>
      <c r="B23" s="108" t="n">
        <v>0.999</v>
      </c>
      <c r="C23" s="108" t="n">
        <v>0.999</v>
      </c>
      <c r="D23" s="108" t="n">
        <v>0.995</v>
      </c>
      <c r="E23" s="108" t="n">
        <v>0.96</v>
      </c>
      <c r="F23" s="108" t="n">
        <v>0.96</v>
      </c>
      <c r="G23" s="108" t="n">
        <v>0.994071440191916</v>
      </c>
      <c r="H23" s="108" t="n">
        <v>0.99</v>
      </c>
      <c r="I23" s="108" t="n">
        <v>0.980420749757432</v>
      </c>
      <c r="J23" s="108" t="n">
        <v>0.995</v>
      </c>
      <c r="K23" s="108" t="n">
        <v>0.98</v>
      </c>
      <c r="L23" s="108" t="n">
        <v>0.99</v>
      </c>
      <c r="M23" s="108" t="n">
        <v>1.005</v>
      </c>
      <c r="N23" s="108" t="n">
        <v>0.99</v>
      </c>
      <c r="O23" s="108" t="n">
        <v>0.96</v>
      </c>
    </row>
    <row r="24" customFormat="false" ht="12.75" hidden="false" customHeight="false" outlineLevel="0" collapsed="false">
      <c r="A24" s="158" t="n">
        <v>37408</v>
      </c>
      <c r="B24" s="108" t="n">
        <v>0.999</v>
      </c>
      <c r="C24" s="108" t="n">
        <v>0.999</v>
      </c>
      <c r="D24" s="108" t="n">
        <v>0.995</v>
      </c>
      <c r="E24" s="108" t="n">
        <v>0.96</v>
      </c>
      <c r="F24" s="108" t="n">
        <v>0.96</v>
      </c>
      <c r="G24" s="108" t="n">
        <v>0.994071440191916</v>
      </c>
      <c r="H24" s="108" t="n">
        <v>0.99</v>
      </c>
      <c r="I24" s="108" t="n">
        <v>0.980420749757432</v>
      </c>
      <c r="J24" s="108" t="n">
        <v>0.995</v>
      </c>
      <c r="K24" s="108" t="n">
        <v>0.98</v>
      </c>
      <c r="L24" s="108" t="n">
        <v>0.99</v>
      </c>
      <c r="M24" s="108" t="n">
        <v>1.005</v>
      </c>
      <c r="N24" s="108" t="n">
        <v>0.99</v>
      </c>
      <c r="O24" s="108" t="n">
        <v>0.96</v>
      </c>
    </row>
    <row r="25" customFormat="false" ht="12.75" hidden="false" customHeight="false" outlineLevel="0" collapsed="false">
      <c r="A25" s="158" t="n">
        <v>37438</v>
      </c>
      <c r="B25" s="108" t="n">
        <v>0.999</v>
      </c>
      <c r="C25" s="108" t="n">
        <v>0.999</v>
      </c>
      <c r="D25" s="108" t="n">
        <v>0.995</v>
      </c>
      <c r="E25" s="108" t="n">
        <v>0.96</v>
      </c>
      <c r="F25" s="108" t="n">
        <v>0.96</v>
      </c>
      <c r="G25" s="108" t="n">
        <v>0.994071440191916</v>
      </c>
      <c r="H25" s="108" t="n">
        <v>0.99</v>
      </c>
      <c r="I25" s="108" t="n">
        <v>0.980420749757432</v>
      </c>
      <c r="J25" s="108" t="n">
        <v>0.995</v>
      </c>
      <c r="K25" s="108" t="n">
        <v>0.98</v>
      </c>
      <c r="L25" s="108" t="n">
        <v>0.99</v>
      </c>
      <c r="M25" s="108" t="n">
        <v>1.005</v>
      </c>
      <c r="N25" s="108" t="n">
        <v>0.99</v>
      </c>
      <c r="O25" s="108" t="n">
        <v>0.96</v>
      </c>
    </row>
    <row r="26" customFormat="false" ht="12.75" hidden="false" customHeight="false" outlineLevel="0" collapsed="false">
      <c r="A26" s="158" t="n">
        <v>37469</v>
      </c>
      <c r="B26" s="108" t="n">
        <v>0.999</v>
      </c>
      <c r="C26" s="108" t="n">
        <v>0.999</v>
      </c>
      <c r="D26" s="108" t="n">
        <v>0.995</v>
      </c>
      <c r="E26" s="108" t="n">
        <v>0.96</v>
      </c>
      <c r="F26" s="108" t="n">
        <v>0.96</v>
      </c>
      <c r="G26" s="108" t="n">
        <v>0.994071440191916</v>
      </c>
      <c r="H26" s="108" t="n">
        <v>0.99</v>
      </c>
      <c r="I26" s="108" t="n">
        <v>0.980420749757432</v>
      </c>
      <c r="J26" s="108" t="n">
        <v>0.995</v>
      </c>
      <c r="K26" s="108" t="n">
        <v>0.98</v>
      </c>
      <c r="L26" s="108" t="n">
        <v>0.99</v>
      </c>
      <c r="M26" s="108" t="n">
        <v>1.005</v>
      </c>
      <c r="N26" s="108" t="n">
        <v>0.99</v>
      </c>
      <c r="O26" s="108" t="n">
        <v>0.96</v>
      </c>
    </row>
    <row r="27" customFormat="false" ht="12.75" hidden="false" customHeight="false" outlineLevel="0" collapsed="false">
      <c r="A27" s="158" t="n">
        <v>37500</v>
      </c>
      <c r="B27" s="108" t="n">
        <v>0.999</v>
      </c>
      <c r="C27" s="108" t="n">
        <v>0.999</v>
      </c>
      <c r="D27" s="108" t="n">
        <v>0.995</v>
      </c>
      <c r="E27" s="108" t="n">
        <v>0.96</v>
      </c>
      <c r="F27" s="108" t="n">
        <v>0.96</v>
      </c>
      <c r="G27" s="108" t="n">
        <v>0.994071440191916</v>
      </c>
      <c r="H27" s="108" t="n">
        <v>0.99</v>
      </c>
      <c r="I27" s="108" t="n">
        <v>0.980420749757432</v>
      </c>
      <c r="J27" s="108" t="n">
        <v>0.995</v>
      </c>
      <c r="K27" s="108" t="n">
        <v>0.98</v>
      </c>
      <c r="L27" s="108" t="n">
        <v>0.99</v>
      </c>
      <c r="M27" s="108" t="n">
        <v>1.005</v>
      </c>
      <c r="N27" s="108" t="n">
        <v>0.99</v>
      </c>
      <c r="O27" s="108" t="n">
        <v>0.96</v>
      </c>
    </row>
    <row r="28" customFormat="false" ht="12.75" hidden="false" customHeight="false" outlineLevel="0" collapsed="false">
      <c r="A28" s="158" t="n">
        <v>37530</v>
      </c>
      <c r="B28" s="108" t="n">
        <v>0.999</v>
      </c>
      <c r="C28" s="108" t="n">
        <v>0.999</v>
      </c>
      <c r="D28" s="108" t="n">
        <v>0.995</v>
      </c>
      <c r="E28" s="108" t="n">
        <v>0.96</v>
      </c>
      <c r="F28" s="108" t="n">
        <v>0.96</v>
      </c>
      <c r="G28" s="108" t="n">
        <v>0.994071440191916</v>
      </c>
      <c r="H28" s="108" t="n">
        <v>0.99</v>
      </c>
      <c r="I28" s="108" t="n">
        <v>0.980420749757432</v>
      </c>
      <c r="J28" s="108" t="n">
        <v>0.995</v>
      </c>
      <c r="K28" s="108" t="n">
        <v>0.98</v>
      </c>
      <c r="L28" s="108" t="n">
        <v>0.99</v>
      </c>
      <c r="M28" s="108" t="n">
        <v>1.005</v>
      </c>
      <c r="N28" s="108" t="n">
        <v>0.99</v>
      </c>
      <c r="O28" s="108" t="n">
        <v>0.96</v>
      </c>
    </row>
    <row r="29" customFormat="false" ht="12.75" hidden="false" customHeight="false" outlineLevel="0" collapsed="false">
      <c r="A29" s="158" t="n">
        <v>37561</v>
      </c>
      <c r="B29" s="108" t="n">
        <v>0.999</v>
      </c>
      <c r="C29" s="108" t="n">
        <v>0.999</v>
      </c>
      <c r="D29" s="108" t="n">
        <v>0.995</v>
      </c>
      <c r="E29" s="108" t="n">
        <v>0.96</v>
      </c>
      <c r="F29" s="108" t="n">
        <v>0.96</v>
      </c>
      <c r="G29" s="108" t="n">
        <v>0.984107647518451</v>
      </c>
      <c r="H29" s="108" t="n">
        <v>0.99</v>
      </c>
      <c r="I29" s="108" t="n">
        <v>0.905775860471433</v>
      </c>
      <c r="J29" s="108" t="n">
        <v>0.995</v>
      </c>
      <c r="K29" s="108" t="n">
        <v>0.98</v>
      </c>
      <c r="L29" s="108" t="n">
        <v>0.99</v>
      </c>
      <c r="M29" s="108" t="n">
        <v>1.005</v>
      </c>
      <c r="N29" s="108" t="n">
        <v>0.99</v>
      </c>
      <c r="O29" s="108" t="n">
        <v>0.96</v>
      </c>
    </row>
    <row r="30" customFormat="false" ht="12.75" hidden="false" customHeight="false" outlineLevel="0" collapsed="false">
      <c r="A30" s="158" t="n">
        <v>37591</v>
      </c>
      <c r="B30" s="108" t="n">
        <v>0.999</v>
      </c>
      <c r="C30" s="108" t="n">
        <v>0.999</v>
      </c>
      <c r="D30" s="108" t="n">
        <v>0.995</v>
      </c>
      <c r="E30" s="108" t="n">
        <v>0.96</v>
      </c>
      <c r="F30" s="108" t="n">
        <v>0.96</v>
      </c>
      <c r="G30" s="108" t="n">
        <v>0.984107647518451</v>
      </c>
      <c r="H30" s="108" t="n">
        <v>0.99</v>
      </c>
      <c r="I30" s="108" t="n">
        <v>0.905775860471433</v>
      </c>
      <c r="J30" s="108" t="n">
        <v>0.995</v>
      </c>
      <c r="K30" s="108" t="n">
        <v>0.98</v>
      </c>
      <c r="L30" s="108" t="n">
        <v>0.99</v>
      </c>
      <c r="M30" s="108" t="n">
        <v>1.005</v>
      </c>
      <c r="N30" s="108" t="n">
        <v>0.99</v>
      </c>
      <c r="O30" s="108" t="n">
        <v>0.96</v>
      </c>
    </row>
    <row r="31" customFormat="false" ht="12.75" hidden="false" customHeight="false" outlineLevel="0" collapsed="false">
      <c r="A31" s="158" t="n">
        <v>37622</v>
      </c>
      <c r="B31" s="108" t="n">
        <v>0.999</v>
      </c>
      <c r="C31" s="108" t="n">
        <v>0.999</v>
      </c>
      <c r="D31" s="108" t="n">
        <v>0.995</v>
      </c>
      <c r="E31" s="108" t="n">
        <v>0.96</v>
      </c>
      <c r="F31" s="108" t="n">
        <v>0.96</v>
      </c>
      <c r="G31" s="108" t="n">
        <v>0.984107647518451</v>
      </c>
      <c r="H31" s="108" t="n">
        <v>0.99</v>
      </c>
      <c r="I31" s="108" t="n">
        <v>0.905775860471433</v>
      </c>
      <c r="J31" s="108" t="n">
        <v>0.995</v>
      </c>
      <c r="K31" s="108" t="n">
        <v>0.98</v>
      </c>
      <c r="L31" s="108" t="n">
        <v>0.99</v>
      </c>
      <c r="M31" s="108" t="n">
        <v>1.005</v>
      </c>
      <c r="N31" s="108" t="n">
        <v>0.99</v>
      </c>
      <c r="O31" s="108" t="n">
        <v>0.96</v>
      </c>
    </row>
    <row r="32" customFormat="false" ht="12.75" hidden="false" customHeight="false" outlineLevel="0" collapsed="false">
      <c r="A32" s="158" t="n">
        <v>37653</v>
      </c>
      <c r="B32" s="108" t="n">
        <v>0.999</v>
      </c>
      <c r="C32" s="108" t="n">
        <v>0.999</v>
      </c>
      <c r="D32" s="108" t="n">
        <v>0.995</v>
      </c>
      <c r="E32" s="108" t="n">
        <v>0.96</v>
      </c>
      <c r="F32" s="108" t="n">
        <v>0.96</v>
      </c>
      <c r="G32" s="108" t="n">
        <v>0.984107647518451</v>
      </c>
      <c r="H32" s="108" t="n">
        <v>0.99</v>
      </c>
      <c r="I32" s="108" t="n">
        <v>0.905775860471433</v>
      </c>
      <c r="J32" s="108" t="n">
        <v>0.995</v>
      </c>
      <c r="K32" s="108" t="n">
        <v>0.98</v>
      </c>
      <c r="L32" s="108" t="n">
        <v>0.99</v>
      </c>
      <c r="M32" s="108" t="n">
        <v>1.005</v>
      </c>
      <c r="N32" s="108" t="n">
        <v>0.99</v>
      </c>
      <c r="O32" s="108" t="n">
        <v>0.96</v>
      </c>
    </row>
    <row r="33" customFormat="false" ht="12.75" hidden="false" customHeight="false" outlineLevel="0" collapsed="false">
      <c r="A33" s="158" t="n">
        <v>37681</v>
      </c>
      <c r="B33" s="108" t="n">
        <v>0.999</v>
      </c>
      <c r="C33" s="108" t="n">
        <v>0.999</v>
      </c>
      <c r="D33" s="108" t="n">
        <v>0.995</v>
      </c>
      <c r="E33" s="108" t="n">
        <v>0.96</v>
      </c>
      <c r="F33" s="108" t="n">
        <v>0.96</v>
      </c>
      <c r="G33" s="108" t="n">
        <v>0.984107647518451</v>
      </c>
      <c r="H33" s="108" t="n">
        <v>0.99</v>
      </c>
      <c r="I33" s="108" t="n">
        <v>0.905775860471433</v>
      </c>
      <c r="J33" s="108" t="n">
        <v>0.995</v>
      </c>
      <c r="K33" s="108" t="n">
        <v>0.98</v>
      </c>
      <c r="L33" s="108" t="n">
        <v>0.99</v>
      </c>
      <c r="M33" s="108" t="n">
        <v>1.005</v>
      </c>
      <c r="N33" s="108" t="n">
        <v>0.99</v>
      </c>
      <c r="O33" s="108" t="n">
        <v>0.96</v>
      </c>
    </row>
    <row r="34" customFormat="false" ht="12.75" hidden="false" customHeight="false" outlineLevel="0" collapsed="false">
      <c r="A34" s="158" t="n">
        <v>37712</v>
      </c>
      <c r="B34" s="108" t="n">
        <v>0.999</v>
      </c>
      <c r="C34" s="108" t="n">
        <v>0.999</v>
      </c>
      <c r="D34" s="108" t="n">
        <v>0.995</v>
      </c>
      <c r="E34" s="108" t="n">
        <v>0.96</v>
      </c>
      <c r="F34" s="108" t="n">
        <v>0.96</v>
      </c>
      <c r="G34" s="108" t="n">
        <v>0.994071440191916</v>
      </c>
      <c r="H34" s="108" t="n">
        <v>0.99</v>
      </c>
      <c r="I34" s="108" t="n">
        <v>0.980420749757432</v>
      </c>
      <c r="J34" s="108" t="n">
        <v>0.995</v>
      </c>
      <c r="K34" s="108" t="n">
        <v>0.98</v>
      </c>
      <c r="L34" s="108" t="n">
        <v>0.99</v>
      </c>
      <c r="M34" s="108" t="n">
        <v>1.005</v>
      </c>
      <c r="N34" s="108" t="n">
        <v>0.99</v>
      </c>
      <c r="O34" s="108" t="n">
        <v>0.96</v>
      </c>
    </row>
    <row r="35" customFormat="false" ht="12.75" hidden="false" customHeight="false" outlineLevel="0" collapsed="false">
      <c r="A35" s="158" t="n">
        <v>37742</v>
      </c>
      <c r="B35" s="108" t="n">
        <v>0.999</v>
      </c>
      <c r="C35" s="108" t="n">
        <v>0.999</v>
      </c>
      <c r="D35" s="108" t="n">
        <v>0.995</v>
      </c>
      <c r="E35" s="108" t="n">
        <v>0.96</v>
      </c>
      <c r="F35" s="108" t="n">
        <v>0.96</v>
      </c>
      <c r="G35" s="108" t="n">
        <v>0.994071440191916</v>
      </c>
      <c r="H35" s="108" t="n">
        <v>0.99</v>
      </c>
      <c r="I35" s="108" t="n">
        <v>0.980420749757432</v>
      </c>
      <c r="J35" s="108" t="n">
        <v>0.995</v>
      </c>
      <c r="K35" s="108" t="n">
        <v>0.98</v>
      </c>
      <c r="L35" s="108" t="n">
        <v>0.99</v>
      </c>
      <c r="M35" s="108" t="n">
        <v>1.005</v>
      </c>
      <c r="N35" s="108" t="n">
        <v>0.99</v>
      </c>
      <c r="O35" s="108" t="n">
        <v>0.96</v>
      </c>
    </row>
    <row r="36" customFormat="false" ht="12.75" hidden="false" customHeight="false" outlineLevel="0" collapsed="false">
      <c r="A36" s="158" t="n">
        <v>37773</v>
      </c>
      <c r="B36" s="108" t="n">
        <v>0.999</v>
      </c>
      <c r="C36" s="108" t="n">
        <v>0.999</v>
      </c>
      <c r="D36" s="108" t="n">
        <v>0.995</v>
      </c>
      <c r="E36" s="108" t="n">
        <v>0.96</v>
      </c>
      <c r="F36" s="108" t="n">
        <v>0.96</v>
      </c>
      <c r="G36" s="108" t="n">
        <v>0.994071440191916</v>
      </c>
      <c r="H36" s="108" t="n">
        <v>0.99</v>
      </c>
      <c r="I36" s="108" t="n">
        <v>0.980420749757432</v>
      </c>
      <c r="J36" s="108" t="n">
        <v>0.995</v>
      </c>
      <c r="K36" s="108" t="n">
        <v>0.98</v>
      </c>
      <c r="L36" s="108" t="n">
        <v>0.99</v>
      </c>
      <c r="M36" s="108" t="n">
        <v>1.005</v>
      </c>
      <c r="N36" s="108" t="n">
        <v>0.99</v>
      </c>
      <c r="O36" s="108" t="n">
        <v>0.96</v>
      </c>
    </row>
    <row r="37" customFormat="false" ht="12.75" hidden="false" customHeight="false" outlineLevel="0" collapsed="false">
      <c r="A37" s="158" t="n">
        <v>37803</v>
      </c>
      <c r="B37" s="108" t="n">
        <v>0.999</v>
      </c>
      <c r="C37" s="108" t="n">
        <v>0.999</v>
      </c>
      <c r="D37" s="108" t="n">
        <v>0.995</v>
      </c>
      <c r="E37" s="108" t="n">
        <v>0.96</v>
      </c>
      <c r="F37" s="108" t="n">
        <v>0.96</v>
      </c>
      <c r="G37" s="108" t="n">
        <v>0.994071440191916</v>
      </c>
      <c r="H37" s="108" t="n">
        <v>0.99</v>
      </c>
      <c r="I37" s="108" t="n">
        <v>0.980420749757432</v>
      </c>
      <c r="J37" s="108" t="n">
        <v>0.995</v>
      </c>
      <c r="K37" s="108" t="n">
        <v>0.98</v>
      </c>
      <c r="L37" s="108" t="n">
        <v>0.99</v>
      </c>
      <c r="M37" s="108" t="n">
        <v>1.005</v>
      </c>
      <c r="N37" s="108" t="n">
        <v>0.99</v>
      </c>
      <c r="O37" s="108" t="n">
        <v>0.96</v>
      </c>
    </row>
    <row r="38" customFormat="false" ht="12.75" hidden="false" customHeight="false" outlineLevel="0" collapsed="false">
      <c r="A38" s="158" t="n">
        <v>37834</v>
      </c>
      <c r="B38" s="108" t="n">
        <v>0.999</v>
      </c>
      <c r="C38" s="108" t="n">
        <v>0.999</v>
      </c>
      <c r="D38" s="108" t="n">
        <v>0.995</v>
      </c>
      <c r="E38" s="108" t="n">
        <v>0.96</v>
      </c>
      <c r="F38" s="108" t="n">
        <v>0.96</v>
      </c>
      <c r="G38" s="108" t="n">
        <v>0.994071440191916</v>
      </c>
      <c r="H38" s="108" t="n">
        <v>0.99</v>
      </c>
      <c r="I38" s="108" t="n">
        <v>0.980420749757432</v>
      </c>
      <c r="J38" s="108" t="n">
        <v>0.995</v>
      </c>
      <c r="K38" s="108" t="n">
        <v>0.98</v>
      </c>
      <c r="L38" s="108" t="n">
        <v>0.99</v>
      </c>
      <c r="M38" s="108" t="n">
        <v>1.005</v>
      </c>
      <c r="N38" s="108" t="n">
        <v>0.99</v>
      </c>
      <c r="O38" s="108" t="n">
        <v>0.96</v>
      </c>
    </row>
    <row r="39" customFormat="false" ht="12.75" hidden="false" customHeight="false" outlineLevel="0" collapsed="false">
      <c r="A39" s="158" t="n">
        <v>37865</v>
      </c>
      <c r="B39" s="108" t="n">
        <v>0.999</v>
      </c>
      <c r="C39" s="108" t="n">
        <v>0.999</v>
      </c>
      <c r="D39" s="108" t="n">
        <v>0.995</v>
      </c>
      <c r="E39" s="108" t="n">
        <v>0.96</v>
      </c>
      <c r="F39" s="108" t="n">
        <v>0.96</v>
      </c>
      <c r="G39" s="108" t="n">
        <v>0.994071440191916</v>
      </c>
      <c r="H39" s="108" t="n">
        <v>0.99</v>
      </c>
      <c r="I39" s="108" t="n">
        <v>0.980420749757432</v>
      </c>
      <c r="J39" s="108" t="n">
        <v>0.995</v>
      </c>
      <c r="K39" s="108" t="n">
        <v>0.98</v>
      </c>
      <c r="L39" s="108" t="n">
        <v>0.99</v>
      </c>
      <c r="M39" s="108" t="n">
        <v>1.005</v>
      </c>
      <c r="N39" s="108" t="n">
        <v>0.99</v>
      </c>
      <c r="O39" s="108" t="n">
        <v>0.96</v>
      </c>
    </row>
    <row r="40" customFormat="false" ht="12.75" hidden="false" customHeight="false" outlineLevel="0" collapsed="false">
      <c r="A40" s="158" t="n">
        <v>37895</v>
      </c>
      <c r="B40" s="108" t="n">
        <v>0.999</v>
      </c>
      <c r="C40" s="108" t="n">
        <v>0.999</v>
      </c>
      <c r="D40" s="108" t="n">
        <v>0.995</v>
      </c>
      <c r="E40" s="108" t="n">
        <v>0.96</v>
      </c>
      <c r="F40" s="108" t="n">
        <v>0.96</v>
      </c>
      <c r="G40" s="108" t="n">
        <v>0.994071440191916</v>
      </c>
      <c r="H40" s="108" t="n">
        <v>0.99</v>
      </c>
      <c r="I40" s="108" t="n">
        <v>0.980420749757432</v>
      </c>
      <c r="J40" s="108" t="n">
        <v>0.995</v>
      </c>
      <c r="K40" s="108" t="n">
        <v>0.98</v>
      </c>
      <c r="L40" s="108" t="n">
        <v>0.99</v>
      </c>
      <c r="M40" s="108" t="n">
        <v>1.005</v>
      </c>
      <c r="N40" s="108" t="n">
        <v>0.99</v>
      </c>
      <c r="O40" s="108" t="n">
        <v>0.96</v>
      </c>
    </row>
    <row r="41" customFormat="false" ht="12.75" hidden="false" customHeight="false" outlineLevel="0" collapsed="false">
      <c r="A41" s="158" t="n">
        <v>37926</v>
      </c>
      <c r="B41" s="108" t="n">
        <v>0.999</v>
      </c>
      <c r="C41" s="108" t="n">
        <v>0.999</v>
      </c>
      <c r="D41" s="108" t="n">
        <v>0.995</v>
      </c>
      <c r="E41" s="108" t="n">
        <v>0.96</v>
      </c>
      <c r="F41" s="108" t="n">
        <v>0.96</v>
      </c>
      <c r="G41" s="108" t="n">
        <v>0.984107647518451</v>
      </c>
      <c r="H41" s="108" t="n">
        <v>0.99</v>
      </c>
      <c r="I41" s="108" t="n">
        <v>0.905775860471433</v>
      </c>
      <c r="J41" s="108" t="n">
        <v>0.995</v>
      </c>
      <c r="K41" s="108" t="n">
        <v>0.98</v>
      </c>
      <c r="L41" s="108" t="n">
        <v>0.99</v>
      </c>
      <c r="M41" s="108" t="n">
        <v>1.005</v>
      </c>
      <c r="N41" s="108" t="n">
        <v>0.99</v>
      </c>
      <c r="O41" s="108" t="n">
        <v>0.96</v>
      </c>
    </row>
    <row r="42" customFormat="false" ht="12.75" hidden="false" customHeight="false" outlineLevel="0" collapsed="false">
      <c r="A42" s="158" t="n">
        <v>37956</v>
      </c>
      <c r="B42" s="108" t="n">
        <v>0.999</v>
      </c>
      <c r="C42" s="108" t="n">
        <v>0.999</v>
      </c>
      <c r="D42" s="108" t="n">
        <v>0.995</v>
      </c>
      <c r="E42" s="108" t="n">
        <v>0.96</v>
      </c>
      <c r="F42" s="108" t="n">
        <v>0.96</v>
      </c>
      <c r="G42" s="108" t="n">
        <v>0.984107647518451</v>
      </c>
      <c r="H42" s="108" t="n">
        <v>0.99</v>
      </c>
      <c r="I42" s="108" t="n">
        <v>0.905775860471433</v>
      </c>
      <c r="J42" s="108" t="n">
        <v>0.995</v>
      </c>
      <c r="K42" s="108" t="n">
        <v>0.98</v>
      </c>
      <c r="L42" s="108" t="n">
        <v>0.99</v>
      </c>
      <c r="M42" s="108" t="n">
        <v>1.005</v>
      </c>
      <c r="N42" s="108" t="n">
        <v>0.99</v>
      </c>
      <c r="O42" s="108" t="n">
        <v>0.96</v>
      </c>
    </row>
    <row r="43" customFormat="false" ht="12.75" hidden="false" customHeight="false" outlineLevel="0" collapsed="false">
      <c r="A43" s="158" t="n">
        <v>37987</v>
      </c>
      <c r="B43" s="108" t="n">
        <v>0.999</v>
      </c>
      <c r="C43" s="108" t="n">
        <v>0.999</v>
      </c>
      <c r="D43" s="108" t="n">
        <v>0.995</v>
      </c>
      <c r="E43" s="108" t="n">
        <v>0.96</v>
      </c>
      <c r="F43" s="108" t="n">
        <v>0.96</v>
      </c>
      <c r="G43" s="108" t="n">
        <v>0.984107647518451</v>
      </c>
      <c r="H43" s="108" t="n">
        <v>0.99</v>
      </c>
      <c r="I43" s="108" t="n">
        <v>0.905775860471433</v>
      </c>
      <c r="J43" s="108" t="n">
        <v>0.995</v>
      </c>
      <c r="K43" s="108" t="n">
        <v>0.98</v>
      </c>
      <c r="L43" s="108" t="n">
        <v>0.99</v>
      </c>
      <c r="M43" s="108" t="n">
        <v>1.005</v>
      </c>
      <c r="N43" s="108" t="n">
        <v>0.99</v>
      </c>
      <c r="O43" s="108" t="n">
        <v>0.96</v>
      </c>
    </row>
    <row r="44" customFormat="false" ht="12.75" hidden="false" customHeight="false" outlineLevel="0" collapsed="false">
      <c r="A44" s="158" t="n">
        <v>38018</v>
      </c>
      <c r="B44" s="108" t="n">
        <v>0.999</v>
      </c>
      <c r="C44" s="108" t="n">
        <v>0.999</v>
      </c>
      <c r="D44" s="108" t="n">
        <v>0.995</v>
      </c>
      <c r="E44" s="108" t="n">
        <v>0.96</v>
      </c>
      <c r="F44" s="108" t="n">
        <v>0.96</v>
      </c>
      <c r="G44" s="108" t="n">
        <v>0.984107647518451</v>
      </c>
      <c r="H44" s="108" t="n">
        <v>0.99</v>
      </c>
      <c r="I44" s="108" t="n">
        <v>0.905775860471433</v>
      </c>
      <c r="J44" s="108" t="n">
        <v>0.995</v>
      </c>
      <c r="K44" s="108" t="n">
        <v>0.98</v>
      </c>
      <c r="L44" s="108" t="n">
        <v>0.99</v>
      </c>
      <c r="M44" s="108" t="n">
        <v>1.005</v>
      </c>
      <c r="N44" s="108" t="n">
        <v>0.99</v>
      </c>
      <c r="O44" s="108" t="n">
        <v>0.96</v>
      </c>
    </row>
    <row r="45" customFormat="false" ht="12.75" hidden="false" customHeight="false" outlineLevel="0" collapsed="false">
      <c r="A45" s="158" t="n">
        <v>38047</v>
      </c>
      <c r="B45" s="108" t="n">
        <v>0.999</v>
      </c>
      <c r="C45" s="108" t="n">
        <v>0.999</v>
      </c>
      <c r="D45" s="108" t="n">
        <v>0.995</v>
      </c>
      <c r="E45" s="108" t="n">
        <v>0.96</v>
      </c>
      <c r="F45" s="108" t="n">
        <v>0.96</v>
      </c>
      <c r="G45" s="108" t="n">
        <v>0.984107647518451</v>
      </c>
      <c r="H45" s="108" t="n">
        <v>0.99</v>
      </c>
      <c r="I45" s="108" t="n">
        <v>0.905775860471433</v>
      </c>
      <c r="J45" s="108" t="n">
        <v>0.995</v>
      </c>
      <c r="K45" s="108" t="n">
        <v>0.98</v>
      </c>
      <c r="L45" s="108" t="n">
        <v>0.99</v>
      </c>
      <c r="M45" s="108" t="n">
        <v>1.005</v>
      </c>
      <c r="N45" s="108" t="n">
        <v>0.99</v>
      </c>
      <c r="O45" s="108" t="n">
        <v>0.96</v>
      </c>
    </row>
    <row r="46" customFormat="false" ht="12.75" hidden="false" customHeight="false" outlineLevel="0" collapsed="false">
      <c r="A46" s="158" t="n">
        <v>38078</v>
      </c>
      <c r="B46" s="108" t="n">
        <v>0.999</v>
      </c>
      <c r="C46" s="108" t="n">
        <v>0.999</v>
      </c>
      <c r="D46" s="108" t="n">
        <v>0.995</v>
      </c>
      <c r="E46" s="108" t="n">
        <v>0.96</v>
      </c>
      <c r="F46" s="108" t="n">
        <v>0.96</v>
      </c>
      <c r="G46" s="108" t="n">
        <v>0.994071440191916</v>
      </c>
      <c r="H46" s="108" t="n">
        <v>0.99</v>
      </c>
      <c r="I46" s="108" t="n">
        <v>0.980420749757432</v>
      </c>
      <c r="J46" s="108" t="n">
        <v>0.995</v>
      </c>
      <c r="K46" s="108" t="n">
        <v>0.98</v>
      </c>
      <c r="L46" s="108" t="n">
        <v>0.99</v>
      </c>
      <c r="M46" s="108" t="n">
        <v>1.005</v>
      </c>
      <c r="N46" s="108" t="n">
        <v>0.99</v>
      </c>
      <c r="O46" s="108" t="n">
        <v>0.96</v>
      </c>
    </row>
    <row r="47" customFormat="false" ht="12.75" hidden="false" customHeight="false" outlineLevel="0" collapsed="false">
      <c r="A47" s="158" t="n">
        <v>38108</v>
      </c>
      <c r="B47" s="108" t="n">
        <v>0.999</v>
      </c>
      <c r="C47" s="108" t="n">
        <v>0.999</v>
      </c>
      <c r="D47" s="108" t="n">
        <v>0.995</v>
      </c>
      <c r="E47" s="108" t="n">
        <v>0.96</v>
      </c>
      <c r="F47" s="108" t="n">
        <v>0.96</v>
      </c>
      <c r="G47" s="108" t="n">
        <v>0.994071440191916</v>
      </c>
      <c r="H47" s="108" t="n">
        <v>0.99</v>
      </c>
      <c r="I47" s="108" t="n">
        <v>0.980420749757432</v>
      </c>
      <c r="J47" s="108" t="n">
        <v>0.995</v>
      </c>
      <c r="K47" s="108" t="n">
        <v>0.98</v>
      </c>
      <c r="L47" s="108" t="n">
        <v>0.99</v>
      </c>
      <c r="M47" s="108" t="n">
        <v>1.005</v>
      </c>
      <c r="N47" s="108" t="n">
        <v>0.99</v>
      </c>
      <c r="O47" s="108" t="n">
        <v>0.96</v>
      </c>
    </row>
    <row r="48" customFormat="false" ht="12.75" hidden="false" customHeight="false" outlineLevel="0" collapsed="false">
      <c r="A48" s="158" t="n">
        <v>38139</v>
      </c>
      <c r="B48" s="108" t="n">
        <v>0.999</v>
      </c>
      <c r="C48" s="108" t="n">
        <v>0.999</v>
      </c>
      <c r="D48" s="108" t="n">
        <v>0.995</v>
      </c>
      <c r="E48" s="108" t="n">
        <v>0.96</v>
      </c>
      <c r="F48" s="108" t="n">
        <v>0.96</v>
      </c>
      <c r="G48" s="108" t="n">
        <v>0.994071440191916</v>
      </c>
      <c r="H48" s="108" t="n">
        <v>0.99</v>
      </c>
      <c r="I48" s="108" t="n">
        <v>0.980420749757432</v>
      </c>
      <c r="J48" s="108" t="n">
        <v>0.995</v>
      </c>
      <c r="K48" s="108" t="n">
        <v>0.98</v>
      </c>
      <c r="L48" s="108" t="n">
        <v>0.99</v>
      </c>
      <c r="M48" s="108" t="n">
        <v>1.005</v>
      </c>
      <c r="N48" s="108" t="n">
        <v>0.99</v>
      </c>
      <c r="O48" s="108" t="n">
        <v>0.96</v>
      </c>
    </row>
    <row r="49" customFormat="false" ht="12.75" hidden="false" customHeight="false" outlineLevel="0" collapsed="false">
      <c r="A49" s="158" t="n">
        <v>38169</v>
      </c>
      <c r="B49" s="108" t="n">
        <v>0.999</v>
      </c>
      <c r="C49" s="108" t="n">
        <v>0.999</v>
      </c>
      <c r="D49" s="108" t="n">
        <v>0.995</v>
      </c>
      <c r="E49" s="108" t="n">
        <v>0.96</v>
      </c>
      <c r="F49" s="108" t="n">
        <v>0.96</v>
      </c>
      <c r="G49" s="108" t="n">
        <v>0.994071440191916</v>
      </c>
      <c r="H49" s="108" t="n">
        <v>0.99</v>
      </c>
      <c r="I49" s="108" t="n">
        <v>0.980420749757432</v>
      </c>
      <c r="J49" s="108" t="n">
        <v>0.995</v>
      </c>
      <c r="K49" s="108" t="n">
        <v>0.98</v>
      </c>
      <c r="L49" s="108" t="n">
        <v>0.99</v>
      </c>
      <c r="M49" s="108" t="n">
        <v>1.005</v>
      </c>
      <c r="N49" s="108" t="n">
        <v>0.99</v>
      </c>
      <c r="O49" s="108" t="n">
        <v>0.96</v>
      </c>
    </row>
    <row r="50" customFormat="false" ht="12.75" hidden="false" customHeight="false" outlineLevel="0" collapsed="false">
      <c r="A50" s="158" t="n">
        <v>38200</v>
      </c>
      <c r="B50" s="108" t="n">
        <v>0.999</v>
      </c>
      <c r="C50" s="108" t="n">
        <v>0.999</v>
      </c>
      <c r="D50" s="108" t="n">
        <v>0.995</v>
      </c>
      <c r="E50" s="108" t="n">
        <v>0.96</v>
      </c>
      <c r="F50" s="108" t="n">
        <v>0.96</v>
      </c>
      <c r="G50" s="108" t="n">
        <v>0.994071440191916</v>
      </c>
      <c r="H50" s="108" t="n">
        <v>0.99</v>
      </c>
      <c r="I50" s="108" t="n">
        <v>0.980420749757432</v>
      </c>
      <c r="J50" s="108" t="n">
        <v>0.995</v>
      </c>
      <c r="K50" s="108" t="n">
        <v>0.98</v>
      </c>
      <c r="L50" s="108" t="n">
        <v>0.99</v>
      </c>
      <c r="M50" s="108" t="n">
        <v>1.005</v>
      </c>
      <c r="N50" s="108" t="n">
        <v>0.99</v>
      </c>
      <c r="O50" s="108" t="n">
        <v>0.96</v>
      </c>
    </row>
    <row r="51" customFormat="false" ht="12.75" hidden="false" customHeight="false" outlineLevel="0" collapsed="false">
      <c r="A51" s="158" t="n">
        <v>38231</v>
      </c>
      <c r="B51" s="108" t="n">
        <v>0.999</v>
      </c>
      <c r="C51" s="108" t="n">
        <v>0.999</v>
      </c>
      <c r="D51" s="108" t="n">
        <v>0.995</v>
      </c>
      <c r="E51" s="108" t="n">
        <v>0.96</v>
      </c>
      <c r="F51" s="108" t="n">
        <v>0.96</v>
      </c>
      <c r="G51" s="108" t="n">
        <v>0.994071440191916</v>
      </c>
      <c r="H51" s="108" t="n">
        <v>0.99</v>
      </c>
      <c r="I51" s="108" t="n">
        <v>0.980420749757432</v>
      </c>
      <c r="J51" s="108" t="n">
        <v>0.995</v>
      </c>
      <c r="K51" s="108" t="n">
        <v>0.98</v>
      </c>
      <c r="L51" s="108" t="n">
        <v>0.99</v>
      </c>
      <c r="M51" s="108" t="n">
        <v>1.005</v>
      </c>
      <c r="N51" s="108" t="n">
        <v>0.99</v>
      </c>
      <c r="O51" s="108" t="n">
        <v>0.96</v>
      </c>
    </row>
    <row r="52" customFormat="false" ht="12.75" hidden="false" customHeight="false" outlineLevel="0" collapsed="false">
      <c r="A52" s="158" t="n">
        <v>38261</v>
      </c>
      <c r="B52" s="108" t="n">
        <v>0.999</v>
      </c>
      <c r="C52" s="108" t="n">
        <v>0.999</v>
      </c>
      <c r="D52" s="108" t="n">
        <v>0.995</v>
      </c>
      <c r="E52" s="108" t="n">
        <v>0.96</v>
      </c>
      <c r="F52" s="108" t="n">
        <v>0.96</v>
      </c>
      <c r="G52" s="108" t="n">
        <v>0.994071440191916</v>
      </c>
      <c r="H52" s="108" t="n">
        <v>0.99</v>
      </c>
      <c r="I52" s="108" t="n">
        <v>0.980420749757432</v>
      </c>
      <c r="J52" s="108" t="n">
        <v>0.995</v>
      </c>
      <c r="K52" s="108" t="n">
        <v>0.98</v>
      </c>
      <c r="L52" s="108" t="n">
        <v>0.99</v>
      </c>
      <c r="M52" s="108" t="n">
        <v>1.005</v>
      </c>
      <c r="N52" s="108" t="n">
        <v>0.99</v>
      </c>
      <c r="O52" s="108" t="n">
        <v>0.96</v>
      </c>
    </row>
    <row r="53" customFormat="false" ht="12.75" hidden="false" customHeight="false" outlineLevel="0" collapsed="false">
      <c r="A53" s="158" t="n">
        <v>38292</v>
      </c>
      <c r="B53" s="108" t="n">
        <v>0.999</v>
      </c>
      <c r="C53" s="108" t="n">
        <v>0.999</v>
      </c>
      <c r="D53" s="108" t="n">
        <v>0.995</v>
      </c>
      <c r="E53" s="108" t="n">
        <v>0.96</v>
      </c>
      <c r="F53" s="108" t="n">
        <v>0.96</v>
      </c>
      <c r="G53" s="108" t="n">
        <v>0.984107647518451</v>
      </c>
      <c r="H53" s="108" t="n">
        <v>0.99</v>
      </c>
      <c r="I53" s="108" t="n">
        <v>0.905775860471433</v>
      </c>
      <c r="J53" s="108" t="n">
        <v>0.995</v>
      </c>
      <c r="K53" s="108" t="n">
        <v>0.98</v>
      </c>
      <c r="L53" s="108" t="n">
        <v>0.99</v>
      </c>
      <c r="M53" s="108" t="n">
        <v>1.005</v>
      </c>
      <c r="N53" s="108" t="n">
        <v>0.99</v>
      </c>
      <c r="O53" s="108" t="n">
        <v>0.96</v>
      </c>
    </row>
    <row r="54" customFormat="false" ht="12.75" hidden="false" customHeight="false" outlineLevel="0" collapsed="false">
      <c r="A54" s="158" t="n">
        <v>38322</v>
      </c>
      <c r="B54" s="108" t="n">
        <v>0.999</v>
      </c>
      <c r="C54" s="108" t="n">
        <v>0.999</v>
      </c>
      <c r="D54" s="108" t="n">
        <v>0.995</v>
      </c>
      <c r="E54" s="108" t="n">
        <v>0.96</v>
      </c>
      <c r="F54" s="108" t="n">
        <v>0.96</v>
      </c>
      <c r="G54" s="108" t="n">
        <v>0.984107647518451</v>
      </c>
      <c r="H54" s="108" t="n">
        <v>0.99</v>
      </c>
      <c r="I54" s="108" t="n">
        <v>0.905775860471433</v>
      </c>
      <c r="J54" s="108" t="n">
        <v>0.995</v>
      </c>
      <c r="K54" s="108" t="n">
        <v>0.98</v>
      </c>
      <c r="L54" s="108" t="n">
        <v>0.99</v>
      </c>
      <c r="M54" s="108" t="n">
        <v>1.005</v>
      </c>
      <c r="N54" s="108" t="n">
        <v>0.99</v>
      </c>
      <c r="O54" s="108" t="n">
        <v>0.96</v>
      </c>
    </row>
    <row r="55" customFormat="false" ht="12.75" hidden="false" customHeight="false" outlineLevel="0" collapsed="false">
      <c r="A55" s="158" t="n">
        <v>38353</v>
      </c>
      <c r="B55" s="108" t="n">
        <v>0.999</v>
      </c>
      <c r="C55" s="108" t="n">
        <v>0.999</v>
      </c>
      <c r="D55" s="108" t="n">
        <v>0.995</v>
      </c>
      <c r="E55" s="108" t="n">
        <v>0.96</v>
      </c>
      <c r="F55" s="108" t="n">
        <v>0.96</v>
      </c>
      <c r="G55" s="108" t="n">
        <v>0.984107647518451</v>
      </c>
      <c r="H55" s="108" t="n">
        <v>0.99</v>
      </c>
      <c r="I55" s="108" t="n">
        <v>0.905775860471433</v>
      </c>
      <c r="J55" s="108" t="n">
        <v>0.995</v>
      </c>
      <c r="K55" s="108" t="n">
        <v>0.98</v>
      </c>
      <c r="L55" s="108" t="n">
        <v>0.99</v>
      </c>
      <c r="M55" s="108" t="n">
        <v>1.005</v>
      </c>
      <c r="N55" s="108" t="n">
        <v>0.99</v>
      </c>
      <c r="O55" s="108" t="n">
        <v>0.96</v>
      </c>
    </row>
    <row r="56" customFormat="false" ht="12.75" hidden="false" customHeight="false" outlineLevel="0" collapsed="false">
      <c r="A56" s="158" t="n">
        <v>38384</v>
      </c>
      <c r="B56" s="108" t="n">
        <v>0.999</v>
      </c>
      <c r="C56" s="108" t="n">
        <v>0.999</v>
      </c>
      <c r="D56" s="108" t="n">
        <v>0.995</v>
      </c>
      <c r="E56" s="108" t="n">
        <v>0.96</v>
      </c>
      <c r="F56" s="108" t="n">
        <v>0.96</v>
      </c>
      <c r="G56" s="108" t="n">
        <v>0.984107647518451</v>
      </c>
      <c r="H56" s="108" t="n">
        <v>0.99</v>
      </c>
      <c r="I56" s="108" t="n">
        <v>0.905775860471433</v>
      </c>
      <c r="J56" s="108" t="n">
        <v>0.995</v>
      </c>
      <c r="K56" s="108" t="n">
        <v>0.98</v>
      </c>
      <c r="L56" s="108" t="n">
        <v>0.99</v>
      </c>
      <c r="M56" s="108" t="n">
        <v>1.005</v>
      </c>
      <c r="N56" s="108" t="n">
        <v>0.99</v>
      </c>
      <c r="O56" s="108" t="n">
        <v>0.96</v>
      </c>
    </row>
    <row r="57" customFormat="false" ht="12.75" hidden="false" customHeight="false" outlineLevel="0" collapsed="false">
      <c r="A57" s="158" t="n">
        <v>38412</v>
      </c>
      <c r="B57" s="108" t="n">
        <v>0.999</v>
      </c>
      <c r="C57" s="108" t="n">
        <v>0.999</v>
      </c>
      <c r="D57" s="108" t="n">
        <v>0.995</v>
      </c>
      <c r="E57" s="108" t="n">
        <v>0.96</v>
      </c>
      <c r="F57" s="108" t="n">
        <v>0.96</v>
      </c>
      <c r="G57" s="108" t="n">
        <v>0.984107647518451</v>
      </c>
      <c r="H57" s="108" t="n">
        <v>0.99</v>
      </c>
      <c r="I57" s="108" t="n">
        <v>0.905775860471433</v>
      </c>
      <c r="J57" s="108" t="n">
        <v>0.995</v>
      </c>
      <c r="K57" s="108" t="n">
        <v>0.98</v>
      </c>
      <c r="L57" s="108" t="n">
        <v>0.99</v>
      </c>
      <c r="M57" s="108" t="n">
        <v>1.005</v>
      </c>
      <c r="N57" s="108" t="n">
        <v>0.99</v>
      </c>
      <c r="O57" s="108" t="n">
        <v>0.96</v>
      </c>
    </row>
    <row r="58" customFormat="false" ht="12.75" hidden="false" customHeight="false" outlineLevel="0" collapsed="false">
      <c r="A58" s="158" t="n">
        <v>38443</v>
      </c>
      <c r="B58" s="108" t="n">
        <v>0.999</v>
      </c>
      <c r="C58" s="108" t="n">
        <v>0.999</v>
      </c>
      <c r="D58" s="108" t="n">
        <v>0.995</v>
      </c>
      <c r="E58" s="108" t="n">
        <v>0.96</v>
      </c>
      <c r="F58" s="108" t="n">
        <v>0.96</v>
      </c>
      <c r="G58" s="108" t="n">
        <v>0.994071440191916</v>
      </c>
      <c r="H58" s="108" t="n">
        <v>0.99</v>
      </c>
      <c r="I58" s="108" t="n">
        <v>0.980420749757432</v>
      </c>
      <c r="J58" s="108" t="n">
        <v>0.995</v>
      </c>
      <c r="K58" s="108" t="n">
        <v>0.98</v>
      </c>
      <c r="L58" s="108" t="n">
        <v>0.99</v>
      </c>
      <c r="M58" s="108" t="n">
        <v>1.005</v>
      </c>
      <c r="N58" s="108" t="n">
        <v>0.99</v>
      </c>
      <c r="O58" s="108" t="n">
        <v>0.96</v>
      </c>
    </row>
    <row r="59" customFormat="false" ht="12.75" hidden="false" customHeight="false" outlineLevel="0" collapsed="false">
      <c r="A59" s="158" t="n">
        <v>38473</v>
      </c>
      <c r="B59" s="108" t="n">
        <v>0.999</v>
      </c>
      <c r="C59" s="108" t="n">
        <v>0.999</v>
      </c>
      <c r="D59" s="108" t="n">
        <v>0.995</v>
      </c>
      <c r="E59" s="108" t="n">
        <v>0.96</v>
      </c>
      <c r="F59" s="108" t="n">
        <v>0.96</v>
      </c>
      <c r="G59" s="108" t="n">
        <v>0.994071440191916</v>
      </c>
      <c r="H59" s="108" t="n">
        <v>0.99</v>
      </c>
      <c r="I59" s="108" t="n">
        <v>0.980420749757432</v>
      </c>
      <c r="J59" s="108" t="n">
        <v>0.995</v>
      </c>
      <c r="K59" s="108" t="n">
        <v>0.98</v>
      </c>
      <c r="L59" s="108" t="n">
        <v>0.99</v>
      </c>
      <c r="M59" s="108" t="n">
        <v>1.005</v>
      </c>
      <c r="N59" s="108" t="n">
        <v>0.99</v>
      </c>
      <c r="O59" s="108" t="n">
        <v>0.96</v>
      </c>
    </row>
    <row r="60" customFormat="false" ht="12.75" hidden="false" customHeight="false" outlineLevel="0" collapsed="false">
      <c r="A60" s="158" t="n">
        <v>38504</v>
      </c>
      <c r="B60" s="108" t="n">
        <v>0.999</v>
      </c>
      <c r="C60" s="108" t="n">
        <v>0.999</v>
      </c>
      <c r="D60" s="108" t="n">
        <v>0.995</v>
      </c>
      <c r="E60" s="108" t="n">
        <v>0.96</v>
      </c>
      <c r="F60" s="108" t="n">
        <v>0.96</v>
      </c>
      <c r="G60" s="108" t="n">
        <v>0.994071440191916</v>
      </c>
      <c r="H60" s="108" t="n">
        <v>0.99</v>
      </c>
      <c r="I60" s="108" t="n">
        <v>0.980420749757432</v>
      </c>
      <c r="J60" s="108" t="n">
        <v>0.995</v>
      </c>
      <c r="K60" s="108" t="n">
        <v>0.98</v>
      </c>
      <c r="L60" s="108" t="n">
        <v>0.99</v>
      </c>
      <c r="M60" s="108" t="n">
        <v>1.005</v>
      </c>
      <c r="N60" s="108" t="n">
        <v>0.99</v>
      </c>
      <c r="O60" s="108" t="n">
        <v>0.96</v>
      </c>
    </row>
    <row r="61" customFormat="false" ht="12.75" hidden="false" customHeight="false" outlineLevel="0" collapsed="false">
      <c r="A61" s="158" t="n">
        <v>38534</v>
      </c>
      <c r="B61" s="108" t="n">
        <v>0.999</v>
      </c>
      <c r="C61" s="108" t="n">
        <v>0.999</v>
      </c>
      <c r="D61" s="108" t="n">
        <v>0.995</v>
      </c>
      <c r="E61" s="108" t="n">
        <v>0.96</v>
      </c>
      <c r="F61" s="108" t="n">
        <v>0.96</v>
      </c>
      <c r="G61" s="108" t="n">
        <v>0.994071440191916</v>
      </c>
      <c r="H61" s="108" t="n">
        <v>0.99</v>
      </c>
      <c r="I61" s="108" t="n">
        <v>0.980420749757432</v>
      </c>
      <c r="J61" s="108" t="n">
        <v>0.995</v>
      </c>
      <c r="K61" s="108" t="n">
        <v>0.98</v>
      </c>
      <c r="L61" s="108" t="n">
        <v>0.99</v>
      </c>
      <c r="M61" s="108" t="n">
        <v>1.005</v>
      </c>
      <c r="N61" s="108" t="n">
        <v>0.99</v>
      </c>
      <c r="O61" s="108" t="n">
        <v>0.96</v>
      </c>
    </row>
    <row r="62" customFormat="false" ht="12.75" hidden="false" customHeight="false" outlineLevel="0" collapsed="false">
      <c r="A62" s="158" t="n">
        <v>38565</v>
      </c>
      <c r="B62" s="108" t="n">
        <v>0.999</v>
      </c>
      <c r="C62" s="108" t="n">
        <v>0.999</v>
      </c>
      <c r="D62" s="108" t="n">
        <v>0.995</v>
      </c>
      <c r="E62" s="108" t="n">
        <v>0.96</v>
      </c>
      <c r="F62" s="108" t="n">
        <v>0.96</v>
      </c>
      <c r="G62" s="108" t="n">
        <v>0.994071440191916</v>
      </c>
      <c r="H62" s="108" t="n">
        <v>0.99</v>
      </c>
      <c r="I62" s="108" t="n">
        <v>0.980420749757432</v>
      </c>
      <c r="J62" s="108" t="n">
        <v>0.995</v>
      </c>
      <c r="K62" s="108" t="n">
        <v>0.98</v>
      </c>
      <c r="L62" s="108" t="n">
        <v>0.99</v>
      </c>
      <c r="M62" s="108" t="n">
        <v>1.005</v>
      </c>
      <c r="N62" s="108" t="n">
        <v>0.99</v>
      </c>
      <c r="O62" s="108" t="n">
        <v>0.96</v>
      </c>
    </row>
    <row r="63" customFormat="false" ht="12.75" hidden="false" customHeight="false" outlineLevel="0" collapsed="false">
      <c r="A63" s="158" t="n">
        <v>38596</v>
      </c>
      <c r="B63" s="108" t="n">
        <v>0.999</v>
      </c>
      <c r="C63" s="108" t="n">
        <v>0.999</v>
      </c>
      <c r="D63" s="108" t="n">
        <v>0.995</v>
      </c>
      <c r="E63" s="108" t="n">
        <v>0.96</v>
      </c>
      <c r="F63" s="108" t="n">
        <v>0.96</v>
      </c>
      <c r="G63" s="108" t="n">
        <v>0.994071440191916</v>
      </c>
      <c r="H63" s="108" t="n">
        <v>0.99</v>
      </c>
      <c r="I63" s="108" t="n">
        <v>0.980420749757432</v>
      </c>
      <c r="J63" s="108" t="n">
        <v>0.995</v>
      </c>
      <c r="K63" s="108" t="n">
        <v>0.98</v>
      </c>
      <c r="L63" s="108" t="n">
        <v>0.99</v>
      </c>
      <c r="M63" s="108" t="n">
        <v>1.005</v>
      </c>
      <c r="N63" s="108" t="n">
        <v>0.99</v>
      </c>
      <c r="O63" s="108" t="n">
        <v>0.96</v>
      </c>
    </row>
    <row r="64" customFormat="false" ht="12.75" hidden="false" customHeight="false" outlineLevel="0" collapsed="false">
      <c r="A64" s="158" t="n">
        <v>38626</v>
      </c>
      <c r="B64" s="108" t="n">
        <v>0.999</v>
      </c>
      <c r="C64" s="108" t="n">
        <v>0.999</v>
      </c>
      <c r="D64" s="108" t="n">
        <v>0.995</v>
      </c>
      <c r="E64" s="108" t="n">
        <v>0.96</v>
      </c>
      <c r="F64" s="108" t="n">
        <v>0.96</v>
      </c>
      <c r="G64" s="108" t="n">
        <v>0.994071440191916</v>
      </c>
      <c r="H64" s="108" t="n">
        <v>0.99</v>
      </c>
      <c r="I64" s="108" t="n">
        <v>0.980420749757432</v>
      </c>
      <c r="J64" s="108" t="n">
        <v>0.995</v>
      </c>
      <c r="K64" s="108" t="n">
        <v>0.98</v>
      </c>
      <c r="L64" s="108" t="n">
        <v>0.99</v>
      </c>
      <c r="M64" s="108" t="n">
        <v>1.005</v>
      </c>
      <c r="N64" s="108" t="n">
        <v>0.99</v>
      </c>
      <c r="O64" s="108" t="n">
        <v>0.96</v>
      </c>
    </row>
    <row r="65" customFormat="false" ht="12.75" hidden="false" customHeight="false" outlineLevel="0" collapsed="false">
      <c r="A65" s="158" t="n">
        <v>38657</v>
      </c>
      <c r="B65" s="108" t="n">
        <v>0.999</v>
      </c>
      <c r="C65" s="108" t="n">
        <v>0.999</v>
      </c>
      <c r="D65" s="108" t="n">
        <v>0.995</v>
      </c>
      <c r="E65" s="108" t="n">
        <v>0.96</v>
      </c>
      <c r="F65" s="108" t="n">
        <v>0.96</v>
      </c>
      <c r="G65" s="108" t="n">
        <v>0.984107647518451</v>
      </c>
      <c r="H65" s="108" t="n">
        <v>0.99</v>
      </c>
      <c r="I65" s="108" t="n">
        <v>0.905775860471433</v>
      </c>
      <c r="J65" s="108" t="n">
        <v>0.995</v>
      </c>
      <c r="K65" s="108" t="n">
        <v>0.98</v>
      </c>
      <c r="L65" s="108" t="n">
        <v>0.99</v>
      </c>
      <c r="M65" s="108" t="n">
        <v>1.005</v>
      </c>
      <c r="N65" s="108" t="n">
        <v>0.99</v>
      </c>
      <c r="O65" s="108" t="n">
        <v>0.96</v>
      </c>
    </row>
    <row r="66" customFormat="false" ht="12.75" hidden="false" customHeight="false" outlineLevel="0" collapsed="false">
      <c r="A66" s="158" t="n">
        <v>38687</v>
      </c>
      <c r="B66" s="108" t="n">
        <v>0.999</v>
      </c>
      <c r="C66" s="108" t="n">
        <v>0.999</v>
      </c>
      <c r="D66" s="108" t="n">
        <v>0.995</v>
      </c>
      <c r="E66" s="108" t="n">
        <v>0.96</v>
      </c>
      <c r="F66" s="108" t="n">
        <v>0.96</v>
      </c>
      <c r="G66" s="108" t="n">
        <v>0.984107647518451</v>
      </c>
      <c r="H66" s="108" t="n">
        <v>0.99</v>
      </c>
      <c r="I66" s="108" t="n">
        <v>0.905775860471433</v>
      </c>
      <c r="J66" s="108" t="n">
        <v>0.995</v>
      </c>
      <c r="K66" s="108" t="n">
        <v>0.98</v>
      </c>
      <c r="L66" s="108" t="n">
        <v>0.99</v>
      </c>
      <c r="M66" s="108" t="n">
        <v>1.005</v>
      </c>
      <c r="N66" s="108" t="n">
        <v>0.99</v>
      </c>
      <c r="O66" s="108" t="n">
        <v>0.96</v>
      </c>
    </row>
    <row r="67" customFormat="false" ht="12.75" hidden="false" customHeight="false" outlineLevel="0" collapsed="false">
      <c r="A67" s="158" t="n">
        <v>38718</v>
      </c>
      <c r="B67" s="108" t="n">
        <v>0.999</v>
      </c>
      <c r="C67" s="108" t="n">
        <v>0.999</v>
      </c>
      <c r="D67" s="108" t="n">
        <v>0.995</v>
      </c>
      <c r="E67" s="108" t="n">
        <v>0.96</v>
      </c>
      <c r="F67" s="108" t="n">
        <v>0.96</v>
      </c>
      <c r="G67" s="108" t="n">
        <v>0.984107647518451</v>
      </c>
      <c r="H67" s="108" t="n">
        <v>0.99</v>
      </c>
      <c r="I67" s="108" t="n">
        <v>0.905775860471433</v>
      </c>
      <c r="J67" s="108" t="n">
        <v>0.995</v>
      </c>
      <c r="K67" s="108" t="n">
        <v>0.98</v>
      </c>
      <c r="L67" s="108" t="n">
        <v>0.99</v>
      </c>
      <c r="M67" s="108" t="n">
        <v>1.005</v>
      </c>
      <c r="N67" s="108" t="n">
        <v>0.99</v>
      </c>
      <c r="O67" s="108" t="n">
        <v>0.96</v>
      </c>
    </row>
    <row r="68" customFormat="false" ht="12.75" hidden="false" customHeight="false" outlineLevel="0" collapsed="false">
      <c r="A68" s="158" t="n">
        <v>38749</v>
      </c>
      <c r="B68" s="108" t="n">
        <v>0.999</v>
      </c>
      <c r="C68" s="108" t="n">
        <v>0.999</v>
      </c>
      <c r="D68" s="108" t="n">
        <v>0.995</v>
      </c>
      <c r="E68" s="108" t="n">
        <v>0.96</v>
      </c>
      <c r="F68" s="108" t="n">
        <v>0.96</v>
      </c>
      <c r="G68" s="108" t="n">
        <v>0.984107647518451</v>
      </c>
      <c r="H68" s="108" t="n">
        <v>0.99</v>
      </c>
      <c r="I68" s="108" t="n">
        <v>0.905775860471433</v>
      </c>
      <c r="J68" s="108" t="n">
        <v>0.995</v>
      </c>
      <c r="K68" s="108" t="n">
        <v>0.98</v>
      </c>
      <c r="L68" s="108" t="n">
        <v>0.99</v>
      </c>
      <c r="M68" s="108" t="n">
        <v>1.005</v>
      </c>
      <c r="N68" s="108" t="n">
        <v>0.99</v>
      </c>
      <c r="O68" s="108" t="n">
        <v>0.96</v>
      </c>
    </row>
    <row r="69" customFormat="false" ht="12.75" hidden="false" customHeight="false" outlineLevel="0" collapsed="false">
      <c r="A69" s="158" t="n">
        <v>38777</v>
      </c>
      <c r="B69" s="108" t="n">
        <v>0.999</v>
      </c>
      <c r="C69" s="108" t="n">
        <v>0.999</v>
      </c>
      <c r="D69" s="108" t="n">
        <v>0.995</v>
      </c>
      <c r="E69" s="108" t="n">
        <v>0.96</v>
      </c>
      <c r="F69" s="108" t="n">
        <v>0.96</v>
      </c>
      <c r="G69" s="108" t="n">
        <v>0.984107647518451</v>
      </c>
      <c r="H69" s="108" t="n">
        <v>0.99</v>
      </c>
      <c r="I69" s="108" t="n">
        <v>0.905775860471433</v>
      </c>
      <c r="J69" s="108" t="n">
        <v>0.995</v>
      </c>
      <c r="K69" s="108" t="n">
        <v>0.98</v>
      </c>
      <c r="L69" s="108" t="n">
        <v>0.99</v>
      </c>
      <c r="M69" s="108" t="n">
        <v>1.005</v>
      </c>
      <c r="N69" s="108" t="n">
        <v>0.99</v>
      </c>
      <c r="O69" s="108" t="n">
        <v>0.96</v>
      </c>
    </row>
    <row r="70" customFormat="false" ht="12.75" hidden="false" customHeight="false" outlineLevel="0" collapsed="false">
      <c r="A70" s="158" t="n">
        <v>38808</v>
      </c>
      <c r="B70" s="108" t="n">
        <v>0.999</v>
      </c>
      <c r="C70" s="108" t="n">
        <v>0.999</v>
      </c>
      <c r="D70" s="108" t="n">
        <v>0.995</v>
      </c>
      <c r="E70" s="108" t="n">
        <v>0.96</v>
      </c>
      <c r="F70" s="108" t="n">
        <v>0.96</v>
      </c>
      <c r="G70" s="108" t="n">
        <v>0.994071440191916</v>
      </c>
      <c r="H70" s="108" t="n">
        <v>0.99</v>
      </c>
      <c r="I70" s="108" t="n">
        <v>0.980420749757432</v>
      </c>
      <c r="J70" s="108" t="n">
        <v>0.995</v>
      </c>
      <c r="K70" s="108" t="n">
        <v>0.98</v>
      </c>
      <c r="L70" s="108" t="n">
        <v>0.99</v>
      </c>
      <c r="M70" s="108" t="n">
        <v>1.005</v>
      </c>
      <c r="N70" s="108" t="n">
        <v>0.99</v>
      </c>
      <c r="O70" s="108" t="n">
        <v>0.96</v>
      </c>
    </row>
    <row r="71" customFormat="false" ht="12.75" hidden="false" customHeight="false" outlineLevel="0" collapsed="false">
      <c r="A71" s="158" t="n">
        <v>38838</v>
      </c>
      <c r="B71" s="108" t="n">
        <v>0.999</v>
      </c>
      <c r="C71" s="108" t="n">
        <v>0.999</v>
      </c>
      <c r="D71" s="108" t="n">
        <v>0.995</v>
      </c>
      <c r="E71" s="108" t="n">
        <v>0.96</v>
      </c>
      <c r="F71" s="108" t="n">
        <v>0.96</v>
      </c>
      <c r="G71" s="108" t="n">
        <v>0.994071440191916</v>
      </c>
      <c r="H71" s="108" t="n">
        <v>0.99</v>
      </c>
      <c r="I71" s="108" t="n">
        <v>0.980420749757432</v>
      </c>
      <c r="J71" s="108" t="n">
        <v>0.995</v>
      </c>
      <c r="K71" s="108" t="n">
        <v>0.98</v>
      </c>
      <c r="L71" s="108" t="n">
        <v>0.99</v>
      </c>
      <c r="M71" s="108" t="n">
        <v>1.005</v>
      </c>
      <c r="N71" s="108" t="n">
        <v>0.99</v>
      </c>
      <c r="O71" s="108" t="n">
        <v>0.96</v>
      </c>
    </row>
    <row r="72" customFormat="false" ht="12.75" hidden="false" customHeight="false" outlineLevel="0" collapsed="false">
      <c r="A72" s="158" t="n">
        <v>38869</v>
      </c>
      <c r="B72" s="108" t="n">
        <v>0.999</v>
      </c>
      <c r="C72" s="108" t="n">
        <v>0.999</v>
      </c>
      <c r="D72" s="108" t="n">
        <v>0.995</v>
      </c>
      <c r="E72" s="108" t="n">
        <v>0.96</v>
      </c>
      <c r="F72" s="108" t="n">
        <v>0.96</v>
      </c>
      <c r="G72" s="108" t="n">
        <v>0.994071440191916</v>
      </c>
      <c r="H72" s="108" t="n">
        <v>0.99</v>
      </c>
      <c r="I72" s="108" t="n">
        <v>0.980420749757432</v>
      </c>
      <c r="J72" s="108" t="n">
        <v>0.995</v>
      </c>
      <c r="K72" s="108" t="n">
        <v>0.98</v>
      </c>
      <c r="L72" s="108" t="n">
        <v>0.99</v>
      </c>
      <c r="M72" s="108" t="n">
        <v>1.005</v>
      </c>
      <c r="N72" s="108" t="n">
        <v>0.99</v>
      </c>
      <c r="O72" s="108" t="n">
        <v>0.96</v>
      </c>
    </row>
    <row r="73" customFormat="false" ht="12.75" hidden="false" customHeight="false" outlineLevel="0" collapsed="false">
      <c r="A73" s="158" t="n">
        <v>38899</v>
      </c>
      <c r="B73" s="108" t="n">
        <v>0.999</v>
      </c>
      <c r="C73" s="108" t="n">
        <v>0.999</v>
      </c>
      <c r="D73" s="108" t="n">
        <v>0.995</v>
      </c>
      <c r="E73" s="108" t="n">
        <v>0.96</v>
      </c>
      <c r="F73" s="108" t="n">
        <v>0.96</v>
      </c>
      <c r="G73" s="108" t="n">
        <v>0.994071440191916</v>
      </c>
      <c r="H73" s="108" t="n">
        <v>0.99</v>
      </c>
      <c r="I73" s="108" t="n">
        <v>0.980420749757432</v>
      </c>
      <c r="J73" s="108" t="n">
        <v>0.995</v>
      </c>
      <c r="K73" s="108" t="n">
        <v>0.98</v>
      </c>
      <c r="L73" s="108" t="n">
        <v>0.99</v>
      </c>
      <c r="M73" s="108" t="n">
        <v>1.005</v>
      </c>
      <c r="N73" s="108" t="n">
        <v>0.99</v>
      </c>
      <c r="O73" s="108" t="n">
        <v>0.96</v>
      </c>
    </row>
    <row r="74" customFormat="false" ht="12.75" hidden="false" customHeight="false" outlineLevel="0" collapsed="false">
      <c r="A74" s="158" t="n">
        <v>38930</v>
      </c>
      <c r="B74" s="108" t="n">
        <v>0.999</v>
      </c>
      <c r="C74" s="108" t="n">
        <v>0.999</v>
      </c>
      <c r="D74" s="108" t="n">
        <v>0.995</v>
      </c>
      <c r="E74" s="108" t="n">
        <v>0.96</v>
      </c>
      <c r="F74" s="108" t="n">
        <v>0.96</v>
      </c>
      <c r="G74" s="108" t="n">
        <v>0.994071440191916</v>
      </c>
      <c r="H74" s="108" t="n">
        <v>0.99</v>
      </c>
      <c r="I74" s="108" t="n">
        <v>0.980420749757432</v>
      </c>
      <c r="J74" s="108" t="n">
        <v>0.995</v>
      </c>
      <c r="K74" s="108" t="n">
        <v>0.98</v>
      </c>
      <c r="L74" s="108" t="n">
        <v>0.99</v>
      </c>
      <c r="M74" s="108" t="n">
        <v>1.005</v>
      </c>
      <c r="N74" s="108" t="n">
        <v>0.99</v>
      </c>
      <c r="O74" s="108" t="n">
        <v>0.96</v>
      </c>
    </row>
    <row r="75" customFormat="false" ht="12.75" hidden="false" customHeight="false" outlineLevel="0" collapsed="false">
      <c r="A75" s="158" t="n">
        <v>38961</v>
      </c>
      <c r="B75" s="108" t="n">
        <v>0.999</v>
      </c>
      <c r="C75" s="108" t="n">
        <v>0.999</v>
      </c>
      <c r="D75" s="108" t="n">
        <v>0.995</v>
      </c>
      <c r="E75" s="108" t="n">
        <v>0.96</v>
      </c>
      <c r="F75" s="108" t="n">
        <v>0.96</v>
      </c>
      <c r="G75" s="108" t="n">
        <v>0.994071440191916</v>
      </c>
      <c r="H75" s="108" t="n">
        <v>0.99</v>
      </c>
      <c r="I75" s="108" t="n">
        <v>0.980420749757432</v>
      </c>
      <c r="J75" s="108" t="n">
        <v>0.995</v>
      </c>
      <c r="K75" s="108" t="n">
        <v>0.98</v>
      </c>
      <c r="L75" s="108" t="n">
        <v>0.99</v>
      </c>
      <c r="M75" s="108" t="n">
        <v>1.005</v>
      </c>
      <c r="N75" s="108" t="n">
        <v>0.99</v>
      </c>
      <c r="O75" s="108" t="n">
        <v>0.96</v>
      </c>
    </row>
    <row r="76" customFormat="false" ht="12.75" hidden="false" customHeight="false" outlineLevel="0" collapsed="false">
      <c r="A76" s="158" t="n">
        <v>38991</v>
      </c>
      <c r="B76" s="108" t="n">
        <v>0.999</v>
      </c>
      <c r="C76" s="108" t="n">
        <v>0.999</v>
      </c>
      <c r="D76" s="108" t="n">
        <v>0.995</v>
      </c>
      <c r="E76" s="108" t="n">
        <v>0.96</v>
      </c>
      <c r="F76" s="108" t="n">
        <v>0.96</v>
      </c>
      <c r="G76" s="108" t="n">
        <v>0.994071440191916</v>
      </c>
      <c r="H76" s="108" t="n">
        <v>0.99</v>
      </c>
      <c r="I76" s="108" t="n">
        <v>0.980420749757432</v>
      </c>
      <c r="J76" s="108" t="n">
        <v>0.995</v>
      </c>
      <c r="K76" s="108" t="n">
        <v>0.98</v>
      </c>
      <c r="L76" s="108" t="n">
        <v>0.99</v>
      </c>
      <c r="M76" s="108" t="n">
        <v>1.005</v>
      </c>
      <c r="N76" s="108" t="n">
        <v>0.99</v>
      </c>
      <c r="O76" s="108" t="n">
        <v>0.96</v>
      </c>
    </row>
    <row r="77" customFormat="false" ht="12.75" hidden="false" customHeight="false" outlineLevel="0" collapsed="false">
      <c r="A77" s="158" t="n">
        <v>39022</v>
      </c>
      <c r="B77" s="108" t="n">
        <v>0.999</v>
      </c>
      <c r="C77" s="108" t="n">
        <v>0.999</v>
      </c>
      <c r="D77" s="108" t="n">
        <v>0.995</v>
      </c>
      <c r="E77" s="108" t="n">
        <v>0.96</v>
      </c>
      <c r="F77" s="108" t="n">
        <v>0.96</v>
      </c>
      <c r="G77" s="108" t="n">
        <v>0.984107647518451</v>
      </c>
      <c r="H77" s="108" t="n">
        <v>0.99</v>
      </c>
      <c r="I77" s="108" t="n">
        <v>0.905775860471433</v>
      </c>
      <c r="J77" s="108" t="n">
        <v>0.995</v>
      </c>
      <c r="K77" s="108" t="n">
        <v>0.98</v>
      </c>
      <c r="L77" s="108" t="n">
        <v>0.99</v>
      </c>
      <c r="M77" s="108" t="n">
        <v>1.005</v>
      </c>
      <c r="N77" s="108" t="n">
        <v>0.99</v>
      </c>
      <c r="O77" s="108" t="n">
        <v>0.96</v>
      </c>
    </row>
    <row r="78" customFormat="false" ht="12.75" hidden="false" customHeight="false" outlineLevel="0" collapsed="false">
      <c r="A78" s="158" t="n">
        <v>39052</v>
      </c>
      <c r="B78" s="108" t="n">
        <v>0.999</v>
      </c>
      <c r="C78" s="108" t="n">
        <v>0.999</v>
      </c>
      <c r="D78" s="108" t="n">
        <v>0.995</v>
      </c>
      <c r="E78" s="108" t="n">
        <v>0.96</v>
      </c>
      <c r="F78" s="108" t="n">
        <v>0.96</v>
      </c>
      <c r="G78" s="108" t="n">
        <v>0.984107647518451</v>
      </c>
      <c r="H78" s="108" t="n">
        <v>0.99</v>
      </c>
      <c r="I78" s="108" t="n">
        <v>0.905775860471433</v>
      </c>
      <c r="J78" s="108" t="n">
        <v>0.995</v>
      </c>
      <c r="K78" s="108" t="n">
        <v>0.98</v>
      </c>
      <c r="L78" s="108" t="n">
        <v>0.99</v>
      </c>
      <c r="M78" s="108" t="n">
        <v>1.005</v>
      </c>
      <c r="N78" s="108" t="n">
        <v>0.99</v>
      </c>
      <c r="O78" s="108" t="n">
        <v>0.96</v>
      </c>
    </row>
    <row r="79" customFormat="false" ht="12.75" hidden="false" customHeight="false" outlineLevel="0" collapsed="false">
      <c r="A79" s="158" t="n">
        <v>39083</v>
      </c>
      <c r="B79" s="108" t="n">
        <v>0.999</v>
      </c>
      <c r="C79" s="108" t="n">
        <v>0.999</v>
      </c>
      <c r="D79" s="108" t="n">
        <v>0.995</v>
      </c>
      <c r="E79" s="108" t="n">
        <v>0.96</v>
      </c>
      <c r="F79" s="108" t="n">
        <v>0.96</v>
      </c>
      <c r="G79" s="108" t="n">
        <v>0.984107647518451</v>
      </c>
      <c r="H79" s="108" t="n">
        <v>0.99</v>
      </c>
      <c r="I79" s="108" t="n">
        <v>0.905775860471433</v>
      </c>
      <c r="J79" s="108" t="n">
        <v>0.995</v>
      </c>
      <c r="K79" s="108" t="n">
        <v>0.98</v>
      </c>
      <c r="L79" s="108" t="n">
        <v>0.99</v>
      </c>
      <c r="M79" s="108" t="n">
        <v>1.005</v>
      </c>
      <c r="N79" s="108" t="n">
        <v>0.99</v>
      </c>
      <c r="O79" s="108" t="n">
        <v>0.96</v>
      </c>
    </row>
    <row r="80" customFormat="false" ht="12.75" hidden="false" customHeight="false" outlineLevel="0" collapsed="false">
      <c r="A80" s="158" t="n">
        <v>39114</v>
      </c>
      <c r="B80" s="108" t="n">
        <v>0.999</v>
      </c>
      <c r="C80" s="108" t="n">
        <v>0.999</v>
      </c>
      <c r="D80" s="108" t="n">
        <v>0.995</v>
      </c>
      <c r="E80" s="108" t="n">
        <v>0.96</v>
      </c>
      <c r="F80" s="108" t="n">
        <v>0.96</v>
      </c>
      <c r="G80" s="108" t="n">
        <v>0.984107647518451</v>
      </c>
      <c r="H80" s="108" t="n">
        <v>0.99</v>
      </c>
      <c r="I80" s="108" t="n">
        <v>0.905775860471433</v>
      </c>
      <c r="J80" s="108" t="n">
        <v>0.995</v>
      </c>
      <c r="K80" s="108" t="n">
        <v>0.98</v>
      </c>
      <c r="L80" s="108" t="n">
        <v>0.99</v>
      </c>
      <c r="M80" s="108" t="n">
        <v>1.005</v>
      </c>
      <c r="N80" s="108" t="n">
        <v>0.99</v>
      </c>
      <c r="O80" s="108" t="n">
        <v>0.96</v>
      </c>
    </row>
    <row r="81" customFormat="false" ht="12.75" hidden="false" customHeight="false" outlineLevel="0" collapsed="false">
      <c r="A81" s="158" t="n">
        <v>39142</v>
      </c>
      <c r="B81" s="108" t="n">
        <v>0.999</v>
      </c>
      <c r="C81" s="108" t="n">
        <v>0.999</v>
      </c>
      <c r="D81" s="108" t="n">
        <v>0.995</v>
      </c>
      <c r="E81" s="108" t="n">
        <v>0.96</v>
      </c>
      <c r="F81" s="108" t="n">
        <v>0.96</v>
      </c>
      <c r="G81" s="108" t="n">
        <v>0.984107647518451</v>
      </c>
      <c r="H81" s="108" t="n">
        <v>0.99</v>
      </c>
      <c r="I81" s="108" t="n">
        <v>0.905775860471433</v>
      </c>
      <c r="J81" s="108" t="n">
        <v>0.995</v>
      </c>
      <c r="K81" s="108" t="n">
        <v>0.98</v>
      </c>
      <c r="L81" s="108" t="n">
        <v>0.99</v>
      </c>
      <c r="M81" s="108" t="n">
        <v>1.005</v>
      </c>
      <c r="N81" s="108" t="n">
        <v>0.99</v>
      </c>
      <c r="O81" s="108" t="n">
        <v>0.96</v>
      </c>
    </row>
    <row r="82" customFormat="false" ht="12.75" hidden="false" customHeight="false" outlineLevel="0" collapsed="false">
      <c r="A82" s="158" t="n">
        <v>39173</v>
      </c>
      <c r="B82" s="108" t="n">
        <v>0.999</v>
      </c>
      <c r="C82" s="108" t="n">
        <v>0.999</v>
      </c>
      <c r="D82" s="108" t="n">
        <v>0.995</v>
      </c>
      <c r="E82" s="108" t="n">
        <v>0.96</v>
      </c>
      <c r="F82" s="108" t="n">
        <v>0.96</v>
      </c>
      <c r="G82" s="108" t="n">
        <v>0.9306</v>
      </c>
      <c r="H82" s="108" t="n">
        <v>0.99</v>
      </c>
      <c r="I82" s="108" t="n">
        <v>0.9306</v>
      </c>
      <c r="J82" s="108" t="n">
        <v>0.995</v>
      </c>
      <c r="K82" s="108" t="n">
        <v>0.98</v>
      </c>
      <c r="L82" s="108" t="n">
        <v>0.99</v>
      </c>
      <c r="M82" s="108" t="n">
        <v>1.005</v>
      </c>
      <c r="N82" s="108" t="n">
        <v>0.99</v>
      </c>
      <c r="O82" s="108" t="n">
        <v>0.96</v>
      </c>
    </row>
    <row r="83" customFormat="false" ht="12.75" hidden="false" customHeight="false" outlineLevel="0" collapsed="false">
      <c r="A83" s="158" t="n">
        <v>39203</v>
      </c>
      <c r="B83" s="108" t="n">
        <v>0.999</v>
      </c>
      <c r="C83" s="108" t="n">
        <v>0.999</v>
      </c>
      <c r="D83" s="108" t="n">
        <v>0.995</v>
      </c>
      <c r="E83" s="108" t="n">
        <v>0.96</v>
      </c>
      <c r="F83" s="108" t="n">
        <v>0.96</v>
      </c>
      <c r="G83" s="108" t="n">
        <v>0.9306</v>
      </c>
      <c r="H83" s="108" t="n">
        <v>0.99</v>
      </c>
      <c r="I83" s="108" t="n">
        <v>0.9306</v>
      </c>
      <c r="J83" s="108" t="n">
        <v>0.995</v>
      </c>
      <c r="K83" s="108" t="n">
        <v>0.98</v>
      </c>
      <c r="L83" s="108" t="n">
        <v>0.99</v>
      </c>
      <c r="M83" s="108" t="n">
        <v>1.005</v>
      </c>
      <c r="N83" s="108" t="n">
        <v>0.99</v>
      </c>
      <c r="O83" s="108" t="n">
        <v>0.96</v>
      </c>
    </row>
    <row r="84" customFormat="false" ht="12.75" hidden="false" customHeight="false" outlineLevel="0" collapsed="false">
      <c r="A84" s="158" t="n">
        <v>39234</v>
      </c>
      <c r="B84" s="108" t="n">
        <v>0.999</v>
      </c>
      <c r="C84" s="108" t="n">
        <v>0.999</v>
      </c>
      <c r="D84" s="108" t="n">
        <v>0.995</v>
      </c>
      <c r="E84" s="108" t="n">
        <v>0.96</v>
      </c>
      <c r="F84" s="108" t="n">
        <v>0.96</v>
      </c>
      <c r="G84" s="108" t="n">
        <v>0.9306</v>
      </c>
      <c r="H84" s="108" t="n">
        <v>0.99</v>
      </c>
      <c r="I84" s="108" t="n">
        <v>0.9306</v>
      </c>
      <c r="J84" s="108" t="n">
        <v>0.995</v>
      </c>
      <c r="K84" s="108" t="n">
        <v>0.98</v>
      </c>
      <c r="L84" s="108" t="n">
        <v>0.99</v>
      </c>
      <c r="M84" s="108" t="n">
        <v>1.005</v>
      </c>
      <c r="N84" s="108" t="n">
        <v>0.99</v>
      </c>
      <c r="O84" s="108" t="n">
        <v>0.96</v>
      </c>
    </row>
    <row r="85" customFormat="false" ht="12.75" hidden="false" customHeight="false" outlineLevel="0" collapsed="false">
      <c r="A85" s="158" t="n">
        <v>39264</v>
      </c>
      <c r="B85" s="108" t="n">
        <v>0.999</v>
      </c>
      <c r="C85" s="108" t="n">
        <v>0.999</v>
      </c>
      <c r="D85" s="108" t="n">
        <v>0.995</v>
      </c>
      <c r="E85" s="108" t="n">
        <v>0.96</v>
      </c>
      <c r="F85" s="108" t="n">
        <v>0.96</v>
      </c>
      <c r="G85" s="108" t="n">
        <v>0.9306</v>
      </c>
      <c r="H85" s="108" t="n">
        <v>0.99</v>
      </c>
      <c r="I85" s="108" t="n">
        <v>0.9306</v>
      </c>
      <c r="J85" s="108" t="n">
        <v>0.995</v>
      </c>
      <c r="K85" s="108" t="n">
        <v>0.98</v>
      </c>
      <c r="L85" s="108" t="n">
        <v>0.99</v>
      </c>
      <c r="M85" s="108" t="n">
        <v>1.005</v>
      </c>
      <c r="N85" s="108" t="n">
        <v>0.99</v>
      </c>
      <c r="O85" s="108" t="n">
        <v>0.96</v>
      </c>
    </row>
    <row r="86" customFormat="false" ht="12.75" hidden="false" customHeight="false" outlineLevel="0" collapsed="false">
      <c r="A86" s="158" t="n">
        <v>39295</v>
      </c>
      <c r="B86" s="108" t="n">
        <v>0.999</v>
      </c>
      <c r="C86" s="108" t="n">
        <v>0.999</v>
      </c>
      <c r="D86" s="108" t="n">
        <v>0.995</v>
      </c>
      <c r="E86" s="108" t="n">
        <v>0.96</v>
      </c>
      <c r="F86" s="108" t="n">
        <v>0.96</v>
      </c>
      <c r="G86" s="108" t="n">
        <v>0.9306</v>
      </c>
      <c r="H86" s="108" t="n">
        <v>0.99</v>
      </c>
      <c r="I86" s="108" t="n">
        <v>0.9306</v>
      </c>
      <c r="J86" s="108" t="n">
        <v>0.995</v>
      </c>
      <c r="K86" s="108" t="n">
        <v>0.98</v>
      </c>
      <c r="L86" s="108" t="n">
        <v>0.99</v>
      </c>
      <c r="M86" s="108" t="n">
        <v>1.005</v>
      </c>
      <c r="N86" s="108" t="n">
        <v>0.99</v>
      </c>
      <c r="O86" s="108" t="n">
        <v>0.96</v>
      </c>
    </row>
    <row r="87" customFormat="false" ht="12.75" hidden="false" customHeight="false" outlineLevel="0" collapsed="false">
      <c r="A87" s="158" t="n">
        <v>39326</v>
      </c>
      <c r="B87" s="108" t="n">
        <v>0.999</v>
      </c>
      <c r="C87" s="108" t="n">
        <v>0.999</v>
      </c>
      <c r="D87" s="108" t="n">
        <v>0.995</v>
      </c>
      <c r="E87" s="108" t="n">
        <v>0.96</v>
      </c>
      <c r="F87" s="108" t="n">
        <v>0.96</v>
      </c>
      <c r="G87" s="108" t="n">
        <v>0.9306</v>
      </c>
      <c r="H87" s="108" t="n">
        <v>0.99</v>
      </c>
      <c r="I87" s="108" t="n">
        <v>0.9306</v>
      </c>
      <c r="J87" s="108" t="n">
        <v>0.995</v>
      </c>
      <c r="K87" s="108" t="n">
        <v>0.98</v>
      </c>
      <c r="L87" s="108" t="n">
        <v>0.99</v>
      </c>
      <c r="M87" s="108" t="n">
        <v>1.005</v>
      </c>
      <c r="N87" s="108" t="n">
        <v>0.99</v>
      </c>
      <c r="O87" s="108" t="n">
        <v>0.96</v>
      </c>
    </row>
    <row r="88" customFormat="false" ht="12.75" hidden="false" customHeight="false" outlineLevel="0" collapsed="false">
      <c r="A88" s="158" t="n">
        <v>39356</v>
      </c>
      <c r="B88" s="108" t="n">
        <v>0.999</v>
      </c>
      <c r="C88" s="108" t="n">
        <v>0.999</v>
      </c>
      <c r="D88" s="108" t="n">
        <v>0.995</v>
      </c>
      <c r="E88" s="108" t="n">
        <v>0.96</v>
      </c>
      <c r="F88" s="108" t="n">
        <v>0.96</v>
      </c>
      <c r="G88" s="108" t="n">
        <v>0.9306</v>
      </c>
      <c r="H88" s="108" t="n">
        <v>0.99</v>
      </c>
      <c r="I88" s="108" t="n">
        <v>0.9306</v>
      </c>
      <c r="J88" s="108" t="n">
        <v>0.995</v>
      </c>
      <c r="K88" s="108" t="n">
        <v>0.98</v>
      </c>
      <c r="L88" s="108" t="n">
        <v>0.99</v>
      </c>
      <c r="M88" s="108" t="n">
        <v>1.005</v>
      </c>
      <c r="N88" s="108" t="n">
        <v>0.99</v>
      </c>
      <c r="O88" s="108" t="n">
        <v>0.96</v>
      </c>
    </row>
    <row r="89" customFormat="false" ht="12.75" hidden="false" customHeight="false" outlineLevel="0" collapsed="false">
      <c r="A89" s="158" t="n">
        <v>39387</v>
      </c>
      <c r="B89" s="108" t="n">
        <v>0.999</v>
      </c>
      <c r="C89" s="108" t="n">
        <v>0.999</v>
      </c>
      <c r="D89" s="108" t="n">
        <v>0.995</v>
      </c>
      <c r="E89" s="108" t="n">
        <v>0.96</v>
      </c>
      <c r="F89" s="108" t="n">
        <v>0.96</v>
      </c>
      <c r="G89" s="108" t="n">
        <v>0.9306</v>
      </c>
      <c r="H89" s="108" t="n">
        <v>0.99</v>
      </c>
      <c r="I89" s="108" t="n">
        <v>0.9306</v>
      </c>
      <c r="J89" s="108" t="n">
        <v>0.995</v>
      </c>
      <c r="K89" s="108" t="n">
        <v>0.98</v>
      </c>
      <c r="L89" s="108" t="n">
        <v>0.99</v>
      </c>
      <c r="M89" s="108" t="n">
        <v>1.005</v>
      </c>
      <c r="N89" s="108" t="n">
        <v>0.99</v>
      </c>
      <c r="O89" s="108" t="n">
        <v>0.96</v>
      </c>
    </row>
    <row r="90" customFormat="false" ht="12.75" hidden="false" customHeight="false" outlineLevel="0" collapsed="false">
      <c r="A90" s="158" t="n">
        <v>39417</v>
      </c>
      <c r="B90" s="108" t="n">
        <v>0.999</v>
      </c>
      <c r="C90" s="108" t="n">
        <v>0.999</v>
      </c>
      <c r="D90" s="108" t="n">
        <v>0.995</v>
      </c>
      <c r="E90" s="108" t="n">
        <v>0.96</v>
      </c>
      <c r="F90" s="108" t="n">
        <v>0.96</v>
      </c>
      <c r="G90" s="108" t="n">
        <v>0.9306</v>
      </c>
      <c r="H90" s="108" t="n">
        <v>0.99</v>
      </c>
      <c r="I90" s="108" t="n">
        <v>0.9306</v>
      </c>
      <c r="J90" s="108" t="n">
        <v>0.995</v>
      </c>
      <c r="K90" s="108" t="n">
        <v>0.98</v>
      </c>
      <c r="L90" s="108" t="n">
        <v>0.99</v>
      </c>
      <c r="M90" s="108" t="n">
        <v>1.005</v>
      </c>
      <c r="N90" s="108" t="n">
        <v>0.99</v>
      </c>
      <c r="O90" s="108" t="n">
        <v>0.96</v>
      </c>
    </row>
    <row r="91" customFormat="false" ht="12.75" hidden="false" customHeight="false" outlineLevel="0" collapsed="false">
      <c r="A91" s="158" t="n">
        <v>39448</v>
      </c>
      <c r="B91" s="108" t="n">
        <v>0.999</v>
      </c>
      <c r="C91" s="108" t="n">
        <v>0.999</v>
      </c>
      <c r="D91" s="108" t="n">
        <v>0.995</v>
      </c>
      <c r="E91" s="108" t="n">
        <v>0.96</v>
      </c>
      <c r="F91" s="108" t="n">
        <v>0.96</v>
      </c>
      <c r="G91" s="108" t="n">
        <v>0.9306</v>
      </c>
      <c r="H91" s="108" t="n">
        <v>0.99</v>
      </c>
      <c r="I91" s="108" t="n">
        <v>0.9306</v>
      </c>
      <c r="J91" s="108" t="n">
        <v>0.995</v>
      </c>
      <c r="K91" s="108" t="n">
        <v>0.98</v>
      </c>
      <c r="L91" s="108" t="n">
        <v>0.99</v>
      </c>
      <c r="M91" s="108" t="n">
        <v>1.005</v>
      </c>
      <c r="N91" s="108" t="n">
        <v>0.99</v>
      </c>
      <c r="O91" s="108" t="n">
        <v>0.96</v>
      </c>
    </row>
    <row r="92" customFormat="false" ht="12.75" hidden="false" customHeight="false" outlineLevel="0" collapsed="false">
      <c r="A92" s="158" t="n">
        <v>39479</v>
      </c>
      <c r="B92" s="108" t="n">
        <v>0.999</v>
      </c>
      <c r="C92" s="108" t="n">
        <v>0.999</v>
      </c>
      <c r="D92" s="108" t="n">
        <v>0.995</v>
      </c>
      <c r="E92" s="108" t="n">
        <v>0.96</v>
      </c>
      <c r="F92" s="108" t="n">
        <v>0.96</v>
      </c>
      <c r="G92" s="108" t="n">
        <v>0.9306</v>
      </c>
      <c r="H92" s="108" t="n">
        <v>0.99</v>
      </c>
      <c r="I92" s="108" t="n">
        <v>0.9306</v>
      </c>
      <c r="J92" s="108" t="n">
        <v>0.995</v>
      </c>
      <c r="K92" s="108" t="n">
        <v>0.98</v>
      </c>
      <c r="L92" s="108" t="n">
        <v>0.99</v>
      </c>
      <c r="M92" s="108" t="n">
        <v>1.005</v>
      </c>
      <c r="N92" s="108" t="n">
        <v>0.99</v>
      </c>
      <c r="O92" s="108" t="n">
        <v>0.96</v>
      </c>
    </row>
    <row r="93" customFormat="false" ht="12.75" hidden="false" customHeight="false" outlineLevel="0" collapsed="false">
      <c r="A93" s="158" t="n">
        <v>39508</v>
      </c>
      <c r="B93" s="108" t="n">
        <v>0.999</v>
      </c>
      <c r="C93" s="108" t="n">
        <v>0.999</v>
      </c>
      <c r="D93" s="108" t="n">
        <v>0.995</v>
      </c>
      <c r="E93" s="108" t="n">
        <v>0.96</v>
      </c>
      <c r="F93" s="108" t="n">
        <v>0.96</v>
      </c>
      <c r="G93" s="108" t="n">
        <v>0.9306</v>
      </c>
      <c r="H93" s="108" t="n">
        <v>0.99</v>
      </c>
      <c r="I93" s="108" t="n">
        <v>0.9306</v>
      </c>
      <c r="J93" s="108" t="n">
        <v>0.995</v>
      </c>
      <c r="K93" s="108" t="n">
        <v>0.98</v>
      </c>
      <c r="L93" s="108" t="n">
        <v>0.99</v>
      </c>
      <c r="M93" s="108" t="n">
        <v>1.005</v>
      </c>
      <c r="N93" s="108" t="n">
        <v>0.99</v>
      </c>
      <c r="O93" s="108" t="n">
        <v>0.96</v>
      </c>
    </row>
    <row r="94" customFormat="false" ht="12.75" hidden="false" customHeight="false" outlineLevel="0" collapsed="false">
      <c r="A94" s="158" t="n">
        <v>39539</v>
      </c>
      <c r="B94" s="108" t="n">
        <v>0.999</v>
      </c>
      <c r="C94" s="108" t="n">
        <v>0.999</v>
      </c>
      <c r="D94" s="108" t="n">
        <v>0.995</v>
      </c>
      <c r="E94" s="108" t="n">
        <v>0.96</v>
      </c>
      <c r="F94" s="108" t="n">
        <v>0.96</v>
      </c>
      <c r="G94" s="108" t="n">
        <v>0.9306</v>
      </c>
      <c r="H94" s="108" t="n">
        <v>0.99</v>
      </c>
      <c r="I94" s="108" t="n">
        <v>0.9306</v>
      </c>
      <c r="J94" s="108" t="n">
        <v>0.995</v>
      </c>
      <c r="K94" s="108" t="n">
        <v>0.98</v>
      </c>
      <c r="L94" s="108" t="n">
        <v>0.99</v>
      </c>
      <c r="M94" s="108" t="n">
        <v>1.005</v>
      </c>
      <c r="N94" s="108" t="n">
        <v>0.99</v>
      </c>
      <c r="O94" s="108" t="n">
        <v>0.96</v>
      </c>
    </row>
    <row r="95" customFormat="false" ht="12.75" hidden="false" customHeight="false" outlineLevel="0" collapsed="false">
      <c r="A95" s="158" t="n">
        <v>39569</v>
      </c>
      <c r="B95" s="108" t="n">
        <v>0.999</v>
      </c>
      <c r="C95" s="108" t="n">
        <v>0.999</v>
      </c>
      <c r="D95" s="108" t="n">
        <v>0.995</v>
      </c>
      <c r="E95" s="108" t="n">
        <v>0.96</v>
      </c>
      <c r="F95" s="108" t="n">
        <v>0.96</v>
      </c>
      <c r="G95" s="108" t="n">
        <v>0.9306</v>
      </c>
      <c r="H95" s="108" t="n">
        <v>0.99</v>
      </c>
      <c r="I95" s="108" t="n">
        <v>0.9306</v>
      </c>
      <c r="J95" s="108" t="n">
        <v>0.995</v>
      </c>
      <c r="K95" s="108" t="n">
        <v>0.98</v>
      </c>
      <c r="L95" s="108" t="n">
        <v>0.99</v>
      </c>
      <c r="M95" s="108" t="n">
        <v>1.005</v>
      </c>
      <c r="N95" s="108" t="n">
        <v>0.99</v>
      </c>
      <c r="O95" s="108" t="n">
        <v>0.96</v>
      </c>
    </row>
    <row r="96" customFormat="false" ht="12.75" hidden="false" customHeight="false" outlineLevel="0" collapsed="false">
      <c r="A96" s="158" t="n">
        <v>39600</v>
      </c>
      <c r="B96" s="108" t="n">
        <v>0.999</v>
      </c>
      <c r="C96" s="108" t="n">
        <v>0.999</v>
      </c>
      <c r="D96" s="108" t="n">
        <v>0.995</v>
      </c>
      <c r="E96" s="108" t="n">
        <v>0.96</v>
      </c>
      <c r="F96" s="108" t="n">
        <v>0.96</v>
      </c>
      <c r="G96" s="108" t="n">
        <v>0.9306</v>
      </c>
      <c r="H96" s="108" t="n">
        <v>0.99</v>
      </c>
      <c r="I96" s="108" t="n">
        <v>0.9306</v>
      </c>
      <c r="J96" s="108" t="n">
        <v>0.995</v>
      </c>
      <c r="K96" s="108" t="n">
        <v>0.98</v>
      </c>
      <c r="L96" s="108" t="n">
        <v>0.99</v>
      </c>
      <c r="M96" s="108" t="n">
        <v>1.005</v>
      </c>
      <c r="N96" s="108" t="n">
        <v>0.99</v>
      </c>
      <c r="O96" s="108" t="n">
        <v>0.96</v>
      </c>
    </row>
    <row r="97" customFormat="false" ht="12.75" hidden="false" customHeight="false" outlineLevel="0" collapsed="false">
      <c r="A97" s="158" t="n">
        <v>39630</v>
      </c>
      <c r="B97" s="108" t="n">
        <v>0.999</v>
      </c>
      <c r="C97" s="108" t="n">
        <v>0.999</v>
      </c>
      <c r="D97" s="108" t="n">
        <v>0.995</v>
      </c>
      <c r="E97" s="108" t="n">
        <v>0.96</v>
      </c>
      <c r="F97" s="108" t="n">
        <v>0.96</v>
      </c>
      <c r="G97" s="108" t="n">
        <v>0.9306</v>
      </c>
      <c r="H97" s="108" t="n">
        <v>0.99</v>
      </c>
      <c r="I97" s="108" t="n">
        <v>0.9306</v>
      </c>
      <c r="J97" s="108" t="n">
        <v>0.995</v>
      </c>
      <c r="K97" s="108" t="n">
        <v>0.98</v>
      </c>
      <c r="L97" s="108" t="n">
        <v>0.99</v>
      </c>
      <c r="M97" s="108" t="n">
        <v>1.005</v>
      </c>
      <c r="N97" s="108" t="n">
        <v>0.99</v>
      </c>
      <c r="O97" s="108" t="n">
        <v>0.96</v>
      </c>
    </row>
    <row r="98" customFormat="false" ht="12.75" hidden="false" customHeight="false" outlineLevel="0" collapsed="false">
      <c r="A98" s="158" t="n">
        <v>39661</v>
      </c>
      <c r="B98" s="108" t="n">
        <v>0.999</v>
      </c>
      <c r="C98" s="108" t="n">
        <v>0.999</v>
      </c>
      <c r="D98" s="108" t="n">
        <v>0.995</v>
      </c>
      <c r="E98" s="108" t="n">
        <v>0.96</v>
      </c>
      <c r="F98" s="108" t="n">
        <v>0.96</v>
      </c>
      <c r="G98" s="108" t="n">
        <v>0.9306</v>
      </c>
      <c r="H98" s="108" t="n">
        <v>0.99</v>
      </c>
      <c r="I98" s="108" t="n">
        <v>0.9306</v>
      </c>
      <c r="J98" s="108" t="n">
        <v>0.995</v>
      </c>
      <c r="K98" s="108" t="n">
        <v>0.98</v>
      </c>
      <c r="L98" s="108" t="n">
        <v>0.99</v>
      </c>
      <c r="M98" s="108" t="n">
        <v>1.005</v>
      </c>
      <c r="N98" s="108" t="n">
        <v>0.99</v>
      </c>
      <c r="O98" s="108" t="n">
        <v>0.96</v>
      </c>
    </row>
    <row r="99" customFormat="false" ht="12.75" hidden="false" customHeight="false" outlineLevel="0" collapsed="false">
      <c r="A99" s="158" t="n">
        <v>39692</v>
      </c>
      <c r="B99" s="108" t="n">
        <v>0.999</v>
      </c>
      <c r="C99" s="108" t="n">
        <v>0.999</v>
      </c>
      <c r="D99" s="108" t="n">
        <v>0.995</v>
      </c>
      <c r="E99" s="108" t="n">
        <v>0.96</v>
      </c>
      <c r="F99" s="108" t="n">
        <v>0.96</v>
      </c>
      <c r="G99" s="108" t="n">
        <v>0.9306</v>
      </c>
      <c r="H99" s="108" t="n">
        <v>0.99</v>
      </c>
      <c r="I99" s="108" t="n">
        <v>0.9306</v>
      </c>
      <c r="J99" s="108" t="n">
        <v>0.995</v>
      </c>
      <c r="K99" s="108" t="n">
        <v>0.98</v>
      </c>
      <c r="L99" s="108" t="n">
        <v>0.99</v>
      </c>
      <c r="M99" s="108" t="n">
        <v>1.005</v>
      </c>
      <c r="N99" s="108" t="n">
        <v>0.99</v>
      </c>
      <c r="O99" s="108" t="n">
        <v>0.96</v>
      </c>
    </row>
    <row r="100" customFormat="false" ht="12.75" hidden="false" customHeight="false" outlineLevel="0" collapsed="false">
      <c r="A100" s="158" t="n">
        <v>39722</v>
      </c>
      <c r="B100" s="108" t="n">
        <v>0.999</v>
      </c>
      <c r="C100" s="108" t="n">
        <v>0.999</v>
      </c>
      <c r="D100" s="108" t="n">
        <v>0.995</v>
      </c>
      <c r="E100" s="108" t="n">
        <v>0.96</v>
      </c>
      <c r="F100" s="108" t="n">
        <v>0.96</v>
      </c>
      <c r="G100" s="108" t="n">
        <v>0.9306</v>
      </c>
      <c r="H100" s="108" t="n">
        <v>0.99</v>
      </c>
      <c r="I100" s="108" t="n">
        <v>0.9306</v>
      </c>
      <c r="J100" s="108" t="n">
        <v>0.995</v>
      </c>
      <c r="K100" s="108" t="n">
        <v>0.98</v>
      </c>
      <c r="L100" s="108" t="n">
        <v>0.99</v>
      </c>
      <c r="M100" s="108" t="n">
        <v>1.005</v>
      </c>
      <c r="N100" s="108" t="n">
        <v>0.99</v>
      </c>
      <c r="O100" s="108" t="n">
        <v>0.96</v>
      </c>
    </row>
    <row r="101" customFormat="false" ht="12.75" hidden="false" customHeight="false" outlineLevel="0" collapsed="false">
      <c r="A101" s="158" t="n">
        <v>39753</v>
      </c>
      <c r="B101" s="108" t="n">
        <v>0.999</v>
      </c>
      <c r="C101" s="108" t="n">
        <v>0.999</v>
      </c>
      <c r="D101" s="108" t="n">
        <v>0.995</v>
      </c>
      <c r="E101" s="108" t="n">
        <v>0.96</v>
      </c>
      <c r="F101" s="108" t="n">
        <v>0.96</v>
      </c>
      <c r="G101" s="108" t="n">
        <v>0.9306</v>
      </c>
      <c r="H101" s="108" t="n">
        <v>0.99</v>
      </c>
      <c r="I101" s="108" t="n">
        <v>0.9306</v>
      </c>
      <c r="J101" s="108" t="n">
        <v>0.995</v>
      </c>
      <c r="K101" s="108" t="n">
        <v>0.98</v>
      </c>
      <c r="L101" s="108" t="n">
        <v>0.99</v>
      </c>
      <c r="M101" s="108" t="n">
        <v>1.005</v>
      </c>
      <c r="N101" s="108" t="n">
        <v>0.99</v>
      </c>
      <c r="O101" s="108" t="n">
        <v>0.96</v>
      </c>
    </row>
    <row r="102" customFormat="false" ht="12.75" hidden="false" customHeight="false" outlineLevel="0" collapsed="false">
      <c r="A102" s="158" t="n">
        <v>39783</v>
      </c>
      <c r="B102" s="108" t="n">
        <v>0.999</v>
      </c>
      <c r="C102" s="108" t="n">
        <v>0.999</v>
      </c>
      <c r="D102" s="108" t="n">
        <v>0.995</v>
      </c>
      <c r="E102" s="108" t="n">
        <v>0.96</v>
      </c>
      <c r="F102" s="108" t="n">
        <v>0.96</v>
      </c>
      <c r="G102" s="108" t="n">
        <v>0.9306</v>
      </c>
      <c r="H102" s="108" t="n">
        <v>0.99</v>
      </c>
      <c r="I102" s="108" t="n">
        <v>0.9306</v>
      </c>
      <c r="J102" s="108" t="n">
        <v>0.995</v>
      </c>
      <c r="K102" s="108" t="n">
        <v>0.98</v>
      </c>
      <c r="L102" s="108" t="n">
        <v>0.99</v>
      </c>
      <c r="M102" s="108" t="n">
        <v>1.005</v>
      </c>
      <c r="N102" s="108" t="n">
        <v>0.99</v>
      </c>
      <c r="O102" s="108" t="n">
        <v>0.96</v>
      </c>
    </row>
    <row r="103" customFormat="false" ht="12.75" hidden="false" customHeight="false" outlineLevel="0" collapsed="false">
      <c r="A103" s="158" t="n">
        <v>39814</v>
      </c>
      <c r="B103" s="108" t="n">
        <v>0.999</v>
      </c>
      <c r="C103" s="108" t="n">
        <v>0.999</v>
      </c>
      <c r="D103" s="108" t="n">
        <v>0.995</v>
      </c>
      <c r="E103" s="108" t="n">
        <v>0.96</v>
      </c>
      <c r="F103" s="108" t="n">
        <v>0.96</v>
      </c>
      <c r="G103" s="108" t="n">
        <v>0.9306</v>
      </c>
      <c r="H103" s="108" t="n">
        <v>0.99</v>
      </c>
      <c r="I103" s="108" t="n">
        <v>0.9306</v>
      </c>
      <c r="J103" s="108" t="n">
        <v>0.995</v>
      </c>
      <c r="K103" s="108" t="n">
        <v>0.98</v>
      </c>
      <c r="L103" s="108" t="n">
        <v>0.99</v>
      </c>
      <c r="M103" s="108" t="n">
        <v>1.005</v>
      </c>
      <c r="N103" s="108" t="n">
        <v>0.99</v>
      </c>
      <c r="O103" s="108" t="n">
        <v>0.96</v>
      </c>
    </row>
    <row r="104" customFormat="false" ht="12.75" hidden="false" customHeight="false" outlineLevel="0" collapsed="false">
      <c r="A104" s="158" t="n">
        <v>39845</v>
      </c>
      <c r="B104" s="108" t="n">
        <v>0.999</v>
      </c>
      <c r="C104" s="108" t="n">
        <v>0.999</v>
      </c>
      <c r="D104" s="108" t="n">
        <v>0.995</v>
      </c>
      <c r="E104" s="108" t="n">
        <v>0.96</v>
      </c>
      <c r="F104" s="108" t="n">
        <v>0.96</v>
      </c>
      <c r="G104" s="108" t="n">
        <v>0.9306</v>
      </c>
      <c r="H104" s="108" t="n">
        <v>0.99</v>
      </c>
      <c r="I104" s="108" t="n">
        <v>0.9306</v>
      </c>
      <c r="J104" s="108" t="n">
        <v>0.995</v>
      </c>
      <c r="K104" s="108" t="n">
        <v>0.98</v>
      </c>
      <c r="L104" s="108" t="n">
        <v>0.99</v>
      </c>
      <c r="M104" s="108" t="n">
        <v>1.005</v>
      </c>
      <c r="N104" s="108" t="n">
        <v>0.99</v>
      </c>
      <c r="O104" s="108" t="n">
        <v>0.96</v>
      </c>
    </row>
    <row r="105" customFormat="false" ht="12.75" hidden="false" customHeight="false" outlineLevel="0" collapsed="false">
      <c r="A105" s="158" t="n">
        <v>39873</v>
      </c>
      <c r="B105" s="108" t="n">
        <v>0.999</v>
      </c>
      <c r="C105" s="108" t="n">
        <v>0.999</v>
      </c>
      <c r="D105" s="108" t="n">
        <v>0.995</v>
      </c>
      <c r="E105" s="108" t="n">
        <v>0.96</v>
      </c>
      <c r="F105" s="108" t="n">
        <v>0.96</v>
      </c>
      <c r="G105" s="108" t="n">
        <v>0.9306</v>
      </c>
      <c r="H105" s="108" t="n">
        <v>0.99</v>
      </c>
      <c r="I105" s="108" t="n">
        <v>0.9306</v>
      </c>
      <c r="J105" s="108" t="n">
        <v>0.995</v>
      </c>
      <c r="K105" s="108" t="n">
        <v>0.98</v>
      </c>
      <c r="L105" s="108" t="n">
        <v>0.99</v>
      </c>
      <c r="M105" s="108" t="n">
        <v>1.005</v>
      </c>
      <c r="N105" s="108" t="n">
        <v>0.99</v>
      </c>
      <c r="O105" s="108" t="n">
        <v>0.96</v>
      </c>
    </row>
    <row r="106" customFormat="false" ht="12.75" hidden="false" customHeight="false" outlineLevel="0" collapsed="false">
      <c r="A106" s="158" t="n">
        <v>39904</v>
      </c>
      <c r="B106" s="108" t="n">
        <v>0.999</v>
      </c>
      <c r="C106" s="108" t="n">
        <v>0.999</v>
      </c>
      <c r="D106" s="108" t="n">
        <v>0.995</v>
      </c>
      <c r="E106" s="108" t="n">
        <v>0.96</v>
      </c>
      <c r="F106" s="108" t="n">
        <v>0.96</v>
      </c>
      <c r="G106" s="108" t="n">
        <v>0.9306</v>
      </c>
      <c r="H106" s="108" t="n">
        <v>0.99</v>
      </c>
      <c r="I106" s="108" t="n">
        <v>0.9306</v>
      </c>
      <c r="J106" s="108" t="n">
        <v>0.995</v>
      </c>
      <c r="K106" s="108" t="n">
        <v>0.98</v>
      </c>
      <c r="L106" s="108" t="n">
        <v>0.99</v>
      </c>
      <c r="M106" s="108" t="n">
        <v>1.005</v>
      </c>
      <c r="N106" s="108" t="n">
        <v>0.99</v>
      </c>
      <c r="O106" s="108" t="n">
        <v>0.96</v>
      </c>
    </row>
    <row r="107" customFormat="false" ht="12.75" hidden="false" customHeight="false" outlineLevel="0" collapsed="false">
      <c r="A107" s="158" t="n">
        <v>39934</v>
      </c>
      <c r="B107" s="108" t="n">
        <v>0.999</v>
      </c>
      <c r="C107" s="108" t="n">
        <v>0.999</v>
      </c>
      <c r="D107" s="108" t="n">
        <v>0.995</v>
      </c>
      <c r="E107" s="108" t="n">
        <v>0.96</v>
      </c>
      <c r="F107" s="108" t="n">
        <v>0.96</v>
      </c>
      <c r="G107" s="108" t="n">
        <v>0.9306</v>
      </c>
      <c r="H107" s="108" t="n">
        <v>0.99</v>
      </c>
      <c r="I107" s="108" t="n">
        <v>0.9306</v>
      </c>
      <c r="J107" s="108" t="n">
        <v>0.995</v>
      </c>
      <c r="K107" s="108" t="n">
        <v>0.98</v>
      </c>
      <c r="L107" s="108" t="n">
        <v>0.99</v>
      </c>
      <c r="M107" s="108" t="n">
        <v>1.005</v>
      </c>
      <c r="N107" s="108" t="n">
        <v>0.99</v>
      </c>
      <c r="O107" s="108" t="n">
        <v>0.96</v>
      </c>
    </row>
    <row r="108" customFormat="false" ht="12.75" hidden="false" customHeight="false" outlineLevel="0" collapsed="false">
      <c r="A108" s="158" t="n">
        <v>39965</v>
      </c>
      <c r="B108" s="108" t="n">
        <v>0.999</v>
      </c>
      <c r="C108" s="108" t="n">
        <v>0.999</v>
      </c>
      <c r="D108" s="108" t="n">
        <v>0.995</v>
      </c>
      <c r="E108" s="108" t="n">
        <v>0.96</v>
      </c>
      <c r="F108" s="108" t="n">
        <v>0.96</v>
      </c>
      <c r="G108" s="108" t="n">
        <v>0.9306</v>
      </c>
      <c r="H108" s="108" t="n">
        <v>0.99</v>
      </c>
      <c r="I108" s="108" t="n">
        <v>0.9306</v>
      </c>
      <c r="J108" s="108" t="n">
        <v>0.995</v>
      </c>
      <c r="K108" s="108" t="n">
        <v>0.98</v>
      </c>
      <c r="L108" s="108" t="n">
        <v>0.99</v>
      </c>
      <c r="M108" s="108" t="n">
        <v>1.005</v>
      </c>
      <c r="N108" s="108" t="n">
        <v>0.99</v>
      </c>
      <c r="O108" s="108" t="n">
        <v>0.96</v>
      </c>
    </row>
    <row r="109" customFormat="false" ht="12.75" hidden="false" customHeight="false" outlineLevel="0" collapsed="false">
      <c r="A109" s="158" t="n">
        <v>39995</v>
      </c>
      <c r="B109" s="108" t="n">
        <v>0.999</v>
      </c>
      <c r="C109" s="108" t="n">
        <v>0.999</v>
      </c>
      <c r="D109" s="108" t="n">
        <v>0.995</v>
      </c>
      <c r="E109" s="108" t="n">
        <v>0.96</v>
      </c>
      <c r="F109" s="108" t="n">
        <v>0.96</v>
      </c>
      <c r="G109" s="108" t="n">
        <v>0.9306</v>
      </c>
      <c r="H109" s="108" t="n">
        <v>0.99</v>
      </c>
      <c r="I109" s="108" t="n">
        <v>0.9306</v>
      </c>
      <c r="J109" s="108" t="n">
        <v>0.995</v>
      </c>
      <c r="K109" s="108" t="n">
        <v>0.98</v>
      </c>
      <c r="L109" s="108" t="n">
        <v>0.99</v>
      </c>
      <c r="M109" s="108" t="n">
        <v>1.005</v>
      </c>
      <c r="N109" s="108" t="n">
        <v>0.99</v>
      </c>
      <c r="O109" s="108" t="n">
        <v>0.96</v>
      </c>
    </row>
    <row r="110" customFormat="false" ht="12.75" hidden="false" customHeight="false" outlineLevel="0" collapsed="false">
      <c r="A110" s="158" t="n">
        <v>40026</v>
      </c>
      <c r="B110" s="108" t="n">
        <v>0.999</v>
      </c>
      <c r="C110" s="108" t="n">
        <v>0.999</v>
      </c>
      <c r="D110" s="108" t="n">
        <v>0.995</v>
      </c>
      <c r="E110" s="108" t="n">
        <v>0.96</v>
      </c>
      <c r="F110" s="108" t="n">
        <v>0.96</v>
      </c>
      <c r="G110" s="108" t="n">
        <v>0.9306</v>
      </c>
      <c r="H110" s="108" t="n">
        <v>0.99</v>
      </c>
      <c r="I110" s="108" t="n">
        <v>0.9306</v>
      </c>
      <c r="J110" s="108" t="n">
        <v>0.995</v>
      </c>
      <c r="K110" s="108" t="n">
        <v>0.98</v>
      </c>
      <c r="L110" s="108" t="n">
        <v>0.99</v>
      </c>
      <c r="M110" s="108" t="n">
        <v>1.005</v>
      </c>
      <c r="N110" s="108" t="n">
        <v>0.99</v>
      </c>
      <c r="O110" s="108" t="n">
        <v>0.96</v>
      </c>
    </row>
    <row r="111" customFormat="false" ht="12.75" hidden="false" customHeight="false" outlineLevel="0" collapsed="false">
      <c r="A111" s="158" t="n">
        <v>40057</v>
      </c>
      <c r="B111" s="108" t="n">
        <v>0.999</v>
      </c>
      <c r="C111" s="108" t="n">
        <v>0.999</v>
      </c>
      <c r="D111" s="108" t="n">
        <v>0.995</v>
      </c>
      <c r="E111" s="108" t="n">
        <v>0.96</v>
      </c>
      <c r="F111" s="108" t="n">
        <v>0.96</v>
      </c>
      <c r="G111" s="108" t="n">
        <v>0.9306</v>
      </c>
      <c r="H111" s="108" t="n">
        <v>0.99</v>
      </c>
      <c r="I111" s="108" t="n">
        <v>0.9306</v>
      </c>
      <c r="J111" s="108" t="n">
        <v>0.995</v>
      </c>
      <c r="K111" s="108" t="n">
        <v>0.98</v>
      </c>
      <c r="L111" s="108" t="n">
        <v>0.99</v>
      </c>
      <c r="M111" s="108" t="n">
        <v>1.005</v>
      </c>
      <c r="N111" s="108" t="n">
        <v>0.99</v>
      </c>
      <c r="O111" s="108" t="n">
        <v>0.96</v>
      </c>
    </row>
    <row r="112" customFormat="false" ht="12.75" hidden="false" customHeight="false" outlineLevel="0" collapsed="false">
      <c r="A112" s="158" t="n">
        <v>40087</v>
      </c>
      <c r="B112" s="108" t="n">
        <v>0.999</v>
      </c>
      <c r="C112" s="108" t="n">
        <v>0.999</v>
      </c>
      <c r="D112" s="108" t="n">
        <v>0.995</v>
      </c>
      <c r="E112" s="108" t="n">
        <v>0.96</v>
      </c>
      <c r="F112" s="108" t="n">
        <v>0.96</v>
      </c>
      <c r="G112" s="108" t="n">
        <v>0.9306</v>
      </c>
      <c r="H112" s="108" t="n">
        <v>0.99</v>
      </c>
      <c r="I112" s="108" t="n">
        <v>0.9306</v>
      </c>
      <c r="J112" s="108" t="n">
        <v>0.995</v>
      </c>
      <c r="K112" s="108" t="n">
        <v>0.98</v>
      </c>
      <c r="L112" s="108" t="n">
        <v>0.99</v>
      </c>
      <c r="M112" s="108" t="n">
        <v>1.005</v>
      </c>
      <c r="N112" s="108" t="n">
        <v>0.99</v>
      </c>
      <c r="O112" s="108" t="n">
        <v>0.96</v>
      </c>
    </row>
    <row r="113" customFormat="false" ht="12.75" hidden="false" customHeight="false" outlineLevel="0" collapsed="false">
      <c r="A113" s="158" t="n">
        <v>40118</v>
      </c>
      <c r="B113" s="108" t="n">
        <v>0.999</v>
      </c>
      <c r="C113" s="108" t="n">
        <v>0.999</v>
      </c>
      <c r="D113" s="108" t="n">
        <v>0.995</v>
      </c>
      <c r="E113" s="108" t="n">
        <v>0.96</v>
      </c>
      <c r="F113" s="108" t="n">
        <v>0.96</v>
      </c>
      <c r="G113" s="108" t="n">
        <v>0.9306</v>
      </c>
      <c r="H113" s="108" t="n">
        <v>0.99</v>
      </c>
      <c r="I113" s="108" t="n">
        <v>0.9306</v>
      </c>
      <c r="J113" s="108" t="n">
        <v>0.995</v>
      </c>
      <c r="K113" s="108" t="n">
        <v>0.98</v>
      </c>
      <c r="L113" s="108" t="n">
        <v>0.99</v>
      </c>
      <c r="M113" s="108" t="n">
        <v>1.005</v>
      </c>
      <c r="N113" s="108" t="n">
        <v>0.99</v>
      </c>
      <c r="O113" s="108" t="n">
        <v>0.96</v>
      </c>
    </row>
    <row r="114" customFormat="false" ht="12.75" hidden="false" customHeight="false" outlineLevel="0" collapsed="false">
      <c r="A114" s="158" t="n">
        <v>40148</v>
      </c>
      <c r="B114" s="108" t="n">
        <v>0.999</v>
      </c>
      <c r="C114" s="108" t="n">
        <v>0.999</v>
      </c>
      <c r="D114" s="108" t="n">
        <v>0.995</v>
      </c>
      <c r="E114" s="108" t="n">
        <v>0.96</v>
      </c>
      <c r="F114" s="108" t="n">
        <v>0.96</v>
      </c>
      <c r="G114" s="108" t="n">
        <v>0.9306</v>
      </c>
      <c r="H114" s="108" t="n">
        <v>0.99</v>
      </c>
      <c r="I114" s="108" t="n">
        <v>0.9306</v>
      </c>
      <c r="J114" s="108" t="n">
        <v>0.995</v>
      </c>
      <c r="K114" s="108" t="n">
        <v>0.98</v>
      </c>
      <c r="L114" s="108" t="n">
        <v>0.99</v>
      </c>
      <c r="M114" s="108" t="n">
        <v>1.005</v>
      </c>
      <c r="N114" s="108" t="n">
        <v>0.99</v>
      </c>
      <c r="O114" s="108" t="n">
        <v>0.96</v>
      </c>
    </row>
    <row r="115" customFormat="false" ht="12.75" hidden="false" customHeight="false" outlineLevel="0" collapsed="false">
      <c r="A115" s="158" t="n">
        <v>40179</v>
      </c>
      <c r="B115" s="108" t="n">
        <v>0.999</v>
      </c>
      <c r="C115" s="108" t="n">
        <v>0.999</v>
      </c>
      <c r="D115" s="108" t="n">
        <v>0.995</v>
      </c>
      <c r="E115" s="108" t="n">
        <v>0.96</v>
      </c>
      <c r="F115" s="108" t="n">
        <v>0.96</v>
      </c>
      <c r="G115" s="108" t="n">
        <v>0.9306</v>
      </c>
      <c r="H115" s="108" t="n">
        <v>0.99</v>
      </c>
      <c r="I115" s="108" t="n">
        <v>0.9306</v>
      </c>
      <c r="J115" s="108" t="n">
        <v>0.995</v>
      </c>
      <c r="K115" s="108" t="n">
        <v>0.98</v>
      </c>
      <c r="L115" s="108" t="n">
        <v>0.99</v>
      </c>
      <c r="M115" s="108" t="n">
        <v>1.005</v>
      </c>
      <c r="N115" s="108" t="n">
        <v>0.99</v>
      </c>
      <c r="O115" s="108" t="n">
        <v>0.96</v>
      </c>
    </row>
    <row r="116" customFormat="false" ht="12.75" hidden="false" customHeight="false" outlineLevel="0" collapsed="false">
      <c r="A116" s="158" t="n">
        <v>40210</v>
      </c>
      <c r="B116" s="108" t="n">
        <v>0.999</v>
      </c>
      <c r="C116" s="108" t="n">
        <v>0.999</v>
      </c>
      <c r="D116" s="108" t="n">
        <v>0.995</v>
      </c>
      <c r="E116" s="108" t="n">
        <v>0.96</v>
      </c>
      <c r="F116" s="108" t="n">
        <v>0.96</v>
      </c>
      <c r="G116" s="108" t="n">
        <v>0.9306</v>
      </c>
      <c r="H116" s="108" t="n">
        <v>0.99</v>
      </c>
      <c r="I116" s="108" t="n">
        <v>0.9306</v>
      </c>
      <c r="J116" s="108" t="n">
        <v>0.995</v>
      </c>
      <c r="K116" s="108" t="n">
        <v>0.98</v>
      </c>
      <c r="L116" s="108" t="n">
        <v>0.99</v>
      </c>
      <c r="M116" s="108" t="n">
        <v>1.005</v>
      </c>
      <c r="N116" s="108" t="n">
        <v>0.99</v>
      </c>
      <c r="O116" s="108" t="n">
        <v>0.96</v>
      </c>
    </row>
    <row r="117" customFormat="false" ht="12.75" hidden="false" customHeight="false" outlineLevel="0" collapsed="false">
      <c r="A117" s="158" t="n">
        <v>40238</v>
      </c>
      <c r="B117" s="108" t="n">
        <v>0.999</v>
      </c>
      <c r="C117" s="108" t="n">
        <v>0.999</v>
      </c>
      <c r="D117" s="108" t="n">
        <v>0.995</v>
      </c>
      <c r="E117" s="108" t="n">
        <v>0.96</v>
      </c>
      <c r="F117" s="108" t="n">
        <v>0.96</v>
      </c>
      <c r="G117" s="108" t="n">
        <v>0.9306</v>
      </c>
      <c r="H117" s="108" t="n">
        <v>0.99</v>
      </c>
      <c r="I117" s="108" t="n">
        <v>0.9306</v>
      </c>
      <c r="J117" s="108" t="n">
        <v>0.995</v>
      </c>
      <c r="K117" s="108" t="n">
        <v>0.98</v>
      </c>
      <c r="L117" s="108" t="n">
        <v>0.99</v>
      </c>
      <c r="M117" s="108" t="n">
        <v>1.005</v>
      </c>
      <c r="N117" s="108" t="n">
        <v>0.99</v>
      </c>
      <c r="O117" s="108" t="n">
        <v>0.96</v>
      </c>
    </row>
    <row r="118" customFormat="false" ht="12.75" hidden="false" customHeight="false" outlineLevel="0" collapsed="false">
      <c r="A118" s="158" t="n">
        <v>40269</v>
      </c>
      <c r="B118" s="108" t="n">
        <v>0.999</v>
      </c>
      <c r="C118" s="108" t="n">
        <v>0.999</v>
      </c>
      <c r="D118" s="108" t="n">
        <v>0.995</v>
      </c>
      <c r="E118" s="108" t="n">
        <v>0.96</v>
      </c>
      <c r="F118" s="108" t="n">
        <v>0.96</v>
      </c>
      <c r="G118" s="108" t="n">
        <v>0.9306</v>
      </c>
      <c r="H118" s="108" t="n">
        <v>0.99</v>
      </c>
      <c r="I118" s="108" t="n">
        <v>0.9306</v>
      </c>
      <c r="J118" s="108" t="n">
        <v>0.995</v>
      </c>
      <c r="K118" s="108" t="n">
        <v>0.98</v>
      </c>
      <c r="L118" s="108" t="n">
        <v>0.99</v>
      </c>
      <c r="M118" s="108" t="n">
        <v>1.005</v>
      </c>
      <c r="N118" s="108" t="n">
        <v>0.99</v>
      </c>
      <c r="O118" s="108" t="n">
        <v>0.96</v>
      </c>
    </row>
    <row r="119" customFormat="false" ht="12.75" hidden="false" customHeight="false" outlineLevel="0" collapsed="false">
      <c r="A119" s="158" t="n">
        <v>40299</v>
      </c>
      <c r="B119" s="108" t="n">
        <v>0.999</v>
      </c>
      <c r="C119" s="108" t="n">
        <v>0.999</v>
      </c>
      <c r="D119" s="108" t="n">
        <v>0.995</v>
      </c>
      <c r="E119" s="108" t="n">
        <v>0.96</v>
      </c>
      <c r="F119" s="108" t="n">
        <v>0.96</v>
      </c>
      <c r="G119" s="108" t="n">
        <v>0.9306</v>
      </c>
      <c r="H119" s="108" t="n">
        <v>0.99</v>
      </c>
      <c r="I119" s="108" t="n">
        <v>0.9306</v>
      </c>
      <c r="J119" s="108" t="n">
        <v>0.995</v>
      </c>
      <c r="K119" s="108" t="n">
        <v>0.98</v>
      </c>
      <c r="L119" s="108" t="n">
        <v>0.99</v>
      </c>
      <c r="M119" s="108" t="n">
        <v>1.005</v>
      </c>
      <c r="N119" s="108" t="n">
        <v>0.99</v>
      </c>
      <c r="O119" s="108" t="n">
        <v>0.96</v>
      </c>
    </row>
    <row r="120" customFormat="false" ht="12.75" hidden="false" customHeight="false" outlineLevel="0" collapsed="false">
      <c r="A120" s="158" t="n">
        <v>40330</v>
      </c>
      <c r="B120" s="108" t="n">
        <v>0.999</v>
      </c>
      <c r="C120" s="108" t="n">
        <v>0.999</v>
      </c>
      <c r="D120" s="108" t="n">
        <v>0.995</v>
      </c>
      <c r="E120" s="108" t="n">
        <v>0.96</v>
      </c>
      <c r="F120" s="108" t="n">
        <v>0.96</v>
      </c>
      <c r="G120" s="108" t="n">
        <v>0.9306</v>
      </c>
      <c r="H120" s="108" t="n">
        <v>0.99</v>
      </c>
      <c r="I120" s="108" t="n">
        <v>0.9306</v>
      </c>
      <c r="J120" s="108" t="n">
        <v>0.995</v>
      </c>
      <c r="K120" s="108" t="n">
        <v>0.98</v>
      </c>
      <c r="L120" s="108" t="n">
        <v>0.99</v>
      </c>
      <c r="M120" s="108" t="n">
        <v>1.005</v>
      </c>
      <c r="N120" s="108" t="n">
        <v>0.99</v>
      </c>
      <c r="O120" s="108" t="n">
        <v>0.96</v>
      </c>
    </row>
    <row r="121" customFormat="false" ht="12.75" hidden="false" customHeight="false" outlineLevel="0" collapsed="false">
      <c r="A121" s="158" t="n">
        <v>40360</v>
      </c>
      <c r="B121" s="108" t="n">
        <v>0.999</v>
      </c>
      <c r="C121" s="108" t="n">
        <v>0.999</v>
      </c>
      <c r="D121" s="108" t="n">
        <v>0.995</v>
      </c>
      <c r="E121" s="108" t="n">
        <v>0.96</v>
      </c>
      <c r="F121" s="108" t="n">
        <v>0.96</v>
      </c>
      <c r="G121" s="108" t="n">
        <v>0.9306</v>
      </c>
      <c r="H121" s="108" t="n">
        <v>0.99</v>
      </c>
      <c r="I121" s="108" t="n">
        <v>0.9306</v>
      </c>
      <c r="J121" s="108" t="n">
        <v>0.995</v>
      </c>
      <c r="K121" s="108" t="n">
        <v>0.98</v>
      </c>
      <c r="L121" s="108" t="n">
        <v>0.99</v>
      </c>
      <c r="M121" s="108" t="n">
        <v>1.005</v>
      </c>
      <c r="N121" s="108" t="n">
        <v>0.99</v>
      </c>
      <c r="O121" s="108" t="n">
        <v>0.96</v>
      </c>
    </row>
    <row r="122" customFormat="false" ht="12.75" hidden="false" customHeight="false" outlineLevel="0" collapsed="false">
      <c r="A122" s="158" t="n">
        <v>40391</v>
      </c>
      <c r="B122" s="108" t="n">
        <v>0.999</v>
      </c>
      <c r="C122" s="108" t="n">
        <v>0.999</v>
      </c>
      <c r="D122" s="108" t="n">
        <v>0.995</v>
      </c>
      <c r="E122" s="108" t="n">
        <v>0.96</v>
      </c>
      <c r="F122" s="108" t="n">
        <v>0.96</v>
      </c>
      <c r="G122" s="108" t="n">
        <v>0.9306</v>
      </c>
      <c r="H122" s="108" t="n">
        <v>0.99</v>
      </c>
      <c r="I122" s="108" t="n">
        <v>0.9306</v>
      </c>
      <c r="J122" s="108" t="n">
        <v>0.995</v>
      </c>
      <c r="K122" s="108" t="n">
        <v>0.98</v>
      </c>
      <c r="L122" s="108" t="n">
        <v>0.99</v>
      </c>
      <c r="M122" s="108" t="n">
        <v>1.005</v>
      </c>
      <c r="N122" s="108" t="n">
        <v>0.99</v>
      </c>
      <c r="O122" s="108" t="n">
        <v>0.96</v>
      </c>
    </row>
    <row r="123" customFormat="false" ht="12.75" hidden="false" customHeight="false" outlineLevel="0" collapsed="false">
      <c r="A123" s="158" t="n">
        <v>40422</v>
      </c>
      <c r="B123" s="108" t="n">
        <v>0.999</v>
      </c>
      <c r="C123" s="108" t="n">
        <v>0.999</v>
      </c>
      <c r="D123" s="108" t="n">
        <v>0.995</v>
      </c>
      <c r="E123" s="108" t="n">
        <v>0.96</v>
      </c>
      <c r="F123" s="108" t="n">
        <v>0.96</v>
      </c>
      <c r="G123" s="108" t="n">
        <v>0.9306</v>
      </c>
      <c r="H123" s="108" t="n">
        <v>0.99</v>
      </c>
      <c r="I123" s="108" t="n">
        <v>0.9306</v>
      </c>
      <c r="J123" s="108" t="n">
        <v>0.995</v>
      </c>
      <c r="K123" s="108" t="n">
        <v>0.98</v>
      </c>
      <c r="L123" s="108" t="n">
        <v>0.99</v>
      </c>
      <c r="M123" s="108" t="n">
        <v>1.005</v>
      </c>
      <c r="N123" s="108" t="n">
        <v>0.99</v>
      </c>
      <c r="O123" s="108" t="n">
        <v>0.96</v>
      </c>
    </row>
    <row r="124" customFormat="false" ht="12.75" hidden="false" customHeight="false" outlineLevel="0" collapsed="false">
      <c r="A124" s="158" t="n">
        <v>40452</v>
      </c>
      <c r="B124" s="108" t="n">
        <v>0.999</v>
      </c>
      <c r="C124" s="108" t="n">
        <v>0.999</v>
      </c>
      <c r="D124" s="108" t="n">
        <v>0.995</v>
      </c>
      <c r="E124" s="108" t="n">
        <v>0.96</v>
      </c>
      <c r="F124" s="108" t="n">
        <v>0.96</v>
      </c>
      <c r="G124" s="108" t="n">
        <v>0.9306</v>
      </c>
      <c r="H124" s="108" t="n">
        <v>0.99</v>
      </c>
      <c r="I124" s="108" t="n">
        <v>0.9306</v>
      </c>
      <c r="J124" s="108" t="n">
        <v>0.995</v>
      </c>
      <c r="K124" s="108" t="n">
        <v>0.98</v>
      </c>
      <c r="L124" s="108" t="n">
        <v>0.99</v>
      </c>
      <c r="M124" s="108" t="n">
        <v>1.005</v>
      </c>
      <c r="N124" s="108" t="n">
        <v>0.99</v>
      </c>
      <c r="O124" s="108" t="n">
        <v>0.96</v>
      </c>
    </row>
    <row r="125" customFormat="false" ht="12.75" hidden="false" customHeight="false" outlineLevel="0" collapsed="false">
      <c r="A125" s="158" t="n">
        <v>40483</v>
      </c>
      <c r="B125" s="108" t="n">
        <v>0.999</v>
      </c>
      <c r="C125" s="108" t="n">
        <v>0.999</v>
      </c>
      <c r="D125" s="108" t="n">
        <v>0.995</v>
      </c>
      <c r="E125" s="108" t="n">
        <v>0.96</v>
      </c>
      <c r="F125" s="108" t="n">
        <v>0.96</v>
      </c>
      <c r="G125" s="108" t="n">
        <v>0.9306</v>
      </c>
      <c r="H125" s="108" t="n">
        <v>0.99</v>
      </c>
      <c r="I125" s="108" t="n">
        <v>0.9306</v>
      </c>
      <c r="J125" s="108" t="n">
        <v>0.995</v>
      </c>
      <c r="K125" s="108" t="n">
        <v>0.98</v>
      </c>
      <c r="L125" s="108" t="n">
        <v>0.99</v>
      </c>
      <c r="M125" s="108" t="n">
        <v>1.005</v>
      </c>
      <c r="N125" s="108" t="n">
        <v>0.99</v>
      </c>
      <c r="O125" s="108" t="n">
        <v>0.96</v>
      </c>
    </row>
    <row r="126" customFormat="false" ht="12.75" hidden="false" customHeight="false" outlineLevel="0" collapsed="false">
      <c r="A126" s="158" t="n">
        <v>40513</v>
      </c>
      <c r="B126" s="108" t="n">
        <v>0.999</v>
      </c>
      <c r="C126" s="108" t="n">
        <v>0.999</v>
      </c>
      <c r="D126" s="108" t="n">
        <v>0.995</v>
      </c>
      <c r="E126" s="108" t="n">
        <v>0.96</v>
      </c>
      <c r="F126" s="108" t="n">
        <v>0.96</v>
      </c>
      <c r="G126" s="108" t="n">
        <v>0.9306</v>
      </c>
      <c r="H126" s="108" t="n">
        <v>0.99</v>
      </c>
      <c r="I126" s="108" t="n">
        <v>0.9306</v>
      </c>
      <c r="J126" s="108" t="n">
        <v>0.995</v>
      </c>
      <c r="K126" s="108" t="n">
        <v>0.98</v>
      </c>
      <c r="L126" s="108" t="n">
        <v>0.99</v>
      </c>
      <c r="M126" s="108" t="n">
        <v>1.005</v>
      </c>
      <c r="N126" s="108" t="n">
        <v>0.99</v>
      </c>
      <c r="O126" s="108" t="n">
        <v>0.96</v>
      </c>
    </row>
    <row r="127" customFormat="false" ht="12.75" hidden="false" customHeight="false" outlineLevel="0" collapsed="false">
      <c r="A127" s="158" t="n">
        <v>40544</v>
      </c>
      <c r="B127" s="108" t="n">
        <v>0.999</v>
      </c>
      <c r="C127" s="108" t="n">
        <v>0.999</v>
      </c>
      <c r="D127" s="108" t="n">
        <v>0.995</v>
      </c>
      <c r="E127" s="108" t="n">
        <v>0.96</v>
      </c>
      <c r="F127" s="108" t="n">
        <v>0.96</v>
      </c>
      <c r="G127" s="108" t="n">
        <v>0.9306</v>
      </c>
      <c r="H127" s="108" t="n">
        <v>0.99</v>
      </c>
      <c r="I127" s="108" t="n">
        <v>0.9306</v>
      </c>
      <c r="J127" s="108" t="n">
        <v>0.995</v>
      </c>
      <c r="K127" s="108" t="n">
        <v>0.98</v>
      </c>
      <c r="L127" s="108" t="n">
        <v>0.99</v>
      </c>
      <c r="M127" s="108" t="n">
        <v>1.005</v>
      </c>
      <c r="N127" s="108" t="n">
        <v>0.99</v>
      </c>
      <c r="O127" s="108" t="n">
        <v>0.96</v>
      </c>
    </row>
    <row r="128" customFormat="false" ht="12.75" hidden="false" customHeight="false" outlineLevel="0" collapsed="false">
      <c r="A128" s="158" t="n">
        <v>40575</v>
      </c>
      <c r="B128" s="108" t="n">
        <v>0.999</v>
      </c>
      <c r="C128" s="108" t="n">
        <v>0.999</v>
      </c>
      <c r="D128" s="108" t="n">
        <v>0.995</v>
      </c>
      <c r="E128" s="108" t="n">
        <v>0.96</v>
      </c>
      <c r="F128" s="108" t="n">
        <v>0.96</v>
      </c>
      <c r="G128" s="108" t="n">
        <v>0.9306</v>
      </c>
      <c r="H128" s="108" t="n">
        <v>0.99</v>
      </c>
      <c r="I128" s="108" t="n">
        <v>0.9306</v>
      </c>
      <c r="J128" s="108" t="n">
        <v>0.995</v>
      </c>
      <c r="K128" s="108" t="n">
        <v>0.98</v>
      </c>
      <c r="L128" s="108" t="n">
        <v>0.99</v>
      </c>
      <c r="M128" s="108" t="n">
        <v>1.005</v>
      </c>
      <c r="N128" s="108" t="n">
        <v>0.99</v>
      </c>
      <c r="O128" s="108" t="n">
        <v>0.96</v>
      </c>
    </row>
    <row r="129" customFormat="false" ht="12.75" hidden="false" customHeight="false" outlineLevel="0" collapsed="false">
      <c r="A129" s="158" t="n">
        <v>40603</v>
      </c>
      <c r="B129" s="108" t="n">
        <v>0.999</v>
      </c>
      <c r="C129" s="108" t="n">
        <v>0.999</v>
      </c>
      <c r="D129" s="108" t="n">
        <v>0.995</v>
      </c>
      <c r="E129" s="108" t="n">
        <v>0.96</v>
      </c>
      <c r="F129" s="108" t="n">
        <v>0.96</v>
      </c>
      <c r="G129" s="108" t="n">
        <v>0.9306</v>
      </c>
      <c r="H129" s="108" t="n">
        <v>0.99</v>
      </c>
      <c r="I129" s="108" t="n">
        <v>0.9306</v>
      </c>
      <c r="J129" s="108" t="n">
        <v>0.995</v>
      </c>
      <c r="K129" s="108" t="n">
        <v>0.98</v>
      </c>
      <c r="L129" s="108" t="n">
        <v>0.99</v>
      </c>
      <c r="M129" s="108" t="n">
        <v>1.005</v>
      </c>
      <c r="N129" s="108" t="n">
        <v>0.99</v>
      </c>
      <c r="O129" s="108" t="n">
        <v>0.96</v>
      </c>
    </row>
    <row r="130" customFormat="false" ht="12.75" hidden="false" customHeight="false" outlineLevel="0" collapsed="false">
      <c r="A130" s="158" t="n">
        <v>40634</v>
      </c>
      <c r="B130" s="108" t="n">
        <v>0.999</v>
      </c>
      <c r="C130" s="108" t="n">
        <v>0.999</v>
      </c>
      <c r="D130" s="108" t="n">
        <v>0.995</v>
      </c>
      <c r="E130" s="108" t="n">
        <v>0.96</v>
      </c>
      <c r="F130" s="108" t="n">
        <v>0.96</v>
      </c>
      <c r="G130" s="108" t="n">
        <v>0.9306</v>
      </c>
      <c r="H130" s="108" t="n">
        <v>0.99</v>
      </c>
      <c r="I130" s="108" t="n">
        <v>0.9306</v>
      </c>
      <c r="J130" s="108" t="n">
        <v>0.995</v>
      </c>
      <c r="K130" s="108" t="n">
        <v>0.98</v>
      </c>
      <c r="L130" s="108" t="n">
        <v>0.99</v>
      </c>
      <c r="M130" s="108" t="n">
        <v>1.005</v>
      </c>
      <c r="N130" s="108" t="n">
        <v>0.99</v>
      </c>
      <c r="O130" s="108" t="n">
        <v>0.96</v>
      </c>
    </row>
    <row r="131" customFormat="false" ht="12.75" hidden="false" customHeight="false" outlineLevel="0" collapsed="false">
      <c r="A131" s="158" t="n">
        <v>40664</v>
      </c>
      <c r="B131" s="108" t="n">
        <v>0.999</v>
      </c>
      <c r="C131" s="108" t="n">
        <v>0.999</v>
      </c>
      <c r="D131" s="108" t="n">
        <v>0.995</v>
      </c>
      <c r="E131" s="108" t="n">
        <v>0.96</v>
      </c>
      <c r="F131" s="108" t="n">
        <v>0.96</v>
      </c>
      <c r="G131" s="108" t="n">
        <v>0.9306</v>
      </c>
      <c r="H131" s="108" t="n">
        <v>0.99</v>
      </c>
      <c r="I131" s="108" t="n">
        <v>0.9306</v>
      </c>
      <c r="J131" s="108" t="n">
        <v>0.995</v>
      </c>
      <c r="K131" s="108" t="n">
        <v>0.98</v>
      </c>
      <c r="L131" s="108" t="n">
        <v>0.99</v>
      </c>
      <c r="M131" s="108" t="n">
        <v>1.005</v>
      </c>
      <c r="N131" s="108" t="n">
        <v>0.99</v>
      </c>
      <c r="O131" s="108" t="n">
        <v>0.96</v>
      </c>
    </row>
    <row r="132" customFormat="false" ht="12.75" hidden="false" customHeight="false" outlineLevel="0" collapsed="false">
      <c r="A132" s="158" t="n">
        <v>40695</v>
      </c>
      <c r="B132" s="108" t="n">
        <v>0.999</v>
      </c>
      <c r="C132" s="108" t="n">
        <v>0.999</v>
      </c>
      <c r="D132" s="108" t="n">
        <v>0.995</v>
      </c>
      <c r="E132" s="108" t="n">
        <v>0.96</v>
      </c>
      <c r="F132" s="108" t="n">
        <v>0.96</v>
      </c>
      <c r="G132" s="108" t="n">
        <v>0.9306</v>
      </c>
      <c r="H132" s="108" t="n">
        <v>0.99</v>
      </c>
      <c r="I132" s="108" t="n">
        <v>0.9306</v>
      </c>
      <c r="J132" s="108" t="n">
        <v>0.995</v>
      </c>
      <c r="K132" s="108" t="n">
        <v>0.98</v>
      </c>
      <c r="L132" s="108" t="n">
        <v>0.99</v>
      </c>
      <c r="M132" s="108" t="n">
        <v>1.005</v>
      </c>
      <c r="N132" s="108" t="n">
        <v>0.99</v>
      </c>
      <c r="O132" s="108" t="n">
        <v>0.96</v>
      </c>
    </row>
    <row r="133" customFormat="false" ht="12.75" hidden="false" customHeight="false" outlineLevel="0" collapsed="false">
      <c r="A133" s="158" t="n">
        <v>40725</v>
      </c>
      <c r="B133" s="108" t="n">
        <v>0.999</v>
      </c>
      <c r="C133" s="108" t="n">
        <v>0.999</v>
      </c>
      <c r="D133" s="108" t="n">
        <v>0.995</v>
      </c>
      <c r="E133" s="108" t="n">
        <v>0.96</v>
      </c>
      <c r="F133" s="108" t="n">
        <v>0.96</v>
      </c>
      <c r="G133" s="108" t="n">
        <v>0.9306</v>
      </c>
      <c r="H133" s="108" t="n">
        <v>0.99</v>
      </c>
      <c r="I133" s="108" t="n">
        <v>0.9306</v>
      </c>
      <c r="J133" s="108" t="n">
        <v>0.995</v>
      </c>
      <c r="K133" s="108" t="n">
        <v>0.98</v>
      </c>
      <c r="L133" s="108" t="n">
        <v>0.99</v>
      </c>
      <c r="M133" s="108" t="n">
        <v>1.005</v>
      </c>
      <c r="N133" s="108" t="n">
        <v>0.99</v>
      </c>
      <c r="O133" s="108" t="n">
        <v>0.96</v>
      </c>
    </row>
    <row r="134" customFormat="false" ht="12.75" hidden="false" customHeight="false" outlineLevel="0" collapsed="false">
      <c r="A134" s="158" t="n">
        <v>40756</v>
      </c>
      <c r="B134" s="108" t="n">
        <v>0.999</v>
      </c>
      <c r="C134" s="108" t="n">
        <v>0.999</v>
      </c>
      <c r="D134" s="108" t="n">
        <v>0.995</v>
      </c>
      <c r="E134" s="108" t="n">
        <v>0.96</v>
      </c>
      <c r="F134" s="108" t="n">
        <v>0.96</v>
      </c>
      <c r="G134" s="108" t="n">
        <v>0.9306</v>
      </c>
      <c r="H134" s="108" t="n">
        <v>0.99</v>
      </c>
      <c r="I134" s="108" t="n">
        <v>0.9306</v>
      </c>
      <c r="J134" s="108" t="n">
        <v>0.995</v>
      </c>
      <c r="K134" s="108" t="n">
        <v>0.98</v>
      </c>
      <c r="L134" s="108" t="n">
        <v>0.99</v>
      </c>
      <c r="M134" s="108" t="n">
        <v>1.005</v>
      </c>
      <c r="N134" s="108" t="n">
        <v>0.99</v>
      </c>
      <c r="O134" s="108" t="n">
        <v>0.96</v>
      </c>
    </row>
    <row r="135" customFormat="false" ht="12.75" hidden="false" customHeight="false" outlineLevel="0" collapsed="false">
      <c r="A135" s="158" t="n">
        <v>40787</v>
      </c>
      <c r="B135" s="108" t="n">
        <v>0.999</v>
      </c>
      <c r="C135" s="108" t="n">
        <v>0.999</v>
      </c>
      <c r="D135" s="108" t="n">
        <v>0.995</v>
      </c>
      <c r="E135" s="108" t="n">
        <v>0.96</v>
      </c>
      <c r="F135" s="108" t="n">
        <v>0.96</v>
      </c>
      <c r="G135" s="108" t="n">
        <v>0.9306</v>
      </c>
      <c r="H135" s="108" t="n">
        <v>0.99</v>
      </c>
      <c r="I135" s="108" t="n">
        <v>0.9306</v>
      </c>
      <c r="J135" s="108" t="n">
        <v>0.995</v>
      </c>
      <c r="K135" s="108" t="n">
        <v>0.98</v>
      </c>
      <c r="L135" s="108" t="n">
        <v>0.99</v>
      </c>
      <c r="M135" s="108" t="n">
        <v>1.005</v>
      </c>
      <c r="N135" s="108" t="n">
        <v>0.99</v>
      </c>
      <c r="O135" s="108" t="n">
        <v>0.96</v>
      </c>
    </row>
    <row r="136" customFormat="false" ht="12.75" hidden="false" customHeight="false" outlineLevel="0" collapsed="false">
      <c r="A136" s="158" t="n">
        <v>40817</v>
      </c>
      <c r="B136" s="108" t="n">
        <v>0.999</v>
      </c>
      <c r="C136" s="108" t="n">
        <v>0.999</v>
      </c>
      <c r="D136" s="108" t="n">
        <v>0.995</v>
      </c>
      <c r="E136" s="108" t="n">
        <v>0.96</v>
      </c>
      <c r="F136" s="108" t="n">
        <v>0.96</v>
      </c>
      <c r="G136" s="108" t="n">
        <v>0.9306</v>
      </c>
      <c r="H136" s="108" t="n">
        <v>0.99</v>
      </c>
      <c r="I136" s="108" t="n">
        <v>0.9306</v>
      </c>
      <c r="J136" s="108" t="n">
        <v>0.995</v>
      </c>
      <c r="K136" s="108" t="n">
        <v>0.98</v>
      </c>
      <c r="L136" s="108" t="n">
        <v>0.99</v>
      </c>
      <c r="M136" s="108" t="n">
        <v>1.005</v>
      </c>
      <c r="N136" s="108" t="n">
        <v>0.99</v>
      </c>
      <c r="O136" s="108" t="n">
        <v>0.96</v>
      </c>
    </row>
    <row r="137" customFormat="false" ht="12.75" hidden="false" customHeight="false" outlineLevel="0" collapsed="false">
      <c r="A137" s="158" t="n">
        <v>40848</v>
      </c>
      <c r="B137" s="108" t="n">
        <v>0.999</v>
      </c>
      <c r="C137" s="108" t="n">
        <v>0.999</v>
      </c>
      <c r="D137" s="108" t="n">
        <v>0.995</v>
      </c>
      <c r="E137" s="108" t="n">
        <v>0.96</v>
      </c>
      <c r="F137" s="108" t="n">
        <v>0.96</v>
      </c>
      <c r="G137" s="108" t="n">
        <v>0.9306</v>
      </c>
      <c r="H137" s="108" t="n">
        <v>0.99</v>
      </c>
      <c r="I137" s="108" t="n">
        <v>0.9306</v>
      </c>
      <c r="J137" s="108" t="n">
        <v>0.995</v>
      </c>
      <c r="K137" s="108" t="n">
        <v>0.98</v>
      </c>
      <c r="L137" s="108" t="n">
        <v>0.99</v>
      </c>
      <c r="M137" s="108" t="n">
        <v>1.005</v>
      </c>
      <c r="N137" s="108" t="n">
        <v>0.99</v>
      </c>
      <c r="O137" s="108" t="n">
        <v>0.96</v>
      </c>
    </row>
    <row r="138" customFormat="false" ht="12.75" hidden="false" customHeight="false" outlineLevel="0" collapsed="false">
      <c r="A138" s="158" t="n">
        <v>40878</v>
      </c>
      <c r="B138" s="108" t="n">
        <v>0.999</v>
      </c>
      <c r="C138" s="108" t="n">
        <v>0.999</v>
      </c>
      <c r="D138" s="108" t="n">
        <v>0.995</v>
      </c>
      <c r="E138" s="108" t="n">
        <v>0.96</v>
      </c>
      <c r="F138" s="108" t="n">
        <v>0.96</v>
      </c>
      <c r="G138" s="108" t="n">
        <v>0.9306</v>
      </c>
      <c r="H138" s="108" t="n">
        <v>0.99</v>
      </c>
      <c r="I138" s="108" t="n">
        <v>0.9306</v>
      </c>
      <c r="J138" s="108" t="n">
        <v>0.995</v>
      </c>
      <c r="K138" s="108" t="n">
        <v>0.98</v>
      </c>
      <c r="L138" s="108" t="n">
        <v>0.99</v>
      </c>
      <c r="M138" s="108" t="n">
        <v>1.005</v>
      </c>
      <c r="N138" s="108" t="n">
        <v>0.99</v>
      </c>
      <c r="O138" s="108" t="n">
        <v>0.96</v>
      </c>
    </row>
    <row r="139" customFormat="false" ht="12.75" hidden="false" customHeight="false" outlineLevel="0" collapsed="false">
      <c r="A139" s="158" t="n">
        <v>40909</v>
      </c>
      <c r="B139" s="108" t="n">
        <v>0.999</v>
      </c>
      <c r="C139" s="108" t="n">
        <v>0.999</v>
      </c>
      <c r="D139" s="108" t="n">
        <v>0.995</v>
      </c>
      <c r="E139" s="108" t="n">
        <v>0.96</v>
      </c>
      <c r="F139" s="108" t="n">
        <v>0.96</v>
      </c>
      <c r="G139" s="108" t="n">
        <v>0.9306</v>
      </c>
      <c r="H139" s="108" t="n">
        <v>0.99</v>
      </c>
      <c r="I139" s="108" t="n">
        <v>0.9306</v>
      </c>
      <c r="J139" s="108" t="n">
        <v>0.995</v>
      </c>
      <c r="K139" s="108" t="n">
        <v>0.98</v>
      </c>
      <c r="L139" s="108" t="n">
        <v>0.99</v>
      </c>
      <c r="M139" s="108" t="n">
        <v>1.005</v>
      </c>
      <c r="N139" s="108" t="n">
        <v>0.99</v>
      </c>
      <c r="O139" s="108" t="n">
        <v>0.96</v>
      </c>
    </row>
    <row r="140" customFormat="false" ht="12.75" hidden="false" customHeight="false" outlineLevel="0" collapsed="false">
      <c r="A140" s="158" t="n">
        <v>40940</v>
      </c>
      <c r="B140" s="108" t="n">
        <v>0.999</v>
      </c>
      <c r="C140" s="108" t="n">
        <v>0.999</v>
      </c>
      <c r="D140" s="108" t="n">
        <v>0.995</v>
      </c>
      <c r="E140" s="108" t="n">
        <v>0.96</v>
      </c>
      <c r="F140" s="108" t="n">
        <v>0.96</v>
      </c>
      <c r="G140" s="108" t="n">
        <v>0.9306</v>
      </c>
      <c r="H140" s="108" t="n">
        <v>0.99</v>
      </c>
      <c r="I140" s="108" t="n">
        <v>0.9306</v>
      </c>
      <c r="J140" s="108" t="n">
        <v>0.995</v>
      </c>
      <c r="K140" s="108" t="n">
        <v>0.98</v>
      </c>
      <c r="L140" s="108" t="n">
        <v>0.99</v>
      </c>
      <c r="M140" s="108" t="n">
        <v>1.005</v>
      </c>
      <c r="N140" s="108" t="n">
        <v>0.99</v>
      </c>
      <c r="O140" s="108" t="n">
        <v>0.96</v>
      </c>
    </row>
    <row r="141" customFormat="false" ht="12.75" hidden="false" customHeight="false" outlineLevel="0" collapsed="false">
      <c r="A141" s="158" t="n">
        <v>40969</v>
      </c>
      <c r="B141" s="108" t="n">
        <v>0.999</v>
      </c>
      <c r="C141" s="108" t="n">
        <v>0.999</v>
      </c>
      <c r="D141" s="108" t="n">
        <v>0.995</v>
      </c>
      <c r="E141" s="108" t="n">
        <v>0.96</v>
      </c>
      <c r="F141" s="108" t="n">
        <v>0.96</v>
      </c>
      <c r="G141" s="108" t="n">
        <v>0.9306</v>
      </c>
      <c r="H141" s="108" t="n">
        <v>0.99</v>
      </c>
      <c r="I141" s="108" t="n">
        <v>0.9306</v>
      </c>
      <c r="J141" s="108" t="n">
        <v>0.995</v>
      </c>
      <c r="K141" s="108" t="n">
        <v>0.98</v>
      </c>
      <c r="L141" s="108" t="n">
        <v>0.99</v>
      </c>
      <c r="M141" s="108" t="n">
        <v>1.005</v>
      </c>
      <c r="N141" s="108" t="n">
        <v>0.99</v>
      </c>
      <c r="O141" s="108" t="n">
        <v>0.96</v>
      </c>
    </row>
    <row r="142" customFormat="false" ht="12.75" hidden="false" customHeight="false" outlineLevel="0" collapsed="false">
      <c r="A142" s="158" t="n">
        <v>41000</v>
      </c>
      <c r="B142" s="108" t="n">
        <v>0.999</v>
      </c>
      <c r="C142" s="108" t="n">
        <v>0.999</v>
      </c>
      <c r="D142" s="108" t="n">
        <v>0.995</v>
      </c>
      <c r="E142" s="108" t="n">
        <v>0.96</v>
      </c>
      <c r="F142" s="108" t="n">
        <v>0.96</v>
      </c>
      <c r="G142" s="108" t="n">
        <v>0.9306</v>
      </c>
      <c r="H142" s="108" t="n">
        <v>0.99</v>
      </c>
      <c r="I142" s="108" t="n">
        <v>0.9306</v>
      </c>
      <c r="J142" s="108" t="n">
        <v>0.995</v>
      </c>
      <c r="K142" s="108" t="n">
        <v>0.98</v>
      </c>
      <c r="L142" s="108" t="n">
        <v>0.99</v>
      </c>
      <c r="M142" s="108" t="n">
        <v>1.005</v>
      </c>
      <c r="N142" s="108" t="n">
        <v>0.99</v>
      </c>
      <c r="O142" s="108" t="n">
        <v>0.96</v>
      </c>
    </row>
    <row r="143" customFormat="false" ht="12.75" hidden="false" customHeight="false" outlineLevel="0" collapsed="false">
      <c r="A143" s="158" t="n">
        <v>41030</v>
      </c>
      <c r="B143" s="108" t="n">
        <v>0.999</v>
      </c>
      <c r="C143" s="108" t="n">
        <v>0.999</v>
      </c>
      <c r="D143" s="108" t="n">
        <v>0.995</v>
      </c>
      <c r="E143" s="108" t="n">
        <v>0.96</v>
      </c>
      <c r="F143" s="108" t="n">
        <v>0.96</v>
      </c>
      <c r="G143" s="108" t="n">
        <v>0.9306</v>
      </c>
      <c r="H143" s="108" t="n">
        <v>0.99</v>
      </c>
      <c r="I143" s="108" t="n">
        <v>0.9306</v>
      </c>
      <c r="J143" s="108" t="n">
        <v>0.995</v>
      </c>
      <c r="K143" s="108" t="n">
        <v>0.98</v>
      </c>
      <c r="L143" s="108" t="n">
        <v>0.99</v>
      </c>
      <c r="M143" s="108" t="n">
        <v>1.005</v>
      </c>
      <c r="N143" s="108" t="n">
        <v>0.99</v>
      </c>
      <c r="O143" s="108" t="n">
        <v>0.96</v>
      </c>
    </row>
    <row r="144" customFormat="false" ht="12.75" hidden="false" customHeight="false" outlineLevel="0" collapsed="false">
      <c r="A144" s="158" t="n">
        <v>41061</v>
      </c>
      <c r="B144" s="108" t="n">
        <v>0.999</v>
      </c>
      <c r="C144" s="108" t="n">
        <v>0.999</v>
      </c>
      <c r="D144" s="108" t="n">
        <v>0.995</v>
      </c>
      <c r="E144" s="108" t="n">
        <v>0.96</v>
      </c>
      <c r="F144" s="108" t="n">
        <v>0.96</v>
      </c>
      <c r="G144" s="108" t="n">
        <v>0.9306</v>
      </c>
      <c r="H144" s="108" t="n">
        <v>0.99</v>
      </c>
      <c r="I144" s="108" t="n">
        <v>0.9306</v>
      </c>
      <c r="J144" s="108" t="n">
        <v>0.995</v>
      </c>
      <c r="K144" s="108" t="n">
        <v>0.98</v>
      </c>
      <c r="L144" s="108" t="n">
        <v>0.99</v>
      </c>
      <c r="M144" s="108" t="n">
        <v>1.005</v>
      </c>
      <c r="N144" s="108" t="n">
        <v>0.99</v>
      </c>
      <c r="O144" s="108" t="n">
        <v>0.96</v>
      </c>
    </row>
    <row r="145" customFormat="false" ht="12.75" hidden="false" customHeight="false" outlineLevel="0" collapsed="false">
      <c r="A145" s="158" t="n">
        <v>41091</v>
      </c>
      <c r="B145" s="108" t="n">
        <v>0.999</v>
      </c>
      <c r="C145" s="108" t="n">
        <v>0.999</v>
      </c>
      <c r="D145" s="108" t="n">
        <v>0.995</v>
      </c>
      <c r="E145" s="108" t="n">
        <v>0.96</v>
      </c>
      <c r="F145" s="108" t="n">
        <v>0.96</v>
      </c>
      <c r="G145" s="108" t="n">
        <v>0.9306</v>
      </c>
      <c r="H145" s="108" t="n">
        <v>0.99</v>
      </c>
      <c r="I145" s="108" t="n">
        <v>0.9306</v>
      </c>
      <c r="J145" s="108" t="n">
        <v>0.995</v>
      </c>
      <c r="K145" s="108" t="n">
        <v>0.98</v>
      </c>
      <c r="L145" s="108" t="n">
        <v>0.99</v>
      </c>
      <c r="M145" s="108" t="n">
        <v>1.005</v>
      </c>
      <c r="N145" s="108" t="n">
        <v>0.99</v>
      </c>
      <c r="O145" s="108" t="n">
        <v>0.96</v>
      </c>
    </row>
    <row r="146" customFormat="false" ht="12.75" hidden="false" customHeight="false" outlineLevel="0" collapsed="false">
      <c r="A146" s="158" t="n">
        <v>41122</v>
      </c>
      <c r="B146" s="108" t="n">
        <v>0.999</v>
      </c>
      <c r="C146" s="108" t="n">
        <v>0.999</v>
      </c>
      <c r="D146" s="108" t="n">
        <v>0.995</v>
      </c>
      <c r="E146" s="108" t="n">
        <v>0.96</v>
      </c>
      <c r="F146" s="108" t="n">
        <v>0.96</v>
      </c>
      <c r="G146" s="108" t="n">
        <v>0.9306</v>
      </c>
      <c r="H146" s="108" t="n">
        <v>0.99</v>
      </c>
      <c r="I146" s="108" t="n">
        <v>0.9306</v>
      </c>
      <c r="J146" s="108" t="n">
        <v>0.995</v>
      </c>
      <c r="K146" s="108" t="n">
        <v>0.98</v>
      </c>
      <c r="L146" s="108" t="n">
        <v>0.99</v>
      </c>
      <c r="M146" s="108" t="n">
        <v>1.005</v>
      </c>
      <c r="N146" s="108" t="n">
        <v>0.99</v>
      </c>
      <c r="O146" s="108" t="n">
        <v>0.96</v>
      </c>
    </row>
    <row r="147" customFormat="false" ht="12.75" hidden="false" customHeight="false" outlineLevel="0" collapsed="false">
      <c r="A147" s="158" t="n">
        <v>41153</v>
      </c>
      <c r="B147" s="108" t="n">
        <v>0.999</v>
      </c>
      <c r="C147" s="108" t="n">
        <v>0.999</v>
      </c>
      <c r="D147" s="108" t="n">
        <v>0.995</v>
      </c>
      <c r="E147" s="108" t="n">
        <v>0.96</v>
      </c>
      <c r="F147" s="108" t="n">
        <v>0.96</v>
      </c>
      <c r="G147" s="108" t="n">
        <v>0.9306</v>
      </c>
      <c r="H147" s="108" t="n">
        <v>0.99</v>
      </c>
      <c r="I147" s="108" t="n">
        <v>0.9306</v>
      </c>
      <c r="J147" s="108" t="n">
        <v>0.995</v>
      </c>
      <c r="K147" s="108" t="n">
        <v>0.98</v>
      </c>
      <c r="L147" s="108" t="n">
        <v>0.99</v>
      </c>
      <c r="M147" s="108" t="n">
        <v>1.005</v>
      </c>
      <c r="N147" s="108" t="n">
        <v>0.99</v>
      </c>
      <c r="O147" s="108" t="n">
        <v>0.96</v>
      </c>
    </row>
    <row r="148" customFormat="false" ht="12.75" hidden="false" customHeight="false" outlineLevel="0" collapsed="false">
      <c r="A148" s="158" t="n">
        <v>41183</v>
      </c>
      <c r="B148" s="108" t="n">
        <v>0.999</v>
      </c>
      <c r="C148" s="108" t="n">
        <v>0.999</v>
      </c>
      <c r="D148" s="108" t="n">
        <v>0.995</v>
      </c>
      <c r="E148" s="108" t="n">
        <v>0.96</v>
      </c>
      <c r="F148" s="108" t="n">
        <v>0.96</v>
      </c>
      <c r="G148" s="108" t="n">
        <v>0.9306</v>
      </c>
      <c r="H148" s="108" t="n">
        <v>0.99</v>
      </c>
      <c r="I148" s="108" t="n">
        <v>0.9306</v>
      </c>
      <c r="J148" s="108" t="n">
        <v>0.995</v>
      </c>
      <c r="K148" s="108" t="n">
        <v>0.98</v>
      </c>
      <c r="L148" s="108" t="n">
        <v>0.99</v>
      </c>
      <c r="M148" s="108" t="n">
        <v>1.005</v>
      </c>
      <c r="N148" s="108" t="n">
        <v>0.99</v>
      </c>
      <c r="O148" s="108" t="n">
        <v>0.96</v>
      </c>
    </row>
    <row r="149" customFormat="false" ht="12.75" hidden="false" customHeight="false" outlineLevel="0" collapsed="false">
      <c r="A149" s="158" t="n">
        <v>41214</v>
      </c>
      <c r="B149" s="108" t="n">
        <v>0.999</v>
      </c>
      <c r="C149" s="108" t="n">
        <v>0.999</v>
      </c>
      <c r="D149" s="108" t="n">
        <v>0.995</v>
      </c>
      <c r="E149" s="108" t="n">
        <v>0.96</v>
      </c>
      <c r="F149" s="108" t="n">
        <v>0.96</v>
      </c>
      <c r="G149" s="108" t="n">
        <v>0.9306</v>
      </c>
      <c r="H149" s="108" t="n">
        <v>0.99</v>
      </c>
      <c r="I149" s="108" t="n">
        <v>0.9306</v>
      </c>
      <c r="J149" s="108" t="n">
        <v>0.995</v>
      </c>
      <c r="K149" s="108" t="n">
        <v>0.98</v>
      </c>
      <c r="L149" s="108" t="n">
        <v>0.99</v>
      </c>
      <c r="M149" s="108" t="n">
        <v>1.005</v>
      </c>
      <c r="N149" s="108" t="n">
        <v>0.99</v>
      </c>
      <c r="O149" s="108" t="n">
        <v>0.96</v>
      </c>
    </row>
    <row r="150" customFormat="false" ht="12.75" hidden="false" customHeight="false" outlineLevel="0" collapsed="false">
      <c r="A150" s="158" t="n">
        <v>41244</v>
      </c>
      <c r="B150" s="108" t="n">
        <v>0.999</v>
      </c>
      <c r="C150" s="108" t="n">
        <v>0.999</v>
      </c>
      <c r="D150" s="108" t="n">
        <v>0.995</v>
      </c>
      <c r="E150" s="108" t="n">
        <v>0.96</v>
      </c>
      <c r="F150" s="108" t="n">
        <v>0.96</v>
      </c>
      <c r="G150" s="108" t="n">
        <v>0.9306</v>
      </c>
      <c r="H150" s="108" t="n">
        <v>0.99</v>
      </c>
      <c r="I150" s="108" t="n">
        <v>0.9306</v>
      </c>
      <c r="J150" s="108" t="n">
        <v>0.995</v>
      </c>
      <c r="K150" s="108" t="n">
        <v>0.98</v>
      </c>
      <c r="L150" s="108" t="n">
        <v>0.99</v>
      </c>
      <c r="M150" s="108" t="n">
        <v>1.005</v>
      </c>
      <c r="N150" s="108" t="n">
        <v>0.99</v>
      </c>
      <c r="O150" s="108" t="n">
        <v>0.96</v>
      </c>
    </row>
    <row r="151" customFormat="false" ht="12.75" hidden="false" customHeight="false" outlineLevel="0" collapsed="false">
      <c r="A151" s="158" t="n">
        <v>41275</v>
      </c>
      <c r="B151" s="108" t="n">
        <v>0.999</v>
      </c>
      <c r="C151" s="108" t="n">
        <v>0.999</v>
      </c>
      <c r="D151" s="108" t="n">
        <v>0.995</v>
      </c>
      <c r="E151" s="108" t="n">
        <v>0.96</v>
      </c>
      <c r="F151" s="108" t="n">
        <v>0.96</v>
      </c>
      <c r="G151" s="108" t="n">
        <v>0.9306</v>
      </c>
      <c r="H151" s="108" t="n">
        <v>0.99</v>
      </c>
      <c r="I151" s="108" t="n">
        <v>0.9306</v>
      </c>
      <c r="J151" s="108" t="n">
        <v>0.995</v>
      </c>
      <c r="K151" s="108" t="n">
        <v>0.98</v>
      </c>
      <c r="L151" s="108" t="n">
        <v>0.99</v>
      </c>
      <c r="M151" s="108" t="n">
        <v>1.005</v>
      </c>
      <c r="N151" s="108" t="n">
        <v>0.99</v>
      </c>
      <c r="O151" s="108" t="n">
        <v>0.96</v>
      </c>
    </row>
    <row r="152" customFormat="false" ht="12.75" hidden="false" customHeight="false" outlineLevel="0" collapsed="false">
      <c r="A152" s="158" t="n">
        <v>41306</v>
      </c>
      <c r="B152" s="108" t="n">
        <v>0.999</v>
      </c>
      <c r="C152" s="108" t="n">
        <v>0.999</v>
      </c>
      <c r="D152" s="108" t="n">
        <v>0.995</v>
      </c>
      <c r="E152" s="108" t="n">
        <v>0.96</v>
      </c>
      <c r="F152" s="108" t="n">
        <v>0.96</v>
      </c>
      <c r="G152" s="108" t="n">
        <v>0.9306</v>
      </c>
      <c r="H152" s="108" t="n">
        <v>0.99</v>
      </c>
      <c r="I152" s="108" t="n">
        <v>0.9306</v>
      </c>
      <c r="J152" s="108" t="n">
        <v>0.995</v>
      </c>
      <c r="K152" s="108" t="n">
        <v>0.98</v>
      </c>
      <c r="L152" s="108" t="n">
        <v>0.99</v>
      </c>
      <c r="M152" s="108" t="n">
        <v>1.005</v>
      </c>
      <c r="N152" s="108" t="n">
        <v>0.99</v>
      </c>
      <c r="O152" s="108" t="n">
        <v>0.96</v>
      </c>
    </row>
    <row r="153" customFormat="false" ht="12.75" hidden="false" customHeight="false" outlineLevel="0" collapsed="false">
      <c r="A153" s="158" t="n">
        <v>41334</v>
      </c>
      <c r="B153" s="108" t="n">
        <v>0.999</v>
      </c>
      <c r="C153" s="108" t="n">
        <v>0.999</v>
      </c>
      <c r="D153" s="108" t="n">
        <v>0.995</v>
      </c>
      <c r="E153" s="108" t="n">
        <v>0.96</v>
      </c>
      <c r="F153" s="108" t="n">
        <v>0.96</v>
      </c>
      <c r="G153" s="108" t="n">
        <v>0.9306</v>
      </c>
      <c r="H153" s="108" t="n">
        <v>0.99</v>
      </c>
      <c r="I153" s="108" t="n">
        <v>0.9306</v>
      </c>
      <c r="J153" s="108" t="n">
        <v>0.995</v>
      </c>
      <c r="K153" s="108" t="n">
        <v>0.98</v>
      </c>
      <c r="L153" s="108" t="n">
        <v>0.99</v>
      </c>
      <c r="M153" s="108" t="n">
        <v>1.005</v>
      </c>
      <c r="N153" s="108" t="n">
        <v>0.99</v>
      </c>
      <c r="O153" s="108" t="n">
        <v>0.96</v>
      </c>
    </row>
    <row r="154" customFormat="false" ht="12.75" hidden="false" customHeight="false" outlineLevel="0" collapsed="false">
      <c r="A154" s="158" t="n">
        <v>41365</v>
      </c>
      <c r="B154" s="108" t="n">
        <v>0.999</v>
      </c>
      <c r="C154" s="108" t="n">
        <v>0.999</v>
      </c>
      <c r="D154" s="108" t="n">
        <v>0.995</v>
      </c>
      <c r="E154" s="108" t="n">
        <v>0.96</v>
      </c>
      <c r="F154" s="108" t="n">
        <v>0.96</v>
      </c>
      <c r="G154" s="108" t="n">
        <v>0.9306</v>
      </c>
      <c r="H154" s="108" t="n">
        <v>0.99</v>
      </c>
      <c r="I154" s="108" t="n">
        <v>0.9306</v>
      </c>
      <c r="J154" s="108" t="n">
        <v>0.995</v>
      </c>
      <c r="K154" s="108" t="n">
        <v>0.98</v>
      </c>
      <c r="L154" s="108" t="n">
        <v>0.99</v>
      </c>
      <c r="M154" s="108" t="n">
        <v>1.005</v>
      </c>
      <c r="N154" s="108" t="n">
        <v>0.99</v>
      </c>
      <c r="O154" s="108" t="n">
        <v>0.96</v>
      </c>
    </row>
    <row r="155" customFormat="false" ht="12.75" hidden="false" customHeight="false" outlineLevel="0" collapsed="false">
      <c r="A155" s="158" t="n">
        <v>41395</v>
      </c>
      <c r="B155" s="108" t="n">
        <v>0.999</v>
      </c>
      <c r="C155" s="108" t="n">
        <v>0.999</v>
      </c>
      <c r="D155" s="108" t="n">
        <v>0.995</v>
      </c>
      <c r="E155" s="108" t="n">
        <v>0.96</v>
      </c>
      <c r="F155" s="108" t="n">
        <v>0.96</v>
      </c>
      <c r="G155" s="108" t="n">
        <v>0.9306</v>
      </c>
      <c r="H155" s="108" t="n">
        <v>0.99</v>
      </c>
      <c r="I155" s="108" t="n">
        <v>0.9306</v>
      </c>
      <c r="J155" s="108" t="n">
        <v>0.995</v>
      </c>
      <c r="K155" s="108" t="n">
        <v>0.98</v>
      </c>
      <c r="L155" s="108" t="n">
        <v>0.99</v>
      </c>
      <c r="M155" s="108" t="n">
        <v>1.005</v>
      </c>
      <c r="N155" s="108" t="n">
        <v>0.99</v>
      </c>
      <c r="O155" s="108" t="n">
        <v>0.96</v>
      </c>
    </row>
    <row r="156" customFormat="false" ht="12.75" hidden="false" customHeight="false" outlineLevel="0" collapsed="false">
      <c r="A156" s="158" t="n">
        <v>41426</v>
      </c>
      <c r="B156" s="108" t="n">
        <v>0.999</v>
      </c>
      <c r="C156" s="108" t="n">
        <v>0.999</v>
      </c>
      <c r="D156" s="108" t="n">
        <v>0.995</v>
      </c>
      <c r="E156" s="108" t="n">
        <v>0.96</v>
      </c>
      <c r="F156" s="108" t="n">
        <v>0.96</v>
      </c>
      <c r="G156" s="108" t="n">
        <v>0.9306</v>
      </c>
      <c r="H156" s="108" t="n">
        <v>0.99</v>
      </c>
      <c r="I156" s="108" t="n">
        <v>0.9306</v>
      </c>
      <c r="J156" s="108" t="n">
        <v>0.995</v>
      </c>
      <c r="K156" s="108" t="n">
        <v>0.98</v>
      </c>
      <c r="L156" s="108" t="n">
        <v>0.99</v>
      </c>
      <c r="M156" s="108" t="n">
        <v>1.005</v>
      </c>
      <c r="N156" s="108" t="n">
        <v>0.99</v>
      </c>
      <c r="O156" s="108" t="n">
        <v>0.96</v>
      </c>
    </row>
    <row r="157" customFormat="false" ht="12.75" hidden="false" customHeight="false" outlineLevel="0" collapsed="false">
      <c r="A157" s="158" t="n">
        <v>41456</v>
      </c>
      <c r="B157" s="108" t="n">
        <v>0.999</v>
      </c>
      <c r="C157" s="108" t="n">
        <v>0.999</v>
      </c>
      <c r="D157" s="108" t="n">
        <v>0.995</v>
      </c>
      <c r="E157" s="108" t="n">
        <v>0.96</v>
      </c>
      <c r="F157" s="108" t="n">
        <v>0.96</v>
      </c>
      <c r="G157" s="108" t="n">
        <v>0.9306</v>
      </c>
      <c r="H157" s="108" t="n">
        <v>0.99</v>
      </c>
      <c r="I157" s="108" t="n">
        <v>0.9306</v>
      </c>
      <c r="J157" s="108" t="n">
        <v>0.995</v>
      </c>
      <c r="K157" s="108" t="n">
        <v>0.98</v>
      </c>
      <c r="L157" s="108" t="n">
        <v>0.99</v>
      </c>
      <c r="M157" s="108" t="n">
        <v>1.005</v>
      </c>
      <c r="N157" s="108" t="n">
        <v>0.99</v>
      </c>
      <c r="O157" s="108" t="n">
        <v>0.96</v>
      </c>
    </row>
    <row r="158" customFormat="false" ht="12.75" hidden="false" customHeight="false" outlineLevel="0" collapsed="false">
      <c r="A158" s="158" t="n">
        <v>41487</v>
      </c>
      <c r="B158" s="108" t="n">
        <v>0.999</v>
      </c>
      <c r="C158" s="108" t="n">
        <v>0.999</v>
      </c>
      <c r="D158" s="108" t="n">
        <v>0.995</v>
      </c>
      <c r="E158" s="108" t="n">
        <v>0.96</v>
      </c>
      <c r="F158" s="108" t="n">
        <v>0.96</v>
      </c>
      <c r="G158" s="108" t="n">
        <v>0.9306</v>
      </c>
      <c r="H158" s="108" t="n">
        <v>0.99</v>
      </c>
      <c r="I158" s="108" t="n">
        <v>0.9306</v>
      </c>
      <c r="J158" s="108" t="n">
        <v>0.995</v>
      </c>
      <c r="K158" s="108" t="n">
        <v>0.98</v>
      </c>
      <c r="L158" s="108" t="n">
        <v>0.99</v>
      </c>
      <c r="M158" s="108" t="n">
        <v>1.005</v>
      </c>
      <c r="N158" s="108" t="n">
        <v>0.99</v>
      </c>
      <c r="O158" s="108" t="n">
        <v>0.96</v>
      </c>
    </row>
    <row r="159" customFormat="false" ht="12.75" hidden="false" customHeight="false" outlineLevel="0" collapsed="false">
      <c r="A159" s="158" t="n">
        <v>41518</v>
      </c>
      <c r="B159" s="108" t="n">
        <v>0.999</v>
      </c>
      <c r="C159" s="108" t="n">
        <v>0.999</v>
      </c>
      <c r="D159" s="108" t="n">
        <v>0.995</v>
      </c>
      <c r="E159" s="108" t="n">
        <v>0.96</v>
      </c>
      <c r="F159" s="108" t="n">
        <v>0.96</v>
      </c>
      <c r="G159" s="108" t="n">
        <v>0.9306</v>
      </c>
      <c r="H159" s="108" t="n">
        <v>0.99</v>
      </c>
      <c r="I159" s="108" t="n">
        <v>0.9306</v>
      </c>
      <c r="J159" s="108" t="n">
        <v>0.995</v>
      </c>
      <c r="K159" s="108" t="n">
        <v>0.98</v>
      </c>
      <c r="L159" s="108" t="n">
        <v>0.99</v>
      </c>
      <c r="M159" s="108" t="n">
        <v>1.005</v>
      </c>
      <c r="N159" s="108" t="n">
        <v>0.99</v>
      </c>
      <c r="O159" s="108" t="n">
        <v>0.96</v>
      </c>
    </row>
    <row r="160" customFormat="false" ht="12.75" hidden="false" customHeight="false" outlineLevel="0" collapsed="false">
      <c r="A160" s="158" t="n">
        <v>41548</v>
      </c>
      <c r="B160" s="108" t="n">
        <v>0.999</v>
      </c>
      <c r="C160" s="108" t="n">
        <v>0.999</v>
      </c>
      <c r="D160" s="108" t="n">
        <v>0.995</v>
      </c>
      <c r="E160" s="108" t="n">
        <v>0.96</v>
      </c>
      <c r="F160" s="108" t="n">
        <v>0.96</v>
      </c>
      <c r="G160" s="108" t="n">
        <v>0.9306</v>
      </c>
      <c r="H160" s="108" t="n">
        <v>0.99</v>
      </c>
      <c r="I160" s="108" t="n">
        <v>0.9306</v>
      </c>
      <c r="J160" s="108" t="n">
        <v>0.995</v>
      </c>
      <c r="K160" s="108" t="n">
        <v>0.98</v>
      </c>
      <c r="L160" s="108" t="n">
        <v>0.99</v>
      </c>
      <c r="M160" s="108" t="n">
        <v>1.005</v>
      </c>
      <c r="N160" s="108" t="n">
        <v>0.99</v>
      </c>
      <c r="O160" s="108" t="n">
        <v>0.96</v>
      </c>
    </row>
    <row r="161" customFormat="false" ht="12.75" hidden="false" customHeight="false" outlineLevel="0" collapsed="false">
      <c r="A161" s="158" t="n">
        <v>41579</v>
      </c>
      <c r="B161" s="108" t="n">
        <v>0.999</v>
      </c>
      <c r="C161" s="108" t="n">
        <v>0.999</v>
      </c>
      <c r="D161" s="108" t="n">
        <v>0.995</v>
      </c>
      <c r="E161" s="108" t="n">
        <v>0.96</v>
      </c>
      <c r="F161" s="108" t="n">
        <v>0.96</v>
      </c>
      <c r="G161" s="108" t="n">
        <v>0.9306</v>
      </c>
      <c r="H161" s="108" t="n">
        <v>0.99</v>
      </c>
      <c r="I161" s="108" t="n">
        <v>0.9306</v>
      </c>
      <c r="J161" s="108" t="n">
        <v>0.995</v>
      </c>
      <c r="K161" s="108" t="n">
        <v>0.98</v>
      </c>
      <c r="L161" s="108" t="n">
        <v>0.99</v>
      </c>
      <c r="M161" s="108" t="n">
        <v>1.005</v>
      </c>
      <c r="N161" s="108" t="n">
        <v>0.99</v>
      </c>
      <c r="O161" s="108" t="n">
        <v>0.96</v>
      </c>
    </row>
    <row r="162" customFormat="false" ht="12.75" hidden="false" customHeight="false" outlineLevel="0" collapsed="false">
      <c r="A162" s="158" t="n">
        <v>41609</v>
      </c>
      <c r="B162" s="108" t="n">
        <v>0.999</v>
      </c>
      <c r="C162" s="108" t="n">
        <v>0.999</v>
      </c>
      <c r="D162" s="108" t="n">
        <v>0.995</v>
      </c>
      <c r="E162" s="108" t="n">
        <v>0.96</v>
      </c>
      <c r="F162" s="108" t="n">
        <v>0.96</v>
      </c>
      <c r="G162" s="108" t="n">
        <v>0.9306</v>
      </c>
      <c r="H162" s="108" t="n">
        <v>0.99</v>
      </c>
      <c r="I162" s="108" t="n">
        <v>0.9306</v>
      </c>
      <c r="J162" s="108" t="n">
        <v>0.995</v>
      </c>
      <c r="K162" s="108" t="n">
        <v>0.98</v>
      </c>
      <c r="L162" s="108" t="n">
        <v>0.99</v>
      </c>
      <c r="M162" s="108" t="n">
        <v>1.005</v>
      </c>
      <c r="N162" s="108" t="n">
        <v>0.99</v>
      </c>
      <c r="O162" s="108" t="n">
        <v>0.96</v>
      </c>
    </row>
    <row r="163" customFormat="false" ht="12.75" hidden="false" customHeight="false" outlineLevel="0" collapsed="false">
      <c r="A163" s="158" t="n">
        <v>41640</v>
      </c>
      <c r="B163" s="108" t="n">
        <v>0.999</v>
      </c>
      <c r="C163" s="108" t="n">
        <v>0.999</v>
      </c>
      <c r="D163" s="108" t="n">
        <v>0.995</v>
      </c>
      <c r="E163" s="108" t="n">
        <v>0.96</v>
      </c>
      <c r="F163" s="108" t="n">
        <v>0.96</v>
      </c>
      <c r="G163" s="108" t="n">
        <v>0.9306</v>
      </c>
      <c r="H163" s="108" t="n">
        <v>0.99</v>
      </c>
      <c r="I163" s="108" t="n">
        <v>0.9306</v>
      </c>
      <c r="J163" s="108" t="n">
        <v>0.995</v>
      </c>
      <c r="K163" s="108" t="n">
        <v>0.98</v>
      </c>
      <c r="L163" s="108" t="n">
        <v>0.99</v>
      </c>
      <c r="M163" s="108" t="n">
        <v>1.005</v>
      </c>
      <c r="N163" s="108" t="n">
        <v>0.99</v>
      </c>
      <c r="O163" s="108" t="n">
        <v>0.96</v>
      </c>
    </row>
    <row r="164" customFormat="false" ht="12.75" hidden="false" customHeight="false" outlineLevel="0" collapsed="false">
      <c r="A164" s="158" t="n">
        <v>41671</v>
      </c>
      <c r="B164" s="108" t="n">
        <v>0.999</v>
      </c>
      <c r="C164" s="108" t="n">
        <v>0.999</v>
      </c>
      <c r="D164" s="108" t="n">
        <v>0.995</v>
      </c>
      <c r="E164" s="108" t="n">
        <v>0.96</v>
      </c>
      <c r="F164" s="108" t="n">
        <v>0.96</v>
      </c>
      <c r="G164" s="108" t="n">
        <v>0.9306</v>
      </c>
      <c r="H164" s="108" t="n">
        <v>0.99</v>
      </c>
      <c r="I164" s="108" t="n">
        <v>0.9306</v>
      </c>
      <c r="J164" s="108" t="n">
        <v>0.995</v>
      </c>
      <c r="K164" s="108" t="n">
        <v>0.98</v>
      </c>
      <c r="L164" s="108" t="n">
        <v>0.99</v>
      </c>
      <c r="M164" s="108" t="n">
        <v>1.005</v>
      </c>
      <c r="N164" s="108" t="n">
        <v>0.99</v>
      </c>
      <c r="O164" s="108" t="n">
        <v>0.96</v>
      </c>
    </row>
    <row r="165" customFormat="false" ht="12.75" hidden="false" customHeight="false" outlineLevel="0" collapsed="false">
      <c r="A165" s="158" t="n">
        <v>41699</v>
      </c>
      <c r="B165" s="108" t="n">
        <v>0.999</v>
      </c>
      <c r="C165" s="108" t="n">
        <v>0.999</v>
      </c>
      <c r="D165" s="108" t="n">
        <v>0.995</v>
      </c>
      <c r="E165" s="108" t="n">
        <v>0.96</v>
      </c>
      <c r="F165" s="108" t="n">
        <v>0.96</v>
      </c>
      <c r="G165" s="108" t="n">
        <v>0.9306</v>
      </c>
      <c r="H165" s="108" t="n">
        <v>0.99</v>
      </c>
      <c r="I165" s="108" t="n">
        <v>0.9306</v>
      </c>
      <c r="J165" s="108" t="n">
        <v>0.995</v>
      </c>
      <c r="K165" s="108" t="n">
        <v>0.98</v>
      </c>
      <c r="L165" s="108" t="n">
        <v>0.99</v>
      </c>
      <c r="M165" s="108" t="n">
        <v>1.005</v>
      </c>
      <c r="N165" s="108" t="n">
        <v>0.99</v>
      </c>
      <c r="O165" s="108" t="n">
        <v>0.96</v>
      </c>
    </row>
    <row r="166" customFormat="false" ht="12.75" hidden="false" customHeight="false" outlineLevel="0" collapsed="false">
      <c r="A166" s="158" t="n">
        <v>41730</v>
      </c>
      <c r="B166" s="108" t="n">
        <v>0.999</v>
      </c>
      <c r="C166" s="108" t="n">
        <v>0.999</v>
      </c>
      <c r="D166" s="108" t="n">
        <v>0.995</v>
      </c>
      <c r="E166" s="108" t="n">
        <v>0.96</v>
      </c>
      <c r="F166" s="108" t="n">
        <v>0.96</v>
      </c>
      <c r="G166" s="108" t="n">
        <v>0.9306</v>
      </c>
      <c r="H166" s="108" t="n">
        <v>0.99</v>
      </c>
      <c r="I166" s="108" t="n">
        <v>0.9306</v>
      </c>
      <c r="J166" s="108" t="n">
        <v>0.995</v>
      </c>
      <c r="K166" s="108" t="n">
        <v>0.98</v>
      </c>
      <c r="L166" s="108" t="n">
        <v>0.99</v>
      </c>
      <c r="M166" s="108" t="n">
        <v>1.005</v>
      </c>
      <c r="N166" s="108" t="n">
        <v>0.99</v>
      </c>
      <c r="O166" s="108" t="n">
        <v>0.96</v>
      </c>
    </row>
    <row r="167" customFormat="false" ht="12.75" hidden="false" customHeight="false" outlineLevel="0" collapsed="false">
      <c r="A167" s="158" t="n">
        <v>41760</v>
      </c>
      <c r="B167" s="108" t="n">
        <v>0.999</v>
      </c>
      <c r="C167" s="108" t="n">
        <v>0.999</v>
      </c>
      <c r="D167" s="108" t="n">
        <v>0.995</v>
      </c>
      <c r="E167" s="108" t="n">
        <v>0.96</v>
      </c>
      <c r="F167" s="108" t="n">
        <v>0.96</v>
      </c>
      <c r="G167" s="108" t="n">
        <v>0.9306</v>
      </c>
      <c r="H167" s="108" t="n">
        <v>0.99</v>
      </c>
      <c r="I167" s="108" t="n">
        <v>0.9306</v>
      </c>
      <c r="J167" s="108" t="n">
        <v>0.995</v>
      </c>
      <c r="K167" s="108" t="n">
        <v>0.98</v>
      </c>
      <c r="L167" s="108" t="n">
        <v>0.99</v>
      </c>
      <c r="M167" s="108" t="n">
        <v>1.005</v>
      </c>
      <c r="N167" s="108" t="n">
        <v>0.99</v>
      </c>
      <c r="O167" s="108" t="n">
        <v>0.96</v>
      </c>
    </row>
    <row r="168" customFormat="false" ht="12.75" hidden="false" customHeight="false" outlineLevel="0" collapsed="false">
      <c r="A168" s="158" t="n">
        <v>41791</v>
      </c>
      <c r="B168" s="108" t="n">
        <v>0.999</v>
      </c>
      <c r="C168" s="108" t="n">
        <v>0.999</v>
      </c>
      <c r="D168" s="108" t="n">
        <v>0.995</v>
      </c>
      <c r="E168" s="108" t="n">
        <v>0.96</v>
      </c>
      <c r="F168" s="108" t="n">
        <v>0.96</v>
      </c>
      <c r="G168" s="108" t="n">
        <v>0.9306</v>
      </c>
      <c r="H168" s="108" t="n">
        <v>0.99</v>
      </c>
      <c r="I168" s="108" t="n">
        <v>0.9306</v>
      </c>
      <c r="J168" s="108" t="n">
        <v>0.995</v>
      </c>
      <c r="K168" s="108" t="n">
        <v>0.98</v>
      </c>
      <c r="L168" s="108" t="n">
        <v>0.99</v>
      </c>
      <c r="M168" s="108" t="n">
        <v>1.005</v>
      </c>
      <c r="N168" s="108" t="n">
        <v>0.99</v>
      </c>
      <c r="O168" s="108" t="n">
        <v>0.96</v>
      </c>
    </row>
    <row r="169" customFormat="false" ht="12.75" hidden="false" customHeight="false" outlineLevel="0" collapsed="false">
      <c r="A169" s="158" t="n">
        <v>41821</v>
      </c>
      <c r="B169" s="108" t="n">
        <v>0.999</v>
      </c>
      <c r="C169" s="108" t="n">
        <v>0.999</v>
      </c>
      <c r="D169" s="108" t="n">
        <v>0.995</v>
      </c>
      <c r="E169" s="108" t="n">
        <v>0.96</v>
      </c>
      <c r="F169" s="108" t="n">
        <v>0.96</v>
      </c>
      <c r="G169" s="108" t="n">
        <v>0.9306</v>
      </c>
      <c r="H169" s="108" t="n">
        <v>0.99</v>
      </c>
      <c r="I169" s="108" t="n">
        <v>0.9306</v>
      </c>
      <c r="J169" s="108" t="n">
        <v>0.995</v>
      </c>
      <c r="K169" s="108" t="n">
        <v>0.98</v>
      </c>
      <c r="L169" s="108" t="n">
        <v>0.99</v>
      </c>
      <c r="M169" s="108" t="n">
        <v>1.005</v>
      </c>
      <c r="N169" s="108" t="n">
        <v>0.99</v>
      </c>
      <c r="O169" s="108" t="n">
        <v>0.96</v>
      </c>
    </row>
    <row r="170" customFormat="false" ht="12.75" hidden="false" customHeight="false" outlineLevel="0" collapsed="false">
      <c r="A170" s="158" t="n">
        <v>41852</v>
      </c>
      <c r="B170" s="108" t="n">
        <v>0.999</v>
      </c>
      <c r="C170" s="108" t="n">
        <v>0.999</v>
      </c>
      <c r="D170" s="108" t="n">
        <v>0.995</v>
      </c>
      <c r="E170" s="108" t="n">
        <v>0.96</v>
      </c>
      <c r="F170" s="108" t="n">
        <v>0.96</v>
      </c>
      <c r="G170" s="108" t="n">
        <v>0.9306</v>
      </c>
      <c r="H170" s="108" t="n">
        <v>0.99</v>
      </c>
      <c r="I170" s="108" t="n">
        <v>0.9306</v>
      </c>
      <c r="J170" s="108" t="n">
        <v>0.995</v>
      </c>
      <c r="K170" s="108" t="n">
        <v>0.98</v>
      </c>
      <c r="L170" s="108" t="n">
        <v>0.99</v>
      </c>
      <c r="M170" s="108" t="n">
        <v>1.005</v>
      </c>
      <c r="N170" s="108" t="n">
        <v>0.99</v>
      </c>
      <c r="O170" s="108" t="n">
        <v>0.96</v>
      </c>
    </row>
    <row r="171" customFormat="false" ht="12.75" hidden="false" customHeight="false" outlineLevel="0" collapsed="false">
      <c r="A171" s="158" t="n">
        <v>41883</v>
      </c>
      <c r="B171" s="108" t="n">
        <v>0.999</v>
      </c>
      <c r="C171" s="108" t="n">
        <v>0.999</v>
      </c>
      <c r="D171" s="108" t="n">
        <v>0.995</v>
      </c>
      <c r="E171" s="108" t="n">
        <v>0.96</v>
      </c>
      <c r="F171" s="108" t="n">
        <v>0.96</v>
      </c>
      <c r="G171" s="108" t="n">
        <v>0.9306</v>
      </c>
      <c r="H171" s="108" t="n">
        <v>0.99</v>
      </c>
      <c r="I171" s="108" t="n">
        <v>0.9306</v>
      </c>
      <c r="J171" s="108" t="n">
        <v>0.995</v>
      </c>
      <c r="K171" s="108" t="n">
        <v>0.98</v>
      </c>
      <c r="L171" s="108" t="n">
        <v>0.99</v>
      </c>
      <c r="M171" s="108" t="n">
        <v>1.005</v>
      </c>
      <c r="N171" s="108" t="n">
        <v>0.99</v>
      </c>
      <c r="O171" s="108" t="n">
        <v>0.96</v>
      </c>
    </row>
    <row r="172" customFormat="false" ht="12.75" hidden="false" customHeight="false" outlineLevel="0" collapsed="false">
      <c r="A172" s="158" t="n">
        <v>41913</v>
      </c>
      <c r="B172" s="108" t="n">
        <v>0.999</v>
      </c>
      <c r="C172" s="108" t="n">
        <v>0.999</v>
      </c>
      <c r="D172" s="108" t="n">
        <v>0.995</v>
      </c>
      <c r="E172" s="108" t="n">
        <v>0.96</v>
      </c>
      <c r="F172" s="108" t="n">
        <v>0.96</v>
      </c>
      <c r="G172" s="108" t="n">
        <v>0.9306</v>
      </c>
      <c r="H172" s="108" t="n">
        <v>0.99</v>
      </c>
      <c r="I172" s="108" t="n">
        <v>0.9306</v>
      </c>
      <c r="J172" s="108" t="n">
        <v>0.995</v>
      </c>
      <c r="K172" s="108" t="n">
        <v>0.98</v>
      </c>
      <c r="L172" s="108" t="n">
        <v>0.99</v>
      </c>
      <c r="M172" s="108" t="n">
        <v>1.005</v>
      </c>
      <c r="N172" s="108" t="n">
        <v>0.99</v>
      </c>
      <c r="O172" s="108" t="n">
        <v>0.96</v>
      </c>
    </row>
    <row r="173" customFormat="false" ht="12.75" hidden="false" customHeight="false" outlineLevel="0" collapsed="false">
      <c r="A173" s="158" t="n">
        <v>41944</v>
      </c>
      <c r="B173" s="108" t="n">
        <v>0.999</v>
      </c>
      <c r="C173" s="108" t="n">
        <v>0.999</v>
      </c>
      <c r="D173" s="108" t="n">
        <v>0.995</v>
      </c>
      <c r="E173" s="108" t="n">
        <v>0.96</v>
      </c>
      <c r="F173" s="108" t="n">
        <v>0.96</v>
      </c>
      <c r="G173" s="108" t="n">
        <v>0.9306</v>
      </c>
      <c r="H173" s="108" t="n">
        <v>0.99</v>
      </c>
      <c r="I173" s="108" t="n">
        <v>0.9306</v>
      </c>
      <c r="J173" s="108" t="n">
        <v>0.995</v>
      </c>
      <c r="K173" s="108" t="n">
        <v>0.98</v>
      </c>
      <c r="L173" s="108" t="n">
        <v>0.99</v>
      </c>
      <c r="M173" s="108" t="n">
        <v>1.005</v>
      </c>
      <c r="N173" s="108" t="n">
        <v>0.99</v>
      </c>
      <c r="O173" s="108" t="n">
        <v>0.96</v>
      </c>
    </row>
    <row r="174" customFormat="false" ht="12.75" hidden="false" customHeight="false" outlineLevel="0" collapsed="false">
      <c r="A174" s="158" t="n">
        <v>41974</v>
      </c>
      <c r="B174" s="108" t="n">
        <v>0.999</v>
      </c>
      <c r="C174" s="108" t="n">
        <v>0.999</v>
      </c>
      <c r="D174" s="108" t="n">
        <v>0.995</v>
      </c>
      <c r="E174" s="108" t="n">
        <v>0.96</v>
      </c>
      <c r="F174" s="108" t="n">
        <v>0.96</v>
      </c>
      <c r="G174" s="108" t="n">
        <v>0.9306</v>
      </c>
      <c r="H174" s="108" t="n">
        <v>0.99</v>
      </c>
      <c r="I174" s="108" t="n">
        <v>0.9306</v>
      </c>
      <c r="J174" s="108" t="n">
        <v>0.995</v>
      </c>
      <c r="K174" s="108" t="n">
        <v>0.98</v>
      </c>
      <c r="L174" s="108" t="n">
        <v>0.99</v>
      </c>
      <c r="M174" s="108" t="n">
        <v>1.005</v>
      </c>
      <c r="N174" s="108" t="n">
        <v>0.99</v>
      </c>
      <c r="O174" s="108" t="n">
        <v>0.96</v>
      </c>
    </row>
    <row r="175" customFormat="false" ht="12.75" hidden="false" customHeight="false" outlineLevel="0" collapsed="false">
      <c r="A175" s="158" t="n">
        <v>42005</v>
      </c>
      <c r="B175" s="108" t="n">
        <v>0.999</v>
      </c>
      <c r="C175" s="108" t="n">
        <v>0.999</v>
      </c>
      <c r="D175" s="108" t="n">
        <v>0.995</v>
      </c>
      <c r="E175" s="108" t="n">
        <v>0.96</v>
      </c>
      <c r="F175" s="108" t="n">
        <v>0.96</v>
      </c>
      <c r="G175" s="108" t="n">
        <v>0.9306</v>
      </c>
      <c r="H175" s="108" t="n">
        <v>0.99</v>
      </c>
      <c r="I175" s="108" t="n">
        <v>0.9306</v>
      </c>
      <c r="J175" s="108" t="n">
        <v>0.995</v>
      </c>
      <c r="K175" s="108" t="n">
        <v>0.98</v>
      </c>
      <c r="L175" s="108" t="n">
        <v>0.99</v>
      </c>
      <c r="M175" s="108" t="n">
        <v>1.005</v>
      </c>
      <c r="N175" s="108" t="n">
        <v>0.99</v>
      </c>
      <c r="O175" s="108" t="n">
        <v>0.96</v>
      </c>
    </row>
    <row r="176" customFormat="false" ht="12.75" hidden="false" customHeight="false" outlineLevel="0" collapsed="false">
      <c r="A176" s="158" t="n">
        <v>42036</v>
      </c>
      <c r="B176" s="108" t="n">
        <v>0.999</v>
      </c>
      <c r="C176" s="108" t="n">
        <v>0.999</v>
      </c>
      <c r="D176" s="108" t="n">
        <v>0.995</v>
      </c>
      <c r="E176" s="108" t="n">
        <v>0.96</v>
      </c>
      <c r="F176" s="108" t="n">
        <v>0.96</v>
      </c>
      <c r="G176" s="108" t="n">
        <v>0.9306</v>
      </c>
      <c r="H176" s="108" t="n">
        <v>0.99</v>
      </c>
      <c r="I176" s="108" t="n">
        <v>0.9306</v>
      </c>
      <c r="J176" s="108" t="n">
        <v>0.995</v>
      </c>
      <c r="K176" s="108" t="n">
        <v>0.98</v>
      </c>
      <c r="L176" s="108" t="n">
        <v>0.99</v>
      </c>
      <c r="M176" s="108" t="n">
        <v>1.005</v>
      </c>
      <c r="N176" s="108" t="n">
        <v>0.99</v>
      </c>
      <c r="O176" s="108" t="n">
        <v>0.96</v>
      </c>
    </row>
    <row r="177" customFormat="false" ht="12.75" hidden="false" customHeight="false" outlineLevel="0" collapsed="false">
      <c r="A177" s="158" t="n">
        <v>42064</v>
      </c>
      <c r="B177" s="108" t="n">
        <v>0.999</v>
      </c>
      <c r="C177" s="108" t="n">
        <v>0.999</v>
      </c>
      <c r="D177" s="108" t="n">
        <v>0.995</v>
      </c>
      <c r="E177" s="108" t="n">
        <v>0.96</v>
      </c>
      <c r="F177" s="108" t="n">
        <v>0.96</v>
      </c>
      <c r="G177" s="108" t="n">
        <v>0.9306</v>
      </c>
      <c r="H177" s="108" t="n">
        <v>0.99</v>
      </c>
      <c r="I177" s="108" t="n">
        <v>0.9306</v>
      </c>
      <c r="J177" s="108" t="n">
        <v>0.995</v>
      </c>
      <c r="K177" s="108" t="n">
        <v>0.98</v>
      </c>
      <c r="L177" s="108" t="n">
        <v>0.99</v>
      </c>
      <c r="M177" s="108" t="n">
        <v>1.005</v>
      </c>
      <c r="N177" s="108" t="n">
        <v>0.99</v>
      </c>
      <c r="O177" s="108" t="n">
        <v>0.96</v>
      </c>
    </row>
    <row r="178" customFormat="false" ht="12.75" hidden="false" customHeight="false" outlineLevel="0" collapsed="false">
      <c r="A178" s="158" t="n">
        <v>42095</v>
      </c>
      <c r="B178" s="108" t="n">
        <v>0.999</v>
      </c>
      <c r="C178" s="108" t="n">
        <v>0.999</v>
      </c>
      <c r="D178" s="108" t="n">
        <v>0.995</v>
      </c>
      <c r="E178" s="108" t="n">
        <v>0.96</v>
      </c>
      <c r="F178" s="108" t="n">
        <v>0.96</v>
      </c>
      <c r="G178" s="108" t="n">
        <v>0.9306</v>
      </c>
      <c r="H178" s="108" t="n">
        <v>0.99</v>
      </c>
      <c r="I178" s="108" t="n">
        <v>0.9306</v>
      </c>
      <c r="J178" s="108" t="n">
        <v>0.995</v>
      </c>
      <c r="K178" s="108" t="n">
        <v>0.98</v>
      </c>
      <c r="L178" s="108" t="n">
        <v>0.99</v>
      </c>
      <c r="M178" s="108" t="n">
        <v>1.005</v>
      </c>
      <c r="N178" s="108" t="n">
        <v>0.99</v>
      </c>
      <c r="O178" s="108" t="n">
        <v>0.96</v>
      </c>
    </row>
    <row r="179" customFormat="false" ht="12.75" hidden="false" customHeight="false" outlineLevel="0" collapsed="false">
      <c r="A179" s="158" t="n">
        <v>42125</v>
      </c>
      <c r="B179" s="108" t="n">
        <v>0.999</v>
      </c>
      <c r="C179" s="108" t="n">
        <v>0.999</v>
      </c>
      <c r="D179" s="108" t="n">
        <v>0.995</v>
      </c>
      <c r="E179" s="108" t="n">
        <v>0.96</v>
      </c>
      <c r="F179" s="108" t="n">
        <v>0.96</v>
      </c>
      <c r="G179" s="108" t="n">
        <v>0.9306</v>
      </c>
      <c r="H179" s="108" t="n">
        <v>0.99</v>
      </c>
      <c r="I179" s="108" t="n">
        <v>0.9306</v>
      </c>
      <c r="J179" s="108" t="n">
        <v>0.995</v>
      </c>
      <c r="K179" s="108" t="n">
        <v>0.98</v>
      </c>
      <c r="L179" s="108" t="n">
        <v>0.99</v>
      </c>
      <c r="M179" s="108" t="n">
        <v>1.005</v>
      </c>
      <c r="N179" s="108" t="n">
        <v>0.99</v>
      </c>
      <c r="O179" s="108" t="n">
        <v>0.96</v>
      </c>
    </row>
    <row r="180" customFormat="false" ht="12.75" hidden="false" customHeight="false" outlineLevel="0" collapsed="false">
      <c r="A180" s="158" t="n">
        <v>42156</v>
      </c>
      <c r="B180" s="108" t="n">
        <v>0.999</v>
      </c>
      <c r="C180" s="108" t="n">
        <v>0.999</v>
      </c>
      <c r="D180" s="108" t="n">
        <v>0.995</v>
      </c>
      <c r="E180" s="108" t="n">
        <v>0.96</v>
      </c>
      <c r="F180" s="108" t="n">
        <v>0.96</v>
      </c>
      <c r="G180" s="108" t="n">
        <v>0.9306</v>
      </c>
      <c r="H180" s="108" t="n">
        <v>0.99</v>
      </c>
      <c r="I180" s="108" t="n">
        <v>0.9306</v>
      </c>
      <c r="J180" s="108" t="n">
        <v>0.995</v>
      </c>
      <c r="K180" s="108" t="n">
        <v>0.98</v>
      </c>
      <c r="L180" s="108" t="n">
        <v>0.99</v>
      </c>
      <c r="M180" s="108" t="n">
        <v>1.005</v>
      </c>
      <c r="N180" s="108" t="n">
        <v>0.99</v>
      </c>
      <c r="O180" s="108" t="n">
        <v>0.96</v>
      </c>
    </row>
    <row r="181" customFormat="false" ht="12.75" hidden="false" customHeight="false" outlineLevel="0" collapsed="false">
      <c r="A181" s="158" t="n">
        <v>42186</v>
      </c>
      <c r="B181" s="108" t="n">
        <v>0.999</v>
      </c>
      <c r="C181" s="108" t="n">
        <v>0.999</v>
      </c>
      <c r="D181" s="108" t="n">
        <v>0.995</v>
      </c>
      <c r="E181" s="108" t="n">
        <v>0.96</v>
      </c>
      <c r="F181" s="108" t="n">
        <v>0.96</v>
      </c>
      <c r="G181" s="108" t="n">
        <v>0.9306</v>
      </c>
      <c r="H181" s="108" t="n">
        <v>0.99</v>
      </c>
      <c r="I181" s="108" t="n">
        <v>0.9306</v>
      </c>
      <c r="J181" s="108" t="n">
        <v>0.995</v>
      </c>
      <c r="K181" s="108" t="n">
        <v>0.98</v>
      </c>
      <c r="L181" s="108" t="n">
        <v>0.99</v>
      </c>
      <c r="M181" s="108" t="n">
        <v>1.005</v>
      </c>
      <c r="N181" s="108" t="n">
        <v>0.99</v>
      </c>
      <c r="O181" s="108" t="n">
        <v>0.96</v>
      </c>
    </row>
    <row r="182" customFormat="false" ht="12.75" hidden="false" customHeight="false" outlineLevel="0" collapsed="false">
      <c r="A182" s="158" t="n">
        <v>42217</v>
      </c>
      <c r="B182" s="108" t="n">
        <v>0.999</v>
      </c>
      <c r="C182" s="108" t="n">
        <v>0.999</v>
      </c>
      <c r="D182" s="108" t="n">
        <v>0.995</v>
      </c>
      <c r="E182" s="108" t="n">
        <v>0.96</v>
      </c>
      <c r="F182" s="108" t="n">
        <v>0.96</v>
      </c>
      <c r="G182" s="108" t="n">
        <v>0.9306</v>
      </c>
      <c r="H182" s="108" t="n">
        <v>0.99</v>
      </c>
      <c r="I182" s="108" t="n">
        <v>0.9306</v>
      </c>
      <c r="J182" s="108" t="n">
        <v>0.995</v>
      </c>
      <c r="K182" s="108" t="n">
        <v>0.98</v>
      </c>
      <c r="L182" s="108" t="n">
        <v>0.99</v>
      </c>
      <c r="M182" s="108" t="n">
        <v>1.005</v>
      </c>
      <c r="N182" s="108" t="n">
        <v>0.99</v>
      </c>
      <c r="O182" s="108" t="n">
        <v>0.96</v>
      </c>
    </row>
    <row r="183" customFormat="false" ht="12.75" hidden="false" customHeight="false" outlineLevel="0" collapsed="false">
      <c r="A183" s="158" t="n">
        <v>42248</v>
      </c>
      <c r="B183" s="108" t="n">
        <v>0.999</v>
      </c>
      <c r="C183" s="108" t="n">
        <v>0.999</v>
      </c>
      <c r="D183" s="108" t="n">
        <v>0.995</v>
      </c>
      <c r="E183" s="108" t="n">
        <v>0.96</v>
      </c>
      <c r="F183" s="108" t="n">
        <v>0.96</v>
      </c>
      <c r="G183" s="108" t="n">
        <v>0.9306</v>
      </c>
      <c r="H183" s="108" t="n">
        <v>0.99</v>
      </c>
      <c r="I183" s="108" t="n">
        <v>0.9306</v>
      </c>
      <c r="J183" s="108" t="n">
        <v>0.995</v>
      </c>
      <c r="K183" s="108" t="n">
        <v>0.98</v>
      </c>
      <c r="L183" s="108" t="n">
        <v>0.99</v>
      </c>
      <c r="M183" s="108" t="n">
        <v>1.005</v>
      </c>
      <c r="N183" s="108" t="n">
        <v>0.99</v>
      </c>
      <c r="O183" s="108" t="n">
        <v>0.96</v>
      </c>
    </row>
    <row r="184" customFormat="false" ht="12.75" hidden="false" customHeight="false" outlineLevel="0" collapsed="false">
      <c r="A184" s="158" t="n">
        <v>42278</v>
      </c>
      <c r="B184" s="108" t="n">
        <v>0.999</v>
      </c>
      <c r="C184" s="108" t="n">
        <v>0.999</v>
      </c>
      <c r="D184" s="108" t="n">
        <v>0.995</v>
      </c>
      <c r="E184" s="108" t="n">
        <v>0.96</v>
      </c>
      <c r="F184" s="108" t="n">
        <v>0.96</v>
      </c>
      <c r="G184" s="108" t="n">
        <v>0.9306</v>
      </c>
      <c r="H184" s="108" t="n">
        <v>0.99</v>
      </c>
      <c r="I184" s="108" t="n">
        <v>0.9306</v>
      </c>
      <c r="J184" s="108" t="n">
        <v>0.995</v>
      </c>
      <c r="K184" s="108" t="n">
        <v>0.98</v>
      </c>
      <c r="L184" s="108" t="n">
        <v>0.99</v>
      </c>
      <c r="M184" s="108" t="n">
        <v>1.005</v>
      </c>
      <c r="N184" s="108" t="n">
        <v>0.99</v>
      </c>
      <c r="O184" s="108" t="n">
        <v>0.96</v>
      </c>
    </row>
    <row r="185" customFormat="false" ht="12.75" hidden="false" customHeight="false" outlineLevel="0" collapsed="false">
      <c r="A185" s="158" t="n">
        <v>42309</v>
      </c>
      <c r="B185" s="108" t="n">
        <v>0.999</v>
      </c>
      <c r="C185" s="108" t="n">
        <v>0.999</v>
      </c>
      <c r="D185" s="108" t="n">
        <v>0.995</v>
      </c>
      <c r="E185" s="108" t="n">
        <v>0.96</v>
      </c>
      <c r="F185" s="108" t="n">
        <v>0.96</v>
      </c>
      <c r="G185" s="108" t="n">
        <v>0.9306</v>
      </c>
      <c r="H185" s="108" t="n">
        <v>0.99</v>
      </c>
      <c r="I185" s="108" t="n">
        <v>0.9306</v>
      </c>
      <c r="J185" s="108" t="n">
        <v>0.995</v>
      </c>
      <c r="K185" s="108" t="n">
        <v>0.98</v>
      </c>
      <c r="L185" s="108" t="n">
        <v>0.99</v>
      </c>
      <c r="M185" s="108" t="n">
        <v>1.005</v>
      </c>
      <c r="N185" s="108" t="n">
        <v>0.99</v>
      </c>
      <c r="O185" s="108" t="n">
        <v>0.96</v>
      </c>
    </row>
    <row r="186" customFormat="false" ht="12.75" hidden="false" customHeight="false" outlineLevel="0" collapsed="false">
      <c r="A186" s="158" t="n">
        <v>42339</v>
      </c>
      <c r="B186" s="108" t="n">
        <v>0.999</v>
      </c>
      <c r="C186" s="108" t="n">
        <v>0.999</v>
      </c>
      <c r="D186" s="108" t="n">
        <v>0.995</v>
      </c>
      <c r="E186" s="108" t="n">
        <v>0.96</v>
      </c>
      <c r="F186" s="108" t="n">
        <v>0.96</v>
      </c>
      <c r="G186" s="108" t="n">
        <v>0.9306</v>
      </c>
      <c r="H186" s="108" t="n">
        <v>0.99</v>
      </c>
      <c r="I186" s="108" t="n">
        <v>0.9306</v>
      </c>
      <c r="J186" s="108" t="n">
        <v>0.995</v>
      </c>
      <c r="K186" s="108" t="n">
        <v>0.98</v>
      </c>
      <c r="L186" s="108" t="n">
        <v>0.99</v>
      </c>
      <c r="M186" s="108" t="n">
        <v>1.005</v>
      </c>
      <c r="N186" s="108" t="n">
        <v>0.99</v>
      </c>
      <c r="O186" s="108" t="n">
        <v>0.96</v>
      </c>
    </row>
    <row r="187" customFormat="false" ht="12.75" hidden="false" customHeight="false" outlineLevel="0" collapsed="false">
      <c r="A187" s="158" t="n">
        <v>42370</v>
      </c>
      <c r="B187" s="108" t="n">
        <v>0.999</v>
      </c>
      <c r="C187" s="108" t="n">
        <v>0.999</v>
      </c>
      <c r="D187" s="108" t="n">
        <v>0.995</v>
      </c>
      <c r="E187" s="108" t="n">
        <v>0.96</v>
      </c>
      <c r="F187" s="108" t="n">
        <v>0.96</v>
      </c>
      <c r="G187" s="108" t="n">
        <v>0.9306</v>
      </c>
      <c r="H187" s="108" t="n">
        <v>0.99</v>
      </c>
      <c r="I187" s="108" t="n">
        <v>0.9306</v>
      </c>
      <c r="J187" s="108" t="n">
        <v>0.995</v>
      </c>
      <c r="K187" s="108" t="n">
        <v>0.98</v>
      </c>
      <c r="L187" s="108" t="n">
        <v>0.99</v>
      </c>
      <c r="M187" s="108" t="n">
        <v>1.005</v>
      </c>
      <c r="N187" s="108" t="n">
        <v>0.99</v>
      </c>
      <c r="O187" s="108" t="n">
        <v>0.96</v>
      </c>
    </row>
    <row r="188" customFormat="false" ht="12.75" hidden="false" customHeight="false" outlineLevel="0" collapsed="false">
      <c r="A188" s="158" t="n">
        <v>42401</v>
      </c>
      <c r="B188" s="108" t="n">
        <v>0.999</v>
      </c>
      <c r="C188" s="108" t="n">
        <v>0.999</v>
      </c>
      <c r="D188" s="108" t="n">
        <v>0.995</v>
      </c>
      <c r="E188" s="108" t="n">
        <v>0.96</v>
      </c>
      <c r="F188" s="108" t="n">
        <v>0.96</v>
      </c>
      <c r="G188" s="108" t="n">
        <v>0.9306</v>
      </c>
      <c r="H188" s="108" t="n">
        <v>0.99</v>
      </c>
      <c r="I188" s="108" t="n">
        <v>0.9306</v>
      </c>
      <c r="J188" s="108" t="n">
        <v>0.995</v>
      </c>
      <c r="K188" s="108" t="n">
        <v>0.98</v>
      </c>
      <c r="L188" s="108" t="n">
        <v>0.99</v>
      </c>
      <c r="M188" s="108" t="n">
        <v>1.005</v>
      </c>
      <c r="N188" s="108" t="n">
        <v>0.99</v>
      </c>
      <c r="O188" s="108" t="n">
        <v>0.96</v>
      </c>
    </row>
    <row r="189" customFormat="false" ht="12.75" hidden="false" customHeight="false" outlineLevel="0" collapsed="false">
      <c r="A189" s="158" t="n">
        <v>42430</v>
      </c>
      <c r="B189" s="108" t="n">
        <v>0.999</v>
      </c>
      <c r="C189" s="108" t="n">
        <v>0.999</v>
      </c>
      <c r="D189" s="108" t="n">
        <v>0.995</v>
      </c>
      <c r="E189" s="108" t="n">
        <v>0.96</v>
      </c>
      <c r="F189" s="108" t="n">
        <v>0.96</v>
      </c>
      <c r="G189" s="108" t="n">
        <v>0.9306</v>
      </c>
      <c r="H189" s="108" t="n">
        <v>0.99</v>
      </c>
      <c r="I189" s="108" t="n">
        <v>0.9306</v>
      </c>
      <c r="J189" s="108" t="n">
        <v>0.995</v>
      </c>
      <c r="K189" s="108" t="n">
        <v>0.98</v>
      </c>
      <c r="L189" s="108" t="n">
        <v>0.99</v>
      </c>
      <c r="M189" s="108" t="n">
        <v>1.005</v>
      </c>
      <c r="N189" s="108" t="n">
        <v>0.99</v>
      </c>
      <c r="O189" s="108" t="n">
        <v>0.96</v>
      </c>
    </row>
    <row r="190" customFormat="false" ht="12.75" hidden="false" customHeight="false" outlineLevel="0" collapsed="false">
      <c r="A190" s="158" t="n">
        <v>42461</v>
      </c>
      <c r="B190" s="108" t="n">
        <v>0.999</v>
      </c>
      <c r="C190" s="108" t="n">
        <v>0.999</v>
      </c>
      <c r="D190" s="108" t="n">
        <v>0.995</v>
      </c>
      <c r="E190" s="108" t="n">
        <v>0.96</v>
      </c>
      <c r="F190" s="108" t="n">
        <v>0.96</v>
      </c>
      <c r="G190" s="108" t="n">
        <v>0.9306</v>
      </c>
      <c r="H190" s="108" t="n">
        <v>0.99</v>
      </c>
      <c r="I190" s="108" t="n">
        <v>0.9306</v>
      </c>
      <c r="J190" s="108" t="n">
        <v>0.995</v>
      </c>
      <c r="K190" s="108" t="n">
        <v>0.98</v>
      </c>
      <c r="L190" s="108" t="n">
        <v>0.99</v>
      </c>
      <c r="M190" s="108" t="n">
        <v>1.005</v>
      </c>
      <c r="N190" s="108" t="n">
        <v>0.99</v>
      </c>
      <c r="O190" s="108" t="n">
        <v>0.96</v>
      </c>
    </row>
    <row r="191" customFormat="false" ht="12.75" hidden="false" customHeight="false" outlineLevel="0" collapsed="false">
      <c r="A191" s="158" t="n">
        <v>42491</v>
      </c>
      <c r="B191" s="108" t="n">
        <v>0.999</v>
      </c>
      <c r="C191" s="108" t="n">
        <v>0.999</v>
      </c>
      <c r="D191" s="108" t="n">
        <v>0.995</v>
      </c>
      <c r="E191" s="108" t="n">
        <v>0.96</v>
      </c>
      <c r="F191" s="108" t="n">
        <v>0.96</v>
      </c>
      <c r="G191" s="108" t="n">
        <v>0.9306</v>
      </c>
      <c r="H191" s="108" t="n">
        <v>0.99</v>
      </c>
      <c r="I191" s="108" t="n">
        <v>0.9306</v>
      </c>
      <c r="J191" s="108" t="n">
        <v>0.995</v>
      </c>
      <c r="K191" s="108" t="n">
        <v>0.98</v>
      </c>
      <c r="L191" s="108" t="n">
        <v>0.99</v>
      </c>
      <c r="M191" s="108" t="n">
        <v>1.005</v>
      </c>
      <c r="N191" s="108" t="n">
        <v>0.99</v>
      </c>
      <c r="O191" s="108" t="n">
        <v>0.96</v>
      </c>
    </row>
    <row r="192" customFormat="false" ht="12.75" hidden="false" customHeight="false" outlineLevel="0" collapsed="false">
      <c r="A192" s="158" t="n">
        <v>42522</v>
      </c>
      <c r="B192" s="108" t="n">
        <v>0.999</v>
      </c>
      <c r="C192" s="108" t="n">
        <v>0.999</v>
      </c>
      <c r="D192" s="108" t="n">
        <v>0.995</v>
      </c>
      <c r="E192" s="108" t="n">
        <v>0.96</v>
      </c>
      <c r="F192" s="108" t="n">
        <v>0.96</v>
      </c>
      <c r="G192" s="108" t="n">
        <v>0.9306</v>
      </c>
      <c r="H192" s="108" t="n">
        <v>0.99</v>
      </c>
      <c r="I192" s="108" t="n">
        <v>0.9306</v>
      </c>
      <c r="J192" s="108" t="n">
        <v>0.995</v>
      </c>
      <c r="K192" s="108" t="n">
        <v>0.98</v>
      </c>
      <c r="L192" s="108" t="n">
        <v>0.99</v>
      </c>
      <c r="M192" s="108" t="n">
        <v>1.005</v>
      </c>
      <c r="N192" s="108" t="n">
        <v>0.99</v>
      </c>
      <c r="O192" s="108" t="n">
        <v>0.96</v>
      </c>
    </row>
    <row r="193" customFormat="false" ht="12.75" hidden="false" customHeight="false" outlineLevel="0" collapsed="false">
      <c r="A193" s="158" t="n">
        <v>42552</v>
      </c>
      <c r="B193" s="108" t="n">
        <v>0.999</v>
      </c>
      <c r="C193" s="108" t="n">
        <v>0.999</v>
      </c>
      <c r="D193" s="108" t="n">
        <v>0.995</v>
      </c>
      <c r="E193" s="108" t="n">
        <v>0.96</v>
      </c>
      <c r="F193" s="108" t="n">
        <v>0.96</v>
      </c>
      <c r="G193" s="108" t="n">
        <v>0.9306</v>
      </c>
      <c r="H193" s="108" t="n">
        <v>0.99</v>
      </c>
      <c r="I193" s="108" t="n">
        <v>0.9306</v>
      </c>
      <c r="J193" s="108" t="n">
        <v>0.995</v>
      </c>
      <c r="K193" s="108" t="n">
        <v>0.98</v>
      </c>
      <c r="L193" s="108" t="n">
        <v>0.99</v>
      </c>
      <c r="M193" s="108" t="n">
        <v>1.005</v>
      </c>
      <c r="N193" s="108" t="n">
        <v>0.99</v>
      </c>
      <c r="O193" s="108" t="n">
        <v>0.96</v>
      </c>
    </row>
    <row r="194" customFormat="false" ht="12.75" hidden="false" customHeight="false" outlineLevel="0" collapsed="false">
      <c r="A194" s="158" t="n">
        <v>42583</v>
      </c>
      <c r="B194" s="108" t="n">
        <v>0.999</v>
      </c>
      <c r="C194" s="108" t="n">
        <v>0.999</v>
      </c>
      <c r="D194" s="108" t="n">
        <v>0.995</v>
      </c>
      <c r="E194" s="108" t="n">
        <v>0.96</v>
      </c>
      <c r="F194" s="108" t="n">
        <v>0.96</v>
      </c>
      <c r="G194" s="108" t="n">
        <v>0.9306</v>
      </c>
      <c r="H194" s="108" t="n">
        <v>0.99</v>
      </c>
      <c r="I194" s="108" t="n">
        <v>0.9306</v>
      </c>
      <c r="J194" s="108" t="n">
        <v>0.995</v>
      </c>
      <c r="K194" s="108" t="n">
        <v>0.98</v>
      </c>
      <c r="L194" s="108" t="n">
        <v>0.99</v>
      </c>
      <c r="M194" s="108" t="n">
        <v>1.005</v>
      </c>
      <c r="N194" s="108" t="n">
        <v>0.99</v>
      </c>
      <c r="O194" s="108" t="n">
        <v>0.96</v>
      </c>
    </row>
    <row r="195" customFormat="false" ht="12.75" hidden="false" customHeight="false" outlineLevel="0" collapsed="false">
      <c r="A195" s="158" t="n">
        <v>42614</v>
      </c>
      <c r="B195" s="108" t="n">
        <v>0.999</v>
      </c>
      <c r="C195" s="108" t="n">
        <v>0.999</v>
      </c>
      <c r="D195" s="108" t="n">
        <v>0.995</v>
      </c>
      <c r="E195" s="108" t="n">
        <v>0.96</v>
      </c>
      <c r="F195" s="108" t="n">
        <v>0.96</v>
      </c>
      <c r="G195" s="108" t="n">
        <v>0.9306</v>
      </c>
      <c r="H195" s="108" t="n">
        <v>0.99</v>
      </c>
      <c r="I195" s="108" t="n">
        <v>0.9306</v>
      </c>
      <c r="J195" s="108" t="n">
        <v>0.995</v>
      </c>
      <c r="K195" s="108" t="n">
        <v>0.98</v>
      </c>
      <c r="L195" s="108" t="n">
        <v>0.99</v>
      </c>
      <c r="M195" s="108" t="n">
        <v>1.005</v>
      </c>
      <c r="N195" s="108" t="n">
        <v>0.99</v>
      </c>
      <c r="O195" s="108" t="n">
        <v>0.96</v>
      </c>
    </row>
    <row r="196" customFormat="false" ht="12.75" hidden="false" customHeight="false" outlineLevel="0" collapsed="false">
      <c r="A196" s="158" t="n">
        <v>42644</v>
      </c>
      <c r="B196" s="108" t="n">
        <v>0.999</v>
      </c>
      <c r="C196" s="108" t="n">
        <v>0.999</v>
      </c>
      <c r="D196" s="108" t="n">
        <v>0.995</v>
      </c>
      <c r="E196" s="108" t="n">
        <v>0.96</v>
      </c>
      <c r="F196" s="108" t="n">
        <v>0.96</v>
      </c>
      <c r="G196" s="108" t="n">
        <v>0.9306</v>
      </c>
      <c r="H196" s="108" t="n">
        <v>0.99</v>
      </c>
      <c r="I196" s="108" t="n">
        <v>0.9306</v>
      </c>
      <c r="J196" s="108" t="n">
        <v>0.995</v>
      </c>
      <c r="K196" s="108" t="n">
        <v>0.98</v>
      </c>
      <c r="L196" s="108" t="n">
        <v>0.99</v>
      </c>
      <c r="M196" s="108" t="n">
        <v>1.005</v>
      </c>
      <c r="N196" s="108" t="n">
        <v>0.99</v>
      </c>
      <c r="O196" s="108" t="n">
        <v>0.96</v>
      </c>
    </row>
    <row r="197" customFormat="false" ht="12.75" hidden="false" customHeight="false" outlineLevel="0" collapsed="false">
      <c r="A197" s="158" t="n">
        <v>42675</v>
      </c>
      <c r="B197" s="108" t="n">
        <v>0.999</v>
      </c>
      <c r="C197" s="108" t="n">
        <v>0.999</v>
      </c>
      <c r="D197" s="108" t="n">
        <v>0.995</v>
      </c>
      <c r="E197" s="108" t="n">
        <v>0.96</v>
      </c>
      <c r="F197" s="108" t="n">
        <v>0.96</v>
      </c>
      <c r="G197" s="108" t="n">
        <v>0.9306</v>
      </c>
      <c r="H197" s="108" t="n">
        <v>0.99</v>
      </c>
      <c r="I197" s="108" t="n">
        <v>0.9306</v>
      </c>
      <c r="J197" s="108" t="n">
        <v>0.995</v>
      </c>
      <c r="K197" s="108" t="n">
        <v>0.98</v>
      </c>
      <c r="L197" s="108" t="n">
        <v>0.99</v>
      </c>
      <c r="M197" s="108" t="n">
        <v>1.005</v>
      </c>
      <c r="N197" s="108" t="n">
        <v>0.99</v>
      </c>
      <c r="O197" s="108" t="n">
        <v>0.96</v>
      </c>
    </row>
    <row r="198" customFormat="false" ht="12.75" hidden="false" customHeight="false" outlineLevel="0" collapsed="false">
      <c r="A198" s="158" t="n">
        <v>42705</v>
      </c>
      <c r="B198" s="108" t="n">
        <v>0.999</v>
      </c>
      <c r="C198" s="108" t="n">
        <v>0.999</v>
      </c>
      <c r="D198" s="108" t="n">
        <v>0.995</v>
      </c>
      <c r="E198" s="108" t="n">
        <v>0.96</v>
      </c>
      <c r="F198" s="108" t="n">
        <v>0.96</v>
      </c>
      <c r="G198" s="108" t="n">
        <v>0.9306</v>
      </c>
      <c r="H198" s="108" t="n">
        <v>0.99</v>
      </c>
      <c r="I198" s="108" t="n">
        <v>0.9306</v>
      </c>
      <c r="J198" s="108" t="n">
        <v>0.995</v>
      </c>
      <c r="K198" s="108" t="n">
        <v>0.98</v>
      </c>
      <c r="L198" s="108" t="n">
        <v>0.99</v>
      </c>
      <c r="M198" s="108" t="n">
        <v>1.005</v>
      </c>
      <c r="N198" s="108" t="n">
        <v>0.99</v>
      </c>
      <c r="O198" s="108" t="n">
        <v>0.96</v>
      </c>
    </row>
    <row r="199" customFormat="false" ht="12.75" hidden="false" customHeight="false" outlineLevel="0" collapsed="false">
      <c r="A199" s="158" t="n">
        <v>42736</v>
      </c>
      <c r="B199" s="108" t="n">
        <v>0.999</v>
      </c>
      <c r="C199" s="108" t="n">
        <v>0.999</v>
      </c>
      <c r="D199" s="108" t="n">
        <v>0.995</v>
      </c>
      <c r="E199" s="108" t="n">
        <v>0.96</v>
      </c>
      <c r="F199" s="108" t="n">
        <v>0.96</v>
      </c>
      <c r="G199" s="108" t="n">
        <v>0.9306</v>
      </c>
      <c r="H199" s="108" t="n">
        <v>0.99</v>
      </c>
      <c r="I199" s="108" t="n">
        <v>0.9306</v>
      </c>
      <c r="J199" s="108" t="n">
        <v>0.995</v>
      </c>
      <c r="K199" s="108" t="n">
        <v>0.98</v>
      </c>
      <c r="L199" s="108" t="n">
        <v>0.99</v>
      </c>
      <c r="M199" s="108" t="n">
        <v>1.005</v>
      </c>
      <c r="N199" s="108" t="n">
        <v>0.99</v>
      </c>
      <c r="O199" s="108" t="n">
        <v>0.96</v>
      </c>
    </row>
    <row r="200" customFormat="false" ht="12.75" hidden="false" customHeight="false" outlineLevel="0" collapsed="false">
      <c r="A200" s="158" t="n">
        <v>42767</v>
      </c>
      <c r="B200" s="108" t="n">
        <v>0.999</v>
      </c>
      <c r="C200" s="108" t="n">
        <v>0.999</v>
      </c>
      <c r="D200" s="108" t="n">
        <v>0.995</v>
      </c>
      <c r="E200" s="108" t="n">
        <v>0.96</v>
      </c>
      <c r="F200" s="108" t="n">
        <v>0.96</v>
      </c>
      <c r="G200" s="108" t="n">
        <v>0.9306</v>
      </c>
      <c r="H200" s="108" t="n">
        <v>0.99</v>
      </c>
      <c r="I200" s="108" t="n">
        <v>0.9306</v>
      </c>
      <c r="J200" s="108" t="n">
        <v>0.995</v>
      </c>
      <c r="K200" s="108" t="n">
        <v>0.98</v>
      </c>
      <c r="L200" s="108" t="n">
        <v>0.99</v>
      </c>
      <c r="M200" s="108" t="n">
        <v>1.005</v>
      </c>
      <c r="N200" s="108" t="n">
        <v>0.99</v>
      </c>
      <c r="O200" s="108" t="n">
        <v>0.96</v>
      </c>
    </row>
    <row r="201" customFormat="false" ht="12.75" hidden="false" customHeight="false" outlineLevel="0" collapsed="false">
      <c r="A201" s="158" t="n">
        <v>42795</v>
      </c>
      <c r="B201" s="108" t="n">
        <v>0.999</v>
      </c>
      <c r="C201" s="108" t="n">
        <v>0.999</v>
      </c>
      <c r="D201" s="108" t="n">
        <v>0.995</v>
      </c>
      <c r="E201" s="108" t="n">
        <v>0.96</v>
      </c>
      <c r="F201" s="108" t="n">
        <v>0.96</v>
      </c>
      <c r="G201" s="108" t="n">
        <v>0.9306</v>
      </c>
      <c r="H201" s="108" t="n">
        <v>0.99</v>
      </c>
      <c r="I201" s="108" t="n">
        <v>0.9306</v>
      </c>
      <c r="J201" s="108" t="n">
        <v>0.995</v>
      </c>
      <c r="K201" s="108" t="n">
        <v>0.98</v>
      </c>
      <c r="L201" s="108" t="n">
        <v>0.99</v>
      </c>
      <c r="M201" s="108" t="n">
        <v>1.005</v>
      </c>
      <c r="N201" s="108" t="n">
        <v>0.99</v>
      </c>
      <c r="O201" s="108" t="n">
        <v>0.96</v>
      </c>
    </row>
    <row r="202" customFormat="false" ht="12.75" hidden="false" customHeight="false" outlineLevel="0" collapsed="false">
      <c r="A202" s="158" t="n">
        <v>42826</v>
      </c>
      <c r="B202" s="108" t="n">
        <v>0.999</v>
      </c>
      <c r="C202" s="108" t="n">
        <v>0.999</v>
      </c>
      <c r="D202" s="108" t="n">
        <v>0.995</v>
      </c>
      <c r="E202" s="108" t="n">
        <v>0.96</v>
      </c>
      <c r="F202" s="108" t="n">
        <v>0.96</v>
      </c>
      <c r="G202" s="108" t="n">
        <v>0.9306</v>
      </c>
      <c r="H202" s="108" t="n">
        <v>0.99</v>
      </c>
      <c r="I202" s="108" t="n">
        <v>0.9306</v>
      </c>
      <c r="J202" s="108" t="n">
        <v>0.995</v>
      </c>
      <c r="K202" s="108" t="n">
        <v>0.98</v>
      </c>
      <c r="L202" s="108" t="n">
        <v>0.99</v>
      </c>
      <c r="M202" s="108" t="n">
        <v>1.005</v>
      </c>
      <c r="N202" s="108" t="n">
        <v>0.99</v>
      </c>
      <c r="O202" s="108" t="n">
        <v>0.96</v>
      </c>
    </row>
    <row r="203" customFormat="false" ht="12.75" hidden="false" customHeight="false" outlineLevel="0" collapsed="false">
      <c r="A203" s="158" t="n">
        <v>42856</v>
      </c>
      <c r="B203" s="108" t="n">
        <v>0.999</v>
      </c>
      <c r="C203" s="108" t="n">
        <v>0.999</v>
      </c>
      <c r="D203" s="108" t="n">
        <v>0.995</v>
      </c>
      <c r="E203" s="108" t="n">
        <v>0.96</v>
      </c>
      <c r="F203" s="108" t="n">
        <v>0.96</v>
      </c>
      <c r="G203" s="108" t="n">
        <v>0.9306</v>
      </c>
      <c r="H203" s="108" t="n">
        <v>0.99</v>
      </c>
      <c r="I203" s="108" t="n">
        <v>0.9306</v>
      </c>
      <c r="J203" s="108" t="n">
        <v>0.995</v>
      </c>
      <c r="K203" s="108" t="n">
        <v>0.98</v>
      </c>
      <c r="L203" s="108" t="n">
        <v>0.99</v>
      </c>
      <c r="M203" s="108" t="n">
        <v>1.005</v>
      </c>
      <c r="N203" s="108" t="n">
        <v>0.99</v>
      </c>
      <c r="O203" s="108" t="n">
        <v>0.96</v>
      </c>
    </row>
    <row r="204" customFormat="false" ht="12.75" hidden="false" customHeight="false" outlineLevel="0" collapsed="false">
      <c r="A204" s="158" t="n">
        <v>42887</v>
      </c>
      <c r="B204" s="108" t="n">
        <v>0.999</v>
      </c>
      <c r="C204" s="108" t="n">
        <v>0.999</v>
      </c>
      <c r="D204" s="108" t="n">
        <v>0.995</v>
      </c>
      <c r="E204" s="108" t="n">
        <v>0.96</v>
      </c>
      <c r="F204" s="108" t="n">
        <v>0.96</v>
      </c>
      <c r="G204" s="108" t="n">
        <v>0.9306</v>
      </c>
      <c r="H204" s="108" t="n">
        <v>0.99</v>
      </c>
      <c r="I204" s="108" t="n">
        <v>0.9306</v>
      </c>
      <c r="J204" s="108" t="n">
        <v>0.995</v>
      </c>
      <c r="K204" s="108" t="n">
        <v>0.98</v>
      </c>
      <c r="L204" s="108" t="n">
        <v>0.99</v>
      </c>
      <c r="M204" s="108" t="n">
        <v>1.005</v>
      </c>
      <c r="N204" s="108" t="n">
        <v>0.99</v>
      </c>
      <c r="O204" s="108" t="n">
        <v>0.96</v>
      </c>
    </row>
    <row r="205" customFormat="false" ht="12.75" hidden="false" customHeight="false" outlineLevel="0" collapsed="false">
      <c r="A205" s="158" t="n">
        <v>42917</v>
      </c>
      <c r="B205" s="108" t="n">
        <v>0.999</v>
      </c>
      <c r="C205" s="108" t="n">
        <v>0.999</v>
      </c>
      <c r="D205" s="108" t="n">
        <v>0.995</v>
      </c>
      <c r="E205" s="108" t="n">
        <v>0.96</v>
      </c>
      <c r="F205" s="108" t="n">
        <v>0.96</v>
      </c>
      <c r="G205" s="108" t="n">
        <v>0.9306</v>
      </c>
      <c r="H205" s="108" t="n">
        <v>0.99</v>
      </c>
      <c r="I205" s="108" t="n">
        <v>0.9306</v>
      </c>
      <c r="J205" s="108" t="n">
        <v>0.995</v>
      </c>
      <c r="K205" s="108" t="n">
        <v>0.98</v>
      </c>
      <c r="L205" s="108" t="n">
        <v>0.99</v>
      </c>
      <c r="M205" s="108" t="n">
        <v>1.005</v>
      </c>
      <c r="N205" s="108" t="n">
        <v>0.99</v>
      </c>
      <c r="O205" s="108" t="n">
        <v>0.96</v>
      </c>
    </row>
    <row r="206" customFormat="false" ht="12.75" hidden="false" customHeight="false" outlineLevel="0" collapsed="false">
      <c r="A206" s="158" t="n">
        <v>42948</v>
      </c>
      <c r="B206" s="108" t="n">
        <v>0.999</v>
      </c>
      <c r="C206" s="108" t="n">
        <v>0.999</v>
      </c>
      <c r="D206" s="108" t="n">
        <v>0.995</v>
      </c>
      <c r="E206" s="108" t="n">
        <v>0.96</v>
      </c>
      <c r="F206" s="108" t="n">
        <v>0.96</v>
      </c>
      <c r="G206" s="108" t="n">
        <v>0.9306</v>
      </c>
      <c r="H206" s="108" t="n">
        <v>0.99</v>
      </c>
      <c r="I206" s="108" t="n">
        <v>0.9306</v>
      </c>
      <c r="J206" s="108" t="n">
        <v>0.995</v>
      </c>
      <c r="K206" s="108" t="n">
        <v>0.98</v>
      </c>
      <c r="L206" s="108" t="n">
        <v>0.99</v>
      </c>
      <c r="M206" s="108" t="n">
        <v>1.005</v>
      </c>
      <c r="N206" s="108" t="n">
        <v>0.99</v>
      </c>
      <c r="O206" s="108" t="n">
        <v>0.96</v>
      </c>
    </row>
    <row r="207" customFormat="false" ht="12.75" hidden="false" customHeight="false" outlineLevel="0" collapsed="false">
      <c r="A207" s="158" t="n">
        <v>42979</v>
      </c>
      <c r="B207" s="108" t="n">
        <v>0.999</v>
      </c>
      <c r="C207" s="108" t="n">
        <v>0.999</v>
      </c>
      <c r="D207" s="108" t="n">
        <v>0.995</v>
      </c>
      <c r="E207" s="108" t="n">
        <v>0.96</v>
      </c>
      <c r="F207" s="108" t="n">
        <v>0.96</v>
      </c>
      <c r="G207" s="108" t="n">
        <v>0.9306</v>
      </c>
      <c r="H207" s="108" t="n">
        <v>0.99</v>
      </c>
      <c r="I207" s="108" t="n">
        <v>0.9306</v>
      </c>
      <c r="J207" s="108" t="n">
        <v>0.995</v>
      </c>
      <c r="K207" s="108" t="n">
        <v>0.98</v>
      </c>
      <c r="L207" s="108" t="n">
        <v>0.99</v>
      </c>
      <c r="M207" s="108" t="n">
        <v>1.005</v>
      </c>
      <c r="N207" s="108" t="n">
        <v>0.99</v>
      </c>
      <c r="O207" s="108" t="n">
        <v>0.96</v>
      </c>
    </row>
    <row r="208" customFormat="false" ht="12.75" hidden="false" customHeight="false" outlineLevel="0" collapsed="false">
      <c r="A208" s="158" t="n">
        <v>43009</v>
      </c>
      <c r="B208" s="108" t="n">
        <v>0.999</v>
      </c>
      <c r="C208" s="108" t="n">
        <v>0.999</v>
      </c>
      <c r="D208" s="108" t="n">
        <v>0.995</v>
      </c>
      <c r="E208" s="108" t="n">
        <v>0.96</v>
      </c>
      <c r="F208" s="108" t="n">
        <v>0.96</v>
      </c>
      <c r="G208" s="108" t="n">
        <v>0.9306</v>
      </c>
      <c r="H208" s="108" t="n">
        <v>0.99</v>
      </c>
      <c r="I208" s="108" t="n">
        <v>0.9306</v>
      </c>
      <c r="J208" s="108" t="n">
        <v>0.995</v>
      </c>
      <c r="K208" s="108" t="n">
        <v>0.98</v>
      </c>
      <c r="L208" s="108" t="n">
        <v>0.99</v>
      </c>
      <c r="M208" s="108" t="n">
        <v>1.005</v>
      </c>
      <c r="N208" s="108" t="n">
        <v>0.99</v>
      </c>
      <c r="O208" s="108" t="n">
        <v>0.96</v>
      </c>
    </row>
    <row r="209" customFormat="false" ht="12.75" hidden="false" customHeight="false" outlineLevel="0" collapsed="false">
      <c r="A209" s="158" t="n">
        <v>43040</v>
      </c>
      <c r="B209" s="108" t="n">
        <v>0.999</v>
      </c>
      <c r="C209" s="108" t="n">
        <v>0.999</v>
      </c>
      <c r="D209" s="108" t="n">
        <v>0.995</v>
      </c>
      <c r="E209" s="108" t="n">
        <v>0.96</v>
      </c>
      <c r="F209" s="108" t="n">
        <v>0.96</v>
      </c>
      <c r="G209" s="108" t="n">
        <v>0.9306</v>
      </c>
      <c r="H209" s="108" t="n">
        <v>0.99</v>
      </c>
      <c r="I209" s="108" t="n">
        <v>0.9306</v>
      </c>
      <c r="J209" s="108" t="n">
        <v>0.995</v>
      </c>
      <c r="K209" s="108" t="n">
        <v>0.98</v>
      </c>
      <c r="L209" s="108" t="n">
        <v>0.99</v>
      </c>
      <c r="M209" s="108" t="n">
        <v>1.005</v>
      </c>
      <c r="N209" s="108" t="n">
        <v>0.99</v>
      </c>
      <c r="O209" s="108" t="n">
        <v>0.96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2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F3" activePane="bottomRight" state="frozen"/>
      <selection pane="topLeft" activeCell="A1" activeCellId="0" sqref="A1"/>
      <selection pane="topRight" activeCell="F1" activeCellId="0" sqref="F1"/>
      <selection pane="bottomLeft" activeCell="A3" activeCellId="0" sqref="A3"/>
      <selection pane="bottomRight" activeCell="G17" activeCellId="0" sqref="G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58" width="9.14"/>
    <col collapsed="false" customWidth="true" hidden="false" outlineLevel="0" max="8" min="2" style="108" width="15.7"/>
    <col collapsed="false" customWidth="true" hidden="false" outlineLevel="0" max="10" min="9" style="159" width="9.14"/>
  </cols>
  <sheetData>
    <row r="1" customFormat="false" ht="14.25" hidden="false" customHeight="false" outlineLevel="0" collapsed="false">
      <c r="A1" s="158" t="s">
        <v>196</v>
      </c>
      <c r="B1" s="160" t="s">
        <v>93</v>
      </c>
      <c r="C1" s="161" t="s">
        <v>31</v>
      </c>
      <c r="D1" s="162" t="s">
        <v>47</v>
      </c>
      <c r="E1" s="162" t="s">
        <v>37</v>
      </c>
      <c r="F1" s="162" t="s">
        <v>100</v>
      </c>
      <c r="G1" s="162" t="s">
        <v>52</v>
      </c>
      <c r="H1" s="162" t="s">
        <v>38</v>
      </c>
      <c r="I1" s="162" t="s">
        <v>35</v>
      </c>
      <c r="J1" s="162" t="s">
        <v>67</v>
      </c>
      <c r="K1" s="162" t="s">
        <v>75</v>
      </c>
      <c r="L1" s="163" t="s">
        <v>117</v>
      </c>
      <c r="M1" s="163" t="s">
        <v>58</v>
      </c>
      <c r="N1" s="164" t="s">
        <v>87</v>
      </c>
      <c r="O1" s="164" t="s">
        <v>69</v>
      </c>
    </row>
    <row r="2" customFormat="false" ht="12.75" hidden="false" customHeight="false" outlineLevel="0" collapsed="false">
      <c r="B2" s="165" t="n">
        <v>2</v>
      </c>
      <c r="C2" s="165" t="n">
        <f aca="false">B2+1</f>
        <v>3</v>
      </c>
      <c r="D2" s="165" t="n">
        <f aca="false">C2+1</f>
        <v>4</v>
      </c>
      <c r="E2" s="165" t="n">
        <f aca="false">D2+1</f>
        <v>5</v>
      </c>
      <c r="F2" s="165" t="n">
        <f aca="false">E2+1</f>
        <v>6</v>
      </c>
      <c r="G2" s="165" t="n">
        <f aca="false">F2+1</f>
        <v>7</v>
      </c>
      <c r="H2" s="165" t="n">
        <f aca="false">G2+1</f>
        <v>8</v>
      </c>
      <c r="I2" s="165" t="n">
        <f aca="false">H2+1</f>
        <v>9</v>
      </c>
      <c r="J2" s="165" t="n">
        <f aca="false">I2+1</f>
        <v>10</v>
      </c>
      <c r="K2" s="165" t="n">
        <f aca="false">J2+1</f>
        <v>11</v>
      </c>
      <c r="L2" s="165" t="n">
        <f aca="false">K2+1</f>
        <v>12</v>
      </c>
      <c r="M2" s="165" t="n">
        <f aca="false">L2+1</f>
        <v>13</v>
      </c>
      <c r="N2" s="165" t="n">
        <f aca="false">M2+1</f>
        <v>14</v>
      </c>
      <c r="O2" s="165" t="n">
        <f aca="false">N2+1</f>
        <v>15</v>
      </c>
    </row>
    <row r="3" customFormat="false" ht="12.75" hidden="false" customHeight="false" outlineLevel="0" collapsed="false">
      <c r="A3" s="158" t="n">
        <v>36770</v>
      </c>
      <c r="B3" s="108" t="n">
        <f aca="false">'CORE DWNLD'!B3+'CORE DELTA'!B3</f>
        <v>0.998309156840132</v>
      </c>
      <c r="C3" s="108" t="n">
        <f aca="false">'CORE DWNLD'!C3+'CORE DELTA'!C3</f>
        <v>0.998309156840132</v>
      </c>
      <c r="D3" s="108" t="n">
        <f aca="false">'CORE DWNLD'!D3+'CORE DELTA'!D3</f>
        <v>0.995</v>
      </c>
      <c r="E3" s="108" t="n">
        <f aca="false">'CORE DWNLD'!E3+'CORE DELTA'!E3</f>
        <v>0.84</v>
      </c>
      <c r="F3" s="108" t="n">
        <f aca="false">'CORE DWNLD'!F3+'CORE DELTA'!F3</f>
        <v>0.84</v>
      </c>
      <c r="G3" s="108" t="n">
        <f aca="false">'CORE DWNLD'!G3+'CORE DELTA'!G3</f>
        <v>0.994071440191916</v>
      </c>
      <c r="H3" s="108" t="n">
        <f aca="false">'CORE DWNLD'!H3+'CORE DELTA'!H3</f>
        <v>0.995</v>
      </c>
      <c r="I3" s="108" t="n">
        <f aca="false">'CORE DWNLD'!I3+'CORE DELTA'!I3</f>
        <v>0.9925</v>
      </c>
      <c r="J3" s="108" t="n">
        <f aca="false">'CORE DWNLD'!J3+'CORE DELTA'!J3</f>
        <v>0.9975</v>
      </c>
      <c r="K3" s="108" t="n">
        <f aca="false">'CORE DWNLD'!K3+'CORE DELTA'!K3</f>
        <v>0.83</v>
      </c>
      <c r="L3" s="108" t="n">
        <f aca="false">'CORE DWNLD'!L3+'CORE DELTA'!L3</f>
        <v>0.9925</v>
      </c>
      <c r="M3" s="108" t="n">
        <f aca="false">'CORE DWNLD'!M3+'CORE DELTA'!M3</f>
        <v>1.005</v>
      </c>
      <c r="N3" s="108" t="n">
        <f aca="false">'CORE DWNLD'!N3+'CORE DELTA'!N3</f>
        <v>0.99</v>
      </c>
      <c r="O3" s="108" t="n">
        <f aca="false">'CORE DWNLD'!O3+'CORE DELTA'!O3</f>
        <v>0</v>
      </c>
    </row>
    <row r="4" customFormat="false" ht="12.75" hidden="false" customHeight="false" outlineLevel="0" collapsed="false">
      <c r="A4" s="158" t="n">
        <v>36800</v>
      </c>
      <c r="B4" s="108" t="n">
        <f aca="false">'CORE DWNLD'!B4+'CORE DELTA'!B4</f>
        <v>0.999</v>
      </c>
      <c r="C4" s="108" t="n">
        <f aca="false">'CORE DWNLD'!C4+'CORE DELTA'!C4</f>
        <v>0.999</v>
      </c>
      <c r="D4" s="108" t="n">
        <f aca="false">'CORE DWNLD'!D4+'CORE DELTA'!D4</f>
        <v>0.995</v>
      </c>
      <c r="E4" s="108" t="n">
        <f aca="false">'CORE DWNLD'!E4+'CORE DELTA'!E4</f>
        <v>0.84</v>
      </c>
      <c r="F4" s="108" t="n">
        <f aca="false">'CORE DWNLD'!F4+'CORE DELTA'!F4</f>
        <v>0.84</v>
      </c>
      <c r="G4" s="108" t="n">
        <f aca="false">'CORE DWNLD'!G4+'CORE DELTA'!G4</f>
        <v>0.994071440191916</v>
      </c>
      <c r="H4" s="108" t="n">
        <f aca="false">'CORE DWNLD'!H4+'CORE DELTA'!H4</f>
        <v>0.995</v>
      </c>
      <c r="I4" s="108" t="n">
        <f aca="false">'CORE DWNLD'!I4+'CORE DELTA'!I4</f>
        <v>0.9925</v>
      </c>
      <c r="J4" s="108" t="n">
        <f aca="false">'CORE DWNLD'!J4+'CORE DELTA'!J4</f>
        <v>0.9975</v>
      </c>
      <c r="K4" s="108" t="n">
        <f aca="false">'CORE DWNLD'!K4+'CORE DELTA'!K4</f>
        <v>0.73</v>
      </c>
      <c r="L4" s="108" t="n">
        <f aca="false">'CORE DWNLD'!L4+'CORE DELTA'!L4</f>
        <v>0.9925</v>
      </c>
      <c r="M4" s="108" t="n">
        <f aca="false">'CORE DWNLD'!M4+'CORE DELTA'!M4</f>
        <v>1.005</v>
      </c>
      <c r="N4" s="108" t="n">
        <f aca="false">'CORE DWNLD'!N4+'CORE DELTA'!N4</f>
        <v>0.99</v>
      </c>
      <c r="O4" s="108" t="n">
        <f aca="false">'CORE DWNLD'!O4+'CORE DELTA'!O4</f>
        <v>0.84</v>
      </c>
    </row>
    <row r="5" customFormat="false" ht="12.75" hidden="false" customHeight="false" outlineLevel="0" collapsed="false">
      <c r="A5" s="158" t="n">
        <v>36831</v>
      </c>
      <c r="B5" s="108" t="n">
        <f aca="false">'CORE DWNLD'!B5+'CORE DELTA'!B5</f>
        <v>0.999</v>
      </c>
      <c r="C5" s="108" t="n">
        <f aca="false">'CORE DWNLD'!C5+'CORE DELTA'!C5</f>
        <v>0.999</v>
      </c>
      <c r="D5" s="108" t="n">
        <f aca="false">'CORE DWNLD'!D5+'CORE DELTA'!D5</f>
        <v>0.995</v>
      </c>
      <c r="E5" s="108" t="n">
        <f aca="false">'CORE DWNLD'!E5+'CORE DELTA'!E5</f>
        <v>0.96</v>
      </c>
      <c r="F5" s="108" t="n">
        <f aca="false">'CORE DWNLD'!F5+'CORE DELTA'!F5</f>
        <v>0.91</v>
      </c>
      <c r="G5" s="108" t="n">
        <f aca="false">'CORE DWNLD'!G5+'CORE DELTA'!G5</f>
        <v>0.9985</v>
      </c>
      <c r="H5" s="108" t="n">
        <f aca="false">'CORE DWNLD'!H5+'CORE DELTA'!H5</f>
        <v>0.99</v>
      </c>
      <c r="I5" s="108" t="n">
        <f aca="false">'CORE DWNLD'!I5+'CORE DELTA'!I5</f>
        <v>0.86</v>
      </c>
      <c r="J5" s="108" t="n">
        <f aca="false">'CORE DWNLD'!J5+'CORE DELTA'!J5</f>
        <v>0.9985</v>
      </c>
      <c r="K5" s="108" t="n">
        <f aca="false">'CORE DWNLD'!K5+'CORE DELTA'!K5</f>
        <v>0.75</v>
      </c>
      <c r="L5" s="108" t="n">
        <f aca="false">'CORE DWNLD'!L5+'CORE DELTA'!L5</f>
        <v>0.99</v>
      </c>
      <c r="M5" s="108" t="n">
        <f aca="false">'CORE DWNLD'!M5+'CORE DELTA'!M5</f>
        <v>0.995</v>
      </c>
      <c r="N5" s="108" t="n">
        <f aca="false">'CORE DWNLD'!N5+'CORE DELTA'!N5</f>
        <v>0.995</v>
      </c>
      <c r="O5" s="108" t="n">
        <f aca="false">'CORE DWNLD'!O5+'CORE DELTA'!O5</f>
        <v>0.96</v>
      </c>
    </row>
    <row r="6" customFormat="false" ht="12.75" hidden="false" customHeight="false" outlineLevel="0" collapsed="false">
      <c r="A6" s="158" t="n">
        <v>36861</v>
      </c>
      <c r="B6" s="108" t="n">
        <f aca="false">'CORE DWNLD'!B6+'CORE DELTA'!B6</f>
        <v>0.999</v>
      </c>
      <c r="C6" s="108" t="n">
        <f aca="false">'CORE DWNLD'!C6+'CORE DELTA'!C6</f>
        <v>0.999</v>
      </c>
      <c r="D6" s="108" t="n">
        <f aca="false">'CORE DWNLD'!D6+'CORE DELTA'!D6</f>
        <v>0.995</v>
      </c>
      <c r="E6" s="108" t="n">
        <f aca="false">'CORE DWNLD'!E6+'CORE DELTA'!E6</f>
        <v>0.96</v>
      </c>
      <c r="F6" s="108" t="n">
        <f aca="false">'CORE DWNLD'!F6+'CORE DELTA'!F6</f>
        <v>0.91</v>
      </c>
      <c r="G6" s="108" t="n">
        <f aca="false">'CORE DWNLD'!G6+'CORE DELTA'!G6</f>
        <v>0.9985</v>
      </c>
      <c r="H6" s="108" t="n">
        <f aca="false">'CORE DWNLD'!H6+'CORE DELTA'!H6</f>
        <v>0.99</v>
      </c>
      <c r="I6" s="108" t="n">
        <f aca="false">'CORE DWNLD'!I6+'CORE DELTA'!I6</f>
        <v>0.74</v>
      </c>
      <c r="J6" s="108" t="n">
        <f aca="false">'CORE DWNLD'!J6+'CORE DELTA'!J6</f>
        <v>0.9985</v>
      </c>
      <c r="K6" s="108" t="n">
        <f aca="false">'CORE DWNLD'!K6+'CORE DELTA'!K6</f>
        <v>0.75</v>
      </c>
      <c r="L6" s="108" t="n">
        <f aca="false">'CORE DWNLD'!L6+'CORE DELTA'!L6</f>
        <v>0.99</v>
      </c>
      <c r="M6" s="108" t="n">
        <f aca="false">'CORE DWNLD'!M6+'CORE DELTA'!M6</f>
        <v>0.995</v>
      </c>
      <c r="N6" s="108" t="n">
        <f aca="false">'CORE DWNLD'!N6+'CORE DELTA'!N6</f>
        <v>0.995</v>
      </c>
      <c r="O6" s="108" t="n">
        <f aca="false">'CORE DWNLD'!O6+'CORE DELTA'!O6</f>
        <v>0.96</v>
      </c>
    </row>
    <row r="7" customFormat="false" ht="12.75" hidden="false" customHeight="false" outlineLevel="0" collapsed="false">
      <c r="A7" s="158" t="n">
        <v>36892</v>
      </c>
      <c r="B7" s="108" t="n">
        <f aca="false">'CORE DWNLD'!B7+'CORE DELTA'!B7</f>
        <v>0.999</v>
      </c>
      <c r="C7" s="108" t="n">
        <f aca="false">'CORE DWNLD'!C7+'CORE DELTA'!C7</f>
        <v>0.999</v>
      </c>
      <c r="D7" s="108" t="n">
        <f aca="false">'CORE DWNLD'!D7+'CORE DELTA'!D7</f>
        <v>0.995</v>
      </c>
      <c r="E7" s="108" t="n">
        <f aca="false">'CORE DWNLD'!E7+'CORE DELTA'!E7</f>
        <v>0.96</v>
      </c>
      <c r="F7" s="108" t="n">
        <f aca="false">'CORE DWNLD'!F7+'CORE DELTA'!F7</f>
        <v>0.91</v>
      </c>
      <c r="G7" s="108" t="n">
        <f aca="false">'CORE DWNLD'!G7+'CORE DELTA'!G7</f>
        <v>0.9985</v>
      </c>
      <c r="H7" s="108" t="n">
        <f aca="false">'CORE DWNLD'!H7+'CORE DELTA'!H7</f>
        <v>0.99</v>
      </c>
      <c r="I7" s="108" t="n">
        <f aca="false">'CORE DWNLD'!I7+'CORE DELTA'!I7</f>
        <v>0.74</v>
      </c>
      <c r="J7" s="108" t="n">
        <f aca="false">'CORE DWNLD'!J7+'CORE DELTA'!J7</f>
        <v>0.9985</v>
      </c>
      <c r="K7" s="108" t="n">
        <f aca="false">'CORE DWNLD'!K7+'CORE DELTA'!K7</f>
        <v>0.75</v>
      </c>
      <c r="L7" s="108" t="n">
        <f aca="false">'CORE DWNLD'!L7+'CORE DELTA'!L7</f>
        <v>0.99</v>
      </c>
      <c r="M7" s="108" t="n">
        <f aca="false">'CORE DWNLD'!M7+'CORE DELTA'!M7</f>
        <v>0.995</v>
      </c>
      <c r="N7" s="108" t="n">
        <f aca="false">'CORE DWNLD'!N7+'CORE DELTA'!N7</f>
        <v>0.995</v>
      </c>
      <c r="O7" s="108" t="n">
        <f aca="false">'CORE DWNLD'!O7+'CORE DELTA'!O7</f>
        <v>0.96</v>
      </c>
    </row>
    <row r="8" customFormat="false" ht="12.75" hidden="false" customHeight="false" outlineLevel="0" collapsed="false">
      <c r="A8" s="158" t="n">
        <v>36923</v>
      </c>
      <c r="B8" s="108" t="n">
        <f aca="false">'CORE DWNLD'!B8+'CORE DELTA'!B8</f>
        <v>0.999</v>
      </c>
      <c r="C8" s="108" t="n">
        <f aca="false">'CORE DWNLD'!C8+'CORE DELTA'!C8</f>
        <v>0.999</v>
      </c>
      <c r="D8" s="108" t="n">
        <f aca="false">'CORE DWNLD'!D8+'CORE DELTA'!D8</f>
        <v>0.995</v>
      </c>
      <c r="E8" s="108" t="n">
        <f aca="false">'CORE DWNLD'!E8+'CORE DELTA'!E8</f>
        <v>0.96</v>
      </c>
      <c r="F8" s="108" t="n">
        <f aca="false">'CORE DWNLD'!F8+'CORE DELTA'!F8</f>
        <v>0.91</v>
      </c>
      <c r="G8" s="108" t="n">
        <f aca="false">'CORE DWNLD'!G8+'CORE DELTA'!G8</f>
        <v>0.9985</v>
      </c>
      <c r="H8" s="108" t="n">
        <f aca="false">'CORE DWNLD'!H8+'CORE DELTA'!H8</f>
        <v>0.99</v>
      </c>
      <c r="I8" s="108" t="n">
        <f aca="false">'CORE DWNLD'!I8+'CORE DELTA'!I8</f>
        <v>0.74</v>
      </c>
      <c r="J8" s="108" t="n">
        <f aca="false">'CORE DWNLD'!J8+'CORE DELTA'!J8</f>
        <v>0.9985</v>
      </c>
      <c r="K8" s="108" t="n">
        <f aca="false">'CORE DWNLD'!K8+'CORE DELTA'!K8</f>
        <v>0.75</v>
      </c>
      <c r="L8" s="108" t="n">
        <f aca="false">'CORE DWNLD'!L8+'CORE DELTA'!L8</f>
        <v>0.99</v>
      </c>
      <c r="M8" s="108" t="n">
        <f aca="false">'CORE DWNLD'!M8+'CORE DELTA'!M8</f>
        <v>0.995</v>
      </c>
      <c r="N8" s="108" t="n">
        <f aca="false">'CORE DWNLD'!N8+'CORE DELTA'!N8</f>
        <v>0.995</v>
      </c>
      <c r="O8" s="108" t="n">
        <f aca="false">'CORE DWNLD'!O8+'CORE DELTA'!O8</f>
        <v>0.96</v>
      </c>
    </row>
    <row r="9" customFormat="false" ht="12.75" hidden="false" customHeight="false" outlineLevel="0" collapsed="false">
      <c r="A9" s="158" t="n">
        <v>36951</v>
      </c>
      <c r="B9" s="108" t="n">
        <f aca="false">'CORE DWNLD'!B9+'CORE DELTA'!B9</f>
        <v>0.999</v>
      </c>
      <c r="C9" s="108" t="n">
        <f aca="false">'CORE DWNLD'!C9+'CORE DELTA'!C9</f>
        <v>0.999</v>
      </c>
      <c r="D9" s="108" t="n">
        <f aca="false">'CORE DWNLD'!D9+'CORE DELTA'!D9</f>
        <v>0.995</v>
      </c>
      <c r="E9" s="108" t="n">
        <f aca="false">'CORE DWNLD'!E9+'CORE DELTA'!E9</f>
        <v>0.96</v>
      </c>
      <c r="F9" s="108" t="n">
        <f aca="false">'CORE DWNLD'!F9+'CORE DELTA'!F9</f>
        <v>0.91</v>
      </c>
      <c r="G9" s="108" t="n">
        <f aca="false">'CORE DWNLD'!G9+'CORE DELTA'!G9</f>
        <v>0.9985</v>
      </c>
      <c r="H9" s="108" t="n">
        <f aca="false">'CORE DWNLD'!H9+'CORE DELTA'!H9</f>
        <v>0.99</v>
      </c>
      <c r="I9" s="108" t="n">
        <f aca="false">'CORE DWNLD'!I9+'CORE DELTA'!I9</f>
        <v>0.8</v>
      </c>
      <c r="J9" s="108" t="n">
        <f aca="false">'CORE DWNLD'!J9+'CORE DELTA'!J9</f>
        <v>0.9985</v>
      </c>
      <c r="K9" s="108" t="n">
        <f aca="false">'CORE DWNLD'!K9+'CORE DELTA'!K9</f>
        <v>0.75</v>
      </c>
      <c r="L9" s="108" t="n">
        <f aca="false">'CORE DWNLD'!L9+'CORE DELTA'!L9</f>
        <v>0.99</v>
      </c>
      <c r="M9" s="108" t="n">
        <f aca="false">'CORE DWNLD'!M9+'CORE DELTA'!M9</f>
        <v>0.995</v>
      </c>
      <c r="N9" s="108" t="n">
        <f aca="false">'CORE DWNLD'!N9+'CORE DELTA'!N9</f>
        <v>0.995</v>
      </c>
      <c r="O9" s="108" t="n">
        <f aca="false">'CORE DWNLD'!O9+'CORE DELTA'!O9</f>
        <v>0.96</v>
      </c>
    </row>
    <row r="10" customFormat="false" ht="12.75" hidden="false" customHeight="false" outlineLevel="0" collapsed="false">
      <c r="A10" s="158" t="n">
        <v>36982</v>
      </c>
      <c r="B10" s="108" t="n">
        <f aca="false">'CORE DWNLD'!B10+'CORE DELTA'!B10</f>
        <v>0.999</v>
      </c>
      <c r="C10" s="108" t="n">
        <f aca="false">'CORE DWNLD'!C10+'CORE DELTA'!C10</f>
        <v>0.999</v>
      </c>
      <c r="D10" s="108" t="n">
        <f aca="false">'CORE DWNLD'!D10+'CORE DELTA'!D10</f>
        <v>0.995</v>
      </c>
      <c r="E10" s="108" t="n">
        <f aca="false">'CORE DWNLD'!E10+'CORE DELTA'!E10</f>
        <v>0.96</v>
      </c>
      <c r="F10" s="108" t="n">
        <f aca="false">'CORE DWNLD'!F10+'CORE DELTA'!F10</f>
        <v>0.96</v>
      </c>
      <c r="G10" s="108" t="n">
        <f aca="false">'CORE DWNLD'!G10+'CORE DELTA'!G10</f>
        <v>0.994071440191916</v>
      </c>
      <c r="H10" s="108" t="n">
        <f aca="false">'CORE DWNLD'!H10+'CORE DELTA'!H10</f>
        <v>0.99</v>
      </c>
      <c r="I10" s="108" t="n">
        <f aca="false">'CORE DWNLD'!I10+'CORE DELTA'!I10</f>
        <v>0.9773</v>
      </c>
      <c r="J10" s="108" t="n">
        <f aca="false">'CORE DWNLD'!J10+'CORE DELTA'!J10</f>
        <v>0.995</v>
      </c>
      <c r="K10" s="108" t="n">
        <f aca="false">'CORE DWNLD'!K10+'CORE DELTA'!K10</f>
        <v>0.85</v>
      </c>
      <c r="L10" s="108" t="n">
        <f aca="false">'CORE DWNLD'!L10+'CORE DELTA'!L10</f>
        <v>0.99</v>
      </c>
      <c r="M10" s="108" t="n">
        <f aca="false">'CORE DWNLD'!M10+'CORE DELTA'!M10</f>
        <v>1.005</v>
      </c>
      <c r="N10" s="108" t="n">
        <f aca="false">'CORE DWNLD'!N10+'CORE DELTA'!N10</f>
        <v>0.99</v>
      </c>
      <c r="O10" s="108" t="n">
        <f aca="false">'CORE DWNLD'!O10+'CORE DELTA'!O10</f>
        <v>0.96</v>
      </c>
    </row>
    <row r="11" customFormat="false" ht="12.75" hidden="false" customHeight="false" outlineLevel="0" collapsed="false">
      <c r="A11" s="158" t="n">
        <v>37012</v>
      </c>
      <c r="B11" s="108" t="n">
        <f aca="false">'CORE DWNLD'!B11+'CORE DELTA'!B11</f>
        <v>0.999</v>
      </c>
      <c r="C11" s="108" t="n">
        <f aca="false">'CORE DWNLD'!C11+'CORE DELTA'!C11</f>
        <v>0.999</v>
      </c>
      <c r="D11" s="108" t="n">
        <f aca="false">'CORE DWNLD'!D11+'CORE DELTA'!D11</f>
        <v>0.995</v>
      </c>
      <c r="E11" s="108" t="n">
        <f aca="false">'CORE DWNLD'!E11+'CORE DELTA'!E11</f>
        <v>0.96</v>
      </c>
      <c r="F11" s="108" t="n">
        <f aca="false">'CORE DWNLD'!F11+'CORE DELTA'!F11</f>
        <v>0.96</v>
      </c>
      <c r="G11" s="108" t="n">
        <f aca="false">'CORE DWNLD'!G11+'CORE DELTA'!G11</f>
        <v>0.994071440191916</v>
      </c>
      <c r="H11" s="108" t="n">
        <f aca="false">'CORE DWNLD'!H11+'CORE DELTA'!H11</f>
        <v>0.99</v>
      </c>
      <c r="I11" s="108" t="n">
        <f aca="false">'CORE DWNLD'!I11+'CORE DELTA'!I11</f>
        <v>0.9773</v>
      </c>
      <c r="J11" s="108" t="n">
        <f aca="false">'CORE DWNLD'!J11+'CORE DELTA'!J11</f>
        <v>0.995</v>
      </c>
      <c r="K11" s="108" t="n">
        <f aca="false">'CORE DWNLD'!K11+'CORE DELTA'!K11</f>
        <v>0.85</v>
      </c>
      <c r="L11" s="108" t="n">
        <f aca="false">'CORE DWNLD'!L11+'CORE DELTA'!L11</f>
        <v>0.99</v>
      </c>
      <c r="M11" s="108" t="n">
        <f aca="false">'CORE DWNLD'!M11+'CORE DELTA'!M11</f>
        <v>1.005</v>
      </c>
      <c r="N11" s="108" t="n">
        <f aca="false">'CORE DWNLD'!N11+'CORE DELTA'!N11</f>
        <v>0.99</v>
      </c>
      <c r="O11" s="108" t="n">
        <f aca="false">'CORE DWNLD'!O11+'CORE DELTA'!O11</f>
        <v>0.96</v>
      </c>
    </row>
    <row r="12" customFormat="false" ht="12.75" hidden="false" customHeight="false" outlineLevel="0" collapsed="false">
      <c r="A12" s="158" t="n">
        <v>37043</v>
      </c>
      <c r="B12" s="108" t="n">
        <f aca="false">'CORE DWNLD'!B12+'CORE DELTA'!B12</f>
        <v>0.999</v>
      </c>
      <c r="C12" s="108" t="n">
        <f aca="false">'CORE DWNLD'!C12+'CORE DELTA'!C12</f>
        <v>0.999</v>
      </c>
      <c r="D12" s="108" t="n">
        <f aca="false">'CORE DWNLD'!D12+'CORE DELTA'!D12</f>
        <v>0.995</v>
      </c>
      <c r="E12" s="108" t="n">
        <f aca="false">'CORE DWNLD'!E12+'CORE DELTA'!E12</f>
        <v>0.96</v>
      </c>
      <c r="F12" s="108" t="n">
        <f aca="false">'CORE DWNLD'!F12+'CORE DELTA'!F12</f>
        <v>0.96</v>
      </c>
      <c r="G12" s="108" t="n">
        <f aca="false">'CORE DWNLD'!G12+'CORE DELTA'!G12</f>
        <v>0.994071440191916</v>
      </c>
      <c r="H12" s="108" t="n">
        <f aca="false">'CORE DWNLD'!H12+'CORE DELTA'!H12</f>
        <v>0.99</v>
      </c>
      <c r="I12" s="108" t="n">
        <f aca="false">'CORE DWNLD'!I12+'CORE DELTA'!I12</f>
        <v>0.9773</v>
      </c>
      <c r="J12" s="108" t="n">
        <f aca="false">'CORE DWNLD'!J12+'CORE DELTA'!J12</f>
        <v>0.995</v>
      </c>
      <c r="K12" s="108" t="n">
        <f aca="false">'CORE DWNLD'!K12+'CORE DELTA'!K12</f>
        <v>0.85</v>
      </c>
      <c r="L12" s="108" t="n">
        <f aca="false">'CORE DWNLD'!L12+'CORE DELTA'!L12</f>
        <v>0.99</v>
      </c>
      <c r="M12" s="108" t="n">
        <f aca="false">'CORE DWNLD'!M12+'CORE DELTA'!M12</f>
        <v>1.005</v>
      </c>
      <c r="N12" s="108" t="n">
        <f aca="false">'CORE DWNLD'!N12+'CORE DELTA'!N12</f>
        <v>0.99</v>
      </c>
      <c r="O12" s="108" t="n">
        <f aca="false">'CORE DWNLD'!O12+'CORE DELTA'!O12</f>
        <v>0.96</v>
      </c>
    </row>
    <row r="13" customFormat="false" ht="12.75" hidden="false" customHeight="false" outlineLevel="0" collapsed="false">
      <c r="A13" s="158" t="n">
        <v>37073</v>
      </c>
      <c r="B13" s="108" t="n">
        <f aca="false">'CORE DWNLD'!B13+'CORE DELTA'!B13</f>
        <v>0.999</v>
      </c>
      <c r="C13" s="108" t="n">
        <f aca="false">'CORE DWNLD'!C13+'CORE DELTA'!C13</f>
        <v>0.999</v>
      </c>
      <c r="D13" s="108" t="n">
        <f aca="false">'CORE DWNLD'!D13+'CORE DELTA'!D13</f>
        <v>0.995</v>
      </c>
      <c r="E13" s="108" t="n">
        <f aca="false">'CORE DWNLD'!E13+'CORE DELTA'!E13</f>
        <v>0.96</v>
      </c>
      <c r="F13" s="108" t="n">
        <f aca="false">'CORE DWNLD'!F13+'CORE DELTA'!F13</f>
        <v>0.96</v>
      </c>
      <c r="G13" s="108" t="n">
        <f aca="false">'CORE DWNLD'!G13+'CORE DELTA'!G13</f>
        <v>0.994071440191916</v>
      </c>
      <c r="H13" s="108" t="n">
        <f aca="false">'CORE DWNLD'!H13+'CORE DELTA'!H13</f>
        <v>0.99</v>
      </c>
      <c r="I13" s="108" t="n">
        <f aca="false">'CORE DWNLD'!I13+'CORE DELTA'!I13</f>
        <v>0.9773</v>
      </c>
      <c r="J13" s="108" t="n">
        <f aca="false">'CORE DWNLD'!J13+'CORE DELTA'!J13</f>
        <v>0.995</v>
      </c>
      <c r="K13" s="108" t="n">
        <f aca="false">'CORE DWNLD'!K13+'CORE DELTA'!K13</f>
        <v>0.85</v>
      </c>
      <c r="L13" s="108" t="n">
        <f aca="false">'CORE DWNLD'!L13+'CORE DELTA'!L13</f>
        <v>0.99</v>
      </c>
      <c r="M13" s="108" t="n">
        <f aca="false">'CORE DWNLD'!M13+'CORE DELTA'!M13</f>
        <v>1.005</v>
      </c>
      <c r="N13" s="108" t="n">
        <f aca="false">'CORE DWNLD'!N13+'CORE DELTA'!N13</f>
        <v>0.99</v>
      </c>
      <c r="O13" s="108" t="n">
        <f aca="false">'CORE DWNLD'!O13+'CORE DELTA'!O13</f>
        <v>0.96</v>
      </c>
    </row>
    <row r="14" customFormat="false" ht="12.75" hidden="false" customHeight="false" outlineLevel="0" collapsed="false">
      <c r="A14" s="158" t="n">
        <v>37104</v>
      </c>
      <c r="B14" s="108" t="n">
        <f aca="false">'CORE DWNLD'!B14+'CORE DELTA'!B14</f>
        <v>0.999</v>
      </c>
      <c r="C14" s="108" t="n">
        <f aca="false">'CORE DWNLD'!C14+'CORE DELTA'!C14</f>
        <v>0.999</v>
      </c>
      <c r="D14" s="108" t="n">
        <f aca="false">'CORE DWNLD'!D14+'CORE DELTA'!D14</f>
        <v>0.995</v>
      </c>
      <c r="E14" s="108" t="n">
        <f aca="false">'CORE DWNLD'!E14+'CORE DELTA'!E14</f>
        <v>0.96</v>
      </c>
      <c r="F14" s="108" t="n">
        <f aca="false">'CORE DWNLD'!F14+'CORE DELTA'!F14</f>
        <v>0.96</v>
      </c>
      <c r="G14" s="108" t="n">
        <f aca="false">'CORE DWNLD'!G14+'CORE DELTA'!G14</f>
        <v>0.994071440191916</v>
      </c>
      <c r="H14" s="108" t="n">
        <f aca="false">'CORE DWNLD'!H14+'CORE DELTA'!H14</f>
        <v>0.99</v>
      </c>
      <c r="I14" s="108" t="n">
        <f aca="false">'CORE DWNLD'!I14+'CORE DELTA'!I14</f>
        <v>0.9773</v>
      </c>
      <c r="J14" s="108" t="n">
        <f aca="false">'CORE DWNLD'!J14+'CORE DELTA'!J14</f>
        <v>0.995</v>
      </c>
      <c r="K14" s="108" t="n">
        <f aca="false">'CORE DWNLD'!K14+'CORE DELTA'!K14</f>
        <v>0.85</v>
      </c>
      <c r="L14" s="108" t="n">
        <f aca="false">'CORE DWNLD'!L14+'CORE DELTA'!L14</f>
        <v>0.99</v>
      </c>
      <c r="M14" s="108" t="n">
        <f aca="false">'CORE DWNLD'!M14+'CORE DELTA'!M14</f>
        <v>1.005</v>
      </c>
      <c r="N14" s="108" t="n">
        <f aca="false">'CORE DWNLD'!N14+'CORE DELTA'!N14</f>
        <v>0.99</v>
      </c>
      <c r="O14" s="108" t="n">
        <f aca="false">'CORE DWNLD'!O14+'CORE DELTA'!O14</f>
        <v>0.96</v>
      </c>
    </row>
    <row r="15" customFormat="false" ht="12.75" hidden="false" customHeight="false" outlineLevel="0" collapsed="false">
      <c r="A15" s="158" t="n">
        <v>37135</v>
      </c>
      <c r="B15" s="108" t="n">
        <f aca="false">'CORE DWNLD'!B15+'CORE DELTA'!B15</f>
        <v>0.999</v>
      </c>
      <c r="C15" s="108" t="n">
        <f aca="false">'CORE DWNLD'!C15+'CORE DELTA'!C15</f>
        <v>0.999</v>
      </c>
      <c r="D15" s="108" t="n">
        <f aca="false">'CORE DWNLD'!D15+'CORE DELTA'!D15</f>
        <v>0.995</v>
      </c>
      <c r="E15" s="108" t="n">
        <f aca="false">'CORE DWNLD'!E15+'CORE DELTA'!E15</f>
        <v>0.96</v>
      </c>
      <c r="F15" s="108" t="n">
        <f aca="false">'CORE DWNLD'!F15+'CORE DELTA'!F15</f>
        <v>0.96</v>
      </c>
      <c r="G15" s="108" t="n">
        <f aca="false">'CORE DWNLD'!G15+'CORE DELTA'!G15</f>
        <v>0.994071440191916</v>
      </c>
      <c r="H15" s="108" t="n">
        <f aca="false">'CORE DWNLD'!H15+'CORE DELTA'!H15</f>
        <v>0.99</v>
      </c>
      <c r="I15" s="108" t="n">
        <f aca="false">'CORE DWNLD'!I15+'CORE DELTA'!I15</f>
        <v>0.9773</v>
      </c>
      <c r="J15" s="108" t="n">
        <f aca="false">'CORE DWNLD'!J15+'CORE DELTA'!J15</f>
        <v>0.995</v>
      </c>
      <c r="K15" s="108" t="n">
        <f aca="false">'CORE DWNLD'!K15+'CORE DELTA'!K15</f>
        <v>0.85</v>
      </c>
      <c r="L15" s="108" t="n">
        <f aca="false">'CORE DWNLD'!L15+'CORE DELTA'!L15</f>
        <v>0.99</v>
      </c>
      <c r="M15" s="108" t="n">
        <f aca="false">'CORE DWNLD'!M15+'CORE DELTA'!M15</f>
        <v>1.005</v>
      </c>
      <c r="N15" s="108" t="n">
        <f aca="false">'CORE DWNLD'!N15+'CORE DELTA'!N15</f>
        <v>0.99</v>
      </c>
      <c r="O15" s="108" t="n">
        <f aca="false">'CORE DWNLD'!O15+'CORE DELTA'!O15</f>
        <v>0.96</v>
      </c>
    </row>
    <row r="16" customFormat="false" ht="12.75" hidden="false" customHeight="false" outlineLevel="0" collapsed="false">
      <c r="A16" s="158" t="n">
        <v>37165</v>
      </c>
      <c r="B16" s="108" t="n">
        <f aca="false">'CORE DWNLD'!B16+'CORE DELTA'!B16</f>
        <v>0.999</v>
      </c>
      <c r="C16" s="108" t="n">
        <f aca="false">'CORE DWNLD'!C16+'CORE DELTA'!C16</f>
        <v>0.999</v>
      </c>
      <c r="D16" s="108" t="n">
        <f aca="false">'CORE DWNLD'!D16+'CORE DELTA'!D16</f>
        <v>0.995</v>
      </c>
      <c r="E16" s="108" t="n">
        <f aca="false">'CORE DWNLD'!E16+'CORE DELTA'!E16</f>
        <v>0.96</v>
      </c>
      <c r="F16" s="108" t="n">
        <f aca="false">'CORE DWNLD'!F16+'CORE DELTA'!F16</f>
        <v>0.96</v>
      </c>
      <c r="G16" s="108" t="n">
        <f aca="false">'CORE DWNLD'!G16+'CORE DELTA'!G16</f>
        <v>0.994071440191916</v>
      </c>
      <c r="H16" s="108" t="n">
        <f aca="false">'CORE DWNLD'!H16+'CORE DELTA'!H16</f>
        <v>0.99</v>
      </c>
      <c r="I16" s="108" t="n">
        <f aca="false">'CORE DWNLD'!I16+'CORE DELTA'!I16</f>
        <v>0.9773</v>
      </c>
      <c r="J16" s="108" t="n">
        <f aca="false">'CORE DWNLD'!J16+'CORE DELTA'!J16</f>
        <v>0.995</v>
      </c>
      <c r="K16" s="108" t="n">
        <f aca="false">'CORE DWNLD'!K16+'CORE DELTA'!K16</f>
        <v>0.85</v>
      </c>
      <c r="L16" s="108" t="n">
        <f aca="false">'CORE DWNLD'!L16+'CORE DELTA'!L16</f>
        <v>0.99</v>
      </c>
      <c r="M16" s="108" t="n">
        <f aca="false">'CORE DWNLD'!M16+'CORE DELTA'!M16</f>
        <v>1.005</v>
      </c>
      <c r="N16" s="108" t="n">
        <f aca="false">'CORE DWNLD'!N16+'CORE DELTA'!N16</f>
        <v>0.99</v>
      </c>
      <c r="O16" s="108" t="n">
        <f aca="false">'CORE DWNLD'!O16+'CORE DELTA'!O16</f>
        <v>0.96</v>
      </c>
    </row>
    <row r="17" customFormat="false" ht="12.75" hidden="false" customHeight="false" outlineLevel="0" collapsed="false">
      <c r="A17" s="158" t="n">
        <v>37196</v>
      </c>
      <c r="B17" s="108" t="n">
        <f aca="false">'CORE DWNLD'!B17+'CORE DELTA'!B17</f>
        <v>0.999</v>
      </c>
      <c r="C17" s="108" t="n">
        <f aca="false">'CORE DWNLD'!C17+'CORE DELTA'!C17</f>
        <v>0.999</v>
      </c>
      <c r="D17" s="108" t="n">
        <f aca="false">'CORE DWNLD'!D17+'CORE DELTA'!D17</f>
        <v>0.995</v>
      </c>
      <c r="E17" s="108" t="n">
        <f aca="false">'CORE DWNLD'!E17+'CORE DELTA'!E17</f>
        <v>0.96</v>
      </c>
      <c r="F17" s="108" t="n">
        <f aca="false">'CORE DWNLD'!F17+'CORE DELTA'!F17</f>
        <v>0.96</v>
      </c>
      <c r="G17" s="108" t="n">
        <f aca="false">'CORE DWNLD'!G17+'CORE DELTA'!G17</f>
        <v>0.984107647518451</v>
      </c>
      <c r="H17" s="108" t="n">
        <f aca="false">'CORE DWNLD'!H17+'CORE DELTA'!H17</f>
        <v>0.99</v>
      </c>
      <c r="I17" s="108" t="n">
        <f aca="false">'CORE DWNLD'!I17+'CORE DELTA'!I17</f>
        <v>0.95</v>
      </c>
      <c r="J17" s="108" t="n">
        <f aca="false">'CORE DWNLD'!J17+'CORE DELTA'!J17</f>
        <v>0.995</v>
      </c>
      <c r="K17" s="108" t="n">
        <f aca="false">'CORE DWNLD'!K17+'CORE DELTA'!K17</f>
        <v>0.98</v>
      </c>
      <c r="L17" s="108" t="n">
        <f aca="false">'CORE DWNLD'!L17+'CORE DELTA'!L17</f>
        <v>0.99</v>
      </c>
      <c r="M17" s="108" t="n">
        <f aca="false">'CORE DWNLD'!M17+'CORE DELTA'!M17</f>
        <v>1.005</v>
      </c>
      <c r="N17" s="108" t="n">
        <f aca="false">'CORE DWNLD'!N17+'CORE DELTA'!N17</f>
        <v>0.99</v>
      </c>
      <c r="O17" s="108" t="n">
        <f aca="false">'CORE DWNLD'!O17+'CORE DELTA'!O17</f>
        <v>0.96</v>
      </c>
    </row>
    <row r="18" customFormat="false" ht="12.75" hidden="false" customHeight="false" outlineLevel="0" collapsed="false">
      <c r="A18" s="158" t="n">
        <v>37226</v>
      </c>
      <c r="B18" s="108" t="n">
        <f aca="false">'CORE DWNLD'!B18+'CORE DELTA'!B18</f>
        <v>0.999</v>
      </c>
      <c r="C18" s="108" t="n">
        <f aca="false">'CORE DWNLD'!C18+'CORE DELTA'!C18</f>
        <v>0.999</v>
      </c>
      <c r="D18" s="108" t="n">
        <f aca="false">'CORE DWNLD'!D18+'CORE DELTA'!D18</f>
        <v>0.995</v>
      </c>
      <c r="E18" s="108" t="n">
        <f aca="false">'CORE DWNLD'!E18+'CORE DELTA'!E18</f>
        <v>0.96</v>
      </c>
      <c r="F18" s="108" t="n">
        <f aca="false">'CORE DWNLD'!F18+'CORE DELTA'!F18</f>
        <v>0.96</v>
      </c>
      <c r="G18" s="108" t="n">
        <f aca="false">'CORE DWNLD'!G18+'CORE DELTA'!G18</f>
        <v>0.984107647518451</v>
      </c>
      <c r="H18" s="108" t="n">
        <f aca="false">'CORE DWNLD'!H18+'CORE DELTA'!H18</f>
        <v>0.99</v>
      </c>
      <c r="I18" s="108" t="n">
        <f aca="false">'CORE DWNLD'!I18+'CORE DELTA'!I18</f>
        <v>0.95</v>
      </c>
      <c r="J18" s="108" t="n">
        <f aca="false">'CORE DWNLD'!J18+'CORE DELTA'!J18</f>
        <v>0.995</v>
      </c>
      <c r="K18" s="108" t="n">
        <f aca="false">'CORE DWNLD'!K18+'CORE DELTA'!K18</f>
        <v>0.98</v>
      </c>
      <c r="L18" s="108" t="n">
        <f aca="false">'CORE DWNLD'!L18+'CORE DELTA'!L18</f>
        <v>0.99</v>
      </c>
      <c r="M18" s="108" t="n">
        <f aca="false">'CORE DWNLD'!M18+'CORE DELTA'!M18</f>
        <v>1.005</v>
      </c>
      <c r="N18" s="108" t="n">
        <f aca="false">'CORE DWNLD'!N18+'CORE DELTA'!N18</f>
        <v>0.99</v>
      </c>
      <c r="O18" s="108" t="n">
        <f aca="false">'CORE DWNLD'!O18+'CORE DELTA'!O18</f>
        <v>0.96</v>
      </c>
    </row>
    <row r="19" customFormat="false" ht="12.75" hidden="false" customHeight="false" outlineLevel="0" collapsed="false">
      <c r="A19" s="158" t="n">
        <v>37257</v>
      </c>
      <c r="B19" s="108" t="n">
        <f aca="false">'CORE DWNLD'!B19+'CORE DELTA'!B19</f>
        <v>0.999</v>
      </c>
      <c r="C19" s="108" t="n">
        <f aca="false">'CORE DWNLD'!C19+'CORE DELTA'!C19</f>
        <v>0.999</v>
      </c>
      <c r="D19" s="108" t="n">
        <f aca="false">'CORE DWNLD'!D19+'CORE DELTA'!D19</f>
        <v>0.995</v>
      </c>
      <c r="E19" s="108" t="n">
        <f aca="false">'CORE DWNLD'!E19+'CORE DELTA'!E19</f>
        <v>0.96</v>
      </c>
      <c r="F19" s="108" t="n">
        <f aca="false">'CORE DWNLD'!F19+'CORE DELTA'!F19</f>
        <v>0.96</v>
      </c>
      <c r="G19" s="108" t="n">
        <f aca="false">'CORE DWNLD'!G19+'CORE DELTA'!G19</f>
        <v>0.984107647518451</v>
      </c>
      <c r="H19" s="108" t="n">
        <f aca="false">'CORE DWNLD'!H19+'CORE DELTA'!H19</f>
        <v>0.99</v>
      </c>
      <c r="I19" s="108" t="n">
        <f aca="false">'CORE DWNLD'!I19+'CORE DELTA'!I19</f>
        <v>0.95</v>
      </c>
      <c r="J19" s="108" t="n">
        <f aca="false">'CORE DWNLD'!J19+'CORE DELTA'!J19</f>
        <v>0.995</v>
      </c>
      <c r="K19" s="108" t="n">
        <f aca="false">'CORE DWNLD'!K19+'CORE DELTA'!K19</f>
        <v>0.98</v>
      </c>
      <c r="L19" s="108" t="n">
        <f aca="false">'CORE DWNLD'!L19+'CORE DELTA'!L19</f>
        <v>0.99</v>
      </c>
      <c r="M19" s="108" t="n">
        <f aca="false">'CORE DWNLD'!M19+'CORE DELTA'!M19</f>
        <v>1.005</v>
      </c>
      <c r="N19" s="108" t="n">
        <f aca="false">'CORE DWNLD'!N19+'CORE DELTA'!N19</f>
        <v>0.99</v>
      </c>
      <c r="O19" s="108" t="n">
        <f aca="false">'CORE DWNLD'!O19+'CORE DELTA'!O19</f>
        <v>0.96</v>
      </c>
    </row>
    <row r="20" customFormat="false" ht="12.75" hidden="false" customHeight="false" outlineLevel="0" collapsed="false">
      <c r="A20" s="158" t="n">
        <v>37288</v>
      </c>
      <c r="B20" s="108" t="n">
        <f aca="false">'CORE DWNLD'!B20+'CORE DELTA'!B20</f>
        <v>0.999</v>
      </c>
      <c r="C20" s="108" t="n">
        <f aca="false">'CORE DWNLD'!C20+'CORE DELTA'!C20</f>
        <v>0.999</v>
      </c>
      <c r="D20" s="108" t="n">
        <f aca="false">'CORE DWNLD'!D20+'CORE DELTA'!D20</f>
        <v>0.995</v>
      </c>
      <c r="E20" s="108" t="n">
        <f aca="false">'CORE DWNLD'!E20+'CORE DELTA'!E20</f>
        <v>0.96</v>
      </c>
      <c r="F20" s="108" t="n">
        <f aca="false">'CORE DWNLD'!F20+'CORE DELTA'!F20</f>
        <v>0.96</v>
      </c>
      <c r="G20" s="108" t="n">
        <f aca="false">'CORE DWNLD'!G20+'CORE DELTA'!G20</f>
        <v>0.984107647518451</v>
      </c>
      <c r="H20" s="108" t="n">
        <f aca="false">'CORE DWNLD'!H20+'CORE DELTA'!H20</f>
        <v>0.99</v>
      </c>
      <c r="I20" s="108" t="n">
        <f aca="false">'CORE DWNLD'!I20+'CORE DELTA'!I20</f>
        <v>0.95</v>
      </c>
      <c r="J20" s="108" t="n">
        <f aca="false">'CORE DWNLD'!J20+'CORE DELTA'!J20</f>
        <v>0.995</v>
      </c>
      <c r="K20" s="108" t="n">
        <f aca="false">'CORE DWNLD'!K20+'CORE DELTA'!K20</f>
        <v>0.98</v>
      </c>
      <c r="L20" s="108" t="n">
        <f aca="false">'CORE DWNLD'!L20+'CORE DELTA'!L20</f>
        <v>0.99</v>
      </c>
      <c r="M20" s="108" t="n">
        <f aca="false">'CORE DWNLD'!M20+'CORE DELTA'!M20</f>
        <v>1.005</v>
      </c>
      <c r="N20" s="108" t="n">
        <f aca="false">'CORE DWNLD'!N20+'CORE DELTA'!N20</f>
        <v>0.99</v>
      </c>
      <c r="O20" s="108" t="n">
        <f aca="false">'CORE DWNLD'!O20+'CORE DELTA'!O20</f>
        <v>0.96</v>
      </c>
    </row>
    <row r="21" customFormat="false" ht="12.75" hidden="false" customHeight="false" outlineLevel="0" collapsed="false">
      <c r="A21" s="158" t="n">
        <v>37316</v>
      </c>
      <c r="B21" s="108" t="n">
        <f aca="false">'CORE DWNLD'!B21+'CORE DELTA'!B21</f>
        <v>0.999</v>
      </c>
      <c r="C21" s="108" t="n">
        <f aca="false">'CORE DWNLD'!C21+'CORE DELTA'!C21</f>
        <v>0.999</v>
      </c>
      <c r="D21" s="108" t="n">
        <f aca="false">'CORE DWNLD'!D21+'CORE DELTA'!D21</f>
        <v>0.995</v>
      </c>
      <c r="E21" s="108" t="n">
        <f aca="false">'CORE DWNLD'!E21+'CORE DELTA'!E21</f>
        <v>0.96</v>
      </c>
      <c r="F21" s="108" t="n">
        <f aca="false">'CORE DWNLD'!F21+'CORE DELTA'!F21</f>
        <v>0.96</v>
      </c>
      <c r="G21" s="108" t="n">
        <f aca="false">'CORE DWNLD'!G21+'CORE DELTA'!G21</f>
        <v>0.984107647518451</v>
      </c>
      <c r="H21" s="108" t="n">
        <f aca="false">'CORE DWNLD'!H21+'CORE DELTA'!H21</f>
        <v>0.99</v>
      </c>
      <c r="I21" s="108" t="n">
        <f aca="false">'CORE DWNLD'!I21+'CORE DELTA'!I21</f>
        <v>0.95</v>
      </c>
      <c r="J21" s="108" t="n">
        <f aca="false">'CORE DWNLD'!J21+'CORE DELTA'!J21</f>
        <v>0.995</v>
      </c>
      <c r="K21" s="108" t="n">
        <f aca="false">'CORE DWNLD'!K21+'CORE DELTA'!K21</f>
        <v>0.98</v>
      </c>
      <c r="L21" s="108" t="n">
        <f aca="false">'CORE DWNLD'!L21+'CORE DELTA'!L21</f>
        <v>0.99</v>
      </c>
      <c r="M21" s="108" t="n">
        <f aca="false">'CORE DWNLD'!M21+'CORE DELTA'!M21</f>
        <v>1.005</v>
      </c>
      <c r="N21" s="108" t="n">
        <f aca="false">'CORE DWNLD'!N21+'CORE DELTA'!N21</f>
        <v>0.99</v>
      </c>
      <c r="O21" s="108" t="n">
        <f aca="false">'CORE DWNLD'!O21+'CORE DELTA'!O21</f>
        <v>0.96</v>
      </c>
    </row>
    <row r="22" customFormat="false" ht="12.75" hidden="false" customHeight="false" outlineLevel="0" collapsed="false">
      <c r="A22" s="158" t="n">
        <v>37347</v>
      </c>
      <c r="B22" s="108" t="n">
        <f aca="false">'CORE DWNLD'!B22+'CORE DELTA'!B22</f>
        <v>0.999</v>
      </c>
      <c r="C22" s="108" t="n">
        <f aca="false">'CORE DWNLD'!C22+'CORE DELTA'!C22</f>
        <v>0.999</v>
      </c>
      <c r="D22" s="108" t="n">
        <f aca="false">'CORE DWNLD'!D22+'CORE DELTA'!D22</f>
        <v>0.995</v>
      </c>
      <c r="E22" s="108" t="n">
        <f aca="false">'CORE DWNLD'!E22+'CORE DELTA'!E22</f>
        <v>0.96</v>
      </c>
      <c r="F22" s="108" t="n">
        <f aca="false">'CORE DWNLD'!F22+'CORE DELTA'!F22</f>
        <v>0.96</v>
      </c>
      <c r="G22" s="108" t="n">
        <f aca="false">'CORE DWNLD'!G22+'CORE DELTA'!G22</f>
        <v>0.994071440191916</v>
      </c>
      <c r="H22" s="108" t="n">
        <f aca="false">'CORE DWNLD'!H22+'CORE DELTA'!H22</f>
        <v>0.99</v>
      </c>
      <c r="I22" s="108" t="n">
        <f aca="false">'CORE DWNLD'!I22+'CORE DELTA'!I22</f>
        <v>0.980420749757432</v>
      </c>
      <c r="J22" s="108" t="n">
        <f aca="false">'CORE DWNLD'!J22+'CORE DELTA'!J22</f>
        <v>0.995</v>
      </c>
      <c r="K22" s="108" t="n">
        <f aca="false">'CORE DWNLD'!K22+'CORE DELTA'!K22</f>
        <v>0.98</v>
      </c>
      <c r="L22" s="108" t="n">
        <f aca="false">'CORE DWNLD'!L22+'CORE DELTA'!L22</f>
        <v>0.99</v>
      </c>
      <c r="M22" s="108" t="n">
        <f aca="false">'CORE DWNLD'!M22+'CORE DELTA'!M22</f>
        <v>1.005</v>
      </c>
      <c r="N22" s="108" t="n">
        <f aca="false">'CORE DWNLD'!N22+'CORE DELTA'!N22</f>
        <v>0.99</v>
      </c>
      <c r="O22" s="108" t="n">
        <f aca="false">'CORE DWNLD'!O22+'CORE DELTA'!O22</f>
        <v>0.96</v>
      </c>
    </row>
    <row r="23" customFormat="false" ht="12.75" hidden="false" customHeight="false" outlineLevel="0" collapsed="false">
      <c r="A23" s="158" t="n">
        <v>37377</v>
      </c>
      <c r="B23" s="108" t="n">
        <f aca="false">'CORE DWNLD'!B23+'CORE DELTA'!B23</f>
        <v>0.999</v>
      </c>
      <c r="C23" s="108" t="n">
        <f aca="false">'CORE DWNLD'!C23+'CORE DELTA'!C23</f>
        <v>0.999</v>
      </c>
      <c r="D23" s="108" t="n">
        <f aca="false">'CORE DWNLD'!D23+'CORE DELTA'!D23</f>
        <v>0.995</v>
      </c>
      <c r="E23" s="108" t="n">
        <f aca="false">'CORE DWNLD'!E23+'CORE DELTA'!E23</f>
        <v>0.96</v>
      </c>
      <c r="F23" s="108" t="n">
        <f aca="false">'CORE DWNLD'!F23+'CORE DELTA'!F23</f>
        <v>0.96</v>
      </c>
      <c r="G23" s="108" t="n">
        <f aca="false">'CORE DWNLD'!G23+'CORE DELTA'!G23</f>
        <v>0.994071440191916</v>
      </c>
      <c r="H23" s="108" t="n">
        <f aca="false">'CORE DWNLD'!H23+'CORE DELTA'!H23</f>
        <v>0.99</v>
      </c>
      <c r="I23" s="108" t="n">
        <f aca="false">'CORE DWNLD'!I23+'CORE DELTA'!I23</f>
        <v>0.980420749757432</v>
      </c>
      <c r="J23" s="108" t="n">
        <f aca="false">'CORE DWNLD'!J23+'CORE DELTA'!J23</f>
        <v>0.995</v>
      </c>
      <c r="K23" s="108" t="n">
        <f aca="false">'CORE DWNLD'!K23+'CORE DELTA'!K23</f>
        <v>0.98</v>
      </c>
      <c r="L23" s="108" t="n">
        <f aca="false">'CORE DWNLD'!L23+'CORE DELTA'!L23</f>
        <v>0.99</v>
      </c>
      <c r="M23" s="108" t="n">
        <f aca="false">'CORE DWNLD'!M23+'CORE DELTA'!M23</f>
        <v>1.005</v>
      </c>
      <c r="N23" s="108" t="n">
        <f aca="false">'CORE DWNLD'!N23+'CORE DELTA'!N23</f>
        <v>0.99</v>
      </c>
      <c r="O23" s="108" t="n">
        <f aca="false">'CORE DWNLD'!O23+'CORE DELTA'!O23</f>
        <v>0.96</v>
      </c>
    </row>
    <row r="24" customFormat="false" ht="12.75" hidden="false" customHeight="false" outlineLevel="0" collapsed="false">
      <c r="A24" s="158" t="n">
        <v>37408</v>
      </c>
      <c r="B24" s="108" t="n">
        <f aca="false">'CORE DWNLD'!B24+'CORE DELTA'!B24</f>
        <v>0.999</v>
      </c>
      <c r="C24" s="108" t="n">
        <f aca="false">'CORE DWNLD'!C24+'CORE DELTA'!C24</f>
        <v>0.999</v>
      </c>
      <c r="D24" s="108" t="n">
        <f aca="false">'CORE DWNLD'!D24+'CORE DELTA'!D24</f>
        <v>0.995</v>
      </c>
      <c r="E24" s="108" t="n">
        <f aca="false">'CORE DWNLD'!E24+'CORE DELTA'!E24</f>
        <v>0.96</v>
      </c>
      <c r="F24" s="108" t="n">
        <f aca="false">'CORE DWNLD'!F24+'CORE DELTA'!F24</f>
        <v>0.96</v>
      </c>
      <c r="G24" s="108" t="n">
        <f aca="false">'CORE DWNLD'!G24+'CORE DELTA'!G24</f>
        <v>0.994071440191916</v>
      </c>
      <c r="H24" s="108" t="n">
        <f aca="false">'CORE DWNLD'!H24+'CORE DELTA'!H24</f>
        <v>0.99</v>
      </c>
      <c r="I24" s="108" t="n">
        <f aca="false">'CORE DWNLD'!I24+'CORE DELTA'!I24</f>
        <v>0.980420749757432</v>
      </c>
      <c r="J24" s="108" t="n">
        <f aca="false">'CORE DWNLD'!J24+'CORE DELTA'!J24</f>
        <v>0.995</v>
      </c>
      <c r="K24" s="108" t="n">
        <f aca="false">'CORE DWNLD'!K24+'CORE DELTA'!K24</f>
        <v>0.98</v>
      </c>
      <c r="L24" s="108" t="n">
        <f aca="false">'CORE DWNLD'!L24+'CORE DELTA'!L24</f>
        <v>0.99</v>
      </c>
      <c r="M24" s="108" t="n">
        <f aca="false">'CORE DWNLD'!M24+'CORE DELTA'!M24</f>
        <v>1.005</v>
      </c>
      <c r="N24" s="108" t="n">
        <f aca="false">'CORE DWNLD'!N24+'CORE DELTA'!N24</f>
        <v>0.99</v>
      </c>
      <c r="O24" s="108" t="n">
        <f aca="false">'CORE DWNLD'!O24+'CORE DELTA'!O24</f>
        <v>0.96</v>
      </c>
    </row>
    <row r="25" customFormat="false" ht="12.75" hidden="false" customHeight="false" outlineLevel="0" collapsed="false">
      <c r="A25" s="158" t="n">
        <v>37438</v>
      </c>
      <c r="B25" s="108" t="n">
        <f aca="false">'CORE DWNLD'!B25+'CORE DELTA'!B25</f>
        <v>0.999</v>
      </c>
      <c r="C25" s="108" t="n">
        <f aca="false">'CORE DWNLD'!C25+'CORE DELTA'!C25</f>
        <v>0.999</v>
      </c>
      <c r="D25" s="108" t="n">
        <f aca="false">'CORE DWNLD'!D25+'CORE DELTA'!D25</f>
        <v>0.995</v>
      </c>
      <c r="E25" s="108" t="n">
        <f aca="false">'CORE DWNLD'!E25+'CORE DELTA'!E25</f>
        <v>0.96</v>
      </c>
      <c r="F25" s="108" t="n">
        <f aca="false">'CORE DWNLD'!F25+'CORE DELTA'!F25</f>
        <v>0.96</v>
      </c>
      <c r="G25" s="108" t="n">
        <f aca="false">'CORE DWNLD'!G25+'CORE DELTA'!G25</f>
        <v>0.994071440191916</v>
      </c>
      <c r="H25" s="108" t="n">
        <f aca="false">'CORE DWNLD'!H25+'CORE DELTA'!H25</f>
        <v>0.99</v>
      </c>
      <c r="I25" s="108" t="n">
        <f aca="false">'CORE DWNLD'!I25+'CORE DELTA'!I25</f>
        <v>0.980420749757432</v>
      </c>
      <c r="J25" s="108" t="n">
        <f aca="false">'CORE DWNLD'!J25+'CORE DELTA'!J25</f>
        <v>0.995</v>
      </c>
      <c r="K25" s="108" t="n">
        <f aca="false">'CORE DWNLD'!K25+'CORE DELTA'!K25</f>
        <v>0.98</v>
      </c>
      <c r="L25" s="108" t="n">
        <f aca="false">'CORE DWNLD'!L25+'CORE DELTA'!L25</f>
        <v>0.99</v>
      </c>
      <c r="M25" s="108" t="n">
        <f aca="false">'CORE DWNLD'!M25+'CORE DELTA'!M25</f>
        <v>1.005</v>
      </c>
      <c r="N25" s="108" t="n">
        <f aca="false">'CORE DWNLD'!N25+'CORE DELTA'!N25</f>
        <v>0.99</v>
      </c>
      <c r="O25" s="108" t="n">
        <f aca="false">'CORE DWNLD'!O25+'CORE DELTA'!O25</f>
        <v>0.96</v>
      </c>
    </row>
    <row r="26" customFormat="false" ht="12.75" hidden="false" customHeight="false" outlineLevel="0" collapsed="false">
      <c r="A26" s="158" t="n">
        <v>37469</v>
      </c>
      <c r="B26" s="108" t="n">
        <f aca="false">'CORE DWNLD'!B26+'CORE DELTA'!B26</f>
        <v>0.999</v>
      </c>
      <c r="C26" s="108" t="n">
        <f aca="false">'CORE DWNLD'!C26+'CORE DELTA'!C26</f>
        <v>0.999</v>
      </c>
      <c r="D26" s="108" t="n">
        <f aca="false">'CORE DWNLD'!D26+'CORE DELTA'!D26</f>
        <v>0.995</v>
      </c>
      <c r="E26" s="108" t="n">
        <f aca="false">'CORE DWNLD'!E26+'CORE DELTA'!E26</f>
        <v>0.96</v>
      </c>
      <c r="F26" s="108" t="n">
        <f aca="false">'CORE DWNLD'!F26+'CORE DELTA'!F26</f>
        <v>0.96</v>
      </c>
      <c r="G26" s="108" t="n">
        <f aca="false">'CORE DWNLD'!G26+'CORE DELTA'!G26</f>
        <v>0.994071440191916</v>
      </c>
      <c r="H26" s="108" t="n">
        <f aca="false">'CORE DWNLD'!H26+'CORE DELTA'!H26</f>
        <v>0.99</v>
      </c>
      <c r="I26" s="108" t="n">
        <f aca="false">'CORE DWNLD'!I26+'CORE DELTA'!I26</f>
        <v>0.980420749757432</v>
      </c>
      <c r="J26" s="108" t="n">
        <f aca="false">'CORE DWNLD'!J26+'CORE DELTA'!J26</f>
        <v>0.995</v>
      </c>
      <c r="K26" s="108" t="n">
        <f aca="false">'CORE DWNLD'!K26+'CORE DELTA'!K26</f>
        <v>0.98</v>
      </c>
      <c r="L26" s="108" t="n">
        <f aca="false">'CORE DWNLD'!L26+'CORE DELTA'!L26</f>
        <v>0.99</v>
      </c>
      <c r="M26" s="108" t="n">
        <f aca="false">'CORE DWNLD'!M26+'CORE DELTA'!M26</f>
        <v>1.005</v>
      </c>
      <c r="N26" s="108" t="n">
        <f aca="false">'CORE DWNLD'!N26+'CORE DELTA'!N26</f>
        <v>0.99</v>
      </c>
      <c r="O26" s="108" t="n">
        <f aca="false">'CORE DWNLD'!O26+'CORE DELTA'!O26</f>
        <v>0.96</v>
      </c>
    </row>
    <row r="27" customFormat="false" ht="12.75" hidden="false" customHeight="false" outlineLevel="0" collapsed="false">
      <c r="A27" s="158" t="n">
        <v>37500</v>
      </c>
      <c r="B27" s="108" t="n">
        <f aca="false">'CORE DWNLD'!B27+'CORE DELTA'!B27</f>
        <v>0.999</v>
      </c>
      <c r="C27" s="108" t="n">
        <f aca="false">'CORE DWNLD'!C27+'CORE DELTA'!C27</f>
        <v>0.999</v>
      </c>
      <c r="D27" s="108" t="n">
        <f aca="false">'CORE DWNLD'!D27+'CORE DELTA'!D27</f>
        <v>0.995</v>
      </c>
      <c r="E27" s="108" t="n">
        <f aca="false">'CORE DWNLD'!E27+'CORE DELTA'!E27</f>
        <v>0.96</v>
      </c>
      <c r="F27" s="108" t="n">
        <f aca="false">'CORE DWNLD'!F27+'CORE DELTA'!F27</f>
        <v>0.96</v>
      </c>
      <c r="G27" s="108" t="n">
        <f aca="false">'CORE DWNLD'!G27+'CORE DELTA'!G27</f>
        <v>0.994071440191916</v>
      </c>
      <c r="H27" s="108" t="n">
        <f aca="false">'CORE DWNLD'!H27+'CORE DELTA'!H27</f>
        <v>0.99</v>
      </c>
      <c r="I27" s="108" t="n">
        <f aca="false">'CORE DWNLD'!I27+'CORE DELTA'!I27</f>
        <v>0.980420749757432</v>
      </c>
      <c r="J27" s="108" t="n">
        <f aca="false">'CORE DWNLD'!J27+'CORE DELTA'!J27</f>
        <v>0.995</v>
      </c>
      <c r="K27" s="108" t="n">
        <f aca="false">'CORE DWNLD'!K27+'CORE DELTA'!K27</f>
        <v>0.98</v>
      </c>
      <c r="L27" s="108" t="n">
        <f aca="false">'CORE DWNLD'!L27+'CORE DELTA'!L27</f>
        <v>0.99</v>
      </c>
      <c r="M27" s="108" t="n">
        <f aca="false">'CORE DWNLD'!M27+'CORE DELTA'!M27</f>
        <v>1.005</v>
      </c>
      <c r="N27" s="108" t="n">
        <f aca="false">'CORE DWNLD'!N27+'CORE DELTA'!N27</f>
        <v>0.99</v>
      </c>
      <c r="O27" s="108" t="n">
        <f aca="false">'CORE DWNLD'!O27+'CORE DELTA'!O27</f>
        <v>0.96</v>
      </c>
    </row>
    <row r="28" customFormat="false" ht="12.75" hidden="false" customHeight="false" outlineLevel="0" collapsed="false">
      <c r="A28" s="158" t="n">
        <v>37530</v>
      </c>
      <c r="B28" s="108" t="n">
        <f aca="false">'CORE DWNLD'!B28+'CORE DELTA'!B28</f>
        <v>0.999</v>
      </c>
      <c r="C28" s="108" t="n">
        <f aca="false">'CORE DWNLD'!C28+'CORE DELTA'!C28</f>
        <v>0.999</v>
      </c>
      <c r="D28" s="108" t="n">
        <f aca="false">'CORE DWNLD'!D28+'CORE DELTA'!D28</f>
        <v>0.995</v>
      </c>
      <c r="E28" s="108" t="n">
        <f aca="false">'CORE DWNLD'!E28+'CORE DELTA'!E28</f>
        <v>0.96</v>
      </c>
      <c r="F28" s="108" t="n">
        <f aca="false">'CORE DWNLD'!F28+'CORE DELTA'!F28</f>
        <v>0.96</v>
      </c>
      <c r="G28" s="108" t="n">
        <f aca="false">'CORE DWNLD'!G28+'CORE DELTA'!G28</f>
        <v>0.994071440191916</v>
      </c>
      <c r="H28" s="108" t="n">
        <f aca="false">'CORE DWNLD'!H28+'CORE DELTA'!H28</f>
        <v>0.99</v>
      </c>
      <c r="I28" s="108" t="n">
        <f aca="false">'CORE DWNLD'!I28+'CORE DELTA'!I28</f>
        <v>0.980420749757432</v>
      </c>
      <c r="J28" s="108" t="n">
        <f aca="false">'CORE DWNLD'!J28+'CORE DELTA'!J28</f>
        <v>0.995</v>
      </c>
      <c r="K28" s="108" t="n">
        <f aca="false">'CORE DWNLD'!K28+'CORE DELTA'!K28</f>
        <v>0.98</v>
      </c>
      <c r="L28" s="108" t="n">
        <f aca="false">'CORE DWNLD'!L28+'CORE DELTA'!L28</f>
        <v>0.99</v>
      </c>
      <c r="M28" s="108" t="n">
        <f aca="false">'CORE DWNLD'!M28+'CORE DELTA'!M28</f>
        <v>1.005</v>
      </c>
      <c r="N28" s="108" t="n">
        <f aca="false">'CORE DWNLD'!N28+'CORE DELTA'!N28</f>
        <v>0.99</v>
      </c>
      <c r="O28" s="108" t="n">
        <f aca="false">'CORE DWNLD'!O28+'CORE DELTA'!O28</f>
        <v>0.96</v>
      </c>
    </row>
    <row r="29" customFormat="false" ht="12.75" hidden="false" customHeight="false" outlineLevel="0" collapsed="false">
      <c r="A29" s="158" t="n">
        <v>37561</v>
      </c>
      <c r="B29" s="108" t="n">
        <f aca="false">'CORE DWNLD'!B29+'CORE DELTA'!B29</f>
        <v>0.999</v>
      </c>
      <c r="C29" s="108" t="n">
        <f aca="false">'CORE DWNLD'!C29+'CORE DELTA'!C29</f>
        <v>0.999</v>
      </c>
      <c r="D29" s="108" t="n">
        <f aca="false">'CORE DWNLD'!D29+'CORE DELTA'!D29</f>
        <v>0.995</v>
      </c>
      <c r="E29" s="108" t="n">
        <f aca="false">'CORE DWNLD'!E29+'CORE DELTA'!E29</f>
        <v>0.96</v>
      </c>
      <c r="F29" s="108" t="n">
        <f aca="false">'CORE DWNLD'!F29+'CORE DELTA'!F29</f>
        <v>0.96</v>
      </c>
      <c r="G29" s="108" t="n">
        <f aca="false">'CORE DWNLD'!G29+'CORE DELTA'!G29</f>
        <v>0.984107647518451</v>
      </c>
      <c r="H29" s="108" t="n">
        <f aca="false">'CORE DWNLD'!H29+'CORE DELTA'!H29</f>
        <v>0.99</v>
      </c>
      <c r="I29" s="108" t="n">
        <f aca="false">'CORE DWNLD'!I29+'CORE DELTA'!I29</f>
        <v>0.905775860471433</v>
      </c>
      <c r="J29" s="108" t="n">
        <f aca="false">'CORE DWNLD'!J29+'CORE DELTA'!J29</f>
        <v>0.995</v>
      </c>
      <c r="K29" s="108" t="n">
        <f aca="false">'CORE DWNLD'!K29+'CORE DELTA'!K29</f>
        <v>0.98</v>
      </c>
      <c r="L29" s="108" t="n">
        <f aca="false">'CORE DWNLD'!L29+'CORE DELTA'!L29</f>
        <v>0.99</v>
      </c>
      <c r="M29" s="108" t="n">
        <f aca="false">'CORE DWNLD'!M29+'CORE DELTA'!M29</f>
        <v>1.005</v>
      </c>
      <c r="N29" s="108" t="n">
        <f aca="false">'CORE DWNLD'!N29+'CORE DELTA'!N29</f>
        <v>0.99</v>
      </c>
      <c r="O29" s="108" t="n">
        <f aca="false">'CORE DWNLD'!O29+'CORE DELTA'!O29</f>
        <v>0.96</v>
      </c>
    </row>
    <row r="30" customFormat="false" ht="12.75" hidden="false" customHeight="false" outlineLevel="0" collapsed="false">
      <c r="A30" s="158" t="n">
        <v>37591</v>
      </c>
      <c r="B30" s="108" t="n">
        <f aca="false">'CORE DWNLD'!B30+'CORE DELTA'!B30</f>
        <v>0.999</v>
      </c>
      <c r="C30" s="108" t="n">
        <f aca="false">'CORE DWNLD'!C30+'CORE DELTA'!C30</f>
        <v>0.999</v>
      </c>
      <c r="D30" s="108" t="n">
        <f aca="false">'CORE DWNLD'!D30+'CORE DELTA'!D30</f>
        <v>0.995</v>
      </c>
      <c r="E30" s="108" t="n">
        <f aca="false">'CORE DWNLD'!E30+'CORE DELTA'!E30</f>
        <v>0.96</v>
      </c>
      <c r="F30" s="108" t="n">
        <f aca="false">'CORE DWNLD'!F30+'CORE DELTA'!F30</f>
        <v>0.96</v>
      </c>
      <c r="G30" s="108" t="n">
        <f aca="false">'CORE DWNLD'!G30+'CORE DELTA'!G30</f>
        <v>0.984107647518451</v>
      </c>
      <c r="H30" s="108" t="n">
        <f aca="false">'CORE DWNLD'!H30+'CORE DELTA'!H30</f>
        <v>0.99</v>
      </c>
      <c r="I30" s="108" t="n">
        <f aca="false">'CORE DWNLD'!I30+'CORE DELTA'!I30</f>
        <v>0.905775860471433</v>
      </c>
      <c r="J30" s="108" t="n">
        <f aca="false">'CORE DWNLD'!J30+'CORE DELTA'!J30</f>
        <v>0.995</v>
      </c>
      <c r="K30" s="108" t="n">
        <f aca="false">'CORE DWNLD'!K30+'CORE DELTA'!K30</f>
        <v>0.98</v>
      </c>
      <c r="L30" s="108" t="n">
        <f aca="false">'CORE DWNLD'!L30+'CORE DELTA'!L30</f>
        <v>0.99</v>
      </c>
      <c r="M30" s="108" t="n">
        <f aca="false">'CORE DWNLD'!M30+'CORE DELTA'!M30</f>
        <v>1.005</v>
      </c>
      <c r="N30" s="108" t="n">
        <f aca="false">'CORE DWNLD'!N30+'CORE DELTA'!N30</f>
        <v>0.99</v>
      </c>
      <c r="O30" s="108" t="n">
        <f aca="false">'CORE DWNLD'!O30+'CORE DELTA'!O30</f>
        <v>0.96</v>
      </c>
    </row>
    <row r="31" customFormat="false" ht="12.75" hidden="false" customHeight="false" outlineLevel="0" collapsed="false">
      <c r="A31" s="158" t="n">
        <v>37622</v>
      </c>
      <c r="B31" s="108" t="n">
        <f aca="false">'CORE DWNLD'!B31+'CORE DELTA'!B31</f>
        <v>0.999</v>
      </c>
      <c r="C31" s="108" t="n">
        <f aca="false">'CORE DWNLD'!C31+'CORE DELTA'!C31</f>
        <v>0.999</v>
      </c>
      <c r="D31" s="108" t="n">
        <f aca="false">'CORE DWNLD'!D31+'CORE DELTA'!D31</f>
        <v>0.995</v>
      </c>
      <c r="E31" s="108" t="n">
        <f aca="false">'CORE DWNLD'!E31+'CORE DELTA'!E31</f>
        <v>0.96</v>
      </c>
      <c r="F31" s="108" t="n">
        <f aca="false">'CORE DWNLD'!F31+'CORE DELTA'!F31</f>
        <v>0.96</v>
      </c>
      <c r="G31" s="108" t="n">
        <f aca="false">'CORE DWNLD'!G31+'CORE DELTA'!G31</f>
        <v>0.984107647518451</v>
      </c>
      <c r="H31" s="108" t="n">
        <f aca="false">'CORE DWNLD'!H31+'CORE DELTA'!H31</f>
        <v>0.99</v>
      </c>
      <c r="I31" s="108" t="n">
        <f aca="false">'CORE DWNLD'!I31+'CORE DELTA'!I31</f>
        <v>0.905775860471433</v>
      </c>
      <c r="J31" s="108" t="n">
        <f aca="false">'CORE DWNLD'!J31+'CORE DELTA'!J31</f>
        <v>0.995</v>
      </c>
      <c r="K31" s="108" t="n">
        <f aca="false">'CORE DWNLD'!K31+'CORE DELTA'!K31</f>
        <v>0.98</v>
      </c>
      <c r="L31" s="108" t="n">
        <f aca="false">'CORE DWNLD'!L31+'CORE DELTA'!L31</f>
        <v>0.99</v>
      </c>
      <c r="M31" s="108" t="n">
        <f aca="false">'CORE DWNLD'!M31+'CORE DELTA'!M31</f>
        <v>1.005</v>
      </c>
      <c r="N31" s="108" t="n">
        <f aca="false">'CORE DWNLD'!N31+'CORE DELTA'!N31</f>
        <v>0.99</v>
      </c>
      <c r="O31" s="108" t="n">
        <f aca="false">'CORE DWNLD'!O31+'CORE DELTA'!O31</f>
        <v>0.96</v>
      </c>
    </row>
    <row r="32" customFormat="false" ht="12.75" hidden="false" customHeight="false" outlineLevel="0" collapsed="false">
      <c r="A32" s="158" t="n">
        <v>37653</v>
      </c>
      <c r="B32" s="108" t="n">
        <f aca="false">'CORE DWNLD'!B32+'CORE DELTA'!B32</f>
        <v>0.999</v>
      </c>
      <c r="C32" s="108" t="n">
        <f aca="false">'CORE DWNLD'!C32+'CORE DELTA'!C32</f>
        <v>0.999</v>
      </c>
      <c r="D32" s="108" t="n">
        <f aca="false">'CORE DWNLD'!D32+'CORE DELTA'!D32</f>
        <v>0.995</v>
      </c>
      <c r="E32" s="108" t="n">
        <f aca="false">'CORE DWNLD'!E32+'CORE DELTA'!E32</f>
        <v>0.96</v>
      </c>
      <c r="F32" s="108" t="n">
        <f aca="false">'CORE DWNLD'!F32+'CORE DELTA'!F32</f>
        <v>0.96</v>
      </c>
      <c r="G32" s="108" t="n">
        <f aca="false">'CORE DWNLD'!G32+'CORE DELTA'!G32</f>
        <v>0.984107647518451</v>
      </c>
      <c r="H32" s="108" t="n">
        <f aca="false">'CORE DWNLD'!H32+'CORE DELTA'!H32</f>
        <v>0.99</v>
      </c>
      <c r="I32" s="108" t="n">
        <f aca="false">'CORE DWNLD'!I32+'CORE DELTA'!I32</f>
        <v>0.905775860471433</v>
      </c>
      <c r="J32" s="108" t="n">
        <f aca="false">'CORE DWNLD'!J32+'CORE DELTA'!J32</f>
        <v>0.995</v>
      </c>
      <c r="K32" s="108" t="n">
        <f aca="false">'CORE DWNLD'!K32+'CORE DELTA'!K32</f>
        <v>0.98</v>
      </c>
      <c r="L32" s="108" t="n">
        <f aca="false">'CORE DWNLD'!L32+'CORE DELTA'!L32</f>
        <v>0.99</v>
      </c>
      <c r="M32" s="108" t="n">
        <f aca="false">'CORE DWNLD'!M32+'CORE DELTA'!M32</f>
        <v>1.005</v>
      </c>
      <c r="N32" s="108" t="n">
        <f aca="false">'CORE DWNLD'!N32+'CORE DELTA'!N32</f>
        <v>0.99</v>
      </c>
      <c r="O32" s="108" t="n">
        <f aca="false">'CORE DWNLD'!O32+'CORE DELTA'!O32</f>
        <v>0.96</v>
      </c>
    </row>
    <row r="33" customFormat="false" ht="12.75" hidden="false" customHeight="false" outlineLevel="0" collapsed="false">
      <c r="A33" s="158" t="n">
        <v>37681</v>
      </c>
      <c r="B33" s="108" t="n">
        <f aca="false">'CORE DWNLD'!B33+'CORE DELTA'!B33</f>
        <v>0.999</v>
      </c>
      <c r="C33" s="108" t="n">
        <f aca="false">'CORE DWNLD'!C33+'CORE DELTA'!C33</f>
        <v>0.999</v>
      </c>
      <c r="D33" s="108" t="n">
        <f aca="false">'CORE DWNLD'!D33+'CORE DELTA'!D33</f>
        <v>0.995</v>
      </c>
      <c r="E33" s="108" t="n">
        <f aca="false">'CORE DWNLD'!E33+'CORE DELTA'!E33</f>
        <v>0.96</v>
      </c>
      <c r="F33" s="108" t="n">
        <f aca="false">'CORE DWNLD'!F33+'CORE DELTA'!F33</f>
        <v>0.96</v>
      </c>
      <c r="G33" s="108" t="n">
        <f aca="false">'CORE DWNLD'!G33+'CORE DELTA'!G33</f>
        <v>0.984107647518451</v>
      </c>
      <c r="H33" s="108" t="n">
        <f aca="false">'CORE DWNLD'!H33+'CORE DELTA'!H33</f>
        <v>0.99</v>
      </c>
      <c r="I33" s="108" t="n">
        <f aca="false">'CORE DWNLD'!I33+'CORE DELTA'!I33</f>
        <v>0.905775860471433</v>
      </c>
      <c r="J33" s="108" t="n">
        <f aca="false">'CORE DWNLD'!J33+'CORE DELTA'!J33</f>
        <v>0.995</v>
      </c>
      <c r="K33" s="108" t="n">
        <f aca="false">'CORE DWNLD'!K33+'CORE DELTA'!K33</f>
        <v>0.98</v>
      </c>
      <c r="L33" s="108" t="n">
        <f aca="false">'CORE DWNLD'!L33+'CORE DELTA'!L33</f>
        <v>0.99</v>
      </c>
      <c r="M33" s="108" t="n">
        <f aca="false">'CORE DWNLD'!M33+'CORE DELTA'!M33</f>
        <v>1.005</v>
      </c>
      <c r="N33" s="108" t="n">
        <f aca="false">'CORE DWNLD'!N33+'CORE DELTA'!N33</f>
        <v>0.99</v>
      </c>
      <c r="O33" s="108" t="n">
        <f aca="false">'CORE DWNLD'!O33+'CORE DELTA'!O33</f>
        <v>0.96</v>
      </c>
    </row>
    <row r="34" customFormat="false" ht="12.75" hidden="false" customHeight="false" outlineLevel="0" collapsed="false">
      <c r="A34" s="158" t="n">
        <v>37712</v>
      </c>
      <c r="B34" s="108" t="n">
        <f aca="false">'CORE DWNLD'!B34+'CORE DELTA'!B34</f>
        <v>0.999</v>
      </c>
      <c r="C34" s="108" t="n">
        <f aca="false">'CORE DWNLD'!C34+'CORE DELTA'!C34</f>
        <v>0.999</v>
      </c>
      <c r="D34" s="108" t="n">
        <f aca="false">'CORE DWNLD'!D34+'CORE DELTA'!D34</f>
        <v>0.995</v>
      </c>
      <c r="E34" s="108" t="n">
        <f aca="false">'CORE DWNLD'!E34+'CORE DELTA'!E34</f>
        <v>0.96</v>
      </c>
      <c r="F34" s="108" t="n">
        <f aca="false">'CORE DWNLD'!F34+'CORE DELTA'!F34</f>
        <v>0.96</v>
      </c>
      <c r="G34" s="108" t="n">
        <f aca="false">'CORE DWNLD'!G34+'CORE DELTA'!G34</f>
        <v>0.994071440191916</v>
      </c>
      <c r="H34" s="108" t="n">
        <f aca="false">'CORE DWNLD'!H34+'CORE DELTA'!H34</f>
        <v>0.99</v>
      </c>
      <c r="I34" s="108" t="n">
        <f aca="false">'CORE DWNLD'!I34+'CORE DELTA'!I34</f>
        <v>0.980420749757432</v>
      </c>
      <c r="J34" s="108" t="n">
        <f aca="false">'CORE DWNLD'!J34+'CORE DELTA'!J34</f>
        <v>0.995</v>
      </c>
      <c r="K34" s="108" t="n">
        <f aca="false">'CORE DWNLD'!K34+'CORE DELTA'!K34</f>
        <v>0.98</v>
      </c>
      <c r="L34" s="108" t="n">
        <f aca="false">'CORE DWNLD'!L34+'CORE DELTA'!L34</f>
        <v>0.99</v>
      </c>
      <c r="M34" s="108" t="n">
        <f aca="false">'CORE DWNLD'!M34+'CORE DELTA'!M34</f>
        <v>1.005</v>
      </c>
      <c r="N34" s="108" t="n">
        <f aca="false">'CORE DWNLD'!N34+'CORE DELTA'!N34</f>
        <v>0.99</v>
      </c>
      <c r="O34" s="108" t="n">
        <f aca="false">'CORE DWNLD'!O34+'CORE DELTA'!O34</f>
        <v>0.96</v>
      </c>
    </row>
    <row r="35" customFormat="false" ht="12.75" hidden="false" customHeight="false" outlineLevel="0" collapsed="false">
      <c r="A35" s="158" t="n">
        <v>37742</v>
      </c>
      <c r="B35" s="108" t="n">
        <f aca="false">'CORE DWNLD'!B35+'CORE DELTA'!B35</f>
        <v>0.999</v>
      </c>
      <c r="C35" s="108" t="n">
        <f aca="false">'CORE DWNLD'!C35+'CORE DELTA'!C35</f>
        <v>0.999</v>
      </c>
      <c r="D35" s="108" t="n">
        <f aca="false">'CORE DWNLD'!D35+'CORE DELTA'!D35</f>
        <v>0.995</v>
      </c>
      <c r="E35" s="108" t="n">
        <f aca="false">'CORE DWNLD'!E35+'CORE DELTA'!E35</f>
        <v>0.96</v>
      </c>
      <c r="F35" s="108" t="n">
        <f aca="false">'CORE DWNLD'!F35+'CORE DELTA'!F35</f>
        <v>0.96</v>
      </c>
      <c r="G35" s="108" t="n">
        <f aca="false">'CORE DWNLD'!G35+'CORE DELTA'!G35</f>
        <v>0.994071440191916</v>
      </c>
      <c r="H35" s="108" t="n">
        <f aca="false">'CORE DWNLD'!H35+'CORE DELTA'!H35</f>
        <v>0.99</v>
      </c>
      <c r="I35" s="108" t="n">
        <f aca="false">'CORE DWNLD'!I35+'CORE DELTA'!I35</f>
        <v>0.980420749757432</v>
      </c>
      <c r="J35" s="108" t="n">
        <f aca="false">'CORE DWNLD'!J35+'CORE DELTA'!J35</f>
        <v>0.995</v>
      </c>
      <c r="K35" s="108" t="n">
        <f aca="false">'CORE DWNLD'!K35+'CORE DELTA'!K35</f>
        <v>0.98</v>
      </c>
      <c r="L35" s="108" t="n">
        <f aca="false">'CORE DWNLD'!L35+'CORE DELTA'!L35</f>
        <v>0.99</v>
      </c>
      <c r="M35" s="108" t="n">
        <f aca="false">'CORE DWNLD'!M35+'CORE DELTA'!M35</f>
        <v>1.005</v>
      </c>
      <c r="N35" s="108" t="n">
        <f aca="false">'CORE DWNLD'!N35+'CORE DELTA'!N35</f>
        <v>0.99</v>
      </c>
      <c r="O35" s="108" t="n">
        <f aca="false">'CORE DWNLD'!O35+'CORE DELTA'!O35</f>
        <v>0.96</v>
      </c>
    </row>
    <row r="36" customFormat="false" ht="12.75" hidden="false" customHeight="false" outlineLevel="0" collapsed="false">
      <c r="A36" s="158" t="n">
        <v>37773</v>
      </c>
      <c r="B36" s="108" t="n">
        <f aca="false">'CORE DWNLD'!B36+'CORE DELTA'!B36</f>
        <v>0.999</v>
      </c>
      <c r="C36" s="108" t="n">
        <f aca="false">'CORE DWNLD'!C36+'CORE DELTA'!C36</f>
        <v>0.999</v>
      </c>
      <c r="D36" s="108" t="n">
        <f aca="false">'CORE DWNLD'!D36+'CORE DELTA'!D36</f>
        <v>0.995</v>
      </c>
      <c r="E36" s="108" t="n">
        <f aca="false">'CORE DWNLD'!E36+'CORE DELTA'!E36</f>
        <v>0.96</v>
      </c>
      <c r="F36" s="108" t="n">
        <f aca="false">'CORE DWNLD'!F36+'CORE DELTA'!F36</f>
        <v>0.96</v>
      </c>
      <c r="G36" s="108" t="n">
        <f aca="false">'CORE DWNLD'!G36+'CORE DELTA'!G36</f>
        <v>0.994071440191916</v>
      </c>
      <c r="H36" s="108" t="n">
        <f aca="false">'CORE DWNLD'!H36+'CORE DELTA'!H36</f>
        <v>0.99</v>
      </c>
      <c r="I36" s="108" t="n">
        <f aca="false">'CORE DWNLD'!I36+'CORE DELTA'!I36</f>
        <v>0.980420749757432</v>
      </c>
      <c r="J36" s="108" t="n">
        <f aca="false">'CORE DWNLD'!J36+'CORE DELTA'!J36</f>
        <v>0.995</v>
      </c>
      <c r="K36" s="108" t="n">
        <f aca="false">'CORE DWNLD'!K36+'CORE DELTA'!K36</f>
        <v>0.98</v>
      </c>
      <c r="L36" s="108" t="n">
        <f aca="false">'CORE DWNLD'!L36+'CORE DELTA'!L36</f>
        <v>0.99</v>
      </c>
      <c r="M36" s="108" t="n">
        <f aca="false">'CORE DWNLD'!M36+'CORE DELTA'!M36</f>
        <v>1.005</v>
      </c>
      <c r="N36" s="108" t="n">
        <f aca="false">'CORE DWNLD'!N36+'CORE DELTA'!N36</f>
        <v>0.99</v>
      </c>
      <c r="O36" s="108" t="n">
        <f aca="false">'CORE DWNLD'!O36+'CORE DELTA'!O36</f>
        <v>0.96</v>
      </c>
    </row>
    <row r="37" customFormat="false" ht="12.75" hidden="false" customHeight="false" outlineLevel="0" collapsed="false">
      <c r="A37" s="158" t="n">
        <v>37803</v>
      </c>
      <c r="B37" s="108" t="n">
        <f aca="false">'CORE DWNLD'!B37+'CORE DELTA'!B37</f>
        <v>0.999</v>
      </c>
      <c r="C37" s="108" t="n">
        <f aca="false">'CORE DWNLD'!C37+'CORE DELTA'!C37</f>
        <v>0.999</v>
      </c>
      <c r="D37" s="108" t="n">
        <f aca="false">'CORE DWNLD'!D37+'CORE DELTA'!D37</f>
        <v>0.995</v>
      </c>
      <c r="E37" s="108" t="n">
        <f aca="false">'CORE DWNLD'!E37+'CORE DELTA'!E37</f>
        <v>0.96</v>
      </c>
      <c r="F37" s="108" t="n">
        <f aca="false">'CORE DWNLD'!F37+'CORE DELTA'!F37</f>
        <v>0.96</v>
      </c>
      <c r="G37" s="108" t="n">
        <f aca="false">'CORE DWNLD'!G37+'CORE DELTA'!G37</f>
        <v>0.994071440191916</v>
      </c>
      <c r="H37" s="108" t="n">
        <f aca="false">'CORE DWNLD'!H37+'CORE DELTA'!H37</f>
        <v>0.99</v>
      </c>
      <c r="I37" s="108" t="n">
        <f aca="false">'CORE DWNLD'!I37+'CORE DELTA'!I37</f>
        <v>0.980420749757432</v>
      </c>
      <c r="J37" s="108" t="n">
        <f aca="false">'CORE DWNLD'!J37+'CORE DELTA'!J37</f>
        <v>0.995</v>
      </c>
      <c r="K37" s="108" t="n">
        <f aca="false">'CORE DWNLD'!K37+'CORE DELTA'!K37</f>
        <v>0.98</v>
      </c>
      <c r="L37" s="108" t="n">
        <f aca="false">'CORE DWNLD'!L37+'CORE DELTA'!L37</f>
        <v>0.99</v>
      </c>
      <c r="M37" s="108" t="n">
        <f aca="false">'CORE DWNLD'!M37+'CORE DELTA'!M37</f>
        <v>1.005</v>
      </c>
      <c r="N37" s="108" t="n">
        <f aca="false">'CORE DWNLD'!N37+'CORE DELTA'!N37</f>
        <v>0.99</v>
      </c>
      <c r="O37" s="108" t="n">
        <f aca="false">'CORE DWNLD'!O37+'CORE DELTA'!O37</f>
        <v>0.96</v>
      </c>
    </row>
    <row r="38" customFormat="false" ht="12.75" hidden="false" customHeight="false" outlineLevel="0" collapsed="false">
      <c r="A38" s="158" t="n">
        <v>37834</v>
      </c>
      <c r="B38" s="108" t="n">
        <f aca="false">'CORE DWNLD'!B38+'CORE DELTA'!B38</f>
        <v>0.999</v>
      </c>
      <c r="C38" s="108" t="n">
        <f aca="false">'CORE DWNLD'!C38+'CORE DELTA'!C38</f>
        <v>0.999</v>
      </c>
      <c r="D38" s="108" t="n">
        <f aca="false">'CORE DWNLD'!D38+'CORE DELTA'!D38</f>
        <v>0.995</v>
      </c>
      <c r="E38" s="108" t="n">
        <f aca="false">'CORE DWNLD'!E38+'CORE DELTA'!E38</f>
        <v>0.96</v>
      </c>
      <c r="F38" s="108" t="n">
        <f aca="false">'CORE DWNLD'!F38+'CORE DELTA'!F38</f>
        <v>0.96</v>
      </c>
      <c r="G38" s="108" t="n">
        <f aca="false">'CORE DWNLD'!G38+'CORE DELTA'!G38</f>
        <v>0.994071440191916</v>
      </c>
      <c r="H38" s="108" t="n">
        <f aca="false">'CORE DWNLD'!H38+'CORE DELTA'!H38</f>
        <v>0.99</v>
      </c>
      <c r="I38" s="108" t="n">
        <f aca="false">'CORE DWNLD'!I38+'CORE DELTA'!I38</f>
        <v>0.980420749757432</v>
      </c>
      <c r="J38" s="108" t="n">
        <f aca="false">'CORE DWNLD'!J38+'CORE DELTA'!J38</f>
        <v>0.995</v>
      </c>
      <c r="K38" s="108" t="n">
        <f aca="false">'CORE DWNLD'!K38+'CORE DELTA'!K38</f>
        <v>0.98</v>
      </c>
      <c r="L38" s="108" t="n">
        <f aca="false">'CORE DWNLD'!L38+'CORE DELTA'!L38</f>
        <v>0.99</v>
      </c>
      <c r="M38" s="108" t="n">
        <f aca="false">'CORE DWNLD'!M38+'CORE DELTA'!M38</f>
        <v>1.005</v>
      </c>
      <c r="N38" s="108" t="n">
        <f aca="false">'CORE DWNLD'!N38+'CORE DELTA'!N38</f>
        <v>0.99</v>
      </c>
      <c r="O38" s="108" t="n">
        <f aca="false">'CORE DWNLD'!O38+'CORE DELTA'!O38</f>
        <v>0.96</v>
      </c>
    </row>
    <row r="39" customFormat="false" ht="12.75" hidden="false" customHeight="false" outlineLevel="0" collapsed="false">
      <c r="A39" s="158" t="n">
        <v>37865</v>
      </c>
      <c r="B39" s="108" t="n">
        <f aca="false">'CORE DWNLD'!B39+'CORE DELTA'!B39</f>
        <v>0.999</v>
      </c>
      <c r="C39" s="108" t="n">
        <f aca="false">'CORE DWNLD'!C39+'CORE DELTA'!C39</f>
        <v>0.999</v>
      </c>
      <c r="D39" s="108" t="n">
        <f aca="false">'CORE DWNLD'!D39+'CORE DELTA'!D39</f>
        <v>0.995</v>
      </c>
      <c r="E39" s="108" t="n">
        <f aca="false">'CORE DWNLD'!E39+'CORE DELTA'!E39</f>
        <v>0.96</v>
      </c>
      <c r="F39" s="108" t="n">
        <f aca="false">'CORE DWNLD'!F39+'CORE DELTA'!F39</f>
        <v>0.96</v>
      </c>
      <c r="G39" s="108" t="n">
        <f aca="false">'CORE DWNLD'!G39+'CORE DELTA'!G39</f>
        <v>0.994071440191916</v>
      </c>
      <c r="H39" s="108" t="n">
        <f aca="false">'CORE DWNLD'!H39+'CORE DELTA'!H39</f>
        <v>0.99</v>
      </c>
      <c r="I39" s="108" t="n">
        <f aca="false">'CORE DWNLD'!I39+'CORE DELTA'!I39</f>
        <v>0.980420749757432</v>
      </c>
      <c r="J39" s="108" t="n">
        <f aca="false">'CORE DWNLD'!J39+'CORE DELTA'!J39</f>
        <v>0.995</v>
      </c>
      <c r="K39" s="108" t="n">
        <f aca="false">'CORE DWNLD'!K39+'CORE DELTA'!K39</f>
        <v>0.98</v>
      </c>
      <c r="L39" s="108" t="n">
        <f aca="false">'CORE DWNLD'!L39+'CORE DELTA'!L39</f>
        <v>0.99</v>
      </c>
      <c r="M39" s="108" t="n">
        <f aca="false">'CORE DWNLD'!M39+'CORE DELTA'!M39</f>
        <v>1.005</v>
      </c>
      <c r="N39" s="108" t="n">
        <f aca="false">'CORE DWNLD'!N39+'CORE DELTA'!N39</f>
        <v>0.99</v>
      </c>
      <c r="O39" s="108" t="n">
        <f aca="false">'CORE DWNLD'!O39+'CORE DELTA'!O39</f>
        <v>0.96</v>
      </c>
    </row>
    <row r="40" customFormat="false" ht="12.75" hidden="false" customHeight="false" outlineLevel="0" collapsed="false">
      <c r="A40" s="158" t="n">
        <v>37895</v>
      </c>
      <c r="B40" s="108" t="n">
        <f aca="false">'CORE DWNLD'!B40+'CORE DELTA'!B40</f>
        <v>0.999</v>
      </c>
      <c r="C40" s="108" t="n">
        <f aca="false">'CORE DWNLD'!C40+'CORE DELTA'!C40</f>
        <v>0.999</v>
      </c>
      <c r="D40" s="108" t="n">
        <f aca="false">'CORE DWNLD'!D40+'CORE DELTA'!D40</f>
        <v>0.995</v>
      </c>
      <c r="E40" s="108" t="n">
        <f aca="false">'CORE DWNLD'!E40+'CORE DELTA'!E40</f>
        <v>0.96</v>
      </c>
      <c r="F40" s="108" t="n">
        <f aca="false">'CORE DWNLD'!F40+'CORE DELTA'!F40</f>
        <v>0.96</v>
      </c>
      <c r="G40" s="108" t="n">
        <f aca="false">'CORE DWNLD'!G40+'CORE DELTA'!G40</f>
        <v>0.994071440191916</v>
      </c>
      <c r="H40" s="108" t="n">
        <f aca="false">'CORE DWNLD'!H40+'CORE DELTA'!H40</f>
        <v>0.99</v>
      </c>
      <c r="I40" s="108" t="n">
        <f aca="false">'CORE DWNLD'!I40+'CORE DELTA'!I40</f>
        <v>0.980420749757432</v>
      </c>
      <c r="J40" s="108" t="n">
        <f aca="false">'CORE DWNLD'!J40+'CORE DELTA'!J40</f>
        <v>0.995</v>
      </c>
      <c r="K40" s="108" t="n">
        <f aca="false">'CORE DWNLD'!K40+'CORE DELTA'!K40</f>
        <v>0.98</v>
      </c>
      <c r="L40" s="108" t="n">
        <f aca="false">'CORE DWNLD'!L40+'CORE DELTA'!L40</f>
        <v>0.99</v>
      </c>
      <c r="M40" s="108" t="n">
        <f aca="false">'CORE DWNLD'!M40+'CORE DELTA'!M40</f>
        <v>1.005</v>
      </c>
      <c r="N40" s="108" t="n">
        <f aca="false">'CORE DWNLD'!N40+'CORE DELTA'!N40</f>
        <v>0.99</v>
      </c>
      <c r="O40" s="108" t="n">
        <f aca="false">'CORE DWNLD'!O40+'CORE DELTA'!O40</f>
        <v>0.96</v>
      </c>
    </row>
    <row r="41" customFormat="false" ht="12.75" hidden="false" customHeight="false" outlineLevel="0" collapsed="false">
      <c r="A41" s="158" t="n">
        <v>37926</v>
      </c>
      <c r="B41" s="108" t="n">
        <f aca="false">'CORE DWNLD'!B41+'CORE DELTA'!B41</f>
        <v>0.999</v>
      </c>
      <c r="C41" s="108" t="n">
        <f aca="false">'CORE DWNLD'!C41+'CORE DELTA'!C41</f>
        <v>0.999</v>
      </c>
      <c r="D41" s="108" t="n">
        <f aca="false">'CORE DWNLD'!D41+'CORE DELTA'!D41</f>
        <v>0.995</v>
      </c>
      <c r="E41" s="108" t="n">
        <f aca="false">'CORE DWNLD'!E41+'CORE DELTA'!E41</f>
        <v>0.96</v>
      </c>
      <c r="F41" s="108" t="n">
        <f aca="false">'CORE DWNLD'!F41+'CORE DELTA'!F41</f>
        <v>0.96</v>
      </c>
      <c r="G41" s="108" t="n">
        <f aca="false">'CORE DWNLD'!G41+'CORE DELTA'!G41</f>
        <v>0.984107647518451</v>
      </c>
      <c r="H41" s="108" t="n">
        <f aca="false">'CORE DWNLD'!H41+'CORE DELTA'!H41</f>
        <v>0.99</v>
      </c>
      <c r="I41" s="108" t="n">
        <f aca="false">'CORE DWNLD'!I41+'CORE DELTA'!I41</f>
        <v>0.905775860471433</v>
      </c>
      <c r="J41" s="108" t="n">
        <f aca="false">'CORE DWNLD'!J41+'CORE DELTA'!J41</f>
        <v>0.995</v>
      </c>
      <c r="K41" s="108" t="n">
        <f aca="false">'CORE DWNLD'!K41+'CORE DELTA'!K41</f>
        <v>0.98</v>
      </c>
      <c r="L41" s="108" t="n">
        <f aca="false">'CORE DWNLD'!L41+'CORE DELTA'!L41</f>
        <v>0.99</v>
      </c>
      <c r="M41" s="108" t="n">
        <f aca="false">'CORE DWNLD'!M41+'CORE DELTA'!M41</f>
        <v>1.005</v>
      </c>
      <c r="N41" s="108" t="n">
        <f aca="false">'CORE DWNLD'!N41+'CORE DELTA'!N41</f>
        <v>0.99</v>
      </c>
      <c r="O41" s="108" t="n">
        <f aca="false">'CORE DWNLD'!O41+'CORE DELTA'!O41</f>
        <v>0.96</v>
      </c>
    </row>
    <row r="42" customFormat="false" ht="12.75" hidden="false" customHeight="false" outlineLevel="0" collapsed="false">
      <c r="A42" s="158" t="n">
        <v>37956</v>
      </c>
      <c r="B42" s="108" t="n">
        <f aca="false">'CORE DWNLD'!B42+'CORE DELTA'!B42</f>
        <v>0.999</v>
      </c>
      <c r="C42" s="108" t="n">
        <f aca="false">'CORE DWNLD'!C42+'CORE DELTA'!C42</f>
        <v>0.999</v>
      </c>
      <c r="D42" s="108" t="n">
        <f aca="false">'CORE DWNLD'!D42+'CORE DELTA'!D42</f>
        <v>0.995</v>
      </c>
      <c r="E42" s="108" t="n">
        <f aca="false">'CORE DWNLD'!E42+'CORE DELTA'!E42</f>
        <v>0.96</v>
      </c>
      <c r="F42" s="108" t="n">
        <f aca="false">'CORE DWNLD'!F42+'CORE DELTA'!F42</f>
        <v>0.96</v>
      </c>
      <c r="G42" s="108" t="n">
        <f aca="false">'CORE DWNLD'!G42+'CORE DELTA'!G42</f>
        <v>0.984107647518451</v>
      </c>
      <c r="H42" s="108" t="n">
        <f aca="false">'CORE DWNLD'!H42+'CORE DELTA'!H42</f>
        <v>0.99</v>
      </c>
      <c r="I42" s="108" t="n">
        <f aca="false">'CORE DWNLD'!I42+'CORE DELTA'!I42</f>
        <v>0.905775860471433</v>
      </c>
      <c r="J42" s="108" t="n">
        <f aca="false">'CORE DWNLD'!J42+'CORE DELTA'!J42</f>
        <v>0.995</v>
      </c>
      <c r="K42" s="108" t="n">
        <f aca="false">'CORE DWNLD'!K42+'CORE DELTA'!K42</f>
        <v>0.98</v>
      </c>
      <c r="L42" s="108" t="n">
        <f aca="false">'CORE DWNLD'!L42+'CORE DELTA'!L42</f>
        <v>0.99</v>
      </c>
      <c r="M42" s="108" t="n">
        <f aca="false">'CORE DWNLD'!M42+'CORE DELTA'!M42</f>
        <v>1.005</v>
      </c>
      <c r="N42" s="108" t="n">
        <f aca="false">'CORE DWNLD'!N42+'CORE DELTA'!N42</f>
        <v>0.99</v>
      </c>
      <c r="O42" s="108" t="n">
        <f aca="false">'CORE DWNLD'!O42+'CORE DELTA'!O42</f>
        <v>0.96</v>
      </c>
    </row>
    <row r="43" customFormat="false" ht="12.75" hidden="false" customHeight="false" outlineLevel="0" collapsed="false">
      <c r="A43" s="158" t="n">
        <v>37987</v>
      </c>
      <c r="B43" s="108" t="n">
        <f aca="false">'CORE DWNLD'!B43+'CORE DELTA'!B43</f>
        <v>0.999</v>
      </c>
      <c r="C43" s="108" t="n">
        <f aca="false">'CORE DWNLD'!C43+'CORE DELTA'!C43</f>
        <v>0.999</v>
      </c>
      <c r="D43" s="108" t="n">
        <f aca="false">'CORE DWNLD'!D43+'CORE DELTA'!D43</f>
        <v>0.995</v>
      </c>
      <c r="E43" s="108" t="n">
        <f aca="false">'CORE DWNLD'!E43+'CORE DELTA'!E43</f>
        <v>0.96</v>
      </c>
      <c r="F43" s="108" t="n">
        <f aca="false">'CORE DWNLD'!F43+'CORE DELTA'!F43</f>
        <v>0.96</v>
      </c>
      <c r="G43" s="108" t="n">
        <f aca="false">'CORE DWNLD'!G43+'CORE DELTA'!G43</f>
        <v>0.984107647518451</v>
      </c>
      <c r="H43" s="108" t="n">
        <f aca="false">'CORE DWNLD'!H43+'CORE DELTA'!H43</f>
        <v>0.99</v>
      </c>
      <c r="I43" s="108" t="n">
        <f aca="false">'CORE DWNLD'!I43+'CORE DELTA'!I43</f>
        <v>0.905775860471433</v>
      </c>
      <c r="J43" s="108" t="n">
        <f aca="false">'CORE DWNLD'!J43+'CORE DELTA'!J43</f>
        <v>0.995</v>
      </c>
      <c r="K43" s="108" t="n">
        <f aca="false">'CORE DWNLD'!K43+'CORE DELTA'!K43</f>
        <v>0.98</v>
      </c>
      <c r="L43" s="108" t="n">
        <f aca="false">'CORE DWNLD'!L43+'CORE DELTA'!L43</f>
        <v>0.99</v>
      </c>
      <c r="M43" s="108" t="n">
        <f aca="false">'CORE DWNLD'!M43+'CORE DELTA'!M43</f>
        <v>1.005</v>
      </c>
      <c r="N43" s="108" t="n">
        <f aca="false">'CORE DWNLD'!N43+'CORE DELTA'!N43</f>
        <v>0.99</v>
      </c>
      <c r="O43" s="108" t="n">
        <f aca="false">'CORE DWNLD'!O43+'CORE DELTA'!O43</f>
        <v>0.96</v>
      </c>
    </row>
    <row r="44" customFormat="false" ht="12.75" hidden="false" customHeight="false" outlineLevel="0" collapsed="false">
      <c r="A44" s="158" t="n">
        <v>38018</v>
      </c>
      <c r="B44" s="108" t="n">
        <f aca="false">'CORE DWNLD'!B44+'CORE DELTA'!B44</f>
        <v>0.999</v>
      </c>
      <c r="C44" s="108" t="n">
        <f aca="false">'CORE DWNLD'!C44+'CORE DELTA'!C44</f>
        <v>0.999</v>
      </c>
      <c r="D44" s="108" t="n">
        <f aca="false">'CORE DWNLD'!D44+'CORE DELTA'!D44</f>
        <v>0.995</v>
      </c>
      <c r="E44" s="108" t="n">
        <f aca="false">'CORE DWNLD'!E44+'CORE DELTA'!E44</f>
        <v>0.96</v>
      </c>
      <c r="F44" s="108" t="n">
        <f aca="false">'CORE DWNLD'!F44+'CORE DELTA'!F44</f>
        <v>0.96</v>
      </c>
      <c r="G44" s="108" t="n">
        <f aca="false">'CORE DWNLD'!G44+'CORE DELTA'!G44</f>
        <v>0.984107647518451</v>
      </c>
      <c r="H44" s="108" t="n">
        <f aca="false">'CORE DWNLD'!H44+'CORE DELTA'!H44</f>
        <v>0.99</v>
      </c>
      <c r="I44" s="108" t="n">
        <f aca="false">'CORE DWNLD'!I44+'CORE DELTA'!I44</f>
        <v>0.905775860471433</v>
      </c>
      <c r="J44" s="108" t="n">
        <f aca="false">'CORE DWNLD'!J44+'CORE DELTA'!J44</f>
        <v>0.995</v>
      </c>
      <c r="K44" s="108" t="n">
        <f aca="false">'CORE DWNLD'!K44+'CORE DELTA'!K44</f>
        <v>0.98</v>
      </c>
      <c r="L44" s="108" t="n">
        <f aca="false">'CORE DWNLD'!L44+'CORE DELTA'!L44</f>
        <v>0.99</v>
      </c>
      <c r="M44" s="108" t="n">
        <f aca="false">'CORE DWNLD'!M44+'CORE DELTA'!M44</f>
        <v>1.005</v>
      </c>
      <c r="N44" s="108" t="n">
        <f aca="false">'CORE DWNLD'!N44+'CORE DELTA'!N44</f>
        <v>0.99</v>
      </c>
      <c r="O44" s="108" t="n">
        <f aca="false">'CORE DWNLD'!O44+'CORE DELTA'!O44</f>
        <v>0.96</v>
      </c>
    </row>
    <row r="45" customFormat="false" ht="12.75" hidden="false" customHeight="false" outlineLevel="0" collapsed="false">
      <c r="A45" s="158" t="n">
        <v>38047</v>
      </c>
      <c r="B45" s="108" t="n">
        <f aca="false">'CORE DWNLD'!B45+'CORE DELTA'!B45</f>
        <v>0.999</v>
      </c>
      <c r="C45" s="108" t="n">
        <f aca="false">'CORE DWNLD'!C45+'CORE DELTA'!C45</f>
        <v>0.999</v>
      </c>
      <c r="D45" s="108" t="n">
        <f aca="false">'CORE DWNLD'!D45+'CORE DELTA'!D45</f>
        <v>0.995</v>
      </c>
      <c r="E45" s="108" t="n">
        <f aca="false">'CORE DWNLD'!E45+'CORE DELTA'!E45</f>
        <v>0.96</v>
      </c>
      <c r="F45" s="108" t="n">
        <f aca="false">'CORE DWNLD'!F45+'CORE DELTA'!F45</f>
        <v>0.96</v>
      </c>
      <c r="G45" s="108" t="n">
        <f aca="false">'CORE DWNLD'!G45+'CORE DELTA'!G45</f>
        <v>0.984107647518451</v>
      </c>
      <c r="H45" s="108" t="n">
        <f aca="false">'CORE DWNLD'!H45+'CORE DELTA'!H45</f>
        <v>0.99</v>
      </c>
      <c r="I45" s="108" t="n">
        <f aca="false">'CORE DWNLD'!I45+'CORE DELTA'!I45</f>
        <v>0.905775860471433</v>
      </c>
      <c r="J45" s="108" t="n">
        <f aca="false">'CORE DWNLD'!J45+'CORE DELTA'!J45</f>
        <v>0.995</v>
      </c>
      <c r="K45" s="108" t="n">
        <f aca="false">'CORE DWNLD'!K45+'CORE DELTA'!K45</f>
        <v>0.98</v>
      </c>
      <c r="L45" s="108" t="n">
        <f aca="false">'CORE DWNLD'!L45+'CORE DELTA'!L45</f>
        <v>0.99</v>
      </c>
      <c r="M45" s="108" t="n">
        <f aca="false">'CORE DWNLD'!M45+'CORE DELTA'!M45</f>
        <v>1.005</v>
      </c>
      <c r="N45" s="108" t="n">
        <f aca="false">'CORE DWNLD'!N45+'CORE DELTA'!N45</f>
        <v>0.99</v>
      </c>
      <c r="O45" s="108" t="n">
        <f aca="false">'CORE DWNLD'!O45+'CORE DELTA'!O45</f>
        <v>0.96</v>
      </c>
    </row>
    <row r="46" customFormat="false" ht="12.75" hidden="false" customHeight="false" outlineLevel="0" collapsed="false">
      <c r="A46" s="158" t="n">
        <v>38078</v>
      </c>
      <c r="B46" s="108" t="n">
        <f aca="false">'CORE DWNLD'!B46+'CORE DELTA'!B46</f>
        <v>0.999</v>
      </c>
      <c r="C46" s="108" t="n">
        <f aca="false">'CORE DWNLD'!C46+'CORE DELTA'!C46</f>
        <v>0.999</v>
      </c>
      <c r="D46" s="108" t="n">
        <f aca="false">'CORE DWNLD'!D46+'CORE DELTA'!D46</f>
        <v>0.995</v>
      </c>
      <c r="E46" s="108" t="n">
        <f aca="false">'CORE DWNLD'!E46+'CORE DELTA'!E46</f>
        <v>0.96</v>
      </c>
      <c r="F46" s="108" t="n">
        <f aca="false">'CORE DWNLD'!F46+'CORE DELTA'!F46</f>
        <v>0.96</v>
      </c>
      <c r="G46" s="108" t="n">
        <f aca="false">'CORE DWNLD'!G46+'CORE DELTA'!G46</f>
        <v>0.994071440191916</v>
      </c>
      <c r="H46" s="108" t="n">
        <f aca="false">'CORE DWNLD'!H46+'CORE DELTA'!H46</f>
        <v>0.99</v>
      </c>
      <c r="I46" s="108" t="n">
        <f aca="false">'CORE DWNLD'!I46+'CORE DELTA'!I46</f>
        <v>0.980420749757432</v>
      </c>
      <c r="J46" s="108" t="n">
        <f aca="false">'CORE DWNLD'!J46+'CORE DELTA'!J46</f>
        <v>0.995</v>
      </c>
      <c r="K46" s="108" t="n">
        <f aca="false">'CORE DWNLD'!K46+'CORE DELTA'!K46</f>
        <v>0.98</v>
      </c>
      <c r="L46" s="108" t="n">
        <f aca="false">'CORE DWNLD'!L46+'CORE DELTA'!L46</f>
        <v>0.99</v>
      </c>
      <c r="M46" s="108" t="n">
        <f aca="false">'CORE DWNLD'!M46+'CORE DELTA'!M46</f>
        <v>1.005</v>
      </c>
      <c r="N46" s="108" t="n">
        <f aca="false">'CORE DWNLD'!N46+'CORE DELTA'!N46</f>
        <v>0.99</v>
      </c>
      <c r="O46" s="108" t="n">
        <f aca="false">'CORE DWNLD'!O46+'CORE DELTA'!O46</f>
        <v>0.96</v>
      </c>
    </row>
    <row r="47" customFormat="false" ht="12.75" hidden="false" customHeight="false" outlineLevel="0" collapsed="false">
      <c r="A47" s="158" t="n">
        <v>38108</v>
      </c>
      <c r="B47" s="108" t="n">
        <f aca="false">'CORE DWNLD'!B47+'CORE DELTA'!B47</f>
        <v>0.999</v>
      </c>
      <c r="C47" s="108" t="n">
        <f aca="false">'CORE DWNLD'!C47+'CORE DELTA'!C47</f>
        <v>0.999</v>
      </c>
      <c r="D47" s="108" t="n">
        <f aca="false">'CORE DWNLD'!D47+'CORE DELTA'!D47</f>
        <v>0.995</v>
      </c>
      <c r="E47" s="108" t="n">
        <f aca="false">'CORE DWNLD'!E47+'CORE DELTA'!E47</f>
        <v>0.96</v>
      </c>
      <c r="F47" s="108" t="n">
        <f aca="false">'CORE DWNLD'!F47+'CORE DELTA'!F47</f>
        <v>0.96</v>
      </c>
      <c r="G47" s="108" t="n">
        <f aca="false">'CORE DWNLD'!G47+'CORE DELTA'!G47</f>
        <v>0.994071440191916</v>
      </c>
      <c r="H47" s="108" t="n">
        <f aca="false">'CORE DWNLD'!H47+'CORE DELTA'!H47</f>
        <v>0.99</v>
      </c>
      <c r="I47" s="108" t="n">
        <f aca="false">'CORE DWNLD'!I47+'CORE DELTA'!I47</f>
        <v>0.980420749757432</v>
      </c>
      <c r="J47" s="108" t="n">
        <f aca="false">'CORE DWNLD'!J47+'CORE DELTA'!J47</f>
        <v>0.995</v>
      </c>
      <c r="K47" s="108" t="n">
        <f aca="false">'CORE DWNLD'!K47+'CORE DELTA'!K47</f>
        <v>0.98</v>
      </c>
      <c r="L47" s="108" t="n">
        <f aca="false">'CORE DWNLD'!L47+'CORE DELTA'!L47</f>
        <v>0.99</v>
      </c>
      <c r="M47" s="108" t="n">
        <f aca="false">'CORE DWNLD'!M47+'CORE DELTA'!M47</f>
        <v>1.005</v>
      </c>
      <c r="N47" s="108" t="n">
        <f aca="false">'CORE DWNLD'!N47+'CORE DELTA'!N47</f>
        <v>0.99</v>
      </c>
      <c r="O47" s="108" t="n">
        <f aca="false">'CORE DWNLD'!O47+'CORE DELTA'!O47</f>
        <v>0.96</v>
      </c>
    </row>
    <row r="48" customFormat="false" ht="12.75" hidden="false" customHeight="false" outlineLevel="0" collapsed="false">
      <c r="A48" s="158" t="n">
        <v>38139</v>
      </c>
      <c r="B48" s="108" t="n">
        <f aca="false">'CORE DWNLD'!B48+'CORE DELTA'!B48</f>
        <v>0.999</v>
      </c>
      <c r="C48" s="108" t="n">
        <f aca="false">'CORE DWNLD'!C48+'CORE DELTA'!C48</f>
        <v>0.999</v>
      </c>
      <c r="D48" s="108" t="n">
        <f aca="false">'CORE DWNLD'!D48+'CORE DELTA'!D48</f>
        <v>0.995</v>
      </c>
      <c r="E48" s="108" t="n">
        <f aca="false">'CORE DWNLD'!E48+'CORE DELTA'!E48</f>
        <v>0.96</v>
      </c>
      <c r="F48" s="108" t="n">
        <f aca="false">'CORE DWNLD'!F48+'CORE DELTA'!F48</f>
        <v>0.96</v>
      </c>
      <c r="G48" s="108" t="n">
        <f aca="false">'CORE DWNLD'!G48+'CORE DELTA'!G48</f>
        <v>0.994071440191916</v>
      </c>
      <c r="H48" s="108" t="n">
        <f aca="false">'CORE DWNLD'!H48+'CORE DELTA'!H48</f>
        <v>0.99</v>
      </c>
      <c r="I48" s="108" t="n">
        <f aca="false">'CORE DWNLD'!I48+'CORE DELTA'!I48</f>
        <v>0.980420749757432</v>
      </c>
      <c r="J48" s="108" t="n">
        <f aca="false">'CORE DWNLD'!J48+'CORE DELTA'!J48</f>
        <v>0.995</v>
      </c>
      <c r="K48" s="108" t="n">
        <f aca="false">'CORE DWNLD'!K48+'CORE DELTA'!K48</f>
        <v>0.98</v>
      </c>
      <c r="L48" s="108" t="n">
        <f aca="false">'CORE DWNLD'!L48+'CORE DELTA'!L48</f>
        <v>0.99</v>
      </c>
      <c r="M48" s="108" t="n">
        <f aca="false">'CORE DWNLD'!M48+'CORE DELTA'!M48</f>
        <v>1.005</v>
      </c>
      <c r="N48" s="108" t="n">
        <f aca="false">'CORE DWNLD'!N48+'CORE DELTA'!N48</f>
        <v>0.99</v>
      </c>
      <c r="O48" s="108" t="n">
        <f aca="false">'CORE DWNLD'!O48+'CORE DELTA'!O48</f>
        <v>0.96</v>
      </c>
    </row>
    <row r="49" customFormat="false" ht="12.75" hidden="false" customHeight="false" outlineLevel="0" collapsed="false">
      <c r="A49" s="158" t="n">
        <v>38169</v>
      </c>
      <c r="B49" s="108" t="n">
        <f aca="false">'CORE DWNLD'!B49+'CORE DELTA'!B49</f>
        <v>0.999</v>
      </c>
      <c r="C49" s="108" t="n">
        <f aca="false">'CORE DWNLD'!C49+'CORE DELTA'!C49</f>
        <v>0.999</v>
      </c>
      <c r="D49" s="108" t="n">
        <f aca="false">'CORE DWNLD'!D49+'CORE DELTA'!D49</f>
        <v>0.995</v>
      </c>
      <c r="E49" s="108" t="n">
        <f aca="false">'CORE DWNLD'!E49+'CORE DELTA'!E49</f>
        <v>0.96</v>
      </c>
      <c r="F49" s="108" t="n">
        <f aca="false">'CORE DWNLD'!F49+'CORE DELTA'!F49</f>
        <v>0.96</v>
      </c>
      <c r="G49" s="108" t="n">
        <f aca="false">'CORE DWNLD'!G49+'CORE DELTA'!G49</f>
        <v>0.994071440191916</v>
      </c>
      <c r="H49" s="108" t="n">
        <f aca="false">'CORE DWNLD'!H49+'CORE DELTA'!H49</f>
        <v>0.99</v>
      </c>
      <c r="I49" s="108" t="n">
        <f aca="false">'CORE DWNLD'!I49+'CORE DELTA'!I49</f>
        <v>0.980420749757432</v>
      </c>
      <c r="J49" s="108" t="n">
        <f aca="false">'CORE DWNLD'!J49+'CORE DELTA'!J49</f>
        <v>0.995</v>
      </c>
      <c r="K49" s="108" t="n">
        <f aca="false">'CORE DWNLD'!K49+'CORE DELTA'!K49</f>
        <v>0.98</v>
      </c>
      <c r="L49" s="108" t="n">
        <f aca="false">'CORE DWNLD'!L49+'CORE DELTA'!L49</f>
        <v>0.99</v>
      </c>
      <c r="M49" s="108" t="n">
        <f aca="false">'CORE DWNLD'!M49+'CORE DELTA'!M49</f>
        <v>1.005</v>
      </c>
      <c r="N49" s="108" t="n">
        <f aca="false">'CORE DWNLD'!N49+'CORE DELTA'!N49</f>
        <v>0.99</v>
      </c>
      <c r="O49" s="108" t="n">
        <f aca="false">'CORE DWNLD'!O49+'CORE DELTA'!O49</f>
        <v>0.96</v>
      </c>
    </row>
    <row r="50" customFormat="false" ht="12.75" hidden="false" customHeight="false" outlineLevel="0" collapsed="false">
      <c r="A50" s="158" t="n">
        <v>38200</v>
      </c>
      <c r="B50" s="108" t="n">
        <f aca="false">'CORE DWNLD'!B50+'CORE DELTA'!B50</f>
        <v>0.999</v>
      </c>
      <c r="C50" s="108" t="n">
        <f aca="false">'CORE DWNLD'!C50+'CORE DELTA'!C50</f>
        <v>0.999</v>
      </c>
      <c r="D50" s="108" t="n">
        <f aca="false">'CORE DWNLD'!D50+'CORE DELTA'!D50</f>
        <v>0.995</v>
      </c>
      <c r="E50" s="108" t="n">
        <f aca="false">'CORE DWNLD'!E50+'CORE DELTA'!E50</f>
        <v>0.96</v>
      </c>
      <c r="F50" s="108" t="n">
        <f aca="false">'CORE DWNLD'!F50+'CORE DELTA'!F50</f>
        <v>0.96</v>
      </c>
      <c r="G50" s="108" t="n">
        <f aca="false">'CORE DWNLD'!G50+'CORE DELTA'!G50</f>
        <v>0.994071440191916</v>
      </c>
      <c r="H50" s="108" t="n">
        <f aca="false">'CORE DWNLD'!H50+'CORE DELTA'!H50</f>
        <v>0.99</v>
      </c>
      <c r="I50" s="108" t="n">
        <f aca="false">'CORE DWNLD'!I50+'CORE DELTA'!I50</f>
        <v>0.980420749757432</v>
      </c>
      <c r="J50" s="108" t="n">
        <f aca="false">'CORE DWNLD'!J50+'CORE DELTA'!J50</f>
        <v>0.995</v>
      </c>
      <c r="K50" s="108" t="n">
        <f aca="false">'CORE DWNLD'!K50+'CORE DELTA'!K50</f>
        <v>0.98</v>
      </c>
      <c r="L50" s="108" t="n">
        <f aca="false">'CORE DWNLD'!L50+'CORE DELTA'!L50</f>
        <v>0.99</v>
      </c>
      <c r="M50" s="108" t="n">
        <f aca="false">'CORE DWNLD'!M50+'CORE DELTA'!M50</f>
        <v>1.005</v>
      </c>
      <c r="N50" s="108" t="n">
        <f aca="false">'CORE DWNLD'!N50+'CORE DELTA'!N50</f>
        <v>0.99</v>
      </c>
      <c r="O50" s="108" t="n">
        <f aca="false">'CORE DWNLD'!O50+'CORE DELTA'!O50</f>
        <v>0.96</v>
      </c>
    </row>
    <row r="51" customFormat="false" ht="12.75" hidden="false" customHeight="false" outlineLevel="0" collapsed="false">
      <c r="A51" s="158" t="n">
        <v>38231</v>
      </c>
      <c r="B51" s="108" t="n">
        <f aca="false">'CORE DWNLD'!B51+'CORE DELTA'!B51</f>
        <v>0.999</v>
      </c>
      <c r="C51" s="108" t="n">
        <f aca="false">'CORE DWNLD'!C51+'CORE DELTA'!C51</f>
        <v>0.999</v>
      </c>
      <c r="D51" s="108" t="n">
        <f aca="false">'CORE DWNLD'!D51+'CORE DELTA'!D51</f>
        <v>0.995</v>
      </c>
      <c r="E51" s="108" t="n">
        <f aca="false">'CORE DWNLD'!E51+'CORE DELTA'!E51</f>
        <v>0.96</v>
      </c>
      <c r="F51" s="108" t="n">
        <f aca="false">'CORE DWNLD'!F51+'CORE DELTA'!F51</f>
        <v>0.96</v>
      </c>
      <c r="G51" s="108" t="n">
        <f aca="false">'CORE DWNLD'!G51+'CORE DELTA'!G51</f>
        <v>0.994071440191916</v>
      </c>
      <c r="H51" s="108" t="n">
        <f aca="false">'CORE DWNLD'!H51+'CORE DELTA'!H51</f>
        <v>0.99</v>
      </c>
      <c r="I51" s="108" t="n">
        <f aca="false">'CORE DWNLD'!I51+'CORE DELTA'!I51</f>
        <v>0.980420749757432</v>
      </c>
      <c r="J51" s="108" t="n">
        <f aca="false">'CORE DWNLD'!J51+'CORE DELTA'!J51</f>
        <v>0.995</v>
      </c>
      <c r="K51" s="108" t="n">
        <f aca="false">'CORE DWNLD'!K51+'CORE DELTA'!K51</f>
        <v>0.98</v>
      </c>
      <c r="L51" s="108" t="n">
        <f aca="false">'CORE DWNLD'!L51+'CORE DELTA'!L51</f>
        <v>0.99</v>
      </c>
      <c r="M51" s="108" t="n">
        <f aca="false">'CORE DWNLD'!M51+'CORE DELTA'!M51</f>
        <v>1.005</v>
      </c>
      <c r="N51" s="108" t="n">
        <f aca="false">'CORE DWNLD'!N51+'CORE DELTA'!N51</f>
        <v>0.99</v>
      </c>
      <c r="O51" s="108" t="n">
        <f aca="false">'CORE DWNLD'!O51+'CORE DELTA'!O51</f>
        <v>0.96</v>
      </c>
    </row>
    <row r="52" customFormat="false" ht="12.75" hidden="false" customHeight="false" outlineLevel="0" collapsed="false">
      <c r="A52" s="158" t="n">
        <v>38261</v>
      </c>
      <c r="B52" s="108" t="n">
        <f aca="false">'CORE DWNLD'!B52+'CORE DELTA'!B52</f>
        <v>0.999</v>
      </c>
      <c r="C52" s="108" t="n">
        <f aca="false">'CORE DWNLD'!C52+'CORE DELTA'!C52</f>
        <v>0.999</v>
      </c>
      <c r="D52" s="108" t="n">
        <f aca="false">'CORE DWNLD'!D52+'CORE DELTA'!D52</f>
        <v>0.995</v>
      </c>
      <c r="E52" s="108" t="n">
        <f aca="false">'CORE DWNLD'!E52+'CORE DELTA'!E52</f>
        <v>0.96</v>
      </c>
      <c r="F52" s="108" t="n">
        <f aca="false">'CORE DWNLD'!F52+'CORE DELTA'!F52</f>
        <v>0.96</v>
      </c>
      <c r="G52" s="108" t="n">
        <f aca="false">'CORE DWNLD'!G52+'CORE DELTA'!G52</f>
        <v>0.994071440191916</v>
      </c>
      <c r="H52" s="108" t="n">
        <f aca="false">'CORE DWNLD'!H52+'CORE DELTA'!H52</f>
        <v>0.99</v>
      </c>
      <c r="I52" s="108" t="n">
        <f aca="false">'CORE DWNLD'!I52+'CORE DELTA'!I52</f>
        <v>0.980420749757432</v>
      </c>
      <c r="J52" s="108" t="n">
        <f aca="false">'CORE DWNLD'!J52+'CORE DELTA'!J52</f>
        <v>0.995</v>
      </c>
      <c r="K52" s="108" t="n">
        <f aca="false">'CORE DWNLD'!K52+'CORE DELTA'!K52</f>
        <v>0.98</v>
      </c>
      <c r="L52" s="108" t="n">
        <f aca="false">'CORE DWNLD'!L52+'CORE DELTA'!L52</f>
        <v>0.99</v>
      </c>
      <c r="M52" s="108" t="n">
        <f aca="false">'CORE DWNLD'!M52+'CORE DELTA'!M52</f>
        <v>1.005</v>
      </c>
      <c r="N52" s="108" t="n">
        <f aca="false">'CORE DWNLD'!N52+'CORE DELTA'!N52</f>
        <v>0.99</v>
      </c>
      <c r="O52" s="108" t="n">
        <f aca="false">'CORE DWNLD'!O52+'CORE DELTA'!O52</f>
        <v>0.96</v>
      </c>
    </row>
    <row r="53" customFormat="false" ht="12.75" hidden="false" customHeight="false" outlineLevel="0" collapsed="false">
      <c r="A53" s="158" t="n">
        <v>38292</v>
      </c>
      <c r="B53" s="108" t="n">
        <f aca="false">'CORE DWNLD'!B53+'CORE DELTA'!B53</f>
        <v>0.999</v>
      </c>
      <c r="C53" s="108" t="n">
        <f aca="false">'CORE DWNLD'!C53+'CORE DELTA'!C53</f>
        <v>0.999</v>
      </c>
      <c r="D53" s="108" t="n">
        <f aca="false">'CORE DWNLD'!D53+'CORE DELTA'!D53</f>
        <v>0.995</v>
      </c>
      <c r="E53" s="108" t="n">
        <f aca="false">'CORE DWNLD'!E53+'CORE DELTA'!E53</f>
        <v>0.96</v>
      </c>
      <c r="F53" s="108" t="n">
        <f aca="false">'CORE DWNLD'!F53+'CORE DELTA'!F53</f>
        <v>0.96</v>
      </c>
      <c r="G53" s="108" t="n">
        <f aca="false">'CORE DWNLD'!G53+'CORE DELTA'!G53</f>
        <v>0.984107647518451</v>
      </c>
      <c r="H53" s="108" t="n">
        <f aca="false">'CORE DWNLD'!H53+'CORE DELTA'!H53</f>
        <v>0.99</v>
      </c>
      <c r="I53" s="108" t="n">
        <f aca="false">'CORE DWNLD'!I53+'CORE DELTA'!I53</f>
        <v>0.905775860471433</v>
      </c>
      <c r="J53" s="108" t="n">
        <f aca="false">'CORE DWNLD'!J53+'CORE DELTA'!J53</f>
        <v>0.995</v>
      </c>
      <c r="K53" s="108" t="n">
        <f aca="false">'CORE DWNLD'!K53+'CORE DELTA'!K53</f>
        <v>0.98</v>
      </c>
      <c r="L53" s="108" t="n">
        <f aca="false">'CORE DWNLD'!L53+'CORE DELTA'!L53</f>
        <v>0.99</v>
      </c>
      <c r="M53" s="108" t="n">
        <f aca="false">'CORE DWNLD'!M53+'CORE DELTA'!M53</f>
        <v>1.005</v>
      </c>
      <c r="N53" s="108" t="n">
        <f aca="false">'CORE DWNLD'!N53+'CORE DELTA'!N53</f>
        <v>0.99</v>
      </c>
      <c r="O53" s="108" t="n">
        <f aca="false">'CORE DWNLD'!O53+'CORE DELTA'!O53</f>
        <v>0.96</v>
      </c>
    </row>
    <row r="54" customFormat="false" ht="12.75" hidden="false" customHeight="false" outlineLevel="0" collapsed="false">
      <c r="A54" s="158" t="n">
        <v>38322</v>
      </c>
      <c r="B54" s="108" t="n">
        <f aca="false">'CORE DWNLD'!B54+'CORE DELTA'!B54</f>
        <v>0.999</v>
      </c>
      <c r="C54" s="108" t="n">
        <f aca="false">'CORE DWNLD'!C54+'CORE DELTA'!C54</f>
        <v>0.999</v>
      </c>
      <c r="D54" s="108" t="n">
        <f aca="false">'CORE DWNLD'!D54+'CORE DELTA'!D54</f>
        <v>0.995</v>
      </c>
      <c r="E54" s="108" t="n">
        <f aca="false">'CORE DWNLD'!E54+'CORE DELTA'!E54</f>
        <v>0.96</v>
      </c>
      <c r="F54" s="108" t="n">
        <f aca="false">'CORE DWNLD'!F54+'CORE DELTA'!F54</f>
        <v>0.96</v>
      </c>
      <c r="G54" s="108" t="n">
        <f aca="false">'CORE DWNLD'!G54+'CORE DELTA'!G54</f>
        <v>0.984107647518451</v>
      </c>
      <c r="H54" s="108" t="n">
        <f aca="false">'CORE DWNLD'!H54+'CORE DELTA'!H54</f>
        <v>0.99</v>
      </c>
      <c r="I54" s="108" t="n">
        <f aca="false">'CORE DWNLD'!I54+'CORE DELTA'!I54</f>
        <v>0.905775860471433</v>
      </c>
      <c r="J54" s="108" t="n">
        <f aca="false">'CORE DWNLD'!J54+'CORE DELTA'!J54</f>
        <v>0.995</v>
      </c>
      <c r="K54" s="108" t="n">
        <f aca="false">'CORE DWNLD'!K54+'CORE DELTA'!K54</f>
        <v>0.98</v>
      </c>
      <c r="L54" s="108" t="n">
        <f aca="false">'CORE DWNLD'!L54+'CORE DELTA'!L54</f>
        <v>0.99</v>
      </c>
      <c r="M54" s="108" t="n">
        <f aca="false">'CORE DWNLD'!M54+'CORE DELTA'!M54</f>
        <v>1.005</v>
      </c>
      <c r="N54" s="108" t="n">
        <f aca="false">'CORE DWNLD'!N54+'CORE DELTA'!N54</f>
        <v>0.99</v>
      </c>
      <c r="O54" s="108" t="n">
        <f aca="false">'CORE DWNLD'!O54+'CORE DELTA'!O54</f>
        <v>0.96</v>
      </c>
    </row>
    <row r="55" customFormat="false" ht="12.75" hidden="false" customHeight="false" outlineLevel="0" collapsed="false">
      <c r="A55" s="158" t="n">
        <v>38353</v>
      </c>
      <c r="B55" s="108" t="n">
        <f aca="false">'CORE DWNLD'!B55+'CORE DELTA'!B55</f>
        <v>0.999</v>
      </c>
      <c r="C55" s="108" t="n">
        <f aca="false">'CORE DWNLD'!C55+'CORE DELTA'!C55</f>
        <v>0.999</v>
      </c>
      <c r="D55" s="108" t="n">
        <f aca="false">'CORE DWNLD'!D55+'CORE DELTA'!D55</f>
        <v>0.995</v>
      </c>
      <c r="E55" s="108" t="n">
        <f aca="false">'CORE DWNLD'!E55+'CORE DELTA'!E55</f>
        <v>0.96</v>
      </c>
      <c r="F55" s="108" t="n">
        <f aca="false">'CORE DWNLD'!F55+'CORE DELTA'!F55</f>
        <v>0.96</v>
      </c>
      <c r="G55" s="108" t="n">
        <f aca="false">'CORE DWNLD'!G55+'CORE DELTA'!G55</f>
        <v>0.984107647518451</v>
      </c>
      <c r="H55" s="108" t="n">
        <f aca="false">'CORE DWNLD'!H55+'CORE DELTA'!H55</f>
        <v>0.99</v>
      </c>
      <c r="I55" s="108" t="n">
        <f aca="false">'CORE DWNLD'!I55+'CORE DELTA'!I55</f>
        <v>0.905775860471433</v>
      </c>
      <c r="J55" s="108" t="n">
        <f aca="false">'CORE DWNLD'!J55+'CORE DELTA'!J55</f>
        <v>0.995</v>
      </c>
      <c r="K55" s="108" t="n">
        <f aca="false">'CORE DWNLD'!K55+'CORE DELTA'!K55</f>
        <v>0.98</v>
      </c>
      <c r="L55" s="108" t="n">
        <f aca="false">'CORE DWNLD'!L55+'CORE DELTA'!L55</f>
        <v>0.99</v>
      </c>
      <c r="M55" s="108" t="n">
        <f aca="false">'CORE DWNLD'!M55+'CORE DELTA'!M55</f>
        <v>1.005</v>
      </c>
      <c r="N55" s="108" t="n">
        <f aca="false">'CORE DWNLD'!N55+'CORE DELTA'!N55</f>
        <v>0.99</v>
      </c>
      <c r="O55" s="108" t="n">
        <f aca="false">'CORE DWNLD'!O55+'CORE DELTA'!O55</f>
        <v>0.96</v>
      </c>
    </row>
    <row r="56" customFormat="false" ht="12.75" hidden="false" customHeight="false" outlineLevel="0" collapsed="false">
      <c r="A56" s="158" t="n">
        <v>38384</v>
      </c>
      <c r="B56" s="108" t="n">
        <f aca="false">'CORE DWNLD'!B56+'CORE DELTA'!B56</f>
        <v>0.999</v>
      </c>
      <c r="C56" s="108" t="n">
        <f aca="false">'CORE DWNLD'!C56+'CORE DELTA'!C56</f>
        <v>0.999</v>
      </c>
      <c r="D56" s="108" t="n">
        <f aca="false">'CORE DWNLD'!D56+'CORE DELTA'!D56</f>
        <v>0.995</v>
      </c>
      <c r="E56" s="108" t="n">
        <f aca="false">'CORE DWNLD'!E56+'CORE DELTA'!E56</f>
        <v>0.96</v>
      </c>
      <c r="F56" s="108" t="n">
        <f aca="false">'CORE DWNLD'!F56+'CORE DELTA'!F56</f>
        <v>0.96</v>
      </c>
      <c r="G56" s="108" t="n">
        <f aca="false">'CORE DWNLD'!G56+'CORE DELTA'!G56</f>
        <v>0.984107647518451</v>
      </c>
      <c r="H56" s="108" t="n">
        <f aca="false">'CORE DWNLD'!H56+'CORE DELTA'!H56</f>
        <v>0.99</v>
      </c>
      <c r="I56" s="108" t="n">
        <f aca="false">'CORE DWNLD'!I56+'CORE DELTA'!I56</f>
        <v>0.905775860471433</v>
      </c>
      <c r="J56" s="108" t="n">
        <f aca="false">'CORE DWNLD'!J56+'CORE DELTA'!J56</f>
        <v>0.995</v>
      </c>
      <c r="K56" s="108" t="n">
        <f aca="false">'CORE DWNLD'!K56+'CORE DELTA'!K56</f>
        <v>0.98</v>
      </c>
      <c r="L56" s="108" t="n">
        <f aca="false">'CORE DWNLD'!L56+'CORE DELTA'!L56</f>
        <v>0.99</v>
      </c>
      <c r="M56" s="108" t="n">
        <f aca="false">'CORE DWNLD'!M56+'CORE DELTA'!M56</f>
        <v>1.005</v>
      </c>
      <c r="N56" s="108" t="n">
        <f aca="false">'CORE DWNLD'!N56+'CORE DELTA'!N56</f>
        <v>0.99</v>
      </c>
      <c r="O56" s="108" t="n">
        <f aca="false">'CORE DWNLD'!O56+'CORE DELTA'!O56</f>
        <v>0.96</v>
      </c>
    </row>
    <row r="57" customFormat="false" ht="12.75" hidden="false" customHeight="false" outlineLevel="0" collapsed="false">
      <c r="A57" s="158" t="n">
        <v>38412</v>
      </c>
      <c r="B57" s="108" t="n">
        <f aca="false">'CORE DWNLD'!B57+'CORE DELTA'!B57</f>
        <v>0.999</v>
      </c>
      <c r="C57" s="108" t="n">
        <f aca="false">'CORE DWNLD'!C57+'CORE DELTA'!C57</f>
        <v>0.999</v>
      </c>
      <c r="D57" s="108" t="n">
        <f aca="false">'CORE DWNLD'!D57+'CORE DELTA'!D57</f>
        <v>0.995</v>
      </c>
      <c r="E57" s="108" t="n">
        <f aca="false">'CORE DWNLD'!E57+'CORE DELTA'!E57</f>
        <v>0.96</v>
      </c>
      <c r="F57" s="108" t="n">
        <f aca="false">'CORE DWNLD'!F57+'CORE DELTA'!F57</f>
        <v>0.96</v>
      </c>
      <c r="G57" s="108" t="n">
        <f aca="false">'CORE DWNLD'!G57+'CORE DELTA'!G57</f>
        <v>0.984107647518451</v>
      </c>
      <c r="H57" s="108" t="n">
        <f aca="false">'CORE DWNLD'!H57+'CORE DELTA'!H57</f>
        <v>0.99</v>
      </c>
      <c r="I57" s="108" t="n">
        <f aca="false">'CORE DWNLD'!I57+'CORE DELTA'!I57</f>
        <v>0.905775860471433</v>
      </c>
      <c r="J57" s="108" t="n">
        <f aca="false">'CORE DWNLD'!J57+'CORE DELTA'!J57</f>
        <v>0.995</v>
      </c>
      <c r="K57" s="108" t="n">
        <f aca="false">'CORE DWNLD'!K57+'CORE DELTA'!K57</f>
        <v>0.98</v>
      </c>
      <c r="L57" s="108" t="n">
        <f aca="false">'CORE DWNLD'!L57+'CORE DELTA'!L57</f>
        <v>0.99</v>
      </c>
      <c r="M57" s="108" t="n">
        <f aca="false">'CORE DWNLD'!M57+'CORE DELTA'!M57</f>
        <v>1.005</v>
      </c>
      <c r="N57" s="108" t="n">
        <f aca="false">'CORE DWNLD'!N57+'CORE DELTA'!N57</f>
        <v>0.99</v>
      </c>
      <c r="O57" s="108" t="n">
        <f aca="false">'CORE DWNLD'!O57+'CORE DELTA'!O57</f>
        <v>0.96</v>
      </c>
    </row>
    <row r="58" customFormat="false" ht="12.75" hidden="false" customHeight="false" outlineLevel="0" collapsed="false">
      <c r="A58" s="158" t="n">
        <v>38443</v>
      </c>
      <c r="B58" s="108" t="n">
        <f aca="false">'CORE DWNLD'!B58+'CORE DELTA'!B58</f>
        <v>0.999</v>
      </c>
      <c r="C58" s="108" t="n">
        <f aca="false">'CORE DWNLD'!C58+'CORE DELTA'!C58</f>
        <v>0.999</v>
      </c>
      <c r="D58" s="108" t="n">
        <f aca="false">'CORE DWNLD'!D58+'CORE DELTA'!D58</f>
        <v>0.995</v>
      </c>
      <c r="E58" s="108" t="n">
        <f aca="false">'CORE DWNLD'!E58+'CORE DELTA'!E58</f>
        <v>0.96</v>
      </c>
      <c r="F58" s="108" t="n">
        <f aca="false">'CORE DWNLD'!F58+'CORE DELTA'!F58</f>
        <v>0.96</v>
      </c>
      <c r="G58" s="108" t="n">
        <f aca="false">'CORE DWNLD'!G58+'CORE DELTA'!G58</f>
        <v>0.994071440191916</v>
      </c>
      <c r="H58" s="108" t="n">
        <f aca="false">'CORE DWNLD'!H58+'CORE DELTA'!H58</f>
        <v>0.99</v>
      </c>
      <c r="I58" s="108" t="n">
        <f aca="false">'CORE DWNLD'!I58+'CORE DELTA'!I58</f>
        <v>0.980420749757432</v>
      </c>
      <c r="J58" s="108" t="n">
        <f aca="false">'CORE DWNLD'!J58+'CORE DELTA'!J58</f>
        <v>0.995</v>
      </c>
      <c r="K58" s="108" t="n">
        <f aca="false">'CORE DWNLD'!K58+'CORE DELTA'!K58</f>
        <v>0.98</v>
      </c>
      <c r="L58" s="108" t="n">
        <f aca="false">'CORE DWNLD'!L58+'CORE DELTA'!L58</f>
        <v>0.99</v>
      </c>
      <c r="M58" s="108" t="n">
        <f aca="false">'CORE DWNLD'!M58+'CORE DELTA'!M58</f>
        <v>1.005</v>
      </c>
      <c r="N58" s="108" t="n">
        <f aca="false">'CORE DWNLD'!N58+'CORE DELTA'!N58</f>
        <v>0.99</v>
      </c>
      <c r="O58" s="108" t="n">
        <f aca="false">'CORE DWNLD'!O58+'CORE DELTA'!O58</f>
        <v>0.96</v>
      </c>
    </row>
    <row r="59" customFormat="false" ht="12.75" hidden="false" customHeight="false" outlineLevel="0" collapsed="false">
      <c r="A59" s="158" t="n">
        <v>38473</v>
      </c>
      <c r="B59" s="108" t="n">
        <f aca="false">'CORE DWNLD'!B59+'CORE DELTA'!B59</f>
        <v>0.999</v>
      </c>
      <c r="C59" s="108" t="n">
        <f aca="false">'CORE DWNLD'!C59+'CORE DELTA'!C59</f>
        <v>0.999</v>
      </c>
      <c r="D59" s="108" t="n">
        <f aca="false">'CORE DWNLD'!D59+'CORE DELTA'!D59</f>
        <v>0.995</v>
      </c>
      <c r="E59" s="108" t="n">
        <f aca="false">'CORE DWNLD'!E59+'CORE DELTA'!E59</f>
        <v>0.96</v>
      </c>
      <c r="F59" s="108" t="n">
        <f aca="false">'CORE DWNLD'!F59+'CORE DELTA'!F59</f>
        <v>0.96</v>
      </c>
      <c r="G59" s="108" t="n">
        <f aca="false">'CORE DWNLD'!G59+'CORE DELTA'!G59</f>
        <v>0.994071440191916</v>
      </c>
      <c r="H59" s="108" t="n">
        <f aca="false">'CORE DWNLD'!H59+'CORE DELTA'!H59</f>
        <v>0.99</v>
      </c>
      <c r="I59" s="108" t="n">
        <f aca="false">'CORE DWNLD'!I59+'CORE DELTA'!I59</f>
        <v>0.980420749757432</v>
      </c>
      <c r="J59" s="108" t="n">
        <f aca="false">'CORE DWNLD'!J59+'CORE DELTA'!J59</f>
        <v>0.995</v>
      </c>
      <c r="K59" s="108" t="n">
        <f aca="false">'CORE DWNLD'!K59+'CORE DELTA'!K59</f>
        <v>0.98</v>
      </c>
      <c r="L59" s="108" t="n">
        <f aca="false">'CORE DWNLD'!L59+'CORE DELTA'!L59</f>
        <v>0.99</v>
      </c>
      <c r="M59" s="108" t="n">
        <f aca="false">'CORE DWNLD'!M59+'CORE DELTA'!M59</f>
        <v>1.005</v>
      </c>
      <c r="N59" s="108" t="n">
        <f aca="false">'CORE DWNLD'!N59+'CORE DELTA'!N59</f>
        <v>0.99</v>
      </c>
      <c r="O59" s="108" t="n">
        <f aca="false">'CORE DWNLD'!O59+'CORE DELTA'!O59</f>
        <v>0.96</v>
      </c>
    </row>
    <row r="60" customFormat="false" ht="12.75" hidden="false" customHeight="false" outlineLevel="0" collapsed="false">
      <c r="A60" s="158" t="n">
        <v>38504</v>
      </c>
      <c r="B60" s="108" t="n">
        <f aca="false">'CORE DWNLD'!B60+'CORE DELTA'!B60</f>
        <v>0.999</v>
      </c>
      <c r="C60" s="108" t="n">
        <f aca="false">'CORE DWNLD'!C60+'CORE DELTA'!C60</f>
        <v>0.999</v>
      </c>
      <c r="D60" s="108" t="n">
        <f aca="false">'CORE DWNLD'!D60+'CORE DELTA'!D60</f>
        <v>0.995</v>
      </c>
      <c r="E60" s="108" t="n">
        <f aca="false">'CORE DWNLD'!E60+'CORE DELTA'!E60</f>
        <v>0.96</v>
      </c>
      <c r="F60" s="108" t="n">
        <f aca="false">'CORE DWNLD'!F60+'CORE DELTA'!F60</f>
        <v>0.96</v>
      </c>
      <c r="G60" s="108" t="n">
        <f aca="false">'CORE DWNLD'!G60+'CORE DELTA'!G60</f>
        <v>0.994071440191916</v>
      </c>
      <c r="H60" s="108" t="n">
        <f aca="false">'CORE DWNLD'!H60+'CORE DELTA'!H60</f>
        <v>0.99</v>
      </c>
      <c r="I60" s="108" t="n">
        <f aca="false">'CORE DWNLD'!I60+'CORE DELTA'!I60</f>
        <v>0.980420749757432</v>
      </c>
      <c r="J60" s="108" t="n">
        <f aca="false">'CORE DWNLD'!J60+'CORE DELTA'!J60</f>
        <v>0.995</v>
      </c>
      <c r="K60" s="108" t="n">
        <f aca="false">'CORE DWNLD'!K60+'CORE DELTA'!K60</f>
        <v>0.98</v>
      </c>
      <c r="L60" s="108" t="n">
        <f aca="false">'CORE DWNLD'!L60+'CORE DELTA'!L60</f>
        <v>0.99</v>
      </c>
      <c r="M60" s="108" t="n">
        <f aca="false">'CORE DWNLD'!M60+'CORE DELTA'!M60</f>
        <v>1.005</v>
      </c>
      <c r="N60" s="108" t="n">
        <f aca="false">'CORE DWNLD'!N60+'CORE DELTA'!N60</f>
        <v>0.99</v>
      </c>
      <c r="O60" s="108" t="n">
        <f aca="false">'CORE DWNLD'!O60+'CORE DELTA'!O60</f>
        <v>0.96</v>
      </c>
    </row>
    <row r="61" customFormat="false" ht="12.75" hidden="false" customHeight="false" outlineLevel="0" collapsed="false">
      <c r="A61" s="158" t="n">
        <v>38534</v>
      </c>
      <c r="B61" s="108" t="n">
        <f aca="false">'CORE DWNLD'!B61+'CORE DELTA'!B61</f>
        <v>0.999</v>
      </c>
      <c r="C61" s="108" t="n">
        <f aca="false">'CORE DWNLD'!C61+'CORE DELTA'!C61</f>
        <v>0.999</v>
      </c>
      <c r="D61" s="108" t="n">
        <f aca="false">'CORE DWNLD'!D61+'CORE DELTA'!D61</f>
        <v>0.995</v>
      </c>
      <c r="E61" s="108" t="n">
        <f aca="false">'CORE DWNLD'!E61+'CORE DELTA'!E61</f>
        <v>0.96</v>
      </c>
      <c r="F61" s="108" t="n">
        <f aca="false">'CORE DWNLD'!F61+'CORE DELTA'!F61</f>
        <v>0.96</v>
      </c>
      <c r="G61" s="108" t="n">
        <f aca="false">'CORE DWNLD'!G61+'CORE DELTA'!G61</f>
        <v>0.994071440191916</v>
      </c>
      <c r="H61" s="108" t="n">
        <f aca="false">'CORE DWNLD'!H61+'CORE DELTA'!H61</f>
        <v>0.99</v>
      </c>
      <c r="I61" s="108" t="n">
        <f aca="false">'CORE DWNLD'!I61+'CORE DELTA'!I61</f>
        <v>0.980420749757432</v>
      </c>
      <c r="J61" s="108" t="n">
        <f aca="false">'CORE DWNLD'!J61+'CORE DELTA'!J61</f>
        <v>0.995</v>
      </c>
      <c r="K61" s="108" t="n">
        <f aca="false">'CORE DWNLD'!K61+'CORE DELTA'!K61</f>
        <v>0.98</v>
      </c>
      <c r="L61" s="108" t="n">
        <f aca="false">'CORE DWNLD'!L61+'CORE DELTA'!L61</f>
        <v>0.99</v>
      </c>
      <c r="M61" s="108" t="n">
        <f aca="false">'CORE DWNLD'!M61+'CORE DELTA'!M61</f>
        <v>1.005</v>
      </c>
      <c r="N61" s="108" t="n">
        <f aca="false">'CORE DWNLD'!N61+'CORE DELTA'!N61</f>
        <v>0.99</v>
      </c>
      <c r="O61" s="108" t="n">
        <f aca="false">'CORE DWNLD'!O61+'CORE DELTA'!O61</f>
        <v>0.96</v>
      </c>
    </row>
    <row r="62" customFormat="false" ht="12.75" hidden="false" customHeight="false" outlineLevel="0" collapsed="false">
      <c r="A62" s="158" t="n">
        <v>38565</v>
      </c>
      <c r="B62" s="108" t="n">
        <f aca="false">'CORE DWNLD'!B62+'CORE DELTA'!B62</f>
        <v>0.999</v>
      </c>
      <c r="C62" s="108" t="n">
        <f aca="false">'CORE DWNLD'!C62+'CORE DELTA'!C62</f>
        <v>0.999</v>
      </c>
      <c r="D62" s="108" t="n">
        <f aca="false">'CORE DWNLD'!D62+'CORE DELTA'!D62</f>
        <v>0.995</v>
      </c>
      <c r="E62" s="108" t="n">
        <f aca="false">'CORE DWNLD'!E62+'CORE DELTA'!E62</f>
        <v>0.96</v>
      </c>
      <c r="F62" s="108" t="n">
        <f aca="false">'CORE DWNLD'!F62+'CORE DELTA'!F62</f>
        <v>0.96</v>
      </c>
      <c r="G62" s="108" t="n">
        <f aca="false">'CORE DWNLD'!G62+'CORE DELTA'!G62</f>
        <v>0.994071440191916</v>
      </c>
      <c r="H62" s="108" t="n">
        <f aca="false">'CORE DWNLD'!H62+'CORE DELTA'!H62</f>
        <v>0.99</v>
      </c>
      <c r="I62" s="108" t="n">
        <f aca="false">'CORE DWNLD'!I62+'CORE DELTA'!I62</f>
        <v>0.980420749757432</v>
      </c>
      <c r="J62" s="108" t="n">
        <f aca="false">'CORE DWNLD'!J62+'CORE DELTA'!J62</f>
        <v>0.995</v>
      </c>
      <c r="K62" s="108" t="n">
        <f aca="false">'CORE DWNLD'!K62+'CORE DELTA'!K62</f>
        <v>0.98</v>
      </c>
      <c r="L62" s="108" t="n">
        <f aca="false">'CORE DWNLD'!L62+'CORE DELTA'!L62</f>
        <v>0.99</v>
      </c>
      <c r="M62" s="108" t="n">
        <f aca="false">'CORE DWNLD'!M62+'CORE DELTA'!M62</f>
        <v>1.005</v>
      </c>
      <c r="N62" s="108" t="n">
        <f aca="false">'CORE DWNLD'!N62+'CORE DELTA'!N62</f>
        <v>0.99</v>
      </c>
      <c r="O62" s="108" t="n">
        <f aca="false">'CORE DWNLD'!O62+'CORE DELTA'!O62</f>
        <v>0.96</v>
      </c>
    </row>
    <row r="63" customFormat="false" ht="12.75" hidden="false" customHeight="false" outlineLevel="0" collapsed="false">
      <c r="A63" s="158" t="n">
        <v>38596</v>
      </c>
      <c r="B63" s="108" t="n">
        <f aca="false">'CORE DWNLD'!B63+'CORE DELTA'!B63</f>
        <v>0.999</v>
      </c>
      <c r="C63" s="108" t="n">
        <f aca="false">'CORE DWNLD'!C63+'CORE DELTA'!C63</f>
        <v>0.999</v>
      </c>
      <c r="D63" s="108" t="n">
        <f aca="false">'CORE DWNLD'!D63+'CORE DELTA'!D63</f>
        <v>0.995</v>
      </c>
      <c r="E63" s="108" t="n">
        <f aca="false">'CORE DWNLD'!E63+'CORE DELTA'!E63</f>
        <v>0.96</v>
      </c>
      <c r="F63" s="108" t="n">
        <f aca="false">'CORE DWNLD'!F63+'CORE DELTA'!F63</f>
        <v>0.96</v>
      </c>
      <c r="G63" s="108" t="n">
        <f aca="false">'CORE DWNLD'!G63+'CORE DELTA'!G63</f>
        <v>0.994071440191916</v>
      </c>
      <c r="H63" s="108" t="n">
        <f aca="false">'CORE DWNLD'!H63+'CORE DELTA'!H63</f>
        <v>0.99</v>
      </c>
      <c r="I63" s="108" t="n">
        <f aca="false">'CORE DWNLD'!I63+'CORE DELTA'!I63</f>
        <v>0.980420749757432</v>
      </c>
      <c r="J63" s="108" t="n">
        <f aca="false">'CORE DWNLD'!J63+'CORE DELTA'!J63</f>
        <v>0.995</v>
      </c>
      <c r="K63" s="108" t="n">
        <f aca="false">'CORE DWNLD'!K63+'CORE DELTA'!K63</f>
        <v>0.98</v>
      </c>
      <c r="L63" s="108" t="n">
        <f aca="false">'CORE DWNLD'!L63+'CORE DELTA'!L63</f>
        <v>0.99</v>
      </c>
      <c r="M63" s="108" t="n">
        <f aca="false">'CORE DWNLD'!M63+'CORE DELTA'!M63</f>
        <v>1.005</v>
      </c>
      <c r="N63" s="108" t="n">
        <f aca="false">'CORE DWNLD'!N63+'CORE DELTA'!N63</f>
        <v>0.99</v>
      </c>
      <c r="O63" s="108" t="n">
        <f aca="false">'CORE DWNLD'!O63+'CORE DELTA'!O63</f>
        <v>0.96</v>
      </c>
    </row>
    <row r="64" customFormat="false" ht="12.75" hidden="false" customHeight="false" outlineLevel="0" collapsed="false">
      <c r="A64" s="158" t="n">
        <v>38626</v>
      </c>
      <c r="B64" s="108" t="n">
        <f aca="false">'CORE DWNLD'!B64+'CORE DELTA'!B64</f>
        <v>0.999</v>
      </c>
      <c r="C64" s="108" t="n">
        <f aca="false">'CORE DWNLD'!C64+'CORE DELTA'!C64</f>
        <v>0.999</v>
      </c>
      <c r="D64" s="108" t="n">
        <f aca="false">'CORE DWNLD'!D64+'CORE DELTA'!D64</f>
        <v>0.995</v>
      </c>
      <c r="E64" s="108" t="n">
        <f aca="false">'CORE DWNLD'!E64+'CORE DELTA'!E64</f>
        <v>0.96</v>
      </c>
      <c r="F64" s="108" t="n">
        <f aca="false">'CORE DWNLD'!F64+'CORE DELTA'!F64</f>
        <v>0.96</v>
      </c>
      <c r="G64" s="108" t="n">
        <f aca="false">'CORE DWNLD'!G64+'CORE DELTA'!G64</f>
        <v>0.994071440191916</v>
      </c>
      <c r="H64" s="108" t="n">
        <f aca="false">'CORE DWNLD'!H64+'CORE DELTA'!H64</f>
        <v>0.99</v>
      </c>
      <c r="I64" s="108" t="n">
        <f aca="false">'CORE DWNLD'!I64+'CORE DELTA'!I64</f>
        <v>0.980420749757432</v>
      </c>
      <c r="J64" s="108" t="n">
        <f aca="false">'CORE DWNLD'!J64+'CORE DELTA'!J64</f>
        <v>0.995</v>
      </c>
      <c r="K64" s="108" t="n">
        <f aca="false">'CORE DWNLD'!K64+'CORE DELTA'!K64</f>
        <v>0.98</v>
      </c>
      <c r="L64" s="108" t="n">
        <f aca="false">'CORE DWNLD'!L64+'CORE DELTA'!L64</f>
        <v>0.99</v>
      </c>
      <c r="M64" s="108" t="n">
        <f aca="false">'CORE DWNLD'!M64+'CORE DELTA'!M64</f>
        <v>1.005</v>
      </c>
      <c r="N64" s="108" t="n">
        <f aca="false">'CORE DWNLD'!N64+'CORE DELTA'!N64</f>
        <v>0.99</v>
      </c>
      <c r="O64" s="108" t="n">
        <f aca="false">'CORE DWNLD'!O64+'CORE DELTA'!O64</f>
        <v>0.96</v>
      </c>
    </row>
    <row r="65" customFormat="false" ht="12.75" hidden="false" customHeight="false" outlineLevel="0" collapsed="false">
      <c r="A65" s="158" t="n">
        <v>38657</v>
      </c>
      <c r="B65" s="108" t="n">
        <f aca="false">'CORE DWNLD'!B65+'CORE DELTA'!B65</f>
        <v>0.999</v>
      </c>
      <c r="C65" s="108" t="n">
        <f aca="false">'CORE DWNLD'!C65+'CORE DELTA'!C65</f>
        <v>0.999</v>
      </c>
      <c r="D65" s="108" t="n">
        <f aca="false">'CORE DWNLD'!D65+'CORE DELTA'!D65</f>
        <v>0.995</v>
      </c>
      <c r="E65" s="108" t="n">
        <f aca="false">'CORE DWNLD'!E65+'CORE DELTA'!E65</f>
        <v>0.96</v>
      </c>
      <c r="F65" s="108" t="n">
        <f aca="false">'CORE DWNLD'!F65+'CORE DELTA'!F65</f>
        <v>0.96</v>
      </c>
      <c r="G65" s="108" t="n">
        <f aca="false">'CORE DWNLD'!G65+'CORE DELTA'!G65</f>
        <v>0.984107647518451</v>
      </c>
      <c r="H65" s="108" t="n">
        <f aca="false">'CORE DWNLD'!H65+'CORE DELTA'!H65</f>
        <v>0.99</v>
      </c>
      <c r="I65" s="108" t="n">
        <f aca="false">'CORE DWNLD'!I65+'CORE DELTA'!I65</f>
        <v>0.905775860471433</v>
      </c>
      <c r="J65" s="108" t="n">
        <f aca="false">'CORE DWNLD'!J65+'CORE DELTA'!J65</f>
        <v>0.995</v>
      </c>
      <c r="K65" s="108" t="n">
        <f aca="false">'CORE DWNLD'!K65+'CORE DELTA'!K65</f>
        <v>0.98</v>
      </c>
      <c r="L65" s="108" t="n">
        <f aca="false">'CORE DWNLD'!L65+'CORE DELTA'!L65</f>
        <v>0.99</v>
      </c>
      <c r="M65" s="108" t="n">
        <f aca="false">'CORE DWNLD'!M65+'CORE DELTA'!M65</f>
        <v>1.005</v>
      </c>
      <c r="N65" s="108" t="n">
        <f aca="false">'CORE DWNLD'!N65+'CORE DELTA'!N65</f>
        <v>0.99</v>
      </c>
      <c r="O65" s="108" t="n">
        <f aca="false">'CORE DWNLD'!O65+'CORE DELTA'!O65</f>
        <v>0.96</v>
      </c>
    </row>
    <row r="66" customFormat="false" ht="12.75" hidden="false" customHeight="false" outlineLevel="0" collapsed="false">
      <c r="A66" s="158" t="n">
        <v>38687</v>
      </c>
      <c r="B66" s="108" t="n">
        <f aca="false">'CORE DWNLD'!B66+'CORE DELTA'!B66</f>
        <v>0.999</v>
      </c>
      <c r="C66" s="108" t="n">
        <f aca="false">'CORE DWNLD'!C66+'CORE DELTA'!C66</f>
        <v>0.999</v>
      </c>
      <c r="D66" s="108" t="n">
        <f aca="false">'CORE DWNLD'!D66+'CORE DELTA'!D66</f>
        <v>0.995</v>
      </c>
      <c r="E66" s="108" t="n">
        <f aca="false">'CORE DWNLD'!E66+'CORE DELTA'!E66</f>
        <v>0.96</v>
      </c>
      <c r="F66" s="108" t="n">
        <f aca="false">'CORE DWNLD'!F66+'CORE DELTA'!F66</f>
        <v>0.96</v>
      </c>
      <c r="G66" s="108" t="n">
        <f aca="false">'CORE DWNLD'!G66+'CORE DELTA'!G66</f>
        <v>0.984107647518451</v>
      </c>
      <c r="H66" s="108" t="n">
        <f aca="false">'CORE DWNLD'!H66+'CORE DELTA'!H66</f>
        <v>0.99</v>
      </c>
      <c r="I66" s="108" t="n">
        <f aca="false">'CORE DWNLD'!I66+'CORE DELTA'!I66</f>
        <v>0.905775860471433</v>
      </c>
      <c r="J66" s="108" t="n">
        <f aca="false">'CORE DWNLD'!J66+'CORE DELTA'!J66</f>
        <v>0.995</v>
      </c>
      <c r="K66" s="108" t="n">
        <f aca="false">'CORE DWNLD'!K66+'CORE DELTA'!K66</f>
        <v>0.98</v>
      </c>
      <c r="L66" s="108" t="n">
        <f aca="false">'CORE DWNLD'!L66+'CORE DELTA'!L66</f>
        <v>0.99</v>
      </c>
      <c r="M66" s="108" t="n">
        <f aca="false">'CORE DWNLD'!M66+'CORE DELTA'!M66</f>
        <v>1.005</v>
      </c>
      <c r="N66" s="108" t="n">
        <f aca="false">'CORE DWNLD'!N66+'CORE DELTA'!N66</f>
        <v>0.99</v>
      </c>
      <c r="O66" s="108" t="n">
        <f aca="false">'CORE DWNLD'!O66+'CORE DELTA'!O66</f>
        <v>0.96</v>
      </c>
    </row>
    <row r="67" customFormat="false" ht="12.75" hidden="false" customHeight="false" outlineLevel="0" collapsed="false">
      <c r="A67" s="158" t="n">
        <v>38718</v>
      </c>
      <c r="B67" s="108" t="n">
        <f aca="false">'CORE DWNLD'!B67+'CORE DELTA'!B67</f>
        <v>0.999</v>
      </c>
      <c r="C67" s="108" t="n">
        <f aca="false">'CORE DWNLD'!C67+'CORE DELTA'!C67</f>
        <v>0.999</v>
      </c>
      <c r="D67" s="108" t="n">
        <f aca="false">'CORE DWNLD'!D67+'CORE DELTA'!D67</f>
        <v>0.995</v>
      </c>
      <c r="E67" s="108" t="n">
        <f aca="false">'CORE DWNLD'!E67+'CORE DELTA'!E67</f>
        <v>0.96</v>
      </c>
      <c r="F67" s="108" t="n">
        <f aca="false">'CORE DWNLD'!F67+'CORE DELTA'!F67</f>
        <v>0.96</v>
      </c>
      <c r="G67" s="108" t="n">
        <f aca="false">'CORE DWNLD'!G67+'CORE DELTA'!G67</f>
        <v>0.984107647518451</v>
      </c>
      <c r="H67" s="108" t="n">
        <f aca="false">'CORE DWNLD'!H67+'CORE DELTA'!H67</f>
        <v>0.99</v>
      </c>
      <c r="I67" s="108" t="n">
        <f aca="false">'CORE DWNLD'!I67+'CORE DELTA'!I67</f>
        <v>0.905775860471433</v>
      </c>
      <c r="J67" s="108" t="n">
        <f aca="false">'CORE DWNLD'!J67+'CORE DELTA'!J67</f>
        <v>0.995</v>
      </c>
      <c r="K67" s="108" t="n">
        <f aca="false">'CORE DWNLD'!K67+'CORE DELTA'!K67</f>
        <v>0.98</v>
      </c>
      <c r="L67" s="108" t="n">
        <f aca="false">'CORE DWNLD'!L67+'CORE DELTA'!L67</f>
        <v>0.99</v>
      </c>
      <c r="M67" s="108" t="n">
        <f aca="false">'CORE DWNLD'!M67+'CORE DELTA'!M67</f>
        <v>1.005</v>
      </c>
      <c r="N67" s="108" t="n">
        <f aca="false">'CORE DWNLD'!N67+'CORE DELTA'!N67</f>
        <v>0.99</v>
      </c>
      <c r="O67" s="108" t="n">
        <f aca="false">'CORE DWNLD'!O67+'CORE DELTA'!O67</f>
        <v>0.96</v>
      </c>
    </row>
    <row r="68" customFormat="false" ht="12.75" hidden="false" customHeight="false" outlineLevel="0" collapsed="false">
      <c r="A68" s="158" t="n">
        <v>38749</v>
      </c>
      <c r="B68" s="108" t="n">
        <f aca="false">'CORE DWNLD'!B68+'CORE DELTA'!B68</f>
        <v>0.999</v>
      </c>
      <c r="C68" s="108" t="n">
        <f aca="false">'CORE DWNLD'!C68+'CORE DELTA'!C68</f>
        <v>0.999</v>
      </c>
      <c r="D68" s="108" t="n">
        <f aca="false">'CORE DWNLD'!D68+'CORE DELTA'!D68</f>
        <v>0.995</v>
      </c>
      <c r="E68" s="108" t="n">
        <f aca="false">'CORE DWNLD'!E68+'CORE DELTA'!E68</f>
        <v>0.96</v>
      </c>
      <c r="F68" s="108" t="n">
        <f aca="false">'CORE DWNLD'!F68+'CORE DELTA'!F68</f>
        <v>0.96</v>
      </c>
      <c r="G68" s="108" t="n">
        <f aca="false">'CORE DWNLD'!G68+'CORE DELTA'!G68</f>
        <v>0.984107647518451</v>
      </c>
      <c r="H68" s="108" t="n">
        <f aca="false">'CORE DWNLD'!H68+'CORE DELTA'!H68</f>
        <v>0.99</v>
      </c>
      <c r="I68" s="108" t="n">
        <f aca="false">'CORE DWNLD'!I68+'CORE DELTA'!I68</f>
        <v>0.905775860471433</v>
      </c>
      <c r="J68" s="108" t="n">
        <f aca="false">'CORE DWNLD'!J68+'CORE DELTA'!J68</f>
        <v>0.995</v>
      </c>
      <c r="K68" s="108" t="n">
        <f aca="false">'CORE DWNLD'!K68+'CORE DELTA'!K68</f>
        <v>0.98</v>
      </c>
      <c r="L68" s="108" t="n">
        <f aca="false">'CORE DWNLD'!L68+'CORE DELTA'!L68</f>
        <v>0.99</v>
      </c>
      <c r="M68" s="108" t="n">
        <f aca="false">'CORE DWNLD'!M68+'CORE DELTA'!M68</f>
        <v>1.005</v>
      </c>
      <c r="N68" s="108" t="n">
        <f aca="false">'CORE DWNLD'!N68+'CORE DELTA'!N68</f>
        <v>0.99</v>
      </c>
      <c r="O68" s="108" t="n">
        <f aca="false">'CORE DWNLD'!O68+'CORE DELTA'!O68</f>
        <v>0.96</v>
      </c>
    </row>
    <row r="69" customFormat="false" ht="12.75" hidden="false" customHeight="false" outlineLevel="0" collapsed="false">
      <c r="A69" s="158" t="n">
        <v>38777</v>
      </c>
      <c r="B69" s="108" t="n">
        <f aca="false">'CORE DWNLD'!B69+'CORE DELTA'!B69</f>
        <v>0.999</v>
      </c>
      <c r="C69" s="108" t="n">
        <f aca="false">'CORE DWNLD'!C69+'CORE DELTA'!C69</f>
        <v>0.999</v>
      </c>
      <c r="D69" s="108" t="n">
        <f aca="false">'CORE DWNLD'!D69+'CORE DELTA'!D69</f>
        <v>0.995</v>
      </c>
      <c r="E69" s="108" t="n">
        <f aca="false">'CORE DWNLD'!E69+'CORE DELTA'!E69</f>
        <v>0.96</v>
      </c>
      <c r="F69" s="108" t="n">
        <f aca="false">'CORE DWNLD'!F69+'CORE DELTA'!F69</f>
        <v>0.96</v>
      </c>
      <c r="G69" s="108" t="n">
        <f aca="false">'CORE DWNLD'!G69+'CORE DELTA'!G69</f>
        <v>0.984107647518451</v>
      </c>
      <c r="H69" s="108" t="n">
        <f aca="false">'CORE DWNLD'!H69+'CORE DELTA'!H69</f>
        <v>0.99</v>
      </c>
      <c r="I69" s="108" t="n">
        <f aca="false">'CORE DWNLD'!I69+'CORE DELTA'!I69</f>
        <v>0.905775860471433</v>
      </c>
      <c r="J69" s="108" t="n">
        <f aca="false">'CORE DWNLD'!J69+'CORE DELTA'!J69</f>
        <v>0.995</v>
      </c>
      <c r="K69" s="108" t="n">
        <f aca="false">'CORE DWNLD'!K69+'CORE DELTA'!K69</f>
        <v>0.98</v>
      </c>
      <c r="L69" s="108" t="n">
        <f aca="false">'CORE DWNLD'!L69+'CORE DELTA'!L69</f>
        <v>0.99</v>
      </c>
      <c r="M69" s="108" t="n">
        <f aca="false">'CORE DWNLD'!M69+'CORE DELTA'!M69</f>
        <v>1.005</v>
      </c>
      <c r="N69" s="108" t="n">
        <f aca="false">'CORE DWNLD'!N69+'CORE DELTA'!N69</f>
        <v>0.99</v>
      </c>
      <c r="O69" s="108" t="n">
        <f aca="false">'CORE DWNLD'!O69+'CORE DELTA'!O69</f>
        <v>0.96</v>
      </c>
    </row>
    <row r="70" customFormat="false" ht="12.75" hidden="false" customHeight="false" outlineLevel="0" collapsed="false">
      <c r="A70" s="158" t="n">
        <v>38808</v>
      </c>
      <c r="B70" s="108" t="n">
        <f aca="false">'CORE DWNLD'!B70+'CORE DELTA'!B70</f>
        <v>0.999</v>
      </c>
      <c r="C70" s="108" t="n">
        <f aca="false">'CORE DWNLD'!C70+'CORE DELTA'!C70</f>
        <v>0.999</v>
      </c>
      <c r="D70" s="108" t="n">
        <f aca="false">'CORE DWNLD'!D70+'CORE DELTA'!D70</f>
        <v>0.995</v>
      </c>
      <c r="E70" s="108" t="n">
        <f aca="false">'CORE DWNLD'!E70+'CORE DELTA'!E70</f>
        <v>0.96</v>
      </c>
      <c r="F70" s="108" t="n">
        <f aca="false">'CORE DWNLD'!F70+'CORE DELTA'!F70</f>
        <v>0.96</v>
      </c>
      <c r="G70" s="108" t="n">
        <f aca="false">'CORE DWNLD'!G70+'CORE DELTA'!G70</f>
        <v>0.994071440191916</v>
      </c>
      <c r="H70" s="108" t="n">
        <f aca="false">'CORE DWNLD'!H70+'CORE DELTA'!H70</f>
        <v>0.99</v>
      </c>
      <c r="I70" s="108" t="n">
        <f aca="false">'CORE DWNLD'!I70+'CORE DELTA'!I70</f>
        <v>0.980420749757432</v>
      </c>
      <c r="J70" s="108" t="n">
        <f aca="false">'CORE DWNLD'!J70+'CORE DELTA'!J70</f>
        <v>0.995</v>
      </c>
      <c r="K70" s="108" t="n">
        <f aca="false">'CORE DWNLD'!K70+'CORE DELTA'!K70</f>
        <v>0.98</v>
      </c>
      <c r="L70" s="108" t="n">
        <f aca="false">'CORE DWNLD'!L70+'CORE DELTA'!L70</f>
        <v>0.99</v>
      </c>
      <c r="M70" s="108" t="n">
        <f aca="false">'CORE DWNLD'!M70+'CORE DELTA'!M70</f>
        <v>1.005</v>
      </c>
      <c r="N70" s="108" t="n">
        <f aca="false">'CORE DWNLD'!N70+'CORE DELTA'!N70</f>
        <v>0.99</v>
      </c>
      <c r="O70" s="108" t="n">
        <f aca="false">'CORE DWNLD'!O70+'CORE DELTA'!O70</f>
        <v>0.96</v>
      </c>
    </row>
    <row r="71" customFormat="false" ht="12.75" hidden="false" customHeight="false" outlineLevel="0" collapsed="false">
      <c r="A71" s="158" t="n">
        <v>38838</v>
      </c>
      <c r="B71" s="108" t="n">
        <f aca="false">'CORE DWNLD'!B71+'CORE DELTA'!B71</f>
        <v>0.999</v>
      </c>
      <c r="C71" s="108" t="n">
        <f aca="false">'CORE DWNLD'!C71+'CORE DELTA'!C71</f>
        <v>0.999</v>
      </c>
      <c r="D71" s="108" t="n">
        <f aca="false">'CORE DWNLD'!D71+'CORE DELTA'!D71</f>
        <v>0.995</v>
      </c>
      <c r="E71" s="108" t="n">
        <f aca="false">'CORE DWNLD'!E71+'CORE DELTA'!E71</f>
        <v>0.96</v>
      </c>
      <c r="F71" s="108" t="n">
        <f aca="false">'CORE DWNLD'!F71+'CORE DELTA'!F71</f>
        <v>0.96</v>
      </c>
      <c r="G71" s="108" t="n">
        <f aca="false">'CORE DWNLD'!G71+'CORE DELTA'!G71</f>
        <v>0.994071440191916</v>
      </c>
      <c r="H71" s="108" t="n">
        <f aca="false">'CORE DWNLD'!H71+'CORE DELTA'!H71</f>
        <v>0.99</v>
      </c>
      <c r="I71" s="108" t="n">
        <f aca="false">'CORE DWNLD'!I71+'CORE DELTA'!I71</f>
        <v>0.980420749757432</v>
      </c>
      <c r="J71" s="108" t="n">
        <f aca="false">'CORE DWNLD'!J71+'CORE DELTA'!J71</f>
        <v>0.995</v>
      </c>
      <c r="K71" s="108" t="n">
        <f aca="false">'CORE DWNLD'!K71+'CORE DELTA'!K71</f>
        <v>0.98</v>
      </c>
      <c r="L71" s="108" t="n">
        <f aca="false">'CORE DWNLD'!L71+'CORE DELTA'!L71</f>
        <v>0.99</v>
      </c>
      <c r="M71" s="108" t="n">
        <f aca="false">'CORE DWNLD'!M71+'CORE DELTA'!M71</f>
        <v>1.005</v>
      </c>
      <c r="N71" s="108" t="n">
        <f aca="false">'CORE DWNLD'!N71+'CORE DELTA'!N71</f>
        <v>0.99</v>
      </c>
      <c r="O71" s="108" t="n">
        <f aca="false">'CORE DWNLD'!O71+'CORE DELTA'!O71</f>
        <v>0.96</v>
      </c>
    </row>
    <row r="72" customFormat="false" ht="12.75" hidden="false" customHeight="false" outlineLevel="0" collapsed="false">
      <c r="A72" s="158" t="n">
        <v>38869</v>
      </c>
      <c r="B72" s="108" t="n">
        <f aca="false">'CORE DWNLD'!B72+'CORE DELTA'!B72</f>
        <v>0.999</v>
      </c>
      <c r="C72" s="108" t="n">
        <f aca="false">'CORE DWNLD'!C72+'CORE DELTA'!C72</f>
        <v>0.999</v>
      </c>
      <c r="D72" s="108" t="n">
        <f aca="false">'CORE DWNLD'!D72+'CORE DELTA'!D72</f>
        <v>0.995</v>
      </c>
      <c r="E72" s="108" t="n">
        <f aca="false">'CORE DWNLD'!E72+'CORE DELTA'!E72</f>
        <v>0.96</v>
      </c>
      <c r="F72" s="108" t="n">
        <f aca="false">'CORE DWNLD'!F72+'CORE DELTA'!F72</f>
        <v>0.96</v>
      </c>
      <c r="G72" s="108" t="n">
        <f aca="false">'CORE DWNLD'!G72+'CORE DELTA'!G72</f>
        <v>0.994071440191916</v>
      </c>
      <c r="H72" s="108" t="n">
        <f aca="false">'CORE DWNLD'!H72+'CORE DELTA'!H72</f>
        <v>0.99</v>
      </c>
      <c r="I72" s="108" t="n">
        <f aca="false">'CORE DWNLD'!I72+'CORE DELTA'!I72</f>
        <v>0.980420749757432</v>
      </c>
      <c r="J72" s="108" t="n">
        <f aca="false">'CORE DWNLD'!J72+'CORE DELTA'!J72</f>
        <v>0.995</v>
      </c>
      <c r="K72" s="108" t="n">
        <f aca="false">'CORE DWNLD'!K72+'CORE DELTA'!K72</f>
        <v>0.98</v>
      </c>
      <c r="L72" s="108" t="n">
        <f aca="false">'CORE DWNLD'!L72+'CORE DELTA'!L72</f>
        <v>0.99</v>
      </c>
      <c r="M72" s="108" t="n">
        <f aca="false">'CORE DWNLD'!M72+'CORE DELTA'!M72</f>
        <v>1.005</v>
      </c>
      <c r="N72" s="108" t="n">
        <f aca="false">'CORE DWNLD'!N72+'CORE DELTA'!N72</f>
        <v>0.99</v>
      </c>
      <c r="O72" s="108" t="n">
        <f aca="false">'CORE DWNLD'!O72+'CORE DELTA'!O72</f>
        <v>0.96</v>
      </c>
    </row>
    <row r="73" customFormat="false" ht="12.75" hidden="false" customHeight="false" outlineLevel="0" collapsed="false">
      <c r="A73" s="158" t="n">
        <v>38899</v>
      </c>
      <c r="B73" s="108" t="n">
        <f aca="false">'CORE DWNLD'!B73+'CORE DELTA'!B73</f>
        <v>0.999</v>
      </c>
      <c r="C73" s="108" t="n">
        <f aca="false">'CORE DWNLD'!C73+'CORE DELTA'!C73</f>
        <v>0.999</v>
      </c>
      <c r="D73" s="108" t="n">
        <f aca="false">'CORE DWNLD'!D73+'CORE DELTA'!D73</f>
        <v>0.995</v>
      </c>
      <c r="E73" s="108" t="n">
        <f aca="false">'CORE DWNLD'!E73+'CORE DELTA'!E73</f>
        <v>0.96</v>
      </c>
      <c r="F73" s="108" t="n">
        <f aca="false">'CORE DWNLD'!F73+'CORE DELTA'!F73</f>
        <v>0.96</v>
      </c>
      <c r="G73" s="108" t="n">
        <f aca="false">'CORE DWNLD'!G73+'CORE DELTA'!G73</f>
        <v>0.994071440191916</v>
      </c>
      <c r="H73" s="108" t="n">
        <f aca="false">'CORE DWNLD'!H73+'CORE DELTA'!H73</f>
        <v>0.99</v>
      </c>
      <c r="I73" s="108" t="n">
        <f aca="false">'CORE DWNLD'!I73+'CORE DELTA'!I73</f>
        <v>0.980420749757432</v>
      </c>
      <c r="J73" s="108" t="n">
        <f aca="false">'CORE DWNLD'!J73+'CORE DELTA'!J73</f>
        <v>0.995</v>
      </c>
      <c r="K73" s="108" t="n">
        <f aca="false">'CORE DWNLD'!K73+'CORE DELTA'!K73</f>
        <v>0.98</v>
      </c>
      <c r="L73" s="108" t="n">
        <f aca="false">'CORE DWNLD'!L73+'CORE DELTA'!L73</f>
        <v>0.99</v>
      </c>
      <c r="M73" s="108" t="n">
        <f aca="false">'CORE DWNLD'!M73+'CORE DELTA'!M73</f>
        <v>1.005</v>
      </c>
      <c r="N73" s="108" t="n">
        <f aca="false">'CORE DWNLD'!N73+'CORE DELTA'!N73</f>
        <v>0.99</v>
      </c>
      <c r="O73" s="108" t="n">
        <f aca="false">'CORE DWNLD'!O73+'CORE DELTA'!O73</f>
        <v>0.96</v>
      </c>
    </row>
    <row r="74" customFormat="false" ht="12.75" hidden="false" customHeight="false" outlineLevel="0" collapsed="false">
      <c r="A74" s="158" t="n">
        <v>38930</v>
      </c>
      <c r="B74" s="108" t="n">
        <f aca="false">'CORE DWNLD'!B74+'CORE DELTA'!B74</f>
        <v>0.999</v>
      </c>
      <c r="C74" s="108" t="n">
        <f aca="false">'CORE DWNLD'!C74+'CORE DELTA'!C74</f>
        <v>0.999</v>
      </c>
      <c r="D74" s="108" t="n">
        <f aca="false">'CORE DWNLD'!D74+'CORE DELTA'!D74</f>
        <v>0.995</v>
      </c>
      <c r="E74" s="108" t="n">
        <f aca="false">'CORE DWNLD'!E74+'CORE DELTA'!E74</f>
        <v>0.96</v>
      </c>
      <c r="F74" s="108" t="n">
        <f aca="false">'CORE DWNLD'!F74+'CORE DELTA'!F74</f>
        <v>0.96</v>
      </c>
      <c r="G74" s="108" t="n">
        <f aca="false">'CORE DWNLD'!G74+'CORE DELTA'!G74</f>
        <v>0.994071440191916</v>
      </c>
      <c r="H74" s="108" t="n">
        <f aca="false">'CORE DWNLD'!H74+'CORE DELTA'!H74</f>
        <v>0.99</v>
      </c>
      <c r="I74" s="108" t="n">
        <f aca="false">'CORE DWNLD'!I74+'CORE DELTA'!I74</f>
        <v>0.980420749757432</v>
      </c>
      <c r="J74" s="108" t="n">
        <f aca="false">'CORE DWNLD'!J74+'CORE DELTA'!J74</f>
        <v>0.995</v>
      </c>
      <c r="K74" s="108" t="n">
        <f aca="false">'CORE DWNLD'!K74+'CORE DELTA'!K74</f>
        <v>0.98</v>
      </c>
      <c r="L74" s="108" t="n">
        <f aca="false">'CORE DWNLD'!L74+'CORE DELTA'!L74</f>
        <v>0.99</v>
      </c>
      <c r="M74" s="108" t="n">
        <f aca="false">'CORE DWNLD'!M74+'CORE DELTA'!M74</f>
        <v>1.005</v>
      </c>
      <c r="N74" s="108" t="n">
        <f aca="false">'CORE DWNLD'!N74+'CORE DELTA'!N74</f>
        <v>0.99</v>
      </c>
      <c r="O74" s="108" t="n">
        <f aca="false">'CORE DWNLD'!O74+'CORE DELTA'!O74</f>
        <v>0.96</v>
      </c>
    </row>
    <row r="75" customFormat="false" ht="12.75" hidden="false" customHeight="false" outlineLevel="0" collapsed="false">
      <c r="A75" s="158" t="n">
        <v>38961</v>
      </c>
      <c r="B75" s="108" t="n">
        <f aca="false">'CORE DWNLD'!B75+'CORE DELTA'!B75</f>
        <v>0.999</v>
      </c>
      <c r="C75" s="108" t="n">
        <f aca="false">'CORE DWNLD'!C75+'CORE DELTA'!C75</f>
        <v>0.999</v>
      </c>
      <c r="D75" s="108" t="n">
        <f aca="false">'CORE DWNLD'!D75+'CORE DELTA'!D75</f>
        <v>0.995</v>
      </c>
      <c r="E75" s="108" t="n">
        <f aca="false">'CORE DWNLD'!E75+'CORE DELTA'!E75</f>
        <v>0.96</v>
      </c>
      <c r="F75" s="108" t="n">
        <f aca="false">'CORE DWNLD'!F75+'CORE DELTA'!F75</f>
        <v>0.96</v>
      </c>
      <c r="G75" s="108" t="n">
        <f aca="false">'CORE DWNLD'!G75+'CORE DELTA'!G75</f>
        <v>0.994071440191916</v>
      </c>
      <c r="H75" s="108" t="n">
        <f aca="false">'CORE DWNLD'!H75+'CORE DELTA'!H75</f>
        <v>0.99</v>
      </c>
      <c r="I75" s="108" t="n">
        <f aca="false">'CORE DWNLD'!I75+'CORE DELTA'!I75</f>
        <v>0.980420749757432</v>
      </c>
      <c r="J75" s="108" t="n">
        <f aca="false">'CORE DWNLD'!J75+'CORE DELTA'!J75</f>
        <v>0.995</v>
      </c>
      <c r="K75" s="108" t="n">
        <f aca="false">'CORE DWNLD'!K75+'CORE DELTA'!K75</f>
        <v>0.98</v>
      </c>
      <c r="L75" s="108" t="n">
        <f aca="false">'CORE DWNLD'!L75+'CORE DELTA'!L75</f>
        <v>0.99</v>
      </c>
      <c r="M75" s="108" t="n">
        <f aca="false">'CORE DWNLD'!M75+'CORE DELTA'!M75</f>
        <v>1.005</v>
      </c>
      <c r="N75" s="108" t="n">
        <f aca="false">'CORE DWNLD'!N75+'CORE DELTA'!N75</f>
        <v>0.99</v>
      </c>
      <c r="O75" s="108" t="n">
        <f aca="false">'CORE DWNLD'!O75+'CORE DELTA'!O75</f>
        <v>0.96</v>
      </c>
    </row>
    <row r="76" customFormat="false" ht="12.75" hidden="false" customHeight="false" outlineLevel="0" collapsed="false">
      <c r="A76" s="158" t="n">
        <v>38991</v>
      </c>
      <c r="B76" s="108" t="n">
        <f aca="false">'CORE DWNLD'!B76+'CORE DELTA'!B76</f>
        <v>0.999</v>
      </c>
      <c r="C76" s="108" t="n">
        <f aca="false">'CORE DWNLD'!C76+'CORE DELTA'!C76</f>
        <v>0.999</v>
      </c>
      <c r="D76" s="108" t="n">
        <f aca="false">'CORE DWNLD'!D76+'CORE DELTA'!D76</f>
        <v>0.995</v>
      </c>
      <c r="E76" s="108" t="n">
        <f aca="false">'CORE DWNLD'!E76+'CORE DELTA'!E76</f>
        <v>0.96</v>
      </c>
      <c r="F76" s="108" t="n">
        <f aca="false">'CORE DWNLD'!F76+'CORE DELTA'!F76</f>
        <v>0.96</v>
      </c>
      <c r="G76" s="108" t="n">
        <f aca="false">'CORE DWNLD'!G76+'CORE DELTA'!G76</f>
        <v>0.994071440191916</v>
      </c>
      <c r="H76" s="108" t="n">
        <f aca="false">'CORE DWNLD'!H76+'CORE DELTA'!H76</f>
        <v>0.99</v>
      </c>
      <c r="I76" s="108" t="n">
        <f aca="false">'CORE DWNLD'!I76+'CORE DELTA'!I76</f>
        <v>0.980420749757432</v>
      </c>
      <c r="J76" s="108" t="n">
        <f aca="false">'CORE DWNLD'!J76+'CORE DELTA'!J76</f>
        <v>0.995</v>
      </c>
      <c r="K76" s="108" t="n">
        <f aca="false">'CORE DWNLD'!K76+'CORE DELTA'!K76</f>
        <v>0.98</v>
      </c>
      <c r="L76" s="108" t="n">
        <f aca="false">'CORE DWNLD'!L76+'CORE DELTA'!L76</f>
        <v>0.99</v>
      </c>
      <c r="M76" s="108" t="n">
        <f aca="false">'CORE DWNLD'!M76+'CORE DELTA'!M76</f>
        <v>1.005</v>
      </c>
      <c r="N76" s="108" t="n">
        <f aca="false">'CORE DWNLD'!N76+'CORE DELTA'!N76</f>
        <v>0.99</v>
      </c>
      <c r="O76" s="108" t="n">
        <f aca="false">'CORE DWNLD'!O76+'CORE DELTA'!O76</f>
        <v>0.96</v>
      </c>
    </row>
    <row r="77" customFormat="false" ht="12.75" hidden="false" customHeight="false" outlineLevel="0" collapsed="false">
      <c r="A77" s="158" t="n">
        <v>39022</v>
      </c>
      <c r="B77" s="108" t="n">
        <f aca="false">'CORE DWNLD'!B77+'CORE DELTA'!B77</f>
        <v>0.999</v>
      </c>
      <c r="C77" s="108" t="n">
        <f aca="false">'CORE DWNLD'!C77+'CORE DELTA'!C77</f>
        <v>0.999</v>
      </c>
      <c r="D77" s="108" t="n">
        <f aca="false">'CORE DWNLD'!D77+'CORE DELTA'!D77</f>
        <v>0.995</v>
      </c>
      <c r="E77" s="108" t="n">
        <f aca="false">'CORE DWNLD'!E77+'CORE DELTA'!E77</f>
        <v>0.96</v>
      </c>
      <c r="F77" s="108" t="n">
        <f aca="false">'CORE DWNLD'!F77+'CORE DELTA'!F77</f>
        <v>0.96</v>
      </c>
      <c r="G77" s="108" t="n">
        <f aca="false">'CORE DWNLD'!G77+'CORE DELTA'!G77</f>
        <v>0.984107647518451</v>
      </c>
      <c r="H77" s="108" t="n">
        <f aca="false">'CORE DWNLD'!H77+'CORE DELTA'!H77</f>
        <v>0.99</v>
      </c>
      <c r="I77" s="108" t="n">
        <f aca="false">'CORE DWNLD'!I77+'CORE DELTA'!I77</f>
        <v>0.905775860471433</v>
      </c>
      <c r="J77" s="108" t="n">
        <f aca="false">'CORE DWNLD'!J77+'CORE DELTA'!J77</f>
        <v>0.995</v>
      </c>
      <c r="K77" s="108" t="n">
        <f aca="false">'CORE DWNLD'!K77+'CORE DELTA'!K77</f>
        <v>0.98</v>
      </c>
      <c r="L77" s="108" t="n">
        <f aca="false">'CORE DWNLD'!L77+'CORE DELTA'!L77</f>
        <v>0.99</v>
      </c>
      <c r="M77" s="108" t="n">
        <f aca="false">'CORE DWNLD'!M77+'CORE DELTA'!M77</f>
        <v>1.005</v>
      </c>
      <c r="N77" s="108" t="n">
        <f aca="false">'CORE DWNLD'!N77+'CORE DELTA'!N77</f>
        <v>0.99</v>
      </c>
      <c r="O77" s="108" t="n">
        <f aca="false">'CORE DWNLD'!O77+'CORE DELTA'!O77</f>
        <v>0.96</v>
      </c>
    </row>
    <row r="78" customFormat="false" ht="12.75" hidden="false" customHeight="false" outlineLevel="0" collapsed="false">
      <c r="A78" s="158" t="n">
        <v>39052</v>
      </c>
      <c r="B78" s="108" t="n">
        <f aca="false">'CORE DWNLD'!B78+'CORE DELTA'!B78</f>
        <v>0.999</v>
      </c>
      <c r="C78" s="108" t="n">
        <f aca="false">'CORE DWNLD'!C78+'CORE DELTA'!C78</f>
        <v>0.999</v>
      </c>
      <c r="D78" s="108" t="n">
        <f aca="false">'CORE DWNLD'!D78+'CORE DELTA'!D78</f>
        <v>0.995</v>
      </c>
      <c r="E78" s="108" t="n">
        <f aca="false">'CORE DWNLD'!E78+'CORE DELTA'!E78</f>
        <v>0.96</v>
      </c>
      <c r="F78" s="108" t="n">
        <f aca="false">'CORE DWNLD'!F78+'CORE DELTA'!F78</f>
        <v>0.96</v>
      </c>
      <c r="G78" s="108" t="n">
        <f aca="false">'CORE DWNLD'!G78+'CORE DELTA'!G78</f>
        <v>0.984107647518451</v>
      </c>
      <c r="H78" s="108" t="n">
        <f aca="false">'CORE DWNLD'!H78+'CORE DELTA'!H78</f>
        <v>0.99</v>
      </c>
      <c r="I78" s="108" t="n">
        <f aca="false">'CORE DWNLD'!I78+'CORE DELTA'!I78</f>
        <v>0.905775860471433</v>
      </c>
      <c r="J78" s="108" t="n">
        <f aca="false">'CORE DWNLD'!J78+'CORE DELTA'!J78</f>
        <v>0.995</v>
      </c>
      <c r="K78" s="108" t="n">
        <f aca="false">'CORE DWNLD'!K78+'CORE DELTA'!K78</f>
        <v>0.98</v>
      </c>
      <c r="L78" s="108" t="n">
        <f aca="false">'CORE DWNLD'!L78+'CORE DELTA'!L78</f>
        <v>0.99</v>
      </c>
      <c r="M78" s="108" t="n">
        <f aca="false">'CORE DWNLD'!M78+'CORE DELTA'!M78</f>
        <v>1.005</v>
      </c>
      <c r="N78" s="108" t="n">
        <f aca="false">'CORE DWNLD'!N78+'CORE DELTA'!N78</f>
        <v>0.99</v>
      </c>
      <c r="O78" s="108" t="n">
        <f aca="false">'CORE DWNLD'!O78+'CORE DELTA'!O78</f>
        <v>0.96</v>
      </c>
    </row>
    <row r="79" customFormat="false" ht="12.75" hidden="false" customHeight="false" outlineLevel="0" collapsed="false">
      <c r="A79" s="158" t="n">
        <v>39083</v>
      </c>
      <c r="B79" s="108" t="n">
        <f aca="false">'CORE DWNLD'!B79+'CORE DELTA'!B79</f>
        <v>0.999</v>
      </c>
      <c r="C79" s="108" t="n">
        <f aca="false">'CORE DWNLD'!C79+'CORE DELTA'!C79</f>
        <v>0.999</v>
      </c>
      <c r="D79" s="108" t="n">
        <f aca="false">'CORE DWNLD'!D79+'CORE DELTA'!D79</f>
        <v>0.995</v>
      </c>
      <c r="E79" s="108" t="n">
        <f aca="false">'CORE DWNLD'!E79+'CORE DELTA'!E79</f>
        <v>0.96</v>
      </c>
      <c r="F79" s="108" t="n">
        <f aca="false">'CORE DWNLD'!F79+'CORE DELTA'!F79</f>
        <v>0.96</v>
      </c>
      <c r="G79" s="108" t="n">
        <f aca="false">'CORE DWNLD'!G79+'CORE DELTA'!G79</f>
        <v>0.984107647518451</v>
      </c>
      <c r="H79" s="108" t="n">
        <f aca="false">'CORE DWNLD'!H79+'CORE DELTA'!H79</f>
        <v>0.99</v>
      </c>
      <c r="I79" s="108" t="n">
        <f aca="false">'CORE DWNLD'!I79+'CORE DELTA'!I79</f>
        <v>0.905775860471433</v>
      </c>
      <c r="J79" s="108" t="n">
        <f aca="false">'CORE DWNLD'!J79+'CORE DELTA'!J79</f>
        <v>0.995</v>
      </c>
      <c r="K79" s="108" t="n">
        <f aca="false">'CORE DWNLD'!K79+'CORE DELTA'!K79</f>
        <v>0.98</v>
      </c>
      <c r="L79" s="108" t="n">
        <f aca="false">'CORE DWNLD'!L79+'CORE DELTA'!L79</f>
        <v>0.99</v>
      </c>
      <c r="M79" s="108" t="n">
        <f aca="false">'CORE DWNLD'!M79+'CORE DELTA'!M79</f>
        <v>1.005</v>
      </c>
      <c r="N79" s="108" t="n">
        <f aca="false">'CORE DWNLD'!N79+'CORE DELTA'!N79</f>
        <v>0.99</v>
      </c>
      <c r="O79" s="108" t="n">
        <f aca="false">'CORE DWNLD'!O79+'CORE DELTA'!O79</f>
        <v>0.96</v>
      </c>
    </row>
    <row r="80" customFormat="false" ht="12.75" hidden="false" customHeight="false" outlineLevel="0" collapsed="false">
      <c r="A80" s="158" t="n">
        <v>39114</v>
      </c>
      <c r="B80" s="108" t="n">
        <f aca="false">'CORE DWNLD'!B80+'CORE DELTA'!B80</f>
        <v>0.999</v>
      </c>
      <c r="C80" s="108" t="n">
        <f aca="false">'CORE DWNLD'!C80+'CORE DELTA'!C80</f>
        <v>0.999</v>
      </c>
      <c r="D80" s="108" t="n">
        <f aca="false">'CORE DWNLD'!D80+'CORE DELTA'!D80</f>
        <v>0.995</v>
      </c>
      <c r="E80" s="108" t="n">
        <f aca="false">'CORE DWNLD'!E80+'CORE DELTA'!E80</f>
        <v>0.96</v>
      </c>
      <c r="F80" s="108" t="n">
        <f aca="false">'CORE DWNLD'!F80+'CORE DELTA'!F80</f>
        <v>0.96</v>
      </c>
      <c r="G80" s="108" t="n">
        <f aca="false">'CORE DWNLD'!G80+'CORE DELTA'!G80</f>
        <v>0.984107647518451</v>
      </c>
      <c r="H80" s="108" t="n">
        <f aca="false">'CORE DWNLD'!H80+'CORE DELTA'!H80</f>
        <v>0.99</v>
      </c>
      <c r="I80" s="108" t="n">
        <f aca="false">'CORE DWNLD'!I80+'CORE DELTA'!I80</f>
        <v>0.905775860471433</v>
      </c>
      <c r="J80" s="108" t="n">
        <f aca="false">'CORE DWNLD'!J80+'CORE DELTA'!J80</f>
        <v>0.995</v>
      </c>
      <c r="K80" s="108" t="n">
        <f aca="false">'CORE DWNLD'!K80+'CORE DELTA'!K80</f>
        <v>0.98</v>
      </c>
      <c r="L80" s="108" t="n">
        <f aca="false">'CORE DWNLD'!L80+'CORE DELTA'!L80</f>
        <v>0.99</v>
      </c>
      <c r="M80" s="108" t="n">
        <f aca="false">'CORE DWNLD'!M80+'CORE DELTA'!M80</f>
        <v>1.005</v>
      </c>
      <c r="N80" s="108" t="n">
        <f aca="false">'CORE DWNLD'!N80+'CORE DELTA'!N80</f>
        <v>0.99</v>
      </c>
      <c r="O80" s="108" t="n">
        <f aca="false">'CORE DWNLD'!O80+'CORE DELTA'!O80</f>
        <v>0.96</v>
      </c>
    </row>
    <row r="81" customFormat="false" ht="12.75" hidden="false" customHeight="false" outlineLevel="0" collapsed="false">
      <c r="A81" s="158" t="n">
        <v>39142</v>
      </c>
      <c r="B81" s="108" t="n">
        <f aca="false">'CORE DWNLD'!B81+'CORE DELTA'!B81</f>
        <v>0.999</v>
      </c>
      <c r="C81" s="108" t="n">
        <f aca="false">'CORE DWNLD'!C81+'CORE DELTA'!C81</f>
        <v>0.999</v>
      </c>
      <c r="D81" s="108" t="n">
        <f aca="false">'CORE DWNLD'!D81+'CORE DELTA'!D81</f>
        <v>0.995</v>
      </c>
      <c r="E81" s="108" t="n">
        <f aca="false">'CORE DWNLD'!E81+'CORE DELTA'!E81</f>
        <v>0.96</v>
      </c>
      <c r="F81" s="108" t="n">
        <f aca="false">'CORE DWNLD'!F81+'CORE DELTA'!F81</f>
        <v>0.96</v>
      </c>
      <c r="G81" s="108" t="n">
        <f aca="false">'CORE DWNLD'!G81+'CORE DELTA'!G81</f>
        <v>0.984107647518451</v>
      </c>
      <c r="H81" s="108" t="n">
        <f aca="false">'CORE DWNLD'!H81+'CORE DELTA'!H81</f>
        <v>0.99</v>
      </c>
      <c r="I81" s="108" t="n">
        <f aca="false">'CORE DWNLD'!I81+'CORE DELTA'!I81</f>
        <v>0.905775860471433</v>
      </c>
      <c r="J81" s="108" t="n">
        <f aca="false">'CORE DWNLD'!J81+'CORE DELTA'!J81</f>
        <v>0.995</v>
      </c>
      <c r="K81" s="108" t="n">
        <f aca="false">'CORE DWNLD'!K81+'CORE DELTA'!K81</f>
        <v>0.98</v>
      </c>
      <c r="L81" s="108" t="n">
        <f aca="false">'CORE DWNLD'!L81+'CORE DELTA'!L81</f>
        <v>0.99</v>
      </c>
      <c r="M81" s="108" t="n">
        <f aca="false">'CORE DWNLD'!M81+'CORE DELTA'!M81</f>
        <v>1.005</v>
      </c>
      <c r="N81" s="108" t="n">
        <f aca="false">'CORE DWNLD'!N81+'CORE DELTA'!N81</f>
        <v>0.99</v>
      </c>
      <c r="O81" s="108" t="n">
        <f aca="false">'CORE DWNLD'!O81+'CORE DELTA'!O81</f>
        <v>0.96</v>
      </c>
    </row>
    <row r="82" customFormat="false" ht="12.75" hidden="false" customHeight="false" outlineLevel="0" collapsed="false">
      <c r="A82" s="158" t="n">
        <v>39173</v>
      </c>
      <c r="B82" s="108" t="n">
        <f aca="false">'CORE DWNLD'!B82+'CORE DELTA'!B82</f>
        <v>0.999</v>
      </c>
      <c r="C82" s="108" t="n">
        <f aca="false">'CORE DWNLD'!C82+'CORE DELTA'!C82</f>
        <v>0.999</v>
      </c>
      <c r="D82" s="108" t="n">
        <f aca="false">'CORE DWNLD'!D82+'CORE DELTA'!D82</f>
        <v>0.995</v>
      </c>
      <c r="E82" s="108" t="n">
        <f aca="false">'CORE DWNLD'!E82+'CORE DELTA'!E82</f>
        <v>0.96</v>
      </c>
      <c r="F82" s="108" t="n">
        <f aca="false">'CORE DWNLD'!F82+'CORE DELTA'!F82</f>
        <v>0.96</v>
      </c>
      <c r="G82" s="108" t="n">
        <f aca="false">'CORE DWNLD'!G82+'CORE DELTA'!G82</f>
        <v>0.9306</v>
      </c>
      <c r="H82" s="108" t="n">
        <f aca="false">'CORE DWNLD'!H82+'CORE DELTA'!H82</f>
        <v>0.99</v>
      </c>
      <c r="I82" s="108" t="n">
        <f aca="false">'CORE DWNLD'!I82+'CORE DELTA'!I82</f>
        <v>0.9306</v>
      </c>
      <c r="J82" s="108" t="n">
        <f aca="false">'CORE DWNLD'!J82+'CORE DELTA'!J82</f>
        <v>0.995</v>
      </c>
      <c r="K82" s="108" t="n">
        <f aca="false">'CORE DWNLD'!K82+'CORE DELTA'!K82</f>
        <v>0.98</v>
      </c>
      <c r="L82" s="108" t="n">
        <f aca="false">'CORE DWNLD'!L82+'CORE DELTA'!L82</f>
        <v>0.99</v>
      </c>
      <c r="M82" s="108" t="n">
        <f aca="false">'CORE DWNLD'!M82+'CORE DELTA'!M82</f>
        <v>1.005</v>
      </c>
      <c r="N82" s="108" t="n">
        <f aca="false">'CORE DWNLD'!N82+'CORE DELTA'!N82</f>
        <v>0.99</v>
      </c>
      <c r="O82" s="108" t="n">
        <f aca="false">'CORE DWNLD'!O82+'CORE DELTA'!O82</f>
        <v>0.96</v>
      </c>
    </row>
    <row r="83" customFormat="false" ht="12.75" hidden="false" customHeight="false" outlineLevel="0" collapsed="false">
      <c r="A83" s="158" t="n">
        <v>39203</v>
      </c>
      <c r="B83" s="108" t="n">
        <f aca="false">'CORE DWNLD'!B83+'CORE DELTA'!B83</f>
        <v>0.999</v>
      </c>
      <c r="C83" s="108" t="n">
        <f aca="false">'CORE DWNLD'!C83+'CORE DELTA'!C83</f>
        <v>0.999</v>
      </c>
      <c r="D83" s="108" t="n">
        <f aca="false">'CORE DWNLD'!D83+'CORE DELTA'!D83</f>
        <v>0.995</v>
      </c>
      <c r="E83" s="108" t="n">
        <f aca="false">'CORE DWNLD'!E83+'CORE DELTA'!E83</f>
        <v>0.96</v>
      </c>
      <c r="F83" s="108" t="n">
        <f aca="false">'CORE DWNLD'!F83+'CORE DELTA'!F83</f>
        <v>0.96</v>
      </c>
      <c r="G83" s="108" t="n">
        <f aca="false">'CORE DWNLD'!G83+'CORE DELTA'!G83</f>
        <v>0.9306</v>
      </c>
      <c r="H83" s="108" t="n">
        <f aca="false">'CORE DWNLD'!H83+'CORE DELTA'!H83</f>
        <v>0.99</v>
      </c>
      <c r="I83" s="108" t="n">
        <f aca="false">'CORE DWNLD'!I83+'CORE DELTA'!I83</f>
        <v>0.9306</v>
      </c>
      <c r="J83" s="108" t="n">
        <f aca="false">'CORE DWNLD'!J83+'CORE DELTA'!J83</f>
        <v>0.995</v>
      </c>
      <c r="K83" s="108" t="n">
        <f aca="false">'CORE DWNLD'!K83+'CORE DELTA'!K83</f>
        <v>0.98</v>
      </c>
      <c r="L83" s="108" t="n">
        <f aca="false">'CORE DWNLD'!L83+'CORE DELTA'!L83</f>
        <v>0.99</v>
      </c>
      <c r="M83" s="108" t="n">
        <f aca="false">'CORE DWNLD'!M83+'CORE DELTA'!M83</f>
        <v>1.005</v>
      </c>
      <c r="N83" s="108" t="n">
        <f aca="false">'CORE DWNLD'!N83+'CORE DELTA'!N83</f>
        <v>0.99</v>
      </c>
      <c r="O83" s="108" t="n">
        <f aca="false">'CORE DWNLD'!O83+'CORE DELTA'!O83</f>
        <v>0.96</v>
      </c>
    </row>
    <row r="84" customFormat="false" ht="12.75" hidden="false" customHeight="false" outlineLevel="0" collapsed="false">
      <c r="A84" s="158" t="n">
        <v>39234</v>
      </c>
      <c r="B84" s="108" t="n">
        <f aca="false">'CORE DWNLD'!B84+'CORE DELTA'!B84</f>
        <v>0.999</v>
      </c>
      <c r="C84" s="108" t="n">
        <f aca="false">'CORE DWNLD'!C84+'CORE DELTA'!C84</f>
        <v>0.999</v>
      </c>
      <c r="D84" s="108" t="n">
        <f aca="false">'CORE DWNLD'!D84+'CORE DELTA'!D84</f>
        <v>0.995</v>
      </c>
      <c r="E84" s="108" t="n">
        <f aca="false">'CORE DWNLD'!E84+'CORE DELTA'!E84</f>
        <v>0.96</v>
      </c>
      <c r="F84" s="108" t="n">
        <f aca="false">'CORE DWNLD'!F84+'CORE DELTA'!F84</f>
        <v>0.96</v>
      </c>
      <c r="G84" s="108" t="n">
        <f aca="false">'CORE DWNLD'!G84+'CORE DELTA'!G84</f>
        <v>0.9306</v>
      </c>
      <c r="H84" s="108" t="n">
        <f aca="false">'CORE DWNLD'!H84+'CORE DELTA'!H84</f>
        <v>0.99</v>
      </c>
      <c r="I84" s="108" t="n">
        <f aca="false">'CORE DWNLD'!I84+'CORE DELTA'!I84</f>
        <v>0.9306</v>
      </c>
      <c r="J84" s="108" t="n">
        <f aca="false">'CORE DWNLD'!J84+'CORE DELTA'!J84</f>
        <v>0.995</v>
      </c>
      <c r="K84" s="108" t="n">
        <f aca="false">'CORE DWNLD'!K84+'CORE DELTA'!K84</f>
        <v>0.98</v>
      </c>
      <c r="L84" s="108" t="n">
        <f aca="false">'CORE DWNLD'!L84+'CORE DELTA'!L84</f>
        <v>0.99</v>
      </c>
      <c r="M84" s="108" t="n">
        <f aca="false">'CORE DWNLD'!M84+'CORE DELTA'!M84</f>
        <v>1.005</v>
      </c>
      <c r="N84" s="108" t="n">
        <f aca="false">'CORE DWNLD'!N84+'CORE DELTA'!N84</f>
        <v>0.99</v>
      </c>
      <c r="O84" s="108" t="n">
        <f aca="false">'CORE DWNLD'!O84+'CORE DELTA'!O84</f>
        <v>0.96</v>
      </c>
    </row>
    <row r="85" customFormat="false" ht="12.75" hidden="false" customHeight="false" outlineLevel="0" collapsed="false">
      <c r="A85" s="158" t="n">
        <v>39264</v>
      </c>
      <c r="B85" s="108" t="n">
        <f aca="false">'CORE DWNLD'!B85+'CORE DELTA'!B85</f>
        <v>0.999</v>
      </c>
      <c r="C85" s="108" t="n">
        <f aca="false">'CORE DWNLD'!C85+'CORE DELTA'!C85</f>
        <v>0.999</v>
      </c>
      <c r="D85" s="108" t="n">
        <f aca="false">'CORE DWNLD'!D85+'CORE DELTA'!D85</f>
        <v>0.995</v>
      </c>
      <c r="E85" s="108" t="n">
        <f aca="false">'CORE DWNLD'!E85+'CORE DELTA'!E85</f>
        <v>0.96</v>
      </c>
      <c r="F85" s="108" t="n">
        <f aca="false">'CORE DWNLD'!F85+'CORE DELTA'!F85</f>
        <v>0.96</v>
      </c>
      <c r="G85" s="108" t="n">
        <f aca="false">'CORE DWNLD'!G85+'CORE DELTA'!G85</f>
        <v>0.9306</v>
      </c>
      <c r="H85" s="108" t="n">
        <f aca="false">'CORE DWNLD'!H85+'CORE DELTA'!H85</f>
        <v>0.99</v>
      </c>
      <c r="I85" s="108" t="n">
        <f aca="false">'CORE DWNLD'!I85+'CORE DELTA'!I85</f>
        <v>0.9306</v>
      </c>
      <c r="J85" s="108" t="n">
        <f aca="false">'CORE DWNLD'!J85+'CORE DELTA'!J85</f>
        <v>0.995</v>
      </c>
      <c r="K85" s="108" t="n">
        <f aca="false">'CORE DWNLD'!K85+'CORE DELTA'!K85</f>
        <v>0.98</v>
      </c>
      <c r="L85" s="108" t="n">
        <f aca="false">'CORE DWNLD'!L85+'CORE DELTA'!L85</f>
        <v>0.99</v>
      </c>
      <c r="M85" s="108" t="n">
        <f aca="false">'CORE DWNLD'!M85+'CORE DELTA'!M85</f>
        <v>1.005</v>
      </c>
      <c r="N85" s="108" t="n">
        <f aca="false">'CORE DWNLD'!N85+'CORE DELTA'!N85</f>
        <v>0.99</v>
      </c>
      <c r="O85" s="108" t="n">
        <f aca="false">'CORE DWNLD'!O85+'CORE DELTA'!O85</f>
        <v>0.96</v>
      </c>
    </row>
    <row r="86" customFormat="false" ht="12.75" hidden="false" customHeight="false" outlineLevel="0" collapsed="false">
      <c r="A86" s="158" t="n">
        <v>39295</v>
      </c>
      <c r="B86" s="108" t="n">
        <f aca="false">'CORE DWNLD'!B86+'CORE DELTA'!B86</f>
        <v>0.999</v>
      </c>
      <c r="C86" s="108" t="n">
        <f aca="false">'CORE DWNLD'!C86+'CORE DELTA'!C86</f>
        <v>0.999</v>
      </c>
      <c r="D86" s="108" t="n">
        <f aca="false">'CORE DWNLD'!D86+'CORE DELTA'!D86</f>
        <v>0.995</v>
      </c>
      <c r="E86" s="108" t="n">
        <f aca="false">'CORE DWNLD'!E86+'CORE DELTA'!E86</f>
        <v>0.96</v>
      </c>
      <c r="F86" s="108" t="n">
        <f aca="false">'CORE DWNLD'!F86+'CORE DELTA'!F86</f>
        <v>0.96</v>
      </c>
      <c r="G86" s="108" t="n">
        <f aca="false">'CORE DWNLD'!G86+'CORE DELTA'!G86</f>
        <v>0.9306</v>
      </c>
      <c r="H86" s="108" t="n">
        <f aca="false">'CORE DWNLD'!H86+'CORE DELTA'!H86</f>
        <v>0.99</v>
      </c>
      <c r="I86" s="108" t="n">
        <f aca="false">'CORE DWNLD'!I86+'CORE DELTA'!I86</f>
        <v>0.9306</v>
      </c>
      <c r="J86" s="108" t="n">
        <f aca="false">'CORE DWNLD'!J86+'CORE DELTA'!J86</f>
        <v>0.995</v>
      </c>
      <c r="K86" s="108" t="n">
        <f aca="false">'CORE DWNLD'!K86+'CORE DELTA'!K86</f>
        <v>0.98</v>
      </c>
      <c r="L86" s="108" t="n">
        <f aca="false">'CORE DWNLD'!L86+'CORE DELTA'!L86</f>
        <v>0.99</v>
      </c>
      <c r="M86" s="108" t="n">
        <f aca="false">'CORE DWNLD'!M86+'CORE DELTA'!M86</f>
        <v>1.005</v>
      </c>
      <c r="N86" s="108" t="n">
        <f aca="false">'CORE DWNLD'!N86+'CORE DELTA'!N86</f>
        <v>0.99</v>
      </c>
      <c r="O86" s="108" t="n">
        <f aca="false">'CORE DWNLD'!O86+'CORE DELTA'!O86</f>
        <v>0.96</v>
      </c>
    </row>
    <row r="87" customFormat="false" ht="12.75" hidden="false" customHeight="false" outlineLevel="0" collapsed="false">
      <c r="A87" s="158" t="n">
        <v>39326</v>
      </c>
      <c r="B87" s="108" t="n">
        <f aca="false">'CORE DWNLD'!B87+'CORE DELTA'!B87</f>
        <v>0.999</v>
      </c>
      <c r="C87" s="108" t="n">
        <f aca="false">'CORE DWNLD'!C87+'CORE DELTA'!C87</f>
        <v>0.999</v>
      </c>
      <c r="D87" s="108" t="n">
        <f aca="false">'CORE DWNLD'!D87+'CORE DELTA'!D87</f>
        <v>0.995</v>
      </c>
      <c r="E87" s="108" t="n">
        <f aca="false">'CORE DWNLD'!E87+'CORE DELTA'!E87</f>
        <v>0.96</v>
      </c>
      <c r="F87" s="108" t="n">
        <f aca="false">'CORE DWNLD'!F87+'CORE DELTA'!F87</f>
        <v>0.96</v>
      </c>
      <c r="G87" s="108" t="n">
        <f aca="false">'CORE DWNLD'!G87+'CORE DELTA'!G87</f>
        <v>0.9306</v>
      </c>
      <c r="H87" s="108" t="n">
        <f aca="false">'CORE DWNLD'!H87+'CORE DELTA'!H87</f>
        <v>0.99</v>
      </c>
      <c r="I87" s="108" t="n">
        <f aca="false">'CORE DWNLD'!I87+'CORE DELTA'!I87</f>
        <v>0.9306</v>
      </c>
      <c r="J87" s="108" t="n">
        <f aca="false">'CORE DWNLD'!J87+'CORE DELTA'!J87</f>
        <v>0.995</v>
      </c>
      <c r="K87" s="108" t="n">
        <f aca="false">'CORE DWNLD'!K87+'CORE DELTA'!K87</f>
        <v>0.98</v>
      </c>
      <c r="L87" s="108" t="n">
        <f aca="false">'CORE DWNLD'!L87+'CORE DELTA'!L87</f>
        <v>0.99</v>
      </c>
      <c r="M87" s="108" t="n">
        <f aca="false">'CORE DWNLD'!M87+'CORE DELTA'!M87</f>
        <v>1.005</v>
      </c>
      <c r="N87" s="108" t="n">
        <f aca="false">'CORE DWNLD'!N87+'CORE DELTA'!N87</f>
        <v>0.99</v>
      </c>
      <c r="O87" s="108" t="n">
        <f aca="false">'CORE DWNLD'!O87+'CORE DELTA'!O87</f>
        <v>0.96</v>
      </c>
    </row>
    <row r="88" customFormat="false" ht="12.75" hidden="false" customHeight="false" outlineLevel="0" collapsed="false">
      <c r="A88" s="158" t="n">
        <v>39356</v>
      </c>
      <c r="B88" s="108" t="n">
        <f aca="false">'CORE DWNLD'!B88+'CORE DELTA'!B88</f>
        <v>0.999</v>
      </c>
      <c r="C88" s="108" t="n">
        <f aca="false">'CORE DWNLD'!C88+'CORE DELTA'!C88</f>
        <v>0.999</v>
      </c>
      <c r="D88" s="108" t="n">
        <f aca="false">'CORE DWNLD'!D88+'CORE DELTA'!D88</f>
        <v>0.995</v>
      </c>
      <c r="E88" s="108" t="n">
        <f aca="false">'CORE DWNLD'!E88+'CORE DELTA'!E88</f>
        <v>0.96</v>
      </c>
      <c r="F88" s="108" t="n">
        <f aca="false">'CORE DWNLD'!F88+'CORE DELTA'!F88</f>
        <v>0.96</v>
      </c>
      <c r="G88" s="108" t="n">
        <f aca="false">'CORE DWNLD'!G88+'CORE DELTA'!G88</f>
        <v>0.9306</v>
      </c>
      <c r="H88" s="108" t="n">
        <f aca="false">'CORE DWNLD'!H88+'CORE DELTA'!H88</f>
        <v>0.99</v>
      </c>
      <c r="I88" s="108" t="n">
        <f aca="false">'CORE DWNLD'!I88+'CORE DELTA'!I88</f>
        <v>0.9306</v>
      </c>
      <c r="J88" s="108" t="n">
        <f aca="false">'CORE DWNLD'!J88+'CORE DELTA'!J88</f>
        <v>0.995</v>
      </c>
      <c r="K88" s="108" t="n">
        <f aca="false">'CORE DWNLD'!K88+'CORE DELTA'!K88</f>
        <v>0.98</v>
      </c>
      <c r="L88" s="108" t="n">
        <f aca="false">'CORE DWNLD'!L88+'CORE DELTA'!L88</f>
        <v>0.99</v>
      </c>
      <c r="M88" s="108" t="n">
        <f aca="false">'CORE DWNLD'!M88+'CORE DELTA'!M88</f>
        <v>1.005</v>
      </c>
      <c r="N88" s="108" t="n">
        <f aca="false">'CORE DWNLD'!N88+'CORE DELTA'!N88</f>
        <v>0.99</v>
      </c>
      <c r="O88" s="108" t="n">
        <f aca="false">'CORE DWNLD'!O88+'CORE DELTA'!O88</f>
        <v>0.96</v>
      </c>
    </row>
    <row r="89" customFormat="false" ht="12.75" hidden="false" customHeight="false" outlineLevel="0" collapsed="false">
      <c r="A89" s="158" t="n">
        <v>39387</v>
      </c>
      <c r="B89" s="108" t="n">
        <f aca="false">'CORE DWNLD'!B89+'CORE DELTA'!B89</f>
        <v>0.999</v>
      </c>
      <c r="C89" s="108" t="n">
        <f aca="false">'CORE DWNLD'!C89+'CORE DELTA'!C89</f>
        <v>0.999</v>
      </c>
      <c r="D89" s="108" t="n">
        <f aca="false">'CORE DWNLD'!D89+'CORE DELTA'!D89</f>
        <v>0.995</v>
      </c>
      <c r="E89" s="108" t="n">
        <f aca="false">'CORE DWNLD'!E89+'CORE DELTA'!E89</f>
        <v>0.96</v>
      </c>
      <c r="F89" s="108" t="n">
        <f aca="false">'CORE DWNLD'!F89+'CORE DELTA'!F89</f>
        <v>0.96</v>
      </c>
      <c r="G89" s="108" t="n">
        <f aca="false">'CORE DWNLD'!G89+'CORE DELTA'!G89</f>
        <v>0.9306</v>
      </c>
      <c r="H89" s="108" t="n">
        <f aca="false">'CORE DWNLD'!H89+'CORE DELTA'!H89</f>
        <v>0.99</v>
      </c>
      <c r="I89" s="108" t="n">
        <f aca="false">'CORE DWNLD'!I89+'CORE DELTA'!I89</f>
        <v>0.9306</v>
      </c>
      <c r="J89" s="108" t="n">
        <f aca="false">'CORE DWNLD'!J89+'CORE DELTA'!J89</f>
        <v>0.995</v>
      </c>
      <c r="K89" s="108" t="n">
        <f aca="false">'CORE DWNLD'!K89+'CORE DELTA'!K89</f>
        <v>0.98</v>
      </c>
      <c r="L89" s="108" t="n">
        <f aca="false">'CORE DWNLD'!L89+'CORE DELTA'!L89</f>
        <v>0.99</v>
      </c>
      <c r="M89" s="108" t="n">
        <f aca="false">'CORE DWNLD'!M89+'CORE DELTA'!M89</f>
        <v>1.005</v>
      </c>
      <c r="N89" s="108" t="n">
        <f aca="false">'CORE DWNLD'!N89+'CORE DELTA'!N89</f>
        <v>0.99</v>
      </c>
      <c r="O89" s="108" t="n">
        <f aca="false">'CORE DWNLD'!O89+'CORE DELTA'!O89</f>
        <v>0.96</v>
      </c>
    </row>
    <row r="90" customFormat="false" ht="12.75" hidden="false" customHeight="false" outlineLevel="0" collapsed="false">
      <c r="A90" s="158" t="n">
        <v>39417</v>
      </c>
      <c r="B90" s="108" t="n">
        <f aca="false">'CORE DWNLD'!B90+'CORE DELTA'!B90</f>
        <v>0.999</v>
      </c>
      <c r="C90" s="108" t="n">
        <f aca="false">'CORE DWNLD'!C90+'CORE DELTA'!C90</f>
        <v>0.999</v>
      </c>
      <c r="D90" s="108" t="n">
        <f aca="false">'CORE DWNLD'!D90+'CORE DELTA'!D90</f>
        <v>0.995</v>
      </c>
      <c r="E90" s="108" t="n">
        <f aca="false">'CORE DWNLD'!E90+'CORE DELTA'!E90</f>
        <v>0.96</v>
      </c>
      <c r="F90" s="108" t="n">
        <f aca="false">'CORE DWNLD'!F90+'CORE DELTA'!F90</f>
        <v>0.96</v>
      </c>
      <c r="G90" s="108" t="n">
        <f aca="false">'CORE DWNLD'!G90+'CORE DELTA'!G90</f>
        <v>0.9306</v>
      </c>
      <c r="H90" s="108" t="n">
        <f aca="false">'CORE DWNLD'!H90+'CORE DELTA'!H90</f>
        <v>0.99</v>
      </c>
      <c r="I90" s="108" t="n">
        <f aca="false">'CORE DWNLD'!I90+'CORE DELTA'!I90</f>
        <v>0.9306</v>
      </c>
      <c r="J90" s="108" t="n">
        <f aca="false">'CORE DWNLD'!J90+'CORE DELTA'!J90</f>
        <v>0.995</v>
      </c>
      <c r="K90" s="108" t="n">
        <f aca="false">'CORE DWNLD'!K90+'CORE DELTA'!K90</f>
        <v>0.98</v>
      </c>
      <c r="L90" s="108" t="n">
        <f aca="false">'CORE DWNLD'!L90+'CORE DELTA'!L90</f>
        <v>0.99</v>
      </c>
      <c r="M90" s="108" t="n">
        <f aca="false">'CORE DWNLD'!M90+'CORE DELTA'!M90</f>
        <v>1.005</v>
      </c>
      <c r="N90" s="108" t="n">
        <f aca="false">'CORE DWNLD'!N90+'CORE DELTA'!N90</f>
        <v>0.99</v>
      </c>
      <c r="O90" s="108" t="n">
        <f aca="false">'CORE DWNLD'!O90+'CORE DELTA'!O90</f>
        <v>0.96</v>
      </c>
    </row>
    <row r="91" customFormat="false" ht="12.75" hidden="false" customHeight="false" outlineLevel="0" collapsed="false">
      <c r="A91" s="158" t="n">
        <v>39448</v>
      </c>
      <c r="B91" s="108" t="n">
        <f aca="false">'CORE DWNLD'!B91+'CORE DELTA'!B91</f>
        <v>0.999</v>
      </c>
      <c r="C91" s="108" t="n">
        <f aca="false">'CORE DWNLD'!C91+'CORE DELTA'!C91</f>
        <v>0.999</v>
      </c>
      <c r="D91" s="108" t="n">
        <f aca="false">'CORE DWNLD'!D91+'CORE DELTA'!D91</f>
        <v>0.995</v>
      </c>
      <c r="E91" s="108" t="n">
        <f aca="false">'CORE DWNLD'!E91+'CORE DELTA'!E91</f>
        <v>0.96</v>
      </c>
      <c r="F91" s="108" t="n">
        <f aca="false">'CORE DWNLD'!F91+'CORE DELTA'!F91</f>
        <v>0.96</v>
      </c>
      <c r="G91" s="108" t="n">
        <f aca="false">'CORE DWNLD'!G91+'CORE DELTA'!G91</f>
        <v>0.9306</v>
      </c>
      <c r="H91" s="108" t="n">
        <f aca="false">'CORE DWNLD'!H91+'CORE DELTA'!H91</f>
        <v>0.99</v>
      </c>
      <c r="I91" s="108" t="n">
        <f aca="false">'CORE DWNLD'!I91+'CORE DELTA'!I91</f>
        <v>0.9306</v>
      </c>
      <c r="J91" s="108" t="n">
        <f aca="false">'CORE DWNLD'!J91+'CORE DELTA'!J91</f>
        <v>0.995</v>
      </c>
      <c r="K91" s="108" t="n">
        <f aca="false">'CORE DWNLD'!K91+'CORE DELTA'!K91</f>
        <v>0.98</v>
      </c>
      <c r="L91" s="108" t="n">
        <f aca="false">'CORE DWNLD'!L91+'CORE DELTA'!L91</f>
        <v>0.99</v>
      </c>
      <c r="M91" s="108" t="n">
        <f aca="false">'CORE DWNLD'!M91+'CORE DELTA'!M91</f>
        <v>1.005</v>
      </c>
      <c r="N91" s="108" t="n">
        <f aca="false">'CORE DWNLD'!N91+'CORE DELTA'!N91</f>
        <v>0.99</v>
      </c>
      <c r="O91" s="108" t="n">
        <f aca="false">'CORE DWNLD'!O91+'CORE DELTA'!O91</f>
        <v>0.96</v>
      </c>
    </row>
    <row r="92" customFormat="false" ht="12.75" hidden="false" customHeight="false" outlineLevel="0" collapsed="false">
      <c r="A92" s="158" t="n">
        <v>39479</v>
      </c>
      <c r="B92" s="108" t="n">
        <f aca="false">'CORE DWNLD'!B92+'CORE DELTA'!B92</f>
        <v>0.999</v>
      </c>
      <c r="C92" s="108" t="n">
        <f aca="false">'CORE DWNLD'!C92+'CORE DELTA'!C92</f>
        <v>0.999</v>
      </c>
      <c r="D92" s="108" t="n">
        <f aca="false">'CORE DWNLD'!D92+'CORE DELTA'!D92</f>
        <v>0.995</v>
      </c>
      <c r="E92" s="108" t="n">
        <f aca="false">'CORE DWNLD'!E92+'CORE DELTA'!E92</f>
        <v>0.96</v>
      </c>
      <c r="F92" s="108" t="n">
        <f aca="false">'CORE DWNLD'!F92+'CORE DELTA'!F92</f>
        <v>0.96</v>
      </c>
      <c r="G92" s="108" t="n">
        <f aca="false">'CORE DWNLD'!G92+'CORE DELTA'!G92</f>
        <v>0.9306</v>
      </c>
      <c r="H92" s="108" t="n">
        <f aca="false">'CORE DWNLD'!H92+'CORE DELTA'!H92</f>
        <v>0.99</v>
      </c>
      <c r="I92" s="108" t="n">
        <f aca="false">'CORE DWNLD'!I92+'CORE DELTA'!I92</f>
        <v>0.9306</v>
      </c>
      <c r="J92" s="108" t="n">
        <f aca="false">'CORE DWNLD'!J92+'CORE DELTA'!J92</f>
        <v>0.995</v>
      </c>
      <c r="K92" s="108" t="n">
        <f aca="false">'CORE DWNLD'!K92+'CORE DELTA'!K92</f>
        <v>0.98</v>
      </c>
      <c r="L92" s="108" t="n">
        <f aca="false">'CORE DWNLD'!L92+'CORE DELTA'!L92</f>
        <v>0.99</v>
      </c>
      <c r="M92" s="108" t="n">
        <f aca="false">'CORE DWNLD'!M92+'CORE DELTA'!M92</f>
        <v>1.005</v>
      </c>
      <c r="N92" s="108" t="n">
        <f aca="false">'CORE DWNLD'!N92+'CORE DELTA'!N92</f>
        <v>0.99</v>
      </c>
      <c r="O92" s="108" t="n">
        <f aca="false">'CORE DWNLD'!O92+'CORE DELTA'!O92</f>
        <v>0.96</v>
      </c>
    </row>
    <row r="93" customFormat="false" ht="12.75" hidden="false" customHeight="false" outlineLevel="0" collapsed="false">
      <c r="A93" s="158" t="n">
        <v>39508</v>
      </c>
      <c r="B93" s="108" t="n">
        <f aca="false">'CORE DWNLD'!B93+'CORE DELTA'!B93</f>
        <v>0.999</v>
      </c>
      <c r="C93" s="108" t="n">
        <f aca="false">'CORE DWNLD'!C93+'CORE DELTA'!C93</f>
        <v>0.999</v>
      </c>
      <c r="D93" s="108" t="n">
        <f aca="false">'CORE DWNLD'!D93+'CORE DELTA'!D93</f>
        <v>0.995</v>
      </c>
      <c r="E93" s="108" t="n">
        <f aca="false">'CORE DWNLD'!E93+'CORE DELTA'!E93</f>
        <v>0.96</v>
      </c>
      <c r="F93" s="108" t="n">
        <f aca="false">'CORE DWNLD'!F93+'CORE DELTA'!F93</f>
        <v>0.96</v>
      </c>
      <c r="G93" s="108" t="n">
        <f aca="false">'CORE DWNLD'!G93+'CORE DELTA'!G93</f>
        <v>0.9306</v>
      </c>
      <c r="H93" s="108" t="n">
        <f aca="false">'CORE DWNLD'!H93+'CORE DELTA'!H93</f>
        <v>0.99</v>
      </c>
      <c r="I93" s="108" t="n">
        <f aca="false">'CORE DWNLD'!I93+'CORE DELTA'!I93</f>
        <v>0.9306</v>
      </c>
      <c r="J93" s="108" t="n">
        <f aca="false">'CORE DWNLD'!J93+'CORE DELTA'!J93</f>
        <v>0.995</v>
      </c>
      <c r="K93" s="108" t="n">
        <f aca="false">'CORE DWNLD'!K93+'CORE DELTA'!K93</f>
        <v>0.98</v>
      </c>
      <c r="L93" s="108" t="n">
        <f aca="false">'CORE DWNLD'!L93+'CORE DELTA'!L93</f>
        <v>0.99</v>
      </c>
      <c r="M93" s="108" t="n">
        <f aca="false">'CORE DWNLD'!M93+'CORE DELTA'!M93</f>
        <v>1.005</v>
      </c>
      <c r="N93" s="108" t="n">
        <f aca="false">'CORE DWNLD'!N93+'CORE DELTA'!N93</f>
        <v>0.99</v>
      </c>
      <c r="O93" s="108" t="n">
        <f aca="false">'CORE DWNLD'!O93+'CORE DELTA'!O93</f>
        <v>0.96</v>
      </c>
    </row>
    <row r="94" customFormat="false" ht="12.75" hidden="false" customHeight="false" outlineLevel="0" collapsed="false">
      <c r="A94" s="158" t="n">
        <v>39539</v>
      </c>
      <c r="B94" s="108" t="n">
        <f aca="false">'CORE DWNLD'!B94+'CORE DELTA'!B94</f>
        <v>0.999</v>
      </c>
      <c r="C94" s="108" t="n">
        <f aca="false">'CORE DWNLD'!C94+'CORE DELTA'!C94</f>
        <v>0.999</v>
      </c>
      <c r="D94" s="108" t="n">
        <f aca="false">'CORE DWNLD'!D94+'CORE DELTA'!D94</f>
        <v>0.995</v>
      </c>
      <c r="E94" s="108" t="n">
        <f aca="false">'CORE DWNLD'!E94+'CORE DELTA'!E94</f>
        <v>0.96</v>
      </c>
      <c r="F94" s="108" t="n">
        <f aca="false">'CORE DWNLD'!F94+'CORE DELTA'!F94</f>
        <v>0.96</v>
      </c>
      <c r="G94" s="108" t="n">
        <f aca="false">'CORE DWNLD'!G94+'CORE DELTA'!G94</f>
        <v>0.9306</v>
      </c>
      <c r="H94" s="108" t="n">
        <f aca="false">'CORE DWNLD'!H94+'CORE DELTA'!H94</f>
        <v>0.99</v>
      </c>
      <c r="I94" s="108" t="n">
        <f aca="false">'CORE DWNLD'!I94+'CORE DELTA'!I94</f>
        <v>0.9306</v>
      </c>
      <c r="J94" s="108" t="n">
        <f aca="false">'CORE DWNLD'!J94+'CORE DELTA'!J94</f>
        <v>0.995</v>
      </c>
      <c r="K94" s="108" t="n">
        <f aca="false">'CORE DWNLD'!K94+'CORE DELTA'!K94</f>
        <v>0.98</v>
      </c>
      <c r="L94" s="108" t="n">
        <f aca="false">'CORE DWNLD'!L94+'CORE DELTA'!L94</f>
        <v>0.99</v>
      </c>
      <c r="M94" s="108" t="n">
        <f aca="false">'CORE DWNLD'!M94+'CORE DELTA'!M94</f>
        <v>1.005</v>
      </c>
      <c r="N94" s="108" t="n">
        <f aca="false">'CORE DWNLD'!N94+'CORE DELTA'!N94</f>
        <v>0.99</v>
      </c>
      <c r="O94" s="108" t="n">
        <f aca="false">'CORE DWNLD'!O94+'CORE DELTA'!O94</f>
        <v>0.96</v>
      </c>
    </row>
    <row r="95" customFormat="false" ht="12.75" hidden="false" customHeight="false" outlineLevel="0" collapsed="false">
      <c r="A95" s="158" t="n">
        <v>39569</v>
      </c>
      <c r="B95" s="108" t="n">
        <f aca="false">'CORE DWNLD'!B95+'CORE DELTA'!B95</f>
        <v>0.999</v>
      </c>
      <c r="C95" s="108" t="n">
        <f aca="false">'CORE DWNLD'!C95+'CORE DELTA'!C95</f>
        <v>0.999</v>
      </c>
      <c r="D95" s="108" t="n">
        <f aca="false">'CORE DWNLD'!D95+'CORE DELTA'!D95</f>
        <v>0.995</v>
      </c>
      <c r="E95" s="108" t="n">
        <f aca="false">'CORE DWNLD'!E95+'CORE DELTA'!E95</f>
        <v>0.96</v>
      </c>
      <c r="F95" s="108" t="n">
        <f aca="false">'CORE DWNLD'!F95+'CORE DELTA'!F95</f>
        <v>0.96</v>
      </c>
      <c r="G95" s="108" t="n">
        <f aca="false">'CORE DWNLD'!G95+'CORE DELTA'!G95</f>
        <v>0.9306</v>
      </c>
      <c r="H95" s="108" t="n">
        <f aca="false">'CORE DWNLD'!H95+'CORE DELTA'!H95</f>
        <v>0.99</v>
      </c>
      <c r="I95" s="108" t="n">
        <f aca="false">'CORE DWNLD'!I95+'CORE DELTA'!I95</f>
        <v>0.9306</v>
      </c>
      <c r="J95" s="108" t="n">
        <f aca="false">'CORE DWNLD'!J95+'CORE DELTA'!J95</f>
        <v>0.995</v>
      </c>
      <c r="K95" s="108" t="n">
        <f aca="false">'CORE DWNLD'!K95+'CORE DELTA'!K95</f>
        <v>0.98</v>
      </c>
      <c r="L95" s="108" t="n">
        <f aca="false">'CORE DWNLD'!L95+'CORE DELTA'!L95</f>
        <v>0.99</v>
      </c>
      <c r="M95" s="108" t="n">
        <f aca="false">'CORE DWNLD'!M95+'CORE DELTA'!M95</f>
        <v>1.005</v>
      </c>
      <c r="N95" s="108" t="n">
        <f aca="false">'CORE DWNLD'!N95+'CORE DELTA'!N95</f>
        <v>0.99</v>
      </c>
      <c r="O95" s="108" t="n">
        <f aca="false">'CORE DWNLD'!O95+'CORE DELTA'!O95</f>
        <v>0.96</v>
      </c>
    </row>
    <row r="96" customFormat="false" ht="12.75" hidden="false" customHeight="false" outlineLevel="0" collapsed="false">
      <c r="A96" s="158" t="n">
        <v>39600</v>
      </c>
      <c r="B96" s="108" t="n">
        <f aca="false">'CORE DWNLD'!B96+'CORE DELTA'!B96</f>
        <v>0.999</v>
      </c>
      <c r="C96" s="108" t="n">
        <f aca="false">'CORE DWNLD'!C96+'CORE DELTA'!C96</f>
        <v>0.999</v>
      </c>
      <c r="D96" s="108" t="n">
        <f aca="false">'CORE DWNLD'!D96+'CORE DELTA'!D96</f>
        <v>0.995</v>
      </c>
      <c r="E96" s="108" t="n">
        <f aca="false">'CORE DWNLD'!E96+'CORE DELTA'!E96</f>
        <v>0.96</v>
      </c>
      <c r="F96" s="108" t="n">
        <f aca="false">'CORE DWNLD'!F96+'CORE DELTA'!F96</f>
        <v>0.96</v>
      </c>
      <c r="G96" s="108" t="n">
        <f aca="false">'CORE DWNLD'!G96+'CORE DELTA'!G96</f>
        <v>0.9306</v>
      </c>
      <c r="H96" s="108" t="n">
        <f aca="false">'CORE DWNLD'!H96+'CORE DELTA'!H96</f>
        <v>0.99</v>
      </c>
      <c r="I96" s="108" t="n">
        <f aca="false">'CORE DWNLD'!I96+'CORE DELTA'!I96</f>
        <v>0.9306</v>
      </c>
      <c r="J96" s="108" t="n">
        <f aca="false">'CORE DWNLD'!J96+'CORE DELTA'!J96</f>
        <v>0.995</v>
      </c>
      <c r="K96" s="108" t="n">
        <f aca="false">'CORE DWNLD'!K96+'CORE DELTA'!K96</f>
        <v>0.98</v>
      </c>
      <c r="L96" s="108" t="n">
        <f aca="false">'CORE DWNLD'!L96+'CORE DELTA'!L96</f>
        <v>0.99</v>
      </c>
      <c r="M96" s="108" t="n">
        <f aca="false">'CORE DWNLD'!M96+'CORE DELTA'!M96</f>
        <v>1.005</v>
      </c>
      <c r="N96" s="108" t="n">
        <f aca="false">'CORE DWNLD'!N96+'CORE DELTA'!N96</f>
        <v>0.99</v>
      </c>
      <c r="O96" s="108" t="n">
        <f aca="false">'CORE DWNLD'!O96+'CORE DELTA'!O96</f>
        <v>0.96</v>
      </c>
    </row>
    <row r="97" customFormat="false" ht="12.75" hidden="false" customHeight="false" outlineLevel="0" collapsed="false">
      <c r="A97" s="158" t="n">
        <v>39630</v>
      </c>
      <c r="B97" s="108" t="n">
        <f aca="false">'CORE DWNLD'!B97+'CORE DELTA'!B97</f>
        <v>0.999</v>
      </c>
      <c r="C97" s="108" t="n">
        <f aca="false">'CORE DWNLD'!C97+'CORE DELTA'!C97</f>
        <v>0.999</v>
      </c>
      <c r="D97" s="108" t="n">
        <f aca="false">'CORE DWNLD'!D97+'CORE DELTA'!D97</f>
        <v>0.995</v>
      </c>
      <c r="E97" s="108" t="n">
        <f aca="false">'CORE DWNLD'!E97+'CORE DELTA'!E97</f>
        <v>0.96</v>
      </c>
      <c r="F97" s="108" t="n">
        <f aca="false">'CORE DWNLD'!F97+'CORE DELTA'!F97</f>
        <v>0.96</v>
      </c>
      <c r="G97" s="108" t="n">
        <f aca="false">'CORE DWNLD'!G97+'CORE DELTA'!G97</f>
        <v>0.9306</v>
      </c>
      <c r="H97" s="108" t="n">
        <f aca="false">'CORE DWNLD'!H97+'CORE DELTA'!H97</f>
        <v>0.99</v>
      </c>
      <c r="I97" s="108" t="n">
        <f aca="false">'CORE DWNLD'!I97+'CORE DELTA'!I97</f>
        <v>0.9306</v>
      </c>
      <c r="J97" s="108" t="n">
        <f aca="false">'CORE DWNLD'!J97+'CORE DELTA'!J97</f>
        <v>0.995</v>
      </c>
      <c r="K97" s="108" t="n">
        <f aca="false">'CORE DWNLD'!K97+'CORE DELTA'!K97</f>
        <v>0.98</v>
      </c>
      <c r="L97" s="108" t="n">
        <f aca="false">'CORE DWNLD'!L97+'CORE DELTA'!L97</f>
        <v>0.99</v>
      </c>
      <c r="M97" s="108" t="n">
        <f aca="false">'CORE DWNLD'!M97+'CORE DELTA'!M97</f>
        <v>1.005</v>
      </c>
      <c r="N97" s="108" t="n">
        <f aca="false">'CORE DWNLD'!N97+'CORE DELTA'!N97</f>
        <v>0.99</v>
      </c>
      <c r="O97" s="108" t="n">
        <f aca="false">'CORE DWNLD'!O97+'CORE DELTA'!O97</f>
        <v>0.96</v>
      </c>
    </row>
    <row r="98" customFormat="false" ht="12.75" hidden="false" customHeight="false" outlineLevel="0" collapsed="false">
      <c r="A98" s="158" t="n">
        <v>39661</v>
      </c>
      <c r="B98" s="108" t="n">
        <f aca="false">'CORE DWNLD'!B98+'CORE DELTA'!B98</f>
        <v>0.999</v>
      </c>
      <c r="C98" s="108" t="n">
        <f aca="false">'CORE DWNLD'!C98+'CORE DELTA'!C98</f>
        <v>0.999</v>
      </c>
      <c r="D98" s="108" t="n">
        <f aca="false">'CORE DWNLD'!D98+'CORE DELTA'!D98</f>
        <v>0.995</v>
      </c>
      <c r="E98" s="108" t="n">
        <f aca="false">'CORE DWNLD'!E98+'CORE DELTA'!E98</f>
        <v>0.96</v>
      </c>
      <c r="F98" s="108" t="n">
        <f aca="false">'CORE DWNLD'!F98+'CORE DELTA'!F98</f>
        <v>0.96</v>
      </c>
      <c r="G98" s="108" t="n">
        <f aca="false">'CORE DWNLD'!G98+'CORE DELTA'!G98</f>
        <v>0.9306</v>
      </c>
      <c r="H98" s="108" t="n">
        <f aca="false">'CORE DWNLD'!H98+'CORE DELTA'!H98</f>
        <v>0.99</v>
      </c>
      <c r="I98" s="108" t="n">
        <f aca="false">'CORE DWNLD'!I98+'CORE DELTA'!I98</f>
        <v>0.9306</v>
      </c>
      <c r="J98" s="108" t="n">
        <f aca="false">'CORE DWNLD'!J98+'CORE DELTA'!J98</f>
        <v>0.995</v>
      </c>
      <c r="K98" s="108" t="n">
        <f aca="false">'CORE DWNLD'!K98+'CORE DELTA'!K98</f>
        <v>0.98</v>
      </c>
      <c r="L98" s="108" t="n">
        <f aca="false">'CORE DWNLD'!L98+'CORE DELTA'!L98</f>
        <v>0.99</v>
      </c>
      <c r="M98" s="108" t="n">
        <f aca="false">'CORE DWNLD'!M98+'CORE DELTA'!M98</f>
        <v>1.005</v>
      </c>
      <c r="N98" s="108" t="n">
        <f aca="false">'CORE DWNLD'!N98+'CORE DELTA'!N98</f>
        <v>0.99</v>
      </c>
      <c r="O98" s="108" t="n">
        <f aca="false">'CORE DWNLD'!O98+'CORE DELTA'!O98</f>
        <v>0.96</v>
      </c>
    </row>
    <row r="99" customFormat="false" ht="12.75" hidden="false" customHeight="false" outlineLevel="0" collapsed="false">
      <c r="A99" s="158" t="n">
        <v>39692</v>
      </c>
      <c r="B99" s="108" t="n">
        <f aca="false">'CORE DWNLD'!B99+'CORE DELTA'!B99</f>
        <v>0.999</v>
      </c>
      <c r="C99" s="108" t="n">
        <f aca="false">'CORE DWNLD'!C99+'CORE DELTA'!C99</f>
        <v>0.999</v>
      </c>
      <c r="D99" s="108" t="n">
        <f aca="false">'CORE DWNLD'!D99+'CORE DELTA'!D99</f>
        <v>0.995</v>
      </c>
      <c r="E99" s="108" t="n">
        <f aca="false">'CORE DWNLD'!E99+'CORE DELTA'!E99</f>
        <v>0.96</v>
      </c>
      <c r="F99" s="108" t="n">
        <f aca="false">'CORE DWNLD'!F99+'CORE DELTA'!F99</f>
        <v>0.96</v>
      </c>
      <c r="G99" s="108" t="n">
        <f aca="false">'CORE DWNLD'!G99+'CORE DELTA'!G99</f>
        <v>0.9306</v>
      </c>
      <c r="H99" s="108" t="n">
        <f aca="false">'CORE DWNLD'!H99+'CORE DELTA'!H99</f>
        <v>0.99</v>
      </c>
      <c r="I99" s="108" t="n">
        <f aca="false">'CORE DWNLD'!I99+'CORE DELTA'!I99</f>
        <v>0.9306</v>
      </c>
      <c r="J99" s="108" t="n">
        <f aca="false">'CORE DWNLD'!J99+'CORE DELTA'!J99</f>
        <v>0.995</v>
      </c>
      <c r="K99" s="108" t="n">
        <f aca="false">'CORE DWNLD'!K99+'CORE DELTA'!K99</f>
        <v>0.98</v>
      </c>
      <c r="L99" s="108" t="n">
        <f aca="false">'CORE DWNLD'!L99+'CORE DELTA'!L99</f>
        <v>0.99</v>
      </c>
      <c r="M99" s="108" t="n">
        <f aca="false">'CORE DWNLD'!M99+'CORE DELTA'!M99</f>
        <v>1.005</v>
      </c>
      <c r="N99" s="108" t="n">
        <f aca="false">'CORE DWNLD'!N99+'CORE DELTA'!N99</f>
        <v>0.99</v>
      </c>
      <c r="O99" s="108" t="n">
        <f aca="false">'CORE DWNLD'!O99+'CORE DELTA'!O99</f>
        <v>0.96</v>
      </c>
    </row>
    <row r="100" customFormat="false" ht="12.75" hidden="false" customHeight="false" outlineLevel="0" collapsed="false">
      <c r="A100" s="158" t="n">
        <v>39722</v>
      </c>
      <c r="B100" s="108" t="n">
        <f aca="false">'CORE DWNLD'!B100+'CORE DELTA'!B100</f>
        <v>0.999</v>
      </c>
      <c r="C100" s="108" t="n">
        <f aca="false">'CORE DWNLD'!C100+'CORE DELTA'!C100</f>
        <v>0.999</v>
      </c>
      <c r="D100" s="108" t="n">
        <f aca="false">'CORE DWNLD'!D100+'CORE DELTA'!D100</f>
        <v>0.995</v>
      </c>
      <c r="E100" s="108" t="n">
        <f aca="false">'CORE DWNLD'!E100+'CORE DELTA'!E100</f>
        <v>0.96</v>
      </c>
      <c r="F100" s="108" t="n">
        <f aca="false">'CORE DWNLD'!F100+'CORE DELTA'!F100</f>
        <v>0.96</v>
      </c>
      <c r="G100" s="108" t="n">
        <f aca="false">'CORE DWNLD'!G100+'CORE DELTA'!G100</f>
        <v>0.9306</v>
      </c>
      <c r="H100" s="108" t="n">
        <f aca="false">'CORE DWNLD'!H100+'CORE DELTA'!H100</f>
        <v>0.99</v>
      </c>
      <c r="I100" s="108" t="n">
        <f aca="false">'CORE DWNLD'!I100+'CORE DELTA'!I100</f>
        <v>0.9306</v>
      </c>
      <c r="J100" s="108" t="n">
        <f aca="false">'CORE DWNLD'!J100+'CORE DELTA'!J100</f>
        <v>0.995</v>
      </c>
      <c r="K100" s="108" t="n">
        <f aca="false">'CORE DWNLD'!K100+'CORE DELTA'!K100</f>
        <v>0.98</v>
      </c>
      <c r="L100" s="108" t="n">
        <f aca="false">'CORE DWNLD'!L100+'CORE DELTA'!L100</f>
        <v>0.99</v>
      </c>
      <c r="M100" s="108" t="n">
        <f aca="false">'CORE DWNLD'!M100+'CORE DELTA'!M100</f>
        <v>1.005</v>
      </c>
      <c r="N100" s="108" t="n">
        <f aca="false">'CORE DWNLD'!N100+'CORE DELTA'!N100</f>
        <v>0.99</v>
      </c>
      <c r="O100" s="108" t="n">
        <f aca="false">'CORE DWNLD'!O100+'CORE DELTA'!O100</f>
        <v>0.96</v>
      </c>
    </row>
    <row r="101" customFormat="false" ht="12.75" hidden="false" customHeight="false" outlineLevel="0" collapsed="false">
      <c r="A101" s="158" t="n">
        <v>39753</v>
      </c>
      <c r="B101" s="108" t="n">
        <f aca="false">'CORE DWNLD'!B101+'CORE DELTA'!B101</f>
        <v>0.999</v>
      </c>
      <c r="C101" s="108" t="n">
        <f aca="false">'CORE DWNLD'!C101+'CORE DELTA'!C101</f>
        <v>0.999</v>
      </c>
      <c r="D101" s="108" t="n">
        <f aca="false">'CORE DWNLD'!D101+'CORE DELTA'!D101</f>
        <v>0.995</v>
      </c>
      <c r="E101" s="108" t="n">
        <f aca="false">'CORE DWNLD'!E101+'CORE DELTA'!E101</f>
        <v>0.96</v>
      </c>
      <c r="F101" s="108" t="n">
        <f aca="false">'CORE DWNLD'!F101+'CORE DELTA'!F101</f>
        <v>0.96</v>
      </c>
      <c r="G101" s="108" t="n">
        <f aca="false">'CORE DWNLD'!G101+'CORE DELTA'!G101</f>
        <v>0.9306</v>
      </c>
      <c r="H101" s="108" t="n">
        <f aca="false">'CORE DWNLD'!H101+'CORE DELTA'!H101</f>
        <v>0.99</v>
      </c>
      <c r="I101" s="108" t="n">
        <f aca="false">'CORE DWNLD'!I101+'CORE DELTA'!I101</f>
        <v>0.9306</v>
      </c>
      <c r="J101" s="108" t="n">
        <f aca="false">'CORE DWNLD'!J101+'CORE DELTA'!J101</f>
        <v>0.995</v>
      </c>
      <c r="K101" s="108" t="n">
        <f aca="false">'CORE DWNLD'!K101+'CORE DELTA'!K101</f>
        <v>0.98</v>
      </c>
      <c r="L101" s="108" t="n">
        <f aca="false">'CORE DWNLD'!L101+'CORE DELTA'!L101</f>
        <v>0.99</v>
      </c>
      <c r="M101" s="108" t="n">
        <f aca="false">'CORE DWNLD'!M101+'CORE DELTA'!M101</f>
        <v>1.005</v>
      </c>
      <c r="N101" s="108" t="n">
        <f aca="false">'CORE DWNLD'!N101+'CORE DELTA'!N101</f>
        <v>0.99</v>
      </c>
      <c r="O101" s="108" t="n">
        <f aca="false">'CORE DWNLD'!O101+'CORE DELTA'!O101</f>
        <v>0.96</v>
      </c>
    </row>
    <row r="102" customFormat="false" ht="12.75" hidden="false" customHeight="false" outlineLevel="0" collapsed="false">
      <c r="A102" s="158" t="n">
        <v>39783</v>
      </c>
      <c r="B102" s="108" t="n">
        <f aca="false">'CORE DWNLD'!B102+'CORE DELTA'!B102</f>
        <v>0.999</v>
      </c>
      <c r="C102" s="108" t="n">
        <f aca="false">'CORE DWNLD'!C102+'CORE DELTA'!C102</f>
        <v>0.999</v>
      </c>
      <c r="D102" s="108" t="n">
        <f aca="false">'CORE DWNLD'!D102+'CORE DELTA'!D102</f>
        <v>0.995</v>
      </c>
      <c r="E102" s="108" t="n">
        <f aca="false">'CORE DWNLD'!E102+'CORE DELTA'!E102</f>
        <v>0.96</v>
      </c>
      <c r="F102" s="108" t="n">
        <f aca="false">'CORE DWNLD'!F102+'CORE DELTA'!F102</f>
        <v>0.96</v>
      </c>
      <c r="G102" s="108" t="n">
        <f aca="false">'CORE DWNLD'!G102+'CORE DELTA'!G102</f>
        <v>0.9306</v>
      </c>
      <c r="H102" s="108" t="n">
        <f aca="false">'CORE DWNLD'!H102+'CORE DELTA'!H102</f>
        <v>0.99</v>
      </c>
      <c r="I102" s="108" t="n">
        <f aca="false">'CORE DWNLD'!I102+'CORE DELTA'!I102</f>
        <v>0.9306</v>
      </c>
      <c r="J102" s="108" t="n">
        <f aca="false">'CORE DWNLD'!J102+'CORE DELTA'!J102</f>
        <v>0.995</v>
      </c>
      <c r="K102" s="108" t="n">
        <f aca="false">'CORE DWNLD'!K102+'CORE DELTA'!K102</f>
        <v>0.98</v>
      </c>
      <c r="L102" s="108" t="n">
        <f aca="false">'CORE DWNLD'!L102+'CORE DELTA'!L102</f>
        <v>0.99</v>
      </c>
      <c r="M102" s="108" t="n">
        <f aca="false">'CORE DWNLD'!M102+'CORE DELTA'!M102</f>
        <v>1.005</v>
      </c>
      <c r="N102" s="108" t="n">
        <f aca="false">'CORE DWNLD'!N102+'CORE DELTA'!N102</f>
        <v>0.99</v>
      </c>
      <c r="O102" s="108" t="n">
        <f aca="false">'CORE DWNLD'!O102+'CORE DELTA'!O102</f>
        <v>0.96</v>
      </c>
    </row>
    <row r="103" customFormat="false" ht="12.75" hidden="false" customHeight="false" outlineLevel="0" collapsed="false">
      <c r="A103" s="158" t="n">
        <v>39814</v>
      </c>
      <c r="B103" s="108" t="n">
        <f aca="false">'CORE DWNLD'!B103+'CORE DELTA'!B103</f>
        <v>0.999</v>
      </c>
      <c r="C103" s="108" t="n">
        <f aca="false">'CORE DWNLD'!C103+'CORE DELTA'!C103</f>
        <v>0.999</v>
      </c>
      <c r="D103" s="108" t="n">
        <f aca="false">'CORE DWNLD'!D103+'CORE DELTA'!D103</f>
        <v>0.995</v>
      </c>
      <c r="E103" s="108" t="n">
        <f aca="false">'CORE DWNLD'!E103+'CORE DELTA'!E103</f>
        <v>0.96</v>
      </c>
      <c r="F103" s="108" t="n">
        <f aca="false">'CORE DWNLD'!F103+'CORE DELTA'!F103</f>
        <v>0.96</v>
      </c>
      <c r="G103" s="108" t="n">
        <f aca="false">'CORE DWNLD'!G103+'CORE DELTA'!G103</f>
        <v>0.9306</v>
      </c>
      <c r="H103" s="108" t="n">
        <f aca="false">'CORE DWNLD'!H103+'CORE DELTA'!H103</f>
        <v>0.99</v>
      </c>
      <c r="I103" s="108" t="n">
        <f aca="false">'CORE DWNLD'!I103+'CORE DELTA'!I103</f>
        <v>0.9306</v>
      </c>
      <c r="J103" s="108" t="n">
        <f aca="false">'CORE DWNLD'!J103+'CORE DELTA'!J103</f>
        <v>0.995</v>
      </c>
      <c r="K103" s="108" t="n">
        <f aca="false">'CORE DWNLD'!K103+'CORE DELTA'!K103</f>
        <v>0.98</v>
      </c>
      <c r="L103" s="108" t="n">
        <f aca="false">'CORE DWNLD'!L103+'CORE DELTA'!L103</f>
        <v>0.99</v>
      </c>
      <c r="M103" s="108" t="n">
        <f aca="false">'CORE DWNLD'!M103+'CORE DELTA'!M103</f>
        <v>1.005</v>
      </c>
      <c r="N103" s="108" t="n">
        <f aca="false">'CORE DWNLD'!N103+'CORE DELTA'!N103</f>
        <v>0.99</v>
      </c>
      <c r="O103" s="108" t="n">
        <f aca="false">'CORE DWNLD'!O103+'CORE DELTA'!O103</f>
        <v>0.96</v>
      </c>
    </row>
    <row r="104" customFormat="false" ht="12.75" hidden="false" customHeight="false" outlineLevel="0" collapsed="false">
      <c r="A104" s="158" t="n">
        <v>39845</v>
      </c>
      <c r="B104" s="108" t="n">
        <f aca="false">'CORE DWNLD'!B104+'CORE DELTA'!B104</f>
        <v>0.999</v>
      </c>
      <c r="C104" s="108" t="n">
        <f aca="false">'CORE DWNLD'!C104+'CORE DELTA'!C104</f>
        <v>0.999</v>
      </c>
      <c r="D104" s="108" t="n">
        <f aca="false">'CORE DWNLD'!D104+'CORE DELTA'!D104</f>
        <v>0.995</v>
      </c>
      <c r="E104" s="108" t="n">
        <f aca="false">'CORE DWNLD'!E104+'CORE DELTA'!E104</f>
        <v>0.96</v>
      </c>
      <c r="F104" s="108" t="n">
        <f aca="false">'CORE DWNLD'!F104+'CORE DELTA'!F104</f>
        <v>0.96</v>
      </c>
      <c r="G104" s="108" t="n">
        <f aca="false">'CORE DWNLD'!G104+'CORE DELTA'!G104</f>
        <v>0.9306</v>
      </c>
      <c r="H104" s="108" t="n">
        <f aca="false">'CORE DWNLD'!H104+'CORE DELTA'!H104</f>
        <v>0.99</v>
      </c>
      <c r="I104" s="108" t="n">
        <f aca="false">'CORE DWNLD'!I104+'CORE DELTA'!I104</f>
        <v>0.9306</v>
      </c>
      <c r="J104" s="108" t="n">
        <f aca="false">'CORE DWNLD'!J104+'CORE DELTA'!J104</f>
        <v>0.995</v>
      </c>
      <c r="K104" s="108" t="n">
        <f aca="false">'CORE DWNLD'!K104+'CORE DELTA'!K104</f>
        <v>0.98</v>
      </c>
      <c r="L104" s="108" t="n">
        <f aca="false">'CORE DWNLD'!L104+'CORE DELTA'!L104</f>
        <v>0.99</v>
      </c>
      <c r="M104" s="108" t="n">
        <f aca="false">'CORE DWNLD'!M104+'CORE DELTA'!M104</f>
        <v>1.005</v>
      </c>
      <c r="N104" s="108" t="n">
        <f aca="false">'CORE DWNLD'!N104+'CORE DELTA'!N104</f>
        <v>0.99</v>
      </c>
      <c r="O104" s="108" t="n">
        <f aca="false">'CORE DWNLD'!O104+'CORE DELTA'!O104</f>
        <v>0.96</v>
      </c>
    </row>
    <row r="105" customFormat="false" ht="12.75" hidden="false" customHeight="false" outlineLevel="0" collapsed="false">
      <c r="A105" s="158" t="n">
        <v>39873</v>
      </c>
      <c r="B105" s="108" t="n">
        <f aca="false">'CORE DWNLD'!B105+'CORE DELTA'!B105</f>
        <v>0.999</v>
      </c>
      <c r="C105" s="108" t="n">
        <f aca="false">'CORE DWNLD'!C105+'CORE DELTA'!C105</f>
        <v>0.999</v>
      </c>
      <c r="D105" s="108" t="n">
        <f aca="false">'CORE DWNLD'!D105+'CORE DELTA'!D105</f>
        <v>0.995</v>
      </c>
      <c r="E105" s="108" t="n">
        <f aca="false">'CORE DWNLD'!E105+'CORE DELTA'!E105</f>
        <v>0.96</v>
      </c>
      <c r="F105" s="108" t="n">
        <f aca="false">'CORE DWNLD'!F105+'CORE DELTA'!F105</f>
        <v>0.96</v>
      </c>
      <c r="G105" s="108" t="n">
        <f aca="false">'CORE DWNLD'!G105+'CORE DELTA'!G105</f>
        <v>0.9306</v>
      </c>
      <c r="H105" s="108" t="n">
        <f aca="false">'CORE DWNLD'!H105+'CORE DELTA'!H105</f>
        <v>0.99</v>
      </c>
      <c r="I105" s="108" t="n">
        <f aca="false">'CORE DWNLD'!I105+'CORE DELTA'!I105</f>
        <v>0.9306</v>
      </c>
      <c r="J105" s="108" t="n">
        <f aca="false">'CORE DWNLD'!J105+'CORE DELTA'!J105</f>
        <v>0.995</v>
      </c>
      <c r="K105" s="108" t="n">
        <f aca="false">'CORE DWNLD'!K105+'CORE DELTA'!K105</f>
        <v>0.98</v>
      </c>
      <c r="L105" s="108" t="n">
        <f aca="false">'CORE DWNLD'!L105+'CORE DELTA'!L105</f>
        <v>0.99</v>
      </c>
      <c r="M105" s="108" t="n">
        <f aca="false">'CORE DWNLD'!M105+'CORE DELTA'!M105</f>
        <v>1.005</v>
      </c>
      <c r="N105" s="108" t="n">
        <f aca="false">'CORE DWNLD'!N105+'CORE DELTA'!N105</f>
        <v>0.99</v>
      </c>
      <c r="O105" s="108" t="n">
        <f aca="false">'CORE DWNLD'!O105+'CORE DELTA'!O105</f>
        <v>0.96</v>
      </c>
    </row>
    <row r="106" customFormat="false" ht="12.75" hidden="false" customHeight="false" outlineLevel="0" collapsed="false">
      <c r="A106" s="158" t="n">
        <v>39904</v>
      </c>
      <c r="B106" s="108" t="n">
        <f aca="false">'CORE DWNLD'!B106+'CORE DELTA'!B106</f>
        <v>0.999</v>
      </c>
      <c r="C106" s="108" t="n">
        <f aca="false">'CORE DWNLD'!C106+'CORE DELTA'!C106</f>
        <v>0.999</v>
      </c>
      <c r="D106" s="108" t="n">
        <f aca="false">'CORE DWNLD'!D106+'CORE DELTA'!D106</f>
        <v>0.995</v>
      </c>
      <c r="E106" s="108" t="n">
        <f aca="false">'CORE DWNLD'!E106+'CORE DELTA'!E106</f>
        <v>0.96</v>
      </c>
      <c r="F106" s="108" t="n">
        <f aca="false">'CORE DWNLD'!F106+'CORE DELTA'!F106</f>
        <v>0.96</v>
      </c>
      <c r="G106" s="108" t="n">
        <f aca="false">'CORE DWNLD'!G106+'CORE DELTA'!G106</f>
        <v>0.9306</v>
      </c>
      <c r="H106" s="108" t="n">
        <f aca="false">'CORE DWNLD'!H106+'CORE DELTA'!H106</f>
        <v>0.99</v>
      </c>
      <c r="I106" s="108" t="n">
        <f aca="false">'CORE DWNLD'!I106+'CORE DELTA'!I106</f>
        <v>0.9306</v>
      </c>
      <c r="J106" s="108" t="n">
        <f aca="false">'CORE DWNLD'!J106+'CORE DELTA'!J106</f>
        <v>0.995</v>
      </c>
      <c r="K106" s="108" t="n">
        <f aca="false">'CORE DWNLD'!K106+'CORE DELTA'!K106</f>
        <v>0.98</v>
      </c>
      <c r="L106" s="108" t="n">
        <f aca="false">'CORE DWNLD'!L106+'CORE DELTA'!L106</f>
        <v>0.99</v>
      </c>
      <c r="M106" s="108" t="n">
        <f aca="false">'CORE DWNLD'!M106+'CORE DELTA'!M106</f>
        <v>1.005</v>
      </c>
      <c r="N106" s="108" t="n">
        <f aca="false">'CORE DWNLD'!N106+'CORE DELTA'!N106</f>
        <v>0.99</v>
      </c>
      <c r="O106" s="108" t="n">
        <f aca="false">'CORE DWNLD'!O106+'CORE DELTA'!O106</f>
        <v>0.96</v>
      </c>
    </row>
    <row r="107" customFormat="false" ht="12.75" hidden="false" customHeight="false" outlineLevel="0" collapsed="false">
      <c r="A107" s="158" t="n">
        <v>39934</v>
      </c>
      <c r="B107" s="108" t="n">
        <f aca="false">'CORE DWNLD'!B107+'CORE DELTA'!B107</f>
        <v>0.999</v>
      </c>
      <c r="C107" s="108" t="n">
        <f aca="false">'CORE DWNLD'!C107+'CORE DELTA'!C107</f>
        <v>0.999</v>
      </c>
      <c r="D107" s="108" t="n">
        <f aca="false">'CORE DWNLD'!D107+'CORE DELTA'!D107</f>
        <v>0.995</v>
      </c>
      <c r="E107" s="108" t="n">
        <f aca="false">'CORE DWNLD'!E107+'CORE DELTA'!E107</f>
        <v>0.96</v>
      </c>
      <c r="F107" s="108" t="n">
        <f aca="false">'CORE DWNLD'!F107+'CORE DELTA'!F107</f>
        <v>0.96</v>
      </c>
      <c r="G107" s="108" t="n">
        <f aca="false">'CORE DWNLD'!G107+'CORE DELTA'!G107</f>
        <v>0.9306</v>
      </c>
      <c r="H107" s="108" t="n">
        <f aca="false">'CORE DWNLD'!H107+'CORE DELTA'!H107</f>
        <v>0.99</v>
      </c>
      <c r="I107" s="108" t="n">
        <f aca="false">'CORE DWNLD'!I107+'CORE DELTA'!I107</f>
        <v>0.9306</v>
      </c>
      <c r="J107" s="108" t="n">
        <f aca="false">'CORE DWNLD'!J107+'CORE DELTA'!J107</f>
        <v>0.995</v>
      </c>
      <c r="K107" s="108" t="n">
        <f aca="false">'CORE DWNLD'!K107+'CORE DELTA'!K107</f>
        <v>0.98</v>
      </c>
      <c r="L107" s="108" t="n">
        <f aca="false">'CORE DWNLD'!L107+'CORE DELTA'!L107</f>
        <v>0.99</v>
      </c>
      <c r="M107" s="108" t="n">
        <f aca="false">'CORE DWNLD'!M107+'CORE DELTA'!M107</f>
        <v>1.005</v>
      </c>
      <c r="N107" s="108" t="n">
        <f aca="false">'CORE DWNLD'!N107+'CORE DELTA'!N107</f>
        <v>0.99</v>
      </c>
      <c r="O107" s="108" t="n">
        <f aca="false">'CORE DWNLD'!O107+'CORE DELTA'!O107</f>
        <v>0.96</v>
      </c>
    </row>
    <row r="108" customFormat="false" ht="12.75" hidden="false" customHeight="false" outlineLevel="0" collapsed="false">
      <c r="A108" s="158" t="n">
        <v>39965</v>
      </c>
      <c r="B108" s="108" t="n">
        <f aca="false">'CORE DWNLD'!B108+'CORE DELTA'!B108</f>
        <v>0.999</v>
      </c>
      <c r="C108" s="108" t="n">
        <f aca="false">'CORE DWNLD'!C108+'CORE DELTA'!C108</f>
        <v>0.999</v>
      </c>
      <c r="D108" s="108" t="n">
        <f aca="false">'CORE DWNLD'!D108+'CORE DELTA'!D108</f>
        <v>0.995</v>
      </c>
      <c r="E108" s="108" t="n">
        <f aca="false">'CORE DWNLD'!E108+'CORE DELTA'!E108</f>
        <v>0.96</v>
      </c>
      <c r="F108" s="108" t="n">
        <f aca="false">'CORE DWNLD'!F108+'CORE DELTA'!F108</f>
        <v>0.96</v>
      </c>
      <c r="G108" s="108" t="n">
        <f aca="false">'CORE DWNLD'!G108+'CORE DELTA'!G108</f>
        <v>0.9306</v>
      </c>
      <c r="H108" s="108" t="n">
        <f aca="false">'CORE DWNLD'!H108+'CORE DELTA'!H108</f>
        <v>0.99</v>
      </c>
      <c r="I108" s="108" t="n">
        <f aca="false">'CORE DWNLD'!I108+'CORE DELTA'!I108</f>
        <v>0.9306</v>
      </c>
      <c r="J108" s="108" t="n">
        <f aca="false">'CORE DWNLD'!J108+'CORE DELTA'!J108</f>
        <v>0.995</v>
      </c>
      <c r="K108" s="108" t="n">
        <f aca="false">'CORE DWNLD'!K108+'CORE DELTA'!K108</f>
        <v>0.98</v>
      </c>
      <c r="L108" s="108" t="n">
        <f aca="false">'CORE DWNLD'!L108+'CORE DELTA'!L108</f>
        <v>0.99</v>
      </c>
      <c r="M108" s="108" t="n">
        <f aca="false">'CORE DWNLD'!M108+'CORE DELTA'!M108</f>
        <v>1.005</v>
      </c>
      <c r="N108" s="108" t="n">
        <f aca="false">'CORE DWNLD'!N108+'CORE DELTA'!N108</f>
        <v>0.99</v>
      </c>
      <c r="O108" s="108" t="n">
        <f aca="false">'CORE DWNLD'!O108+'CORE DELTA'!O108</f>
        <v>0.96</v>
      </c>
    </row>
    <row r="109" customFormat="false" ht="12.75" hidden="false" customHeight="false" outlineLevel="0" collapsed="false">
      <c r="A109" s="158" t="n">
        <v>39995</v>
      </c>
      <c r="B109" s="108" t="n">
        <f aca="false">'CORE DWNLD'!B109+'CORE DELTA'!B109</f>
        <v>0.999</v>
      </c>
      <c r="C109" s="108" t="n">
        <f aca="false">'CORE DWNLD'!C109+'CORE DELTA'!C109</f>
        <v>0.999</v>
      </c>
      <c r="D109" s="108" t="n">
        <f aca="false">'CORE DWNLD'!D109+'CORE DELTA'!D109</f>
        <v>0.995</v>
      </c>
      <c r="E109" s="108" t="n">
        <f aca="false">'CORE DWNLD'!E109+'CORE DELTA'!E109</f>
        <v>0.96</v>
      </c>
      <c r="F109" s="108" t="n">
        <f aca="false">'CORE DWNLD'!F109+'CORE DELTA'!F109</f>
        <v>0.96</v>
      </c>
      <c r="G109" s="108" t="n">
        <f aca="false">'CORE DWNLD'!G109+'CORE DELTA'!G109</f>
        <v>0.9306</v>
      </c>
      <c r="H109" s="108" t="n">
        <f aca="false">'CORE DWNLD'!H109+'CORE DELTA'!H109</f>
        <v>0.99</v>
      </c>
      <c r="I109" s="108" t="n">
        <f aca="false">'CORE DWNLD'!I109+'CORE DELTA'!I109</f>
        <v>0.9306</v>
      </c>
      <c r="J109" s="108" t="n">
        <f aca="false">'CORE DWNLD'!J109+'CORE DELTA'!J109</f>
        <v>0.995</v>
      </c>
      <c r="K109" s="108" t="n">
        <f aca="false">'CORE DWNLD'!K109+'CORE DELTA'!K109</f>
        <v>0.98</v>
      </c>
      <c r="L109" s="108" t="n">
        <f aca="false">'CORE DWNLD'!L109+'CORE DELTA'!L109</f>
        <v>0.99</v>
      </c>
      <c r="M109" s="108" t="n">
        <f aca="false">'CORE DWNLD'!M109+'CORE DELTA'!M109</f>
        <v>1.005</v>
      </c>
      <c r="N109" s="108" t="n">
        <f aca="false">'CORE DWNLD'!N109+'CORE DELTA'!N109</f>
        <v>0.99</v>
      </c>
      <c r="O109" s="108" t="n">
        <f aca="false">'CORE DWNLD'!O109+'CORE DELTA'!O109</f>
        <v>0.96</v>
      </c>
    </row>
    <row r="110" customFormat="false" ht="12.75" hidden="false" customHeight="false" outlineLevel="0" collapsed="false">
      <c r="A110" s="158" t="n">
        <v>40026</v>
      </c>
      <c r="B110" s="108" t="n">
        <f aca="false">'CORE DWNLD'!B110+'CORE DELTA'!B110</f>
        <v>0.999</v>
      </c>
      <c r="C110" s="108" t="n">
        <f aca="false">'CORE DWNLD'!C110+'CORE DELTA'!C110</f>
        <v>0.999</v>
      </c>
      <c r="D110" s="108" t="n">
        <f aca="false">'CORE DWNLD'!D110+'CORE DELTA'!D110</f>
        <v>0.995</v>
      </c>
      <c r="E110" s="108" t="n">
        <f aca="false">'CORE DWNLD'!E110+'CORE DELTA'!E110</f>
        <v>0.96</v>
      </c>
      <c r="F110" s="108" t="n">
        <f aca="false">'CORE DWNLD'!F110+'CORE DELTA'!F110</f>
        <v>0.96</v>
      </c>
      <c r="G110" s="108" t="n">
        <f aca="false">'CORE DWNLD'!G110+'CORE DELTA'!G110</f>
        <v>0.9306</v>
      </c>
      <c r="H110" s="108" t="n">
        <f aca="false">'CORE DWNLD'!H110+'CORE DELTA'!H110</f>
        <v>0.99</v>
      </c>
      <c r="I110" s="108" t="n">
        <f aca="false">'CORE DWNLD'!I110+'CORE DELTA'!I110</f>
        <v>0.9306</v>
      </c>
      <c r="J110" s="108" t="n">
        <f aca="false">'CORE DWNLD'!J110+'CORE DELTA'!J110</f>
        <v>0.995</v>
      </c>
      <c r="K110" s="108" t="n">
        <f aca="false">'CORE DWNLD'!K110+'CORE DELTA'!K110</f>
        <v>0.98</v>
      </c>
      <c r="L110" s="108" t="n">
        <f aca="false">'CORE DWNLD'!L110+'CORE DELTA'!L110</f>
        <v>0.99</v>
      </c>
      <c r="M110" s="108" t="n">
        <f aca="false">'CORE DWNLD'!M110+'CORE DELTA'!M110</f>
        <v>1.005</v>
      </c>
      <c r="N110" s="108" t="n">
        <f aca="false">'CORE DWNLD'!N110+'CORE DELTA'!N110</f>
        <v>0.99</v>
      </c>
      <c r="O110" s="108" t="n">
        <f aca="false">'CORE DWNLD'!O110+'CORE DELTA'!O110</f>
        <v>0.96</v>
      </c>
    </row>
    <row r="111" customFormat="false" ht="12.75" hidden="false" customHeight="false" outlineLevel="0" collapsed="false">
      <c r="A111" s="158" t="n">
        <v>40057</v>
      </c>
      <c r="B111" s="108" t="n">
        <f aca="false">'CORE DWNLD'!B111+'CORE DELTA'!B111</f>
        <v>0.999</v>
      </c>
      <c r="C111" s="108" t="n">
        <f aca="false">'CORE DWNLD'!C111+'CORE DELTA'!C111</f>
        <v>0.999</v>
      </c>
      <c r="D111" s="108" t="n">
        <f aca="false">'CORE DWNLD'!D111+'CORE DELTA'!D111</f>
        <v>0.995</v>
      </c>
      <c r="E111" s="108" t="n">
        <f aca="false">'CORE DWNLD'!E111+'CORE DELTA'!E111</f>
        <v>0.96</v>
      </c>
      <c r="F111" s="108" t="n">
        <f aca="false">'CORE DWNLD'!F111+'CORE DELTA'!F111</f>
        <v>0.96</v>
      </c>
      <c r="G111" s="108" t="n">
        <f aca="false">'CORE DWNLD'!G111+'CORE DELTA'!G111</f>
        <v>0.9306</v>
      </c>
      <c r="H111" s="108" t="n">
        <f aca="false">'CORE DWNLD'!H111+'CORE DELTA'!H111</f>
        <v>0.99</v>
      </c>
      <c r="I111" s="108" t="n">
        <f aca="false">'CORE DWNLD'!I111+'CORE DELTA'!I111</f>
        <v>0.9306</v>
      </c>
      <c r="J111" s="108" t="n">
        <f aca="false">'CORE DWNLD'!J111+'CORE DELTA'!J111</f>
        <v>0.995</v>
      </c>
      <c r="K111" s="108" t="n">
        <f aca="false">'CORE DWNLD'!K111+'CORE DELTA'!K111</f>
        <v>0.98</v>
      </c>
      <c r="L111" s="108" t="n">
        <f aca="false">'CORE DWNLD'!L111+'CORE DELTA'!L111</f>
        <v>0.99</v>
      </c>
      <c r="M111" s="108" t="n">
        <f aca="false">'CORE DWNLD'!M111+'CORE DELTA'!M111</f>
        <v>1.005</v>
      </c>
      <c r="N111" s="108" t="n">
        <f aca="false">'CORE DWNLD'!N111+'CORE DELTA'!N111</f>
        <v>0.99</v>
      </c>
      <c r="O111" s="108" t="n">
        <f aca="false">'CORE DWNLD'!O111+'CORE DELTA'!O111</f>
        <v>0.96</v>
      </c>
    </row>
    <row r="112" customFormat="false" ht="12.75" hidden="false" customHeight="false" outlineLevel="0" collapsed="false">
      <c r="A112" s="158" t="n">
        <v>40087</v>
      </c>
      <c r="B112" s="108" t="n">
        <f aca="false">'CORE DWNLD'!B112+'CORE DELTA'!B112</f>
        <v>0.999</v>
      </c>
      <c r="C112" s="108" t="n">
        <f aca="false">'CORE DWNLD'!C112+'CORE DELTA'!C112</f>
        <v>0.999</v>
      </c>
      <c r="D112" s="108" t="n">
        <f aca="false">'CORE DWNLD'!D112+'CORE DELTA'!D112</f>
        <v>0.995</v>
      </c>
      <c r="E112" s="108" t="n">
        <f aca="false">'CORE DWNLD'!E112+'CORE DELTA'!E112</f>
        <v>0.96</v>
      </c>
      <c r="F112" s="108" t="n">
        <f aca="false">'CORE DWNLD'!F112+'CORE DELTA'!F112</f>
        <v>0.96</v>
      </c>
      <c r="G112" s="108" t="n">
        <f aca="false">'CORE DWNLD'!G112+'CORE DELTA'!G112</f>
        <v>0.9306</v>
      </c>
      <c r="H112" s="108" t="n">
        <f aca="false">'CORE DWNLD'!H112+'CORE DELTA'!H112</f>
        <v>0.99</v>
      </c>
      <c r="I112" s="108" t="n">
        <f aca="false">'CORE DWNLD'!I112+'CORE DELTA'!I112</f>
        <v>0.9306</v>
      </c>
      <c r="J112" s="108" t="n">
        <f aca="false">'CORE DWNLD'!J112+'CORE DELTA'!J112</f>
        <v>0.995</v>
      </c>
      <c r="K112" s="108" t="n">
        <f aca="false">'CORE DWNLD'!K112+'CORE DELTA'!K112</f>
        <v>0.98</v>
      </c>
      <c r="L112" s="108" t="n">
        <f aca="false">'CORE DWNLD'!L112+'CORE DELTA'!L112</f>
        <v>0.99</v>
      </c>
      <c r="M112" s="108" t="n">
        <f aca="false">'CORE DWNLD'!M112+'CORE DELTA'!M112</f>
        <v>1.005</v>
      </c>
      <c r="N112" s="108" t="n">
        <f aca="false">'CORE DWNLD'!N112+'CORE DELTA'!N112</f>
        <v>0.99</v>
      </c>
      <c r="O112" s="108" t="n">
        <f aca="false">'CORE DWNLD'!O112+'CORE DELTA'!O112</f>
        <v>0.96</v>
      </c>
    </row>
    <row r="113" customFormat="false" ht="12.75" hidden="false" customHeight="false" outlineLevel="0" collapsed="false">
      <c r="A113" s="158" t="n">
        <v>40118</v>
      </c>
      <c r="B113" s="108" t="n">
        <f aca="false">'CORE DWNLD'!B113+'CORE DELTA'!B113</f>
        <v>0.999</v>
      </c>
      <c r="C113" s="108" t="n">
        <f aca="false">'CORE DWNLD'!C113+'CORE DELTA'!C113</f>
        <v>0.999</v>
      </c>
      <c r="D113" s="108" t="n">
        <f aca="false">'CORE DWNLD'!D113+'CORE DELTA'!D113</f>
        <v>0.995</v>
      </c>
      <c r="E113" s="108" t="n">
        <f aca="false">'CORE DWNLD'!E113+'CORE DELTA'!E113</f>
        <v>0.96</v>
      </c>
      <c r="F113" s="108" t="n">
        <f aca="false">'CORE DWNLD'!F113+'CORE DELTA'!F113</f>
        <v>0.96</v>
      </c>
      <c r="G113" s="108" t="n">
        <f aca="false">'CORE DWNLD'!G113+'CORE DELTA'!G113</f>
        <v>0.9306</v>
      </c>
      <c r="H113" s="108" t="n">
        <f aca="false">'CORE DWNLD'!H113+'CORE DELTA'!H113</f>
        <v>0.99</v>
      </c>
      <c r="I113" s="108" t="n">
        <f aca="false">'CORE DWNLD'!I113+'CORE DELTA'!I113</f>
        <v>0.9306</v>
      </c>
      <c r="J113" s="108" t="n">
        <f aca="false">'CORE DWNLD'!J113+'CORE DELTA'!J113</f>
        <v>0.995</v>
      </c>
      <c r="K113" s="108" t="n">
        <f aca="false">'CORE DWNLD'!K113+'CORE DELTA'!K113</f>
        <v>0.98</v>
      </c>
      <c r="L113" s="108" t="n">
        <f aca="false">'CORE DWNLD'!L113+'CORE DELTA'!L113</f>
        <v>0.99</v>
      </c>
      <c r="M113" s="108" t="n">
        <f aca="false">'CORE DWNLD'!M113+'CORE DELTA'!M113</f>
        <v>1.005</v>
      </c>
      <c r="N113" s="108" t="n">
        <f aca="false">'CORE DWNLD'!N113+'CORE DELTA'!N113</f>
        <v>0.99</v>
      </c>
      <c r="O113" s="108" t="n">
        <f aca="false">'CORE DWNLD'!O113+'CORE DELTA'!O113</f>
        <v>0.96</v>
      </c>
    </row>
    <row r="114" customFormat="false" ht="12.75" hidden="false" customHeight="false" outlineLevel="0" collapsed="false">
      <c r="A114" s="158" t="n">
        <v>40148</v>
      </c>
      <c r="B114" s="108" t="n">
        <f aca="false">'CORE DWNLD'!B114+'CORE DELTA'!B114</f>
        <v>0.999</v>
      </c>
      <c r="C114" s="108" t="n">
        <f aca="false">'CORE DWNLD'!C114+'CORE DELTA'!C114</f>
        <v>0.999</v>
      </c>
      <c r="D114" s="108" t="n">
        <f aca="false">'CORE DWNLD'!D114+'CORE DELTA'!D114</f>
        <v>0.995</v>
      </c>
      <c r="E114" s="108" t="n">
        <f aca="false">'CORE DWNLD'!E114+'CORE DELTA'!E114</f>
        <v>0.96</v>
      </c>
      <c r="F114" s="108" t="n">
        <f aca="false">'CORE DWNLD'!F114+'CORE DELTA'!F114</f>
        <v>0.96</v>
      </c>
      <c r="G114" s="108" t="n">
        <f aca="false">'CORE DWNLD'!G114+'CORE DELTA'!G114</f>
        <v>0.9306</v>
      </c>
      <c r="H114" s="108" t="n">
        <f aca="false">'CORE DWNLD'!H114+'CORE DELTA'!H114</f>
        <v>0.99</v>
      </c>
      <c r="I114" s="108" t="n">
        <f aca="false">'CORE DWNLD'!I114+'CORE DELTA'!I114</f>
        <v>0.9306</v>
      </c>
      <c r="J114" s="108" t="n">
        <f aca="false">'CORE DWNLD'!J114+'CORE DELTA'!J114</f>
        <v>0.995</v>
      </c>
      <c r="K114" s="108" t="n">
        <f aca="false">'CORE DWNLD'!K114+'CORE DELTA'!K114</f>
        <v>0.98</v>
      </c>
      <c r="L114" s="108" t="n">
        <f aca="false">'CORE DWNLD'!L114+'CORE DELTA'!L114</f>
        <v>0.99</v>
      </c>
      <c r="M114" s="108" t="n">
        <f aca="false">'CORE DWNLD'!M114+'CORE DELTA'!M114</f>
        <v>1.005</v>
      </c>
      <c r="N114" s="108" t="n">
        <f aca="false">'CORE DWNLD'!N114+'CORE DELTA'!N114</f>
        <v>0.99</v>
      </c>
      <c r="O114" s="108" t="n">
        <f aca="false">'CORE DWNLD'!O114+'CORE DELTA'!O114</f>
        <v>0.96</v>
      </c>
    </row>
    <row r="115" customFormat="false" ht="12.75" hidden="false" customHeight="false" outlineLevel="0" collapsed="false">
      <c r="A115" s="158" t="n">
        <v>40179</v>
      </c>
      <c r="B115" s="108" t="n">
        <f aca="false">'CORE DWNLD'!B115+'CORE DELTA'!B115</f>
        <v>0.999</v>
      </c>
      <c r="C115" s="108" t="n">
        <f aca="false">'CORE DWNLD'!C115+'CORE DELTA'!C115</f>
        <v>0.999</v>
      </c>
      <c r="D115" s="108" t="n">
        <f aca="false">'CORE DWNLD'!D115+'CORE DELTA'!D115</f>
        <v>0.995</v>
      </c>
      <c r="E115" s="108" t="n">
        <f aca="false">'CORE DWNLD'!E115+'CORE DELTA'!E115</f>
        <v>0.96</v>
      </c>
      <c r="F115" s="108" t="n">
        <f aca="false">'CORE DWNLD'!F115+'CORE DELTA'!F115</f>
        <v>0.96</v>
      </c>
      <c r="G115" s="108" t="n">
        <f aca="false">'CORE DWNLD'!G115+'CORE DELTA'!G115</f>
        <v>0.9306</v>
      </c>
      <c r="H115" s="108" t="n">
        <f aca="false">'CORE DWNLD'!H115+'CORE DELTA'!H115</f>
        <v>0.99</v>
      </c>
      <c r="I115" s="108" t="n">
        <f aca="false">'CORE DWNLD'!I115+'CORE DELTA'!I115</f>
        <v>0.9306</v>
      </c>
      <c r="J115" s="108" t="n">
        <f aca="false">'CORE DWNLD'!J115+'CORE DELTA'!J115</f>
        <v>0.995</v>
      </c>
      <c r="K115" s="108" t="n">
        <f aca="false">'CORE DWNLD'!K115+'CORE DELTA'!K115</f>
        <v>0.98</v>
      </c>
      <c r="L115" s="108" t="n">
        <f aca="false">'CORE DWNLD'!L115+'CORE DELTA'!L115</f>
        <v>0.99</v>
      </c>
      <c r="M115" s="108" t="n">
        <f aca="false">'CORE DWNLD'!M115+'CORE DELTA'!M115</f>
        <v>1.005</v>
      </c>
      <c r="N115" s="108" t="n">
        <f aca="false">'CORE DWNLD'!N115+'CORE DELTA'!N115</f>
        <v>0.99</v>
      </c>
      <c r="O115" s="108" t="n">
        <f aca="false">'CORE DWNLD'!O115+'CORE DELTA'!O115</f>
        <v>0.96</v>
      </c>
    </row>
    <row r="116" customFormat="false" ht="12.75" hidden="false" customHeight="false" outlineLevel="0" collapsed="false">
      <c r="A116" s="158" t="n">
        <v>40210</v>
      </c>
      <c r="B116" s="108" t="n">
        <f aca="false">'CORE DWNLD'!B116+'CORE DELTA'!B116</f>
        <v>0.999</v>
      </c>
      <c r="C116" s="108" t="n">
        <f aca="false">'CORE DWNLD'!C116+'CORE DELTA'!C116</f>
        <v>0.999</v>
      </c>
      <c r="D116" s="108" t="n">
        <f aca="false">'CORE DWNLD'!D116+'CORE DELTA'!D116</f>
        <v>0.995</v>
      </c>
      <c r="E116" s="108" t="n">
        <f aca="false">'CORE DWNLD'!E116+'CORE DELTA'!E116</f>
        <v>0.96</v>
      </c>
      <c r="F116" s="108" t="n">
        <f aca="false">'CORE DWNLD'!F116+'CORE DELTA'!F116</f>
        <v>0.96</v>
      </c>
      <c r="G116" s="108" t="n">
        <f aca="false">'CORE DWNLD'!G116+'CORE DELTA'!G116</f>
        <v>0.9306</v>
      </c>
      <c r="H116" s="108" t="n">
        <f aca="false">'CORE DWNLD'!H116+'CORE DELTA'!H116</f>
        <v>0.99</v>
      </c>
      <c r="I116" s="108" t="n">
        <f aca="false">'CORE DWNLD'!I116+'CORE DELTA'!I116</f>
        <v>0.9306</v>
      </c>
      <c r="J116" s="108" t="n">
        <f aca="false">'CORE DWNLD'!J116+'CORE DELTA'!J116</f>
        <v>0.995</v>
      </c>
      <c r="K116" s="108" t="n">
        <f aca="false">'CORE DWNLD'!K116+'CORE DELTA'!K116</f>
        <v>0.98</v>
      </c>
      <c r="L116" s="108" t="n">
        <f aca="false">'CORE DWNLD'!L116+'CORE DELTA'!L116</f>
        <v>0.99</v>
      </c>
      <c r="M116" s="108" t="n">
        <f aca="false">'CORE DWNLD'!M116+'CORE DELTA'!M116</f>
        <v>1.005</v>
      </c>
      <c r="N116" s="108" t="n">
        <f aca="false">'CORE DWNLD'!N116+'CORE DELTA'!N116</f>
        <v>0.99</v>
      </c>
      <c r="O116" s="108" t="n">
        <f aca="false">'CORE DWNLD'!O116+'CORE DELTA'!O116</f>
        <v>0.96</v>
      </c>
    </row>
    <row r="117" customFormat="false" ht="12.75" hidden="false" customHeight="false" outlineLevel="0" collapsed="false">
      <c r="A117" s="158" t="n">
        <v>40238</v>
      </c>
      <c r="B117" s="108" t="n">
        <f aca="false">'CORE DWNLD'!B117+'CORE DELTA'!B117</f>
        <v>0.999</v>
      </c>
      <c r="C117" s="108" t="n">
        <f aca="false">'CORE DWNLD'!C117+'CORE DELTA'!C117</f>
        <v>0.999</v>
      </c>
      <c r="D117" s="108" t="n">
        <f aca="false">'CORE DWNLD'!D117+'CORE DELTA'!D117</f>
        <v>0.995</v>
      </c>
      <c r="E117" s="108" t="n">
        <f aca="false">'CORE DWNLD'!E117+'CORE DELTA'!E117</f>
        <v>0.96</v>
      </c>
      <c r="F117" s="108" t="n">
        <f aca="false">'CORE DWNLD'!F117+'CORE DELTA'!F117</f>
        <v>0.96</v>
      </c>
      <c r="G117" s="108" t="n">
        <f aca="false">'CORE DWNLD'!G117+'CORE DELTA'!G117</f>
        <v>0.9306</v>
      </c>
      <c r="H117" s="108" t="n">
        <f aca="false">'CORE DWNLD'!H117+'CORE DELTA'!H117</f>
        <v>0.99</v>
      </c>
      <c r="I117" s="108" t="n">
        <f aca="false">'CORE DWNLD'!I117+'CORE DELTA'!I117</f>
        <v>0.9306</v>
      </c>
      <c r="J117" s="108" t="n">
        <f aca="false">'CORE DWNLD'!J117+'CORE DELTA'!J117</f>
        <v>0.995</v>
      </c>
      <c r="K117" s="108" t="n">
        <f aca="false">'CORE DWNLD'!K117+'CORE DELTA'!K117</f>
        <v>0.98</v>
      </c>
      <c r="L117" s="108" t="n">
        <f aca="false">'CORE DWNLD'!L117+'CORE DELTA'!L117</f>
        <v>0.99</v>
      </c>
      <c r="M117" s="108" t="n">
        <f aca="false">'CORE DWNLD'!M117+'CORE DELTA'!M117</f>
        <v>1.005</v>
      </c>
      <c r="N117" s="108" t="n">
        <f aca="false">'CORE DWNLD'!N117+'CORE DELTA'!N117</f>
        <v>0.99</v>
      </c>
      <c r="O117" s="108" t="n">
        <f aca="false">'CORE DWNLD'!O117+'CORE DELTA'!O117</f>
        <v>0.96</v>
      </c>
    </row>
    <row r="118" customFormat="false" ht="12.75" hidden="false" customHeight="false" outlineLevel="0" collapsed="false">
      <c r="A118" s="158" t="n">
        <v>40269</v>
      </c>
      <c r="B118" s="108" t="n">
        <f aca="false">'CORE DWNLD'!B118+'CORE DELTA'!B118</f>
        <v>0.999</v>
      </c>
      <c r="C118" s="108" t="n">
        <f aca="false">'CORE DWNLD'!C118+'CORE DELTA'!C118</f>
        <v>0.999</v>
      </c>
      <c r="D118" s="108" t="n">
        <f aca="false">'CORE DWNLD'!D118+'CORE DELTA'!D118</f>
        <v>0.995</v>
      </c>
      <c r="E118" s="108" t="n">
        <f aca="false">'CORE DWNLD'!E118+'CORE DELTA'!E118</f>
        <v>0.96</v>
      </c>
      <c r="F118" s="108" t="n">
        <f aca="false">'CORE DWNLD'!F118+'CORE DELTA'!F118</f>
        <v>0.96</v>
      </c>
      <c r="G118" s="108" t="n">
        <f aca="false">'CORE DWNLD'!G118+'CORE DELTA'!G118</f>
        <v>0.9306</v>
      </c>
      <c r="H118" s="108" t="n">
        <f aca="false">'CORE DWNLD'!H118+'CORE DELTA'!H118</f>
        <v>0.99</v>
      </c>
      <c r="I118" s="108" t="n">
        <f aca="false">'CORE DWNLD'!I118+'CORE DELTA'!I118</f>
        <v>0.9306</v>
      </c>
      <c r="J118" s="108" t="n">
        <f aca="false">'CORE DWNLD'!J118+'CORE DELTA'!J118</f>
        <v>0.995</v>
      </c>
      <c r="K118" s="108" t="n">
        <f aca="false">'CORE DWNLD'!K118+'CORE DELTA'!K118</f>
        <v>0.98</v>
      </c>
      <c r="L118" s="108" t="n">
        <f aca="false">'CORE DWNLD'!L118+'CORE DELTA'!L118</f>
        <v>0.99</v>
      </c>
      <c r="M118" s="108" t="n">
        <f aca="false">'CORE DWNLD'!M118+'CORE DELTA'!M118</f>
        <v>1.005</v>
      </c>
      <c r="N118" s="108" t="n">
        <f aca="false">'CORE DWNLD'!N118+'CORE DELTA'!N118</f>
        <v>0.99</v>
      </c>
      <c r="O118" s="108" t="n">
        <f aca="false">'CORE DWNLD'!O118+'CORE DELTA'!O118</f>
        <v>0.96</v>
      </c>
    </row>
    <row r="119" customFormat="false" ht="12.75" hidden="false" customHeight="false" outlineLevel="0" collapsed="false">
      <c r="A119" s="158" t="n">
        <v>40299</v>
      </c>
      <c r="B119" s="108" t="n">
        <f aca="false">'CORE DWNLD'!B119+'CORE DELTA'!B119</f>
        <v>0.999</v>
      </c>
      <c r="C119" s="108" t="n">
        <f aca="false">'CORE DWNLD'!C119+'CORE DELTA'!C119</f>
        <v>0.999</v>
      </c>
      <c r="D119" s="108" t="n">
        <f aca="false">'CORE DWNLD'!D119+'CORE DELTA'!D119</f>
        <v>0.995</v>
      </c>
      <c r="E119" s="108" t="n">
        <f aca="false">'CORE DWNLD'!E119+'CORE DELTA'!E119</f>
        <v>0.96</v>
      </c>
      <c r="F119" s="108" t="n">
        <f aca="false">'CORE DWNLD'!F119+'CORE DELTA'!F119</f>
        <v>0.96</v>
      </c>
      <c r="G119" s="108" t="n">
        <f aca="false">'CORE DWNLD'!G119+'CORE DELTA'!G119</f>
        <v>0.9306</v>
      </c>
      <c r="H119" s="108" t="n">
        <f aca="false">'CORE DWNLD'!H119+'CORE DELTA'!H119</f>
        <v>0.99</v>
      </c>
      <c r="I119" s="108" t="n">
        <f aca="false">'CORE DWNLD'!I119+'CORE DELTA'!I119</f>
        <v>0.9306</v>
      </c>
      <c r="J119" s="108" t="n">
        <f aca="false">'CORE DWNLD'!J119+'CORE DELTA'!J119</f>
        <v>0.995</v>
      </c>
      <c r="K119" s="108" t="n">
        <f aca="false">'CORE DWNLD'!K119+'CORE DELTA'!K119</f>
        <v>0.98</v>
      </c>
      <c r="L119" s="108" t="n">
        <f aca="false">'CORE DWNLD'!L119+'CORE DELTA'!L119</f>
        <v>0.99</v>
      </c>
      <c r="M119" s="108" t="n">
        <f aca="false">'CORE DWNLD'!M119+'CORE DELTA'!M119</f>
        <v>1.005</v>
      </c>
      <c r="N119" s="108" t="n">
        <f aca="false">'CORE DWNLD'!N119+'CORE DELTA'!N119</f>
        <v>0.99</v>
      </c>
      <c r="O119" s="108" t="n">
        <f aca="false">'CORE DWNLD'!O119+'CORE DELTA'!O119</f>
        <v>0.96</v>
      </c>
    </row>
    <row r="120" customFormat="false" ht="12.75" hidden="false" customHeight="false" outlineLevel="0" collapsed="false">
      <c r="A120" s="158" t="n">
        <v>40330</v>
      </c>
      <c r="B120" s="108" t="n">
        <f aca="false">'CORE DWNLD'!B120+'CORE DELTA'!B120</f>
        <v>0.999</v>
      </c>
      <c r="C120" s="108" t="n">
        <f aca="false">'CORE DWNLD'!C120+'CORE DELTA'!C120</f>
        <v>0.999</v>
      </c>
      <c r="D120" s="108" t="n">
        <f aca="false">'CORE DWNLD'!D120+'CORE DELTA'!D120</f>
        <v>0.995</v>
      </c>
      <c r="E120" s="108" t="n">
        <f aca="false">'CORE DWNLD'!E120+'CORE DELTA'!E120</f>
        <v>0.96</v>
      </c>
      <c r="F120" s="108" t="n">
        <f aca="false">'CORE DWNLD'!F120+'CORE DELTA'!F120</f>
        <v>0.96</v>
      </c>
      <c r="G120" s="108" t="n">
        <f aca="false">'CORE DWNLD'!G120+'CORE DELTA'!G120</f>
        <v>0.9306</v>
      </c>
      <c r="H120" s="108" t="n">
        <f aca="false">'CORE DWNLD'!H120+'CORE DELTA'!H120</f>
        <v>0.99</v>
      </c>
      <c r="I120" s="108" t="n">
        <f aca="false">'CORE DWNLD'!I120+'CORE DELTA'!I120</f>
        <v>0.9306</v>
      </c>
      <c r="J120" s="108" t="n">
        <f aca="false">'CORE DWNLD'!J120+'CORE DELTA'!J120</f>
        <v>0.995</v>
      </c>
      <c r="K120" s="108" t="n">
        <f aca="false">'CORE DWNLD'!K120+'CORE DELTA'!K120</f>
        <v>0.98</v>
      </c>
      <c r="L120" s="108" t="n">
        <f aca="false">'CORE DWNLD'!L120+'CORE DELTA'!L120</f>
        <v>0.99</v>
      </c>
      <c r="M120" s="108" t="n">
        <f aca="false">'CORE DWNLD'!M120+'CORE DELTA'!M120</f>
        <v>1.005</v>
      </c>
      <c r="N120" s="108" t="n">
        <f aca="false">'CORE DWNLD'!N120+'CORE DELTA'!N120</f>
        <v>0.99</v>
      </c>
      <c r="O120" s="108" t="n">
        <f aca="false">'CORE DWNLD'!O120+'CORE DELTA'!O120</f>
        <v>0.96</v>
      </c>
    </row>
    <row r="121" customFormat="false" ht="12.75" hidden="false" customHeight="false" outlineLevel="0" collapsed="false">
      <c r="A121" s="158" t="n">
        <v>40360</v>
      </c>
      <c r="B121" s="108" t="n">
        <f aca="false">'CORE DWNLD'!B121+'CORE DELTA'!B121</f>
        <v>0.999</v>
      </c>
      <c r="C121" s="108" t="n">
        <f aca="false">'CORE DWNLD'!C121+'CORE DELTA'!C121</f>
        <v>0.999</v>
      </c>
      <c r="D121" s="108" t="n">
        <f aca="false">'CORE DWNLD'!D121+'CORE DELTA'!D121</f>
        <v>0.995</v>
      </c>
      <c r="E121" s="108" t="n">
        <f aca="false">'CORE DWNLD'!E121+'CORE DELTA'!E121</f>
        <v>0.96</v>
      </c>
      <c r="F121" s="108" t="n">
        <f aca="false">'CORE DWNLD'!F121+'CORE DELTA'!F121</f>
        <v>0.96</v>
      </c>
      <c r="G121" s="108" t="n">
        <f aca="false">'CORE DWNLD'!G121+'CORE DELTA'!G121</f>
        <v>0.9306</v>
      </c>
      <c r="H121" s="108" t="n">
        <f aca="false">'CORE DWNLD'!H121+'CORE DELTA'!H121</f>
        <v>0.99</v>
      </c>
      <c r="I121" s="108" t="n">
        <f aca="false">'CORE DWNLD'!I121+'CORE DELTA'!I121</f>
        <v>0.9306</v>
      </c>
      <c r="J121" s="108" t="n">
        <f aca="false">'CORE DWNLD'!J121+'CORE DELTA'!J121</f>
        <v>0.995</v>
      </c>
      <c r="K121" s="108" t="n">
        <f aca="false">'CORE DWNLD'!K121+'CORE DELTA'!K121</f>
        <v>0.98</v>
      </c>
      <c r="L121" s="108" t="n">
        <f aca="false">'CORE DWNLD'!L121+'CORE DELTA'!L121</f>
        <v>0.99</v>
      </c>
      <c r="M121" s="108" t="n">
        <f aca="false">'CORE DWNLD'!M121+'CORE DELTA'!M121</f>
        <v>1.005</v>
      </c>
      <c r="N121" s="108" t="n">
        <f aca="false">'CORE DWNLD'!N121+'CORE DELTA'!N121</f>
        <v>0.99</v>
      </c>
      <c r="O121" s="108" t="n">
        <f aca="false">'CORE DWNLD'!O121+'CORE DELTA'!O121</f>
        <v>0.96</v>
      </c>
    </row>
    <row r="122" customFormat="false" ht="12.75" hidden="false" customHeight="false" outlineLevel="0" collapsed="false">
      <c r="A122" s="158" t="n">
        <v>40391</v>
      </c>
      <c r="B122" s="108" t="n">
        <f aca="false">'CORE DWNLD'!B122+'CORE DELTA'!B122</f>
        <v>0.999</v>
      </c>
      <c r="C122" s="108" t="n">
        <f aca="false">'CORE DWNLD'!C122+'CORE DELTA'!C122</f>
        <v>0.999</v>
      </c>
      <c r="D122" s="108" t="n">
        <f aca="false">'CORE DWNLD'!D122+'CORE DELTA'!D122</f>
        <v>0.995</v>
      </c>
      <c r="E122" s="108" t="n">
        <f aca="false">'CORE DWNLD'!E122+'CORE DELTA'!E122</f>
        <v>0.96</v>
      </c>
      <c r="F122" s="108" t="n">
        <f aca="false">'CORE DWNLD'!F122+'CORE DELTA'!F122</f>
        <v>0.96</v>
      </c>
      <c r="G122" s="108" t="n">
        <f aca="false">'CORE DWNLD'!G122+'CORE DELTA'!G122</f>
        <v>0.9306</v>
      </c>
      <c r="H122" s="108" t="n">
        <f aca="false">'CORE DWNLD'!H122+'CORE DELTA'!H122</f>
        <v>0.99</v>
      </c>
      <c r="I122" s="108" t="n">
        <f aca="false">'CORE DWNLD'!I122+'CORE DELTA'!I122</f>
        <v>0.9306</v>
      </c>
      <c r="J122" s="108" t="n">
        <f aca="false">'CORE DWNLD'!J122+'CORE DELTA'!J122</f>
        <v>0.995</v>
      </c>
      <c r="K122" s="108" t="n">
        <f aca="false">'CORE DWNLD'!K122+'CORE DELTA'!K122</f>
        <v>0.98</v>
      </c>
      <c r="L122" s="108" t="n">
        <f aca="false">'CORE DWNLD'!L122+'CORE DELTA'!L122</f>
        <v>0.99</v>
      </c>
      <c r="M122" s="108" t="n">
        <f aca="false">'CORE DWNLD'!M122+'CORE DELTA'!M122</f>
        <v>1.005</v>
      </c>
      <c r="N122" s="108" t="n">
        <f aca="false">'CORE DWNLD'!N122+'CORE DELTA'!N122</f>
        <v>0.99</v>
      </c>
      <c r="O122" s="108" t="n">
        <f aca="false">'CORE DWNLD'!O122+'CORE DELTA'!O122</f>
        <v>0.96</v>
      </c>
    </row>
    <row r="123" customFormat="false" ht="12.75" hidden="false" customHeight="false" outlineLevel="0" collapsed="false">
      <c r="A123" s="158" t="n">
        <v>40422</v>
      </c>
      <c r="B123" s="108" t="n">
        <f aca="false">'CORE DWNLD'!B123+'CORE DELTA'!B123</f>
        <v>0.999</v>
      </c>
      <c r="C123" s="108" t="n">
        <f aca="false">'CORE DWNLD'!C123+'CORE DELTA'!C123</f>
        <v>0.999</v>
      </c>
      <c r="D123" s="108" t="n">
        <f aca="false">'CORE DWNLD'!D123+'CORE DELTA'!D123</f>
        <v>0.995</v>
      </c>
      <c r="E123" s="108" t="n">
        <f aca="false">'CORE DWNLD'!E123+'CORE DELTA'!E123</f>
        <v>0.96</v>
      </c>
      <c r="F123" s="108" t="n">
        <f aca="false">'CORE DWNLD'!F123+'CORE DELTA'!F123</f>
        <v>0.96</v>
      </c>
      <c r="G123" s="108" t="n">
        <f aca="false">'CORE DWNLD'!G123+'CORE DELTA'!G123</f>
        <v>0.9306</v>
      </c>
      <c r="H123" s="108" t="n">
        <f aca="false">'CORE DWNLD'!H123+'CORE DELTA'!H123</f>
        <v>0.99</v>
      </c>
      <c r="I123" s="108" t="n">
        <f aca="false">'CORE DWNLD'!I123+'CORE DELTA'!I123</f>
        <v>0.9306</v>
      </c>
      <c r="J123" s="108" t="n">
        <f aca="false">'CORE DWNLD'!J123+'CORE DELTA'!J123</f>
        <v>0.995</v>
      </c>
      <c r="K123" s="108" t="n">
        <f aca="false">'CORE DWNLD'!K123+'CORE DELTA'!K123</f>
        <v>0.98</v>
      </c>
      <c r="L123" s="108" t="n">
        <f aca="false">'CORE DWNLD'!L123+'CORE DELTA'!L123</f>
        <v>0.99</v>
      </c>
      <c r="M123" s="108" t="n">
        <f aca="false">'CORE DWNLD'!M123+'CORE DELTA'!M123</f>
        <v>1.005</v>
      </c>
      <c r="N123" s="108" t="n">
        <f aca="false">'CORE DWNLD'!N123+'CORE DELTA'!N123</f>
        <v>0.99</v>
      </c>
      <c r="O123" s="108" t="n">
        <f aca="false">'CORE DWNLD'!O123+'CORE DELTA'!O123</f>
        <v>0.96</v>
      </c>
    </row>
    <row r="124" customFormat="false" ht="12.75" hidden="false" customHeight="false" outlineLevel="0" collapsed="false">
      <c r="A124" s="158" t="n">
        <v>40452</v>
      </c>
      <c r="B124" s="108" t="n">
        <f aca="false">'CORE DWNLD'!B124+'CORE DELTA'!B124</f>
        <v>0.999</v>
      </c>
      <c r="C124" s="108" t="n">
        <f aca="false">'CORE DWNLD'!C124+'CORE DELTA'!C124</f>
        <v>0.999</v>
      </c>
      <c r="D124" s="108" t="n">
        <f aca="false">'CORE DWNLD'!D124+'CORE DELTA'!D124</f>
        <v>0.995</v>
      </c>
      <c r="E124" s="108" t="n">
        <f aca="false">'CORE DWNLD'!E124+'CORE DELTA'!E124</f>
        <v>0.96</v>
      </c>
      <c r="F124" s="108" t="n">
        <f aca="false">'CORE DWNLD'!F124+'CORE DELTA'!F124</f>
        <v>0.96</v>
      </c>
      <c r="G124" s="108" t="n">
        <f aca="false">'CORE DWNLD'!G124+'CORE DELTA'!G124</f>
        <v>0.9306</v>
      </c>
      <c r="H124" s="108" t="n">
        <f aca="false">'CORE DWNLD'!H124+'CORE DELTA'!H124</f>
        <v>0.99</v>
      </c>
      <c r="I124" s="108" t="n">
        <f aca="false">'CORE DWNLD'!I124+'CORE DELTA'!I124</f>
        <v>0.9306</v>
      </c>
      <c r="J124" s="108" t="n">
        <f aca="false">'CORE DWNLD'!J124+'CORE DELTA'!J124</f>
        <v>0.995</v>
      </c>
      <c r="K124" s="108" t="n">
        <f aca="false">'CORE DWNLD'!K124+'CORE DELTA'!K124</f>
        <v>0.98</v>
      </c>
      <c r="L124" s="108" t="n">
        <f aca="false">'CORE DWNLD'!L124+'CORE DELTA'!L124</f>
        <v>0.99</v>
      </c>
      <c r="M124" s="108" t="n">
        <f aca="false">'CORE DWNLD'!M124+'CORE DELTA'!M124</f>
        <v>1.005</v>
      </c>
      <c r="N124" s="108" t="n">
        <f aca="false">'CORE DWNLD'!N124+'CORE DELTA'!N124</f>
        <v>0.99</v>
      </c>
      <c r="O124" s="108" t="n">
        <f aca="false">'CORE DWNLD'!O124+'CORE DELTA'!O124</f>
        <v>0.96</v>
      </c>
    </row>
    <row r="125" customFormat="false" ht="12.75" hidden="false" customHeight="false" outlineLevel="0" collapsed="false">
      <c r="A125" s="158" t="n">
        <v>40483</v>
      </c>
      <c r="B125" s="108" t="n">
        <f aca="false">'CORE DWNLD'!B125+'CORE DELTA'!B125</f>
        <v>0.999</v>
      </c>
      <c r="C125" s="108" t="n">
        <f aca="false">'CORE DWNLD'!C125+'CORE DELTA'!C125</f>
        <v>0.999</v>
      </c>
      <c r="D125" s="108" t="n">
        <f aca="false">'CORE DWNLD'!D125+'CORE DELTA'!D125</f>
        <v>0.995</v>
      </c>
      <c r="E125" s="108" t="n">
        <f aca="false">'CORE DWNLD'!E125+'CORE DELTA'!E125</f>
        <v>0.96</v>
      </c>
      <c r="F125" s="108" t="n">
        <f aca="false">'CORE DWNLD'!F125+'CORE DELTA'!F125</f>
        <v>0.96</v>
      </c>
      <c r="G125" s="108" t="n">
        <f aca="false">'CORE DWNLD'!G125+'CORE DELTA'!G125</f>
        <v>0.9306</v>
      </c>
      <c r="H125" s="108" t="n">
        <f aca="false">'CORE DWNLD'!H125+'CORE DELTA'!H125</f>
        <v>0.99</v>
      </c>
      <c r="I125" s="108" t="n">
        <f aca="false">'CORE DWNLD'!I125+'CORE DELTA'!I125</f>
        <v>0.9306</v>
      </c>
      <c r="J125" s="108" t="n">
        <f aca="false">'CORE DWNLD'!J125+'CORE DELTA'!J125</f>
        <v>0.995</v>
      </c>
      <c r="K125" s="108" t="n">
        <f aca="false">'CORE DWNLD'!K125+'CORE DELTA'!K125</f>
        <v>0.98</v>
      </c>
      <c r="L125" s="108" t="n">
        <f aca="false">'CORE DWNLD'!L125+'CORE DELTA'!L125</f>
        <v>0.99</v>
      </c>
      <c r="M125" s="108" t="n">
        <f aca="false">'CORE DWNLD'!M125+'CORE DELTA'!M125</f>
        <v>1.005</v>
      </c>
      <c r="N125" s="108" t="n">
        <f aca="false">'CORE DWNLD'!N125+'CORE DELTA'!N125</f>
        <v>0.99</v>
      </c>
      <c r="O125" s="108" t="n">
        <f aca="false">'CORE DWNLD'!O125+'CORE DELTA'!O125</f>
        <v>0.96</v>
      </c>
    </row>
    <row r="126" customFormat="false" ht="12.75" hidden="false" customHeight="false" outlineLevel="0" collapsed="false">
      <c r="A126" s="158" t="n">
        <v>40513</v>
      </c>
      <c r="B126" s="108" t="n">
        <f aca="false">'CORE DWNLD'!B126+'CORE DELTA'!B126</f>
        <v>0.999</v>
      </c>
      <c r="C126" s="108" t="n">
        <f aca="false">'CORE DWNLD'!C126+'CORE DELTA'!C126</f>
        <v>0.999</v>
      </c>
      <c r="D126" s="108" t="n">
        <f aca="false">'CORE DWNLD'!D126+'CORE DELTA'!D126</f>
        <v>0.995</v>
      </c>
      <c r="E126" s="108" t="n">
        <f aca="false">'CORE DWNLD'!E126+'CORE DELTA'!E126</f>
        <v>0.96</v>
      </c>
      <c r="F126" s="108" t="n">
        <f aca="false">'CORE DWNLD'!F126+'CORE DELTA'!F126</f>
        <v>0.96</v>
      </c>
      <c r="G126" s="108" t="n">
        <f aca="false">'CORE DWNLD'!G126+'CORE DELTA'!G126</f>
        <v>0.9306</v>
      </c>
      <c r="H126" s="108" t="n">
        <f aca="false">'CORE DWNLD'!H126+'CORE DELTA'!H126</f>
        <v>0.99</v>
      </c>
      <c r="I126" s="108" t="n">
        <f aca="false">'CORE DWNLD'!I126+'CORE DELTA'!I126</f>
        <v>0.9306</v>
      </c>
      <c r="J126" s="108" t="n">
        <f aca="false">'CORE DWNLD'!J126+'CORE DELTA'!J126</f>
        <v>0.995</v>
      </c>
      <c r="K126" s="108" t="n">
        <f aca="false">'CORE DWNLD'!K126+'CORE DELTA'!K126</f>
        <v>0.98</v>
      </c>
      <c r="L126" s="108" t="n">
        <f aca="false">'CORE DWNLD'!L126+'CORE DELTA'!L126</f>
        <v>0.99</v>
      </c>
      <c r="M126" s="108" t="n">
        <f aca="false">'CORE DWNLD'!M126+'CORE DELTA'!M126</f>
        <v>1.005</v>
      </c>
      <c r="N126" s="108" t="n">
        <f aca="false">'CORE DWNLD'!N126+'CORE DELTA'!N126</f>
        <v>0.99</v>
      </c>
      <c r="O126" s="108" t="n">
        <f aca="false">'CORE DWNLD'!O126+'CORE DELTA'!O126</f>
        <v>0.96</v>
      </c>
    </row>
    <row r="127" customFormat="false" ht="12.75" hidden="false" customHeight="false" outlineLevel="0" collapsed="false">
      <c r="A127" s="158" t="n">
        <v>40544</v>
      </c>
      <c r="B127" s="108" t="n">
        <f aca="false">'CORE DWNLD'!B127+'CORE DELTA'!B127</f>
        <v>0.999</v>
      </c>
      <c r="C127" s="108" t="n">
        <f aca="false">'CORE DWNLD'!C127+'CORE DELTA'!C127</f>
        <v>0.999</v>
      </c>
      <c r="D127" s="108" t="n">
        <f aca="false">'CORE DWNLD'!D127+'CORE DELTA'!D127</f>
        <v>0.995</v>
      </c>
      <c r="E127" s="108" t="n">
        <f aca="false">'CORE DWNLD'!E127+'CORE DELTA'!E127</f>
        <v>0.96</v>
      </c>
      <c r="F127" s="108" t="n">
        <f aca="false">'CORE DWNLD'!F127+'CORE DELTA'!F127</f>
        <v>0.96</v>
      </c>
      <c r="G127" s="108" t="n">
        <f aca="false">'CORE DWNLD'!G127+'CORE DELTA'!G127</f>
        <v>0.9306</v>
      </c>
      <c r="H127" s="108" t="n">
        <f aca="false">'CORE DWNLD'!H127+'CORE DELTA'!H127</f>
        <v>0.99</v>
      </c>
      <c r="I127" s="108" t="n">
        <f aca="false">'CORE DWNLD'!I127+'CORE DELTA'!I127</f>
        <v>0.9306</v>
      </c>
      <c r="J127" s="108" t="n">
        <f aca="false">'CORE DWNLD'!J127+'CORE DELTA'!J127</f>
        <v>0.995</v>
      </c>
      <c r="K127" s="108" t="n">
        <f aca="false">'CORE DWNLD'!K127+'CORE DELTA'!K127</f>
        <v>0.98</v>
      </c>
      <c r="L127" s="108" t="n">
        <f aca="false">'CORE DWNLD'!L127+'CORE DELTA'!L127</f>
        <v>0.99</v>
      </c>
      <c r="M127" s="108" t="n">
        <f aca="false">'CORE DWNLD'!M127+'CORE DELTA'!M127</f>
        <v>1.005</v>
      </c>
      <c r="N127" s="108" t="n">
        <f aca="false">'CORE DWNLD'!N127+'CORE DELTA'!N127</f>
        <v>0.99</v>
      </c>
      <c r="O127" s="108" t="n">
        <f aca="false">'CORE DWNLD'!O127+'CORE DELTA'!O127</f>
        <v>0.96</v>
      </c>
    </row>
    <row r="128" customFormat="false" ht="12.75" hidden="false" customHeight="false" outlineLevel="0" collapsed="false">
      <c r="A128" s="158" t="n">
        <v>40575</v>
      </c>
      <c r="B128" s="108" t="n">
        <f aca="false">'CORE DWNLD'!B128+'CORE DELTA'!B128</f>
        <v>0.999</v>
      </c>
      <c r="C128" s="108" t="n">
        <f aca="false">'CORE DWNLD'!C128+'CORE DELTA'!C128</f>
        <v>0.999</v>
      </c>
      <c r="D128" s="108" t="n">
        <f aca="false">'CORE DWNLD'!D128+'CORE DELTA'!D128</f>
        <v>0.995</v>
      </c>
      <c r="E128" s="108" t="n">
        <f aca="false">'CORE DWNLD'!E128+'CORE DELTA'!E128</f>
        <v>0.96</v>
      </c>
      <c r="F128" s="108" t="n">
        <f aca="false">'CORE DWNLD'!F128+'CORE DELTA'!F128</f>
        <v>0.96</v>
      </c>
      <c r="G128" s="108" t="n">
        <f aca="false">'CORE DWNLD'!G128+'CORE DELTA'!G128</f>
        <v>0.9306</v>
      </c>
      <c r="H128" s="108" t="n">
        <f aca="false">'CORE DWNLD'!H128+'CORE DELTA'!H128</f>
        <v>0.99</v>
      </c>
      <c r="I128" s="108" t="n">
        <f aca="false">'CORE DWNLD'!I128+'CORE DELTA'!I128</f>
        <v>0.9306</v>
      </c>
      <c r="J128" s="108" t="n">
        <f aca="false">'CORE DWNLD'!J128+'CORE DELTA'!J128</f>
        <v>0.995</v>
      </c>
      <c r="K128" s="108" t="n">
        <f aca="false">'CORE DWNLD'!K128+'CORE DELTA'!K128</f>
        <v>0.98</v>
      </c>
      <c r="L128" s="108" t="n">
        <f aca="false">'CORE DWNLD'!L128+'CORE DELTA'!L128</f>
        <v>0.99</v>
      </c>
      <c r="M128" s="108" t="n">
        <f aca="false">'CORE DWNLD'!M128+'CORE DELTA'!M128</f>
        <v>1.005</v>
      </c>
      <c r="N128" s="108" t="n">
        <f aca="false">'CORE DWNLD'!N128+'CORE DELTA'!N128</f>
        <v>0.99</v>
      </c>
      <c r="O128" s="108" t="n">
        <f aca="false">'CORE DWNLD'!O128+'CORE DELTA'!O128</f>
        <v>0.96</v>
      </c>
    </row>
    <row r="129" customFormat="false" ht="12.75" hidden="false" customHeight="false" outlineLevel="0" collapsed="false">
      <c r="A129" s="158" t="n">
        <v>40603</v>
      </c>
      <c r="B129" s="108" t="n">
        <f aca="false">'CORE DWNLD'!B129+'CORE DELTA'!B129</f>
        <v>0.999</v>
      </c>
      <c r="C129" s="108" t="n">
        <f aca="false">'CORE DWNLD'!C129+'CORE DELTA'!C129</f>
        <v>0.999</v>
      </c>
      <c r="D129" s="108" t="n">
        <f aca="false">'CORE DWNLD'!D129+'CORE DELTA'!D129</f>
        <v>0.995</v>
      </c>
      <c r="E129" s="108" t="n">
        <f aca="false">'CORE DWNLD'!E129+'CORE DELTA'!E129</f>
        <v>0.96</v>
      </c>
      <c r="F129" s="108" t="n">
        <f aca="false">'CORE DWNLD'!F129+'CORE DELTA'!F129</f>
        <v>0.96</v>
      </c>
      <c r="G129" s="108" t="n">
        <f aca="false">'CORE DWNLD'!G129+'CORE DELTA'!G129</f>
        <v>0.9306</v>
      </c>
      <c r="H129" s="108" t="n">
        <f aca="false">'CORE DWNLD'!H129+'CORE DELTA'!H129</f>
        <v>0.99</v>
      </c>
      <c r="I129" s="108" t="n">
        <f aca="false">'CORE DWNLD'!I129+'CORE DELTA'!I129</f>
        <v>0.9306</v>
      </c>
      <c r="J129" s="108" t="n">
        <f aca="false">'CORE DWNLD'!J129+'CORE DELTA'!J129</f>
        <v>0.995</v>
      </c>
      <c r="K129" s="108" t="n">
        <f aca="false">'CORE DWNLD'!K129+'CORE DELTA'!K129</f>
        <v>0.98</v>
      </c>
      <c r="L129" s="108" t="n">
        <f aca="false">'CORE DWNLD'!L129+'CORE DELTA'!L129</f>
        <v>0.99</v>
      </c>
      <c r="M129" s="108" t="n">
        <f aca="false">'CORE DWNLD'!M129+'CORE DELTA'!M129</f>
        <v>1.005</v>
      </c>
      <c r="N129" s="108" t="n">
        <f aca="false">'CORE DWNLD'!N129+'CORE DELTA'!N129</f>
        <v>0.99</v>
      </c>
      <c r="O129" s="108" t="n">
        <f aca="false">'CORE DWNLD'!O129+'CORE DELTA'!O129</f>
        <v>0.96</v>
      </c>
    </row>
    <row r="130" customFormat="false" ht="12.75" hidden="false" customHeight="false" outlineLevel="0" collapsed="false">
      <c r="A130" s="158" t="n">
        <v>40634</v>
      </c>
      <c r="B130" s="108" t="n">
        <f aca="false">'CORE DWNLD'!B130+'CORE DELTA'!B130</f>
        <v>0.999</v>
      </c>
      <c r="C130" s="108" t="n">
        <f aca="false">'CORE DWNLD'!C130+'CORE DELTA'!C130</f>
        <v>0.999</v>
      </c>
      <c r="D130" s="108" t="n">
        <f aca="false">'CORE DWNLD'!D130+'CORE DELTA'!D130</f>
        <v>0.995</v>
      </c>
      <c r="E130" s="108" t="n">
        <f aca="false">'CORE DWNLD'!E130+'CORE DELTA'!E130</f>
        <v>0.96</v>
      </c>
      <c r="F130" s="108" t="n">
        <f aca="false">'CORE DWNLD'!F130+'CORE DELTA'!F130</f>
        <v>0.96</v>
      </c>
      <c r="G130" s="108" t="n">
        <f aca="false">'CORE DWNLD'!G130+'CORE DELTA'!G130</f>
        <v>0.9306</v>
      </c>
      <c r="H130" s="108" t="n">
        <f aca="false">'CORE DWNLD'!H130+'CORE DELTA'!H130</f>
        <v>0.99</v>
      </c>
      <c r="I130" s="108" t="n">
        <f aca="false">'CORE DWNLD'!I130+'CORE DELTA'!I130</f>
        <v>0.9306</v>
      </c>
      <c r="J130" s="108" t="n">
        <f aca="false">'CORE DWNLD'!J130+'CORE DELTA'!J130</f>
        <v>0.995</v>
      </c>
      <c r="K130" s="108" t="n">
        <f aca="false">'CORE DWNLD'!K130+'CORE DELTA'!K130</f>
        <v>0.98</v>
      </c>
      <c r="L130" s="108" t="n">
        <f aca="false">'CORE DWNLD'!L130+'CORE DELTA'!L130</f>
        <v>0.99</v>
      </c>
      <c r="M130" s="108" t="n">
        <f aca="false">'CORE DWNLD'!M130+'CORE DELTA'!M130</f>
        <v>1.005</v>
      </c>
      <c r="N130" s="108" t="n">
        <f aca="false">'CORE DWNLD'!N130+'CORE DELTA'!N130</f>
        <v>0.99</v>
      </c>
      <c r="O130" s="108" t="n">
        <f aca="false">'CORE DWNLD'!O130+'CORE DELTA'!O130</f>
        <v>0.96</v>
      </c>
    </row>
    <row r="131" customFormat="false" ht="12.75" hidden="false" customHeight="false" outlineLevel="0" collapsed="false">
      <c r="A131" s="158" t="n">
        <v>40664</v>
      </c>
      <c r="B131" s="108" t="n">
        <f aca="false">'CORE DWNLD'!B131+'CORE DELTA'!B131</f>
        <v>0.999</v>
      </c>
      <c r="C131" s="108" t="n">
        <f aca="false">'CORE DWNLD'!C131+'CORE DELTA'!C131</f>
        <v>0.999</v>
      </c>
      <c r="D131" s="108" t="n">
        <f aca="false">'CORE DWNLD'!D131+'CORE DELTA'!D131</f>
        <v>0.995</v>
      </c>
      <c r="E131" s="108" t="n">
        <f aca="false">'CORE DWNLD'!E131+'CORE DELTA'!E131</f>
        <v>0.96</v>
      </c>
      <c r="F131" s="108" t="n">
        <f aca="false">'CORE DWNLD'!F131+'CORE DELTA'!F131</f>
        <v>0.96</v>
      </c>
      <c r="G131" s="108" t="n">
        <f aca="false">'CORE DWNLD'!G131+'CORE DELTA'!G131</f>
        <v>0.9306</v>
      </c>
      <c r="H131" s="108" t="n">
        <f aca="false">'CORE DWNLD'!H131+'CORE DELTA'!H131</f>
        <v>0.99</v>
      </c>
      <c r="I131" s="108" t="n">
        <f aca="false">'CORE DWNLD'!I131+'CORE DELTA'!I131</f>
        <v>0.9306</v>
      </c>
      <c r="J131" s="108" t="n">
        <f aca="false">'CORE DWNLD'!J131+'CORE DELTA'!J131</f>
        <v>0.995</v>
      </c>
      <c r="K131" s="108" t="n">
        <f aca="false">'CORE DWNLD'!K131+'CORE DELTA'!K131</f>
        <v>0.98</v>
      </c>
      <c r="L131" s="108" t="n">
        <f aca="false">'CORE DWNLD'!L131+'CORE DELTA'!L131</f>
        <v>0.99</v>
      </c>
      <c r="M131" s="108" t="n">
        <f aca="false">'CORE DWNLD'!M131+'CORE DELTA'!M131</f>
        <v>1.005</v>
      </c>
      <c r="N131" s="108" t="n">
        <f aca="false">'CORE DWNLD'!N131+'CORE DELTA'!N131</f>
        <v>0.99</v>
      </c>
      <c r="O131" s="108" t="n">
        <f aca="false">'CORE DWNLD'!O131+'CORE DELTA'!O131</f>
        <v>0.96</v>
      </c>
    </row>
    <row r="132" customFormat="false" ht="12.75" hidden="false" customHeight="false" outlineLevel="0" collapsed="false">
      <c r="A132" s="158" t="n">
        <v>40695</v>
      </c>
      <c r="B132" s="108" t="n">
        <f aca="false">'CORE DWNLD'!B132+'CORE DELTA'!B132</f>
        <v>0.999</v>
      </c>
      <c r="C132" s="108" t="n">
        <f aca="false">'CORE DWNLD'!C132+'CORE DELTA'!C132</f>
        <v>0.999</v>
      </c>
      <c r="D132" s="108" t="n">
        <f aca="false">'CORE DWNLD'!D132+'CORE DELTA'!D132</f>
        <v>0.995</v>
      </c>
      <c r="E132" s="108" t="n">
        <f aca="false">'CORE DWNLD'!E132+'CORE DELTA'!E132</f>
        <v>0.96</v>
      </c>
      <c r="F132" s="108" t="n">
        <f aca="false">'CORE DWNLD'!F132+'CORE DELTA'!F132</f>
        <v>0.96</v>
      </c>
      <c r="G132" s="108" t="n">
        <f aca="false">'CORE DWNLD'!G132+'CORE DELTA'!G132</f>
        <v>0.9306</v>
      </c>
      <c r="H132" s="108" t="n">
        <f aca="false">'CORE DWNLD'!H132+'CORE DELTA'!H132</f>
        <v>0.99</v>
      </c>
      <c r="I132" s="108" t="n">
        <f aca="false">'CORE DWNLD'!I132+'CORE DELTA'!I132</f>
        <v>0.9306</v>
      </c>
      <c r="J132" s="108" t="n">
        <f aca="false">'CORE DWNLD'!J132+'CORE DELTA'!J132</f>
        <v>0.995</v>
      </c>
      <c r="K132" s="108" t="n">
        <f aca="false">'CORE DWNLD'!K132+'CORE DELTA'!K132</f>
        <v>0.98</v>
      </c>
      <c r="L132" s="108" t="n">
        <f aca="false">'CORE DWNLD'!L132+'CORE DELTA'!L132</f>
        <v>0.99</v>
      </c>
      <c r="M132" s="108" t="n">
        <f aca="false">'CORE DWNLD'!M132+'CORE DELTA'!M132</f>
        <v>1.005</v>
      </c>
      <c r="N132" s="108" t="n">
        <f aca="false">'CORE DWNLD'!N132+'CORE DELTA'!N132</f>
        <v>0.99</v>
      </c>
      <c r="O132" s="108" t="n">
        <f aca="false">'CORE DWNLD'!O132+'CORE DELTA'!O132</f>
        <v>0.96</v>
      </c>
    </row>
    <row r="133" customFormat="false" ht="12.75" hidden="false" customHeight="false" outlineLevel="0" collapsed="false">
      <c r="A133" s="158" t="n">
        <v>40725</v>
      </c>
      <c r="B133" s="108" t="n">
        <f aca="false">'CORE DWNLD'!B133+'CORE DELTA'!B133</f>
        <v>0.999</v>
      </c>
      <c r="C133" s="108" t="n">
        <f aca="false">'CORE DWNLD'!C133+'CORE DELTA'!C133</f>
        <v>0.999</v>
      </c>
      <c r="D133" s="108" t="n">
        <f aca="false">'CORE DWNLD'!D133+'CORE DELTA'!D133</f>
        <v>0.995</v>
      </c>
      <c r="E133" s="108" t="n">
        <f aca="false">'CORE DWNLD'!E133+'CORE DELTA'!E133</f>
        <v>0.96</v>
      </c>
      <c r="F133" s="108" t="n">
        <f aca="false">'CORE DWNLD'!F133+'CORE DELTA'!F133</f>
        <v>0.96</v>
      </c>
      <c r="G133" s="108" t="n">
        <f aca="false">'CORE DWNLD'!G133+'CORE DELTA'!G133</f>
        <v>0.9306</v>
      </c>
      <c r="H133" s="108" t="n">
        <f aca="false">'CORE DWNLD'!H133+'CORE DELTA'!H133</f>
        <v>0.99</v>
      </c>
      <c r="I133" s="108" t="n">
        <f aca="false">'CORE DWNLD'!I133+'CORE DELTA'!I133</f>
        <v>0.9306</v>
      </c>
      <c r="J133" s="108" t="n">
        <f aca="false">'CORE DWNLD'!J133+'CORE DELTA'!J133</f>
        <v>0.995</v>
      </c>
      <c r="K133" s="108" t="n">
        <f aca="false">'CORE DWNLD'!K133+'CORE DELTA'!K133</f>
        <v>0.98</v>
      </c>
      <c r="L133" s="108" t="n">
        <f aca="false">'CORE DWNLD'!L133+'CORE DELTA'!L133</f>
        <v>0.99</v>
      </c>
      <c r="M133" s="108" t="n">
        <f aca="false">'CORE DWNLD'!M133+'CORE DELTA'!M133</f>
        <v>1.005</v>
      </c>
      <c r="N133" s="108" t="n">
        <f aca="false">'CORE DWNLD'!N133+'CORE DELTA'!N133</f>
        <v>0.99</v>
      </c>
      <c r="O133" s="108" t="n">
        <f aca="false">'CORE DWNLD'!O133+'CORE DELTA'!O133</f>
        <v>0.96</v>
      </c>
    </row>
    <row r="134" customFormat="false" ht="12.75" hidden="false" customHeight="false" outlineLevel="0" collapsed="false">
      <c r="A134" s="158" t="n">
        <v>40756</v>
      </c>
      <c r="B134" s="108" t="n">
        <f aca="false">'CORE DWNLD'!B134+'CORE DELTA'!B134</f>
        <v>0.999</v>
      </c>
      <c r="C134" s="108" t="n">
        <f aca="false">'CORE DWNLD'!C134+'CORE DELTA'!C134</f>
        <v>0.999</v>
      </c>
      <c r="D134" s="108" t="n">
        <f aca="false">'CORE DWNLD'!D134+'CORE DELTA'!D134</f>
        <v>0.995</v>
      </c>
      <c r="E134" s="108" t="n">
        <f aca="false">'CORE DWNLD'!E134+'CORE DELTA'!E134</f>
        <v>0.96</v>
      </c>
      <c r="F134" s="108" t="n">
        <f aca="false">'CORE DWNLD'!F134+'CORE DELTA'!F134</f>
        <v>0.96</v>
      </c>
      <c r="G134" s="108" t="n">
        <f aca="false">'CORE DWNLD'!G134+'CORE DELTA'!G134</f>
        <v>0.9306</v>
      </c>
      <c r="H134" s="108" t="n">
        <f aca="false">'CORE DWNLD'!H134+'CORE DELTA'!H134</f>
        <v>0.99</v>
      </c>
      <c r="I134" s="108" t="n">
        <f aca="false">'CORE DWNLD'!I134+'CORE DELTA'!I134</f>
        <v>0.9306</v>
      </c>
      <c r="J134" s="108" t="n">
        <f aca="false">'CORE DWNLD'!J134+'CORE DELTA'!J134</f>
        <v>0.995</v>
      </c>
      <c r="K134" s="108" t="n">
        <f aca="false">'CORE DWNLD'!K134+'CORE DELTA'!K134</f>
        <v>0.98</v>
      </c>
      <c r="L134" s="108" t="n">
        <f aca="false">'CORE DWNLD'!L134+'CORE DELTA'!L134</f>
        <v>0.99</v>
      </c>
      <c r="M134" s="108" t="n">
        <f aca="false">'CORE DWNLD'!M134+'CORE DELTA'!M134</f>
        <v>1.005</v>
      </c>
      <c r="N134" s="108" t="n">
        <f aca="false">'CORE DWNLD'!N134+'CORE DELTA'!N134</f>
        <v>0.99</v>
      </c>
      <c r="O134" s="108" t="n">
        <f aca="false">'CORE DWNLD'!O134+'CORE DELTA'!O134</f>
        <v>0.96</v>
      </c>
    </row>
    <row r="135" customFormat="false" ht="12.75" hidden="false" customHeight="false" outlineLevel="0" collapsed="false">
      <c r="A135" s="158" t="n">
        <v>40787</v>
      </c>
      <c r="B135" s="108" t="n">
        <f aca="false">'CORE DWNLD'!B135+'CORE DELTA'!B135</f>
        <v>0.999</v>
      </c>
      <c r="C135" s="108" t="n">
        <f aca="false">'CORE DWNLD'!C135+'CORE DELTA'!C135</f>
        <v>0.999</v>
      </c>
      <c r="D135" s="108" t="n">
        <f aca="false">'CORE DWNLD'!D135+'CORE DELTA'!D135</f>
        <v>0.995</v>
      </c>
      <c r="E135" s="108" t="n">
        <f aca="false">'CORE DWNLD'!E135+'CORE DELTA'!E135</f>
        <v>0.96</v>
      </c>
      <c r="F135" s="108" t="n">
        <f aca="false">'CORE DWNLD'!F135+'CORE DELTA'!F135</f>
        <v>0.96</v>
      </c>
      <c r="G135" s="108" t="n">
        <f aca="false">'CORE DWNLD'!G135+'CORE DELTA'!G135</f>
        <v>0.9306</v>
      </c>
      <c r="H135" s="108" t="n">
        <f aca="false">'CORE DWNLD'!H135+'CORE DELTA'!H135</f>
        <v>0.99</v>
      </c>
      <c r="I135" s="108" t="n">
        <f aca="false">'CORE DWNLD'!I135+'CORE DELTA'!I135</f>
        <v>0.9306</v>
      </c>
      <c r="J135" s="108" t="n">
        <f aca="false">'CORE DWNLD'!J135+'CORE DELTA'!J135</f>
        <v>0.995</v>
      </c>
      <c r="K135" s="108" t="n">
        <f aca="false">'CORE DWNLD'!K135+'CORE DELTA'!K135</f>
        <v>0.98</v>
      </c>
      <c r="L135" s="108" t="n">
        <f aca="false">'CORE DWNLD'!L135+'CORE DELTA'!L135</f>
        <v>0.99</v>
      </c>
      <c r="M135" s="108" t="n">
        <f aca="false">'CORE DWNLD'!M135+'CORE DELTA'!M135</f>
        <v>1.005</v>
      </c>
      <c r="N135" s="108" t="n">
        <f aca="false">'CORE DWNLD'!N135+'CORE DELTA'!N135</f>
        <v>0.99</v>
      </c>
      <c r="O135" s="108" t="n">
        <f aca="false">'CORE DWNLD'!O135+'CORE DELTA'!O135</f>
        <v>0.96</v>
      </c>
    </row>
    <row r="136" customFormat="false" ht="12.75" hidden="false" customHeight="false" outlineLevel="0" collapsed="false">
      <c r="A136" s="158" t="n">
        <v>40817</v>
      </c>
      <c r="B136" s="108" t="n">
        <f aca="false">'CORE DWNLD'!B136+'CORE DELTA'!B136</f>
        <v>0.999</v>
      </c>
      <c r="C136" s="108" t="n">
        <f aca="false">'CORE DWNLD'!C136+'CORE DELTA'!C136</f>
        <v>0.999</v>
      </c>
      <c r="D136" s="108" t="n">
        <f aca="false">'CORE DWNLD'!D136+'CORE DELTA'!D136</f>
        <v>0.995</v>
      </c>
      <c r="E136" s="108" t="n">
        <f aca="false">'CORE DWNLD'!E136+'CORE DELTA'!E136</f>
        <v>0.96</v>
      </c>
      <c r="F136" s="108" t="n">
        <f aca="false">'CORE DWNLD'!F136+'CORE DELTA'!F136</f>
        <v>0.96</v>
      </c>
      <c r="G136" s="108" t="n">
        <f aca="false">'CORE DWNLD'!G136+'CORE DELTA'!G136</f>
        <v>0.9306</v>
      </c>
      <c r="H136" s="108" t="n">
        <f aca="false">'CORE DWNLD'!H136+'CORE DELTA'!H136</f>
        <v>0.99</v>
      </c>
      <c r="I136" s="108" t="n">
        <f aca="false">'CORE DWNLD'!I136+'CORE DELTA'!I136</f>
        <v>0.9306</v>
      </c>
      <c r="J136" s="108" t="n">
        <f aca="false">'CORE DWNLD'!J136+'CORE DELTA'!J136</f>
        <v>0.995</v>
      </c>
      <c r="K136" s="108" t="n">
        <f aca="false">'CORE DWNLD'!K136+'CORE DELTA'!K136</f>
        <v>0.98</v>
      </c>
      <c r="L136" s="108" t="n">
        <f aca="false">'CORE DWNLD'!L136+'CORE DELTA'!L136</f>
        <v>0.99</v>
      </c>
      <c r="M136" s="108" t="n">
        <f aca="false">'CORE DWNLD'!M136+'CORE DELTA'!M136</f>
        <v>1.005</v>
      </c>
      <c r="N136" s="108" t="n">
        <f aca="false">'CORE DWNLD'!N136+'CORE DELTA'!N136</f>
        <v>0.99</v>
      </c>
      <c r="O136" s="108" t="n">
        <f aca="false">'CORE DWNLD'!O136+'CORE DELTA'!O136</f>
        <v>0.96</v>
      </c>
    </row>
    <row r="137" customFormat="false" ht="12.75" hidden="false" customHeight="false" outlineLevel="0" collapsed="false">
      <c r="A137" s="158" t="n">
        <v>40848</v>
      </c>
      <c r="B137" s="108" t="n">
        <f aca="false">'CORE DWNLD'!B137+'CORE DELTA'!B137</f>
        <v>0.999</v>
      </c>
      <c r="C137" s="108" t="n">
        <f aca="false">'CORE DWNLD'!C137+'CORE DELTA'!C137</f>
        <v>0.999</v>
      </c>
      <c r="D137" s="108" t="n">
        <f aca="false">'CORE DWNLD'!D137+'CORE DELTA'!D137</f>
        <v>0.995</v>
      </c>
      <c r="E137" s="108" t="n">
        <f aca="false">'CORE DWNLD'!E137+'CORE DELTA'!E137</f>
        <v>0.96</v>
      </c>
      <c r="F137" s="108" t="n">
        <f aca="false">'CORE DWNLD'!F137+'CORE DELTA'!F137</f>
        <v>0.96</v>
      </c>
      <c r="G137" s="108" t="n">
        <f aca="false">'CORE DWNLD'!G137+'CORE DELTA'!G137</f>
        <v>0.9306</v>
      </c>
      <c r="H137" s="108" t="n">
        <f aca="false">'CORE DWNLD'!H137+'CORE DELTA'!H137</f>
        <v>0.99</v>
      </c>
      <c r="I137" s="108" t="n">
        <f aca="false">'CORE DWNLD'!I137+'CORE DELTA'!I137</f>
        <v>0.9306</v>
      </c>
      <c r="J137" s="108" t="n">
        <f aca="false">'CORE DWNLD'!J137+'CORE DELTA'!J137</f>
        <v>0.995</v>
      </c>
      <c r="K137" s="108" t="n">
        <f aca="false">'CORE DWNLD'!K137+'CORE DELTA'!K137</f>
        <v>0.98</v>
      </c>
      <c r="L137" s="108" t="n">
        <f aca="false">'CORE DWNLD'!L137+'CORE DELTA'!L137</f>
        <v>0.99</v>
      </c>
      <c r="M137" s="108" t="n">
        <f aca="false">'CORE DWNLD'!M137+'CORE DELTA'!M137</f>
        <v>1.005</v>
      </c>
      <c r="N137" s="108" t="n">
        <f aca="false">'CORE DWNLD'!N137+'CORE DELTA'!N137</f>
        <v>0.99</v>
      </c>
      <c r="O137" s="108" t="n">
        <f aca="false">'CORE DWNLD'!O137+'CORE DELTA'!O137</f>
        <v>0.96</v>
      </c>
    </row>
    <row r="138" customFormat="false" ht="12.75" hidden="false" customHeight="false" outlineLevel="0" collapsed="false">
      <c r="A138" s="158" t="n">
        <v>40878</v>
      </c>
      <c r="B138" s="108" t="n">
        <f aca="false">'CORE DWNLD'!B138+'CORE DELTA'!B138</f>
        <v>0.999</v>
      </c>
      <c r="C138" s="108" t="n">
        <f aca="false">'CORE DWNLD'!C138+'CORE DELTA'!C138</f>
        <v>0.999</v>
      </c>
      <c r="D138" s="108" t="n">
        <f aca="false">'CORE DWNLD'!D138+'CORE DELTA'!D138</f>
        <v>0.995</v>
      </c>
      <c r="E138" s="108" t="n">
        <f aca="false">'CORE DWNLD'!E138+'CORE DELTA'!E138</f>
        <v>0.96</v>
      </c>
      <c r="F138" s="108" t="n">
        <f aca="false">'CORE DWNLD'!F138+'CORE DELTA'!F138</f>
        <v>0.96</v>
      </c>
      <c r="G138" s="108" t="n">
        <f aca="false">'CORE DWNLD'!G138+'CORE DELTA'!G138</f>
        <v>0.9306</v>
      </c>
      <c r="H138" s="108" t="n">
        <f aca="false">'CORE DWNLD'!H138+'CORE DELTA'!H138</f>
        <v>0.99</v>
      </c>
      <c r="I138" s="108" t="n">
        <f aca="false">'CORE DWNLD'!I138+'CORE DELTA'!I138</f>
        <v>0.9306</v>
      </c>
      <c r="J138" s="108" t="n">
        <f aca="false">'CORE DWNLD'!J138+'CORE DELTA'!J138</f>
        <v>0.995</v>
      </c>
      <c r="K138" s="108" t="n">
        <f aca="false">'CORE DWNLD'!K138+'CORE DELTA'!K138</f>
        <v>0.98</v>
      </c>
      <c r="L138" s="108" t="n">
        <f aca="false">'CORE DWNLD'!L138+'CORE DELTA'!L138</f>
        <v>0.99</v>
      </c>
      <c r="M138" s="108" t="n">
        <f aca="false">'CORE DWNLD'!M138+'CORE DELTA'!M138</f>
        <v>1.005</v>
      </c>
      <c r="N138" s="108" t="n">
        <f aca="false">'CORE DWNLD'!N138+'CORE DELTA'!N138</f>
        <v>0.99</v>
      </c>
      <c r="O138" s="108" t="n">
        <f aca="false">'CORE DWNLD'!O138+'CORE DELTA'!O138</f>
        <v>0.96</v>
      </c>
    </row>
    <row r="139" customFormat="false" ht="12.75" hidden="false" customHeight="false" outlineLevel="0" collapsed="false">
      <c r="A139" s="158" t="n">
        <v>40909</v>
      </c>
      <c r="B139" s="108" t="n">
        <f aca="false">'CORE DWNLD'!B139+'CORE DELTA'!B139</f>
        <v>0.999</v>
      </c>
      <c r="C139" s="108" t="n">
        <f aca="false">'CORE DWNLD'!C139+'CORE DELTA'!C139</f>
        <v>0.999</v>
      </c>
      <c r="D139" s="108" t="n">
        <f aca="false">'CORE DWNLD'!D139+'CORE DELTA'!D139</f>
        <v>0.995</v>
      </c>
      <c r="E139" s="108" t="n">
        <f aca="false">'CORE DWNLD'!E139+'CORE DELTA'!E139</f>
        <v>0.96</v>
      </c>
      <c r="F139" s="108" t="n">
        <f aca="false">'CORE DWNLD'!F139+'CORE DELTA'!F139</f>
        <v>0.96</v>
      </c>
      <c r="G139" s="108" t="n">
        <f aca="false">'CORE DWNLD'!G139+'CORE DELTA'!G139</f>
        <v>0.9306</v>
      </c>
      <c r="H139" s="108" t="n">
        <f aca="false">'CORE DWNLD'!H139+'CORE DELTA'!H139</f>
        <v>0.99</v>
      </c>
      <c r="I139" s="108" t="n">
        <f aca="false">'CORE DWNLD'!I139+'CORE DELTA'!I139</f>
        <v>0.9306</v>
      </c>
      <c r="J139" s="108" t="n">
        <f aca="false">'CORE DWNLD'!J139+'CORE DELTA'!J139</f>
        <v>0.995</v>
      </c>
      <c r="K139" s="108" t="n">
        <f aca="false">'CORE DWNLD'!K139+'CORE DELTA'!K139</f>
        <v>0.98</v>
      </c>
      <c r="L139" s="108" t="n">
        <f aca="false">'CORE DWNLD'!L139+'CORE DELTA'!L139</f>
        <v>0.99</v>
      </c>
      <c r="M139" s="108" t="n">
        <f aca="false">'CORE DWNLD'!M139+'CORE DELTA'!M139</f>
        <v>1.005</v>
      </c>
      <c r="N139" s="108" t="n">
        <f aca="false">'CORE DWNLD'!N139+'CORE DELTA'!N139</f>
        <v>0.99</v>
      </c>
      <c r="O139" s="108" t="n">
        <f aca="false">'CORE DWNLD'!O139+'CORE DELTA'!O139</f>
        <v>0.96</v>
      </c>
    </row>
    <row r="140" customFormat="false" ht="12.75" hidden="false" customHeight="false" outlineLevel="0" collapsed="false">
      <c r="A140" s="158" t="n">
        <v>40940</v>
      </c>
      <c r="B140" s="108" t="n">
        <f aca="false">'CORE DWNLD'!B140+'CORE DELTA'!B140</f>
        <v>0.999</v>
      </c>
      <c r="C140" s="108" t="n">
        <f aca="false">'CORE DWNLD'!C140+'CORE DELTA'!C140</f>
        <v>0.999</v>
      </c>
      <c r="D140" s="108" t="n">
        <f aca="false">'CORE DWNLD'!D140+'CORE DELTA'!D140</f>
        <v>0.995</v>
      </c>
      <c r="E140" s="108" t="n">
        <f aca="false">'CORE DWNLD'!E140+'CORE DELTA'!E140</f>
        <v>0.96</v>
      </c>
      <c r="F140" s="108" t="n">
        <f aca="false">'CORE DWNLD'!F140+'CORE DELTA'!F140</f>
        <v>0.96</v>
      </c>
      <c r="G140" s="108" t="n">
        <f aca="false">'CORE DWNLD'!G140+'CORE DELTA'!G140</f>
        <v>0.9306</v>
      </c>
      <c r="H140" s="108" t="n">
        <f aca="false">'CORE DWNLD'!H140+'CORE DELTA'!H140</f>
        <v>0.99</v>
      </c>
      <c r="I140" s="108" t="n">
        <f aca="false">'CORE DWNLD'!I140+'CORE DELTA'!I140</f>
        <v>0.9306</v>
      </c>
      <c r="J140" s="108" t="n">
        <f aca="false">'CORE DWNLD'!J140+'CORE DELTA'!J140</f>
        <v>0.995</v>
      </c>
      <c r="K140" s="108" t="n">
        <f aca="false">'CORE DWNLD'!K140+'CORE DELTA'!K140</f>
        <v>0.98</v>
      </c>
      <c r="L140" s="108" t="n">
        <f aca="false">'CORE DWNLD'!L140+'CORE DELTA'!L140</f>
        <v>0.99</v>
      </c>
      <c r="M140" s="108" t="n">
        <f aca="false">'CORE DWNLD'!M140+'CORE DELTA'!M140</f>
        <v>1.005</v>
      </c>
      <c r="N140" s="108" t="n">
        <f aca="false">'CORE DWNLD'!N140+'CORE DELTA'!N140</f>
        <v>0.99</v>
      </c>
      <c r="O140" s="108" t="n">
        <f aca="false">'CORE DWNLD'!O140+'CORE DELTA'!O140</f>
        <v>0.96</v>
      </c>
    </row>
    <row r="141" customFormat="false" ht="12.75" hidden="false" customHeight="false" outlineLevel="0" collapsed="false">
      <c r="A141" s="158" t="n">
        <v>40969</v>
      </c>
      <c r="B141" s="108" t="n">
        <f aca="false">'CORE DWNLD'!B141+'CORE DELTA'!B141</f>
        <v>0.999</v>
      </c>
      <c r="C141" s="108" t="n">
        <f aca="false">'CORE DWNLD'!C141+'CORE DELTA'!C141</f>
        <v>0.999</v>
      </c>
      <c r="D141" s="108" t="n">
        <f aca="false">'CORE DWNLD'!D141+'CORE DELTA'!D141</f>
        <v>0.995</v>
      </c>
      <c r="E141" s="108" t="n">
        <f aca="false">'CORE DWNLD'!E141+'CORE DELTA'!E141</f>
        <v>0.96</v>
      </c>
      <c r="F141" s="108" t="n">
        <f aca="false">'CORE DWNLD'!F141+'CORE DELTA'!F141</f>
        <v>0.96</v>
      </c>
      <c r="G141" s="108" t="n">
        <f aca="false">'CORE DWNLD'!G141+'CORE DELTA'!G141</f>
        <v>0.9306</v>
      </c>
      <c r="H141" s="108" t="n">
        <f aca="false">'CORE DWNLD'!H141+'CORE DELTA'!H141</f>
        <v>0.99</v>
      </c>
      <c r="I141" s="108" t="n">
        <f aca="false">'CORE DWNLD'!I141+'CORE DELTA'!I141</f>
        <v>0.9306</v>
      </c>
      <c r="J141" s="108" t="n">
        <f aca="false">'CORE DWNLD'!J141+'CORE DELTA'!J141</f>
        <v>0.995</v>
      </c>
      <c r="K141" s="108" t="n">
        <f aca="false">'CORE DWNLD'!K141+'CORE DELTA'!K141</f>
        <v>0.98</v>
      </c>
      <c r="L141" s="108" t="n">
        <f aca="false">'CORE DWNLD'!L141+'CORE DELTA'!L141</f>
        <v>0.99</v>
      </c>
      <c r="M141" s="108" t="n">
        <f aca="false">'CORE DWNLD'!M141+'CORE DELTA'!M141</f>
        <v>1.005</v>
      </c>
      <c r="N141" s="108" t="n">
        <f aca="false">'CORE DWNLD'!N141+'CORE DELTA'!N141</f>
        <v>0.99</v>
      </c>
      <c r="O141" s="108" t="n">
        <f aca="false">'CORE DWNLD'!O141+'CORE DELTA'!O141</f>
        <v>0.96</v>
      </c>
    </row>
    <row r="142" customFormat="false" ht="12.75" hidden="false" customHeight="false" outlineLevel="0" collapsed="false">
      <c r="A142" s="158" t="n">
        <v>41000</v>
      </c>
      <c r="B142" s="108" t="n">
        <f aca="false">'CORE DWNLD'!B142+'CORE DELTA'!B142</f>
        <v>0.999</v>
      </c>
      <c r="C142" s="108" t="n">
        <f aca="false">'CORE DWNLD'!C142+'CORE DELTA'!C142</f>
        <v>0.999</v>
      </c>
      <c r="D142" s="108" t="n">
        <f aca="false">'CORE DWNLD'!D142+'CORE DELTA'!D142</f>
        <v>0.995</v>
      </c>
      <c r="E142" s="108" t="n">
        <f aca="false">'CORE DWNLD'!E142+'CORE DELTA'!E142</f>
        <v>0.96</v>
      </c>
      <c r="F142" s="108" t="n">
        <f aca="false">'CORE DWNLD'!F142+'CORE DELTA'!F142</f>
        <v>0.96</v>
      </c>
      <c r="G142" s="108" t="n">
        <f aca="false">'CORE DWNLD'!G142+'CORE DELTA'!G142</f>
        <v>0.9306</v>
      </c>
      <c r="H142" s="108" t="n">
        <f aca="false">'CORE DWNLD'!H142+'CORE DELTA'!H142</f>
        <v>0.99</v>
      </c>
      <c r="I142" s="108" t="n">
        <f aca="false">'CORE DWNLD'!I142+'CORE DELTA'!I142</f>
        <v>0.9306</v>
      </c>
      <c r="J142" s="108" t="n">
        <f aca="false">'CORE DWNLD'!J142+'CORE DELTA'!J142</f>
        <v>0.995</v>
      </c>
      <c r="K142" s="108" t="n">
        <f aca="false">'CORE DWNLD'!K142+'CORE DELTA'!K142</f>
        <v>0.98</v>
      </c>
      <c r="L142" s="108" t="n">
        <f aca="false">'CORE DWNLD'!L142+'CORE DELTA'!L142</f>
        <v>0.99</v>
      </c>
      <c r="M142" s="108" t="n">
        <f aca="false">'CORE DWNLD'!M142+'CORE DELTA'!M142</f>
        <v>1.005</v>
      </c>
      <c r="N142" s="108" t="n">
        <f aca="false">'CORE DWNLD'!N142+'CORE DELTA'!N142</f>
        <v>0.99</v>
      </c>
      <c r="O142" s="108" t="n">
        <f aca="false">'CORE DWNLD'!O142+'CORE DELTA'!O142</f>
        <v>0.96</v>
      </c>
    </row>
    <row r="143" customFormat="false" ht="12.75" hidden="false" customHeight="false" outlineLevel="0" collapsed="false">
      <c r="A143" s="158" t="n">
        <v>41030</v>
      </c>
      <c r="B143" s="108" t="n">
        <f aca="false">'CORE DWNLD'!B143+'CORE DELTA'!B143</f>
        <v>0.999</v>
      </c>
      <c r="C143" s="108" t="n">
        <f aca="false">'CORE DWNLD'!C143+'CORE DELTA'!C143</f>
        <v>0.999</v>
      </c>
      <c r="D143" s="108" t="n">
        <f aca="false">'CORE DWNLD'!D143+'CORE DELTA'!D143</f>
        <v>0.995</v>
      </c>
      <c r="E143" s="108" t="n">
        <f aca="false">'CORE DWNLD'!E143+'CORE DELTA'!E143</f>
        <v>0.96</v>
      </c>
      <c r="F143" s="108" t="n">
        <f aca="false">'CORE DWNLD'!F143+'CORE DELTA'!F143</f>
        <v>0.96</v>
      </c>
      <c r="G143" s="108" t="n">
        <f aca="false">'CORE DWNLD'!G143+'CORE DELTA'!G143</f>
        <v>0.9306</v>
      </c>
      <c r="H143" s="108" t="n">
        <f aca="false">'CORE DWNLD'!H143+'CORE DELTA'!H143</f>
        <v>0.99</v>
      </c>
      <c r="I143" s="108" t="n">
        <f aca="false">'CORE DWNLD'!I143+'CORE DELTA'!I143</f>
        <v>0.9306</v>
      </c>
      <c r="J143" s="108" t="n">
        <f aca="false">'CORE DWNLD'!J143+'CORE DELTA'!J143</f>
        <v>0.995</v>
      </c>
      <c r="K143" s="108" t="n">
        <f aca="false">'CORE DWNLD'!K143+'CORE DELTA'!K143</f>
        <v>0.98</v>
      </c>
      <c r="L143" s="108" t="n">
        <f aca="false">'CORE DWNLD'!L143+'CORE DELTA'!L143</f>
        <v>0.99</v>
      </c>
      <c r="M143" s="108" t="n">
        <f aca="false">'CORE DWNLD'!M143+'CORE DELTA'!M143</f>
        <v>1.005</v>
      </c>
      <c r="N143" s="108" t="n">
        <f aca="false">'CORE DWNLD'!N143+'CORE DELTA'!N143</f>
        <v>0.99</v>
      </c>
      <c r="O143" s="108" t="n">
        <f aca="false">'CORE DWNLD'!O143+'CORE DELTA'!O143</f>
        <v>0.96</v>
      </c>
    </row>
    <row r="144" customFormat="false" ht="12.75" hidden="false" customHeight="false" outlineLevel="0" collapsed="false">
      <c r="A144" s="158" t="n">
        <v>41061</v>
      </c>
      <c r="B144" s="108" t="n">
        <f aca="false">'CORE DWNLD'!B144+'CORE DELTA'!B144</f>
        <v>0.999</v>
      </c>
      <c r="C144" s="108" t="n">
        <f aca="false">'CORE DWNLD'!C144+'CORE DELTA'!C144</f>
        <v>0.999</v>
      </c>
      <c r="D144" s="108" t="n">
        <f aca="false">'CORE DWNLD'!D144+'CORE DELTA'!D144</f>
        <v>0.995</v>
      </c>
      <c r="E144" s="108" t="n">
        <f aca="false">'CORE DWNLD'!E144+'CORE DELTA'!E144</f>
        <v>0.96</v>
      </c>
      <c r="F144" s="108" t="n">
        <f aca="false">'CORE DWNLD'!F144+'CORE DELTA'!F144</f>
        <v>0.96</v>
      </c>
      <c r="G144" s="108" t="n">
        <f aca="false">'CORE DWNLD'!G144+'CORE DELTA'!G144</f>
        <v>0.9306</v>
      </c>
      <c r="H144" s="108" t="n">
        <f aca="false">'CORE DWNLD'!H144+'CORE DELTA'!H144</f>
        <v>0.99</v>
      </c>
      <c r="I144" s="108" t="n">
        <f aca="false">'CORE DWNLD'!I144+'CORE DELTA'!I144</f>
        <v>0.9306</v>
      </c>
      <c r="J144" s="108" t="n">
        <f aca="false">'CORE DWNLD'!J144+'CORE DELTA'!J144</f>
        <v>0.995</v>
      </c>
      <c r="K144" s="108" t="n">
        <f aca="false">'CORE DWNLD'!K144+'CORE DELTA'!K144</f>
        <v>0.98</v>
      </c>
      <c r="L144" s="108" t="n">
        <f aca="false">'CORE DWNLD'!L144+'CORE DELTA'!L144</f>
        <v>0.99</v>
      </c>
      <c r="M144" s="108" t="n">
        <f aca="false">'CORE DWNLD'!M144+'CORE DELTA'!M144</f>
        <v>1.005</v>
      </c>
      <c r="N144" s="108" t="n">
        <f aca="false">'CORE DWNLD'!N144+'CORE DELTA'!N144</f>
        <v>0.99</v>
      </c>
      <c r="O144" s="108" t="n">
        <f aca="false">'CORE DWNLD'!O144+'CORE DELTA'!O144</f>
        <v>0.96</v>
      </c>
    </row>
    <row r="145" customFormat="false" ht="12.75" hidden="false" customHeight="false" outlineLevel="0" collapsed="false">
      <c r="A145" s="158" t="n">
        <v>41091</v>
      </c>
      <c r="B145" s="108" t="n">
        <f aca="false">'CORE DWNLD'!B145+'CORE DELTA'!B145</f>
        <v>0.999</v>
      </c>
      <c r="C145" s="108" t="n">
        <f aca="false">'CORE DWNLD'!C145+'CORE DELTA'!C145</f>
        <v>0.999</v>
      </c>
      <c r="D145" s="108" t="n">
        <f aca="false">'CORE DWNLD'!D145+'CORE DELTA'!D145</f>
        <v>0.995</v>
      </c>
      <c r="E145" s="108" t="n">
        <f aca="false">'CORE DWNLD'!E145+'CORE DELTA'!E145</f>
        <v>0.96</v>
      </c>
      <c r="F145" s="108" t="n">
        <f aca="false">'CORE DWNLD'!F145+'CORE DELTA'!F145</f>
        <v>0.96</v>
      </c>
      <c r="G145" s="108" t="n">
        <f aca="false">'CORE DWNLD'!G145+'CORE DELTA'!G145</f>
        <v>0.9306</v>
      </c>
      <c r="H145" s="108" t="n">
        <f aca="false">'CORE DWNLD'!H145+'CORE DELTA'!H145</f>
        <v>0.99</v>
      </c>
      <c r="I145" s="108" t="n">
        <f aca="false">'CORE DWNLD'!I145+'CORE DELTA'!I145</f>
        <v>0.9306</v>
      </c>
      <c r="J145" s="108" t="n">
        <f aca="false">'CORE DWNLD'!J145+'CORE DELTA'!J145</f>
        <v>0.995</v>
      </c>
      <c r="K145" s="108" t="n">
        <f aca="false">'CORE DWNLD'!K145+'CORE DELTA'!K145</f>
        <v>0.98</v>
      </c>
      <c r="L145" s="108" t="n">
        <f aca="false">'CORE DWNLD'!L145+'CORE DELTA'!L145</f>
        <v>0.99</v>
      </c>
      <c r="M145" s="108" t="n">
        <f aca="false">'CORE DWNLD'!M145+'CORE DELTA'!M145</f>
        <v>1.005</v>
      </c>
      <c r="N145" s="108" t="n">
        <f aca="false">'CORE DWNLD'!N145+'CORE DELTA'!N145</f>
        <v>0.99</v>
      </c>
      <c r="O145" s="108" t="n">
        <f aca="false">'CORE DWNLD'!O145+'CORE DELTA'!O145</f>
        <v>0.96</v>
      </c>
    </row>
    <row r="146" customFormat="false" ht="12.75" hidden="false" customHeight="false" outlineLevel="0" collapsed="false">
      <c r="A146" s="158" t="n">
        <v>41122</v>
      </c>
      <c r="B146" s="108" t="n">
        <f aca="false">'CORE DWNLD'!B146+'CORE DELTA'!B146</f>
        <v>0.999</v>
      </c>
      <c r="C146" s="108" t="n">
        <f aca="false">'CORE DWNLD'!C146+'CORE DELTA'!C146</f>
        <v>0.999</v>
      </c>
      <c r="D146" s="108" t="n">
        <f aca="false">'CORE DWNLD'!D146+'CORE DELTA'!D146</f>
        <v>0.995</v>
      </c>
      <c r="E146" s="108" t="n">
        <f aca="false">'CORE DWNLD'!E146+'CORE DELTA'!E146</f>
        <v>0.96</v>
      </c>
      <c r="F146" s="108" t="n">
        <f aca="false">'CORE DWNLD'!F146+'CORE DELTA'!F146</f>
        <v>0.96</v>
      </c>
      <c r="G146" s="108" t="n">
        <f aca="false">'CORE DWNLD'!G146+'CORE DELTA'!G146</f>
        <v>0.9306</v>
      </c>
      <c r="H146" s="108" t="n">
        <f aca="false">'CORE DWNLD'!H146+'CORE DELTA'!H146</f>
        <v>0.99</v>
      </c>
      <c r="I146" s="108" t="n">
        <f aca="false">'CORE DWNLD'!I146+'CORE DELTA'!I146</f>
        <v>0.9306</v>
      </c>
      <c r="J146" s="108" t="n">
        <f aca="false">'CORE DWNLD'!J146+'CORE DELTA'!J146</f>
        <v>0.995</v>
      </c>
      <c r="K146" s="108" t="n">
        <f aca="false">'CORE DWNLD'!K146+'CORE DELTA'!K146</f>
        <v>0.98</v>
      </c>
      <c r="L146" s="108" t="n">
        <f aca="false">'CORE DWNLD'!L146+'CORE DELTA'!L146</f>
        <v>0.99</v>
      </c>
      <c r="M146" s="108" t="n">
        <f aca="false">'CORE DWNLD'!M146+'CORE DELTA'!M146</f>
        <v>1.005</v>
      </c>
      <c r="N146" s="108" t="n">
        <f aca="false">'CORE DWNLD'!N146+'CORE DELTA'!N146</f>
        <v>0.99</v>
      </c>
      <c r="O146" s="108" t="n">
        <f aca="false">'CORE DWNLD'!O146+'CORE DELTA'!O146</f>
        <v>0.96</v>
      </c>
    </row>
    <row r="147" customFormat="false" ht="12.75" hidden="false" customHeight="false" outlineLevel="0" collapsed="false">
      <c r="A147" s="158" t="n">
        <v>41153</v>
      </c>
      <c r="B147" s="108" t="n">
        <f aca="false">'CORE DWNLD'!B147+'CORE DELTA'!B147</f>
        <v>0.999</v>
      </c>
      <c r="C147" s="108" t="n">
        <f aca="false">'CORE DWNLD'!C147+'CORE DELTA'!C147</f>
        <v>0.999</v>
      </c>
      <c r="D147" s="108" t="n">
        <f aca="false">'CORE DWNLD'!D147+'CORE DELTA'!D147</f>
        <v>0.995</v>
      </c>
      <c r="E147" s="108" t="n">
        <f aca="false">'CORE DWNLD'!E147+'CORE DELTA'!E147</f>
        <v>0.96</v>
      </c>
      <c r="F147" s="108" t="n">
        <f aca="false">'CORE DWNLD'!F147+'CORE DELTA'!F147</f>
        <v>0.96</v>
      </c>
      <c r="G147" s="108" t="n">
        <f aca="false">'CORE DWNLD'!G147+'CORE DELTA'!G147</f>
        <v>0.9306</v>
      </c>
      <c r="H147" s="108" t="n">
        <f aca="false">'CORE DWNLD'!H147+'CORE DELTA'!H147</f>
        <v>0.99</v>
      </c>
      <c r="I147" s="108" t="n">
        <f aca="false">'CORE DWNLD'!I147+'CORE DELTA'!I147</f>
        <v>0.9306</v>
      </c>
      <c r="J147" s="108" t="n">
        <f aca="false">'CORE DWNLD'!J147+'CORE DELTA'!J147</f>
        <v>0.995</v>
      </c>
      <c r="K147" s="108" t="n">
        <f aca="false">'CORE DWNLD'!K147+'CORE DELTA'!K147</f>
        <v>0.98</v>
      </c>
      <c r="L147" s="108" t="n">
        <f aca="false">'CORE DWNLD'!L147+'CORE DELTA'!L147</f>
        <v>0.99</v>
      </c>
      <c r="M147" s="108" t="n">
        <f aca="false">'CORE DWNLD'!M147+'CORE DELTA'!M147</f>
        <v>1.005</v>
      </c>
      <c r="N147" s="108" t="n">
        <f aca="false">'CORE DWNLD'!N147+'CORE DELTA'!N147</f>
        <v>0.99</v>
      </c>
      <c r="O147" s="108" t="n">
        <f aca="false">'CORE DWNLD'!O147+'CORE DELTA'!O147</f>
        <v>0.96</v>
      </c>
    </row>
    <row r="148" customFormat="false" ht="12.75" hidden="false" customHeight="false" outlineLevel="0" collapsed="false">
      <c r="A148" s="158" t="n">
        <v>41183</v>
      </c>
      <c r="B148" s="108" t="n">
        <f aca="false">'CORE DWNLD'!B148+'CORE DELTA'!B148</f>
        <v>0.999</v>
      </c>
      <c r="C148" s="108" t="n">
        <f aca="false">'CORE DWNLD'!C148+'CORE DELTA'!C148</f>
        <v>0.999</v>
      </c>
      <c r="D148" s="108" t="n">
        <f aca="false">'CORE DWNLD'!D148+'CORE DELTA'!D148</f>
        <v>0.995</v>
      </c>
      <c r="E148" s="108" t="n">
        <f aca="false">'CORE DWNLD'!E148+'CORE DELTA'!E148</f>
        <v>0.96</v>
      </c>
      <c r="F148" s="108" t="n">
        <f aca="false">'CORE DWNLD'!F148+'CORE DELTA'!F148</f>
        <v>0.96</v>
      </c>
      <c r="G148" s="108" t="n">
        <f aca="false">'CORE DWNLD'!G148+'CORE DELTA'!G148</f>
        <v>0.9306</v>
      </c>
      <c r="H148" s="108" t="n">
        <f aca="false">'CORE DWNLD'!H148+'CORE DELTA'!H148</f>
        <v>0.99</v>
      </c>
      <c r="I148" s="108" t="n">
        <f aca="false">'CORE DWNLD'!I148+'CORE DELTA'!I148</f>
        <v>0.9306</v>
      </c>
      <c r="J148" s="108" t="n">
        <f aca="false">'CORE DWNLD'!J148+'CORE DELTA'!J148</f>
        <v>0.995</v>
      </c>
      <c r="K148" s="108" t="n">
        <f aca="false">'CORE DWNLD'!K148+'CORE DELTA'!K148</f>
        <v>0.98</v>
      </c>
      <c r="L148" s="108" t="n">
        <f aca="false">'CORE DWNLD'!L148+'CORE DELTA'!L148</f>
        <v>0.99</v>
      </c>
      <c r="M148" s="108" t="n">
        <f aca="false">'CORE DWNLD'!M148+'CORE DELTA'!M148</f>
        <v>1.005</v>
      </c>
      <c r="N148" s="108" t="n">
        <f aca="false">'CORE DWNLD'!N148+'CORE DELTA'!N148</f>
        <v>0.99</v>
      </c>
      <c r="O148" s="108" t="n">
        <f aca="false">'CORE DWNLD'!O148+'CORE DELTA'!O148</f>
        <v>0.96</v>
      </c>
    </row>
    <row r="149" customFormat="false" ht="12.75" hidden="false" customHeight="false" outlineLevel="0" collapsed="false">
      <c r="A149" s="158" t="n">
        <v>41214</v>
      </c>
      <c r="B149" s="108" t="n">
        <f aca="false">'CORE DWNLD'!B149+'CORE DELTA'!B149</f>
        <v>0.999</v>
      </c>
      <c r="C149" s="108" t="n">
        <f aca="false">'CORE DWNLD'!C149+'CORE DELTA'!C149</f>
        <v>0.999</v>
      </c>
      <c r="D149" s="108" t="n">
        <f aca="false">'CORE DWNLD'!D149+'CORE DELTA'!D149</f>
        <v>0.995</v>
      </c>
      <c r="E149" s="108" t="n">
        <f aca="false">'CORE DWNLD'!E149+'CORE DELTA'!E149</f>
        <v>0.96</v>
      </c>
      <c r="F149" s="108" t="n">
        <f aca="false">'CORE DWNLD'!F149+'CORE DELTA'!F149</f>
        <v>0.96</v>
      </c>
      <c r="G149" s="108" t="n">
        <f aca="false">'CORE DWNLD'!G149+'CORE DELTA'!G149</f>
        <v>0.9306</v>
      </c>
      <c r="H149" s="108" t="n">
        <f aca="false">'CORE DWNLD'!H149+'CORE DELTA'!H149</f>
        <v>0.99</v>
      </c>
      <c r="I149" s="108" t="n">
        <f aca="false">'CORE DWNLD'!I149+'CORE DELTA'!I149</f>
        <v>0.9306</v>
      </c>
      <c r="J149" s="108" t="n">
        <f aca="false">'CORE DWNLD'!J149+'CORE DELTA'!J149</f>
        <v>0.995</v>
      </c>
      <c r="K149" s="108" t="n">
        <f aca="false">'CORE DWNLD'!K149+'CORE DELTA'!K149</f>
        <v>0.98</v>
      </c>
      <c r="L149" s="108" t="n">
        <f aca="false">'CORE DWNLD'!L149+'CORE DELTA'!L149</f>
        <v>0.99</v>
      </c>
      <c r="M149" s="108" t="n">
        <f aca="false">'CORE DWNLD'!M149+'CORE DELTA'!M149</f>
        <v>1.005</v>
      </c>
      <c r="N149" s="108" t="n">
        <f aca="false">'CORE DWNLD'!N149+'CORE DELTA'!N149</f>
        <v>0.99</v>
      </c>
      <c r="O149" s="108" t="n">
        <f aca="false">'CORE DWNLD'!O149+'CORE DELTA'!O149</f>
        <v>0.96</v>
      </c>
    </row>
    <row r="150" customFormat="false" ht="12.75" hidden="false" customHeight="false" outlineLevel="0" collapsed="false">
      <c r="A150" s="158" t="n">
        <v>41244</v>
      </c>
      <c r="B150" s="108" t="n">
        <f aca="false">'CORE DWNLD'!B150+'CORE DELTA'!B150</f>
        <v>0.999</v>
      </c>
      <c r="C150" s="108" t="n">
        <f aca="false">'CORE DWNLD'!C150+'CORE DELTA'!C150</f>
        <v>0.999</v>
      </c>
      <c r="D150" s="108" t="n">
        <f aca="false">'CORE DWNLD'!D150+'CORE DELTA'!D150</f>
        <v>0.995</v>
      </c>
      <c r="E150" s="108" t="n">
        <f aca="false">'CORE DWNLD'!E150+'CORE DELTA'!E150</f>
        <v>0.96</v>
      </c>
      <c r="F150" s="108" t="n">
        <f aca="false">'CORE DWNLD'!F150+'CORE DELTA'!F150</f>
        <v>0.96</v>
      </c>
      <c r="G150" s="108" t="n">
        <f aca="false">'CORE DWNLD'!G150+'CORE DELTA'!G150</f>
        <v>0.9306</v>
      </c>
      <c r="H150" s="108" t="n">
        <f aca="false">'CORE DWNLD'!H150+'CORE DELTA'!H150</f>
        <v>0.99</v>
      </c>
      <c r="I150" s="108" t="n">
        <f aca="false">'CORE DWNLD'!I150+'CORE DELTA'!I150</f>
        <v>0.9306</v>
      </c>
      <c r="J150" s="108" t="n">
        <f aca="false">'CORE DWNLD'!J150+'CORE DELTA'!J150</f>
        <v>0.995</v>
      </c>
      <c r="K150" s="108" t="n">
        <f aca="false">'CORE DWNLD'!K150+'CORE DELTA'!K150</f>
        <v>0.98</v>
      </c>
      <c r="L150" s="108" t="n">
        <f aca="false">'CORE DWNLD'!L150+'CORE DELTA'!L150</f>
        <v>0.99</v>
      </c>
      <c r="M150" s="108" t="n">
        <f aca="false">'CORE DWNLD'!M150+'CORE DELTA'!M150</f>
        <v>1.005</v>
      </c>
      <c r="N150" s="108" t="n">
        <f aca="false">'CORE DWNLD'!N150+'CORE DELTA'!N150</f>
        <v>0.99</v>
      </c>
      <c r="O150" s="108" t="n">
        <f aca="false">'CORE DWNLD'!O150+'CORE DELTA'!O150</f>
        <v>0.96</v>
      </c>
    </row>
    <row r="151" customFormat="false" ht="12.75" hidden="false" customHeight="false" outlineLevel="0" collapsed="false">
      <c r="A151" s="158" t="n">
        <v>41275</v>
      </c>
      <c r="B151" s="108" t="n">
        <f aca="false">'CORE DWNLD'!B151+'CORE DELTA'!B151</f>
        <v>0.999</v>
      </c>
      <c r="C151" s="108" t="n">
        <f aca="false">'CORE DWNLD'!C151+'CORE DELTA'!C151</f>
        <v>0.999</v>
      </c>
      <c r="D151" s="108" t="n">
        <f aca="false">'CORE DWNLD'!D151+'CORE DELTA'!D151</f>
        <v>0.995</v>
      </c>
      <c r="E151" s="108" t="n">
        <f aca="false">'CORE DWNLD'!E151+'CORE DELTA'!E151</f>
        <v>0.96</v>
      </c>
      <c r="F151" s="108" t="n">
        <f aca="false">'CORE DWNLD'!F151+'CORE DELTA'!F151</f>
        <v>0.96</v>
      </c>
      <c r="G151" s="108" t="n">
        <f aca="false">'CORE DWNLD'!G151+'CORE DELTA'!G151</f>
        <v>0.9306</v>
      </c>
      <c r="H151" s="108" t="n">
        <f aca="false">'CORE DWNLD'!H151+'CORE DELTA'!H151</f>
        <v>0.99</v>
      </c>
      <c r="I151" s="108" t="n">
        <f aca="false">'CORE DWNLD'!I151+'CORE DELTA'!I151</f>
        <v>0.9306</v>
      </c>
      <c r="J151" s="108" t="n">
        <f aca="false">'CORE DWNLD'!J151+'CORE DELTA'!J151</f>
        <v>0.995</v>
      </c>
      <c r="K151" s="108" t="n">
        <f aca="false">'CORE DWNLD'!K151+'CORE DELTA'!K151</f>
        <v>0.98</v>
      </c>
      <c r="L151" s="108" t="n">
        <f aca="false">'CORE DWNLD'!L151+'CORE DELTA'!L151</f>
        <v>0.99</v>
      </c>
      <c r="M151" s="108" t="n">
        <f aca="false">'CORE DWNLD'!M151+'CORE DELTA'!M151</f>
        <v>1.005</v>
      </c>
      <c r="N151" s="108" t="n">
        <f aca="false">'CORE DWNLD'!N151+'CORE DELTA'!N151</f>
        <v>0.99</v>
      </c>
      <c r="O151" s="108" t="n">
        <f aca="false">'CORE DWNLD'!O151+'CORE DELTA'!O151</f>
        <v>0.96</v>
      </c>
    </row>
    <row r="152" customFormat="false" ht="12.75" hidden="false" customHeight="false" outlineLevel="0" collapsed="false">
      <c r="A152" s="158" t="n">
        <v>41306</v>
      </c>
      <c r="B152" s="108" t="n">
        <f aca="false">'CORE DWNLD'!B152+'CORE DELTA'!B152</f>
        <v>0.999</v>
      </c>
      <c r="C152" s="108" t="n">
        <f aca="false">'CORE DWNLD'!C152+'CORE DELTA'!C152</f>
        <v>0.999</v>
      </c>
      <c r="D152" s="108" t="n">
        <f aca="false">'CORE DWNLD'!D152+'CORE DELTA'!D152</f>
        <v>0.995</v>
      </c>
      <c r="E152" s="108" t="n">
        <f aca="false">'CORE DWNLD'!E152+'CORE DELTA'!E152</f>
        <v>0.96</v>
      </c>
      <c r="F152" s="108" t="n">
        <f aca="false">'CORE DWNLD'!F152+'CORE DELTA'!F152</f>
        <v>0.96</v>
      </c>
      <c r="G152" s="108" t="n">
        <f aca="false">'CORE DWNLD'!G152+'CORE DELTA'!G152</f>
        <v>0.9306</v>
      </c>
      <c r="H152" s="108" t="n">
        <f aca="false">'CORE DWNLD'!H152+'CORE DELTA'!H152</f>
        <v>0.99</v>
      </c>
      <c r="I152" s="108" t="n">
        <f aca="false">'CORE DWNLD'!I152+'CORE DELTA'!I152</f>
        <v>0.9306</v>
      </c>
      <c r="J152" s="108" t="n">
        <f aca="false">'CORE DWNLD'!J152+'CORE DELTA'!J152</f>
        <v>0.995</v>
      </c>
      <c r="K152" s="108" t="n">
        <f aca="false">'CORE DWNLD'!K152+'CORE DELTA'!K152</f>
        <v>0.98</v>
      </c>
      <c r="L152" s="108" t="n">
        <f aca="false">'CORE DWNLD'!L152+'CORE DELTA'!L152</f>
        <v>0.99</v>
      </c>
      <c r="M152" s="108" t="n">
        <f aca="false">'CORE DWNLD'!M152+'CORE DELTA'!M152</f>
        <v>1.005</v>
      </c>
      <c r="N152" s="108" t="n">
        <f aca="false">'CORE DWNLD'!N152+'CORE DELTA'!N152</f>
        <v>0.99</v>
      </c>
      <c r="O152" s="108" t="n">
        <f aca="false">'CORE DWNLD'!O152+'CORE DELTA'!O152</f>
        <v>0.96</v>
      </c>
    </row>
    <row r="153" customFormat="false" ht="12.75" hidden="false" customHeight="false" outlineLevel="0" collapsed="false">
      <c r="A153" s="158" t="n">
        <v>41334</v>
      </c>
      <c r="B153" s="108" t="n">
        <f aca="false">'CORE DWNLD'!B153+'CORE DELTA'!B153</f>
        <v>0.999</v>
      </c>
      <c r="C153" s="108" t="n">
        <f aca="false">'CORE DWNLD'!C153+'CORE DELTA'!C153</f>
        <v>0.999</v>
      </c>
      <c r="D153" s="108" t="n">
        <f aca="false">'CORE DWNLD'!D153+'CORE DELTA'!D153</f>
        <v>0.995</v>
      </c>
      <c r="E153" s="108" t="n">
        <f aca="false">'CORE DWNLD'!E153+'CORE DELTA'!E153</f>
        <v>0.96</v>
      </c>
      <c r="F153" s="108" t="n">
        <f aca="false">'CORE DWNLD'!F153+'CORE DELTA'!F153</f>
        <v>0.96</v>
      </c>
      <c r="G153" s="108" t="n">
        <f aca="false">'CORE DWNLD'!G153+'CORE DELTA'!G153</f>
        <v>0.9306</v>
      </c>
      <c r="H153" s="108" t="n">
        <f aca="false">'CORE DWNLD'!H153+'CORE DELTA'!H153</f>
        <v>0.99</v>
      </c>
      <c r="I153" s="108" t="n">
        <f aca="false">'CORE DWNLD'!I153+'CORE DELTA'!I153</f>
        <v>0.9306</v>
      </c>
      <c r="J153" s="108" t="n">
        <f aca="false">'CORE DWNLD'!J153+'CORE DELTA'!J153</f>
        <v>0.995</v>
      </c>
      <c r="K153" s="108" t="n">
        <f aca="false">'CORE DWNLD'!K153+'CORE DELTA'!K153</f>
        <v>0.98</v>
      </c>
      <c r="L153" s="108" t="n">
        <f aca="false">'CORE DWNLD'!L153+'CORE DELTA'!L153</f>
        <v>0.99</v>
      </c>
      <c r="M153" s="108" t="n">
        <f aca="false">'CORE DWNLD'!M153+'CORE DELTA'!M153</f>
        <v>1.005</v>
      </c>
      <c r="N153" s="108" t="n">
        <f aca="false">'CORE DWNLD'!N153+'CORE DELTA'!N153</f>
        <v>0.99</v>
      </c>
      <c r="O153" s="108" t="n">
        <f aca="false">'CORE DWNLD'!O153+'CORE DELTA'!O153</f>
        <v>0.96</v>
      </c>
    </row>
    <row r="154" customFormat="false" ht="12.75" hidden="false" customHeight="false" outlineLevel="0" collapsed="false">
      <c r="A154" s="158" t="n">
        <v>41365</v>
      </c>
      <c r="B154" s="108" t="n">
        <f aca="false">'CORE DWNLD'!B154+'CORE DELTA'!B154</f>
        <v>0.999</v>
      </c>
      <c r="C154" s="108" t="n">
        <f aca="false">'CORE DWNLD'!C154+'CORE DELTA'!C154</f>
        <v>0.999</v>
      </c>
      <c r="D154" s="108" t="n">
        <f aca="false">'CORE DWNLD'!D154+'CORE DELTA'!D154</f>
        <v>0.995</v>
      </c>
      <c r="E154" s="108" t="n">
        <f aca="false">'CORE DWNLD'!E154+'CORE DELTA'!E154</f>
        <v>0.96</v>
      </c>
      <c r="F154" s="108" t="n">
        <f aca="false">'CORE DWNLD'!F154+'CORE DELTA'!F154</f>
        <v>0.96</v>
      </c>
      <c r="G154" s="108" t="n">
        <f aca="false">'CORE DWNLD'!G154+'CORE DELTA'!G154</f>
        <v>0.9306</v>
      </c>
      <c r="H154" s="108" t="n">
        <f aca="false">'CORE DWNLD'!H154+'CORE DELTA'!H154</f>
        <v>0.99</v>
      </c>
      <c r="I154" s="108" t="n">
        <f aca="false">'CORE DWNLD'!I154+'CORE DELTA'!I154</f>
        <v>0.9306</v>
      </c>
      <c r="J154" s="108" t="n">
        <f aca="false">'CORE DWNLD'!J154+'CORE DELTA'!J154</f>
        <v>0.995</v>
      </c>
      <c r="K154" s="108" t="n">
        <f aca="false">'CORE DWNLD'!K154+'CORE DELTA'!K154</f>
        <v>0.98</v>
      </c>
      <c r="L154" s="108" t="n">
        <f aca="false">'CORE DWNLD'!L154+'CORE DELTA'!L154</f>
        <v>0.99</v>
      </c>
      <c r="M154" s="108" t="n">
        <f aca="false">'CORE DWNLD'!M154+'CORE DELTA'!M154</f>
        <v>1.005</v>
      </c>
      <c r="N154" s="108" t="n">
        <f aca="false">'CORE DWNLD'!N154+'CORE DELTA'!N154</f>
        <v>0.99</v>
      </c>
      <c r="O154" s="108" t="n">
        <f aca="false">'CORE DWNLD'!O154+'CORE DELTA'!O154</f>
        <v>0.96</v>
      </c>
    </row>
    <row r="155" customFormat="false" ht="12.75" hidden="false" customHeight="false" outlineLevel="0" collapsed="false">
      <c r="A155" s="158" t="n">
        <v>41395</v>
      </c>
      <c r="B155" s="108" t="n">
        <f aca="false">'CORE DWNLD'!B155+'CORE DELTA'!B155</f>
        <v>0.999</v>
      </c>
      <c r="C155" s="108" t="n">
        <f aca="false">'CORE DWNLD'!C155+'CORE DELTA'!C155</f>
        <v>0.999</v>
      </c>
      <c r="D155" s="108" t="n">
        <f aca="false">'CORE DWNLD'!D155+'CORE DELTA'!D155</f>
        <v>0.995</v>
      </c>
      <c r="E155" s="108" t="n">
        <f aca="false">'CORE DWNLD'!E155+'CORE DELTA'!E155</f>
        <v>0.96</v>
      </c>
      <c r="F155" s="108" t="n">
        <f aca="false">'CORE DWNLD'!F155+'CORE DELTA'!F155</f>
        <v>0.96</v>
      </c>
      <c r="G155" s="108" t="n">
        <f aca="false">'CORE DWNLD'!G155+'CORE DELTA'!G155</f>
        <v>0.9306</v>
      </c>
      <c r="H155" s="108" t="n">
        <f aca="false">'CORE DWNLD'!H155+'CORE DELTA'!H155</f>
        <v>0.99</v>
      </c>
      <c r="I155" s="108" t="n">
        <f aca="false">'CORE DWNLD'!I155+'CORE DELTA'!I155</f>
        <v>0.9306</v>
      </c>
      <c r="J155" s="108" t="n">
        <f aca="false">'CORE DWNLD'!J155+'CORE DELTA'!J155</f>
        <v>0.995</v>
      </c>
      <c r="K155" s="108" t="n">
        <f aca="false">'CORE DWNLD'!K155+'CORE DELTA'!K155</f>
        <v>0.98</v>
      </c>
      <c r="L155" s="108" t="n">
        <f aca="false">'CORE DWNLD'!L155+'CORE DELTA'!L155</f>
        <v>0.99</v>
      </c>
      <c r="M155" s="108" t="n">
        <f aca="false">'CORE DWNLD'!M155+'CORE DELTA'!M155</f>
        <v>1.005</v>
      </c>
      <c r="N155" s="108" t="n">
        <f aca="false">'CORE DWNLD'!N155+'CORE DELTA'!N155</f>
        <v>0.99</v>
      </c>
      <c r="O155" s="108" t="n">
        <f aca="false">'CORE DWNLD'!O155+'CORE DELTA'!O155</f>
        <v>0.96</v>
      </c>
    </row>
    <row r="156" customFormat="false" ht="12.75" hidden="false" customHeight="false" outlineLevel="0" collapsed="false">
      <c r="A156" s="158" t="n">
        <v>41426</v>
      </c>
      <c r="B156" s="108" t="n">
        <f aca="false">'CORE DWNLD'!B156+'CORE DELTA'!B156</f>
        <v>0.999</v>
      </c>
      <c r="C156" s="108" t="n">
        <f aca="false">'CORE DWNLD'!C156+'CORE DELTA'!C156</f>
        <v>0.999</v>
      </c>
      <c r="D156" s="108" t="n">
        <f aca="false">'CORE DWNLD'!D156+'CORE DELTA'!D156</f>
        <v>0.995</v>
      </c>
      <c r="E156" s="108" t="n">
        <f aca="false">'CORE DWNLD'!E156+'CORE DELTA'!E156</f>
        <v>0.96</v>
      </c>
      <c r="F156" s="108" t="n">
        <f aca="false">'CORE DWNLD'!F156+'CORE DELTA'!F156</f>
        <v>0.96</v>
      </c>
      <c r="G156" s="108" t="n">
        <f aca="false">'CORE DWNLD'!G156+'CORE DELTA'!G156</f>
        <v>0.9306</v>
      </c>
      <c r="H156" s="108" t="n">
        <f aca="false">'CORE DWNLD'!H156+'CORE DELTA'!H156</f>
        <v>0.99</v>
      </c>
      <c r="I156" s="108" t="n">
        <f aca="false">'CORE DWNLD'!I156+'CORE DELTA'!I156</f>
        <v>0.9306</v>
      </c>
      <c r="J156" s="108" t="n">
        <f aca="false">'CORE DWNLD'!J156+'CORE DELTA'!J156</f>
        <v>0.995</v>
      </c>
      <c r="K156" s="108" t="n">
        <f aca="false">'CORE DWNLD'!K156+'CORE DELTA'!K156</f>
        <v>0.98</v>
      </c>
      <c r="L156" s="108" t="n">
        <f aca="false">'CORE DWNLD'!L156+'CORE DELTA'!L156</f>
        <v>0.99</v>
      </c>
      <c r="M156" s="108" t="n">
        <f aca="false">'CORE DWNLD'!M156+'CORE DELTA'!M156</f>
        <v>1.005</v>
      </c>
      <c r="N156" s="108" t="n">
        <f aca="false">'CORE DWNLD'!N156+'CORE DELTA'!N156</f>
        <v>0.99</v>
      </c>
      <c r="O156" s="108" t="n">
        <f aca="false">'CORE DWNLD'!O156+'CORE DELTA'!O156</f>
        <v>0.96</v>
      </c>
    </row>
    <row r="157" customFormat="false" ht="12.75" hidden="false" customHeight="false" outlineLevel="0" collapsed="false">
      <c r="A157" s="158" t="n">
        <v>41456</v>
      </c>
      <c r="B157" s="108" t="n">
        <f aca="false">'CORE DWNLD'!B157+'CORE DELTA'!B157</f>
        <v>0.999</v>
      </c>
      <c r="C157" s="108" t="n">
        <f aca="false">'CORE DWNLD'!C157+'CORE DELTA'!C157</f>
        <v>0.999</v>
      </c>
      <c r="D157" s="108" t="n">
        <f aca="false">'CORE DWNLD'!D157+'CORE DELTA'!D157</f>
        <v>0.995</v>
      </c>
      <c r="E157" s="108" t="n">
        <f aca="false">'CORE DWNLD'!E157+'CORE DELTA'!E157</f>
        <v>0.96</v>
      </c>
      <c r="F157" s="108" t="n">
        <f aca="false">'CORE DWNLD'!F157+'CORE DELTA'!F157</f>
        <v>0.96</v>
      </c>
      <c r="G157" s="108" t="n">
        <f aca="false">'CORE DWNLD'!G157+'CORE DELTA'!G157</f>
        <v>0.9306</v>
      </c>
      <c r="H157" s="108" t="n">
        <f aca="false">'CORE DWNLD'!H157+'CORE DELTA'!H157</f>
        <v>0.99</v>
      </c>
      <c r="I157" s="108" t="n">
        <f aca="false">'CORE DWNLD'!I157+'CORE DELTA'!I157</f>
        <v>0.9306</v>
      </c>
      <c r="J157" s="108" t="n">
        <f aca="false">'CORE DWNLD'!J157+'CORE DELTA'!J157</f>
        <v>0.995</v>
      </c>
      <c r="K157" s="108" t="n">
        <f aca="false">'CORE DWNLD'!K157+'CORE DELTA'!K157</f>
        <v>0.98</v>
      </c>
      <c r="L157" s="108" t="n">
        <f aca="false">'CORE DWNLD'!L157+'CORE DELTA'!L157</f>
        <v>0.99</v>
      </c>
      <c r="M157" s="108" t="n">
        <f aca="false">'CORE DWNLD'!M157+'CORE DELTA'!M157</f>
        <v>1.005</v>
      </c>
      <c r="N157" s="108" t="n">
        <f aca="false">'CORE DWNLD'!N157+'CORE DELTA'!N157</f>
        <v>0.99</v>
      </c>
      <c r="O157" s="108" t="n">
        <f aca="false">'CORE DWNLD'!O157+'CORE DELTA'!O157</f>
        <v>0.96</v>
      </c>
    </row>
    <row r="158" customFormat="false" ht="12.75" hidden="false" customHeight="false" outlineLevel="0" collapsed="false">
      <c r="A158" s="158" t="n">
        <v>41487</v>
      </c>
      <c r="B158" s="108" t="n">
        <f aca="false">'CORE DWNLD'!B158+'CORE DELTA'!B158</f>
        <v>0.999</v>
      </c>
      <c r="C158" s="108" t="n">
        <f aca="false">'CORE DWNLD'!C158+'CORE DELTA'!C158</f>
        <v>0.999</v>
      </c>
      <c r="D158" s="108" t="n">
        <f aca="false">'CORE DWNLD'!D158+'CORE DELTA'!D158</f>
        <v>0.995</v>
      </c>
      <c r="E158" s="108" t="n">
        <f aca="false">'CORE DWNLD'!E158+'CORE DELTA'!E158</f>
        <v>0.96</v>
      </c>
      <c r="F158" s="108" t="n">
        <f aca="false">'CORE DWNLD'!F158+'CORE DELTA'!F158</f>
        <v>0.96</v>
      </c>
      <c r="G158" s="108" t="n">
        <f aca="false">'CORE DWNLD'!G158+'CORE DELTA'!G158</f>
        <v>0.9306</v>
      </c>
      <c r="H158" s="108" t="n">
        <f aca="false">'CORE DWNLD'!H158+'CORE DELTA'!H158</f>
        <v>0.99</v>
      </c>
      <c r="I158" s="108" t="n">
        <f aca="false">'CORE DWNLD'!I158+'CORE DELTA'!I158</f>
        <v>0.9306</v>
      </c>
      <c r="J158" s="108" t="n">
        <f aca="false">'CORE DWNLD'!J158+'CORE DELTA'!J158</f>
        <v>0.995</v>
      </c>
      <c r="K158" s="108" t="n">
        <f aca="false">'CORE DWNLD'!K158+'CORE DELTA'!K158</f>
        <v>0.98</v>
      </c>
      <c r="L158" s="108" t="n">
        <f aca="false">'CORE DWNLD'!L158+'CORE DELTA'!L158</f>
        <v>0.99</v>
      </c>
      <c r="M158" s="108" t="n">
        <f aca="false">'CORE DWNLD'!M158+'CORE DELTA'!M158</f>
        <v>1.005</v>
      </c>
      <c r="N158" s="108" t="n">
        <f aca="false">'CORE DWNLD'!N158+'CORE DELTA'!N158</f>
        <v>0.99</v>
      </c>
      <c r="O158" s="108" t="n">
        <f aca="false">'CORE DWNLD'!O158+'CORE DELTA'!O158</f>
        <v>0.96</v>
      </c>
    </row>
    <row r="159" customFormat="false" ht="12.75" hidden="false" customHeight="false" outlineLevel="0" collapsed="false">
      <c r="A159" s="158" t="n">
        <v>41518</v>
      </c>
      <c r="B159" s="108" t="n">
        <f aca="false">'CORE DWNLD'!B159+'CORE DELTA'!B159</f>
        <v>0.999</v>
      </c>
      <c r="C159" s="108" t="n">
        <f aca="false">'CORE DWNLD'!C159+'CORE DELTA'!C159</f>
        <v>0.999</v>
      </c>
      <c r="D159" s="108" t="n">
        <f aca="false">'CORE DWNLD'!D159+'CORE DELTA'!D159</f>
        <v>0.995</v>
      </c>
      <c r="E159" s="108" t="n">
        <f aca="false">'CORE DWNLD'!E159+'CORE DELTA'!E159</f>
        <v>0.96</v>
      </c>
      <c r="F159" s="108" t="n">
        <f aca="false">'CORE DWNLD'!F159+'CORE DELTA'!F159</f>
        <v>0.96</v>
      </c>
      <c r="G159" s="108" t="n">
        <f aca="false">'CORE DWNLD'!G159+'CORE DELTA'!G159</f>
        <v>0.9306</v>
      </c>
      <c r="H159" s="108" t="n">
        <f aca="false">'CORE DWNLD'!H159+'CORE DELTA'!H159</f>
        <v>0.99</v>
      </c>
      <c r="I159" s="108" t="n">
        <f aca="false">'CORE DWNLD'!I159+'CORE DELTA'!I159</f>
        <v>0.9306</v>
      </c>
      <c r="J159" s="108" t="n">
        <f aca="false">'CORE DWNLD'!J159+'CORE DELTA'!J159</f>
        <v>0.995</v>
      </c>
      <c r="K159" s="108" t="n">
        <f aca="false">'CORE DWNLD'!K159+'CORE DELTA'!K159</f>
        <v>0.98</v>
      </c>
      <c r="L159" s="108" t="n">
        <f aca="false">'CORE DWNLD'!L159+'CORE DELTA'!L159</f>
        <v>0.99</v>
      </c>
      <c r="M159" s="108" t="n">
        <f aca="false">'CORE DWNLD'!M159+'CORE DELTA'!M159</f>
        <v>1.005</v>
      </c>
      <c r="N159" s="108" t="n">
        <f aca="false">'CORE DWNLD'!N159+'CORE DELTA'!N159</f>
        <v>0.99</v>
      </c>
      <c r="O159" s="108" t="n">
        <f aca="false">'CORE DWNLD'!O159+'CORE DELTA'!O159</f>
        <v>0.96</v>
      </c>
    </row>
    <row r="160" customFormat="false" ht="12.75" hidden="false" customHeight="false" outlineLevel="0" collapsed="false">
      <c r="A160" s="158" t="n">
        <v>41548</v>
      </c>
      <c r="B160" s="108" t="n">
        <f aca="false">'CORE DWNLD'!B160+'CORE DELTA'!B160</f>
        <v>0.999</v>
      </c>
      <c r="C160" s="108" t="n">
        <f aca="false">'CORE DWNLD'!C160+'CORE DELTA'!C160</f>
        <v>0.999</v>
      </c>
      <c r="D160" s="108" t="n">
        <f aca="false">'CORE DWNLD'!D160+'CORE DELTA'!D160</f>
        <v>0.995</v>
      </c>
      <c r="E160" s="108" t="n">
        <f aca="false">'CORE DWNLD'!E160+'CORE DELTA'!E160</f>
        <v>0.96</v>
      </c>
      <c r="F160" s="108" t="n">
        <f aca="false">'CORE DWNLD'!F160+'CORE DELTA'!F160</f>
        <v>0.96</v>
      </c>
      <c r="G160" s="108" t="n">
        <f aca="false">'CORE DWNLD'!G160+'CORE DELTA'!G160</f>
        <v>0.9306</v>
      </c>
      <c r="H160" s="108" t="n">
        <f aca="false">'CORE DWNLD'!H160+'CORE DELTA'!H160</f>
        <v>0.99</v>
      </c>
      <c r="I160" s="108" t="n">
        <f aca="false">'CORE DWNLD'!I160+'CORE DELTA'!I160</f>
        <v>0.9306</v>
      </c>
      <c r="J160" s="108" t="n">
        <f aca="false">'CORE DWNLD'!J160+'CORE DELTA'!J160</f>
        <v>0.995</v>
      </c>
      <c r="K160" s="108" t="n">
        <f aca="false">'CORE DWNLD'!K160+'CORE DELTA'!K160</f>
        <v>0.98</v>
      </c>
      <c r="L160" s="108" t="n">
        <f aca="false">'CORE DWNLD'!L160+'CORE DELTA'!L160</f>
        <v>0.99</v>
      </c>
      <c r="M160" s="108" t="n">
        <f aca="false">'CORE DWNLD'!M160+'CORE DELTA'!M160</f>
        <v>1.005</v>
      </c>
      <c r="N160" s="108" t="n">
        <f aca="false">'CORE DWNLD'!N160+'CORE DELTA'!N160</f>
        <v>0.99</v>
      </c>
      <c r="O160" s="108" t="n">
        <f aca="false">'CORE DWNLD'!O160+'CORE DELTA'!O160</f>
        <v>0.96</v>
      </c>
    </row>
    <row r="161" customFormat="false" ht="12.75" hidden="false" customHeight="false" outlineLevel="0" collapsed="false">
      <c r="A161" s="158" t="n">
        <v>41579</v>
      </c>
      <c r="B161" s="108" t="n">
        <f aca="false">'CORE DWNLD'!B161+'CORE DELTA'!B161</f>
        <v>0.999</v>
      </c>
      <c r="C161" s="108" t="n">
        <f aca="false">'CORE DWNLD'!C161+'CORE DELTA'!C161</f>
        <v>0.999</v>
      </c>
      <c r="D161" s="108" t="n">
        <f aca="false">'CORE DWNLD'!D161+'CORE DELTA'!D161</f>
        <v>0.995</v>
      </c>
      <c r="E161" s="108" t="n">
        <f aca="false">'CORE DWNLD'!E161+'CORE DELTA'!E161</f>
        <v>0.96</v>
      </c>
      <c r="F161" s="108" t="n">
        <f aca="false">'CORE DWNLD'!F161+'CORE DELTA'!F161</f>
        <v>0.96</v>
      </c>
      <c r="G161" s="108" t="n">
        <f aca="false">'CORE DWNLD'!G161+'CORE DELTA'!G161</f>
        <v>0.9306</v>
      </c>
      <c r="H161" s="108" t="n">
        <f aca="false">'CORE DWNLD'!H161+'CORE DELTA'!H161</f>
        <v>0.99</v>
      </c>
      <c r="I161" s="108" t="n">
        <f aca="false">'CORE DWNLD'!I161+'CORE DELTA'!I161</f>
        <v>0.9306</v>
      </c>
      <c r="J161" s="108" t="n">
        <f aca="false">'CORE DWNLD'!J161+'CORE DELTA'!J161</f>
        <v>0.995</v>
      </c>
      <c r="K161" s="108" t="n">
        <f aca="false">'CORE DWNLD'!K161+'CORE DELTA'!K161</f>
        <v>0.98</v>
      </c>
      <c r="L161" s="108" t="n">
        <f aca="false">'CORE DWNLD'!L161+'CORE DELTA'!L161</f>
        <v>0.99</v>
      </c>
      <c r="M161" s="108" t="n">
        <f aca="false">'CORE DWNLD'!M161+'CORE DELTA'!M161</f>
        <v>1.005</v>
      </c>
      <c r="N161" s="108" t="n">
        <f aca="false">'CORE DWNLD'!N161+'CORE DELTA'!N161</f>
        <v>0.99</v>
      </c>
      <c r="O161" s="108" t="n">
        <f aca="false">'CORE DWNLD'!O161+'CORE DELTA'!O161</f>
        <v>0.96</v>
      </c>
    </row>
    <row r="162" customFormat="false" ht="12.75" hidden="false" customHeight="false" outlineLevel="0" collapsed="false">
      <c r="A162" s="158" t="n">
        <v>41609</v>
      </c>
      <c r="B162" s="108" t="n">
        <f aca="false">'CORE DWNLD'!B162+'CORE DELTA'!B162</f>
        <v>0.999</v>
      </c>
      <c r="C162" s="108" t="n">
        <f aca="false">'CORE DWNLD'!C162+'CORE DELTA'!C162</f>
        <v>0.999</v>
      </c>
      <c r="D162" s="108" t="n">
        <f aca="false">'CORE DWNLD'!D162+'CORE DELTA'!D162</f>
        <v>0.995</v>
      </c>
      <c r="E162" s="108" t="n">
        <f aca="false">'CORE DWNLD'!E162+'CORE DELTA'!E162</f>
        <v>0.96</v>
      </c>
      <c r="F162" s="108" t="n">
        <f aca="false">'CORE DWNLD'!F162+'CORE DELTA'!F162</f>
        <v>0.96</v>
      </c>
      <c r="G162" s="108" t="n">
        <f aca="false">'CORE DWNLD'!G162+'CORE DELTA'!G162</f>
        <v>0.9306</v>
      </c>
      <c r="H162" s="108" t="n">
        <f aca="false">'CORE DWNLD'!H162+'CORE DELTA'!H162</f>
        <v>0.99</v>
      </c>
      <c r="I162" s="108" t="n">
        <f aca="false">'CORE DWNLD'!I162+'CORE DELTA'!I162</f>
        <v>0.9306</v>
      </c>
      <c r="J162" s="108" t="n">
        <f aca="false">'CORE DWNLD'!J162+'CORE DELTA'!J162</f>
        <v>0.995</v>
      </c>
      <c r="K162" s="108" t="n">
        <f aca="false">'CORE DWNLD'!K162+'CORE DELTA'!K162</f>
        <v>0.98</v>
      </c>
      <c r="L162" s="108" t="n">
        <f aca="false">'CORE DWNLD'!L162+'CORE DELTA'!L162</f>
        <v>0.99</v>
      </c>
      <c r="M162" s="108" t="n">
        <f aca="false">'CORE DWNLD'!M162+'CORE DELTA'!M162</f>
        <v>1.005</v>
      </c>
      <c r="N162" s="108" t="n">
        <f aca="false">'CORE DWNLD'!N162+'CORE DELTA'!N162</f>
        <v>0.99</v>
      </c>
      <c r="O162" s="108" t="n">
        <f aca="false">'CORE DWNLD'!O162+'CORE DELTA'!O162</f>
        <v>0.96</v>
      </c>
    </row>
    <row r="163" customFormat="false" ht="12.75" hidden="false" customHeight="false" outlineLevel="0" collapsed="false">
      <c r="A163" s="158" t="n">
        <v>41640</v>
      </c>
      <c r="B163" s="108" t="n">
        <f aca="false">'CORE DWNLD'!B163+'CORE DELTA'!B163</f>
        <v>0.999</v>
      </c>
      <c r="C163" s="108" t="n">
        <f aca="false">'CORE DWNLD'!C163+'CORE DELTA'!C163</f>
        <v>0.999</v>
      </c>
      <c r="D163" s="108" t="n">
        <f aca="false">'CORE DWNLD'!D163+'CORE DELTA'!D163</f>
        <v>0.995</v>
      </c>
      <c r="E163" s="108" t="n">
        <f aca="false">'CORE DWNLD'!E163+'CORE DELTA'!E163</f>
        <v>0.96</v>
      </c>
      <c r="F163" s="108" t="n">
        <f aca="false">'CORE DWNLD'!F163+'CORE DELTA'!F163</f>
        <v>0.96</v>
      </c>
      <c r="G163" s="108" t="n">
        <f aca="false">'CORE DWNLD'!G163+'CORE DELTA'!G163</f>
        <v>0.9306</v>
      </c>
      <c r="H163" s="108" t="n">
        <f aca="false">'CORE DWNLD'!H163+'CORE DELTA'!H163</f>
        <v>0.99</v>
      </c>
      <c r="I163" s="108" t="n">
        <f aca="false">'CORE DWNLD'!I163+'CORE DELTA'!I163</f>
        <v>0.9306</v>
      </c>
      <c r="J163" s="108" t="n">
        <f aca="false">'CORE DWNLD'!J163+'CORE DELTA'!J163</f>
        <v>0.995</v>
      </c>
      <c r="K163" s="108" t="n">
        <f aca="false">'CORE DWNLD'!K163+'CORE DELTA'!K163</f>
        <v>0.98</v>
      </c>
      <c r="L163" s="108" t="n">
        <f aca="false">'CORE DWNLD'!L163+'CORE DELTA'!L163</f>
        <v>0.99</v>
      </c>
      <c r="M163" s="108" t="n">
        <f aca="false">'CORE DWNLD'!M163+'CORE DELTA'!M163</f>
        <v>1.005</v>
      </c>
      <c r="N163" s="108" t="n">
        <f aca="false">'CORE DWNLD'!N163+'CORE DELTA'!N163</f>
        <v>0.99</v>
      </c>
      <c r="O163" s="108" t="n">
        <f aca="false">'CORE DWNLD'!O163+'CORE DELTA'!O163</f>
        <v>0.96</v>
      </c>
    </row>
    <row r="164" customFormat="false" ht="12.75" hidden="false" customHeight="false" outlineLevel="0" collapsed="false">
      <c r="A164" s="158" t="n">
        <v>41671</v>
      </c>
      <c r="B164" s="108" t="n">
        <f aca="false">'CORE DWNLD'!B164+'CORE DELTA'!B164</f>
        <v>0.999</v>
      </c>
      <c r="C164" s="108" t="n">
        <f aca="false">'CORE DWNLD'!C164+'CORE DELTA'!C164</f>
        <v>0.999</v>
      </c>
      <c r="D164" s="108" t="n">
        <f aca="false">'CORE DWNLD'!D164+'CORE DELTA'!D164</f>
        <v>0.995</v>
      </c>
      <c r="E164" s="108" t="n">
        <f aca="false">'CORE DWNLD'!E164+'CORE DELTA'!E164</f>
        <v>0.96</v>
      </c>
      <c r="F164" s="108" t="n">
        <f aca="false">'CORE DWNLD'!F164+'CORE DELTA'!F164</f>
        <v>0.96</v>
      </c>
      <c r="G164" s="108" t="n">
        <f aca="false">'CORE DWNLD'!G164+'CORE DELTA'!G164</f>
        <v>0.9306</v>
      </c>
      <c r="H164" s="108" t="n">
        <f aca="false">'CORE DWNLD'!H164+'CORE DELTA'!H164</f>
        <v>0.99</v>
      </c>
      <c r="I164" s="108" t="n">
        <f aca="false">'CORE DWNLD'!I164+'CORE DELTA'!I164</f>
        <v>0.9306</v>
      </c>
      <c r="J164" s="108" t="n">
        <f aca="false">'CORE DWNLD'!J164+'CORE DELTA'!J164</f>
        <v>0.995</v>
      </c>
      <c r="K164" s="108" t="n">
        <f aca="false">'CORE DWNLD'!K164+'CORE DELTA'!K164</f>
        <v>0.98</v>
      </c>
      <c r="L164" s="108" t="n">
        <f aca="false">'CORE DWNLD'!L164+'CORE DELTA'!L164</f>
        <v>0.99</v>
      </c>
      <c r="M164" s="108" t="n">
        <f aca="false">'CORE DWNLD'!M164+'CORE DELTA'!M164</f>
        <v>1.005</v>
      </c>
      <c r="N164" s="108" t="n">
        <f aca="false">'CORE DWNLD'!N164+'CORE DELTA'!N164</f>
        <v>0.99</v>
      </c>
      <c r="O164" s="108" t="n">
        <f aca="false">'CORE DWNLD'!O164+'CORE DELTA'!O164</f>
        <v>0.96</v>
      </c>
    </row>
    <row r="165" customFormat="false" ht="12.75" hidden="false" customHeight="false" outlineLevel="0" collapsed="false">
      <c r="A165" s="158" t="n">
        <v>41699</v>
      </c>
      <c r="B165" s="108" t="n">
        <f aca="false">'CORE DWNLD'!B165+'CORE DELTA'!B165</f>
        <v>0.999</v>
      </c>
      <c r="C165" s="108" t="n">
        <f aca="false">'CORE DWNLD'!C165+'CORE DELTA'!C165</f>
        <v>0.999</v>
      </c>
      <c r="D165" s="108" t="n">
        <f aca="false">'CORE DWNLD'!D165+'CORE DELTA'!D165</f>
        <v>0.995</v>
      </c>
      <c r="E165" s="108" t="n">
        <f aca="false">'CORE DWNLD'!E165+'CORE DELTA'!E165</f>
        <v>0.96</v>
      </c>
      <c r="F165" s="108" t="n">
        <f aca="false">'CORE DWNLD'!F165+'CORE DELTA'!F165</f>
        <v>0.96</v>
      </c>
      <c r="G165" s="108" t="n">
        <f aca="false">'CORE DWNLD'!G165+'CORE DELTA'!G165</f>
        <v>0.9306</v>
      </c>
      <c r="H165" s="108" t="n">
        <f aca="false">'CORE DWNLD'!H165+'CORE DELTA'!H165</f>
        <v>0.99</v>
      </c>
      <c r="I165" s="108" t="n">
        <f aca="false">'CORE DWNLD'!I165+'CORE DELTA'!I165</f>
        <v>0.9306</v>
      </c>
      <c r="J165" s="108" t="n">
        <f aca="false">'CORE DWNLD'!J165+'CORE DELTA'!J165</f>
        <v>0.995</v>
      </c>
      <c r="K165" s="108" t="n">
        <f aca="false">'CORE DWNLD'!K165+'CORE DELTA'!K165</f>
        <v>0.98</v>
      </c>
      <c r="L165" s="108" t="n">
        <f aca="false">'CORE DWNLD'!L165+'CORE DELTA'!L165</f>
        <v>0.99</v>
      </c>
      <c r="M165" s="108" t="n">
        <f aca="false">'CORE DWNLD'!M165+'CORE DELTA'!M165</f>
        <v>1.005</v>
      </c>
      <c r="N165" s="108" t="n">
        <f aca="false">'CORE DWNLD'!N165+'CORE DELTA'!N165</f>
        <v>0.99</v>
      </c>
      <c r="O165" s="108" t="n">
        <f aca="false">'CORE DWNLD'!O165+'CORE DELTA'!O165</f>
        <v>0.96</v>
      </c>
    </row>
    <row r="166" customFormat="false" ht="12.75" hidden="false" customHeight="false" outlineLevel="0" collapsed="false">
      <c r="A166" s="158" t="n">
        <v>41730</v>
      </c>
      <c r="B166" s="108" t="n">
        <f aca="false">'CORE DWNLD'!B166+'CORE DELTA'!B166</f>
        <v>0.999</v>
      </c>
      <c r="C166" s="108" t="n">
        <f aca="false">'CORE DWNLD'!C166+'CORE DELTA'!C166</f>
        <v>0.999</v>
      </c>
      <c r="D166" s="108" t="n">
        <f aca="false">'CORE DWNLD'!D166+'CORE DELTA'!D166</f>
        <v>0.995</v>
      </c>
      <c r="E166" s="108" t="n">
        <f aca="false">'CORE DWNLD'!E166+'CORE DELTA'!E166</f>
        <v>0.96</v>
      </c>
      <c r="F166" s="108" t="n">
        <f aca="false">'CORE DWNLD'!F166+'CORE DELTA'!F166</f>
        <v>0.96</v>
      </c>
      <c r="G166" s="108" t="n">
        <f aca="false">'CORE DWNLD'!G166+'CORE DELTA'!G166</f>
        <v>0.9306</v>
      </c>
      <c r="H166" s="108" t="n">
        <f aca="false">'CORE DWNLD'!H166+'CORE DELTA'!H166</f>
        <v>0.99</v>
      </c>
      <c r="I166" s="108" t="n">
        <f aca="false">'CORE DWNLD'!I166+'CORE DELTA'!I166</f>
        <v>0.9306</v>
      </c>
      <c r="J166" s="108" t="n">
        <f aca="false">'CORE DWNLD'!J166+'CORE DELTA'!J166</f>
        <v>0.995</v>
      </c>
      <c r="K166" s="108" t="n">
        <f aca="false">'CORE DWNLD'!K166+'CORE DELTA'!K166</f>
        <v>0.98</v>
      </c>
      <c r="L166" s="108" t="n">
        <f aca="false">'CORE DWNLD'!L166+'CORE DELTA'!L166</f>
        <v>0.99</v>
      </c>
      <c r="M166" s="108" t="n">
        <f aca="false">'CORE DWNLD'!M166+'CORE DELTA'!M166</f>
        <v>1.005</v>
      </c>
      <c r="N166" s="108" t="n">
        <f aca="false">'CORE DWNLD'!N166+'CORE DELTA'!N166</f>
        <v>0.99</v>
      </c>
      <c r="O166" s="108" t="n">
        <f aca="false">'CORE DWNLD'!O166+'CORE DELTA'!O166</f>
        <v>0.96</v>
      </c>
    </row>
    <row r="167" customFormat="false" ht="12.75" hidden="false" customHeight="false" outlineLevel="0" collapsed="false">
      <c r="A167" s="158" t="n">
        <v>41760</v>
      </c>
      <c r="B167" s="108" t="n">
        <f aca="false">'CORE DWNLD'!B167+'CORE DELTA'!B167</f>
        <v>0.999</v>
      </c>
      <c r="C167" s="108" t="n">
        <f aca="false">'CORE DWNLD'!C167+'CORE DELTA'!C167</f>
        <v>0.999</v>
      </c>
      <c r="D167" s="108" t="n">
        <f aca="false">'CORE DWNLD'!D167+'CORE DELTA'!D167</f>
        <v>0.995</v>
      </c>
      <c r="E167" s="108" t="n">
        <f aca="false">'CORE DWNLD'!E167+'CORE DELTA'!E167</f>
        <v>0.96</v>
      </c>
      <c r="F167" s="108" t="n">
        <f aca="false">'CORE DWNLD'!F167+'CORE DELTA'!F167</f>
        <v>0.96</v>
      </c>
      <c r="G167" s="108" t="n">
        <f aca="false">'CORE DWNLD'!G167+'CORE DELTA'!G167</f>
        <v>0.9306</v>
      </c>
      <c r="H167" s="108" t="n">
        <f aca="false">'CORE DWNLD'!H167+'CORE DELTA'!H167</f>
        <v>0.99</v>
      </c>
      <c r="I167" s="108" t="n">
        <f aca="false">'CORE DWNLD'!I167+'CORE DELTA'!I167</f>
        <v>0.9306</v>
      </c>
      <c r="J167" s="108" t="n">
        <f aca="false">'CORE DWNLD'!J167+'CORE DELTA'!J167</f>
        <v>0.995</v>
      </c>
      <c r="K167" s="108" t="n">
        <f aca="false">'CORE DWNLD'!K167+'CORE DELTA'!K167</f>
        <v>0.98</v>
      </c>
      <c r="L167" s="108" t="n">
        <f aca="false">'CORE DWNLD'!L167+'CORE DELTA'!L167</f>
        <v>0.99</v>
      </c>
      <c r="M167" s="108" t="n">
        <f aca="false">'CORE DWNLD'!M167+'CORE DELTA'!M167</f>
        <v>1.005</v>
      </c>
      <c r="N167" s="108" t="n">
        <f aca="false">'CORE DWNLD'!N167+'CORE DELTA'!N167</f>
        <v>0.99</v>
      </c>
      <c r="O167" s="108" t="n">
        <f aca="false">'CORE DWNLD'!O167+'CORE DELTA'!O167</f>
        <v>0.96</v>
      </c>
    </row>
    <row r="168" customFormat="false" ht="12.75" hidden="false" customHeight="false" outlineLevel="0" collapsed="false">
      <c r="A168" s="158" t="n">
        <v>41791</v>
      </c>
      <c r="B168" s="108" t="n">
        <f aca="false">'CORE DWNLD'!B168+'CORE DELTA'!B168</f>
        <v>0.999</v>
      </c>
      <c r="C168" s="108" t="n">
        <f aca="false">'CORE DWNLD'!C168+'CORE DELTA'!C168</f>
        <v>0.999</v>
      </c>
      <c r="D168" s="108" t="n">
        <f aca="false">'CORE DWNLD'!D168+'CORE DELTA'!D168</f>
        <v>0.995</v>
      </c>
      <c r="E168" s="108" t="n">
        <f aca="false">'CORE DWNLD'!E168+'CORE DELTA'!E168</f>
        <v>0.96</v>
      </c>
      <c r="F168" s="108" t="n">
        <f aca="false">'CORE DWNLD'!F168+'CORE DELTA'!F168</f>
        <v>0.96</v>
      </c>
      <c r="G168" s="108" t="n">
        <f aca="false">'CORE DWNLD'!G168+'CORE DELTA'!G168</f>
        <v>0.9306</v>
      </c>
      <c r="H168" s="108" t="n">
        <f aca="false">'CORE DWNLD'!H168+'CORE DELTA'!H168</f>
        <v>0.99</v>
      </c>
      <c r="I168" s="108" t="n">
        <f aca="false">'CORE DWNLD'!I168+'CORE DELTA'!I168</f>
        <v>0.9306</v>
      </c>
      <c r="J168" s="108" t="n">
        <f aca="false">'CORE DWNLD'!J168+'CORE DELTA'!J168</f>
        <v>0.995</v>
      </c>
      <c r="K168" s="108" t="n">
        <f aca="false">'CORE DWNLD'!K168+'CORE DELTA'!K168</f>
        <v>0.98</v>
      </c>
      <c r="L168" s="108" t="n">
        <f aca="false">'CORE DWNLD'!L168+'CORE DELTA'!L168</f>
        <v>0.99</v>
      </c>
      <c r="M168" s="108" t="n">
        <f aca="false">'CORE DWNLD'!M168+'CORE DELTA'!M168</f>
        <v>1.005</v>
      </c>
      <c r="N168" s="108" t="n">
        <f aca="false">'CORE DWNLD'!N168+'CORE DELTA'!N168</f>
        <v>0.99</v>
      </c>
      <c r="O168" s="108" t="n">
        <f aca="false">'CORE DWNLD'!O168+'CORE DELTA'!O168</f>
        <v>0.96</v>
      </c>
    </row>
    <row r="169" customFormat="false" ht="12.75" hidden="false" customHeight="false" outlineLevel="0" collapsed="false">
      <c r="A169" s="158" t="n">
        <v>41821</v>
      </c>
      <c r="B169" s="108" t="n">
        <f aca="false">'CORE DWNLD'!B169+'CORE DELTA'!B169</f>
        <v>0.999</v>
      </c>
      <c r="C169" s="108" t="n">
        <f aca="false">'CORE DWNLD'!C169+'CORE DELTA'!C169</f>
        <v>0.999</v>
      </c>
      <c r="D169" s="108" t="n">
        <f aca="false">'CORE DWNLD'!D169+'CORE DELTA'!D169</f>
        <v>0.995</v>
      </c>
      <c r="E169" s="108" t="n">
        <f aca="false">'CORE DWNLD'!E169+'CORE DELTA'!E169</f>
        <v>0.96</v>
      </c>
      <c r="F169" s="108" t="n">
        <f aca="false">'CORE DWNLD'!F169+'CORE DELTA'!F169</f>
        <v>0.96</v>
      </c>
      <c r="G169" s="108" t="n">
        <f aca="false">'CORE DWNLD'!G169+'CORE DELTA'!G169</f>
        <v>0.9306</v>
      </c>
      <c r="H169" s="108" t="n">
        <f aca="false">'CORE DWNLD'!H169+'CORE DELTA'!H169</f>
        <v>0.99</v>
      </c>
      <c r="I169" s="108" t="n">
        <f aca="false">'CORE DWNLD'!I169+'CORE DELTA'!I169</f>
        <v>0.9306</v>
      </c>
      <c r="J169" s="108" t="n">
        <f aca="false">'CORE DWNLD'!J169+'CORE DELTA'!J169</f>
        <v>0.995</v>
      </c>
      <c r="K169" s="108" t="n">
        <f aca="false">'CORE DWNLD'!K169+'CORE DELTA'!K169</f>
        <v>0.98</v>
      </c>
      <c r="L169" s="108" t="n">
        <f aca="false">'CORE DWNLD'!L169+'CORE DELTA'!L169</f>
        <v>0.99</v>
      </c>
      <c r="M169" s="108" t="n">
        <f aca="false">'CORE DWNLD'!M169+'CORE DELTA'!M169</f>
        <v>1.005</v>
      </c>
      <c r="N169" s="108" t="n">
        <f aca="false">'CORE DWNLD'!N169+'CORE DELTA'!N169</f>
        <v>0.99</v>
      </c>
      <c r="O169" s="108" t="n">
        <f aca="false">'CORE DWNLD'!O169+'CORE DELTA'!O169</f>
        <v>0.96</v>
      </c>
    </row>
    <row r="170" customFormat="false" ht="12.75" hidden="false" customHeight="false" outlineLevel="0" collapsed="false">
      <c r="A170" s="158" t="n">
        <v>41852</v>
      </c>
      <c r="B170" s="108" t="n">
        <f aca="false">'CORE DWNLD'!B170+'CORE DELTA'!B170</f>
        <v>0.999</v>
      </c>
      <c r="C170" s="108" t="n">
        <f aca="false">'CORE DWNLD'!C170+'CORE DELTA'!C170</f>
        <v>0.999</v>
      </c>
      <c r="D170" s="108" t="n">
        <f aca="false">'CORE DWNLD'!D170+'CORE DELTA'!D170</f>
        <v>0.995</v>
      </c>
      <c r="E170" s="108" t="n">
        <f aca="false">'CORE DWNLD'!E170+'CORE DELTA'!E170</f>
        <v>0.96</v>
      </c>
      <c r="F170" s="108" t="n">
        <f aca="false">'CORE DWNLD'!F170+'CORE DELTA'!F170</f>
        <v>0.96</v>
      </c>
      <c r="G170" s="108" t="n">
        <f aca="false">'CORE DWNLD'!G170+'CORE DELTA'!G170</f>
        <v>0.9306</v>
      </c>
      <c r="H170" s="108" t="n">
        <f aca="false">'CORE DWNLD'!H170+'CORE DELTA'!H170</f>
        <v>0.99</v>
      </c>
      <c r="I170" s="108" t="n">
        <f aca="false">'CORE DWNLD'!I170+'CORE DELTA'!I170</f>
        <v>0.9306</v>
      </c>
      <c r="J170" s="108" t="n">
        <f aca="false">'CORE DWNLD'!J170+'CORE DELTA'!J170</f>
        <v>0.995</v>
      </c>
      <c r="K170" s="108" t="n">
        <f aca="false">'CORE DWNLD'!K170+'CORE DELTA'!K170</f>
        <v>0.98</v>
      </c>
      <c r="L170" s="108" t="n">
        <f aca="false">'CORE DWNLD'!L170+'CORE DELTA'!L170</f>
        <v>0.99</v>
      </c>
      <c r="M170" s="108" t="n">
        <f aca="false">'CORE DWNLD'!M170+'CORE DELTA'!M170</f>
        <v>1.005</v>
      </c>
      <c r="N170" s="108" t="n">
        <f aca="false">'CORE DWNLD'!N170+'CORE DELTA'!N170</f>
        <v>0.99</v>
      </c>
      <c r="O170" s="108" t="n">
        <f aca="false">'CORE DWNLD'!O170+'CORE DELTA'!O170</f>
        <v>0.96</v>
      </c>
    </row>
    <row r="171" customFormat="false" ht="12.75" hidden="false" customHeight="false" outlineLevel="0" collapsed="false">
      <c r="A171" s="158" t="n">
        <v>41883</v>
      </c>
      <c r="B171" s="108" t="n">
        <f aca="false">'CORE DWNLD'!B171+'CORE DELTA'!B171</f>
        <v>0.999</v>
      </c>
      <c r="C171" s="108" t="n">
        <f aca="false">'CORE DWNLD'!C171+'CORE DELTA'!C171</f>
        <v>0.999</v>
      </c>
      <c r="D171" s="108" t="n">
        <f aca="false">'CORE DWNLD'!D171+'CORE DELTA'!D171</f>
        <v>0.995</v>
      </c>
      <c r="E171" s="108" t="n">
        <f aca="false">'CORE DWNLD'!E171+'CORE DELTA'!E171</f>
        <v>0.96</v>
      </c>
      <c r="F171" s="108" t="n">
        <f aca="false">'CORE DWNLD'!F171+'CORE DELTA'!F171</f>
        <v>0.96</v>
      </c>
      <c r="G171" s="108" t="n">
        <f aca="false">'CORE DWNLD'!G171+'CORE DELTA'!G171</f>
        <v>0.9306</v>
      </c>
      <c r="H171" s="108" t="n">
        <f aca="false">'CORE DWNLD'!H171+'CORE DELTA'!H171</f>
        <v>0.99</v>
      </c>
      <c r="I171" s="108" t="n">
        <f aca="false">'CORE DWNLD'!I171+'CORE DELTA'!I171</f>
        <v>0.9306</v>
      </c>
      <c r="J171" s="108" t="n">
        <f aca="false">'CORE DWNLD'!J171+'CORE DELTA'!J171</f>
        <v>0.995</v>
      </c>
      <c r="K171" s="108" t="n">
        <f aca="false">'CORE DWNLD'!K171+'CORE DELTA'!K171</f>
        <v>0.98</v>
      </c>
      <c r="L171" s="108" t="n">
        <f aca="false">'CORE DWNLD'!L171+'CORE DELTA'!L171</f>
        <v>0.99</v>
      </c>
      <c r="M171" s="108" t="n">
        <f aca="false">'CORE DWNLD'!M171+'CORE DELTA'!M171</f>
        <v>1.005</v>
      </c>
      <c r="N171" s="108" t="n">
        <f aca="false">'CORE DWNLD'!N171+'CORE DELTA'!N171</f>
        <v>0.99</v>
      </c>
      <c r="O171" s="108" t="n">
        <f aca="false">'CORE DWNLD'!O171+'CORE DELTA'!O171</f>
        <v>0.96</v>
      </c>
    </row>
    <row r="172" customFormat="false" ht="12.75" hidden="false" customHeight="false" outlineLevel="0" collapsed="false">
      <c r="A172" s="158" t="n">
        <v>41913</v>
      </c>
      <c r="B172" s="108" t="n">
        <f aca="false">'CORE DWNLD'!B172+'CORE DELTA'!B172</f>
        <v>0.999</v>
      </c>
      <c r="C172" s="108" t="n">
        <f aca="false">'CORE DWNLD'!C172+'CORE DELTA'!C172</f>
        <v>0.999</v>
      </c>
      <c r="D172" s="108" t="n">
        <f aca="false">'CORE DWNLD'!D172+'CORE DELTA'!D172</f>
        <v>0.995</v>
      </c>
      <c r="E172" s="108" t="n">
        <f aca="false">'CORE DWNLD'!E172+'CORE DELTA'!E172</f>
        <v>0.96</v>
      </c>
      <c r="F172" s="108" t="n">
        <f aca="false">'CORE DWNLD'!F172+'CORE DELTA'!F172</f>
        <v>0.96</v>
      </c>
      <c r="G172" s="108" t="n">
        <f aca="false">'CORE DWNLD'!G172+'CORE DELTA'!G172</f>
        <v>0.9306</v>
      </c>
      <c r="H172" s="108" t="n">
        <f aca="false">'CORE DWNLD'!H172+'CORE DELTA'!H172</f>
        <v>0.99</v>
      </c>
      <c r="I172" s="108" t="n">
        <f aca="false">'CORE DWNLD'!I172+'CORE DELTA'!I172</f>
        <v>0.9306</v>
      </c>
      <c r="J172" s="108" t="n">
        <f aca="false">'CORE DWNLD'!J172+'CORE DELTA'!J172</f>
        <v>0.995</v>
      </c>
      <c r="K172" s="108" t="n">
        <f aca="false">'CORE DWNLD'!K172+'CORE DELTA'!K172</f>
        <v>0.98</v>
      </c>
      <c r="L172" s="108" t="n">
        <f aca="false">'CORE DWNLD'!L172+'CORE DELTA'!L172</f>
        <v>0.99</v>
      </c>
      <c r="M172" s="108" t="n">
        <f aca="false">'CORE DWNLD'!M172+'CORE DELTA'!M172</f>
        <v>1.005</v>
      </c>
      <c r="N172" s="108" t="n">
        <f aca="false">'CORE DWNLD'!N172+'CORE DELTA'!N172</f>
        <v>0.99</v>
      </c>
      <c r="O172" s="108" t="n">
        <f aca="false">'CORE DWNLD'!O172+'CORE DELTA'!O172</f>
        <v>0.96</v>
      </c>
    </row>
    <row r="173" customFormat="false" ht="12.75" hidden="false" customHeight="false" outlineLevel="0" collapsed="false">
      <c r="A173" s="158" t="n">
        <v>41944</v>
      </c>
      <c r="B173" s="108" t="n">
        <f aca="false">'CORE DWNLD'!B173+'CORE DELTA'!B173</f>
        <v>0.999</v>
      </c>
      <c r="C173" s="108" t="n">
        <f aca="false">'CORE DWNLD'!C173+'CORE DELTA'!C173</f>
        <v>0.999</v>
      </c>
      <c r="D173" s="108" t="n">
        <f aca="false">'CORE DWNLD'!D173+'CORE DELTA'!D173</f>
        <v>0.995</v>
      </c>
      <c r="E173" s="108" t="n">
        <f aca="false">'CORE DWNLD'!E173+'CORE DELTA'!E173</f>
        <v>0.96</v>
      </c>
      <c r="F173" s="108" t="n">
        <f aca="false">'CORE DWNLD'!F173+'CORE DELTA'!F173</f>
        <v>0.96</v>
      </c>
      <c r="G173" s="108" t="n">
        <f aca="false">'CORE DWNLD'!G173+'CORE DELTA'!G173</f>
        <v>0.9306</v>
      </c>
      <c r="H173" s="108" t="n">
        <f aca="false">'CORE DWNLD'!H173+'CORE DELTA'!H173</f>
        <v>0.99</v>
      </c>
      <c r="I173" s="108" t="n">
        <f aca="false">'CORE DWNLD'!I173+'CORE DELTA'!I173</f>
        <v>0.9306</v>
      </c>
      <c r="J173" s="108" t="n">
        <f aca="false">'CORE DWNLD'!J173+'CORE DELTA'!J173</f>
        <v>0.995</v>
      </c>
      <c r="K173" s="108" t="n">
        <f aca="false">'CORE DWNLD'!K173+'CORE DELTA'!K173</f>
        <v>0.98</v>
      </c>
      <c r="L173" s="108" t="n">
        <f aca="false">'CORE DWNLD'!L173+'CORE DELTA'!L173</f>
        <v>0.99</v>
      </c>
      <c r="M173" s="108" t="n">
        <f aca="false">'CORE DWNLD'!M173+'CORE DELTA'!M173</f>
        <v>1.005</v>
      </c>
      <c r="N173" s="108" t="n">
        <f aca="false">'CORE DWNLD'!N173+'CORE DELTA'!N173</f>
        <v>0.99</v>
      </c>
      <c r="O173" s="108" t="n">
        <f aca="false">'CORE DWNLD'!O173+'CORE DELTA'!O173</f>
        <v>0.96</v>
      </c>
    </row>
    <row r="174" customFormat="false" ht="12.75" hidden="false" customHeight="false" outlineLevel="0" collapsed="false">
      <c r="A174" s="158" t="n">
        <v>41974</v>
      </c>
      <c r="B174" s="108" t="n">
        <f aca="false">'CORE DWNLD'!B174+'CORE DELTA'!B174</f>
        <v>0.999</v>
      </c>
      <c r="C174" s="108" t="n">
        <f aca="false">'CORE DWNLD'!C174+'CORE DELTA'!C174</f>
        <v>0.999</v>
      </c>
      <c r="D174" s="108" t="n">
        <f aca="false">'CORE DWNLD'!D174+'CORE DELTA'!D174</f>
        <v>0.995</v>
      </c>
      <c r="E174" s="108" t="n">
        <f aca="false">'CORE DWNLD'!E174+'CORE DELTA'!E174</f>
        <v>0.96</v>
      </c>
      <c r="F174" s="108" t="n">
        <f aca="false">'CORE DWNLD'!F174+'CORE DELTA'!F174</f>
        <v>0.96</v>
      </c>
      <c r="G174" s="108" t="n">
        <f aca="false">'CORE DWNLD'!G174+'CORE DELTA'!G174</f>
        <v>0.9306</v>
      </c>
      <c r="H174" s="108" t="n">
        <f aca="false">'CORE DWNLD'!H174+'CORE DELTA'!H174</f>
        <v>0.99</v>
      </c>
      <c r="I174" s="108" t="n">
        <f aca="false">'CORE DWNLD'!I174+'CORE DELTA'!I174</f>
        <v>0.9306</v>
      </c>
      <c r="J174" s="108" t="n">
        <f aca="false">'CORE DWNLD'!J174+'CORE DELTA'!J174</f>
        <v>0.995</v>
      </c>
      <c r="K174" s="108" t="n">
        <f aca="false">'CORE DWNLD'!K174+'CORE DELTA'!K174</f>
        <v>0.98</v>
      </c>
      <c r="L174" s="108" t="n">
        <f aca="false">'CORE DWNLD'!L174+'CORE DELTA'!L174</f>
        <v>0.99</v>
      </c>
      <c r="M174" s="108" t="n">
        <f aca="false">'CORE DWNLD'!M174+'CORE DELTA'!M174</f>
        <v>1.005</v>
      </c>
      <c r="N174" s="108" t="n">
        <f aca="false">'CORE DWNLD'!N174+'CORE DELTA'!N174</f>
        <v>0.99</v>
      </c>
      <c r="O174" s="108" t="n">
        <f aca="false">'CORE DWNLD'!O174+'CORE DELTA'!O174</f>
        <v>0.96</v>
      </c>
    </row>
    <row r="175" customFormat="false" ht="12.75" hidden="false" customHeight="false" outlineLevel="0" collapsed="false">
      <c r="A175" s="158" t="n">
        <v>42005</v>
      </c>
      <c r="B175" s="108" t="n">
        <f aca="false">'CORE DWNLD'!B175+'CORE DELTA'!B175</f>
        <v>0.999</v>
      </c>
      <c r="C175" s="108" t="n">
        <f aca="false">'CORE DWNLD'!C175+'CORE DELTA'!C175</f>
        <v>0.999</v>
      </c>
      <c r="D175" s="108" t="n">
        <f aca="false">'CORE DWNLD'!D175+'CORE DELTA'!D175</f>
        <v>0.995</v>
      </c>
      <c r="E175" s="108" t="n">
        <f aca="false">'CORE DWNLD'!E175+'CORE DELTA'!E175</f>
        <v>0.96</v>
      </c>
      <c r="F175" s="108" t="n">
        <f aca="false">'CORE DWNLD'!F175+'CORE DELTA'!F175</f>
        <v>0.96</v>
      </c>
      <c r="G175" s="108" t="n">
        <f aca="false">'CORE DWNLD'!G175+'CORE DELTA'!G175</f>
        <v>0.9306</v>
      </c>
      <c r="H175" s="108" t="n">
        <f aca="false">'CORE DWNLD'!H175+'CORE DELTA'!H175</f>
        <v>0.99</v>
      </c>
      <c r="I175" s="108" t="n">
        <f aca="false">'CORE DWNLD'!I175+'CORE DELTA'!I175</f>
        <v>0.9306</v>
      </c>
      <c r="J175" s="108" t="n">
        <f aca="false">'CORE DWNLD'!J175+'CORE DELTA'!J175</f>
        <v>0.995</v>
      </c>
      <c r="K175" s="108" t="n">
        <f aca="false">'CORE DWNLD'!K175+'CORE DELTA'!K175</f>
        <v>0.98</v>
      </c>
      <c r="L175" s="108" t="n">
        <f aca="false">'CORE DWNLD'!L175+'CORE DELTA'!L175</f>
        <v>0.99</v>
      </c>
      <c r="M175" s="108" t="n">
        <f aca="false">'CORE DWNLD'!M175+'CORE DELTA'!M175</f>
        <v>1.005</v>
      </c>
      <c r="N175" s="108" t="n">
        <f aca="false">'CORE DWNLD'!N175+'CORE DELTA'!N175</f>
        <v>0.99</v>
      </c>
      <c r="O175" s="108" t="n">
        <f aca="false">'CORE DWNLD'!O175+'CORE DELTA'!O175</f>
        <v>0.96</v>
      </c>
    </row>
    <row r="176" customFormat="false" ht="12.75" hidden="false" customHeight="false" outlineLevel="0" collapsed="false">
      <c r="A176" s="158" t="n">
        <v>42036</v>
      </c>
      <c r="B176" s="108" t="n">
        <f aca="false">'CORE DWNLD'!B176+'CORE DELTA'!B176</f>
        <v>0.999</v>
      </c>
      <c r="C176" s="108" t="n">
        <f aca="false">'CORE DWNLD'!C176+'CORE DELTA'!C176</f>
        <v>0.999</v>
      </c>
      <c r="D176" s="108" t="n">
        <f aca="false">'CORE DWNLD'!D176+'CORE DELTA'!D176</f>
        <v>0.995</v>
      </c>
      <c r="E176" s="108" t="n">
        <f aca="false">'CORE DWNLD'!E176+'CORE DELTA'!E176</f>
        <v>0.96</v>
      </c>
      <c r="F176" s="108" t="n">
        <f aca="false">'CORE DWNLD'!F176+'CORE DELTA'!F176</f>
        <v>0.96</v>
      </c>
      <c r="G176" s="108" t="n">
        <f aca="false">'CORE DWNLD'!G176+'CORE DELTA'!G176</f>
        <v>0.9306</v>
      </c>
      <c r="H176" s="108" t="n">
        <f aca="false">'CORE DWNLD'!H176+'CORE DELTA'!H176</f>
        <v>0.99</v>
      </c>
      <c r="I176" s="108" t="n">
        <f aca="false">'CORE DWNLD'!I176+'CORE DELTA'!I176</f>
        <v>0.9306</v>
      </c>
      <c r="J176" s="108" t="n">
        <f aca="false">'CORE DWNLD'!J176+'CORE DELTA'!J176</f>
        <v>0.995</v>
      </c>
      <c r="K176" s="108" t="n">
        <f aca="false">'CORE DWNLD'!K176+'CORE DELTA'!K176</f>
        <v>0.98</v>
      </c>
      <c r="L176" s="108" t="n">
        <f aca="false">'CORE DWNLD'!L176+'CORE DELTA'!L176</f>
        <v>0.99</v>
      </c>
      <c r="M176" s="108" t="n">
        <f aca="false">'CORE DWNLD'!M176+'CORE DELTA'!M176</f>
        <v>1.005</v>
      </c>
      <c r="N176" s="108" t="n">
        <f aca="false">'CORE DWNLD'!N176+'CORE DELTA'!N176</f>
        <v>0.99</v>
      </c>
      <c r="O176" s="108" t="n">
        <f aca="false">'CORE DWNLD'!O176+'CORE DELTA'!O176</f>
        <v>0.96</v>
      </c>
    </row>
    <row r="177" customFormat="false" ht="12.75" hidden="false" customHeight="false" outlineLevel="0" collapsed="false">
      <c r="A177" s="158" t="n">
        <v>42064</v>
      </c>
      <c r="B177" s="108" t="n">
        <f aca="false">'CORE DWNLD'!B177+'CORE DELTA'!B177</f>
        <v>0.999</v>
      </c>
      <c r="C177" s="108" t="n">
        <f aca="false">'CORE DWNLD'!C177+'CORE DELTA'!C177</f>
        <v>0.999</v>
      </c>
      <c r="D177" s="108" t="n">
        <f aca="false">'CORE DWNLD'!D177+'CORE DELTA'!D177</f>
        <v>0.995</v>
      </c>
      <c r="E177" s="108" t="n">
        <f aca="false">'CORE DWNLD'!E177+'CORE DELTA'!E177</f>
        <v>0.96</v>
      </c>
      <c r="F177" s="108" t="n">
        <f aca="false">'CORE DWNLD'!F177+'CORE DELTA'!F177</f>
        <v>0.96</v>
      </c>
      <c r="G177" s="108" t="n">
        <f aca="false">'CORE DWNLD'!G177+'CORE DELTA'!G177</f>
        <v>0.9306</v>
      </c>
      <c r="H177" s="108" t="n">
        <f aca="false">'CORE DWNLD'!H177+'CORE DELTA'!H177</f>
        <v>0.99</v>
      </c>
      <c r="I177" s="108" t="n">
        <f aca="false">'CORE DWNLD'!I177+'CORE DELTA'!I177</f>
        <v>0.9306</v>
      </c>
      <c r="J177" s="108" t="n">
        <f aca="false">'CORE DWNLD'!J177+'CORE DELTA'!J177</f>
        <v>0.995</v>
      </c>
      <c r="K177" s="108" t="n">
        <f aca="false">'CORE DWNLD'!K177+'CORE DELTA'!K177</f>
        <v>0.98</v>
      </c>
      <c r="L177" s="108" t="n">
        <f aca="false">'CORE DWNLD'!L177+'CORE DELTA'!L177</f>
        <v>0.99</v>
      </c>
      <c r="M177" s="108" t="n">
        <f aca="false">'CORE DWNLD'!M177+'CORE DELTA'!M177</f>
        <v>1.005</v>
      </c>
      <c r="N177" s="108" t="n">
        <f aca="false">'CORE DWNLD'!N177+'CORE DELTA'!N177</f>
        <v>0.99</v>
      </c>
      <c r="O177" s="108" t="n">
        <f aca="false">'CORE DWNLD'!O177+'CORE DELTA'!O177</f>
        <v>0.96</v>
      </c>
    </row>
    <row r="178" customFormat="false" ht="12.75" hidden="false" customHeight="false" outlineLevel="0" collapsed="false">
      <c r="A178" s="158" t="n">
        <v>42095</v>
      </c>
      <c r="B178" s="108" t="n">
        <f aca="false">'CORE DWNLD'!B178+'CORE DELTA'!B178</f>
        <v>0.999</v>
      </c>
      <c r="C178" s="108" t="n">
        <f aca="false">'CORE DWNLD'!C178+'CORE DELTA'!C178</f>
        <v>0.999</v>
      </c>
      <c r="D178" s="108" t="n">
        <f aca="false">'CORE DWNLD'!D178+'CORE DELTA'!D178</f>
        <v>0.995</v>
      </c>
      <c r="E178" s="108" t="n">
        <f aca="false">'CORE DWNLD'!E178+'CORE DELTA'!E178</f>
        <v>0.96</v>
      </c>
      <c r="F178" s="108" t="n">
        <f aca="false">'CORE DWNLD'!F178+'CORE DELTA'!F178</f>
        <v>0.96</v>
      </c>
      <c r="G178" s="108" t="n">
        <f aca="false">'CORE DWNLD'!G178+'CORE DELTA'!G178</f>
        <v>0.9306</v>
      </c>
      <c r="H178" s="108" t="n">
        <f aca="false">'CORE DWNLD'!H178+'CORE DELTA'!H178</f>
        <v>0.99</v>
      </c>
      <c r="I178" s="108" t="n">
        <f aca="false">'CORE DWNLD'!I178+'CORE DELTA'!I178</f>
        <v>0.9306</v>
      </c>
      <c r="J178" s="108" t="n">
        <f aca="false">'CORE DWNLD'!J178+'CORE DELTA'!J178</f>
        <v>0.995</v>
      </c>
      <c r="K178" s="108" t="n">
        <f aca="false">'CORE DWNLD'!K178+'CORE DELTA'!K178</f>
        <v>0.98</v>
      </c>
      <c r="L178" s="108" t="n">
        <f aca="false">'CORE DWNLD'!L178+'CORE DELTA'!L178</f>
        <v>0.99</v>
      </c>
      <c r="M178" s="108" t="n">
        <f aca="false">'CORE DWNLD'!M178+'CORE DELTA'!M178</f>
        <v>1.005</v>
      </c>
      <c r="N178" s="108" t="n">
        <f aca="false">'CORE DWNLD'!N178+'CORE DELTA'!N178</f>
        <v>0.99</v>
      </c>
      <c r="O178" s="108" t="n">
        <f aca="false">'CORE DWNLD'!O178+'CORE DELTA'!O178</f>
        <v>0.96</v>
      </c>
    </row>
    <row r="179" customFormat="false" ht="12.75" hidden="false" customHeight="false" outlineLevel="0" collapsed="false">
      <c r="A179" s="158" t="n">
        <v>42125</v>
      </c>
      <c r="B179" s="108" t="n">
        <f aca="false">'CORE DWNLD'!B179+'CORE DELTA'!B179</f>
        <v>0.999</v>
      </c>
      <c r="C179" s="108" t="n">
        <f aca="false">'CORE DWNLD'!C179+'CORE DELTA'!C179</f>
        <v>0.999</v>
      </c>
      <c r="D179" s="108" t="n">
        <f aca="false">'CORE DWNLD'!D179+'CORE DELTA'!D179</f>
        <v>0.995</v>
      </c>
      <c r="E179" s="108" t="n">
        <f aca="false">'CORE DWNLD'!E179+'CORE DELTA'!E179</f>
        <v>0.96</v>
      </c>
      <c r="F179" s="108" t="n">
        <f aca="false">'CORE DWNLD'!F179+'CORE DELTA'!F179</f>
        <v>0.96</v>
      </c>
      <c r="G179" s="108" t="n">
        <f aca="false">'CORE DWNLD'!G179+'CORE DELTA'!G179</f>
        <v>0.9306</v>
      </c>
      <c r="H179" s="108" t="n">
        <f aca="false">'CORE DWNLD'!H179+'CORE DELTA'!H179</f>
        <v>0.99</v>
      </c>
      <c r="I179" s="108" t="n">
        <f aca="false">'CORE DWNLD'!I179+'CORE DELTA'!I179</f>
        <v>0.9306</v>
      </c>
      <c r="J179" s="108" t="n">
        <f aca="false">'CORE DWNLD'!J179+'CORE DELTA'!J179</f>
        <v>0.995</v>
      </c>
      <c r="K179" s="108" t="n">
        <f aca="false">'CORE DWNLD'!K179+'CORE DELTA'!K179</f>
        <v>0.98</v>
      </c>
      <c r="L179" s="108" t="n">
        <f aca="false">'CORE DWNLD'!L179+'CORE DELTA'!L179</f>
        <v>0.99</v>
      </c>
      <c r="M179" s="108" t="n">
        <f aca="false">'CORE DWNLD'!M179+'CORE DELTA'!M179</f>
        <v>1.005</v>
      </c>
      <c r="N179" s="108" t="n">
        <f aca="false">'CORE DWNLD'!N179+'CORE DELTA'!N179</f>
        <v>0.99</v>
      </c>
      <c r="O179" s="108" t="n">
        <f aca="false">'CORE DWNLD'!O179+'CORE DELTA'!O179</f>
        <v>0.96</v>
      </c>
    </row>
    <row r="180" customFormat="false" ht="12.75" hidden="false" customHeight="false" outlineLevel="0" collapsed="false">
      <c r="A180" s="158" t="n">
        <v>42156</v>
      </c>
      <c r="B180" s="108" t="n">
        <f aca="false">'CORE DWNLD'!B180+'CORE DELTA'!B180</f>
        <v>0.999</v>
      </c>
      <c r="C180" s="108" t="n">
        <f aca="false">'CORE DWNLD'!C180+'CORE DELTA'!C180</f>
        <v>0.999</v>
      </c>
      <c r="D180" s="108" t="n">
        <f aca="false">'CORE DWNLD'!D180+'CORE DELTA'!D180</f>
        <v>0.995</v>
      </c>
      <c r="E180" s="108" t="n">
        <f aca="false">'CORE DWNLD'!E180+'CORE DELTA'!E180</f>
        <v>0.96</v>
      </c>
      <c r="F180" s="108" t="n">
        <f aca="false">'CORE DWNLD'!F180+'CORE DELTA'!F180</f>
        <v>0.96</v>
      </c>
      <c r="G180" s="108" t="n">
        <f aca="false">'CORE DWNLD'!G180+'CORE DELTA'!G180</f>
        <v>0.9306</v>
      </c>
      <c r="H180" s="108" t="n">
        <f aca="false">'CORE DWNLD'!H180+'CORE DELTA'!H180</f>
        <v>0.99</v>
      </c>
      <c r="I180" s="108" t="n">
        <f aca="false">'CORE DWNLD'!I180+'CORE DELTA'!I180</f>
        <v>0.9306</v>
      </c>
      <c r="J180" s="108" t="n">
        <f aca="false">'CORE DWNLD'!J180+'CORE DELTA'!J180</f>
        <v>0.995</v>
      </c>
      <c r="K180" s="108" t="n">
        <f aca="false">'CORE DWNLD'!K180+'CORE DELTA'!K180</f>
        <v>0.98</v>
      </c>
      <c r="L180" s="108" t="n">
        <f aca="false">'CORE DWNLD'!L180+'CORE DELTA'!L180</f>
        <v>0.99</v>
      </c>
      <c r="M180" s="108" t="n">
        <f aca="false">'CORE DWNLD'!M180+'CORE DELTA'!M180</f>
        <v>1.005</v>
      </c>
      <c r="N180" s="108" t="n">
        <f aca="false">'CORE DWNLD'!N180+'CORE DELTA'!N180</f>
        <v>0.99</v>
      </c>
      <c r="O180" s="108" t="n">
        <f aca="false">'CORE DWNLD'!O180+'CORE DELTA'!O180</f>
        <v>0.96</v>
      </c>
    </row>
    <row r="181" customFormat="false" ht="12.75" hidden="false" customHeight="false" outlineLevel="0" collapsed="false">
      <c r="A181" s="158" t="n">
        <v>42186</v>
      </c>
      <c r="B181" s="108" t="n">
        <f aca="false">'CORE DWNLD'!B181+'CORE DELTA'!B181</f>
        <v>0.999</v>
      </c>
      <c r="C181" s="108" t="n">
        <f aca="false">'CORE DWNLD'!C181+'CORE DELTA'!C181</f>
        <v>0.999</v>
      </c>
      <c r="D181" s="108" t="n">
        <f aca="false">'CORE DWNLD'!D181+'CORE DELTA'!D181</f>
        <v>0.995</v>
      </c>
      <c r="E181" s="108" t="n">
        <f aca="false">'CORE DWNLD'!E181+'CORE DELTA'!E181</f>
        <v>0.96</v>
      </c>
      <c r="F181" s="108" t="n">
        <f aca="false">'CORE DWNLD'!F181+'CORE DELTA'!F181</f>
        <v>0.96</v>
      </c>
      <c r="G181" s="108" t="n">
        <f aca="false">'CORE DWNLD'!G181+'CORE DELTA'!G181</f>
        <v>0.9306</v>
      </c>
      <c r="H181" s="108" t="n">
        <f aca="false">'CORE DWNLD'!H181+'CORE DELTA'!H181</f>
        <v>0.99</v>
      </c>
      <c r="I181" s="108" t="n">
        <f aca="false">'CORE DWNLD'!I181+'CORE DELTA'!I181</f>
        <v>0.9306</v>
      </c>
      <c r="J181" s="108" t="n">
        <f aca="false">'CORE DWNLD'!J181+'CORE DELTA'!J181</f>
        <v>0.995</v>
      </c>
      <c r="K181" s="108" t="n">
        <f aca="false">'CORE DWNLD'!K181+'CORE DELTA'!K181</f>
        <v>0.98</v>
      </c>
      <c r="L181" s="108" t="n">
        <f aca="false">'CORE DWNLD'!L181+'CORE DELTA'!L181</f>
        <v>0.99</v>
      </c>
      <c r="M181" s="108" t="n">
        <f aca="false">'CORE DWNLD'!M181+'CORE DELTA'!M181</f>
        <v>1.005</v>
      </c>
      <c r="N181" s="108" t="n">
        <f aca="false">'CORE DWNLD'!N181+'CORE DELTA'!N181</f>
        <v>0.99</v>
      </c>
      <c r="O181" s="108" t="n">
        <f aca="false">'CORE DWNLD'!O181+'CORE DELTA'!O181</f>
        <v>0.96</v>
      </c>
    </row>
    <row r="182" customFormat="false" ht="12.75" hidden="false" customHeight="false" outlineLevel="0" collapsed="false">
      <c r="A182" s="158" t="n">
        <v>42217</v>
      </c>
      <c r="B182" s="108" t="n">
        <f aca="false">'CORE DWNLD'!B182+'CORE DELTA'!B182</f>
        <v>0.999</v>
      </c>
      <c r="C182" s="108" t="n">
        <f aca="false">'CORE DWNLD'!C182+'CORE DELTA'!C182</f>
        <v>0.999</v>
      </c>
      <c r="D182" s="108" t="n">
        <f aca="false">'CORE DWNLD'!D182+'CORE DELTA'!D182</f>
        <v>0.995</v>
      </c>
      <c r="E182" s="108" t="n">
        <f aca="false">'CORE DWNLD'!E182+'CORE DELTA'!E182</f>
        <v>0.96</v>
      </c>
      <c r="F182" s="108" t="n">
        <f aca="false">'CORE DWNLD'!F182+'CORE DELTA'!F182</f>
        <v>0.96</v>
      </c>
      <c r="G182" s="108" t="n">
        <f aca="false">'CORE DWNLD'!G182+'CORE DELTA'!G182</f>
        <v>0.9306</v>
      </c>
      <c r="H182" s="108" t="n">
        <f aca="false">'CORE DWNLD'!H182+'CORE DELTA'!H182</f>
        <v>0.99</v>
      </c>
      <c r="I182" s="108" t="n">
        <f aca="false">'CORE DWNLD'!I182+'CORE DELTA'!I182</f>
        <v>0.9306</v>
      </c>
      <c r="J182" s="108" t="n">
        <f aca="false">'CORE DWNLD'!J182+'CORE DELTA'!J182</f>
        <v>0.995</v>
      </c>
      <c r="K182" s="108" t="n">
        <f aca="false">'CORE DWNLD'!K182+'CORE DELTA'!K182</f>
        <v>0.98</v>
      </c>
      <c r="L182" s="108" t="n">
        <f aca="false">'CORE DWNLD'!L182+'CORE DELTA'!L182</f>
        <v>0.99</v>
      </c>
      <c r="M182" s="108" t="n">
        <f aca="false">'CORE DWNLD'!M182+'CORE DELTA'!M182</f>
        <v>1.005</v>
      </c>
      <c r="N182" s="108" t="n">
        <f aca="false">'CORE DWNLD'!N182+'CORE DELTA'!N182</f>
        <v>0.99</v>
      </c>
      <c r="O182" s="108" t="n">
        <f aca="false">'CORE DWNLD'!O182+'CORE DELTA'!O182</f>
        <v>0.96</v>
      </c>
    </row>
    <row r="183" customFormat="false" ht="12.75" hidden="false" customHeight="false" outlineLevel="0" collapsed="false">
      <c r="A183" s="158" t="n">
        <v>42248</v>
      </c>
      <c r="B183" s="108" t="n">
        <f aca="false">'CORE DWNLD'!B183+'CORE DELTA'!B183</f>
        <v>0.999</v>
      </c>
      <c r="C183" s="108" t="n">
        <f aca="false">'CORE DWNLD'!C183+'CORE DELTA'!C183</f>
        <v>0.999</v>
      </c>
      <c r="D183" s="108" t="n">
        <f aca="false">'CORE DWNLD'!D183+'CORE DELTA'!D183</f>
        <v>0.995</v>
      </c>
      <c r="E183" s="108" t="n">
        <f aca="false">'CORE DWNLD'!E183+'CORE DELTA'!E183</f>
        <v>0.96</v>
      </c>
      <c r="F183" s="108" t="n">
        <f aca="false">'CORE DWNLD'!F183+'CORE DELTA'!F183</f>
        <v>0.96</v>
      </c>
      <c r="G183" s="108" t="n">
        <f aca="false">'CORE DWNLD'!G183+'CORE DELTA'!G183</f>
        <v>0.9306</v>
      </c>
      <c r="H183" s="108" t="n">
        <f aca="false">'CORE DWNLD'!H183+'CORE DELTA'!H183</f>
        <v>0.99</v>
      </c>
      <c r="I183" s="108" t="n">
        <f aca="false">'CORE DWNLD'!I183+'CORE DELTA'!I183</f>
        <v>0.9306</v>
      </c>
      <c r="J183" s="108" t="n">
        <f aca="false">'CORE DWNLD'!J183+'CORE DELTA'!J183</f>
        <v>0.995</v>
      </c>
      <c r="K183" s="108" t="n">
        <f aca="false">'CORE DWNLD'!K183+'CORE DELTA'!K183</f>
        <v>0.98</v>
      </c>
      <c r="L183" s="108" t="n">
        <f aca="false">'CORE DWNLD'!L183+'CORE DELTA'!L183</f>
        <v>0.99</v>
      </c>
      <c r="M183" s="108" t="n">
        <f aca="false">'CORE DWNLD'!M183+'CORE DELTA'!M183</f>
        <v>1.005</v>
      </c>
      <c r="N183" s="108" t="n">
        <f aca="false">'CORE DWNLD'!N183+'CORE DELTA'!N183</f>
        <v>0.99</v>
      </c>
      <c r="O183" s="108" t="n">
        <f aca="false">'CORE DWNLD'!O183+'CORE DELTA'!O183</f>
        <v>0.96</v>
      </c>
    </row>
    <row r="184" customFormat="false" ht="12.75" hidden="false" customHeight="false" outlineLevel="0" collapsed="false">
      <c r="A184" s="158" t="n">
        <v>42278</v>
      </c>
      <c r="B184" s="108" t="n">
        <f aca="false">'CORE DWNLD'!B184+'CORE DELTA'!B184</f>
        <v>0.999</v>
      </c>
      <c r="C184" s="108" t="n">
        <f aca="false">'CORE DWNLD'!C184+'CORE DELTA'!C184</f>
        <v>0.999</v>
      </c>
      <c r="D184" s="108" t="n">
        <f aca="false">'CORE DWNLD'!D184+'CORE DELTA'!D184</f>
        <v>0.995</v>
      </c>
      <c r="E184" s="108" t="n">
        <f aca="false">'CORE DWNLD'!E184+'CORE DELTA'!E184</f>
        <v>0.96</v>
      </c>
      <c r="F184" s="108" t="n">
        <f aca="false">'CORE DWNLD'!F184+'CORE DELTA'!F184</f>
        <v>0.96</v>
      </c>
      <c r="G184" s="108" t="n">
        <f aca="false">'CORE DWNLD'!G184+'CORE DELTA'!G184</f>
        <v>0.9306</v>
      </c>
      <c r="H184" s="108" t="n">
        <f aca="false">'CORE DWNLD'!H184+'CORE DELTA'!H184</f>
        <v>0.99</v>
      </c>
      <c r="I184" s="108" t="n">
        <f aca="false">'CORE DWNLD'!I184+'CORE DELTA'!I184</f>
        <v>0.9306</v>
      </c>
      <c r="J184" s="108" t="n">
        <f aca="false">'CORE DWNLD'!J184+'CORE DELTA'!J184</f>
        <v>0.995</v>
      </c>
      <c r="K184" s="108" t="n">
        <f aca="false">'CORE DWNLD'!K184+'CORE DELTA'!K184</f>
        <v>0.98</v>
      </c>
      <c r="L184" s="108" t="n">
        <f aca="false">'CORE DWNLD'!L184+'CORE DELTA'!L184</f>
        <v>0.99</v>
      </c>
      <c r="M184" s="108" t="n">
        <f aca="false">'CORE DWNLD'!M184+'CORE DELTA'!M184</f>
        <v>1.005</v>
      </c>
      <c r="N184" s="108" t="n">
        <f aca="false">'CORE DWNLD'!N184+'CORE DELTA'!N184</f>
        <v>0.99</v>
      </c>
      <c r="O184" s="108" t="n">
        <f aca="false">'CORE DWNLD'!O184+'CORE DELTA'!O184</f>
        <v>0.96</v>
      </c>
    </row>
    <row r="185" customFormat="false" ht="12.75" hidden="false" customHeight="false" outlineLevel="0" collapsed="false">
      <c r="A185" s="158" t="n">
        <v>42309</v>
      </c>
      <c r="B185" s="108" t="n">
        <f aca="false">'CORE DWNLD'!B185+'CORE DELTA'!B185</f>
        <v>0.999</v>
      </c>
      <c r="C185" s="108" t="n">
        <f aca="false">'CORE DWNLD'!C185+'CORE DELTA'!C185</f>
        <v>0.999</v>
      </c>
      <c r="D185" s="108" t="n">
        <f aca="false">'CORE DWNLD'!D185+'CORE DELTA'!D185</f>
        <v>0.995</v>
      </c>
      <c r="E185" s="108" t="n">
        <f aca="false">'CORE DWNLD'!E185+'CORE DELTA'!E185</f>
        <v>0.96</v>
      </c>
      <c r="F185" s="108" t="n">
        <f aca="false">'CORE DWNLD'!F185+'CORE DELTA'!F185</f>
        <v>0.96</v>
      </c>
      <c r="G185" s="108" t="n">
        <f aca="false">'CORE DWNLD'!G185+'CORE DELTA'!G185</f>
        <v>0.9306</v>
      </c>
      <c r="H185" s="108" t="n">
        <f aca="false">'CORE DWNLD'!H185+'CORE DELTA'!H185</f>
        <v>0.99</v>
      </c>
      <c r="I185" s="108" t="n">
        <f aca="false">'CORE DWNLD'!I185+'CORE DELTA'!I185</f>
        <v>0.9306</v>
      </c>
      <c r="J185" s="108" t="n">
        <f aca="false">'CORE DWNLD'!J185+'CORE DELTA'!J185</f>
        <v>0.995</v>
      </c>
      <c r="K185" s="108" t="n">
        <f aca="false">'CORE DWNLD'!K185+'CORE DELTA'!K185</f>
        <v>0.98</v>
      </c>
      <c r="L185" s="108" t="n">
        <f aca="false">'CORE DWNLD'!L185+'CORE DELTA'!L185</f>
        <v>0.99</v>
      </c>
      <c r="M185" s="108" t="n">
        <f aca="false">'CORE DWNLD'!M185+'CORE DELTA'!M185</f>
        <v>1.005</v>
      </c>
      <c r="N185" s="108" t="n">
        <f aca="false">'CORE DWNLD'!N185+'CORE DELTA'!N185</f>
        <v>0.99</v>
      </c>
      <c r="O185" s="108" t="n">
        <f aca="false">'CORE DWNLD'!O185+'CORE DELTA'!O185</f>
        <v>0.96</v>
      </c>
    </row>
    <row r="186" customFormat="false" ht="12.75" hidden="false" customHeight="false" outlineLevel="0" collapsed="false">
      <c r="A186" s="158" t="n">
        <v>42339</v>
      </c>
      <c r="B186" s="108" t="n">
        <f aca="false">'CORE DWNLD'!B186+'CORE DELTA'!B186</f>
        <v>0.999</v>
      </c>
      <c r="C186" s="108" t="n">
        <f aca="false">'CORE DWNLD'!C186+'CORE DELTA'!C186</f>
        <v>0.999</v>
      </c>
      <c r="D186" s="108" t="n">
        <f aca="false">'CORE DWNLD'!D186+'CORE DELTA'!D186</f>
        <v>0.995</v>
      </c>
      <c r="E186" s="108" t="n">
        <f aca="false">'CORE DWNLD'!E186+'CORE DELTA'!E186</f>
        <v>0.96</v>
      </c>
      <c r="F186" s="108" t="n">
        <f aca="false">'CORE DWNLD'!F186+'CORE DELTA'!F186</f>
        <v>0.96</v>
      </c>
      <c r="G186" s="108" t="n">
        <f aca="false">'CORE DWNLD'!G186+'CORE DELTA'!G186</f>
        <v>0.9306</v>
      </c>
      <c r="H186" s="108" t="n">
        <f aca="false">'CORE DWNLD'!H186+'CORE DELTA'!H186</f>
        <v>0.99</v>
      </c>
      <c r="I186" s="108" t="n">
        <f aca="false">'CORE DWNLD'!I186+'CORE DELTA'!I186</f>
        <v>0.9306</v>
      </c>
      <c r="J186" s="108" t="n">
        <f aca="false">'CORE DWNLD'!J186+'CORE DELTA'!J186</f>
        <v>0.995</v>
      </c>
      <c r="K186" s="108" t="n">
        <f aca="false">'CORE DWNLD'!K186+'CORE DELTA'!K186</f>
        <v>0.98</v>
      </c>
      <c r="L186" s="108" t="n">
        <f aca="false">'CORE DWNLD'!L186+'CORE DELTA'!L186</f>
        <v>0.99</v>
      </c>
      <c r="M186" s="108" t="n">
        <f aca="false">'CORE DWNLD'!M186+'CORE DELTA'!M186</f>
        <v>1.005</v>
      </c>
      <c r="N186" s="108" t="n">
        <f aca="false">'CORE DWNLD'!N186+'CORE DELTA'!N186</f>
        <v>0.99</v>
      </c>
      <c r="O186" s="108" t="n">
        <f aca="false">'CORE DWNLD'!O186+'CORE DELTA'!O186</f>
        <v>0.96</v>
      </c>
    </row>
    <row r="187" customFormat="false" ht="12.75" hidden="false" customHeight="false" outlineLevel="0" collapsed="false">
      <c r="A187" s="158" t="n">
        <v>42370</v>
      </c>
      <c r="B187" s="108" t="n">
        <f aca="false">'CORE DWNLD'!B187+'CORE DELTA'!B187</f>
        <v>0.999</v>
      </c>
      <c r="C187" s="108" t="n">
        <f aca="false">'CORE DWNLD'!C187+'CORE DELTA'!C187</f>
        <v>0.999</v>
      </c>
      <c r="D187" s="108" t="n">
        <f aca="false">'CORE DWNLD'!D187+'CORE DELTA'!D187</f>
        <v>0.995</v>
      </c>
      <c r="E187" s="108" t="n">
        <f aca="false">'CORE DWNLD'!E187+'CORE DELTA'!E187</f>
        <v>0.96</v>
      </c>
      <c r="F187" s="108" t="n">
        <f aca="false">'CORE DWNLD'!F187+'CORE DELTA'!F187</f>
        <v>0.96</v>
      </c>
      <c r="G187" s="108" t="n">
        <f aca="false">'CORE DWNLD'!G187+'CORE DELTA'!G187</f>
        <v>0.9306</v>
      </c>
      <c r="H187" s="108" t="n">
        <f aca="false">'CORE DWNLD'!H187+'CORE DELTA'!H187</f>
        <v>0.99</v>
      </c>
      <c r="I187" s="108" t="n">
        <f aca="false">'CORE DWNLD'!I187+'CORE DELTA'!I187</f>
        <v>0.9306</v>
      </c>
      <c r="J187" s="108" t="n">
        <f aca="false">'CORE DWNLD'!J187+'CORE DELTA'!J187</f>
        <v>0.995</v>
      </c>
      <c r="K187" s="108" t="n">
        <f aca="false">'CORE DWNLD'!K187+'CORE DELTA'!K187</f>
        <v>0.98</v>
      </c>
      <c r="L187" s="108" t="n">
        <f aca="false">'CORE DWNLD'!L187+'CORE DELTA'!L187</f>
        <v>0.99</v>
      </c>
      <c r="M187" s="108" t="n">
        <f aca="false">'CORE DWNLD'!M187+'CORE DELTA'!M187</f>
        <v>1.005</v>
      </c>
      <c r="N187" s="108" t="n">
        <f aca="false">'CORE DWNLD'!N187+'CORE DELTA'!N187</f>
        <v>0.99</v>
      </c>
      <c r="O187" s="108" t="n">
        <f aca="false">'CORE DWNLD'!O187+'CORE DELTA'!O187</f>
        <v>0.96</v>
      </c>
    </row>
    <row r="188" customFormat="false" ht="12.75" hidden="false" customHeight="false" outlineLevel="0" collapsed="false">
      <c r="A188" s="158" t="n">
        <v>42401</v>
      </c>
      <c r="B188" s="108" t="n">
        <f aca="false">'CORE DWNLD'!B188+'CORE DELTA'!B188</f>
        <v>0.999</v>
      </c>
      <c r="C188" s="108" t="n">
        <f aca="false">'CORE DWNLD'!C188+'CORE DELTA'!C188</f>
        <v>0.999</v>
      </c>
      <c r="D188" s="108" t="n">
        <f aca="false">'CORE DWNLD'!D188+'CORE DELTA'!D188</f>
        <v>0.995</v>
      </c>
      <c r="E188" s="108" t="n">
        <f aca="false">'CORE DWNLD'!E188+'CORE DELTA'!E188</f>
        <v>0.96</v>
      </c>
      <c r="F188" s="108" t="n">
        <f aca="false">'CORE DWNLD'!F188+'CORE DELTA'!F188</f>
        <v>0.96</v>
      </c>
      <c r="G188" s="108" t="n">
        <f aca="false">'CORE DWNLD'!G188+'CORE DELTA'!G188</f>
        <v>0.9306</v>
      </c>
      <c r="H188" s="108" t="n">
        <f aca="false">'CORE DWNLD'!H188+'CORE DELTA'!H188</f>
        <v>0.99</v>
      </c>
      <c r="I188" s="108" t="n">
        <f aca="false">'CORE DWNLD'!I188+'CORE DELTA'!I188</f>
        <v>0.9306</v>
      </c>
      <c r="J188" s="108" t="n">
        <f aca="false">'CORE DWNLD'!J188+'CORE DELTA'!J188</f>
        <v>0.995</v>
      </c>
      <c r="K188" s="108" t="n">
        <f aca="false">'CORE DWNLD'!K188+'CORE DELTA'!K188</f>
        <v>0.98</v>
      </c>
      <c r="L188" s="108" t="n">
        <f aca="false">'CORE DWNLD'!L188+'CORE DELTA'!L188</f>
        <v>0.99</v>
      </c>
      <c r="M188" s="108" t="n">
        <f aca="false">'CORE DWNLD'!M188+'CORE DELTA'!M188</f>
        <v>1.005</v>
      </c>
      <c r="N188" s="108" t="n">
        <f aca="false">'CORE DWNLD'!N188+'CORE DELTA'!N188</f>
        <v>0.99</v>
      </c>
      <c r="O188" s="108" t="n">
        <f aca="false">'CORE DWNLD'!O188+'CORE DELTA'!O188</f>
        <v>0.96</v>
      </c>
    </row>
    <row r="189" customFormat="false" ht="12.75" hidden="false" customHeight="false" outlineLevel="0" collapsed="false">
      <c r="A189" s="158" t="n">
        <v>42430</v>
      </c>
      <c r="B189" s="108" t="n">
        <f aca="false">'CORE DWNLD'!B189+'CORE DELTA'!B189</f>
        <v>0.999</v>
      </c>
      <c r="C189" s="108" t="n">
        <f aca="false">'CORE DWNLD'!C189+'CORE DELTA'!C189</f>
        <v>0.999</v>
      </c>
      <c r="D189" s="108" t="n">
        <f aca="false">'CORE DWNLD'!D189+'CORE DELTA'!D189</f>
        <v>0.995</v>
      </c>
      <c r="E189" s="108" t="n">
        <f aca="false">'CORE DWNLD'!E189+'CORE DELTA'!E189</f>
        <v>0.96</v>
      </c>
      <c r="F189" s="108" t="n">
        <f aca="false">'CORE DWNLD'!F189+'CORE DELTA'!F189</f>
        <v>0.96</v>
      </c>
      <c r="G189" s="108" t="n">
        <f aca="false">'CORE DWNLD'!G189+'CORE DELTA'!G189</f>
        <v>0.9306</v>
      </c>
      <c r="H189" s="108" t="n">
        <f aca="false">'CORE DWNLD'!H189+'CORE DELTA'!H189</f>
        <v>0.99</v>
      </c>
      <c r="I189" s="108" t="n">
        <f aca="false">'CORE DWNLD'!I189+'CORE DELTA'!I189</f>
        <v>0.9306</v>
      </c>
      <c r="J189" s="108" t="n">
        <f aca="false">'CORE DWNLD'!J189+'CORE DELTA'!J189</f>
        <v>0.995</v>
      </c>
      <c r="K189" s="108" t="n">
        <f aca="false">'CORE DWNLD'!K189+'CORE DELTA'!K189</f>
        <v>0.98</v>
      </c>
      <c r="L189" s="108" t="n">
        <f aca="false">'CORE DWNLD'!L189+'CORE DELTA'!L189</f>
        <v>0.99</v>
      </c>
      <c r="M189" s="108" t="n">
        <f aca="false">'CORE DWNLD'!M189+'CORE DELTA'!M189</f>
        <v>1.005</v>
      </c>
      <c r="N189" s="108" t="n">
        <f aca="false">'CORE DWNLD'!N189+'CORE DELTA'!N189</f>
        <v>0.99</v>
      </c>
      <c r="O189" s="108" t="n">
        <f aca="false">'CORE DWNLD'!O189+'CORE DELTA'!O189</f>
        <v>0.96</v>
      </c>
    </row>
    <row r="190" customFormat="false" ht="12.75" hidden="false" customHeight="false" outlineLevel="0" collapsed="false">
      <c r="A190" s="158" t="n">
        <v>42461</v>
      </c>
      <c r="B190" s="108" t="n">
        <f aca="false">'CORE DWNLD'!B190+'CORE DELTA'!B190</f>
        <v>0.999</v>
      </c>
      <c r="C190" s="108" t="n">
        <f aca="false">'CORE DWNLD'!C190+'CORE DELTA'!C190</f>
        <v>0.999</v>
      </c>
      <c r="D190" s="108" t="n">
        <f aca="false">'CORE DWNLD'!D190+'CORE DELTA'!D190</f>
        <v>0.995</v>
      </c>
      <c r="E190" s="108" t="n">
        <f aca="false">'CORE DWNLD'!E190+'CORE DELTA'!E190</f>
        <v>0.96</v>
      </c>
      <c r="F190" s="108" t="n">
        <f aca="false">'CORE DWNLD'!F190+'CORE DELTA'!F190</f>
        <v>0.96</v>
      </c>
      <c r="G190" s="108" t="n">
        <f aca="false">'CORE DWNLD'!G190+'CORE DELTA'!G190</f>
        <v>0.9306</v>
      </c>
      <c r="H190" s="108" t="n">
        <f aca="false">'CORE DWNLD'!H190+'CORE DELTA'!H190</f>
        <v>0.99</v>
      </c>
      <c r="I190" s="108" t="n">
        <f aca="false">'CORE DWNLD'!I190+'CORE DELTA'!I190</f>
        <v>0.9306</v>
      </c>
      <c r="J190" s="108" t="n">
        <f aca="false">'CORE DWNLD'!J190+'CORE DELTA'!J190</f>
        <v>0.995</v>
      </c>
      <c r="K190" s="108" t="n">
        <f aca="false">'CORE DWNLD'!K190+'CORE DELTA'!K190</f>
        <v>0.98</v>
      </c>
      <c r="L190" s="108" t="n">
        <f aca="false">'CORE DWNLD'!L190+'CORE DELTA'!L190</f>
        <v>0.99</v>
      </c>
      <c r="M190" s="108" t="n">
        <f aca="false">'CORE DWNLD'!M190+'CORE DELTA'!M190</f>
        <v>1.005</v>
      </c>
      <c r="N190" s="108" t="n">
        <f aca="false">'CORE DWNLD'!N190+'CORE DELTA'!N190</f>
        <v>0.99</v>
      </c>
      <c r="O190" s="108" t="n">
        <f aca="false">'CORE DWNLD'!O190+'CORE DELTA'!O190</f>
        <v>0.96</v>
      </c>
    </row>
    <row r="191" customFormat="false" ht="12.75" hidden="false" customHeight="false" outlineLevel="0" collapsed="false">
      <c r="A191" s="158" t="n">
        <v>42491</v>
      </c>
      <c r="B191" s="108" t="n">
        <f aca="false">'CORE DWNLD'!B191+'CORE DELTA'!B191</f>
        <v>0.999</v>
      </c>
      <c r="C191" s="108" t="n">
        <f aca="false">'CORE DWNLD'!C191+'CORE DELTA'!C191</f>
        <v>0.999</v>
      </c>
      <c r="D191" s="108" t="n">
        <f aca="false">'CORE DWNLD'!D191+'CORE DELTA'!D191</f>
        <v>0.995</v>
      </c>
      <c r="E191" s="108" t="n">
        <f aca="false">'CORE DWNLD'!E191+'CORE DELTA'!E191</f>
        <v>0.96</v>
      </c>
      <c r="F191" s="108" t="n">
        <f aca="false">'CORE DWNLD'!F191+'CORE DELTA'!F191</f>
        <v>0.96</v>
      </c>
      <c r="G191" s="108" t="n">
        <f aca="false">'CORE DWNLD'!G191+'CORE DELTA'!G191</f>
        <v>0.9306</v>
      </c>
      <c r="H191" s="108" t="n">
        <f aca="false">'CORE DWNLD'!H191+'CORE DELTA'!H191</f>
        <v>0.99</v>
      </c>
      <c r="I191" s="108" t="n">
        <f aca="false">'CORE DWNLD'!I191+'CORE DELTA'!I191</f>
        <v>0.9306</v>
      </c>
      <c r="J191" s="108" t="n">
        <f aca="false">'CORE DWNLD'!J191+'CORE DELTA'!J191</f>
        <v>0.995</v>
      </c>
      <c r="K191" s="108" t="n">
        <f aca="false">'CORE DWNLD'!K191+'CORE DELTA'!K191</f>
        <v>0.98</v>
      </c>
      <c r="L191" s="108" t="n">
        <f aca="false">'CORE DWNLD'!L191+'CORE DELTA'!L191</f>
        <v>0.99</v>
      </c>
      <c r="M191" s="108" t="n">
        <f aca="false">'CORE DWNLD'!M191+'CORE DELTA'!M191</f>
        <v>1.005</v>
      </c>
      <c r="N191" s="108" t="n">
        <f aca="false">'CORE DWNLD'!N191+'CORE DELTA'!N191</f>
        <v>0.99</v>
      </c>
      <c r="O191" s="108" t="n">
        <f aca="false">'CORE DWNLD'!O191+'CORE DELTA'!O191</f>
        <v>0.96</v>
      </c>
    </row>
    <row r="192" customFormat="false" ht="12.75" hidden="false" customHeight="false" outlineLevel="0" collapsed="false">
      <c r="A192" s="158" t="n">
        <v>42522</v>
      </c>
      <c r="B192" s="108" t="n">
        <f aca="false">'CORE DWNLD'!B192+'CORE DELTA'!B192</f>
        <v>0.999</v>
      </c>
      <c r="C192" s="108" t="n">
        <f aca="false">'CORE DWNLD'!C192+'CORE DELTA'!C192</f>
        <v>0.999</v>
      </c>
      <c r="D192" s="108" t="n">
        <f aca="false">'CORE DWNLD'!D192+'CORE DELTA'!D192</f>
        <v>0.995</v>
      </c>
      <c r="E192" s="108" t="n">
        <f aca="false">'CORE DWNLD'!E192+'CORE DELTA'!E192</f>
        <v>0.96</v>
      </c>
      <c r="F192" s="108" t="n">
        <f aca="false">'CORE DWNLD'!F192+'CORE DELTA'!F192</f>
        <v>0.96</v>
      </c>
      <c r="G192" s="108" t="n">
        <f aca="false">'CORE DWNLD'!G192+'CORE DELTA'!G192</f>
        <v>0.9306</v>
      </c>
      <c r="H192" s="108" t="n">
        <f aca="false">'CORE DWNLD'!H192+'CORE DELTA'!H192</f>
        <v>0.99</v>
      </c>
      <c r="I192" s="108" t="n">
        <f aca="false">'CORE DWNLD'!I192+'CORE DELTA'!I192</f>
        <v>0.9306</v>
      </c>
      <c r="J192" s="108" t="n">
        <f aca="false">'CORE DWNLD'!J192+'CORE DELTA'!J192</f>
        <v>0.995</v>
      </c>
      <c r="K192" s="108" t="n">
        <f aca="false">'CORE DWNLD'!K192+'CORE DELTA'!K192</f>
        <v>0.98</v>
      </c>
      <c r="L192" s="108" t="n">
        <f aca="false">'CORE DWNLD'!L192+'CORE DELTA'!L192</f>
        <v>0.99</v>
      </c>
      <c r="M192" s="108" t="n">
        <f aca="false">'CORE DWNLD'!M192+'CORE DELTA'!M192</f>
        <v>1.005</v>
      </c>
      <c r="N192" s="108" t="n">
        <f aca="false">'CORE DWNLD'!N192+'CORE DELTA'!N192</f>
        <v>0.99</v>
      </c>
      <c r="O192" s="108" t="n">
        <f aca="false">'CORE DWNLD'!O192+'CORE DELTA'!O192</f>
        <v>0.96</v>
      </c>
    </row>
    <row r="193" customFormat="false" ht="12.75" hidden="false" customHeight="false" outlineLevel="0" collapsed="false">
      <c r="A193" s="158" t="n">
        <v>42552</v>
      </c>
      <c r="B193" s="108" t="n">
        <f aca="false">'CORE DWNLD'!B193+'CORE DELTA'!B193</f>
        <v>0.999</v>
      </c>
      <c r="C193" s="108" t="n">
        <f aca="false">'CORE DWNLD'!C193+'CORE DELTA'!C193</f>
        <v>0.999</v>
      </c>
      <c r="D193" s="108" t="n">
        <f aca="false">'CORE DWNLD'!D193+'CORE DELTA'!D193</f>
        <v>0.995</v>
      </c>
      <c r="E193" s="108" t="n">
        <f aca="false">'CORE DWNLD'!E193+'CORE DELTA'!E193</f>
        <v>0.96</v>
      </c>
      <c r="F193" s="108" t="n">
        <f aca="false">'CORE DWNLD'!F193+'CORE DELTA'!F193</f>
        <v>0.96</v>
      </c>
      <c r="G193" s="108" t="n">
        <f aca="false">'CORE DWNLD'!G193+'CORE DELTA'!G193</f>
        <v>0.9306</v>
      </c>
      <c r="H193" s="108" t="n">
        <f aca="false">'CORE DWNLD'!H193+'CORE DELTA'!H193</f>
        <v>0.99</v>
      </c>
      <c r="I193" s="108" t="n">
        <f aca="false">'CORE DWNLD'!I193+'CORE DELTA'!I193</f>
        <v>0.9306</v>
      </c>
      <c r="J193" s="108" t="n">
        <f aca="false">'CORE DWNLD'!J193+'CORE DELTA'!J193</f>
        <v>0.995</v>
      </c>
      <c r="K193" s="108" t="n">
        <f aca="false">'CORE DWNLD'!K193+'CORE DELTA'!K193</f>
        <v>0.98</v>
      </c>
      <c r="L193" s="108" t="n">
        <f aca="false">'CORE DWNLD'!L193+'CORE DELTA'!L193</f>
        <v>0.99</v>
      </c>
      <c r="M193" s="108" t="n">
        <f aca="false">'CORE DWNLD'!M193+'CORE DELTA'!M193</f>
        <v>1.005</v>
      </c>
      <c r="N193" s="108" t="n">
        <f aca="false">'CORE DWNLD'!N193+'CORE DELTA'!N193</f>
        <v>0.99</v>
      </c>
      <c r="O193" s="108" t="n">
        <f aca="false">'CORE DWNLD'!O193+'CORE DELTA'!O193</f>
        <v>0.96</v>
      </c>
    </row>
    <row r="194" customFormat="false" ht="12.75" hidden="false" customHeight="false" outlineLevel="0" collapsed="false">
      <c r="A194" s="158" t="n">
        <v>42583</v>
      </c>
      <c r="B194" s="108" t="n">
        <f aca="false">'CORE DWNLD'!B194+'CORE DELTA'!B194</f>
        <v>0.999</v>
      </c>
      <c r="C194" s="108" t="n">
        <f aca="false">'CORE DWNLD'!C194+'CORE DELTA'!C194</f>
        <v>0.999</v>
      </c>
      <c r="D194" s="108" t="n">
        <f aca="false">'CORE DWNLD'!D194+'CORE DELTA'!D194</f>
        <v>0.995</v>
      </c>
      <c r="E194" s="108" t="n">
        <f aca="false">'CORE DWNLD'!E194+'CORE DELTA'!E194</f>
        <v>0.96</v>
      </c>
      <c r="F194" s="108" t="n">
        <f aca="false">'CORE DWNLD'!F194+'CORE DELTA'!F194</f>
        <v>0.96</v>
      </c>
      <c r="G194" s="108" t="n">
        <f aca="false">'CORE DWNLD'!G194+'CORE DELTA'!G194</f>
        <v>0.9306</v>
      </c>
      <c r="H194" s="108" t="n">
        <f aca="false">'CORE DWNLD'!H194+'CORE DELTA'!H194</f>
        <v>0.99</v>
      </c>
      <c r="I194" s="108" t="n">
        <f aca="false">'CORE DWNLD'!I194+'CORE DELTA'!I194</f>
        <v>0.9306</v>
      </c>
      <c r="J194" s="108" t="n">
        <f aca="false">'CORE DWNLD'!J194+'CORE DELTA'!J194</f>
        <v>0.995</v>
      </c>
      <c r="K194" s="108" t="n">
        <f aca="false">'CORE DWNLD'!K194+'CORE DELTA'!K194</f>
        <v>0.98</v>
      </c>
      <c r="L194" s="108" t="n">
        <f aca="false">'CORE DWNLD'!L194+'CORE DELTA'!L194</f>
        <v>0.99</v>
      </c>
      <c r="M194" s="108" t="n">
        <f aca="false">'CORE DWNLD'!M194+'CORE DELTA'!M194</f>
        <v>1.005</v>
      </c>
      <c r="N194" s="108" t="n">
        <f aca="false">'CORE DWNLD'!N194+'CORE DELTA'!N194</f>
        <v>0.99</v>
      </c>
      <c r="O194" s="108" t="n">
        <f aca="false">'CORE DWNLD'!O194+'CORE DELTA'!O194</f>
        <v>0.96</v>
      </c>
    </row>
    <row r="195" customFormat="false" ht="12.75" hidden="false" customHeight="false" outlineLevel="0" collapsed="false">
      <c r="A195" s="158" t="n">
        <v>42614</v>
      </c>
      <c r="B195" s="108" t="n">
        <f aca="false">'CORE DWNLD'!B195+'CORE DELTA'!B195</f>
        <v>0.999</v>
      </c>
      <c r="C195" s="108" t="n">
        <f aca="false">'CORE DWNLD'!C195+'CORE DELTA'!C195</f>
        <v>0.999</v>
      </c>
      <c r="D195" s="108" t="n">
        <f aca="false">'CORE DWNLD'!D195+'CORE DELTA'!D195</f>
        <v>0.995</v>
      </c>
      <c r="E195" s="108" t="n">
        <f aca="false">'CORE DWNLD'!E195+'CORE DELTA'!E195</f>
        <v>0.96</v>
      </c>
      <c r="F195" s="108" t="n">
        <f aca="false">'CORE DWNLD'!F195+'CORE DELTA'!F195</f>
        <v>0.96</v>
      </c>
      <c r="G195" s="108" t="n">
        <f aca="false">'CORE DWNLD'!G195+'CORE DELTA'!G195</f>
        <v>0.9306</v>
      </c>
      <c r="H195" s="108" t="n">
        <f aca="false">'CORE DWNLD'!H195+'CORE DELTA'!H195</f>
        <v>0.99</v>
      </c>
      <c r="I195" s="108" t="n">
        <f aca="false">'CORE DWNLD'!I195+'CORE DELTA'!I195</f>
        <v>0.9306</v>
      </c>
      <c r="J195" s="108" t="n">
        <f aca="false">'CORE DWNLD'!J195+'CORE DELTA'!J195</f>
        <v>0.995</v>
      </c>
      <c r="K195" s="108" t="n">
        <f aca="false">'CORE DWNLD'!K195+'CORE DELTA'!K195</f>
        <v>0.98</v>
      </c>
      <c r="L195" s="108" t="n">
        <f aca="false">'CORE DWNLD'!L195+'CORE DELTA'!L195</f>
        <v>0.99</v>
      </c>
      <c r="M195" s="108" t="n">
        <f aca="false">'CORE DWNLD'!M195+'CORE DELTA'!M195</f>
        <v>1.005</v>
      </c>
      <c r="N195" s="108" t="n">
        <f aca="false">'CORE DWNLD'!N195+'CORE DELTA'!N195</f>
        <v>0.99</v>
      </c>
      <c r="O195" s="108" t="n">
        <f aca="false">'CORE DWNLD'!O195+'CORE DELTA'!O195</f>
        <v>0.96</v>
      </c>
    </row>
    <row r="196" customFormat="false" ht="12.75" hidden="false" customHeight="false" outlineLevel="0" collapsed="false">
      <c r="A196" s="158" t="n">
        <v>42644</v>
      </c>
      <c r="B196" s="108" t="n">
        <f aca="false">'CORE DWNLD'!B196+'CORE DELTA'!B196</f>
        <v>0.999</v>
      </c>
      <c r="C196" s="108" t="n">
        <f aca="false">'CORE DWNLD'!C196+'CORE DELTA'!C196</f>
        <v>0.999</v>
      </c>
      <c r="D196" s="108" t="n">
        <f aca="false">'CORE DWNLD'!D196+'CORE DELTA'!D196</f>
        <v>0.995</v>
      </c>
      <c r="E196" s="108" t="n">
        <f aca="false">'CORE DWNLD'!E196+'CORE DELTA'!E196</f>
        <v>0.96</v>
      </c>
      <c r="F196" s="108" t="n">
        <f aca="false">'CORE DWNLD'!F196+'CORE DELTA'!F196</f>
        <v>0.96</v>
      </c>
      <c r="G196" s="108" t="n">
        <f aca="false">'CORE DWNLD'!G196+'CORE DELTA'!G196</f>
        <v>0.9306</v>
      </c>
      <c r="H196" s="108" t="n">
        <f aca="false">'CORE DWNLD'!H196+'CORE DELTA'!H196</f>
        <v>0.99</v>
      </c>
      <c r="I196" s="108" t="n">
        <f aca="false">'CORE DWNLD'!I196+'CORE DELTA'!I196</f>
        <v>0.9306</v>
      </c>
      <c r="J196" s="108" t="n">
        <f aca="false">'CORE DWNLD'!J196+'CORE DELTA'!J196</f>
        <v>0.995</v>
      </c>
      <c r="K196" s="108" t="n">
        <f aca="false">'CORE DWNLD'!K196+'CORE DELTA'!K196</f>
        <v>0.98</v>
      </c>
      <c r="L196" s="108" t="n">
        <f aca="false">'CORE DWNLD'!L196+'CORE DELTA'!L196</f>
        <v>0.99</v>
      </c>
      <c r="M196" s="108" t="n">
        <f aca="false">'CORE DWNLD'!M196+'CORE DELTA'!M196</f>
        <v>1.005</v>
      </c>
      <c r="N196" s="108" t="n">
        <f aca="false">'CORE DWNLD'!N196+'CORE DELTA'!N196</f>
        <v>0.99</v>
      </c>
      <c r="O196" s="108" t="n">
        <f aca="false">'CORE DWNLD'!O196+'CORE DELTA'!O196</f>
        <v>0.96</v>
      </c>
    </row>
    <row r="197" customFormat="false" ht="12.75" hidden="false" customHeight="false" outlineLevel="0" collapsed="false">
      <c r="A197" s="158" t="n">
        <v>42675</v>
      </c>
      <c r="B197" s="108" t="n">
        <f aca="false">'CORE DWNLD'!B197+'CORE DELTA'!B197</f>
        <v>0.999</v>
      </c>
      <c r="C197" s="108" t="n">
        <f aca="false">'CORE DWNLD'!C197+'CORE DELTA'!C197</f>
        <v>0.999</v>
      </c>
      <c r="D197" s="108" t="n">
        <f aca="false">'CORE DWNLD'!D197+'CORE DELTA'!D197</f>
        <v>0.995</v>
      </c>
      <c r="E197" s="108" t="n">
        <f aca="false">'CORE DWNLD'!E197+'CORE DELTA'!E197</f>
        <v>0.96</v>
      </c>
      <c r="F197" s="108" t="n">
        <f aca="false">'CORE DWNLD'!F197+'CORE DELTA'!F197</f>
        <v>0.96</v>
      </c>
      <c r="G197" s="108" t="n">
        <f aca="false">'CORE DWNLD'!G197+'CORE DELTA'!G197</f>
        <v>0.9306</v>
      </c>
      <c r="H197" s="108" t="n">
        <f aca="false">'CORE DWNLD'!H197+'CORE DELTA'!H197</f>
        <v>0.99</v>
      </c>
      <c r="I197" s="108" t="n">
        <f aca="false">'CORE DWNLD'!I197+'CORE DELTA'!I197</f>
        <v>0.9306</v>
      </c>
      <c r="J197" s="108" t="n">
        <f aca="false">'CORE DWNLD'!J197+'CORE DELTA'!J197</f>
        <v>0.995</v>
      </c>
      <c r="K197" s="108" t="n">
        <f aca="false">'CORE DWNLD'!K197+'CORE DELTA'!K197</f>
        <v>0.98</v>
      </c>
      <c r="L197" s="108" t="n">
        <f aca="false">'CORE DWNLD'!L197+'CORE DELTA'!L197</f>
        <v>0.99</v>
      </c>
      <c r="M197" s="108" t="n">
        <f aca="false">'CORE DWNLD'!M197+'CORE DELTA'!M197</f>
        <v>1.005</v>
      </c>
      <c r="N197" s="108" t="n">
        <f aca="false">'CORE DWNLD'!N197+'CORE DELTA'!N197</f>
        <v>0.99</v>
      </c>
      <c r="O197" s="108" t="n">
        <f aca="false">'CORE DWNLD'!O197+'CORE DELTA'!O197</f>
        <v>0.96</v>
      </c>
    </row>
    <row r="198" customFormat="false" ht="12.75" hidden="false" customHeight="false" outlineLevel="0" collapsed="false">
      <c r="A198" s="158" t="n">
        <v>42705</v>
      </c>
      <c r="B198" s="108" t="n">
        <f aca="false">'CORE DWNLD'!B198+'CORE DELTA'!B198</f>
        <v>0.999</v>
      </c>
      <c r="C198" s="108" t="n">
        <f aca="false">'CORE DWNLD'!C198+'CORE DELTA'!C198</f>
        <v>0.999</v>
      </c>
      <c r="D198" s="108" t="n">
        <f aca="false">'CORE DWNLD'!D198+'CORE DELTA'!D198</f>
        <v>0.995</v>
      </c>
      <c r="E198" s="108" t="n">
        <f aca="false">'CORE DWNLD'!E198+'CORE DELTA'!E198</f>
        <v>0.96</v>
      </c>
      <c r="F198" s="108" t="n">
        <f aca="false">'CORE DWNLD'!F198+'CORE DELTA'!F198</f>
        <v>0.96</v>
      </c>
      <c r="G198" s="108" t="n">
        <f aca="false">'CORE DWNLD'!G198+'CORE DELTA'!G198</f>
        <v>0.9306</v>
      </c>
      <c r="H198" s="108" t="n">
        <f aca="false">'CORE DWNLD'!H198+'CORE DELTA'!H198</f>
        <v>0.99</v>
      </c>
      <c r="I198" s="108" t="n">
        <f aca="false">'CORE DWNLD'!I198+'CORE DELTA'!I198</f>
        <v>0.9306</v>
      </c>
      <c r="J198" s="108" t="n">
        <f aca="false">'CORE DWNLD'!J198+'CORE DELTA'!J198</f>
        <v>0.995</v>
      </c>
      <c r="K198" s="108" t="n">
        <f aca="false">'CORE DWNLD'!K198+'CORE DELTA'!K198</f>
        <v>0.98</v>
      </c>
      <c r="L198" s="108" t="n">
        <f aca="false">'CORE DWNLD'!L198+'CORE DELTA'!L198</f>
        <v>0.99</v>
      </c>
      <c r="M198" s="108" t="n">
        <f aca="false">'CORE DWNLD'!M198+'CORE DELTA'!M198</f>
        <v>1.005</v>
      </c>
      <c r="N198" s="108" t="n">
        <f aca="false">'CORE DWNLD'!N198+'CORE DELTA'!N198</f>
        <v>0.99</v>
      </c>
      <c r="O198" s="108" t="n">
        <f aca="false">'CORE DWNLD'!O198+'CORE DELTA'!O198</f>
        <v>0.96</v>
      </c>
    </row>
    <row r="199" customFormat="false" ht="12.75" hidden="false" customHeight="false" outlineLevel="0" collapsed="false">
      <c r="A199" s="158" t="n">
        <v>42736</v>
      </c>
      <c r="B199" s="108" t="n">
        <f aca="false">'CORE DWNLD'!B199+'CORE DELTA'!B199</f>
        <v>0.999</v>
      </c>
      <c r="C199" s="108" t="n">
        <f aca="false">'CORE DWNLD'!C199+'CORE DELTA'!C199</f>
        <v>0.999</v>
      </c>
      <c r="D199" s="108" t="n">
        <f aca="false">'CORE DWNLD'!D199+'CORE DELTA'!D199</f>
        <v>0.995</v>
      </c>
      <c r="E199" s="108" t="n">
        <f aca="false">'CORE DWNLD'!E199+'CORE DELTA'!E199</f>
        <v>0.96</v>
      </c>
      <c r="F199" s="108" t="n">
        <f aca="false">'CORE DWNLD'!F199+'CORE DELTA'!F199</f>
        <v>0.96</v>
      </c>
      <c r="G199" s="108" t="n">
        <f aca="false">'CORE DWNLD'!G199+'CORE DELTA'!G199</f>
        <v>0.9306</v>
      </c>
      <c r="H199" s="108" t="n">
        <f aca="false">'CORE DWNLD'!H199+'CORE DELTA'!H199</f>
        <v>0.99</v>
      </c>
      <c r="I199" s="108" t="n">
        <f aca="false">'CORE DWNLD'!I199+'CORE DELTA'!I199</f>
        <v>0.9306</v>
      </c>
      <c r="J199" s="108" t="n">
        <f aca="false">'CORE DWNLD'!J199+'CORE DELTA'!J199</f>
        <v>0.995</v>
      </c>
      <c r="K199" s="108" t="n">
        <f aca="false">'CORE DWNLD'!K199+'CORE DELTA'!K199</f>
        <v>0.98</v>
      </c>
      <c r="L199" s="108" t="n">
        <f aca="false">'CORE DWNLD'!L199+'CORE DELTA'!L199</f>
        <v>0.99</v>
      </c>
      <c r="M199" s="108" t="n">
        <f aca="false">'CORE DWNLD'!M199+'CORE DELTA'!M199</f>
        <v>1.005</v>
      </c>
      <c r="N199" s="108" t="n">
        <f aca="false">'CORE DWNLD'!N199+'CORE DELTA'!N199</f>
        <v>0.99</v>
      </c>
      <c r="O199" s="108" t="n">
        <f aca="false">'CORE DWNLD'!O199+'CORE DELTA'!O199</f>
        <v>0.96</v>
      </c>
    </row>
    <row r="200" customFormat="false" ht="12.75" hidden="false" customHeight="false" outlineLevel="0" collapsed="false">
      <c r="A200" s="158" t="n">
        <v>42767</v>
      </c>
      <c r="B200" s="108" t="n">
        <f aca="false">'CORE DWNLD'!B200+'CORE DELTA'!B200</f>
        <v>0.999</v>
      </c>
      <c r="C200" s="108" t="n">
        <f aca="false">'CORE DWNLD'!C200+'CORE DELTA'!C200</f>
        <v>0.999</v>
      </c>
      <c r="D200" s="108" t="n">
        <f aca="false">'CORE DWNLD'!D200+'CORE DELTA'!D200</f>
        <v>0.995</v>
      </c>
      <c r="E200" s="108" t="n">
        <f aca="false">'CORE DWNLD'!E200+'CORE DELTA'!E200</f>
        <v>0.96</v>
      </c>
      <c r="F200" s="108" t="n">
        <f aca="false">'CORE DWNLD'!F200+'CORE DELTA'!F200</f>
        <v>0.96</v>
      </c>
      <c r="G200" s="108" t="n">
        <f aca="false">'CORE DWNLD'!G200+'CORE DELTA'!G200</f>
        <v>0.9306</v>
      </c>
      <c r="H200" s="108" t="n">
        <f aca="false">'CORE DWNLD'!H200+'CORE DELTA'!H200</f>
        <v>0.99</v>
      </c>
      <c r="I200" s="108" t="n">
        <f aca="false">'CORE DWNLD'!I200+'CORE DELTA'!I200</f>
        <v>0.9306</v>
      </c>
      <c r="J200" s="108" t="n">
        <f aca="false">'CORE DWNLD'!J200+'CORE DELTA'!J200</f>
        <v>0.995</v>
      </c>
      <c r="K200" s="108" t="n">
        <f aca="false">'CORE DWNLD'!K200+'CORE DELTA'!K200</f>
        <v>0.98</v>
      </c>
      <c r="L200" s="108" t="n">
        <f aca="false">'CORE DWNLD'!L200+'CORE DELTA'!L200</f>
        <v>0.99</v>
      </c>
      <c r="M200" s="108" t="n">
        <f aca="false">'CORE DWNLD'!M200+'CORE DELTA'!M200</f>
        <v>1.005</v>
      </c>
      <c r="N200" s="108" t="n">
        <f aca="false">'CORE DWNLD'!N200+'CORE DELTA'!N200</f>
        <v>0.99</v>
      </c>
      <c r="O200" s="108" t="n">
        <f aca="false">'CORE DWNLD'!O200+'CORE DELTA'!O200</f>
        <v>0.96</v>
      </c>
    </row>
    <row r="201" customFormat="false" ht="12.75" hidden="false" customHeight="false" outlineLevel="0" collapsed="false">
      <c r="A201" s="158" t="n">
        <v>42795</v>
      </c>
      <c r="B201" s="108" t="n">
        <f aca="false">'CORE DWNLD'!B201+'CORE DELTA'!B201</f>
        <v>0.999</v>
      </c>
      <c r="C201" s="108" t="n">
        <f aca="false">'CORE DWNLD'!C201+'CORE DELTA'!C201</f>
        <v>0.999</v>
      </c>
      <c r="D201" s="108" t="n">
        <f aca="false">'CORE DWNLD'!D201+'CORE DELTA'!D201</f>
        <v>0.995</v>
      </c>
      <c r="E201" s="108" t="n">
        <f aca="false">'CORE DWNLD'!E201+'CORE DELTA'!E201</f>
        <v>0.96</v>
      </c>
      <c r="F201" s="108" t="n">
        <f aca="false">'CORE DWNLD'!F201+'CORE DELTA'!F201</f>
        <v>0.96</v>
      </c>
      <c r="G201" s="108" t="n">
        <f aca="false">'CORE DWNLD'!G201+'CORE DELTA'!G201</f>
        <v>0.9306</v>
      </c>
      <c r="H201" s="108" t="n">
        <f aca="false">'CORE DWNLD'!H201+'CORE DELTA'!H201</f>
        <v>0.99</v>
      </c>
      <c r="I201" s="108" t="n">
        <f aca="false">'CORE DWNLD'!I201+'CORE DELTA'!I201</f>
        <v>0.9306</v>
      </c>
      <c r="J201" s="108" t="n">
        <f aca="false">'CORE DWNLD'!J201+'CORE DELTA'!J201</f>
        <v>0.995</v>
      </c>
      <c r="K201" s="108" t="n">
        <f aca="false">'CORE DWNLD'!K201+'CORE DELTA'!K201</f>
        <v>0.98</v>
      </c>
      <c r="L201" s="108" t="n">
        <f aca="false">'CORE DWNLD'!L201+'CORE DELTA'!L201</f>
        <v>0.99</v>
      </c>
      <c r="M201" s="108" t="n">
        <f aca="false">'CORE DWNLD'!M201+'CORE DELTA'!M201</f>
        <v>1.005</v>
      </c>
      <c r="N201" s="108" t="n">
        <f aca="false">'CORE DWNLD'!N201+'CORE DELTA'!N201</f>
        <v>0.99</v>
      </c>
      <c r="O201" s="108" t="n">
        <f aca="false">'CORE DWNLD'!O201+'CORE DELTA'!O201</f>
        <v>0.96</v>
      </c>
    </row>
    <row r="202" customFormat="false" ht="12.75" hidden="false" customHeight="false" outlineLevel="0" collapsed="false">
      <c r="A202" s="158" t="n">
        <v>42826</v>
      </c>
      <c r="B202" s="108" t="n">
        <f aca="false">'CORE DWNLD'!B202+'CORE DELTA'!B202</f>
        <v>0.999</v>
      </c>
      <c r="C202" s="108" t="n">
        <f aca="false">'CORE DWNLD'!C202+'CORE DELTA'!C202</f>
        <v>0.999</v>
      </c>
      <c r="D202" s="108" t="n">
        <f aca="false">'CORE DWNLD'!D202+'CORE DELTA'!D202</f>
        <v>0.995</v>
      </c>
      <c r="E202" s="108" t="n">
        <f aca="false">'CORE DWNLD'!E202+'CORE DELTA'!E202</f>
        <v>0.96</v>
      </c>
      <c r="F202" s="108" t="n">
        <f aca="false">'CORE DWNLD'!F202+'CORE DELTA'!F202</f>
        <v>0.96</v>
      </c>
      <c r="G202" s="108" t="n">
        <f aca="false">'CORE DWNLD'!G202+'CORE DELTA'!G202</f>
        <v>0.9306</v>
      </c>
      <c r="H202" s="108" t="n">
        <f aca="false">'CORE DWNLD'!H202+'CORE DELTA'!H202</f>
        <v>0.99</v>
      </c>
      <c r="I202" s="108" t="n">
        <f aca="false">'CORE DWNLD'!I202+'CORE DELTA'!I202</f>
        <v>0.9306</v>
      </c>
      <c r="J202" s="108" t="n">
        <f aca="false">'CORE DWNLD'!J202+'CORE DELTA'!J202</f>
        <v>0.995</v>
      </c>
      <c r="K202" s="108" t="n">
        <f aca="false">'CORE DWNLD'!K202+'CORE DELTA'!K202</f>
        <v>0.98</v>
      </c>
      <c r="L202" s="108" t="n">
        <f aca="false">'CORE DWNLD'!L202+'CORE DELTA'!L202</f>
        <v>0.99</v>
      </c>
      <c r="M202" s="108" t="n">
        <f aca="false">'CORE DWNLD'!M202+'CORE DELTA'!M202</f>
        <v>1.005</v>
      </c>
      <c r="N202" s="108" t="n">
        <f aca="false">'CORE DWNLD'!N202+'CORE DELTA'!N202</f>
        <v>0.99</v>
      </c>
      <c r="O202" s="108" t="n">
        <f aca="false">'CORE DWNLD'!O202+'CORE DELTA'!O202</f>
        <v>0.96</v>
      </c>
    </row>
    <row r="203" customFormat="false" ht="12.75" hidden="false" customHeight="false" outlineLevel="0" collapsed="false">
      <c r="A203" s="158" t="n">
        <v>42856</v>
      </c>
      <c r="B203" s="108" t="n">
        <f aca="false">'CORE DWNLD'!B203+'CORE DELTA'!B203</f>
        <v>0.999</v>
      </c>
      <c r="C203" s="108" t="n">
        <f aca="false">'CORE DWNLD'!C203+'CORE DELTA'!C203</f>
        <v>0.999</v>
      </c>
      <c r="D203" s="108" t="n">
        <f aca="false">'CORE DWNLD'!D203+'CORE DELTA'!D203</f>
        <v>0.995</v>
      </c>
      <c r="E203" s="108" t="n">
        <f aca="false">'CORE DWNLD'!E203+'CORE DELTA'!E203</f>
        <v>0.96</v>
      </c>
      <c r="F203" s="108" t="n">
        <f aca="false">'CORE DWNLD'!F203+'CORE DELTA'!F203</f>
        <v>0.96</v>
      </c>
      <c r="G203" s="108" t="n">
        <f aca="false">'CORE DWNLD'!G203+'CORE DELTA'!G203</f>
        <v>0.9306</v>
      </c>
      <c r="H203" s="108" t="n">
        <f aca="false">'CORE DWNLD'!H203+'CORE DELTA'!H203</f>
        <v>0.99</v>
      </c>
      <c r="I203" s="108" t="n">
        <f aca="false">'CORE DWNLD'!I203+'CORE DELTA'!I203</f>
        <v>0.9306</v>
      </c>
      <c r="J203" s="108" t="n">
        <f aca="false">'CORE DWNLD'!J203+'CORE DELTA'!J203</f>
        <v>0.995</v>
      </c>
      <c r="K203" s="108" t="n">
        <f aca="false">'CORE DWNLD'!K203+'CORE DELTA'!K203</f>
        <v>0.98</v>
      </c>
      <c r="L203" s="108" t="n">
        <f aca="false">'CORE DWNLD'!L203+'CORE DELTA'!L203</f>
        <v>0.99</v>
      </c>
      <c r="M203" s="108" t="n">
        <f aca="false">'CORE DWNLD'!M203+'CORE DELTA'!M203</f>
        <v>1.005</v>
      </c>
      <c r="N203" s="108" t="n">
        <f aca="false">'CORE DWNLD'!N203+'CORE DELTA'!N203</f>
        <v>0.99</v>
      </c>
      <c r="O203" s="108" t="n">
        <f aca="false">'CORE DWNLD'!O203+'CORE DELTA'!O203</f>
        <v>0.96</v>
      </c>
    </row>
    <row r="204" customFormat="false" ht="12.75" hidden="false" customHeight="false" outlineLevel="0" collapsed="false">
      <c r="A204" s="158" t="n">
        <v>42887</v>
      </c>
      <c r="B204" s="108" t="n">
        <f aca="false">'CORE DWNLD'!B204+'CORE DELTA'!B204</f>
        <v>0.999</v>
      </c>
      <c r="C204" s="108" t="n">
        <f aca="false">'CORE DWNLD'!C204+'CORE DELTA'!C204</f>
        <v>0.999</v>
      </c>
      <c r="D204" s="108" t="n">
        <f aca="false">'CORE DWNLD'!D204+'CORE DELTA'!D204</f>
        <v>0.995</v>
      </c>
      <c r="E204" s="108" t="n">
        <f aca="false">'CORE DWNLD'!E204+'CORE DELTA'!E204</f>
        <v>0.96</v>
      </c>
      <c r="F204" s="108" t="n">
        <f aca="false">'CORE DWNLD'!F204+'CORE DELTA'!F204</f>
        <v>0.96</v>
      </c>
      <c r="G204" s="108" t="n">
        <f aca="false">'CORE DWNLD'!G204+'CORE DELTA'!G204</f>
        <v>0.9306</v>
      </c>
      <c r="H204" s="108" t="n">
        <f aca="false">'CORE DWNLD'!H204+'CORE DELTA'!H204</f>
        <v>0.99</v>
      </c>
      <c r="I204" s="108" t="n">
        <f aca="false">'CORE DWNLD'!I204+'CORE DELTA'!I204</f>
        <v>0.9306</v>
      </c>
      <c r="J204" s="108" t="n">
        <f aca="false">'CORE DWNLD'!J204+'CORE DELTA'!J204</f>
        <v>0.995</v>
      </c>
      <c r="K204" s="108" t="n">
        <f aca="false">'CORE DWNLD'!K204+'CORE DELTA'!K204</f>
        <v>0.98</v>
      </c>
      <c r="L204" s="108" t="n">
        <f aca="false">'CORE DWNLD'!L204+'CORE DELTA'!L204</f>
        <v>0.99</v>
      </c>
      <c r="M204" s="108" t="n">
        <f aca="false">'CORE DWNLD'!M204+'CORE DELTA'!M204</f>
        <v>1.005</v>
      </c>
      <c r="N204" s="108" t="n">
        <f aca="false">'CORE DWNLD'!N204+'CORE DELTA'!N204</f>
        <v>0.99</v>
      </c>
      <c r="O204" s="108" t="n">
        <f aca="false">'CORE DWNLD'!O204+'CORE DELTA'!O204</f>
        <v>0.96</v>
      </c>
    </row>
    <row r="205" customFormat="false" ht="12.75" hidden="false" customHeight="false" outlineLevel="0" collapsed="false">
      <c r="A205" s="158" t="n">
        <v>42917</v>
      </c>
      <c r="B205" s="108" t="n">
        <f aca="false">'CORE DWNLD'!B205+'CORE DELTA'!B205</f>
        <v>0.999</v>
      </c>
      <c r="C205" s="108" t="n">
        <f aca="false">'CORE DWNLD'!C205+'CORE DELTA'!C205</f>
        <v>0.999</v>
      </c>
      <c r="D205" s="108" t="n">
        <f aca="false">'CORE DWNLD'!D205+'CORE DELTA'!D205</f>
        <v>0.995</v>
      </c>
      <c r="E205" s="108" t="n">
        <f aca="false">'CORE DWNLD'!E205+'CORE DELTA'!E205</f>
        <v>0.96</v>
      </c>
      <c r="F205" s="108" t="n">
        <f aca="false">'CORE DWNLD'!F205+'CORE DELTA'!F205</f>
        <v>0.96</v>
      </c>
      <c r="G205" s="108" t="n">
        <f aca="false">'CORE DWNLD'!G205+'CORE DELTA'!G205</f>
        <v>0.9306</v>
      </c>
      <c r="H205" s="108" t="n">
        <f aca="false">'CORE DWNLD'!H205+'CORE DELTA'!H205</f>
        <v>0.99</v>
      </c>
      <c r="I205" s="108" t="n">
        <f aca="false">'CORE DWNLD'!I205+'CORE DELTA'!I205</f>
        <v>0.9306</v>
      </c>
      <c r="J205" s="108" t="n">
        <f aca="false">'CORE DWNLD'!J205+'CORE DELTA'!J205</f>
        <v>0.995</v>
      </c>
      <c r="K205" s="108" t="n">
        <f aca="false">'CORE DWNLD'!K205+'CORE DELTA'!K205</f>
        <v>0.98</v>
      </c>
      <c r="L205" s="108" t="n">
        <f aca="false">'CORE DWNLD'!L205+'CORE DELTA'!L205</f>
        <v>0.99</v>
      </c>
      <c r="M205" s="108" t="n">
        <f aca="false">'CORE DWNLD'!M205+'CORE DELTA'!M205</f>
        <v>1.005</v>
      </c>
      <c r="N205" s="108" t="n">
        <f aca="false">'CORE DWNLD'!N205+'CORE DELTA'!N205</f>
        <v>0.99</v>
      </c>
      <c r="O205" s="108" t="n">
        <f aca="false">'CORE DWNLD'!O205+'CORE DELTA'!O205</f>
        <v>0.96</v>
      </c>
    </row>
    <row r="206" customFormat="false" ht="12.75" hidden="false" customHeight="false" outlineLevel="0" collapsed="false">
      <c r="A206" s="158" t="n">
        <v>42948</v>
      </c>
      <c r="B206" s="108" t="n">
        <f aca="false">'CORE DWNLD'!B206+'CORE DELTA'!B206</f>
        <v>0.999</v>
      </c>
      <c r="C206" s="108" t="n">
        <f aca="false">'CORE DWNLD'!C206+'CORE DELTA'!C206</f>
        <v>0.999</v>
      </c>
      <c r="D206" s="108" t="n">
        <f aca="false">'CORE DWNLD'!D206+'CORE DELTA'!D206</f>
        <v>0.995</v>
      </c>
      <c r="E206" s="108" t="n">
        <f aca="false">'CORE DWNLD'!E206+'CORE DELTA'!E206</f>
        <v>0.96</v>
      </c>
      <c r="F206" s="108" t="n">
        <f aca="false">'CORE DWNLD'!F206+'CORE DELTA'!F206</f>
        <v>0.96</v>
      </c>
      <c r="G206" s="108" t="n">
        <f aca="false">'CORE DWNLD'!G206+'CORE DELTA'!G206</f>
        <v>0.9306</v>
      </c>
      <c r="H206" s="108" t="n">
        <f aca="false">'CORE DWNLD'!H206+'CORE DELTA'!H206</f>
        <v>0.99</v>
      </c>
      <c r="I206" s="108" t="n">
        <f aca="false">'CORE DWNLD'!I206+'CORE DELTA'!I206</f>
        <v>0.9306</v>
      </c>
      <c r="J206" s="108" t="n">
        <f aca="false">'CORE DWNLD'!J206+'CORE DELTA'!J206</f>
        <v>0.995</v>
      </c>
      <c r="K206" s="108" t="n">
        <f aca="false">'CORE DWNLD'!K206+'CORE DELTA'!K206</f>
        <v>0.98</v>
      </c>
      <c r="L206" s="108" t="n">
        <f aca="false">'CORE DWNLD'!L206+'CORE DELTA'!L206</f>
        <v>0.99</v>
      </c>
      <c r="M206" s="108" t="n">
        <f aca="false">'CORE DWNLD'!M206+'CORE DELTA'!M206</f>
        <v>1.005</v>
      </c>
      <c r="N206" s="108" t="n">
        <f aca="false">'CORE DWNLD'!N206+'CORE DELTA'!N206</f>
        <v>0.99</v>
      </c>
      <c r="O206" s="108" t="n">
        <f aca="false">'CORE DWNLD'!O206+'CORE DELTA'!O206</f>
        <v>0.96</v>
      </c>
    </row>
    <row r="207" customFormat="false" ht="12.75" hidden="false" customHeight="false" outlineLevel="0" collapsed="false">
      <c r="A207" s="158" t="n">
        <v>42979</v>
      </c>
      <c r="B207" s="108" t="n">
        <f aca="false">'CORE DWNLD'!B207+'CORE DELTA'!B207</f>
        <v>0.999</v>
      </c>
      <c r="C207" s="108" t="n">
        <f aca="false">'CORE DWNLD'!C207+'CORE DELTA'!C207</f>
        <v>0.999</v>
      </c>
      <c r="D207" s="108" t="n">
        <f aca="false">'CORE DWNLD'!D207+'CORE DELTA'!D207</f>
        <v>0.995</v>
      </c>
      <c r="E207" s="108" t="n">
        <f aca="false">'CORE DWNLD'!E207+'CORE DELTA'!E207</f>
        <v>0.96</v>
      </c>
      <c r="F207" s="108" t="n">
        <f aca="false">'CORE DWNLD'!F207+'CORE DELTA'!F207</f>
        <v>0.96</v>
      </c>
      <c r="G207" s="108" t="n">
        <f aca="false">'CORE DWNLD'!G207+'CORE DELTA'!G207</f>
        <v>0.9306</v>
      </c>
      <c r="H207" s="108" t="n">
        <f aca="false">'CORE DWNLD'!H207+'CORE DELTA'!H207</f>
        <v>0.99</v>
      </c>
      <c r="I207" s="108" t="n">
        <f aca="false">'CORE DWNLD'!I207+'CORE DELTA'!I207</f>
        <v>0.9306</v>
      </c>
      <c r="J207" s="108" t="n">
        <f aca="false">'CORE DWNLD'!J207+'CORE DELTA'!J207</f>
        <v>0.995</v>
      </c>
      <c r="K207" s="108" t="n">
        <f aca="false">'CORE DWNLD'!K207+'CORE DELTA'!K207</f>
        <v>0.98</v>
      </c>
      <c r="L207" s="108" t="n">
        <f aca="false">'CORE DWNLD'!L207+'CORE DELTA'!L207</f>
        <v>0.99</v>
      </c>
      <c r="M207" s="108" t="n">
        <f aca="false">'CORE DWNLD'!M207+'CORE DELTA'!M207</f>
        <v>1.005</v>
      </c>
      <c r="N207" s="108" t="n">
        <f aca="false">'CORE DWNLD'!N207+'CORE DELTA'!N207</f>
        <v>0.99</v>
      </c>
      <c r="O207" s="108" t="n">
        <f aca="false">'CORE DWNLD'!O207+'CORE DELTA'!O207</f>
        <v>0.96</v>
      </c>
    </row>
    <row r="208" customFormat="false" ht="12.75" hidden="false" customHeight="false" outlineLevel="0" collapsed="false">
      <c r="A208" s="158" t="n">
        <v>43009</v>
      </c>
      <c r="B208" s="108" t="n">
        <f aca="false">'CORE DWNLD'!B208+'CORE DELTA'!B208</f>
        <v>0.999</v>
      </c>
      <c r="C208" s="108" t="n">
        <f aca="false">'CORE DWNLD'!C208+'CORE DELTA'!C208</f>
        <v>0.999</v>
      </c>
      <c r="D208" s="108" t="n">
        <f aca="false">'CORE DWNLD'!D208+'CORE DELTA'!D208</f>
        <v>0.995</v>
      </c>
      <c r="E208" s="108" t="n">
        <f aca="false">'CORE DWNLD'!E208+'CORE DELTA'!E208</f>
        <v>0.96</v>
      </c>
      <c r="F208" s="108" t="n">
        <f aca="false">'CORE DWNLD'!F208+'CORE DELTA'!F208</f>
        <v>0.96</v>
      </c>
      <c r="G208" s="108" t="n">
        <f aca="false">'CORE DWNLD'!G208+'CORE DELTA'!G208</f>
        <v>0.9306</v>
      </c>
      <c r="H208" s="108" t="n">
        <f aca="false">'CORE DWNLD'!H208+'CORE DELTA'!H208</f>
        <v>0.99</v>
      </c>
      <c r="I208" s="108" t="n">
        <f aca="false">'CORE DWNLD'!I208+'CORE DELTA'!I208</f>
        <v>0.9306</v>
      </c>
      <c r="J208" s="108" t="n">
        <f aca="false">'CORE DWNLD'!J208+'CORE DELTA'!J208</f>
        <v>0.995</v>
      </c>
      <c r="K208" s="108" t="n">
        <f aca="false">'CORE DWNLD'!K208+'CORE DELTA'!K208</f>
        <v>0.98</v>
      </c>
      <c r="L208" s="108" t="n">
        <f aca="false">'CORE DWNLD'!L208+'CORE DELTA'!L208</f>
        <v>0.99</v>
      </c>
      <c r="M208" s="108" t="n">
        <f aca="false">'CORE DWNLD'!M208+'CORE DELTA'!M208</f>
        <v>1.005</v>
      </c>
      <c r="N208" s="108" t="n">
        <f aca="false">'CORE DWNLD'!N208+'CORE DELTA'!N208</f>
        <v>0.99</v>
      </c>
      <c r="O208" s="108" t="n">
        <f aca="false">'CORE DWNLD'!O208+'CORE DELTA'!O208</f>
        <v>0.96</v>
      </c>
    </row>
    <row r="209" customFormat="false" ht="12.75" hidden="false" customHeight="false" outlineLevel="0" collapsed="false">
      <c r="A209" s="158" t="n">
        <v>43040</v>
      </c>
      <c r="B209" s="108" t="n">
        <f aca="false">'CORE DWNLD'!B209+'CORE DELTA'!B209</f>
        <v>0.999</v>
      </c>
      <c r="C209" s="108" t="n">
        <f aca="false">'CORE DWNLD'!C209+'CORE DELTA'!C209</f>
        <v>0.999</v>
      </c>
      <c r="D209" s="108" t="n">
        <f aca="false">'CORE DWNLD'!D209+'CORE DELTA'!D209</f>
        <v>0.995</v>
      </c>
      <c r="E209" s="108" t="n">
        <f aca="false">'CORE DWNLD'!E209+'CORE DELTA'!E209</f>
        <v>0.96</v>
      </c>
      <c r="F209" s="108" t="n">
        <f aca="false">'CORE DWNLD'!F209+'CORE DELTA'!F209</f>
        <v>0.96</v>
      </c>
      <c r="G209" s="108" t="n">
        <f aca="false">'CORE DWNLD'!G209+'CORE DELTA'!G209</f>
        <v>0.9306</v>
      </c>
      <c r="H209" s="108" t="n">
        <f aca="false">'CORE DWNLD'!H209+'CORE DELTA'!H209</f>
        <v>0.99</v>
      </c>
      <c r="I209" s="108" t="n">
        <f aca="false">'CORE DWNLD'!I209+'CORE DELTA'!I209</f>
        <v>0.9306</v>
      </c>
      <c r="J209" s="108" t="n">
        <f aca="false">'CORE DWNLD'!J209+'CORE DELTA'!J209</f>
        <v>0.995</v>
      </c>
      <c r="K209" s="108" t="n">
        <f aca="false">'CORE DWNLD'!K209+'CORE DELTA'!K209</f>
        <v>0.98</v>
      </c>
      <c r="L209" s="108" t="n">
        <f aca="false">'CORE DWNLD'!L209+'CORE DELTA'!L209</f>
        <v>0.99</v>
      </c>
      <c r="M209" s="108" t="n">
        <f aca="false">'CORE DWNLD'!M209+'CORE DELTA'!M209</f>
        <v>1.005</v>
      </c>
      <c r="N209" s="108" t="n">
        <f aca="false">'CORE DWNLD'!N209+'CORE DELTA'!N209</f>
        <v>0.99</v>
      </c>
      <c r="O209" s="108" t="n">
        <f aca="false">'CORE DWNLD'!O209+'CORE DELTA'!O209</f>
        <v>0.96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130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257" min="1" style="205" width="9.14"/>
  </cols>
  <sheetData>
    <row r="1" customFormat="false" ht="12" hidden="false" customHeight="false" outlineLevel="0" collapsed="false">
      <c r="A1" s="206"/>
      <c r="B1" s="207"/>
      <c r="C1" s="208"/>
      <c r="D1" s="208"/>
      <c r="E1" s="208"/>
      <c r="F1" s="208"/>
      <c r="G1" s="209"/>
      <c r="H1" s="209"/>
      <c r="I1" s="209"/>
      <c r="J1" s="209"/>
      <c r="K1" s="209"/>
      <c r="L1" s="209"/>
      <c r="M1" s="209"/>
    </row>
    <row r="2" customFormat="false" ht="11.25" hidden="false" customHeight="false" outlineLevel="0" collapsed="false">
      <c r="A2" s="208"/>
      <c r="B2" s="208"/>
      <c r="C2" s="208"/>
      <c r="D2" s="208"/>
      <c r="E2" s="208"/>
      <c r="F2" s="208"/>
      <c r="G2" s="210" t="s">
        <v>235</v>
      </c>
      <c r="H2" s="210"/>
      <c r="I2" s="210"/>
    </row>
    <row r="3" customFormat="false" ht="11.25" hidden="false" customHeight="false" outlineLevel="0" collapsed="false">
      <c r="A3" s="211"/>
      <c r="B3" s="212"/>
      <c r="C3" s="211"/>
      <c r="D3" s="208"/>
      <c r="E3" s="208"/>
      <c r="F3" s="208"/>
      <c r="G3" s="213" t="s">
        <v>236</v>
      </c>
      <c r="H3" s="213"/>
      <c r="I3" s="213"/>
    </row>
    <row r="4" customFormat="false" ht="11.25" hidden="false" customHeight="false" outlineLevel="0" collapsed="false">
      <c r="A4" s="211"/>
      <c r="B4" s="214"/>
      <c r="C4" s="215"/>
      <c r="D4" s="208"/>
      <c r="E4" s="208"/>
      <c r="F4" s="208"/>
      <c r="G4" s="216"/>
      <c r="H4" s="217" t="s">
        <v>237</v>
      </c>
      <c r="I4" s="218" t="s">
        <v>238</v>
      </c>
    </row>
    <row r="5" customFormat="false" ht="11.25" hidden="false" customHeight="false" outlineLevel="0" collapsed="false">
      <c r="A5" s="211"/>
      <c r="B5" s="214"/>
      <c r="C5" s="215"/>
      <c r="D5" s="208"/>
      <c r="E5" s="208"/>
      <c r="F5" s="208"/>
      <c r="G5" s="219" t="s">
        <v>239</v>
      </c>
      <c r="H5" s="220" t="s">
        <v>240</v>
      </c>
      <c r="I5" s="221" t="s">
        <v>240</v>
      </c>
    </row>
    <row r="6" customFormat="false" ht="12" hidden="false" customHeight="false" outlineLevel="0" collapsed="false">
      <c r="A6" s="211"/>
      <c r="B6" s="214"/>
      <c r="C6" s="215"/>
      <c r="D6" s="208"/>
      <c r="E6" s="208"/>
      <c r="F6" s="208"/>
      <c r="G6" s="222" t="s">
        <v>241</v>
      </c>
      <c r="H6" s="223" t="s">
        <v>196</v>
      </c>
      <c r="I6" s="224" t="s">
        <v>196</v>
      </c>
    </row>
    <row r="7" customFormat="false" ht="11.25" hidden="false" customHeight="false" outlineLevel="0" collapsed="false">
      <c r="A7" s="211"/>
      <c r="B7" s="212"/>
      <c r="C7" s="215"/>
      <c r="D7" s="208"/>
      <c r="E7" s="208"/>
      <c r="F7" s="208"/>
      <c r="G7" s="225" t="n">
        <v>35431</v>
      </c>
      <c r="H7" s="226" t="n">
        <v>35423</v>
      </c>
      <c r="I7" s="227" t="n">
        <v>35422</v>
      </c>
    </row>
    <row r="8" customFormat="false" ht="11.25" hidden="false" customHeight="false" outlineLevel="0" collapsed="false">
      <c r="A8" s="211"/>
      <c r="B8" s="214"/>
      <c r="C8" s="228"/>
      <c r="D8" s="229"/>
      <c r="E8" s="229"/>
      <c r="F8" s="208"/>
      <c r="G8" s="230" t="n">
        <v>35462</v>
      </c>
      <c r="H8" s="231" t="n">
        <v>35457</v>
      </c>
      <c r="I8" s="232" t="n">
        <v>35454</v>
      </c>
    </row>
    <row r="9" customFormat="false" ht="11.25" hidden="false" customHeight="false" outlineLevel="0" collapsed="false">
      <c r="A9" s="211"/>
      <c r="B9" s="214"/>
      <c r="C9" s="233"/>
      <c r="D9" s="234"/>
      <c r="E9" s="234"/>
      <c r="F9" s="208"/>
      <c r="G9" s="230" t="n">
        <v>35490</v>
      </c>
      <c r="H9" s="231" t="n">
        <v>35485</v>
      </c>
      <c r="I9" s="232" t="n">
        <v>35482</v>
      </c>
    </row>
    <row r="10" customFormat="false" ht="11.25" hidden="false" customHeight="false" outlineLevel="0" collapsed="false">
      <c r="A10" s="211"/>
      <c r="B10" s="214"/>
      <c r="C10" s="215"/>
      <c r="D10" s="235"/>
      <c r="E10" s="235"/>
      <c r="F10" s="208"/>
      <c r="G10" s="230" t="n">
        <v>35521</v>
      </c>
      <c r="H10" s="231" t="n">
        <v>35513</v>
      </c>
      <c r="I10" s="232" t="n">
        <v>35510</v>
      </c>
    </row>
    <row r="11" customFormat="false" ht="11.25" hidden="false" customHeight="false" outlineLevel="0" collapsed="false">
      <c r="A11" s="211"/>
      <c r="B11" s="214"/>
      <c r="C11" s="215"/>
      <c r="D11" s="235"/>
      <c r="E11" s="235"/>
      <c r="F11" s="208"/>
      <c r="G11" s="230" t="n">
        <v>35551</v>
      </c>
      <c r="H11" s="231" t="n">
        <v>35544</v>
      </c>
      <c r="I11" s="232" t="n">
        <v>35543</v>
      </c>
    </row>
    <row r="12" customFormat="false" ht="11.25" hidden="false" customHeight="false" outlineLevel="0" collapsed="false">
      <c r="A12" s="211"/>
      <c r="B12" s="214"/>
      <c r="C12" s="215"/>
      <c r="D12" s="235"/>
      <c r="E12" s="235"/>
      <c r="F12" s="208"/>
      <c r="G12" s="230" t="n">
        <v>35582</v>
      </c>
      <c r="H12" s="231" t="n">
        <v>35578</v>
      </c>
      <c r="I12" s="232" t="n">
        <v>35577</v>
      </c>
    </row>
    <row r="13" customFormat="false" ht="12.75" hidden="false" customHeight="false" outlineLevel="0" collapsed="false">
      <c r="A13" s="211"/>
      <c r="B13" s="236"/>
      <c r="C13" s="237"/>
      <c r="D13" s="238"/>
      <c r="E13" s="238"/>
      <c r="F13" s="208"/>
      <c r="G13" s="230" t="n">
        <v>35612</v>
      </c>
      <c r="H13" s="231" t="n">
        <v>35607</v>
      </c>
      <c r="I13" s="232" t="n">
        <v>35606</v>
      </c>
    </row>
    <row r="14" customFormat="false" ht="12.75" hidden="false" customHeight="false" outlineLevel="0" collapsed="false">
      <c r="A14" s="208"/>
      <c r="B14" s="239"/>
      <c r="C14" s="240"/>
      <c r="D14" s="238"/>
      <c r="E14" s="238"/>
      <c r="F14" s="208"/>
      <c r="G14" s="230" t="n">
        <v>35643</v>
      </c>
      <c r="H14" s="231" t="n">
        <v>35640</v>
      </c>
      <c r="I14" s="232" t="n">
        <v>35639</v>
      </c>
    </row>
    <row r="15" customFormat="false" ht="12.75" hidden="false" customHeight="false" outlineLevel="0" collapsed="false">
      <c r="A15" s="208"/>
      <c r="B15" s="239"/>
      <c r="C15" s="240"/>
      <c r="D15" s="238"/>
      <c r="E15" s="238"/>
      <c r="F15" s="208"/>
      <c r="G15" s="230" t="n">
        <v>35674</v>
      </c>
      <c r="H15" s="231" t="n">
        <v>35669</v>
      </c>
      <c r="I15" s="232" t="n">
        <v>35668</v>
      </c>
    </row>
    <row r="16" customFormat="false" ht="12.75" hidden="false" customHeight="false" outlineLevel="0" collapsed="false">
      <c r="A16" s="208"/>
      <c r="B16" s="239"/>
      <c r="C16" s="240"/>
      <c r="D16" s="238"/>
      <c r="E16" s="238"/>
      <c r="F16" s="208"/>
      <c r="G16" s="230" t="n">
        <v>35704</v>
      </c>
      <c r="H16" s="231" t="n">
        <v>35699</v>
      </c>
      <c r="I16" s="232" t="n">
        <v>35698</v>
      </c>
    </row>
    <row r="17" customFormat="false" ht="12.75" hidden="false" customHeight="false" outlineLevel="0" collapsed="false">
      <c r="A17" s="241"/>
      <c r="B17" s="239"/>
      <c r="C17" s="240"/>
      <c r="D17" s="238"/>
      <c r="E17" s="238"/>
      <c r="F17" s="208"/>
      <c r="G17" s="230" t="n">
        <v>35735</v>
      </c>
      <c r="H17" s="231" t="n">
        <v>35732</v>
      </c>
      <c r="I17" s="232" t="n">
        <v>35731</v>
      </c>
    </row>
    <row r="18" customFormat="false" ht="12.75" hidden="false" customHeight="false" outlineLevel="0" collapsed="false">
      <c r="A18" s="241"/>
      <c r="B18" s="239"/>
      <c r="C18" s="240"/>
      <c r="D18" s="238"/>
      <c r="E18" s="238"/>
      <c r="F18" s="208"/>
      <c r="G18" s="230" t="n">
        <v>35765</v>
      </c>
      <c r="H18" s="231" t="n">
        <v>35758</v>
      </c>
      <c r="I18" s="232" t="n">
        <v>35755</v>
      </c>
    </row>
    <row r="19" customFormat="false" ht="12.75" hidden="false" customHeight="false" outlineLevel="0" collapsed="false">
      <c r="A19" s="241"/>
      <c r="B19" s="239"/>
      <c r="C19" s="240"/>
      <c r="D19" s="238"/>
      <c r="E19" s="238"/>
      <c r="F19" s="208"/>
      <c r="G19" s="230" t="n">
        <v>35796</v>
      </c>
      <c r="H19" s="231" t="n">
        <v>35793</v>
      </c>
      <c r="I19" s="232" t="n">
        <v>35790</v>
      </c>
    </row>
    <row r="20" customFormat="false" ht="12.75" hidden="false" customHeight="false" outlineLevel="0" collapsed="false">
      <c r="A20" s="241"/>
      <c r="B20" s="239"/>
      <c r="C20" s="240"/>
      <c r="D20" s="238"/>
      <c r="E20" s="238"/>
      <c r="F20" s="208"/>
      <c r="G20" s="230" t="n">
        <v>35827</v>
      </c>
      <c r="H20" s="231" t="n">
        <v>35823</v>
      </c>
      <c r="I20" s="232" t="n">
        <v>35822</v>
      </c>
    </row>
    <row r="21" customFormat="false" ht="12.75" hidden="false" customHeight="false" outlineLevel="0" collapsed="false">
      <c r="A21" s="241"/>
      <c r="B21" s="239"/>
      <c r="C21" s="240"/>
      <c r="D21" s="238"/>
      <c r="E21" s="238"/>
      <c r="F21" s="208"/>
      <c r="G21" s="230" t="n">
        <v>35855</v>
      </c>
      <c r="H21" s="231" t="n">
        <v>35851</v>
      </c>
      <c r="I21" s="232" t="n">
        <v>35850</v>
      </c>
    </row>
    <row r="22" customFormat="false" ht="12.75" hidden="false" customHeight="false" outlineLevel="0" collapsed="false">
      <c r="A22" s="241"/>
      <c r="B22" s="239"/>
      <c r="C22" s="240"/>
      <c r="D22" s="238"/>
      <c r="E22" s="238"/>
      <c r="F22" s="208"/>
      <c r="G22" s="230" t="n">
        <v>35886</v>
      </c>
      <c r="H22" s="231" t="n">
        <v>35881</v>
      </c>
      <c r="I22" s="232" t="n">
        <v>35880</v>
      </c>
    </row>
    <row r="23" customFormat="false" ht="12.75" hidden="false" customHeight="false" outlineLevel="0" collapsed="false">
      <c r="A23" s="241"/>
      <c r="B23" s="239"/>
      <c r="C23" s="240"/>
      <c r="D23" s="238"/>
      <c r="E23" s="238"/>
      <c r="F23" s="208"/>
      <c r="G23" s="230" t="n">
        <v>35916</v>
      </c>
      <c r="H23" s="231" t="n">
        <v>35913</v>
      </c>
      <c r="I23" s="232" t="n">
        <v>35912</v>
      </c>
    </row>
    <row r="24" customFormat="false" ht="12.75" hidden="false" customHeight="false" outlineLevel="0" collapsed="false">
      <c r="A24" s="241"/>
      <c r="B24" s="239"/>
      <c r="C24" s="240"/>
      <c r="D24" s="238"/>
      <c r="E24" s="238"/>
      <c r="F24" s="208"/>
      <c r="G24" s="230" t="n">
        <v>35947</v>
      </c>
      <c r="H24" s="231" t="n">
        <v>35942</v>
      </c>
      <c r="I24" s="232" t="n">
        <v>35941</v>
      </c>
    </row>
    <row r="25" customFormat="false" ht="12.75" hidden="false" customHeight="false" outlineLevel="0" collapsed="false">
      <c r="A25" s="241"/>
      <c r="B25" s="239"/>
      <c r="C25" s="240"/>
      <c r="D25" s="238"/>
      <c r="E25" s="238"/>
      <c r="F25" s="208"/>
      <c r="G25" s="230" t="n">
        <v>35977</v>
      </c>
      <c r="H25" s="231" t="n">
        <v>35972</v>
      </c>
      <c r="I25" s="232" t="n">
        <v>35971</v>
      </c>
    </row>
    <row r="26" customFormat="false" ht="12.75" hidden="false" customHeight="false" outlineLevel="0" collapsed="false">
      <c r="A26" s="241"/>
      <c r="B26" s="239"/>
      <c r="C26" s="240"/>
      <c r="D26" s="238"/>
      <c r="E26" s="238"/>
      <c r="F26" s="208"/>
      <c r="G26" s="230" t="n">
        <v>36008</v>
      </c>
      <c r="H26" s="231" t="n">
        <v>36005</v>
      </c>
      <c r="I26" s="232" t="n">
        <v>36004</v>
      </c>
    </row>
    <row r="27" customFormat="false" ht="12.75" hidden="false" customHeight="false" outlineLevel="0" collapsed="false">
      <c r="A27" s="241"/>
      <c r="B27" s="239"/>
      <c r="C27" s="240"/>
      <c r="D27" s="238"/>
      <c r="E27" s="238"/>
      <c r="F27" s="208"/>
      <c r="G27" s="230" t="n">
        <v>36039</v>
      </c>
      <c r="H27" s="231" t="n">
        <v>36034</v>
      </c>
      <c r="I27" s="232" t="n">
        <v>36033</v>
      </c>
    </row>
    <row r="28" customFormat="false" ht="12.75" hidden="false" customHeight="false" outlineLevel="0" collapsed="false">
      <c r="A28" s="241"/>
      <c r="B28" s="239"/>
      <c r="C28" s="240"/>
      <c r="D28" s="238"/>
      <c r="E28" s="238"/>
      <c r="F28" s="208"/>
      <c r="G28" s="230" t="n">
        <v>36069</v>
      </c>
      <c r="H28" s="231" t="n">
        <v>36066</v>
      </c>
      <c r="I28" s="232" t="n">
        <v>36063</v>
      </c>
    </row>
    <row r="29" customFormat="false" ht="12.75" hidden="false" customHeight="false" outlineLevel="0" collapsed="false">
      <c r="A29" s="241"/>
      <c r="B29" s="239"/>
      <c r="C29" s="240"/>
      <c r="D29" s="238"/>
      <c r="E29" s="238"/>
      <c r="F29" s="208"/>
      <c r="G29" s="230" t="n">
        <v>36100</v>
      </c>
      <c r="H29" s="231" t="n">
        <v>36096</v>
      </c>
      <c r="I29" s="232" t="n">
        <v>36095</v>
      </c>
    </row>
    <row r="30" customFormat="false" ht="12.75" hidden="false" customHeight="false" outlineLevel="0" collapsed="false">
      <c r="A30" s="241"/>
      <c r="B30" s="239"/>
      <c r="C30" s="240"/>
      <c r="D30" s="238"/>
      <c r="E30" s="238"/>
      <c r="F30" s="208"/>
      <c r="G30" s="230" t="n">
        <v>36130</v>
      </c>
      <c r="H30" s="231" t="n">
        <v>36124</v>
      </c>
      <c r="I30" s="232" t="n">
        <v>36123</v>
      </c>
    </row>
    <row r="31" customFormat="false" ht="12.75" hidden="false" customHeight="false" outlineLevel="0" collapsed="false">
      <c r="A31" s="241"/>
      <c r="B31" s="239"/>
      <c r="C31" s="240"/>
      <c r="D31" s="238"/>
      <c r="E31" s="238"/>
      <c r="F31" s="208"/>
      <c r="G31" s="230" t="n">
        <v>36161</v>
      </c>
      <c r="H31" s="231" t="n">
        <v>36158</v>
      </c>
      <c r="I31" s="232" t="n">
        <v>36157</v>
      </c>
    </row>
    <row r="32" customFormat="false" ht="12.75" hidden="false" customHeight="false" outlineLevel="0" collapsed="false">
      <c r="A32" s="241"/>
      <c r="B32" s="239"/>
      <c r="C32" s="240"/>
      <c r="D32" s="238"/>
      <c r="E32" s="238"/>
      <c r="F32" s="208"/>
      <c r="G32" s="230" t="n">
        <v>36192</v>
      </c>
      <c r="H32" s="231" t="n">
        <v>36187</v>
      </c>
      <c r="I32" s="232" t="n">
        <v>36186</v>
      </c>
    </row>
    <row r="33" customFormat="false" ht="12.75" hidden="false" customHeight="false" outlineLevel="0" collapsed="false">
      <c r="A33" s="241"/>
      <c r="B33" s="239"/>
      <c r="C33" s="240"/>
      <c r="D33" s="238"/>
      <c r="E33" s="238"/>
      <c r="F33" s="208"/>
      <c r="G33" s="230" t="n">
        <v>36220</v>
      </c>
      <c r="H33" s="231" t="n">
        <v>36215</v>
      </c>
      <c r="I33" s="232" t="n">
        <v>36214</v>
      </c>
    </row>
    <row r="34" customFormat="false" ht="12.75" hidden="false" customHeight="false" outlineLevel="0" collapsed="false">
      <c r="A34" s="241"/>
      <c r="B34" s="239"/>
      <c r="C34" s="240"/>
      <c r="D34" s="238"/>
      <c r="E34" s="238"/>
      <c r="F34" s="208"/>
      <c r="G34" s="230" t="n">
        <v>36251</v>
      </c>
      <c r="H34" s="231" t="n">
        <v>36248</v>
      </c>
      <c r="I34" s="232" t="n">
        <v>36245</v>
      </c>
    </row>
    <row r="35" customFormat="false" ht="12.75" hidden="false" customHeight="false" outlineLevel="0" collapsed="false">
      <c r="A35" s="241"/>
      <c r="B35" s="239"/>
      <c r="C35" s="240"/>
      <c r="D35" s="238"/>
      <c r="E35" s="238"/>
      <c r="F35" s="208"/>
      <c r="G35" s="230" t="n">
        <v>36281</v>
      </c>
      <c r="H35" s="231" t="n">
        <v>36278</v>
      </c>
      <c r="I35" s="232" t="n">
        <v>36277</v>
      </c>
    </row>
    <row r="36" customFormat="false" ht="12.75" hidden="false" customHeight="false" outlineLevel="0" collapsed="false">
      <c r="A36" s="241"/>
      <c r="B36" s="239"/>
      <c r="C36" s="240"/>
      <c r="D36" s="238"/>
      <c r="E36" s="238"/>
      <c r="F36" s="208"/>
      <c r="G36" s="230" t="n">
        <v>36312</v>
      </c>
      <c r="H36" s="231" t="n">
        <v>36306</v>
      </c>
      <c r="I36" s="232" t="n">
        <v>36305</v>
      </c>
    </row>
    <row r="37" customFormat="false" ht="12.75" hidden="false" customHeight="false" outlineLevel="0" collapsed="false">
      <c r="A37" s="241"/>
      <c r="B37" s="239"/>
      <c r="C37" s="240"/>
      <c r="D37" s="238"/>
      <c r="E37" s="238"/>
      <c r="F37" s="208"/>
      <c r="G37" s="230" t="n">
        <v>36342</v>
      </c>
      <c r="H37" s="231" t="n">
        <v>36339</v>
      </c>
      <c r="I37" s="232" t="n">
        <v>36336</v>
      </c>
    </row>
    <row r="38" customFormat="false" ht="12.75" hidden="false" customHeight="false" outlineLevel="0" collapsed="false">
      <c r="A38" s="241"/>
      <c r="B38" s="239"/>
      <c r="C38" s="240"/>
      <c r="D38" s="238"/>
      <c r="E38" s="238"/>
      <c r="F38" s="208"/>
      <c r="G38" s="230" t="n">
        <v>36373</v>
      </c>
      <c r="H38" s="231" t="n">
        <v>36369</v>
      </c>
      <c r="I38" s="232" t="n">
        <v>36368</v>
      </c>
    </row>
    <row r="39" customFormat="false" ht="12.75" hidden="false" customHeight="false" outlineLevel="0" collapsed="false">
      <c r="A39" s="241"/>
      <c r="B39" s="239"/>
      <c r="C39" s="240"/>
      <c r="D39" s="238"/>
      <c r="E39" s="238"/>
      <c r="F39" s="208"/>
      <c r="G39" s="230" t="n">
        <v>36404</v>
      </c>
      <c r="H39" s="231" t="n">
        <v>36399</v>
      </c>
      <c r="I39" s="232" t="n">
        <v>36398</v>
      </c>
    </row>
    <row r="40" customFormat="false" ht="12.75" hidden="false" customHeight="false" outlineLevel="0" collapsed="false">
      <c r="A40" s="241"/>
      <c r="B40" s="239"/>
      <c r="C40" s="240"/>
      <c r="D40" s="238"/>
      <c r="E40" s="238"/>
      <c r="F40" s="208"/>
      <c r="G40" s="230" t="n">
        <v>36434</v>
      </c>
      <c r="H40" s="231" t="n">
        <v>36431</v>
      </c>
      <c r="I40" s="232" t="n">
        <v>36430</v>
      </c>
    </row>
    <row r="41" customFormat="false" ht="12.75" hidden="false" customHeight="false" outlineLevel="0" collapsed="false">
      <c r="A41" s="241"/>
      <c r="B41" s="239"/>
      <c r="C41" s="240"/>
      <c r="D41" s="238"/>
      <c r="E41" s="238"/>
      <c r="F41" s="208"/>
      <c r="G41" s="230" t="n">
        <v>36465</v>
      </c>
      <c r="H41" s="231" t="n">
        <v>36460</v>
      </c>
      <c r="I41" s="232" t="n">
        <v>36459</v>
      </c>
    </row>
    <row r="42" customFormat="false" ht="12.75" hidden="false" customHeight="false" outlineLevel="0" collapsed="false">
      <c r="A42" s="241"/>
      <c r="B42" s="239"/>
      <c r="C42" s="240"/>
      <c r="D42" s="238"/>
      <c r="E42" s="238"/>
      <c r="F42" s="208"/>
      <c r="G42" s="230" t="n">
        <v>36495</v>
      </c>
      <c r="H42" s="231" t="n">
        <v>36488</v>
      </c>
      <c r="I42" s="232" t="n">
        <v>36487</v>
      </c>
    </row>
    <row r="43" customFormat="false" ht="12.75" hidden="false" customHeight="false" outlineLevel="0" collapsed="false">
      <c r="A43" s="241"/>
      <c r="B43" s="239"/>
      <c r="C43" s="240"/>
      <c r="D43" s="238"/>
      <c r="E43" s="238"/>
      <c r="F43" s="208"/>
      <c r="G43" s="230" t="n">
        <v>36526</v>
      </c>
      <c r="H43" s="231" t="n">
        <v>36522</v>
      </c>
      <c r="I43" s="232" t="n">
        <v>36522</v>
      </c>
    </row>
    <row r="44" customFormat="false" ht="12.75" hidden="false" customHeight="false" outlineLevel="0" collapsed="false">
      <c r="A44" s="241"/>
      <c r="B44" s="239"/>
      <c r="C44" s="240"/>
      <c r="D44" s="238"/>
      <c r="E44" s="238"/>
      <c r="F44" s="208"/>
      <c r="G44" s="230" t="n">
        <v>36557</v>
      </c>
      <c r="H44" s="231" t="n">
        <v>36552</v>
      </c>
      <c r="I44" s="232" t="n">
        <v>36551</v>
      </c>
    </row>
    <row r="45" customFormat="false" ht="12.75" hidden="false" customHeight="false" outlineLevel="0" collapsed="false">
      <c r="A45" s="241"/>
      <c r="B45" s="239"/>
      <c r="C45" s="240"/>
      <c r="D45" s="238"/>
      <c r="E45" s="238"/>
      <c r="F45" s="208"/>
      <c r="G45" s="230" t="n">
        <v>36586</v>
      </c>
      <c r="H45" s="231" t="n">
        <v>36581</v>
      </c>
      <c r="I45" s="232" t="n">
        <v>36580</v>
      </c>
    </row>
    <row r="46" customFormat="false" ht="12.75" hidden="false" customHeight="false" outlineLevel="0" collapsed="false">
      <c r="A46" s="241"/>
      <c r="B46" s="239"/>
      <c r="C46" s="240"/>
      <c r="D46" s="238"/>
      <c r="E46" s="238"/>
      <c r="F46" s="208"/>
      <c r="G46" s="230" t="n">
        <v>36617</v>
      </c>
      <c r="H46" s="231" t="n">
        <v>36614</v>
      </c>
      <c r="I46" s="232" t="n">
        <v>36613</v>
      </c>
    </row>
    <row r="47" customFormat="false" ht="12.75" hidden="false" customHeight="false" outlineLevel="0" collapsed="false">
      <c r="A47" s="241"/>
      <c r="B47" s="239"/>
      <c r="C47" s="240"/>
      <c r="D47" s="238"/>
      <c r="E47" s="238"/>
      <c r="F47" s="208"/>
      <c r="G47" s="230" t="n">
        <v>36647</v>
      </c>
      <c r="H47" s="231" t="n">
        <v>36642</v>
      </c>
      <c r="I47" s="232" t="n">
        <v>36641</v>
      </c>
    </row>
    <row r="48" customFormat="false" ht="12.75" hidden="false" customHeight="false" outlineLevel="0" collapsed="false">
      <c r="A48" s="241"/>
      <c r="B48" s="239"/>
      <c r="C48" s="240"/>
      <c r="D48" s="238"/>
      <c r="E48" s="238"/>
      <c r="F48" s="208"/>
      <c r="G48" s="230" t="n">
        <v>36678</v>
      </c>
      <c r="H48" s="231" t="n">
        <v>36672</v>
      </c>
      <c r="I48" s="232" t="n">
        <v>36671</v>
      </c>
    </row>
    <row r="49" customFormat="false" ht="12.75" hidden="false" customHeight="false" outlineLevel="0" collapsed="false">
      <c r="A49" s="241"/>
      <c r="B49" s="239"/>
      <c r="C49" s="240"/>
      <c r="D49" s="238"/>
      <c r="E49" s="238"/>
      <c r="F49" s="208"/>
      <c r="G49" s="230" t="n">
        <v>36708</v>
      </c>
      <c r="H49" s="231" t="n">
        <v>36705</v>
      </c>
      <c r="I49" s="232" t="n">
        <v>36704</v>
      </c>
    </row>
    <row r="50" customFormat="false" ht="12.75" hidden="false" customHeight="false" outlineLevel="0" collapsed="false">
      <c r="A50" s="241"/>
      <c r="B50" s="239"/>
      <c r="C50" s="240"/>
      <c r="D50" s="238"/>
      <c r="E50" s="238"/>
      <c r="F50" s="208"/>
      <c r="G50" s="230" t="n">
        <v>36739</v>
      </c>
      <c r="H50" s="231" t="n">
        <v>36735</v>
      </c>
      <c r="I50" s="232" t="n">
        <v>36733</v>
      </c>
    </row>
    <row r="51" customFormat="false" ht="12.75" hidden="false" customHeight="false" outlineLevel="0" collapsed="false">
      <c r="A51" s="241"/>
      <c r="B51" s="239"/>
      <c r="C51" s="240"/>
      <c r="D51" s="238"/>
      <c r="E51" s="238"/>
      <c r="F51" s="208"/>
      <c r="G51" s="230" t="n">
        <v>36770</v>
      </c>
      <c r="H51" s="231" t="n">
        <v>36768</v>
      </c>
      <c r="I51" s="232" t="n">
        <v>36766</v>
      </c>
    </row>
    <row r="52" customFormat="false" ht="12.75" hidden="false" customHeight="false" outlineLevel="0" collapsed="false">
      <c r="A52" s="241"/>
      <c r="B52" s="239"/>
      <c r="C52" s="240"/>
      <c r="D52" s="238"/>
      <c r="E52" s="238"/>
      <c r="F52" s="208"/>
      <c r="G52" s="230" t="n">
        <v>36800</v>
      </c>
      <c r="H52" s="231" t="n">
        <v>36796</v>
      </c>
      <c r="I52" s="232" t="n">
        <v>36795</v>
      </c>
    </row>
    <row r="53" customFormat="false" ht="12.75" hidden="false" customHeight="false" outlineLevel="0" collapsed="false">
      <c r="A53" s="241"/>
      <c r="B53" s="239"/>
      <c r="C53" s="240"/>
      <c r="D53" s="238"/>
      <c r="E53" s="238"/>
      <c r="F53" s="208"/>
      <c r="G53" s="230" t="n">
        <v>36831</v>
      </c>
      <c r="H53" s="231" t="n">
        <v>36826</v>
      </c>
      <c r="I53" s="232" t="n">
        <v>36825</v>
      </c>
    </row>
    <row r="54" customFormat="false" ht="12.75" hidden="false" customHeight="false" outlineLevel="0" collapsed="false">
      <c r="A54" s="241"/>
      <c r="B54" s="239"/>
      <c r="C54" s="240"/>
      <c r="D54" s="238"/>
      <c r="E54" s="238"/>
      <c r="F54" s="208"/>
      <c r="G54" s="230" t="n">
        <v>36861</v>
      </c>
      <c r="H54" s="231" t="n">
        <v>36858</v>
      </c>
      <c r="I54" s="232" t="n">
        <v>36857</v>
      </c>
    </row>
    <row r="55" customFormat="false" ht="12.75" hidden="false" customHeight="false" outlineLevel="0" collapsed="false">
      <c r="A55" s="241"/>
      <c r="B55" s="239"/>
      <c r="C55" s="240"/>
      <c r="D55" s="238"/>
      <c r="E55" s="238"/>
      <c r="F55" s="208"/>
      <c r="G55" s="230" t="n">
        <v>36892</v>
      </c>
      <c r="H55" s="231" t="n">
        <v>36887</v>
      </c>
      <c r="I55" s="232" t="n">
        <v>36886</v>
      </c>
    </row>
    <row r="56" customFormat="false" ht="12.75" hidden="false" customHeight="false" outlineLevel="0" collapsed="false">
      <c r="A56" s="241"/>
      <c r="B56" s="239"/>
      <c r="C56" s="240"/>
      <c r="D56" s="238"/>
      <c r="E56" s="238"/>
      <c r="F56" s="208"/>
      <c r="G56" s="230" t="n">
        <v>36923</v>
      </c>
      <c r="H56" s="231" t="n">
        <v>36920</v>
      </c>
      <c r="I56" s="232" t="n">
        <v>36917</v>
      </c>
    </row>
    <row r="57" customFormat="false" ht="12.75" hidden="false" customHeight="false" outlineLevel="0" collapsed="false">
      <c r="A57" s="241"/>
      <c r="B57" s="239"/>
      <c r="C57" s="240"/>
      <c r="D57" s="238"/>
      <c r="E57" s="238"/>
      <c r="F57" s="208"/>
      <c r="G57" s="230" t="n">
        <v>36951</v>
      </c>
      <c r="H57" s="231" t="n">
        <v>36948</v>
      </c>
      <c r="I57" s="232" t="n">
        <v>36945</v>
      </c>
    </row>
    <row r="58" customFormat="false" ht="12.75" hidden="false" customHeight="false" outlineLevel="0" collapsed="false">
      <c r="A58" s="241"/>
      <c r="B58" s="239"/>
      <c r="C58" s="240"/>
      <c r="D58" s="238"/>
      <c r="E58" s="238"/>
      <c r="F58" s="208"/>
      <c r="G58" s="230" t="n">
        <v>36982</v>
      </c>
      <c r="H58" s="231" t="n">
        <v>36978</v>
      </c>
      <c r="I58" s="232" t="n">
        <v>36977</v>
      </c>
    </row>
    <row r="59" customFormat="false" ht="12.75" hidden="false" customHeight="false" outlineLevel="0" collapsed="false">
      <c r="A59" s="241"/>
      <c r="B59" s="239"/>
      <c r="C59" s="240"/>
      <c r="D59" s="238"/>
      <c r="E59" s="238"/>
      <c r="F59" s="208"/>
      <c r="G59" s="230" t="n">
        <v>37012</v>
      </c>
      <c r="H59" s="231" t="n">
        <v>37007</v>
      </c>
      <c r="I59" s="232" t="n">
        <v>37006</v>
      </c>
    </row>
    <row r="60" customFormat="false" ht="12.75" hidden="false" customHeight="false" outlineLevel="0" collapsed="false">
      <c r="A60" s="241"/>
      <c r="B60" s="239"/>
      <c r="C60" s="240"/>
      <c r="D60" s="238"/>
      <c r="E60" s="238"/>
      <c r="F60" s="208"/>
      <c r="G60" s="230" t="n">
        <v>37043</v>
      </c>
      <c r="H60" s="231" t="n">
        <v>37040</v>
      </c>
      <c r="I60" s="232" t="n">
        <v>37036</v>
      </c>
    </row>
    <row r="61" customFormat="false" ht="12.75" hidden="false" customHeight="false" outlineLevel="0" collapsed="false">
      <c r="A61" s="241"/>
      <c r="B61" s="239"/>
      <c r="C61" s="240"/>
      <c r="D61" s="238"/>
      <c r="E61" s="238"/>
      <c r="F61" s="208"/>
      <c r="G61" s="230" t="n">
        <v>37073</v>
      </c>
      <c r="H61" s="231" t="n">
        <v>37069</v>
      </c>
      <c r="I61" s="232" t="n">
        <v>37068</v>
      </c>
    </row>
    <row r="62" customFormat="false" ht="12.75" hidden="false" customHeight="false" outlineLevel="0" collapsed="false">
      <c r="A62" s="241"/>
      <c r="B62" s="239"/>
      <c r="C62" s="240"/>
      <c r="D62" s="238"/>
      <c r="E62" s="238"/>
      <c r="F62" s="208"/>
      <c r="G62" s="230" t="n">
        <v>37104</v>
      </c>
      <c r="H62" s="231" t="n">
        <v>37099</v>
      </c>
      <c r="I62" s="232" t="n">
        <v>37098</v>
      </c>
    </row>
    <row r="63" customFormat="false" ht="12.75" hidden="false" customHeight="false" outlineLevel="0" collapsed="false">
      <c r="A63" s="241"/>
      <c r="B63" s="239"/>
      <c r="C63" s="240"/>
      <c r="D63" s="238"/>
      <c r="E63" s="238"/>
      <c r="F63" s="208"/>
      <c r="G63" s="230" t="n">
        <v>37135</v>
      </c>
      <c r="H63" s="231" t="n">
        <v>37132</v>
      </c>
      <c r="I63" s="232" t="n">
        <v>37131</v>
      </c>
    </row>
    <row r="64" customFormat="false" ht="12.75" hidden="false" customHeight="false" outlineLevel="0" collapsed="false">
      <c r="A64" s="241"/>
      <c r="B64" s="239"/>
      <c r="C64" s="240"/>
      <c r="D64" s="238"/>
      <c r="E64" s="238"/>
      <c r="F64" s="208"/>
      <c r="G64" s="230" t="n">
        <v>37165</v>
      </c>
      <c r="H64" s="231" t="n">
        <v>37160</v>
      </c>
      <c r="I64" s="232" t="n">
        <v>37159</v>
      </c>
    </row>
    <row r="65" customFormat="false" ht="12.75" hidden="false" customHeight="false" outlineLevel="0" collapsed="false">
      <c r="A65" s="241"/>
      <c r="B65" s="239"/>
      <c r="C65" s="240"/>
      <c r="D65" s="238"/>
      <c r="E65" s="238"/>
      <c r="F65" s="208"/>
      <c r="G65" s="230" t="n">
        <v>37196</v>
      </c>
      <c r="H65" s="231" t="n">
        <v>37193</v>
      </c>
      <c r="I65" s="232" t="n">
        <v>37190</v>
      </c>
    </row>
    <row r="66" customFormat="false" ht="12.75" hidden="false" customHeight="false" outlineLevel="0" collapsed="false">
      <c r="A66" s="241"/>
      <c r="B66" s="239"/>
      <c r="C66" s="240"/>
      <c r="D66" s="238"/>
      <c r="E66" s="238"/>
      <c r="F66" s="208"/>
      <c r="G66" s="230" t="n">
        <v>37226</v>
      </c>
      <c r="H66" s="231" t="n">
        <v>37223</v>
      </c>
      <c r="I66" s="232" t="n">
        <v>37222</v>
      </c>
    </row>
    <row r="67" customFormat="false" ht="12.75" hidden="false" customHeight="false" outlineLevel="0" collapsed="false">
      <c r="A67" s="241"/>
      <c r="B67" s="239"/>
      <c r="C67" s="240"/>
      <c r="D67" s="238"/>
      <c r="E67" s="238"/>
      <c r="F67" s="208"/>
      <c r="G67" s="230" t="n">
        <v>37257</v>
      </c>
      <c r="H67" s="231" t="n">
        <v>37252</v>
      </c>
      <c r="I67" s="232" t="n">
        <v>37251</v>
      </c>
    </row>
    <row r="68" customFormat="false" ht="12.75" hidden="false" customHeight="false" outlineLevel="0" collapsed="false">
      <c r="A68" s="241"/>
      <c r="B68" s="239"/>
      <c r="C68" s="240"/>
      <c r="D68" s="238"/>
      <c r="E68" s="238"/>
      <c r="F68" s="208"/>
      <c r="G68" s="230" t="n">
        <v>37288</v>
      </c>
      <c r="H68" s="231" t="n">
        <v>37285</v>
      </c>
      <c r="I68" s="232" t="n">
        <v>37284</v>
      </c>
    </row>
    <row r="69" customFormat="false" ht="12.75" hidden="false" customHeight="false" outlineLevel="0" collapsed="false">
      <c r="A69" s="241"/>
      <c r="B69" s="239"/>
      <c r="C69" s="240"/>
      <c r="D69" s="238"/>
      <c r="E69" s="238"/>
      <c r="F69" s="208"/>
      <c r="G69" s="230" t="n">
        <v>37316</v>
      </c>
      <c r="H69" s="231" t="n">
        <v>37313</v>
      </c>
      <c r="I69" s="232" t="n">
        <v>37312</v>
      </c>
    </row>
    <row r="70" customFormat="false" ht="12.75" hidden="false" customHeight="false" outlineLevel="0" collapsed="false">
      <c r="A70" s="241"/>
      <c r="B70" s="239"/>
      <c r="C70" s="240"/>
      <c r="D70" s="238"/>
      <c r="E70" s="238"/>
      <c r="F70" s="208"/>
      <c r="G70" s="230" t="n">
        <v>37347</v>
      </c>
      <c r="H70" s="231" t="n">
        <v>37341</v>
      </c>
      <c r="I70" s="232" t="n">
        <v>37340</v>
      </c>
    </row>
    <row r="71" customFormat="false" ht="12.75" hidden="false" customHeight="false" outlineLevel="0" collapsed="false">
      <c r="A71" s="241"/>
      <c r="B71" s="239"/>
      <c r="C71" s="240"/>
      <c r="D71" s="238"/>
      <c r="E71" s="238"/>
      <c r="F71" s="208"/>
      <c r="G71" s="230" t="n">
        <v>37377</v>
      </c>
      <c r="H71" s="231" t="n">
        <v>37372</v>
      </c>
      <c r="I71" s="232" t="n">
        <v>37371</v>
      </c>
    </row>
    <row r="72" customFormat="false" ht="12.75" hidden="false" customHeight="false" outlineLevel="0" collapsed="false">
      <c r="A72" s="241"/>
      <c r="B72" s="239"/>
      <c r="C72" s="240"/>
      <c r="D72" s="238"/>
      <c r="E72" s="238"/>
      <c r="F72" s="208"/>
      <c r="G72" s="230" t="n">
        <v>37408</v>
      </c>
      <c r="H72" s="231" t="n">
        <v>37405</v>
      </c>
      <c r="I72" s="232" t="n">
        <v>37404</v>
      </c>
    </row>
    <row r="73" customFormat="false" ht="12.75" hidden="false" customHeight="false" outlineLevel="0" collapsed="false">
      <c r="A73" s="241"/>
      <c r="B73" s="239"/>
      <c r="C73" s="240"/>
      <c r="D73" s="238"/>
      <c r="E73" s="238"/>
      <c r="F73" s="208"/>
      <c r="G73" s="230" t="n">
        <v>37438</v>
      </c>
      <c r="H73" s="231" t="n">
        <v>37433</v>
      </c>
      <c r="I73" s="232" t="n">
        <v>37432</v>
      </c>
    </row>
    <row r="74" customFormat="false" ht="12.75" hidden="false" customHeight="false" outlineLevel="0" collapsed="false">
      <c r="A74" s="241"/>
      <c r="B74" s="239"/>
      <c r="C74" s="240"/>
      <c r="D74" s="238"/>
      <c r="E74" s="238"/>
      <c r="F74" s="208"/>
      <c r="G74" s="230" t="n">
        <v>37469</v>
      </c>
      <c r="H74" s="231" t="n">
        <v>37466</v>
      </c>
      <c r="I74" s="232" t="n">
        <v>37463</v>
      </c>
    </row>
    <row r="75" customFormat="false" ht="12.75" hidden="false" customHeight="false" outlineLevel="0" collapsed="false">
      <c r="A75" s="241"/>
      <c r="B75" s="239"/>
      <c r="C75" s="240"/>
      <c r="D75" s="238"/>
      <c r="E75" s="238"/>
      <c r="F75" s="208"/>
      <c r="G75" s="230" t="n">
        <v>37500</v>
      </c>
      <c r="H75" s="231" t="n">
        <v>37496</v>
      </c>
      <c r="I75" s="232" t="n">
        <v>37495</v>
      </c>
    </row>
    <row r="76" customFormat="false" ht="12.75" hidden="false" customHeight="false" outlineLevel="0" collapsed="false">
      <c r="A76" s="241"/>
      <c r="B76" s="239"/>
      <c r="C76" s="240"/>
      <c r="D76" s="238"/>
      <c r="E76" s="238"/>
      <c r="F76" s="208"/>
      <c r="G76" s="230" t="n">
        <v>37530</v>
      </c>
      <c r="H76" s="231" t="n">
        <v>37525</v>
      </c>
      <c r="I76" s="232" t="n">
        <v>37524</v>
      </c>
    </row>
    <row r="77" customFormat="false" ht="12.75" hidden="false" customHeight="false" outlineLevel="0" collapsed="false">
      <c r="A77" s="241"/>
      <c r="B77" s="239"/>
      <c r="C77" s="240"/>
      <c r="D77" s="238"/>
      <c r="E77" s="238"/>
      <c r="F77" s="208"/>
      <c r="G77" s="230" t="n">
        <v>37561</v>
      </c>
      <c r="H77" s="231" t="n">
        <v>37558</v>
      </c>
      <c r="I77" s="232" t="n">
        <v>37557</v>
      </c>
    </row>
    <row r="78" customFormat="false" ht="12.75" hidden="false" customHeight="false" outlineLevel="0" collapsed="false">
      <c r="A78" s="241"/>
      <c r="B78" s="239"/>
      <c r="C78" s="240"/>
      <c r="D78" s="238"/>
      <c r="E78" s="238"/>
      <c r="F78" s="208"/>
      <c r="G78" s="230" t="n">
        <v>37591</v>
      </c>
      <c r="H78" s="231" t="n">
        <v>37586</v>
      </c>
      <c r="I78" s="232" t="n">
        <v>37585</v>
      </c>
    </row>
    <row r="79" customFormat="false" ht="12.75" hidden="false" customHeight="false" outlineLevel="0" collapsed="false">
      <c r="A79" s="241"/>
      <c r="B79" s="239"/>
      <c r="C79" s="240"/>
      <c r="D79" s="238"/>
      <c r="E79" s="238"/>
      <c r="F79" s="208"/>
      <c r="G79" s="230" t="n">
        <v>37622</v>
      </c>
      <c r="H79" s="231" t="n">
        <v>37617</v>
      </c>
      <c r="I79" s="232" t="n">
        <v>37616</v>
      </c>
    </row>
    <row r="80" customFormat="false" ht="12.75" hidden="false" customHeight="false" outlineLevel="0" collapsed="false">
      <c r="A80" s="241"/>
      <c r="B80" s="239"/>
      <c r="C80" s="240"/>
      <c r="D80" s="238"/>
      <c r="E80" s="238"/>
      <c r="F80" s="208"/>
      <c r="G80" s="230" t="n">
        <v>37653</v>
      </c>
      <c r="H80" s="231" t="n">
        <v>37650</v>
      </c>
      <c r="I80" s="232" t="n">
        <v>37649</v>
      </c>
    </row>
    <row r="81" customFormat="false" ht="12.75" hidden="false" customHeight="false" outlineLevel="0" collapsed="false">
      <c r="A81" s="241"/>
      <c r="B81" s="239"/>
      <c r="C81" s="240"/>
      <c r="D81" s="238"/>
      <c r="E81" s="238"/>
      <c r="F81" s="208"/>
      <c r="G81" s="230" t="n">
        <v>37681</v>
      </c>
      <c r="H81" s="231" t="n">
        <v>37678</v>
      </c>
      <c r="I81" s="232" t="n">
        <v>37677</v>
      </c>
    </row>
    <row r="82" customFormat="false" ht="12.75" hidden="false" customHeight="false" outlineLevel="0" collapsed="false">
      <c r="A82" s="241"/>
      <c r="B82" s="239"/>
      <c r="C82" s="240"/>
      <c r="D82" s="238"/>
      <c r="E82" s="238"/>
      <c r="F82" s="208"/>
      <c r="G82" s="230" t="n">
        <v>37712</v>
      </c>
      <c r="H82" s="231" t="n">
        <v>37707</v>
      </c>
      <c r="I82" s="232" t="n">
        <v>37706</v>
      </c>
    </row>
    <row r="83" customFormat="false" ht="12.75" hidden="false" customHeight="false" outlineLevel="0" collapsed="false">
      <c r="A83" s="241"/>
      <c r="B83" s="239"/>
      <c r="C83" s="240"/>
      <c r="D83" s="238"/>
      <c r="E83" s="238"/>
      <c r="F83" s="208"/>
      <c r="G83" s="230" t="n">
        <v>37742</v>
      </c>
      <c r="H83" s="231" t="n">
        <v>37739</v>
      </c>
      <c r="I83" s="232" t="n">
        <v>37736</v>
      </c>
    </row>
    <row r="84" customFormat="false" ht="12.75" hidden="false" customHeight="false" outlineLevel="0" collapsed="false">
      <c r="A84" s="241"/>
      <c r="B84" s="239"/>
      <c r="C84" s="240"/>
      <c r="D84" s="238"/>
      <c r="E84" s="238"/>
      <c r="F84" s="208"/>
      <c r="G84" s="230" t="n">
        <v>37773</v>
      </c>
      <c r="H84" s="231" t="n">
        <v>37769</v>
      </c>
      <c r="I84" s="232" t="n">
        <v>37768</v>
      </c>
    </row>
    <row r="85" customFormat="false" ht="12.75" hidden="false" customHeight="false" outlineLevel="0" collapsed="false">
      <c r="A85" s="241"/>
      <c r="B85" s="239"/>
      <c r="C85" s="240"/>
      <c r="D85" s="238"/>
      <c r="E85" s="238"/>
      <c r="F85" s="208"/>
      <c r="G85" s="230" t="n">
        <v>37803</v>
      </c>
      <c r="H85" s="231" t="n">
        <v>37798</v>
      </c>
      <c r="I85" s="232" t="n">
        <v>37797</v>
      </c>
    </row>
    <row r="86" customFormat="false" ht="12.75" hidden="false" customHeight="false" outlineLevel="0" collapsed="false">
      <c r="A86" s="241"/>
      <c r="B86" s="239"/>
      <c r="C86" s="240"/>
      <c r="D86" s="238"/>
      <c r="E86" s="238"/>
      <c r="F86" s="208"/>
      <c r="G86" s="230" t="n">
        <v>37834</v>
      </c>
      <c r="H86" s="231" t="n">
        <v>37831</v>
      </c>
      <c r="I86" s="232" t="n">
        <v>37830</v>
      </c>
    </row>
    <row r="87" customFormat="false" ht="12.75" hidden="false" customHeight="false" outlineLevel="0" collapsed="false">
      <c r="A87" s="241"/>
      <c r="B87" s="239"/>
      <c r="C87" s="240"/>
      <c r="D87" s="238"/>
      <c r="E87" s="238"/>
      <c r="F87" s="208"/>
      <c r="G87" s="230" t="n">
        <v>37865</v>
      </c>
      <c r="H87" s="231" t="n">
        <v>37860</v>
      </c>
      <c r="I87" s="232" t="n">
        <v>37859</v>
      </c>
    </row>
    <row r="88" customFormat="false" ht="12.75" hidden="false" customHeight="false" outlineLevel="0" collapsed="false">
      <c r="A88" s="241"/>
      <c r="B88" s="239"/>
      <c r="C88" s="240"/>
      <c r="D88" s="238"/>
      <c r="E88" s="238"/>
      <c r="F88" s="208"/>
      <c r="G88" s="230" t="n">
        <v>37895</v>
      </c>
      <c r="H88" s="231" t="n">
        <v>37890</v>
      </c>
      <c r="I88" s="232" t="n">
        <v>37889</v>
      </c>
    </row>
    <row r="89" customFormat="false" ht="12.75" hidden="false" customHeight="false" outlineLevel="0" collapsed="false">
      <c r="A89" s="241"/>
      <c r="B89" s="239"/>
      <c r="C89" s="240"/>
      <c r="D89" s="238"/>
      <c r="E89" s="238"/>
      <c r="F89" s="208"/>
      <c r="G89" s="230" t="n">
        <v>37926</v>
      </c>
      <c r="H89" s="231" t="n">
        <v>37923</v>
      </c>
      <c r="I89" s="232" t="n">
        <v>37922</v>
      </c>
    </row>
    <row r="90" customFormat="false" ht="12.75" hidden="false" customHeight="false" outlineLevel="0" collapsed="false">
      <c r="A90" s="241"/>
      <c r="B90" s="239"/>
      <c r="C90" s="240"/>
      <c r="D90" s="238"/>
      <c r="E90" s="238"/>
      <c r="F90" s="208"/>
      <c r="G90" s="230" t="n">
        <v>37956</v>
      </c>
      <c r="H90" s="231" t="n">
        <v>37950</v>
      </c>
      <c r="I90" s="232" t="n">
        <v>37949</v>
      </c>
    </row>
    <row r="91" customFormat="false" ht="12.75" hidden="false" customHeight="false" outlineLevel="0" collapsed="false">
      <c r="A91" s="241"/>
      <c r="B91" s="239"/>
      <c r="C91" s="240"/>
      <c r="D91" s="238"/>
      <c r="E91" s="238"/>
      <c r="F91" s="208"/>
      <c r="G91" s="230" t="n">
        <v>37987</v>
      </c>
      <c r="H91" s="231" t="n">
        <v>37984</v>
      </c>
      <c r="I91" s="232" t="n">
        <v>37981</v>
      </c>
    </row>
    <row r="92" customFormat="false" ht="12.75" hidden="false" customHeight="false" outlineLevel="0" collapsed="false">
      <c r="A92" s="241"/>
      <c r="B92" s="239"/>
      <c r="C92" s="240"/>
      <c r="D92" s="238"/>
      <c r="E92" s="238"/>
      <c r="F92" s="208"/>
      <c r="G92" s="230" t="n">
        <v>38018</v>
      </c>
      <c r="H92" s="231" t="n">
        <v>38014</v>
      </c>
      <c r="I92" s="232" t="n">
        <v>38013</v>
      </c>
    </row>
    <row r="93" customFormat="false" ht="12.75" hidden="false" customHeight="false" outlineLevel="0" collapsed="false">
      <c r="A93" s="241"/>
      <c r="B93" s="239"/>
      <c r="C93" s="240"/>
      <c r="D93" s="238"/>
      <c r="E93" s="238"/>
      <c r="F93" s="208"/>
      <c r="G93" s="230" t="n">
        <v>38047</v>
      </c>
      <c r="H93" s="231" t="n">
        <v>38042</v>
      </c>
      <c r="I93" s="232" t="n">
        <v>38041</v>
      </c>
    </row>
    <row r="94" customFormat="false" ht="12.75" hidden="false" customHeight="false" outlineLevel="0" collapsed="false">
      <c r="A94" s="241"/>
      <c r="B94" s="239"/>
      <c r="C94" s="240"/>
      <c r="D94" s="238"/>
      <c r="E94" s="238"/>
      <c r="F94" s="208"/>
      <c r="G94" s="230" t="n">
        <v>38078</v>
      </c>
      <c r="H94" s="231" t="n">
        <v>38075</v>
      </c>
      <c r="I94" s="232" t="n">
        <v>38072</v>
      </c>
    </row>
    <row r="95" customFormat="false" ht="12.75" hidden="false" customHeight="false" outlineLevel="0" collapsed="false">
      <c r="A95" s="241"/>
      <c r="B95" s="239"/>
      <c r="C95" s="240"/>
      <c r="D95" s="238"/>
      <c r="E95" s="238"/>
      <c r="F95" s="208"/>
      <c r="G95" s="230" t="n">
        <v>38108</v>
      </c>
      <c r="H95" s="231" t="n">
        <v>38105</v>
      </c>
      <c r="I95" s="232" t="n">
        <v>38104</v>
      </c>
    </row>
    <row r="96" customFormat="false" ht="12.75" hidden="false" customHeight="false" outlineLevel="0" collapsed="false">
      <c r="A96" s="241"/>
      <c r="B96" s="239"/>
      <c r="C96" s="240"/>
      <c r="D96" s="238"/>
      <c r="E96" s="238"/>
      <c r="F96" s="208"/>
      <c r="G96" s="230" t="n">
        <v>38139</v>
      </c>
      <c r="H96" s="231" t="n">
        <v>38133</v>
      </c>
      <c r="I96" s="232" t="n">
        <v>38132</v>
      </c>
    </row>
    <row r="97" customFormat="false" ht="12.75" hidden="false" customHeight="false" outlineLevel="0" collapsed="false">
      <c r="A97" s="241"/>
      <c r="B97" s="239"/>
      <c r="C97" s="240"/>
      <c r="D97" s="238"/>
      <c r="E97" s="238"/>
      <c r="F97" s="208"/>
      <c r="G97" s="230" t="n">
        <v>38169</v>
      </c>
      <c r="H97" s="231" t="n">
        <v>38166</v>
      </c>
      <c r="I97" s="232" t="n">
        <v>38163</v>
      </c>
    </row>
    <row r="98" customFormat="false" ht="12.75" hidden="false" customHeight="false" outlineLevel="0" collapsed="false">
      <c r="A98" s="241"/>
      <c r="B98" s="239"/>
      <c r="C98" s="240"/>
      <c r="D98" s="238"/>
      <c r="E98" s="238"/>
      <c r="F98" s="208"/>
      <c r="G98" s="230" t="n">
        <v>38200</v>
      </c>
      <c r="H98" s="231" t="n">
        <v>38196</v>
      </c>
      <c r="I98" s="232" t="n">
        <v>38195</v>
      </c>
    </row>
    <row r="99" customFormat="false" ht="12.75" hidden="false" customHeight="false" outlineLevel="0" collapsed="false">
      <c r="A99" s="241"/>
      <c r="B99" s="239"/>
      <c r="C99" s="240"/>
      <c r="D99" s="238"/>
      <c r="E99" s="238"/>
      <c r="F99" s="208"/>
      <c r="G99" s="230" t="n">
        <v>38231</v>
      </c>
      <c r="H99" s="231" t="n">
        <v>38226</v>
      </c>
      <c r="I99" s="232" t="n">
        <v>38225</v>
      </c>
    </row>
    <row r="100" customFormat="false" ht="12.75" hidden="false" customHeight="false" outlineLevel="0" collapsed="false">
      <c r="A100" s="241"/>
      <c r="B100" s="239"/>
      <c r="C100" s="240"/>
      <c r="D100" s="238"/>
      <c r="E100" s="238"/>
      <c r="F100" s="208"/>
      <c r="G100" s="230" t="n">
        <v>38261</v>
      </c>
      <c r="H100" s="231" t="n">
        <v>38258</v>
      </c>
      <c r="I100" s="232" t="n">
        <v>38257</v>
      </c>
    </row>
    <row r="101" customFormat="false" ht="12.75" hidden="false" customHeight="false" outlineLevel="0" collapsed="false">
      <c r="A101" s="241"/>
      <c r="B101" s="239"/>
      <c r="C101" s="240"/>
      <c r="D101" s="238"/>
      <c r="E101" s="238"/>
      <c r="F101" s="208"/>
      <c r="G101" s="230" t="n">
        <v>38292</v>
      </c>
      <c r="H101" s="231" t="n">
        <v>38287</v>
      </c>
      <c r="I101" s="232" t="n">
        <v>38286</v>
      </c>
    </row>
    <row r="102" customFormat="false" ht="12.75" hidden="false" customHeight="false" outlineLevel="0" collapsed="false">
      <c r="A102" s="241"/>
      <c r="B102" s="239"/>
      <c r="C102" s="240"/>
      <c r="D102" s="238"/>
      <c r="E102" s="238"/>
      <c r="F102" s="208"/>
      <c r="G102" s="230" t="n">
        <v>38322</v>
      </c>
      <c r="H102" s="231" t="n">
        <v>38317</v>
      </c>
      <c r="I102" s="232" t="n">
        <v>38315</v>
      </c>
    </row>
    <row r="103" customFormat="false" ht="12.75" hidden="false" customHeight="false" outlineLevel="0" collapsed="false">
      <c r="A103" s="241"/>
      <c r="B103" s="239"/>
      <c r="C103" s="240"/>
      <c r="D103" s="238"/>
      <c r="E103" s="238"/>
      <c r="F103" s="208"/>
      <c r="G103" s="230" t="n">
        <v>38353</v>
      </c>
      <c r="H103" s="231" t="n">
        <v>38349</v>
      </c>
      <c r="I103" s="232" t="n">
        <v>38348</v>
      </c>
    </row>
    <row r="104" customFormat="false" ht="12.75" hidden="false" customHeight="false" outlineLevel="0" collapsed="false">
      <c r="A104" s="241"/>
      <c r="B104" s="239"/>
      <c r="C104" s="240"/>
      <c r="D104" s="238"/>
      <c r="E104" s="238"/>
      <c r="F104" s="208"/>
      <c r="G104" s="230" t="n">
        <v>38384</v>
      </c>
      <c r="H104" s="231" t="n">
        <v>38379</v>
      </c>
      <c r="I104" s="232" t="n">
        <v>38378</v>
      </c>
    </row>
    <row r="105" customFormat="false" ht="12.75" hidden="false" customHeight="false" outlineLevel="0" collapsed="false">
      <c r="A105" s="241"/>
      <c r="B105" s="239"/>
      <c r="C105" s="240"/>
      <c r="D105" s="238"/>
      <c r="E105" s="238"/>
      <c r="F105" s="208"/>
      <c r="G105" s="230" t="n">
        <v>38412</v>
      </c>
      <c r="H105" s="231" t="n">
        <v>38407</v>
      </c>
      <c r="I105" s="232" t="n">
        <v>38406</v>
      </c>
    </row>
    <row r="106" customFormat="false" ht="12.75" hidden="false" customHeight="false" outlineLevel="0" collapsed="false">
      <c r="A106" s="241"/>
      <c r="B106" s="239"/>
      <c r="C106" s="240"/>
      <c r="D106" s="238"/>
      <c r="E106" s="238"/>
      <c r="F106" s="208"/>
      <c r="G106" s="230" t="n">
        <v>38443</v>
      </c>
      <c r="H106" s="231" t="n">
        <v>38440</v>
      </c>
      <c r="I106" s="232" t="n">
        <v>38439</v>
      </c>
    </row>
    <row r="107" customFormat="false" ht="12.75" hidden="false" customHeight="false" outlineLevel="0" collapsed="false">
      <c r="A107" s="241"/>
      <c r="B107" s="239"/>
      <c r="C107" s="240"/>
      <c r="D107" s="238"/>
      <c r="E107" s="238"/>
      <c r="F107" s="208"/>
      <c r="G107" s="230" t="n">
        <v>38473</v>
      </c>
      <c r="H107" s="231" t="n">
        <v>38469</v>
      </c>
      <c r="I107" s="232" t="n">
        <v>38468</v>
      </c>
    </row>
    <row r="108" customFormat="false" ht="12.75" hidden="false" customHeight="false" outlineLevel="0" collapsed="false">
      <c r="A108" s="241"/>
      <c r="B108" s="239"/>
      <c r="C108" s="240"/>
      <c r="D108" s="238"/>
      <c r="E108" s="238"/>
      <c r="F108" s="208"/>
      <c r="G108" s="230" t="n">
        <v>38504</v>
      </c>
      <c r="H108" s="231" t="n">
        <v>38498</v>
      </c>
      <c r="I108" s="232" t="n">
        <v>38497</v>
      </c>
    </row>
    <row r="109" customFormat="false" ht="12.75" hidden="false" customHeight="false" outlineLevel="0" collapsed="false">
      <c r="A109" s="241"/>
      <c r="B109" s="239"/>
      <c r="C109" s="240"/>
      <c r="D109" s="238"/>
      <c r="E109" s="238"/>
      <c r="F109" s="208"/>
      <c r="G109" s="230" t="n">
        <v>38534</v>
      </c>
      <c r="H109" s="231" t="n">
        <v>38531</v>
      </c>
      <c r="I109" s="232" t="n">
        <v>38530</v>
      </c>
    </row>
    <row r="110" customFormat="false" ht="12.75" hidden="false" customHeight="false" outlineLevel="0" collapsed="false">
      <c r="A110" s="241"/>
      <c r="B110" s="239"/>
      <c r="C110" s="240"/>
      <c r="D110" s="238"/>
      <c r="E110" s="238"/>
      <c r="F110" s="208"/>
      <c r="G110" s="230" t="n">
        <v>38565</v>
      </c>
      <c r="H110" s="231" t="n">
        <v>38560</v>
      </c>
      <c r="I110" s="232" t="n">
        <v>38559</v>
      </c>
    </row>
    <row r="111" customFormat="false" ht="12.75" hidden="false" customHeight="false" outlineLevel="0" collapsed="false">
      <c r="A111" s="241"/>
      <c r="B111" s="239"/>
      <c r="C111" s="240"/>
      <c r="D111" s="238"/>
      <c r="E111" s="238"/>
      <c r="F111" s="208"/>
      <c r="G111" s="230" t="n">
        <v>38596</v>
      </c>
      <c r="H111" s="231" t="n">
        <v>38593</v>
      </c>
      <c r="I111" s="232" t="n">
        <v>38590</v>
      </c>
    </row>
    <row r="112" customFormat="false" ht="12.75" hidden="false" customHeight="false" outlineLevel="0" collapsed="false">
      <c r="A112" s="241"/>
      <c r="B112" s="239"/>
      <c r="C112" s="240"/>
      <c r="D112" s="238"/>
      <c r="E112" s="238"/>
      <c r="F112" s="208"/>
      <c r="G112" s="230" t="n">
        <v>38626</v>
      </c>
      <c r="H112" s="231" t="n">
        <v>38623</v>
      </c>
      <c r="I112" s="232" t="n">
        <v>38622</v>
      </c>
    </row>
    <row r="113" customFormat="false" ht="12.75" hidden="false" customHeight="false" outlineLevel="0" collapsed="false">
      <c r="A113" s="241"/>
      <c r="B113" s="239"/>
      <c r="C113" s="240"/>
      <c r="D113" s="238"/>
      <c r="E113" s="238"/>
      <c r="F113" s="208"/>
      <c r="G113" s="230" t="n">
        <v>38657</v>
      </c>
      <c r="H113" s="231" t="n">
        <v>38652</v>
      </c>
      <c r="I113" s="232" t="n">
        <v>38651</v>
      </c>
    </row>
    <row r="114" customFormat="false" ht="12.75" hidden="false" customHeight="false" outlineLevel="0" collapsed="false">
      <c r="A114" s="241"/>
      <c r="B114" s="239"/>
      <c r="C114" s="240"/>
      <c r="D114" s="238"/>
      <c r="E114" s="238"/>
      <c r="F114" s="208"/>
      <c r="G114" s="230" t="n">
        <v>38687</v>
      </c>
      <c r="H114" s="231" t="n">
        <v>38684</v>
      </c>
      <c r="I114" s="232" t="n">
        <v>38681</v>
      </c>
    </row>
    <row r="115" customFormat="false" ht="12.75" hidden="false" customHeight="false" outlineLevel="0" collapsed="false">
      <c r="A115" s="241"/>
      <c r="B115" s="239"/>
      <c r="C115" s="240"/>
      <c r="D115" s="238"/>
      <c r="E115" s="238"/>
      <c r="F115" s="208"/>
      <c r="G115" s="230" t="n">
        <v>38718</v>
      </c>
      <c r="H115" s="231" t="n">
        <v>38714</v>
      </c>
      <c r="I115" s="232" t="n">
        <v>38713</v>
      </c>
    </row>
    <row r="116" customFormat="false" ht="12.75" hidden="false" customHeight="false" outlineLevel="0" collapsed="false">
      <c r="A116" s="241"/>
      <c r="B116" s="239"/>
      <c r="C116" s="240"/>
      <c r="D116" s="238"/>
      <c r="E116" s="238"/>
      <c r="F116" s="208"/>
      <c r="G116" s="230" t="n">
        <v>38749</v>
      </c>
      <c r="H116" s="231" t="n">
        <v>38744</v>
      </c>
      <c r="I116" s="232" t="n">
        <v>38743</v>
      </c>
    </row>
    <row r="117" customFormat="false" ht="12.75" hidden="false" customHeight="false" outlineLevel="0" collapsed="false">
      <c r="A117" s="241"/>
      <c r="B117" s="239"/>
      <c r="C117" s="240"/>
      <c r="D117" s="238"/>
      <c r="E117" s="238"/>
      <c r="F117" s="208"/>
      <c r="G117" s="230" t="n">
        <v>38777</v>
      </c>
      <c r="H117" s="231" t="n">
        <v>38772</v>
      </c>
      <c r="I117" s="232" t="n">
        <v>38771</v>
      </c>
    </row>
    <row r="118" customFormat="false" ht="12.75" hidden="false" customHeight="false" outlineLevel="0" collapsed="false">
      <c r="A118" s="241"/>
      <c r="B118" s="239"/>
      <c r="C118" s="240"/>
      <c r="D118" s="238"/>
      <c r="E118" s="238"/>
      <c r="F118" s="208"/>
      <c r="G118" s="230" t="n">
        <v>38808</v>
      </c>
      <c r="H118" s="231" t="n">
        <v>38805</v>
      </c>
      <c r="I118" s="232" t="n">
        <v>38804</v>
      </c>
    </row>
    <row r="119" customFormat="false" ht="12.75" hidden="false" customHeight="false" outlineLevel="0" collapsed="false">
      <c r="A119" s="241"/>
      <c r="B119" s="239"/>
      <c r="C119" s="240"/>
      <c r="D119" s="238"/>
      <c r="E119" s="238"/>
      <c r="F119" s="208"/>
      <c r="G119" s="230" t="n">
        <v>38838</v>
      </c>
      <c r="H119" s="231" t="n">
        <v>38833</v>
      </c>
      <c r="I119" s="232" t="n">
        <v>38832</v>
      </c>
    </row>
    <row r="120" customFormat="false" ht="12.75" hidden="false" customHeight="false" outlineLevel="0" collapsed="false">
      <c r="A120" s="241"/>
      <c r="B120" s="239"/>
      <c r="C120" s="240"/>
      <c r="D120" s="238"/>
      <c r="E120" s="238"/>
      <c r="F120" s="208"/>
      <c r="G120" s="230" t="n">
        <v>38869</v>
      </c>
      <c r="H120" s="231" t="n">
        <v>38863</v>
      </c>
      <c r="I120" s="232" t="n">
        <v>38862</v>
      </c>
    </row>
    <row r="121" customFormat="false" ht="12.75" hidden="false" customHeight="false" outlineLevel="0" collapsed="false">
      <c r="A121" s="241"/>
      <c r="B121" s="239"/>
      <c r="C121" s="240"/>
      <c r="D121" s="238"/>
      <c r="E121" s="238"/>
      <c r="F121" s="208"/>
      <c r="G121" s="230" t="n">
        <v>38899</v>
      </c>
      <c r="H121" s="231" t="n">
        <v>38896</v>
      </c>
      <c r="I121" s="232" t="n">
        <v>38895</v>
      </c>
    </row>
    <row r="122" customFormat="false" ht="12.75" hidden="false" customHeight="false" outlineLevel="0" collapsed="false">
      <c r="A122" s="241"/>
      <c r="B122" s="239"/>
      <c r="C122" s="240"/>
      <c r="D122" s="238"/>
      <c r="E122" s="238"/>
      <c r="F122" s="208"/>
      <c r="G122" s="230" t="n">
        <v>38930</v>
      </c>
      <c r="H122" s="231" t="n">
        <v>38925</v>
      </c>
      <c r="I122" s="232" t="n">
        <v>38924</v>
      </c>
    </row>
    <row r="123" customFormat="false" ht="12.75" hidden="false" customHeight="false" outlineLevel="0" collapsed="false">
      <c r="A123" s="241"/>
      <c r="B123" s="239"/>
      <c r="C123" s="240"/>
      <c r="D123" s="238"/>
      <c r="E123" s="238"/>
      <c r="F123" s="208"/>
      <c r="G123" s="230" t="n">
        <v>38961</v>
      </c>
      <c r="H123" s="231" t="n">
        <v>38958</v>
      </c>
      <c r="I123" s="232" t="n">
        <v>38957</v>
      </c>
    </row>
    <row r="124" customFormat="false" ht="12.75" hidden="false" customHeight="false" outlineLevel="0" collapsed="false">
      <c r="A124" s="241"/>
      <c r="B124" s="239"/>
      <c r="C124" s="240"/>
      <c r="D124" s="238"/>
      <c r="E124" s="238"/>
      <c r="F124" s="208"/>
      <c r="G124" s="230" t="n">
        <v>38991</v>
      </c>
      <c r="H124" s="231" t="n">
        <v>38987</v>
      </c>
      <c r="I124" s="232" t="n">
        <v>38986</v>
      </c>
    </row>
    <row r="125" customFormat="false" ht="12.75" hidden="false" customHeight="false" outlineLevel="0" collapsed="false">
      <c r="A125" s="241"/>
      <c r="B125" s="239"/>
      <c r="C125" s="240"/>
      <c r="D125" s="238"/>
      <c r="E125" s="238"/>
      <c r="F125" s="208"/>
      <c r="G125" s="230" t="n">
        <v>39022</v>
      </c>
      <c r="H125" s="231" t="n">
        <v>39017</v>
      </c>
      <c r="I125" s="232" t="n">
        <v>39016</v>
      </c>
    </row>
    <row r="126" customFormat="false" ht="12.75" hidden="false" customHeight="false" outlineLevel="0" collapsed="false">
      <c r="A126" s="241"/>
      <c r="B126" s="239"/>
      <c r="C126" s="240"/>
      <c r="D126" s="238"/>
      <c r="E126" s="238"/>
      <c r="F126" s="208"/>
      <c r="G126" s="230" t="n">
        <v>39052</v>
      </c>
      <c r="H126" s="231" t="n">
        <v>39049</v>
      </c>
      <c r="I126" s="232" t="n">
        <v>39048</v>
      </c>
    </row>
    <row r="127" customFormat="false" ht="12.75" hidden="false" customHeight="false" outlineLevel="0" collapsed="false">
      <c r="A127" s="241"/>
      <c r="B127" s="239"/>
      <c r="C127" s="240"/>
      <c r="D127" s="238"/>
      <c r="E127" s="238"/>
      <c r="F127" s="208"/>
      <c r="G127" s="230" t="n">
        <v>39083</v>
      </c>
      <c r="H127" s="231" t="n">
        <v>39078</v>
      </c>
      <c r="I127" s="232" t="n">
        <v>39077</v>
      </c>
    </row>
    <row r="128" customFormat="false" ht="12.75" hidden="false" customHeight="false" outlineLevel="0" collapsed="false">
      <c r="A128" s="241"/>
      <c r="B128" s="239"/>
      <c r="C128" s="240"/>
      <c r="D128" s="238"/>
      <c r="E128" s="238"/>
      <c r="F128" s="208"/>
      <c r="G128" s="230" t="n">
        <v>39114</v>
      </c>
      <c r="H128" s="231" t="n">
        <v>39111</v>
      </c>
      <c r="I128" s="232" t="n">
        <v>39108</v>
      </c>
    </row>
    <row r="129" customFormat="false" ht="12.75" hidden="false" customHeight="false" outlineLevel="0" collapsed="false">
      <c r="A129" s="241"/>
      <c r="B129" s="239"/>
      <c r="C129" s="240"/>
      <c r="D129" s="238"/>
      <c r="E129" s="238"/>
      <c r="F129" s="208"/>
      <c r="G129" s="230" t="n">
        <v>39142</v>
      </c>
      <c r="H129" s="231" t="n">
        <v>39139</v>
      </c>
      <c r="I129" s="232" t="n">
        <v>39136</v>
      </c>
    </row>
    <row r="130" customFormat="false" ht="12.75" hidden="false" customHeight="false" outlineLevel="0" collapsed="false">
      <c r="A130" s="241"/>
      <c r="B130" s="239"/>
      <c r="C130" s="240"/>
      <c r="D130" s="238"/>
      <c r="E130" s="238"/>
      <c r="F130" s="208"/>
      <c r="G130" s="230" t="n">
        <v>39173</v>
      </c>
      <c r="H130" s="231" t="n">
        <v>39169</v>
      </c>
      <c r="I130" s="232" t="n">
        <v>39168</v>
      </c>
    </row>
    <row r="131" customFormat="false" ht="12.75" hidden="false" customHeight="false" outlineLevel="0" collapsed="false">
      <c r="A131" s="241"/>
      <c r="B131" s="239"/>
      <c r="C131" s="240"/>
      <c r="D131" s="238"/>
      <c r="E131" s="238"/>
      <c r="F131" s="208"/>
      <c r="G131" s="230" t="n">
        <v>39203</v>
      </c>
      <c r="H131" s="231" t="n">
        <v>39198</v>
      </c>
      <c r="I131" s="232" t="n">
        <v>39197</v>
      </c>
    </row>
    <row r="132" customFormat="false" ht="12.75" hidden="false" customHeight="false" outlineLevel="0" collapsed="false">
      <c r="A132" s="241"/>
      <c r="B132" s="239"/>
      <c r="C132" s="240"/>
      <c r="D132" s="238"/>
      <c r="E132" s="238"/>
      <c r="F132" s="208"/>
      <c r="G132" s="230" t="n">
        <v>39234</v>
      </c>
      <c r="H132" s="231" t="n">
        <v>39231</v>
      </c>
      <c r="I132" s="232" t="n">
        <v>39227</v>
      </c>
    </row>
    <row r="133" customFormat="false" ht="12.75" hidden="false" customHeight="false" outlineLevel="0" collapsed="false">
      <c r="A133" s="241"/>
      <c r="B133" s="239"/>
      <c r="C133" s="240"/>
      <c r="D133" s="238"/>
      <c r="E133" s="238"/>
      <c r="F133" s="208"/>
      <c r="G133" s="230" t="n">
        <v>39264</v>
      </c>
      <c r="H133" s="231" t="n">
        <v>39260</v>
      </c>
      <c r="I133" s="232" t="n">
        <v>39259</v>
      </c>
    </row>
    <row r="134" customFormat="false" ht="12.75" hidden="false" customHeight="false" outlineLevel="0" collapsed="false">
      <c r="A134" s="241"/>
      <c r="B134" s="239"/>
      <c r="C134" s="240"/>
      <c r="D134" s="238"/>
      <c r="E134" s="238"/>
      <c r="F134" s="208"/>
      <c r="G134" s="230" t="n">
        <v>39295</v>
      </c>
      <c r="H134" s="231" t="n">
        <v>39290</v>
      </c>
      <c r="I134" s="232" t="n">
        <v>39289</v>
      </c>
    </row>
    <row r="135" customFormat="false" ht="12.75" hidden="false" customHeight="false" outlineLevel="0" collapsed="false">
      <c r="A135" s="241"/>
      <c r="B135" s="239"/>
      <c r="C135" s="240"/>
      <c r="D135" s="238"/>
      <c r="E135" s="238"/>
      <c r="F135" s="208"/>
      <c r="G135" s="230" t="n">
        <v>39326</v>
      </c>
      <c r="H135" s="231" t="n">
        <v>39323</v>
      </c>
      <c r="I135" s="232" t="n">
        <v>39322</v>
      </c>
    </row>
    <row r="136" customFormat="false" ht="12.75" hidden="false" customHeight="false" outlineLevel="0" collapsed="false">
      <c r="A136" s="241"/>
      <c r="B136" s="239"/>
      <c r="C136" s="240"/>
      <c r="D136" s="238"/>
      <c r="E136" s="238"/>
      <c r="F136" s="208"/>
      <c r="G136" s="230" t="n">
        <v>39356</v>
      </c>
      <c r="H136" s="231" t="n">
        <v>39351</v>
      </c>
      <c r="I136" s="232" t="n">
        <v>39350</v>
      </c>
    </row>
    <row r="137" customFormat="false" ht="12.75" hidden="false" customHeight="false" outlineLevel="0" collapsed="false">
      <c r="A137" s="241"/>
      <c r="B137" s="239"/>
      <c r="C137" s="240"/>
      <c r="D137" s="238"/>
      <c r="E137" s="238"/>
      <c r="F137" s="208"/>
      <c r="G137" s="230" t="n">
        <v>39387</v>
      </c>
      <c r="H137" s="231" t="n">
        <v>39384</v>
      </c>
      <c r="I137" s="232" t="n">
        <v>39381</v>
      </c>
    </row>
    <row r="138" customFormat="false" ht="12.75" hidden="false" customHeight="false" outlineLevel="0" collapsed="false">
      <c r="A138" s="241"/>
      <c r="B138" s="239"/>
      <c r="C138" s="240"/>
      <c r="D138" s="238"/>
      <c r="E138" s="238"/>
      <c r="F138" s="208"/>
      <c r="G138" s="230" t="n">
        <v>39417</v>
      </c>
      <c r="H138" s="231" t="n">
        <v>39414</v>
      </c>
      <c r="I138" s="232" t="n">
        <v>39413</v>
      </c>
    </row>
    <row r="139" customFormat="false" ht="12.75" hidden="false" customHeight="false" outlineLevel="0" collapsed="false">
      <c r="A139" s="241"/>
      <c r="B139" s="239"/>
      <c r="C139" s="240"/>
      <c r="D139" s="238"/>
      <c r="E139" s="238"/>
      <c r="F139" s="208"/>
      <c r="G139" s="230" t="n">
        <v>39448</v>
      </c>
      <c r="H139" s="231" t="n">
        <v>39443</v>
      </c>
      <c r="I139" s="232" t="n">
        <v>39442</v>
      </c>
    </row>
    <row r="140" customFormat="false" ht="12.75" hidden="false" customHeight="false" outlineLevel="0" collapsed="false">
      <c r="A140" s="241"/>
      <c r="B140" s="239"/>
      <c r="C140" s="240"/>
      <c r="D140" s="238"/>
      <c r="E140" s="238"/>
      <c r="F140" s="208"/>
      <c r="G140" s="230" t="n">
        <v>39479</v>
      </c>
      <c r="H140" s="231" t="n">
        <v>39476</v>
      </c>
      <c r="I140" s="232" t="n">
        <v>39475</v>
      </c>
    </row>
    <row r="141" customFormat="false" ht="12.75" hidden="false" customHeight="false" outlineLevel="0" collapsed="false">
      <c r="A141" s="241"/>
      <c r="B141" s="239"/>
      <c r="C141" s="240"/>
      <c r="D141" s="238"/>
      <c r="E141" s="238"/>
      <c r="F141" s="208"/>
      <c r="G141" s="230" t="n">
        <v>39508</v>
      </c>
      <c r="H141" s="231" t="n">
        <v>39505</v>
      </c>
      <c r="I141" s="232" t="n">
        <v>39504</v>
      </c>
    </row>
    <row r="142" customFormat="false" ht="12.75" hidden="false" customHeight="false" outlineLevel="0" collapsed="false">
      <c r="A142" s="241"/>
      <c r="B142" s="239"/>
      <c r="C142" s="240"/>
      <c r="D142" s="238"/>
      <c r="E142" s="238"/>
      <c r="F142" s="208"/>
      <c r="G142" s="230" t="n">
        <v>39539</v>
      </c>
      <c r="H142" s="231" t="n">
        <v>39534</v>
      </c>
      <c r="I142" s="232" t="n">
        <v>39533</v>
      </c>
    </row>
    <row r="143" customFormat="false" ht="12.75" hidden="false" customHeight="false" outlineLevel="0" collapsed="false">
      <c r="A143" s="241"/>
      <c r="B143" s="239"/>
      <c r="C143" s="240"/>
      <c r="D143" s="238"/>
      <c r="E143" s="238"/>
      <c r="F143" s="208"/>
      <c r="G143" s="230" t="n">
        <v>39569</v>
      </c>
      <c r="H143" s="231" t="n">
        <v>39566</v>
      </c>
      <c r="I143" s="232" t="n">
        <v>39563</v>
      </c>
    </row>
    <row r="144" customFormat="false" ht="12.75" hidden="false" customHeight="false" outlineLevel="0" collapsed="false">
      <c r="A144" s="241"/>
      <c r="B144" s="239"/>
      <c r="C144" s="240"/>
      <c r="D144" s="238"/>
      <c r="E144" s="238"/>
      <c r="F144" s="208"/>
      <c r="G144" s="230" t="n">
        <v>39600</v>
      </c>
      <c r="H144" s="231" t="n">
        <v>39596</v>
      </c>
      <c r="I144" s="232" t="n">
        <v>39595</v>
      </c>
    </row>
    <row r="145" customFormat="false" ht="12.75" hidden="false" customHeight="false" outlineLevel="0" collapsed="false">
      <c r="A145" s="241"/>
      <c r="B145" s="239"/>
      <c r="C145" s="240"/>
      <c r="D145" s="238"/>
      <c r="E145" s="238"/>
      <c r="F145" s="208"/>
      <c r="G145" s="230" t="n">
        <v>39630</v>
      </c>
      <c r="H145" s="231" t="n">
        <v>39625</v>
      </c>
      <c r="I145" s="232" t="n">
        <v>39624</v>
      </c>
    </row>
    <row r="146" customFormat="false" ht="12.75" hidden="false" customHeight="false" outlineLevel="0" collapsed="false">
      <c r="A146" s="241"/>
      <c r="B146" s="239"/>
      <c r="C146" s="240"/>
      <c r="D146" s="238"/>
      <c r="E146" s="238"/>
      <c r="F146" s="208"/>
      <c r="G146" s="230" t="n">
        <v>39661</v>
      </c>
      <c r="H146" s="231" t="n">
        <v>39658</v>
      </c>
      <c r="I146" s="232" t="n">
        <v>39657</v>
      </c>
    </row>
    <row r="147" customFormat="false" ht="12.75" hidden="false" customHeight="false" outlineLevel="0" collapsed="false">
      <c r="A147" s="241"/>
      <c r="B147" s="239"/>
      <c r="C147" s="240"/>
      <c r="D147" s="238"/>
      <c r="E147" s="238"/>
      <c r="F147" s="208"/>
      <c r="G147" s="230" t="n">
        <v>39692</v>
      </c>
      <c r="H147" s="231" t="n">
        <v>39687</v>
      </c>
      <c r="I147" s="232" t="n">
        <v>39686</v>
      </c>
    </row>
    <row r="148" customFormat="false" ht="12.75" hidden="false" customHeight="false" outlineLevel="0" collapsed="false">
      <c r="A148" s="241"/>
      <c r="B148" s="239"/>
      <c r="C148" s="240"/>
      <c r="D148" s="238"/>
      <c r="E148" s="238"/>
      <c r="F148" s="208"/>
      <c r="G148" s="230" t="n">
        <v>39722</v>
      </c>
      <c r="H148" s="231" t="n">
        <v>39717</v>
      </c>
      <c r="I148" s="232" t="n">
        <v>39716</v>
      </c>
    </row>
    <row r="149" customFormat="false" ht="12.75" hidden="false" customHeight="false" outlineLevel="0" collapsed="false">
      <c r="A149" s="241"/>
      <c r="B149" s="239"/>
      <c r="C149" s="240"/>
      <c r="D149" s="238"/>
      <c r="E149" s="238"/>
      <c r="F149" s="208"/>
      <c r="G149" s="230" t="n">
        <v>39753</v>
      </c>
      <c r="H149" s="231" t="n">
        <v>39750</v>
      </c>
      <c r="I149" s="232" t="n">
        <v>39749</v>
      </c>
    </row>
    <row r="150" customFormat="false" ht="12.75" hidden="false" customHeight="false" outlineLevel="0" collapsed="false">
      <c r="A150" s="241"/>
      <c r="B150" s="239"/>
      <c r="C150" s="240"/>
      <c r="D150" s="238"/>
      <c r="E150" s="238"/>
      <c r="F150" s="208"/>
      <c r="G150" s="230" t="n">
        <v>39783</v>
      </c>
      <c r="H150" s="231" t="n">
        <v>39777</v>
      </c>
      <c r="I150" s="232" t="n">
        <v>39776</v>
      </c>
    </row>
    <row r="151" customFormat="false" ht="12.75" hidden="false" customHeight="false" outlineLevel="0" collapsed="false">
      <c r="A151" s="241"/>
      <c r="B151" s="239"/>
      <c r="C151" s="240"/>
      <c r="D151" s="238"/>
      <c r="E151" s="238"/>
      <c r="F151" s="208"/>
      <c r="G151" s="230" t="n">
        <v>39814</v>
      </c>
      <c r="H151" s="231" t="n">
        <v>39811</v>
      </c>
      <c r="I151" s="232" t="n">
        <v>39808</v>
      </c>
    </row>
    <row r="152" customFormat="false" ht="12.75" hidden="false" customHeight="false" outlineLevel="0" collapsed="false">
      <c r="A152" s="241"/>
      <c r="B152" s="239"/>
      <c r="C152" s="240"/>
      <c r="D152" s="238"/>
      <c r="E152" s="238"/>
      <c r="F152" s="208"/>
      <c r="G152" s="230" t="n">
        <v>39845</v>
      </c>
      <c r="H152" s="231" t="n">
        <v>39841</v>
      </c>
      <c r="I152" s="232" t="n">
        <v>39840</v>
      </c>
    </row>
    <row r="153" customFormat="false" ht="12.75" hidden="false" customHeight="false" outlineLevel="0" collapsed="false">
      <c r="A153" s="241"/>
      <c r="B153" s="239"/>
      <c r="C153" s="240"/>
      <c r="D153" s="238"/>
      <c r="E153" s="238"/>
      <c r="F153" s="208"/>
      <c r="G153" s="230" t="n">
        <v>39873</v>
      </c>
      <c r="H153" s="231" t="n">
        <v>39869</v>
      </c>
      <c r="I153" s="232" t="n">
        <v>39868</v>
      </c>
    </row>
    <row r="154" customFormat="false" ht="12.75" hidden="false" customHeight="false" outlineLevel="0" collapsed="false">
      <c r="A154" s="241"/>
      <c r="B154" s="239"/>
      <c r="C154" s="240"/>
      <c r="D154" s="238"/>
      <c r="E154" s="238"/>
      <c r="F154" s="208"/>
      <c r="G154" s="230" t="n">
        <v>39904</v>
      </c>
      <c r="H154" s="231" t="n">
        <v>39899</v>
      </c>
      <c r="I154" s="232" t="n">
        <v>39898</v>
      </c>
    </row>
    <row r="155" customFormat="false" ht="12.75" hidden="false" customHeight="false" outlineLevel="0" collapsed="false">
      <c r="A155" s="241"/>
      <c r="B155" s="239"/>
      <c r="C155" s="240"/>
      <c r="D155" s="238"/>
      <c r="E155" s="238"/>
      <c r="F155" s="208"/>
      <c r="G155" s="230" t="n">
        <v>39934</v>
      </c>
      <c r="H155" s="231" t="n">
        <v>39931</v>
      </c>
      <c r="I155" s="232" t="n">
        <v>39930</v>
      </c>
    </row>
    <row r="156" customFormat="false" ht="12.75" hidden="false" customHeight="false" outlineLevel="0" collapsed="false">
      <c r="A156" s="241"/>
      <c r="B156" s="239"/>
      <c r="C156" s="240"/>
      <c r="D156" s="238"/>
      <c r="E156" s="238"/>
      <c r="F156" s="208"/>
      <c r="G156" s="230" t="n">
        <v>39965</v>
      </c>
      <c r="H156" s="231" t="n">
        <v>39960</v>
      </c>
      <c r="I156" s="232" t="n">
        <v>39959</v>
      </c>
    </row>
    <row r="157" customFormat="false" ht="12.75" hidden="false" customHeight="false" outlineLevel="0" collapsed="false">
      <c r="A157" s="241"/>
      <c r="B157" s="239"/>
      <c r="C157" s="240"/>
      <c r="D157" s="238"/>
      <c r="E157" s="238"/>
      <c r="F157" s="208"/>
      <c r="G157" s="230" t="n">
        <v>39995</v>
      </c>
      <c r="H157" s="231" t="n">
        <v>39990</v>
      </c>
      <c r="I157" s="232" t="n">
        <v>39989</v>
      </c>
    </row>
    <row r="158" customFormat="false" ht="12.75" hidden="false" customHeight="false" outlineLevel="0" collapsed="false">
      <c r="A158" s="241"/>
      <c r="B158" s="239"/>
      <c r="C158" s="240"/>
      <c r="D158" s="238"/>
      <c r="E158" s="238"/>
      <c r="F158" s="208"/>
      <c r="G158" s="230" t="n">
        <v>40026</v>
      </c>
      <c r="H158" s="231" t="n">
        <v>40023</v>
      </c>
      <c r="I158" s="232" t="n">
        <v>40022</v>
      </c>
    </row>
    <row r="159" customFormat="false" ht="12.75" hidden="false" customHeight="false" outlineLevel="0" collapsed="false">
      <c r="A159" s="241"/>
      <c r="B159" s="239"/>
      <c r="C159" s="240"/>
      <c r="D159" s="238"/>
      <c r="E159" s="238"/>
      <c r="F159" s="208"/>
      <c r="G159" s="230" t="n">
        <v>40057</v>
      </c>
      <c r="H159" s="231" t="n">
        <v>40052</v>
      </c>
      <c r="I159" s="232" t="n">
        <v>40051</v>
      </c>
    </row>
    <row r="160" customFormat="false" ht="12.75" hidden="false" customHeight="false" outlineLevel="0" collapsed="false">
      <c r="A160" s="241"/>
      <c r="B160" s="239"/>
      <c r="C160" s="240"/>
      <c r="D160" s="238"/>
      <c r="E160" s="238"/>
      <c r="F160" s="208"/>
      <c r="G160" s="230" t="n">
        <v>40087</v>
      </c>
      <c r="H160" s="231" t="n">
        <v>40084</v>
      </c>
      <c r="I160" s="232" t="n">
        <v>40081</v>
      </c>
    </row>
    <row r="161" customFormat="false" ht="12.75" hidden="false" customHeight="false" outlineLevel="0" collapsed="false">
      <c r="A161" s="241"/>
      <c r="B161" s="239"/>
      <c r="C161" s="240"/>
      <c r="D161" s="238"/>
      <c r="E161" s="238"/>
      <c r="F161" s="208"/>
      <c r="G161" s="230" t="n">
        <v>40118</v>
      </c>
      <c r="H161" s="231" t="n">
        <v>40114</v>
      </c>
      <c r="I161" s="232" t="n">
        <v>40113</v>
      </c>
    </row>
    <row r="162" customFormat="false" ht="12.75" hidden="false" customHeight="false" outlineLevel="0" collapsed="false">
      <c r="A162" s="241"/>
      <c r="B162" s="239"/>
      <c r="C162" s="240"/>
      <c r="D162" s="238"/>
      <c r="E162" s="238"/>
      <c r="F162" s="208"/>
      <c r="G162" s="230" t="n">
        <v>40148</v>
      </c>
      <c r="H162" s="231" t="n">
        <v>40142</v>
      </c>
      <c r="I162" s="232" t="n">
        <v>40141</v>
      </c>
    </row>
    <row r="163" customFormat="false" ht="12.75" hidden="false" customHeight="false" outlineLevel="0" collapsed="false">
      <c r="A163" s="241"/>
      <c r="B163" s="239"/>
      <c r="C163" s="240"/>
      <c r="D163" s="238"/>
      <c r="E163" s="238"/>
      <c r="F163" s="208"/>
      <c r="G163" s="230" t="n">
        <v>40179</v>
      </c>
      <c r="H163" s="231" t="n">
        <v>40176</v>
      </c>
      <c r="I163" s="232" t="n">
        <v>40175</v>
      </c>
    </row>
    <row r="164" customFormat="false" ht="12.75" hidden="false" customHeight="false" outlineLevel="0" collapsed="false">
      <c r="A164" s="241"/>
      <c r="B164" s="239"/>
      <c r="C164" s="240"/>
      <c r="D164" s="238"/>
      <c r="E164" s="238"/>
      <c r="F164" s="208"/>
      <c r="G164" s="230" t="n">
        <v>40210</v>
      </c>
      <c r="H164" s="231" t="n">
        <v>40205</v>
      </c>
      <c r="I164" s="232" t="n">
        <v>40204</v>
      </c>
    </row>
    <row r="165" customFormat="false" ht="12.75" hidden="false" customHeight="false" outlineLevel="0" collapsed="false">
      <c r="A165" s="241"/>
      <c r="B165" s="239"/>
      <c r="C165" s="240"/>
      <c r="D165" s="238"/>
      <c r="E165" s="238"/>
      <c r="F165" s="208"/>
      <c r="G165" s="230" t="n">
        <v>40238</v>
      </c>
      <c r="H165" s="231" t="n">
        <v>40233</v>
      </c>
      <c r="I165" s="232" t="n">
        <v>40232</v>
      </c>
    </row>
    <row r="166" customFormat="false" ht="12.75" hidden="false" customHeight="false" outlineLevel="0" collapsed="false">
      <c r="A166" s="241"/>
      <c r="B166" s="239"/>
      <c r="C166" s="240"/>
      <c r="D166" s="238"/>
      <c r="E166" s="238"/>
      <c r="F166" s="208"/>
      <c r="G166" s="230" t="n">
        <v>40269</v>
      </c>
      <c r="H166" s="231" t="n">
        <v>40266</v>
      </c>
      <c r="I166" s="232" t="n">
        <v>40263</v>
      </c>
    </row>
    <row r="167" customFormat="false" ht="12.75" hidden="false" customHeight="false" outlineLevel="0" collapsed="false">
      <c r="A167" s="241"/>
      <c r="B167" s="239"/>
      <c r="C167" s="240"/>
      <c r="D167" s="238"/>
      <c r="E167" s="238"/>
      <c r="F167" s="208"/>
      <c r="G167" s="230" t="n">
        <v>40299</v>
      </c>
      <c r="H167" s="231" t="n">
        <v>40296</v>
      </c>
      <c r="I167" s="232" t="n">
        <v>40295</v>
      </c>
    </row>
    <row r="168" customFormat="false" ht="12.75" hidden="false" customHeight="false" outlineLevel="0" collapsed="false">
      <c r="A168" s="241"/>
      <c r="B168" s="239"/>
      <c r="C168" s="240"/>
      <c r="D168" s="238"/>
      <c r="E168" s="238"/>
      <c r="F168" s="208"/>
      <c r="G168" s="230" t="n">
        <v>40330</v>
      </c>
      <c r="H168" s="231" t="n">
        <v>40324</v>
      </c>
      <c r="I168" s="232" t="n">
        <v>40323</v>
      </c>
    </row>
    <row r="169" customFormat="false" ht="12.75" hidden="false" customHeight="false" outlineLevel="0" collapsed="false">
      <c r="A169" s="241"/>
      <c r="B169" s="239"/>
      <c r="C169" s="240"/>
      <c r="D169" s="238"/>
      <c r="E169" s="238"/>
      <c r="F169" s="208"/>
      <c r="G169" s="230" t="n">
        <v>40360</v>
      </c>
      <c r="H169" s="231" t="n">
        <v>40357</v>
      </c>
      <c r="I169" s="232" t="n">
        <v>40354</v>
      </c>
    </row>
    <row r="170" customFormat="false" ht="12.75" hidden="false" customHeight="false" outlineLevel="0" collapsed="false">
      <c r="A170" s="241"/>
      <c r="B170" s="239"/>
      <c r="C170" s="240"/>
      <c r="D170" s="238"/>
      <c r="E170" s="238"/>
      <c r="F170" s="208"/>
      <c r="G170" s="230" t="n">
        <v>40391</v>
      </c>
      <c r="H170" s="231" t="n">
        <v>40387</v>
      </c>
      <c r="I170" s="232" t="n">
        <v>40386</v>
      </c>
    </row>
    <row r="171" customFormat="false" ht="12.75" hidden="false" customHeight="false" outlineLevel="0" collapsed="false">
      <c r="A171" s="241"/>
      <c r="B171" s="239"/>
      <c r="C171" s="240"/>
      <c r="D171" s="238"/>
      <c r="E171" s="238"/>
      <c r="F171" s="208"/>
      <c r="G171" s="230" t="n">
        <v>40422</v>
      </c>
      <c r="H171" s="231" t="n">
        <v>40417</v>
      </c>
      <c r="I171" s="232" t="n">
        <v>40416</v>
      </c>
    </row>
    <row r="172" customFormat="false" ht="12.75" hidden="false" customHeight="false" outlineLevel="0" collapsed="false">
      <c r="A172" s="241"/>
      <c r="B172" s="239"/>
      <c r="C172" s="240"/>
      <c r="D172" s="238"/>
      <c r="E172" s="238"/>
      <c r="F172" s="208"/>
      <c r="G172" s="230" t="n">
        <v>40452</v>
      </c>
      <c r="H172" s="231" t="n">
        <v>40449</v>
      </c>
      <c r="I172" s="232" t="n">
        <v>40448</v>
      </c>
    </row>
    <row r="173" customFormat="false" ht="12.75" hidden="false" customHeight="false" outlineLevel="0" collapsed="false">
      <c r="A173" s="241"/>
      <c r="B173" s="239"/>
      <c r="C173" s="240"/>
      <c r="D173" s="238"/>
      <c r="E173" s="238"/>
      <c r="F173" s="208"/>
      <c r="G173" s="230" t="n">
        <v>40483</v>
      </c>
      <c r="H173" s="231" t="n">
        <v>40478</v>
      </c>
      <c r="I173" s="232" t="n">
        <v>40477</v>
      </c>
    </row>
    <row r="174" customFormat="false" ht="12.75" hidden="false" customHeight="false" outlineLevel="0" collapsed="false">
      <c r="A174" s="241"/>
      <c r="B174" s="239"/>
      <c r="C174" s="240"/>
      <c r="D174" s="238"/>
      <c r="E174" s="238"/>
      <c r="F174" s="208"/>
      <c r="G174" s="230" t="n">
        <v>40513</v>
      </c>
      <c r="H174" s="231" t="n">
        <v>40508</v>
      </c>
      <c r="I174" s="232" t="n">
        <v>40506</v>
      </c>
    </row>
    <row r="175" customFormat="false" ht="12.75" hidden="false" customHeight="false" outlineLevel="0" collapsed="false">
      <c r="A175" s="241"/>
      <c r="B175" s="239"/>
      <c r="C175" s="240"/>
      <c r="D175" s="238"/>
      <c r="E175" s="238"/>
      <c r="F175" s="208"/>
      <c r="G175" s="230" t="n">
        <v>40544</v>
      </c>
      <c r="H175" s="231" t="n">
        <v>40540</v>
      </c>
      <c r="I175" s="232" t="n">
        <v>40539</v>
      </c>
    </row>
    <row r="176" customFormat="false" ht="12.75" hidden="false" customHeight="false" outlineLevel="0" collapsed="false">
      <c r="A176" s="241"/>
      <c r="B176" s="239"/>
      <c r="C176" s="240"/>
      <c r="D176" s="238"/>
      <c r="E176" s="238"/>
      <c r="F176" s="208"/>
      <c r="G176" s="230" t="n">
        <v>40575</v>
      </c>
      <c r="H176" s="231" t="n">
        <v>40570</v>
      </c>
      <c r="I176" s="232" t="n">
        <v>40569</v>
      </c>
    </row>
    <row r="177" customFormat="false" ht="12.75" hidden="false" customHeight="false" outlineLevel="0" collapsed="false">
      <c r="A177" s="241"/>
      <c r="B177" s="239"/>
      <c r="C177" s="240"/>
      <c r="D177" s="238"/>
      <c r="E177" s="238"/>
      <c r="F177" s="208"/>
      <c r="G177" s="230" t="n">
        <v>40603</v>
      </c>
      <c r="H177" s="231" t="n">
        <v>40598</v>
      </c>
      <c r="I177" s="232" t="n">
        <v>40597</v>
      </c>
    </row>
    <row r="178" customFormat="false" ht="12.75" hidden="false" customHeight="false" outlineLevel="0" collapsed="false">
      <c r="A178" s="241"/>
      <c r="B178" s="239"/>
      <c r="C178" s="240"/>
      <c r="D178" s="238"/>
      <c r="E178" s="238"/>
      <c r="F178" s="208"/>
      <c r="G178" s="230" t="n">
        <v>40634</v>
      </c>
      <c r="H178" s="231" t="n">
        <v>40631</v>
      </c>
      <c r="I178" s="232" t="n">
        <v>40630</v>
      </c>
    </row>
    <row r="179" customFormat="false" ht="12.75" hidden="false" customHeight="false" outlineLevel="0" collapsed="false">
      <c r="A179" s="241"/>
      <c r="B179" s="239"/>
      <c r="C179" s="240"/>
      <c r="D179" s="238"/>
      <c r="E179" s="238"/>
      <c r="F179" s="208"/>
      <c r="G179" s="230" t="n">
        <v>40664</v>
      </c>
      <c r="H179" s="231" t="n">
        <v>40660</v>
      </c>
      <c r="I179" s="232" t="n">
        <v>40659</v>
      </c>
    </row>
    <row r="180" customFormat="false" ht="12.75" hidden="false" customHeight="false" outlineLevel="0" collapsed="false">
      <c r="A180" s="241"/>
      <c r="B180" s="239"/>
      <c r="C180" s="240"/>
      <c r="D180" s="238"/>
      <c r="E180" s="238"/>
      <c r="F180" s="208"/>
      <c r="G180" s="230" t="n">
        <v>40695</v>
      </c>
      <c r="H180" s="231" t="n">
        <v>40689</v>
      </c>
      <c r="I180" s="232" t="n">
        <v>40688</v>
      </c>
    </row>
    <row r="181" customFormat="false" ht="12.75" hidden="false" customHeight="false" outlineLevel="0" collapsed="false">
      <c r="A181" s="241"/>
      <c r="B181" s="239"/>
      <c r="C181" s="240"/>
      <c r="D181" s="238"/>
      <c r="E181" s="238"/>
      <c r="F181" s="208"/>
      <c r="G181" s="230" t="n">
        <v>40725</v>
      </c>
      <c r="H181" s="231" t="n">
        <v>40722</v>
      </c>
      <c r="I181" s="232" t="n">
        <v>40721</v>
      </c>
    </row>
    <row r="182" customFormat="false" ht="12.75" hidden="false" customHeight="false" outlineLevel="0" collapsed="false">
      <c r="A182" s="241"/>
      <c r="B182" s="239"/>
      <c r="C182" s="240"/>
      <c r="D182" s="238"/>
      <c r="E182" s="238"/>
      <c r="F182" s="208"/>
      <c r="G182" s="230" t="n">
        <v>40756</v>
      </c>
      <c r="H182" s="231" t="n">
        <v>40751</v>
      </c>
      <c r="I182" s="232" t="n">
        <v>40750</v>
      </c>
    </row>
    <row r="183" customFormat="false" ht="12.75" hidden="false" customHeight="false" outlineLevel="0" collapsed="false">
      <c r="A183" s="241"/>
      <c r="B183" s="239"/>
      <c r="C183" s="240"/>
      <c r="D183" s="238"/>
      <c r="E183" s="238"/>
      <c r="F183" s="208"/>
      <c r="G183" s="230" t="n">
        <v>40787</v>
      </c>
      <c r="H183" s="231" t="n">
        <v>40784</v>
      </c>
      <c r="I183" s="232" t="n">
        <v>40781</v>
      </c>
    </row>
    <row r="184" customFormat="false" ht="12.75" hidden="false" customHeight="false" outlineLevel="0" collapsed="false">
      <c r="A184" s="241"/>
      <c r="B184" s="239"/>
      <c r="C184" s="240"/>
      <c r="D184" s="238"/>
      <c r="E184" s="238"/>
      <c r="F184" s="208"/>
      <c r="G184" s="230" t="n">
        <v>40817</v>
      </c>
      <c r="H184" s="231" t="n">
        <v>40814</v>
      </c>
      <c r="I184" s="232" t="n">
        <v>40813</v>
      </c>
    </row>
    <row r="185" customFormat="false" ht="12.75" hidden="false" customHeight="false" outlineLevel="0" collapsed="false">
      <c r="A185" s="241"/>
      <c r="B185" s="239"/>
      <c r="C185" s="240"/>
      <c r="D185" s="238"/>
      <c r="E185" s="238"/>
      <c r="F185" s="208"/>
      <c r="G185" s="230" t="n">
        <v>40848</v>
      </c>
      <c r="H185" s="231" t="n">
        <v>40843</v>
      </c>
      <c r="I185" s="232" t="n">
        <v>40842</v>
      </c>
    </row>
    <row r="186" customFormat="false" ht="12.75" hidden="false" customHeight="false" outlineLevel="0" collapsed="false">
      <c r="A186" s="241"/>
      <c r="B186" s="239"/>
      <c r="C186" s="240"/>
      <c r="D186" s="238"/>
      <c r="E186" s="238"/>
      <c r="F186" s="208"/>
      <c r="G186" s="230" t="n">
        <v>40878</v>
      </c>
      <c r="H186" s="231" t="n">
        <v>40875</v>
      </c>
      <c r="I186" s="232" t="n">
        <v>40872</v>
      </c>
    </row>
    <row r="187" customFormat="false" ht="12.75" hidden="false" customHeight="false" outlineLevel="0" collapsed="false">
      <c r="A187" s="241"/>
      <c r="B187" s="239"/>
      <c r="C187" s="240"/>
      <c r="D187" s="238"/>
      <c r="E187" s="238"/>
      <c r="F187" s="208"/>
      <c r="G187" s="230" t="n">
        <v>40909</v>
      </c>
      <c r="H187" s="231" t="n">
        <v>40905</v>
      </c>
      <c r="I187" s="232" t="n">
        <v>40904</v>
      </c>
    </row>
    <row r="188" customFormat="false" ht="12.75" hidden="false" customHeight="false" outlineLevel="0" collapsed="false">
      <c r="A188" s="241"/>
      <c r="B188" s="239"/>
      <c r="C188" s="240"/>
      <c r="D188" s="238"/>
      <c r="E188" s="238"/>
      <c r="F188" s="208"/>
      <c r="G188" s="230" t="n">
        <v>40940</v>
      </c>
      <c r="H188" s="231" t="n">
        <v>40935</v>
      </c>
      <c r="I188" s="232" t="n">
        <v>40934</v>
      </c>
    </row>
    <row r="189" customFormat="false" ht="12.75" hidden="false" customHeight="false" outlineLevel="0" collapsed="false">
      <c r="A189" s="241"/>
      <c r="B189" s="239"/>
      <c r="C189" s="240"/>
      <c r="D189" s="238"/>
      <c r="E189" s="238"/>
      <c r="F189" s="208"/>
      <c r="G189" s="230" t="n">
        <v>40969</v>
      </c>
      <c r="H189" s="231" t="n">
        <v>40966</v>
      </c>
      <c r="I189" s="232" t="n">
        <v>40963</v>
      </c>
    </row>
    <row r="190" customFormat="false" ht="12.75" hidden="false" customHeight="false" outlineLevel="0" collapsed="false">
      <c r="A190" s="241"/>
      <c r="B190" s="239"/>
      <c r="C190" s="240"/>
      <c r="D190" s="238"/>
      <c r="E190" s="238"/>
      <c r="F190" s="208"/>
      <c r="G190" s="230" t="n">
        <v>41000</v>
      </c>
      <c r="H190" s="231" t="n">
        <v>40996</v>
      </c>
      <c r="I190" s="232" t="n">
        <v>40995</v>
      </c>
    </row>
    <row r="191" customFormat="false" ht="12.75" hidden="false" customHeight="false" outlineLevel="0" collapsed="false">
      <c r="A191" s="241"/>
      <c r="B191" s="239"/>
      <c r="C191" s="240"/>
      <c r="D191" s="238"/>
      <c r="E191" s="238"/>
      <c r="F191" s="208"/>
      <c r="G191" s="230" t="n">
        <v>41030</v>
      </c>
      <c r="H191" s="231" t="n">
        <v>41025</v>
      </c>
      <c r="I191" s="232" t="n">
        <v>41024</v>
      </c>
    </row>
    <row r="192" customFormat="false" ht="12.75" hidden="false" customHeight="false" outlineLevel="0" collapsed="false">
      <c r="A192" s="241"/>
      <c r="B192" s="239"/>
      <c r="C192" s="240"/>
      <c r="D192" s="238"/>
      <c r="E192" s="238"/>
      <c r="F192" s="208"/>
      <c r="G192" s="230" t="n">
        <v>41061</v>
      </c>
      <c r="H192" s="231" t="n">
        <v>41058</v>
      </c>
      <c r="I192" s="232" t="n">
        <v>41054</v>
      </c>
    </row>
    <row r="193" customFormat="false" ht="12.75" hidden="false" customHeight="false" outlineLevel="0" collapsed="false">
      <c r="A193" s="241"/>
      <c r="B193" s="239"/>
      <c r="C193" s="240"/>
      <c r="D193" s="238"/>
      <c r="E193" s="238"/>
      <c r="F193" s="208"/>
      <c r="G193" s="230" t="n">
        <v>41091</v>
      </c>
      <c r="H193" s="231" t="n">
        <v>41087</v>
      </c>
      <c r="I193" s="232" t="n">
        <v>41086</v>
      </c>
    </row>
    <row r="194" customFormat="false" ht="12.75" hidden="false" customHeight="false" outlineLevel="0" collapsed="false">
      <c r="A194" s="241"/>
      <c r="B194" s="239"/>
      <c r="C194" s="240"/>
      <c r="D194" s="238"/>
      <c r="E194" s="238"/>
      <c r="F194" s="208"/>
      <c r="G194" s="230" t="n">
        <v>41122</v>
      </c>
      <c r="H194" s="231" t="n">
        <v>41117</v>
      </c>
      <c r="I194" s="232" t="n">
        <v>41116</v>
      </c>
    </row>
    <row r="195" customFormat="false" ht="12.75" hidden="false" customHeight="false" outlineLevel="0" collapsed="false">
      <c r="A195" s="241"/>
      <c r="B195" s="239"/>
      <c r="C195" s="240"/>
      <c r="D195" s="238"/>
      <c r="E195" s="238"/>
      <c r="F195" s="208"/>
      <c r="G195" s="230" t="n">
        <v>41153</v>
      </c>
      <c r="H195" s="231" t="n">
        <v>41150</v>
      </c>
      <c r="I195" s="232" t="n">
        <v>41149</v>
      </c>
    </row>
    <row r="196" customFormat="false" ht="12.75" hidden="false" customHeight="false" outlineLevel="0" collapsed="false">
      <c r="A196" s="241"/>
      <c r="B196" s="239"/>
      <c r="C196" s="240"/>
      <c r="D196" s="238"/>
      <c r="E196" s="238"/>
      <c r="F196" s="208"/>
      <c r="G196" s="230" t="n">
        <v>41183</v>
      </c>
      <c r="H196" s="231" t="n">
        <v>41178</v>
      </c>
      <c r="I196" s="232" t="n">
        <v>41177</v>
      </c>
    </row>
    <row r="197" customFormat="false" ht="12.75" hidden="false" customHeight="false" outlineLevel="0" collapsed="false">
      <c r="A197" s="241"/>
      <c r="B197" s="239"/>
      <c r="C197" s="240"/>
      <c r="D197" s="238"/>
      <c r="E197" s="238"/>
      <c r="F197" s="208"/>
      <c r="G197" s="230" t="n">
        <v>41214</v>
      </c>
      <c r="H197" s="231" t="n">
        <v>41211</v>
      </c>
      <c r="I197" s="232" t="n">
        <v>41208</v>
      </c>
    </row>
    <row r="198" customFormat="false" ht="12.75" hidden="false" customHeight="false" outlineLevel="0" collapsed="false">
      <c r="A198" s="241"/>
      <c r="B198" s="239"/>
      <c r="C198" s="240"/>
      <c r="D198" s="238"/>
      <c r="E198" s="238"/>
      <c r="F198" s="208"/>
      <c r="G198" s="230" t="n">
        <v>41244</v>
      </c>
      <c r="H198" s="231" t="n">
        <v>41241</v>
      </c>
      <c r="I198" s="232" t="n">
        <v>41240</v>
      </c>
    </row>
    <row r="199" customFormat="false" ht="12.75" hidden="false" customHeight="false" outlineLevel="0" collapsed="false">
      <c r="A199" s="241"/>
      <c r="B199" s="239"/>
      <c r="C199" s="240"/>
      <c r="D199" s="238"/>
      <c r="E199" s="238"/>
      <c r="F199" s="208"/>
      <c r="G199" s="230" t="n">
        <v>41275</v>
      </c>
      <c r="H199" s="231" t="n">
        <v>41270</v>
      </c>
      <c r="I199" s="232" t="n">
        <v>41269</v>
      </c>
    </row>
    <row r="200" customFormat="false" ht="12.75" hidden="false" customHeight="false" outlineLevel="0" collapsed="false">
      <c r="A200" s="241"/>
      <c r="B200" s="239"/>
      <c r="C200" s="240"/>
      <c r="D200" s="238"/>
      <c r="E200" s="238"/>
      <c r="F200" s="208"/>
      <c r="G200" s="230" t="n">
        <v>41306</v>
      </c>
      <c r="H200" s="231" t="n">
        <v>41303</v>
      </c>
      <c r="I200" s="232" t="n">
        <v>41302</v>
      </c>
    </row>
    <row r="201" customFormat="false" ht="12.75" hidden="false" customHeight="false" outlineLevel="0" collapsed="false">
      <c r="A201" s="241"/>
      <c r="B201" s="239"/>
      <c r="C201" s="240"/>
      <c r="D201" s="238"/>
      <c r="E201" s="238"/>
      <c r="F201" s="208"/>
      <c r="G201" s="230" t="n">
        <v>41334</v>
      </c>
      <c r="H201" s="231" t="n">
        <v>41331</v>
      </c>
      <c r="I201" s="232" t="n">
        <v>41330</v>
      </c>
    </row>
    <row r="202" customFormat="false" ht="12.75" hidden="false" customHeight="false" outlineLevel="0" collapsed="false">
      <c r="A202" s="241"/>
      <c r="B202" s="239"/>
      <c r="C202" s="240"/>
      <c r="D202" s="238"/>
      <c r="E202" s="238"/>
      <c r="F202" s="208"/>
      <c r="G202" s="230" t="n">
        <v>41365</v>
      </c>
      <c r="H202" s="231" t="n">
        <v>41359</v>
      </c>
      <c r="I202" s="232" t="n">
        <v>41358</v>
      </c>
    </row>
    <row r="203" customFormat="false" ht="12.75" hidden="false" customHeight="false" outlineLevel="0" collapsed="false">
      <c r="A203" s="241"/>
      <c r="B203" s="239"/>
      <c r="C203" s="240"/>
      <c r="D203" s="238"/>
      <c r="E203" s="238"/>
      <c r="F203" s="208"/>
      <c r="G203" s="230" t="n">
        <v>41395</v>
      </c>
      <c r="H203" s="231" t="n">
        <v>41390</v>
      </c>
      <c r="I203" s="232" t="n">
        <v>41389</v>
      </c>
    </row>
    <row r="204" customFormat="false" ht="12.75" hidden="false" customHeight="false" outlineLevel="0" collapsed="false">
      <c r="A204" s="241"/>
      <c r="B204" s="239"/>
      <c r="C204" s="240"/>
      <c r="D204" s="238"/>
      <c r="E204" s="238"/>
      <c r="F204" s="208"/>
      <c r="G204" s="230" t="n">
        <v>41426</v>
      </c>
      <c r="H204" s="231" t="n">
        <v>41423</v>
      </c>
      <c r="I204" s="232" t="n">
        <v>41422</v>
      </c>
    </row>
    <row r="205" customFormat="false" ht="12.75" hidden="false" customHeight="false" outlineLevel="0" collapsed="false">
      <c r="A205" s="241"/>
      <c r="B205" s="239"/>
      <c r="C205" s="240"/>
      <c r="D205" s="238"/>
      <c r="E205" s="238"/>
      <c r="F205" s="208"/>
      <c r="G205" s="230" t="n">
        <v>41456</v>
      </c>
      <c r="H205" s="231" t="n">
        <v>41451</v>
      </c>
      <c r="I205" s="232" t="n">
        <v>41450</v>
      </c>
    </row>
    <row r="206" customFormat="false" ht="12.75" hidden="false" customHeight="false" outlineLevel="0" collapsed="false">
      <c r="A206" s="241"/>
      <c r="B206" s="239"/>
      <c r="C206" s="240"/>
      <c r="D206" s="238"/>
      <c r="E206" s="238"/>
      <c r="F206" s="208"/>
      <c r="G206" s="230" t="n">
        <v>41487</v>
      </c>
      <c r="H206" s="231" t="n">
        <v>41484</v>
      </c>
      <c r="I206" s="232" t="n">
        <v>41481</v>
      </c>
    </row>
    <row r="207" customFormat="false" ht="12.75" hidden="false" customHeight="false" outlineLevel="0" collapsed="false">
      <c r="A207" s="241"/>
      <c r="B207" s="239"/>
      <c r="C207" s="240"/>
      <c r="D207" s="238"/>
      <c r="E207" s="238"/>
      <c r="F207" s="208"/>
      <c r="G207" s="230" t="n">
        <v>41518</v>
      </c>
      <c r="H207" s="231" t="n">
        <v>41514</v>
      </c>
      <c r="I207" s="232" t="n">
        <v>41513</v>
      </c>
    </row>
    <row r="208" customFormat="false" ht="12.75" hidden="false" customHeight="false" outlineLevel="0" collapsed="false">
      <c r="A208" s="241"/>
      <c r="B208" s="239"/>
      <c r="C208" s="240"/>
      <c r="D208" s="238"/>
      <c r="E208" s="238"/>
      <c r="F208" s="208"/>
      <c r="G208" s="230" t="n">
        <v>41548</v>
      </c>
      <c r="H208" s="231" t="n">
        <v>41543</v>
      </c>
      <c r="I208" s="232" t="n">
        <v>41542</v>
      </c>
    </row>
    <row r="209" customFormat="false" ht="12.75" hidden="false" customHeight="false" outlineLevel="0" collapsed="false">
      <c r="A209" s="241"/>
      <c r="B209" s="239"/>
      <c r="C209" s="240"/>
      <c r="D209" s="238"/>
      <c r="E209" s="238"/>
      <c r="F209" s="208"/>
      <c r="G209" s="230" t="n">
        <v>41579</v>
      </c>
      <c r="H209" s="231" t="n">
        <v>41576</v>
      </c>
      <c r="I209" s="232" t="n">
        <v>41575</v>
      </c>
    </row>
    <row r="210" customFormat="false" ht="12.75" hidden="false" customHeight="false" outlineLevel="0" collapsed="false">
      <c r="A210" s="241"/>
      <c r="B210" s="239"/>
      <c r="C210" s="240"/>
      <c r="D210" s="238"/>
      <c r="E210" s="238"/>
      <c r="F210" s="208"/>
      <c r="G210" s="230" t="n">
        <v>41609</v>
      </c>
      <c r="H210" s="231" t="n">
        <v>41604</v>
      </c>
      <c r="I210" s="232" t="n">
        <v>41603</v>
      </c>
    </row>
    <row r="211" customFormat="false" ht="12.75" hidden="false" customHeight="false" outlineLevel="0" collapsed="false">
      <c r="A211" s="241"/>
      <c r="B211" s="239"/>
      <c r="C211" s="240"/>
      <c r="D211" s="238"/>
      <c r="E211" s="238"/>
      <c r="F211" s="208"/>
      <c r="G211" s="230" t="n">
        <v>41640</v>
      </c>
      <c r="H211" s="231" t="n">
        <v>41635</v>
      </c>
      <c r="I211" s="232" t="n">
        <v>41634</v>
      </c>
    </row>
    <row r="212" customFormat="false" ht="12.75" hidden="false" customHeight="false" outlineLevel="0" collapsed="false">
      <c r="A212" s="241"/>
      <c r="B212" s="239"/>
      <c r="C212" s="240"/>
      <c r="D212" s="238"/>
      <c r="E212" s="238"/>
      <c r="F212" s="208"/>
      <c r="G212" s="230" t="n">
        <v>41671</v>
      </c>
      <c r="H212" s="231" t="n">
        <v>41668</v>
      </c>
      <c r="I212" s="232" t="n">
        <v>41667</v>
      </c>
    </row>
    <row r="213" customFormat="false" ht="12.75" hidden="false" customHeight="false" outlineLevel="0" collapsed="false">
      <c r="A213" s="241"/>
      <c r="B213" s="239"/>
      <c r="C213" s="240"/>
      <c r="D213" s="238"/>
      <c r="E213" s="238"/>
      <c r="F213" s="208"/>
      <c r="G213" s="230" t="n">
        <v>41699</v>
      </c>
      <c r="H213" s="231" t="n">
        <v>41696</v>
      </c>
      <c r="I213" s="232" t="n">
        <v>41695</v>
      </c>
    </row>
    <row r="214" customFormat="false" ht="12.75" hidden="false" customHeight="false" outlineLevel="0" collapsed="false">
      <c r="A214" s="241"/>
      <c r="B214" s="239"/>
      <c r="C214" s="240"/>
      <c r="D214" s="238"/>
      <c r="E214" s="238"/>
      <c r="F214" s="208"/>
      <c r="G214" s="230" t="n">
        <v>41730</v>
      </c>
      <c r="H214" s="231" t="n">
        <v>41725</v>
      </c>
      <c r="I214" s="232" t="n">
        <v>41724</v>
      </c>
    </row>
    <row r="215" customFormat="false" ht="12.75" hidden="false" customHeight="false" outlineLevel="0" collapsed="false">
      <c r="A215" s="241"/>
      <c r="B215" s="239"/>
      <c r="C215" s="240"/>
      <c r="D215" s="238"/>
      <c r="E215" s="238"/>
      <c r="F215" s="208"/>
      <c r="G215" s="230" t="n">
        <v>41760</v>
      </c>
      <c r="H215" s="231" t="n">
        <v>41757</v>
      </c>
      <c r="I215" s="232" t="n">
        <v>41754</v>
      </c>
    </row>
    <row r="216" customFormat="false" ht="12.75" hidden="false" customHeight="false" outlineLevel="0" collapsed="false">
      <c r="A216" s="241"/>
      <c r="B216" s="239"/>
      <c r="C216" s="240"/>
      <c r="D216" s="238"/>
      <c r="E216" s="238"/>
      <c r="F216" s="208"/>
      <c r="G216" s="230" t="n">
        <v>41791</v>
      </c>
      <c r="H216" s="231" t="n">
        <v>41787</v>
      </c>
      <c r="I216" s="232" t="n">
        <v>41786</v>
      </c>
    </row>
    <row r="217" customFormat="false" ht="12.75" hidden="false" customHeight="false" outlineLevel="0" collapsed="false">
      <c r="A217" s="241"/>
      <c r="B217" s="239"/>
      <c r="C217" s="240"/>
      <c r="D217" s="238"/>
      <c r="E217" s="238"/>
      <c r="F217" s="208"/>
      <c r="G217" s="230" t="n">
        <v>41821</v>
      </c>
      <c r="H217" s="231" t="n">
        <v>41816</v>
      </c>
      <c r="I217" s="232" t="n">
        <v>41815</v>
      </c>
    </row>
    <row r="218" customFormat="false" ht="12.75" hidden="false" customHeight="false" outlineLevel="0" collapsed="false">
      <c r="A218" s="241"/>
      <c r="B218" s="239"/>
      <c r="C218" s="240"/>
      <c r="D218" s="238"/>
      <c r="E218" s="238"/>
      <c r="F218" s="208"/>
      <c r="G218" s="230" t="n">
        <v>41852</v>
      </c>
      <c r="H218" s="231" t="n">
        <v>41849</v>
      </c>
      <c r="I218" s="232" t="n">
        <v>41848</v>
      </c>
    </row>
    <row r="219" customFormat="false" ht="12.75" hidden="false" customHeight="false" outlineLevel="0" collapsed="false">
      <c r="A219" s="241"/>
      <c r="B219" s="239"/>
      <c r="C219" s="240"/>
      <c r="D219" s="238"/>
      <c r="E219" s="238"/>
      <c r="F219" s="208"/>
      <c r="G219" s="230" t="n">
        <v>41883</v>
      </c>
      <c r="H219" s="231" t="n">
        <v>41878</v>
      </c>
      <c r="I219" s="232" t="n">
        <v>41877</v>
      </c>
    </row>
    <row r="220" customFormat="false" ht="12.75" hidden="false" customHeight="false" outlineLevel="0" collapsed="false">
      <c r="A220" s="241"/>
      <c r="B220" s="239"/>
      <c r="C220" s="240"/>
      <c r="D220" s="238"/>
      <c r="E220" s="238"/>
      <c r="F220" s="208"/>
      <c r="G220" s="230" t="n">
        <v>41913</v>
      </c>
      <c r="H220" s="231" t="n">
        <v>41908</v>
      </c>
      <c r="I220" s="232" t="n">
        <v>41907</v>
      </c>
    </row>
    <row r="221" customFormat="false" ht="12.75" hidden="false" customHeight="false" outlineLevel="0" collapsed="false">
      <c r="A221" s="241"/>
      <c r="B221" s="239"/>
      <c r="C221" s="240"/>
      <c r="D221" s="238"/>
      <c r="E221" s="238"/>
      <c r="F221" s="208"/>
      <c r="G221" s="230" t="n">
        <v>41944</v>
      </c>
      <c r="H221" s="231" t="n">
        <v>41941</v>
      </c>
      <c r="I221" s="232" t="n">
        <v>41940</v>
      </c>
    </row>
    <row r="222" customFormat="false" ht="12.75" hidden="false" customHeight="false" outlineLevel="0" collapsed="false">
      <c r="A222" s="241"/>
      <c r="B222" s="239"/>
      <c r="C222" s="240"/>
      <c r="D222" s="238"/>
      <c r="E222" s="238"/>
      <c r="F222" s="208"/>
      <c r="G222" s="230" t="n">
        <v>41974</v>
      </c>
      <c r="H222" s="231" t="n">
        <v>41968</v>
      </c>
      <c r="I222" s="232" t="n">
        <v>41967</v>
      </c>
    </row>
    <row r="223" customFormat="false" ht="12.75" hidden="false" customHeight="false" outlineLevel="0" collapsed="false">
      <c r="A223" s="241"/>
      <c r="B223" s="239"/>
      <c r="C223" s="240"/>
      <c r="D223" s="238"/>
      <c r="E223" s="238"/>
      <c r="F223" s="208"/>
      <c r="G223" s="230" t="n">
        <v>42005</v>
      </c>
      <c r="H223" s="231" t="n">
        <v>42002</v>
      </c>
      <c r="I223" s="232" t="n">
        <v>41999</v>
      </c>
    </row>
    <row r="224" customFormat="false" ht="12.75" hidden="false" customHeight="false" outlineLevel="0" collapsed="false">
      <c r="A224" s="241"/>
      <c r="B224" s="239"/>
      <c r="C224" s="240"/>
      <c r="D224" s="238"/>
      <c r="E224" s="238"/>
      <c r="F224" s="208"/>
      <c r="G224" s="230" t="n">
        <v>42036</v>
      </c>
      <c r="H224" s="231" t="n">
        <v>42032</v>
      </c>
      <c r="I224" s="232" t="n">
        <v>42031</v>
      </c>
    </row>
    <row r="225" customFormat="false" ht="12.75" hidden="false" customHeight="false" outlineLevel="0" collapsed="false">
      <c r="A225" s="241"/>
      <c r="B225" s="239"/>
      <c r="C225" s="240"/>
      <c r="D225" s="238"/>
      <c r="E225" s="238"/>
      <c r="F225" s="208"/>
      <c r="G225" s="230" t="n">
        <v>42064</v>
      </c>
      <c r="H225" s="231" t="n">
        <v>42060</v>
      </c>
      <c r="I225" s="232" t="n">
        <v>42059</v>
      </c>
    </row>
    <row r="226" customFormat="false" ht="12.75" hidden="false" customHeight="false" outlineLevel="0" collapsed="false">
      <c r="A226" s="241"/>
      <c r="B226" s="239"/>
      <c r="C226" s="240"/>
      <c r="D226" s="238"/>
      <c r="E226" s="238"/>
      <c r="F226" s="208"/>
      <c r="G226" s="230" t="n">
        <v>42095</v>
      </c>
      <c r="H226" s="231" t="n">
        <v>42090</v>
      </c>
      <c r="I226" s="232" t="n">
        <v>42089</v>
      </c>
    </row>
    <row r="227" customFormat="false" ht="12.75" hidden="false" customHeight="false" outlineLevel="0" collapsed="false">
      <c r="A227" s="241"/>
      <c r="B227" s="239"/>
      <c r="C227" s="240"/>
      <c r="D227" s="238"/>
      <c r="E227" s="238"/>
      <c r="F227" s="208"/>
      <c r="G227" s="230" t="n">
        <v>42125</v>
      </c>
      <c r="H227" s="231" t="n">
        <v>42122</v>
      </c>
      <c r="I227" s="232" t="n">
        <v>42121</v>
      </c>
    </row>
    <row r="228" customFormat="false" ht="12.75" hidden="false" customHeight="false" outlineLevel="0" collapsed="false">
      <c r="A228" s="241"/>
      <c r="B228" s="239"/>
      <c r="C228" s="240"/>
      <c r="D228" s="238"/>
      <c r="E228" s="238"/>
      <c r="F228" s="208"/>
      <c r="G228" s="230" t="n">
        <v>42156</v>
      </c>
      <c r="H228" s="231" t="n">
        <v>42151</v>
      </c>
      <c r="I228" s="232" t="n">
        <v>42150</v>
      </c>
    </row>
    <row r="229" customFormat="false" ht="12.75" hidden="false" customHeight="false" outlineLevel="0" collapsed="false">
      <c r="A229" s="241"/>
      <c r="B229" s="239"/>
      <c r="C229" s="240"/>
      <c r="D229" s="238"/>
      <c r="E229" s="238"/>
      <c r="F229" s="208"/>
      <c r="G229" s="230" t="n">
        <v>42186</v>
      </c>
      <c r="H229" s="231" t="n">
        <v>42181</v>
      </c>
      <c r="I229" s="232" t="n">
        <v>42180</v>
      </c>
    </row>
    <row r="230" customFormat="false" ht="12.75" hidden="false" customHeight="false" outlineLevel="0" collapsed="false">
      <c r="A230" s="241"/>
      <c r="B230" s="239"/>
      <c r="C230" s="240"/>
      <c r="D230" s="238"/>
      <c r="E230" s="238"/>
      <c r="F230" s="208"/>
      <c r="G230" s="230" t="n">
        <v>42217</v>
      </c>
      <c r="H230" s="231" t="n">
        <v>42214</v>
      </c>
      <c r="I230" s="232" t="n">
        <v>42213</v>
      </c>
    </row>
    <row r="231" customFormat="false" ht="12.75" hidden="false" customHeight="false" outlineLevel="0" collapsed="false">
      <c r="A231" s="241"/>
      <c r="B231" s="239"/>
      <c r="C231" s="240"/>
      <c r="D231" s="238"/>
      <c r="E231" s="238"/>
      <c r="F231" s="208"/>
      <c r="G231" s="230" t="n">
        <v>42248</v>
      </c>
      <c r="H231" s="231" t="n">
        <v>42243</v>
      </c>
      <c r="I231" s="232" t="n">
        <v>42242</v>
      </c>
    </row>
    <row r="232" customFormat="false" ht="12.75" hidden="false" customHeight="false" outlineLevel="0" collapsed="false">
      <c r="A232" s="241"/>
      <c r="B232" s="239"/>
      <c r="C232" s="240"/>
      <c r="D232" s="238"/>
      <c r="E232" s="238"/>
      <c r="F232" s="208"/>
      <c r="G232" s="230" t="n">
        <v>42278</v>
      </c>
      <c r="H232" s="231" t="n">
        <v>42275</v>
      </c>
      <c r="I232" s="232" t="n">
        <v>42272</v>
      </c>
    </row>
    <row r="233" customFormat="false" ht="12.75" hidden="false" customHeight="false" outlineLevel="0" collapsed="false">
      <c r="A233" s="241"/>
      <c r="B233" s="239"/>
      <c r="C233" s="240"/>
      <c r="D233" s="238"/>
      <c r="E233" s="238"/>
      <c r="F233" s="208"/>
      <c r="G233" s="230" t="n">
        <v>42309</v>
      </c>
      <c r="H233" s="231" t="n">
        <v>42305</v>
      </c>
      <c r="I233" s="232" t="n">
        <v>42304</v>
      </c>
    </row>
    <row r="234" customFormat="false" ht="12.75" hidden="false" customHeight="false" outlineLevel="0" collapsed="false">
      <c r="A234" s="241"/>
      <c r="B234" s="239"/>
      <c r="C234" s="240"/>
      <c r="D234" s="238"/>
      <c r="E234" s="238"/>
      <c r="F234" s="238"/>
      <c r="G234" s="242" t="n">
        <v>42339</v>
      </c>
      <c r="H234" s="231" t="n">
        <v>42333</v>
      </c>
      <c r="I234" s="232" t="n">
        <v>42332</v>
      </c>
    </row>
    <row r="235" customFormat="false" ht="12.75" hidden="false" customHeight="false" outlineLevel="0" collapsed="false">
      <c r="A235" s="241"/>
      <c r="B235" s="239"/>
      <c r="C235" s="240"/>
      <c r="D235" s="238"/>
      <c r="E235" s="238"/>
      <c r="F235" s="238"/>
      <c r="G235" s="242" t="n">
        <v>42370</v>
      </c>
      <c r="H235" s="231" t="n">
        <v>42367</v>
      </c>
      <c r="I235" s="232" t="n">
        <v>42366</v>
      </c>
    </row>
    <row r="236" customFormat="false" ht="12.75" hidden="false" customHeight="false" outlineLevel="0" collapsed="false">
      <c r="A236" s="241"/>
      <c r="B236" s="239"/>
      <c r="C236" s="240"/>
      <c r="D236" s="238"/>
      <c r="E236" s="238"/>
      <c r="F236" s="238"/>
      <c r="G236" s="242" t="n">
        <v>42401</v>
      </c>
      <c r="H236" s="231" t="n">
        <v>42396</v>
      </c>
      <c r="I236" s="232" t="n">
        <v>42395</v>
      </c>
    </row>
    <row r="237" customFormat="false" ht="12.75" hidden="false" customHeight="false" outlineLevel="0" collapsed="false">
      <c r="A237" s="241"/>
      <c r="B237" s="239"/>
      <c r="C237" s="240"/>
      <c r="D237" s="238"/>
      <c r="E237" s="238"/>
      <c r="F237" s="238"/>
      <c r="G237" s="242" t="n">
        <v>42430</v>
      </c>
      <c r="H237" s="231" t="n">
        <v>42425</v>
      </c>
      <c r="I237" s="232" t="n">
        <v>42424</v>
      </c>
    </row>
    <row r="238" customFormat="false" ht="12.75" hidden="false" customHeight="false" outlineLevel="0" collapsed="false">
      <c r="A238" s="241"/>
      <c r="B238" s="239"/>
      <c r="C238" s="240"/>
      <c r="D238" s="238"/>
      <c r="E238" s="238"/>
      <c r="F238" s="238"/>
      <c r="G238" s="242" t="n">
        <v>42461</v>
      </c>
      <c r="H238" s="231" t="n">
        <v>42458</v>
      </c>
      <c r="I238" s="232" t="n">
        <v>42457</v>
      </c>
    </row>
    <row r="239" customFormat="false" ht="12.75" hidden="false" customHeight="false" outlineLevel="0" collapsed="false">
      <c r="A239" s="241"/>
      <c r="B239" s="239"/>
      <c r="C239" s="240"/>
      <c r="D239" s="238"/>
      <c r="E239" s="238"/>
      <c r="F239" s="238"/>
      <c r="G239" s="242" t="n">
        <v>42491</v>
      </c>
      <c r="H239" s="231" t="n">
        <v>42487</v>
      </c>
      <c r="I239" s="232" t="n">
        <v>42486</v>
      </c>
    </row>
    <row r="240" customFormat="false" ht="12.75" hidden="false" customHeight="false" outlineLevel="0" collapsed="false">
      <c r="A240" s="241"/>
      <c r="B240" s="239"/>
      <c r="C240" s="240"/>
      <c r="D240" s="238"/>
      <c r="E240" s="238"/>
      <c r="F240" s="238"/>
      <c r="G240" s="242" t="n">
        <v>42522</v>
      </c>
      <c r="H240" s="231" t="n">
        <v>42516</v>
      </c>
      <c r="I240" s="232" t="n">
        <v>42515</v>
      </c>
    </row>
    <row r="241" customFormat="false" ht="12.75" hidden="false" customHeight="false" outlineLevel="0" collapsed="false">
      <c r="A241" s="241"/>
      <c r="B241" s="239"/>
      <c r="C241" s="240"/>
      <c r="D241" s="238"/>
      <c r="E241" s="238"/>
      <c r="F241" s="238"/>
      <c r="G241" s="242" t="n">
        <v>42552</v>
      </c>
      <c r="H241" s="231" t="n">
        <v>42549</v>
      </c>
      <c r="I241" s="232" t="n">
        <v>42548</v>
      </c>
    </row>
    <row r="242" customFormat="false" ht="12.75" hidden="false" customHeight="false" outlineLevel="0" collapsed="false">
      <c r="A242" s="241"/>
      <c r="B242" s="239"/>
      <c r="C242" s="240"/>
      <c r="D242" s="238"/>
      <c r="E242" s="238"/>
      <c r="F242" s="238"/>
      <c r="G242" s="242" t="n">
        <v>42583</v>
      </c>
      <c r="H242" s="231" t="n">
        <v>42578</v>
      </c>
      <c r="I242" s="232" t="n">
        <v>42577</v>
      </c>
    </row>
    <row r="243" customFormat="false" ht="12.75" hidden="false" customHeight="false" outlineLevel="0" collapsed="false">
      <c r="A243" s="241"/>
      <c r="B243" s="239"/>
      <c r="C243" s="240"/>
      <c r="D243" s="238"/>
      <c r="E243" s="238"/>
      <c r="F243" s="238"/>
      <c r="G243" s="242" t="n">
        <v>42614</v>
      </c>
      <c r="H243" s="231" t="n">
        <v>42611</v>
      </c>
      <c r="I243" s="232" t="n">
        <v>42608</v>
      </c>
    </row>
    <row r="244" customFormat="false" ht="12.75" hidden="false" customHeight="false" outlineLevel="0" collapsed="false">
      <c r="A244" s="241"/>
      <c r="B244" s="239"/>
      <c r="C244" s="240"/>
      <c r="D244" s="238"/>
      <c r="E244" s="238"/>
      <c r="F244" s="238"/>
      <c r="G244" s="242" t="n">
        <v>42644</v>
      </c>
      <c r="H244" s="231" t="n">
        <v>42641</v>
      </c>
      <c r="I244" s="232" t="n">
        <v>42640</v>
      </c>
    </row>
    <row r="245" customFormat="false" ht="12.75" hidden="false" customHeight="false" outlineLevel="0" collapsed="false">
      <c r="A245" s="241"/>
      <c r="B245" s="239"/>
      <c r="C245" s="240"/>
      <c r="D245" s="238"/>
      <c r="E245" s="238"/>
      <c r="F245" s="238"/>
      <c r="G245" s="242" t="n">
        <v>42675</v>
      </c>
      <c r="H245" s="231" t="n">
        <v>42670</v>
      </c>
      <c r="I245" s="232" t="n">
        <v>42669</v>
      </c>
    </row>
    <row r="246" customFormat="false" ht="12.75" hidden="false" customHeight="false" outlineLevel="0" collapsed="false">
      <c r="A246" s="241"/>
      <c r="B246" s="239"/>
      <c r="C246" s="240"/>
      <c r="D246" s="238"/>
      <c r="E246" s="238"/>
      <c r="F246" s="238"/>
      <c r="G246" s="242" t="n">
        <v>42705</v>
      </c>
      <c r="H246" s="231" t="n">
        <v>42702</v>
      </c>
      <c r="I246" s="232" t="n">
        <v>42699</v>
      </c>
    </row>
    <row r="247" customFormat="false" ht="12.75" hidden="false" customHeight="false" outlineLevel="0" collapsed="false">
      <c r="A247" s="241"/>
      <c r="B247" s="239"/>
      <c r="C247" s="240"/>
      <c r="D247" s="238"/>
      <c r="E247" s="238"/>
      <c r="F247" s="238"/>
      <c r="G247" s="242" t="n">
        <v>42736</v>
      </c>
      <c r="H247" s="231" t="n">
        <v>42732</v>
      </c>
      <c r="I247" s="232" t="n">
        <v>42731</v>
      </c>
    </row>
    <row r="248" customFormat="false" ht="12.75" hidden="false" customHeight="false" outlineLevel="0" collapsed="false">
      <c r="A248" s="241"/>
      <c r="B248" s="239"/>
      <c r="C248" s="240"/>
      <c r="D248" s="238"/>
      <c r="E248" s="238"/>
      <c r="F248" s="238"/>
      <c r="G248" s="242" t="n">
        <v>42767</v>
      </c>
      <c r="H248" s="231" t="n">
        <v>42762</v>
      </c>
      <c r="I248" s="232" t="n">
        <v>42761</v>
      </c>
    </row>
    <row r="249" customFormat="false" ht="12.75" hidden="false" customHeight="false" outlineLevel="0" collapsed="false">
      <c r="A249" s="241"/>
      <c r="B249" s="239"/>
      <c r="C249" s="240"/>
      <c r="D249" s="238"/>
      <c r="E249" s="238"/>
      <c r="F249" s="238"/>
      <c r="G249" s="242" t="n">
        <v>42795</v>
      </c>
      <c r="H249" s="231" t="n">
        <v>42790</v>
      </c>
      <c r="I249" s="232" t="n">
        <v>42789</v>
      </c>
    </row>
    <row r="250" customFormat="false" ht="12.75" hidden="false" customHeight="false" outlineLevel="0" collapsed="false">
      <c r="A250" s="241"/>
      <c r="B250" s="239"/>
      <c r="C250" s="240"/>
      <c r="D250" s="238"/>
      <c r="E250" s="238"/>
      <c r="F250" s="238"/>
      <c r="G250" s="242" t="n">
        <v>42826</v>
      </c>
      <c r="H250" s="231" t="n">
        <v>42823</v>
      </c>
      <c r="I250" s="232" t="n">
        <v>42822</v>
      </c>
    </row>
    <row r="251" customFormat="false" ht="12.75" hidden="false" customHeight="false" outlineLevel="0" collapsed="false">
      <c r="A251" s="241"/>
      <c r="B251" s="239"/>
      <c r="C251" s="240"/>
      <c r="D251" s="238"/>
      <c r="E251" s="238"/>
      <c r="F251" s="238"/>
      <c r="G251" s="242" t="n">
        <v>42856</v>
      </c>
      <c r="H251" s="231" t="n">
        <v>42851</v>
      </c>
      <c r="I251" s="232" t="n">
        <v>42850</v>
      </c>
    </row>
    <row r="252" customFormat="false" ht="12.75" hidden="false" customHeight="false" outlineLevel="0" collapsed="false">
      <c r="A252" s="241"/>
      <c r="B252" s="239"/>
      <c r="C252" s="240"/>
      <c r="D252" s="238"/>
      <c r="E252" s="238"/>
      <c r="F252" s="238"/>
      <c r="G252" s="242" t="n">
        <v>42887</v>
      </c>
      <c r="H252" s="231" t="n">
        <v>42881</v>
      </c>
      <c r="I252" s="232" t="n">
        <v>42880</v>
      </c>
    </row>
    <row r="253" customFormat="false" ht="12.75" hidden="false" customHeight="false" outlineLevel="0" collapsed="false">
      <c r="A253" s="241"/>
      <c r="B253" s="239"/>
      <c r="C253" s="240"/>
      <c r="D253" s="238"/>
      <c r="E253" s="238"/>
      <c r="F253" s="238"/>
      <c r="G253" s="242" t="n">
        <v>42917</v>
      </c>
      <c r="H253" s="231" t="n">
        <v>42914</v>
      </c>
      <c r="I253" s="232" t="n">
        <v>42913</v>
      </c>
    </row>
    <row r="254" customFormat="false" ht="12.75" hidden="false" customHeight="false" outlineLevel="0" collapsed="false">
      <c r="A254" s="241"/>
      <c r="B254" s="239"/>
      <c r="C254" s="240"/>
      <c r="D254" s="238"/>
      <c r="E254" s="238"/>
      <c r="F254" s="238"/>
      <c r="G254" s="242" t="n">
        <v>42948</v>
      </c>
      <c r="H254" s="231" t="n">
        <v>42943</v>
      </c>
      <c r="I254" s="232" t="n">
        <v>42942</v>
      </c>
    </row>
    <row r="255" customFormat="false" ht="12.75" hidden="false" customHeight="false" outlineLevel="0" collapsed="false">
      <c r="A255" s="241"/>
      <c r="B255" s="239"/>
      <c r="C255" s="240"/>
      <c r="D255" s="238"/>
      <c r="E255" s="238"/>
      <c r="F255" s="238"/>
      <c r="G255" s="242" t="n">
        <v>42979</v>
      </c>
      <c r="H255" s="231" t="n">
        <v>42976</v>
      </c>
      <c r="I255" s="232" t="n">
        <v>42975</v>
      </c>
    </row>
    <row r="256" customFormat="false" ht="12.75" hidden="false" customHeight="false" outlineLevel="0" collapsed="false">
      <c r="A256" s="241"/>
      <c r="B256" s="239"/>
      <c r="C256" s="240"/>
      <c r="D256" s="238"/>
      <c r="E256" s="238"/>
      <c r="F256" s="238"/>
      <c r="G256" s="242" t="n">
        <v>43009</v>
      </c>
      <c r="H256" s="231" t="n">
        <v>43005</v>
      </c>
      <c r="I256" s="232" t="n">
        <v>43004</v>
      </c>
    </row>
    <row r="257" customFormat="false" ht="12.75" hidden="false" customHeight="false" outlineLevel="0" collapsed="false">
      <c r="A257" s="241"/>
      <c r="B257" s="239"/>
      <c r="C257" s="240"/>
      <c r="D257" s="238"/>
      <c r="E257" s="238"/>
      <c r="F257" s="238"/>
      <c r="G257" s="242" t="n">
        <v>43040</v>
      </c>
      <c r="H257" s="231" t="n">
        <v>43035</v>
      </c>
      <c r="I257" s="232" t="n">
        <v>43034</v>
      </c>
    </row>
    <row r="258" customFormat="false" ht="12.75" hidden="false" customHeight="false" outlineLevel="0" collapsed="false">
      <c r="A258" s="241"/>
      <c r="B258" s="239"/>
      <c r="C258" s="240"/>
      <c r="D258" s="238"/>
      <c r="E258" s="238"/>
      <c r="F258" s="238"/>
      <c r="G258" s="242" t="n">
        <v>43070</v>
      </c>
      <c r="H258" s="231" t="n">
        <v>43067</v>
      </c>
      <c r="I258" s="232" t="n">
        <v>43066</v>
      </c>
    </row>
    <row r="259" customFormat="false" ht="12.75" hidden="false" customHeight="false" outlineLevel="0" collapsed="false">
      <c r="A259" s="241"/>
      <c r="B259" s="239"/>
      <c r="C259" s="240"/>
      <c r="D259" s="238"/>
      <c r="E259" s="238"/>
      <c r="F259" s="238"/>
      <c r="G259" s="242" t="n">
        <v>43101</v>
      </c>
      <c r="H259" s="231" t="n">
        <v>43096</v>
      </c>
      <c r="I259" s="232" t="n">
        <v>43095</v>
      </c>
    </row>
    <row r="260" customFormat="false" ht="12.75" hidden="false" customHeight="false" outlineLevel="0" collapsed="false">
      <c r="A260" s="241"/>
      <c r="B260" s="239"/>
      <c r="C260" s="240"/>
      <c r="D260" s="238"/>
      <c r="E260" s="238"/>
      <c r="F260" s="238"/>
      <c r="G260" s="242" t="n">
        <v>43132</v>
      </c>
      <c r="H260" s="231" t="n">
        <v>43129</v>
      </c>
      <c r="I260" s="232" t="n">
        <v>43126</v>
      </c>
    </row>
    <row r="261" customFormat="false" ht="12.75" hidden="false" customHeight="false" outlineLevel="0" collapsed="false">
      <c r="A261" s="241"/>
      <c r="B261" s="239"/>
      <c r="C261" s="240"/>
      <c r="D261" s="238"/>
      <c r="E261" s="238"/>
      <c r="F261" s="238"/>
      <c r="G261" s="242" t="n">
        <v>43160</v>
      </c>
      <c r="H261" s="231" t="n">
        <v>43157</v>
      </c>
      <c r="I261" s="232" t="n">
        <v>43154</v>
      </c>
    </row>
    <row r="262" customFormat="false" ht="12.75" hidden="false" customHeight="false" outlineLevel="0" collapsed="false">
      <c r="A262" s="241"/>
      <c r="B262" s="239"/>
      <c r="C262" s="240"/>
      <c r="D262" s="238"/>
      <c r="E262" s="238"/>
      <c r="F262" s="238"/>
      <c r="G262" s="242" t="n">
        <v>43191</v>
      </c>
      <c r="H262" s="231" t="n">
        <v>43186</v>
      </c>
      <c r="I262" s="232" t="n">
        <v>43185</v>
      </c>
    </row>
    <row r="263" customFormat="false" ht="12.75" hidden="false" customHeight="false" outlineLevel="0" collapsed="false">
      <c r="A263" s="241"/>
      <c r="B263" s="239"/>
      <c r="C263" s="240"/>
      <c r="D263" s="238"/>
      <c r="E263" s="238"/>
      <c r="F263" s="238"/>
      <c r="G263" s="242" t="n">
        <v>43221</v>
      </c>
      <c r="H263" s="231" t="n">
        <v>43216</v>
      </c>
      <c r="I263" s="232" t="n">
        <v>43215</v>
      </c>
    </row>
    <row r="264" customFormat="false" ht="12.75" hidden="false" customHeight="false" outlineLevel="0" collapsed="false">
      <c r="A264" s="241"/>
      <c r="B264" s="239"/>
      <c r="C264" s="240"/>
      <c r="D264" s="238"/>
      <c r="E264" s="238"/>
      <c r="F264" s="238"/>
      <c r="G264" s="242" t="n">
        <v>43252</v>
      </c>
      <c r="H264" s="231" t="n">
        <v>43249</v>
      </c>
      <c r="I264" s="232" t="n">
        <v>43245</v>
      </c>
    </row>
    <row r="265" customFormat="false" ht="12.75" hidden="false" customHeight="false" outlineLevel="0" collapsed="false">
      <c r="A265" s="241"/>
      <c r="B265" s="239"/>
      <c r="C265" s="240"/>
      <c r="D265" s="238"/>
      <c r="E265" s="238"/>
      <c r="F265" s="238"/>
      <c r="G265" s="242" t="n">
        <v>43282</v>
      </c>
      <c r="H265" s="231" t="n">
        <v>43278</v>
      </c>
      <c r="I265" s="232" t="n">
        <v>43277</v>
      </c>
    </row>
    <row r="266" customFormat="false" ht="12.75" hidden="false" customHeight="false" outlineLevel="0" collapsed="false">
      <c r="A266" s="241"/>
      <c r="B266" s="239"/>
      <c r="C266" s="240"/>
      <c r="D266" s="238"/>
      <c r="E266" s="238"/>
      <c r="F266" s="238"/>
      <c r="G266" s="242" t="n">
        <v>43313</v>
      </c>
      <c r="H266" s="231" t="n">
        <v>43308</v>
      </c>
      <c r="I266" s="232" t="n">
        <v>43307</v>
      </c>
    </row>
    <row r="267" customFormat="false" ht="12.75" hidden="false" customHeight="false" outlineLevel="0" collapsed="false">
      <c r="A267" s="241"/>
      <c r="B267" s="239"/>
      <c r="C267" s="240"/>
      <c r="D267" s="238"/>
      <c r="E267" s="238"/>
      <c r="F267" s="238"/>
      <c r="G267" s="242" t="n">
        <v>43344</v>
      </c>
      <c r="H267" s="231" t="n">
        <v>43341</v>
      </c>
      <c r="I267" s="232" t="n">
        <v>43340</v>
      </c>
    </row>
    <row r="268" customFormat="false" ht="12.75" hidden="false" customHeight="false" outlineLevel="0" collapsed="false">
      <c r="A268" s="241"/>
      <c r="B268" s="239"/>
      <c r="C268" s="240"/>
      <c r="D268" s="238"/>
      <c r="E268" s="238"/>
      <c r="F268" s="238"/>
      <c r="G268" s="242" t="n">
        <v>43374</v>
      </c>
      <c r="H268" s="231" t="n">
        <v>43369</v>
      </c>
      <c r="I268" s="232" t="n">
        <v>43368</v>
      </c>
    </row>
    <row r="269" customFormat="false" ht="12.75" hidden="false" customHeight="false" outlineLevel="0" collapsed="false">
      <c r="A269" s="241"/>
      <c r="B269" s="239"/>
      <c r="C269" s="240"/>
      <c r="D269" s="238"/>
      <c r="E269" s="238"/>
      <c r="F269" s="238"/>
      <c r="G269" s="242" t="n">
        <v>43405</v>
      </c>
      <c r="H269" s="231" t="n">
        <v>43402</v>
      </c>
      <c r="I269" s="232" t="n">
        <v>43399</v>
      </c>
    </row>
    <row r="270" customFormat="false" ht="12.75" hidden="false" customHeight="false" outlineLevel="0" collapsed="false">
      <c r="A270" s="241"/>
      <c r="B270" s="239"/>
      <c r="C270" s="240"/>
      <c r="D270" s="238"/>
      <c r="E270" s="238"/>
      <c r="F270" s="238"/>
      <c r="G270" s="242" t="n">
        <v>43435</v>
      </c>
      <c r="H270" s="231" t="n">
        <v>43432</v>
      </c>
      <c r="I270" s="232" t="n">
        <v>43431</v>
      </c>
    </row>
    <row r="271" customFormat="false" ht="12.75" hidden="false" customHeight="false" outlineLevel="0" collapsed="false">
      <c r="A271" s="241"/>
      <c r="B271" s="239"/>
      <c r="C271" s="240"/>
      <c r="D271" s="238"/>
      <c r="E271" s="238"/>
      <c r="F271" s="238"/>
      <c r="G271" s="242" t="n">
        <v>43466</v>
      </c>
      <c r="H271" s="231" t="n">
        <v>43461</v>
      </c>
      <c r="I271" s="232" t="n">
        <v>43460</v>
      </c>
    </row>
    <row r="272" customFormat="false" ht="12.75" hidden="false" customHeight="false" outlineLevel="0" collapsed="false">
      <c r="A272" s="241"/>
      <c r="B272" s="239"/>
      <c r="C272" s="240"/>
      <c r="D272" s="238"/>
      <c r="E272" s="238"/>
      <c r="F272" s="238"/>
      <c r="G272" s="242" t="n">
        <v>43497</v>
      </c>
      <c r="H272" s="231" t="n">
        <v>43494</v>
      </c>
      <c r="I272" s="232" t="n">
        <v>43493</v>
      </c>
    </row>
    <row r="273" customFormat="false" ht="12.75" hidden="false" customHeight="false" outlineLevel="0" collapsed="false">
      <c r="A273" s="241"/>
      <c r="B273" s="239"/>
      <c r="C273" s="240"/>
      <c r="D273" s="238"/>
      <c r="E273" s="238"/>
      <c r="F273" s="238"/>
      <c r="G273" s="242" t="n">
        <v>43525</v>
      </c>
      <c r="H273" s="231" t="n">
        <v>43522</v>
      </c>
      <c r="I273" s="232" t="n">
        <v>43521</v>
      </c>
    </row>
    <row r="274" customFormat="false" ht="12.75" hidden="false" customHeight="false" outlineLevel="0" collapsed="false">
      <c r="A274" s="241"/>
      <c r="B274" s="239"/>
      <c r="C274" s="240"/>
      <c r="D274" s="238"/>
      <c r="E274" s="238"/>
      <c r="F274" s="238"/>
      <c r="G274" s="242" t="n">
        <v>43556</v>
      </c>
      <c r="H274" s="231" t="n">
        <v>43551</v>
      </c>
      <c r="I274" s="232" t="n">
        <v>43550</v>
      </c>
    </row>
    <row r="275" customFormat="false" ht="12.75" hidden="false" customHeight="false" outlineLevel="0" collapsed="false">
      <c r="A275" s="241"/>
      <c r="B275" s="239"/>
      <c r="C275" s="240"/>
      <c r="D275" s="238"/>
      <c r="E275" s="238"/>
      <c r="F275" s="238"/>
      <c r="G275" s="242" t="n">
        <v>43586</v>
      </c>
      <c r="H275" s="231" t="n">
        <v>43581</v>
      </c>
      <c r="I275" s="232" t="n">
        <v>43580</v>
      </c>
    </row>
    <row r="276" customFormat="false" ht="12.75" hidden="false" customHeight="false" outlineLevel="0" collapsed="false">
      <c r="A276" s="241"/>
      <c r="B276" s="239"/>
      <c r="C276" s="240"/>
      <c r="D276" s="238"/>
      <c r="E276" s="238"/>
      <c r="F276" s="238"/>
      <c r="G276" s="242" t="n">
        <v>43617</v>
      </c>
      <c r="H276" s="231" t="n">
        <v>43614</v>
      </c>
      <c r="I276" s="232" t="n">
        <v>43613</v>
      </c>
    </row>
    <row r="277" customFormat="false" ht="12.75" hidden="false" customHeight="false" outlineLevel="0" collapsed="false">
      <c r="A277" s="241"/>
      <c r="B277" s="239"/>
      <c r="C277" s="240"/>
      <c r="D277" s="238"/>
      <c r="E277" s="238"/>
      <c r="F277" s="238"/>
      <c r="G277" s="242" t="n">
        <v>43647</v>
      </c>
      <c r="H277" s="231" t="n">
        <v>43642</v>
      </c>
      <c r="I277" s="232" t="n">
        <v>43641</v>
      </c>
    </row>
    <row r="278" customFormat="false" ht="12.75" hidden="false" customHeight="false" outlineLevel="0" collapsed="false">
      <c r="A278" s="241"/>
      <c r="B278" s="239"/>
      <c r="C278" s="240"/>
      <c r="D278" s="238"/>
      <c r="E278" s="238"/>
      <c r="F278" s="238"/>
      <c r="G278" s="242" t="n">
        <v>43678</v>
      </c>
      <c r="H278" s="231" t="n">
        <v>43675</v>
      </c>
      <c r="I278" s="232" t="n">
        <v>43672</v>
      </c>
    </row>
    <row r="279" customFormat="false" ht="12.75" hidden="false" customHeight="false" outlineLevel="0" collapsed="false">
      <c r="A279" s="241"/>
      <c r="B279" s="239"/>
      <c r="C279" s="240"/>
      <c r="D279" s="238"/>
      <c r="E279" s="238"/>
      <c r="F279" s="238"/>
      <c r="G279" s="242" t="n">
        <v>43709</v>
      </c>
      <c r="H279" s="231" t="n">
        <v>43705</v>
      </c>
      <c r="I279" s="232" t="n">
        <v>43704</v>
      </c>
    </row>
    <row r="280" customFormat="false" ht="12.75" hidden="false" customHeight="false" outlineLevel="0" collapsed="false">
      <c r="A280" s="241"/>
      <c r="B280" s="239"/>
      <c r="C280" s="240"/>
      <c r="D280" s="238"/>
      <c r="E280" s="238"/>
      <c r="F280" s="238"/>
      <c r="G280" s="242" t="n">
        <v>43739</v>
      </c>
      <c r="H280" s="231" t="n">
        <v>43734</v>
      </c>
      <c r="I280" s="232" t="n">
        <v>43733</v>
      </c>
    </row>
    <row r="281" customFormat="false" ht="12.75" hidden="false" customHeight="false" outlineLevel="0" collapsed="false">
      <c r="A281" s="241"/>
      <c r="B281" s="239"/>
      <c r="C281" s="240"/>
      <c r="D281" s="238"/>
      <c r="E281" s="238"/>
      <c r="F281" s="238"/>
      <c r="G281" s="242" t="n">
        <v>43770</v>
      </c>
      <c r="H281" s="231" t="n">
        <v>43767</v>
      </c>
      <c r="I281" s="232" t="n">
        <v>43766</v>
      </c>
    </row>
    <row r="282" customFormat="false" ht="12.75" hidden="false" customHeight="false" outlineLevel="0" collapsed="false">
      <c r="A282" s="241"/>
      <c r="B282" s="239"/>
      <c r="C282" s="240"/>
      <c r="D282" s="238"/>
      <c r="E282" s="238"/>
      <c r="F282" s="238"/>
      <c r="G282" s="242" t="n">
        <v>43800</v>
      </c>
      <c r="H282" s="231" t="n">
        <v>43795</v>
      </c>
      <c r="I282" s="232" t="n">
        <v>43794</v>
      </c>
    </row>
    <row r="283" customFormat="false" ht="12.75" hidden="false" customHeight="false" outlineLevel="0" collapsed="false">
      <c r="A283" s="241"/>
      <c r="B283" s="239"/>
      <c r="C283" s="240"/>
      <c r="D283" s="238"/>
      <c r="E283" s="238"/>
      <c r="F283" s="238"/>
      <c r="G283" s="242" t="n">
        <v>43831</v>
      </c>
      <c r="H283" s="231" t="n">
        <v>43826</v>
      </c>
      <c r="I283" s="232" t="n">
        <v>43825</v>
      </c>
    </row>
    <row r="284" customFormat="false" ht="12.75" hidden="false" customHeight="false" outlineLevel="0" collapsed="false">
      <c r="A284" s="241"/>
      <c r="B284" s="239"/>
      <c r="C284" s="240"/>
      <c r="D284" s="238"/>
      <c r="E284" s="238"/>
      <c r="F284" s="238"/>
      <c r="G284" s="242" t="n">
        <v>43862</v>
      </c>
      <c r="H284" s="231" t="n">
        <v>43859</v>
      </c>
      <c r="I284" s="232" t="n">
        <v>43858</v>
      </c>
    </row>
    <row r="285" customFormat="false" ht="12.75" hidden="false" customHeight="false" outlineLevel="0" collapsed="false">
      <c r="A285" s="241"/>
      <c r="B285" s="239"/>
      <c r="C285" s="240"/>
      <c r="D285" s="238"/>
      <c r="E285" s="238"/>
      <c r="F285" s="238"/>
      <c r="G285" s="242" t="n">
        <v>43891</v>
      </c>
      <c r="H285" s="231" t="n">
        <v>43887</v>
      </c>
      <c r="I285" s="232" t="n">
        <v>43886</v>
      </c>
    </row>
    <row r="286" customFormat="false" ht="12.75" hidden="false" customHeight="false" outlineLevel="0" collapsed="false">
      <c r="A286" s="241"/>
      <c r="B286" s="239"/>
      <c r="C286" s="240"/>
      <c r="D286" s="238"/>
      <c r="E286" s="238"/>
      <c r="F286" s="238"/>
      <c r="G286" s="242" t="n">
        <v>43922</v>
      </c>
      <c r="H286" s="231" t="n">
        <v>43917</v>
      </c>
      <c r="I286" s="232" t="n">
        <v>43916</v>
      </c>
    </row>
    <row r="287" customFormat="false" ht="12.75" hidden="false" customHeight="false" outlineLevel="0" collapsed="false">
      <c r="A287" s="241"/>
      <c r="B287" s="239"/>
      <c r="C287" s="240"/>
      <c r="D287" s="238"/>
      <c r="E287" s="238"/>
      <c r="F287" s="238"/>
      <c r="G287" s="242" t="n">
        <v>43952</v>
      </c>
      <c r="H287" s="231" t="n">
        <v>43949</v>
      </c>
      <c r="I287" s="232" t="n">
        <v>43948</v>
      </c>
    </row>
    <row r="288" customFormat="false" ht="12.75" hidden="false" customHeight="false" outlineLevel="0" collapsed="false">
      <c r="A288" s="241"/>
      <c r="B288" s="239"/>
      <c r="C288" s="240"/>
      <c r="D288" s="238"/>
      <c r="E288" s="238"/>
      <c r="F288" s="238"/>
      <c r="G288" s="242" t="n">
        <v>43983</v>
      </c>
      <c r="H288" s="231" t="n">
        <v>43978</v>
      </c>
      <c r="I288" s="232" t="n">
        <v>43977</v>
      </c>
    </row>
    <row r="289" customFormat="false" ht="12.75" hidden="false" customHeight="false" outlineLevel="0" collapsed="false">
      <c r="A289" s="241"/>
      <c r="B289" s="239"/>
      <c r="C289" s="240"/>
      <c r="D289" s="238"/>
      <c r="E289" s="238"/>
      <c r="F289" s="238"/>
      <c r="G289" s="242" t="n">
        <v>44013</v>
      </c>
      <c r="H289" s="231" t="n">
        <v>44008</v>
      </c>
      <c r="I289" s="232" t="n">
        <v>44007</v>
      </c>
    </row>
    <row r="290" customFormat="false" ht="12.75" hidden="false" customHeight="false" outlineLevel="0" collapsed="false">
      <c r="A290" s="241"/>
      <c r="B290" s="239"/>
      <c r="C290" s="240"/>
      <c r="D290" s="238"/>
      <c r="E290" s="238"/>
      <c r="F290" s="238"/>
      <c r="G290" s="242" t="n">
        <v>44044</v>
      </c>
      <c r="H290" s="231" t="n">
        <v>44041</v>
      </c>
      <c r="I290" s="232" t="n">
        <v>44040</v>
      </c>
    </row>
    <row r="291" customFormat="false" ht="12.75" hidden="false" customHeight="false" outlineLevel="0" collapsed="false">
      <c r="A291" s="241"/>
      <c r="B291" s="239"/>
      <c r="C291" s="240"/>
      <c r="D291" s="238"/>
      <c r="E291" s="238"/>
      <c r="F291" s="238"/>
      <c r="G291" s="242" t="n">
        <v>44075</v>
      </c>
      <c r="H291" s="231" t="n">
        <v>44070</v>
      </c>
      <c r="I291" s="232" t="n">
        <v>44069</v>
      </c>
    </row>
    <row r="292" customFormat="false" ht="12.75" hidden="false" customHeight="false" outlineLevel="0" collapsed="false">
      <c r="A292" s="241"/>
      <c r="B292" s="239"/>
      <c r="C292" s="240"/>
      <c r="D292" s="238"/>
      <c r="E292" s="238"/>
      <c r="F292" s="238"/>
      <c r="G292" s="242" t="n">
        <v>44105</v>
      </c>
      <c r="H292" s="231" t="n">
        <v>44102</v>
      </c>
      <c r="I292" s="232" t="n">
        <v>44099</v>
      </c>
    </row>
    <row r="293" customFormat="false" ht="12.75" hidden="false" customHeight="false" outlineLevel="0" collapsed="false">
      <c r="A293" s="241"/>
      <c r="B293" s="239"/>
      <c r="C293" s="240"/>
      <c r="D293" s="238"/>
      <c r="E293" s="238"/>
      <c r="F293" s="238"/>
      <c r="G293" s="242" t="n">
        <v>44136</v>
      </c>
      <c r="H293" s="231" t="n">
        <v>44132</v>
      </c>
      <c r="I293" s="232" t="n">
        <v>44131</v>
      </c>
    </row>
    <row r="294" customFormat="false" ht="12.75" hidden="false" customHeight="false" outlineLevel="0" collapsed="false">
      <c r="A294" s="241"/>
      <c r="B294" s="239"/>
      <c r="C294" s="240"/>
      <c r="D294" s="238"/>
      <c r="E294" s="238"/>
      <c r="F294" s="238"/>
      <c r="G294" s="242" t="n">
        <v>44166</v>
      </c>
      <c r="H294" s="231" t="n">
        <v>44160</v>
      </c>
      <c r="I294" s="232" t="n">
        <v>44159</v>
      </c>
    </row>
    <row r="295" customFormat="false" ht="12.75" hidden="false" customHeight="false" outlineLevel="0" collapsed="false">
      <c r="A295" s="241"/>
      <c r="B295" s="239"/>
      <c r="C295" s="240"/>
      <c r="D295" s="238"/>
      <c r="E295" s="238"/>
      <c r="F295" s="238"/>
      <c r="G295" s="242" t="n">
        <v>44197</v>
      </c>
      <c r="H295" s="231" t="n">
        <v>44194</v>
      </c>
      <c r="I295" s="232" t="n">
        <v>44193</v>
      </c>
    </row>
    <row r="296" customFormat="false" ht="12.75" hidden="false" customHeight="false" outlineLevel="0" collapsed="false">
      <c r="A296" s="241"/>
      <c r="B296" s="239"/>
      <c r="C296" s="240"/>
      <c r="D296" s="238"/>
      <c r="E296" s="238"/>
      <c r="F296" s="238"/>
      <c r="G296" s="242" t="n">
        <v>44228</v>
      </c>
      <c r="H296" s="231" t="n">
        <v>44223</v>
      </c>
      <c r="I296" s="232" t="n">
        <v>44222</v>
      </c>
    </row>
    <row r="297" customFormat="false" ht="12.75" hidden="false" customHeight="false" outlineLevel="0" collapsed="false">
      <c r="A297" s="241"/>
      <c r="B297" s="239"/>
      <c r="C297" s="240"/>
      <c r="D297" s="238"/>
      <c r="E297" s="238"/>
      <c r="F297" s="238"/>
      <c r="G297" s="242" t="n">
        <v>44256</v>
      </c>
      <c r="H297" s="231" t="n">
        <v>44251</v>
      </c>
      <c r="I297" s="232" t="n">
        <v>44250</v>
      </c>
    </row>
    <row r="298" customFormat="false" ht="12.75" hidden="false" customHeight="false" outlineLevel="0" collapsed="false">
      <c r="A298" s="241"/>
      <c r="B298" s="239"/>
      <c r="C298" s="240"/>
      <c r="D298" s="238"/>
      <c r="E298" s="238"/>
      <c r="F298" s="238"/>
      <c r="G298" s="242" t="n">
        <v>44287</v>
      </c>
      <c r="H298" s="231" t="n">
        <v>44284</v>
      </c>
      <c r="I298" s="232" t="n">
        <v>44281</v>
      </c>
    </row>
    <row r="299" customFormat="false" ht="12.75" hidden="false" customHeight="false" outlineLevel="0" collapsed="false">
      <c r="A299" s="241"/>
      <c r="B299" s="239"/>
      <c r="C299" s="240"/>
      <c r="D299" s="238"/>
      <c r="E299" s="238"/>
      <c r="F299" s="238"/>
      <c r="G299" s="242" t="n">
        <v>44317</v>
      </c>
      <c r="H299" s="231" t="n">
        <v>44314</v>
      </c>
      <c r="I299" s="232" t="n">
        <v>44313</v>
      </c>
    </row>
    <row r="300" customFormat="false" ht="12.75" hidden="false" customHeight="false" outlineLevel="0" collapsed="false">
      <c r="A300" s="241"/>
      <c r="B300" s="239"/>
      <c r="C300" s="240"/>
      <c r="D300" s="238"/>
      <c r="E300" s="238"/>
      <c r="F300" s="238"/>
      <c r="G300" s="242" t="n">
        <v>44348</v>
      </c>
      <c r="H300" s="231" t="n">
        <v>44342</v>
      </c>
      <c r="I300" s="232" t="n">
        <v>44341</v>
      </c>
    </row>
    <row r="301" customFormat="false" ht="12.75" hidden="false" customHeight="false" outlineLevel="0" collapsed="false">
      <c r="A301" s="241"/>
      <c r="B301" s="239"/>
      <c r="C301" s="240"/>
      <c r="D301" s="238"/>
      <c r="E301" s="238"/>
      <c r="F301" s="238"/>
      <c r="G301" s="242" t="n">
        <v>44378</v>
      </c>
      <c r="H301" s="231" t="n">
        <v>44375</v>
      </c>
      <c r="I301" s="232" t="n">
        <v>44372</v>
      </c>
    </row>
    <row r="302" customFormat="false" ht="12.75" hidden="false" customHeight="false" outlineLevel="0" collapsed="false">
      <c r="A302" s="241"/>
      <c r="B302" s="239"/>
      <c r="C302" s="240"/>
      <c r="D302" s="238"/>
      <c r="E302" s="238"/>
      <c r="F302" s="238"/>
      <c r="G302" s="242" t="n">
        <v>44409</v>
      </c>
      <c r="H302" s="231" t="n">
        <v>44405</v>
      </c>
      <c r="I302" s="232" t="n">
        <v>44404</v>
      </c>
    </row>
    <row r="303" customFormat="false" ht="12.75" hidden="false" customHeight="false" outlineLevel="0" collapsed="false">
      <c r="A303" s="241"/>
      <c r="B303" s="239"/>
      <c r="C303" s="240"/>
      <c r="D303" s="238"/>
      <c r="E303" s="238"/>
      <c r="F303" s="238"/>
      <c r="G303" s="242" t="n">
        <v>44440</v>
      </c>
      <c r="H303" s="231" t="n">
        <v>44435</v>
      </c>
      <c r="I303" s="232" t="n">
        <v>44434</v>
      </c>
    </row>
    <row r="304" customFormat="false" ht="12.75" hidden="false" customHeight="false" outlineLevel="0" collapsed="false">
      <c r="A304" s="241"/>
      <c r="B304" s="239"/>
      <c r="C304" s="240"/>
      <c r="D304" s="238"/>
      <c r="E304" s="238"/>
      <c r="F304" s="238"/>
      <c r="G304" s="242" t="n">
        <v>44470</v>
      </c>
      <c r="H304" s="231" t="n">
        <v>44467</v>
      </c>
      <c r="I304" s="232" t="n">
        <v>44466</v>
      </c>
    </row>
    <row r="305" customFormat="false" ht="12.75" hidden="false" customHeight="false" outlineLevel="0" collapsed="false">
      <c r="A305" s="241"/>
      <c r="B305" s="239"/>
      <c r="C305" s="240"/>
      <c r="D305" s="238"/>
      <c r="E305" s="238"/>
      <c r="F305" s="238"/>
      <c r="G305" s="242" t="n">
        <v>44501</v>
      </c>
      <c r="H305" s="231" t="n">
        <v>44496</v>
      </c>
      <c r="I305" s="232" t="n">
        <v>44495</v>
      </c>
    </row>
    <row r="306" customFormat="false" ht="12.75" hidden="false" customHeight="false" outlineLevel="0" collapsed="false">
      <c r="A306" s="241"/>
      <c r="B306" s="239"/>
      <c r="C306" s="240"/>
      <c r="D306" s="238"/>
      <c r="E306" s="238"/>
      <c r="F306" s="238"/>
      <c r="G306" s="242" t="n">
        <v>44531</v>
      </c>
      <c r="H306" s="231" t="n">
        <v>44526</v>
      </c>
      <c r="I306" s="232" t="n">
        <v>44524</v>
      </c>
    </row>
    <row r="307" customFormat="false" ht="12.75" hidden="false" customHeight="false" outlineLevel="0" collapsed="false">
      <c r="A307" s="241"/>
      <c r="B307" s="239"/>
      <c r="C307" s="240"/>
      <c r="D307" s="238"/>
      <c r="E307" s="238"/>
      <c r="F307" s="238"/>
      <c r="G307" s="242" t="n">
        <v>44562</v>
      </c>
      <c r="H307" s="231" t="n">
        <v>44558</v>
      </c>
      <c r="I307" s="232" t="n">
        <v>44557</v>
      </c>
    </row>
    <row r="308" customFormat="false" ht="12.75" hidden="false" customHeight="false" outlineLevel="0" collapsed="false">
      <c r="A308" s="241"/>
      <c r="B308" s="239"/>
      <c r="C308" s="240"/>
      <c r="D308" s="238"/>
      <c r="E308" s="238"/>
      <c r="F308" s="238"/>
      <c r="G308" s="242" t="n">
        <v>44593</v>
      </c>
      <c r="H308" s="231" t="n">
        <v>44588</v>
      </c>
      <c r="I308" s="232" t="n">
        <v>44587</v>
      </c>
    </row>
    <row r="309" customFormat="false" ht="12.75" hidden="false" customHeight="false" outlineLevel="0" collapsed="false">
      <c r="A309" s="241"/>
      <c r="B309" s="239"/>
      <c r="C309" s="240"/>
      <c r="D309" s="238"/>
      <c r="E309" s="238"/>
      <c r="F309" s="238"/>
      <c r="G309" s="242" t="n">
        <v>44621</v>
      </c>
      <c r="H309" s="231" t="n">
        <v>44616</v>
      </c>
      <c r="I309" s="232" t="n">
        <v>44615</v>
      </c>
    </row>
    <row r="310" customFormat="false" ht="12.75" hidden="false" customHeight="false" outlineLevel="0" collapsed="false">
      <c r="A310" s="241"/>
      <c r="B310" s="239"/>
      <c r="C310" s="240"/>
      <c r="D310" s="238"/>
      <c r="E310" s="238"/>
      <c r="F310" s="238"/>
      <c r="G310" s="242" t="n">
        <v>44652</v>
      </c>
      <c r="H310" s="231" t="n">
        <v>44649</v>
      </c>
      <c r="I310" s="232" t="n">
        <v>44648</v>
      </c>
    </row>
    <row r="311" customFormat="false" ht="12.75" hidden="false" customHeight="false" outlineLevel="0" collapsed="false">
      <c r="A311" s="241"/>
      <c r="B311" s="239"/>
      <c r="C311" s="240"/>
      <c r="D311" s="240"/>
      <c r="E311" s="240"/>
      <c r="F311" s="238"/>
      <c r="G311" s="242" t="n">
        <v>44682</v>
      </c>
      <c r="H311" s="231" t="n">
        <v>44678</v>
      </c>
      <c r="I311" s="232" t="n">
        <v>44677</v>
      </c>
    </row>
    <row r="312" customFormat="false" ht="12.75" hidden="false" customHeight="false" outlineLevel="0" collapsed="false">
      <c r="A312" s="241"/>
      <c r="B312" s="239"/>
      <c r="C312" s="240"/>
      <c r="D312" s="240"/>
      <c r="E312" s="240"/>
      <c r="F312" s="238"/>
      <c r="G312" s="242" t="n">
        <v>44713</v>
      </c>
      <c r="H312" s="231" t="n">
        <v>44707</v>
      </c>
      <c r="I312" s="232" t="n">
        <v>44706</v>
      </c>
    </row>
    <row r="313" customFormat="false" ht="12.75" hidden="false" customHeight="false" outlineLevel="0" collapsed="false">
      <c r="A313" s="241"/>
      <c r="B313" s="239"/>
      <c r="C313" s="240"/>
      <c r="D313" s="240"/>
      <c r="E313" s="240"/>
      <c r="F313" s="238"/>
      <c r="G313" s="242" t="n">
        <v>44743</v>
      </c>
      <c r="H313" s="231" t="n">
        <v>44740</v>
      </c>
      <c r="I313" s="232" t="n">
        <v>44739</v>
      </c>
    </row>
    <row r="314" customFormat="false" ht="12.75" hidden="false" customHeight="false" outlineLevel="0" collapsed="false">
      <c r="A314" s="241"/>
      <c r="B314" s="239"/>
      <c r="C314" s="240"/>
      <c r="D314" s="240"/>
      <c r="E314" s="240"/>
      <c r="F314" s="238"/>
      <c r="G314" s="242" t="n">
        <v>44774</v>
      </c>
      <c r="H314" s="231" t="n">
        <v>44769</v>
      </c>
      <c r="I314" s="232" t="n">
        <v>44768</v>
      </c>
    </row>
    <row r="315" customFormat="false" ht="12.75" hidden="false" customHeight="false" outlineLevel="0" collapsed="false">
      <c r="A315" s="241"/>
      <c r="B315" s="239"/>
      <c r="C315" s="240"/>
      <c r="D315" s="240"/>
      <c r="E315" s="240"/>
      <c r="F315" s="238"/>
      <c r="G315" s="242" t="n">
        <v>44805</v>
      </c>
      <c r="H315" s="231" t="n">
        <v>44802</v>
      </c>
      <c r="I315" s="232" t="n">
        <v>44799</v>
      </c>
    </row>
    <row r="316" customFormat="false" ht="12.75" hidden="false" customHeight="false" outlineLevel="0" collapsed="false">
      <c r="A316" s="241"/>
      <c r="B316" s="239"/>
      <c r="C316" s="240"/>
      <c r="D316" s="240"/>
      <c r="E316" s="240"/>
      <c r="F316" s="238"/>
      <c r="G316" s="242" t="n">
        <v>44835</v>
      </c>
      <c r="H316" s="231" t="n">
        <v>44832</v>
      </c>
      <c r="I316" s="232" t="n">
        <v>44831</v>
      </c>
    </row>
    <row r="317" customFormat="false" ht="12.75" hidden="false" customHeight="false" outlineLevel="0" collapsed="false">
      <c r="A317" s="241"/>
      <c r="B317" s="239"/>
      <c r="C317" s="240"/>
      <c r="D317" s="240"/>
      <c r="E317" s="240"/>
      <c r="F317" s="238"/>
      <c r="G317" s="242" t="n">
        <v>44866</v>
      </c>
      <c r="H317" s="231" t="n">
        <v>44861</v>
      </c>
      <c r="I317" s="232" t="n">
        <v>44860</v>
      </c>
    </row>
    <row r="318" customFormat="false" ht="12.75" hidden="false" customHeight="false" outlineLevel="0" collapsed="false">
      <c r="A318" s="241"/>
      <c r="B318" s="239"/>
      <c r="C318" s="240"/>
      <c r="D318" s="240"/>
      <c r="E318" s="240"/>
      <c r="F318" s="238"/>
      <c r="G318" s="242" t="n">
        <v>44896</v>
      </c>
      <c r="H318" s="231" t="n">
        <v>44893</v>
      </c>
      <c r="I318" s="232" t="n">
        <v>44890</v>
      </c>
    </row>
    <row r="319" customFormat="false" ht="12.75" hidden="false" customHeight="false" outlineLevel="0" collapsed="false">
      <c r="A319" s="241"/>
      <c r="B319" s="239"/>
      <c r="C319" s="240"/>
      <c r="D319" s="240"/>
      <c r="E319" s="240"/>
      <c r="F319" s="238"/>
      <c r="G319" s="242" t="n">
        <v>44927</v>
      </c>
      <c r="H319" s="231" t="n">
        <v>44923</v>
      </c>
      <c r="I319" s="232" t="n">
        <v>44922</v>
      </c>
    </row>
    <row r="320" customFormat="false" ht="12.75" hidden="false" customHeight="false" outlineLevel="0" collapsed="false">
      <c r="A320" s="241"/>
      <c r="B320" s="239"/>
      <c r="C320" s="240"/>
      <c r="D320" s="240"/>
      <c r="E320" s="240"/>
      <c r="F320" s="238"/>
      <c r="G320" s="242" t="n">
        <v>44958</v>
      </c>
      <c r="H320" s="231" t="n">
        <v>44953</v>
      </c>
      <c r="I320" s="232" t="n">
        <v>44952</v>
      </c>
    </row>
    <row r="321" customFormat="false" ht="12.75" hidden="false" customHeight="false" outlineLevel="0" collapsed="false">
      <c r="A321" s="241"/>
      <c r="B321" s="239"/>
      <c r="C321" s="240"/>
      <c r="D321" s="240"/>
      <c r="E321" s="240"/>
      <c r="F321" s="238"/>
      <c r="G321" s="242" t="n">
        <v>44986</v>
      </c>
      <c r="H321" s="231" t="n">
        <v>44981</v>
      </c>
      <c r="I321" s="232" t="n">
        <v>44980</v>
      </c>
    </row>
    <row r="322" customFormat="false" ht="12.75" hidden="false" customHeight="false" outlineLevel="0" collapsed="false">
      <c r="A322" s="241"/>
      <c r="B322" s="239"/>
      <c r="C322" s="240"/>
      <c r="D322" s="240"/>
      <c r="E322" s="240"/>
      <c r="F322" s="238"/>
      <c r="G322" s="242" t="n">
        <v>45017</v>
      </c>
      <c r="H322" s="231" t="n">
        <v>45014</v>
      </c>
      <c r="I322" s="232" t="n">
        <v>45013</v>
      </c>
    </row>
    <row r="323" customFormat="false" ht="12.75" hidden="false" customHeight="false" outlineLevel="0" collapsed="false">
      <c r="A323" s="241"/>
      <c r="B323" s="239"/>
      <c r="C323" s="240"/>
      <c r="D323" s="240"/>
      <c r="E323" s="240"/>
      <c r="F323" s="238"/>
      <c r="G323" s="242" t="n">
        <v>45047</v>
      </c>
      <c r="H323" s="231" t="n">
        <v>45042</v>
      </c>
      <c r="I323" s="232" t="n">
        <v>45041</v>
      </c>
    </row>
    <row r="324" customFormat="false" ht="12.75" hidden="false" customHeight="false" outlineLevel="0" collapsed="false">
      <c r="A324" s="241"/>
      <c r="B324" s="239"/>
      <c r="C324" s="240"/>
      <c r="D324" s="240"/>
      <c r="E324" s="240"/>
      <c r="F324" s="238"/>
      <c r="G324" s="242" t="n">
        <v>45078</v>
      </c>
      <c r="H324" s="231" t="n">
        <v>45072</v>
      </c>
      <c r="I324" s="232" t="n">
        <v>45071</v>
      </c>
    </row>
    <row r="325" customFormat="false" ht="12.75" hidden="false" customHeight="false" outlineLevel="0" collapsed="false">
      <c r="A325" s="241"/>
      <c r="B325" s="239"/>
      <c r="C325" s="240"/>
      <c r="D325" s="240"/>
      <c r="E325" s="240"/>
      <c r="F325" s="238"/>
      <c r="G325" s="242" t="n">
        <v>45108</v>
      </c>
      <c r="H325" s="231" t="n">
        <v>45105</v>
      </c>
      <c r="I325" s="232" t="n">
        <v>45104</v>
      </c>
    </row>
    <row r="326" customFormat="false" ht="12.75" hidden="false" customHeight="false" outlineLevel="0" collapsed="false">
      <c r="A326" s="241"/>
      <c r="B326" s="239"/>
      <c r="C326" s="240"/>
      <c r="D326" s="240"/>
      <c r="E326" s="240"/>
      <c r="F326" s="238"/>
      <c r="G326" s="242" t="n">
        <v>45139</v>
      </c>
      <c r="H326" s="231" t="n">
        <v>45134</v>
      </c>
      <c r="I326" s="232" t="n">
        <v>45133</v>
      </c>
    </row>
    <row r="327" customFormat="false" ht="12.75" hidden="false" customHeight="false" outlineLevel="0" collapsed="false">
      <c r="A327" s="241"/>
      <c r="B327" s="239"/>
      <c r="C327" s="240"/>
      <c r="D327" s="240"/>
      <c r="E327" s="240"/>
      <c r="F327" s="238"/>
      <c r="G327" s="242" t="n">
        <v>45170</v>
      </c>
      <c r="H327" s="231" t="n">
        <v>45167</v>
      </c>
      <c r="I327" s="232" t="n">
        <v>45166</v>
      </c>
    </row>
    <row r="328" customFormat="false" ht="12.75" hidden="false" customHeight="false" outlineLevel="0" collapsed="false">
      <c r="A328" s="241"/>
      <c r="B328" s="239"/>
      <c r="C328" s="240"/>
      <c r="D328" s="240"/>
      <c r="E328" s="240"/>
      <c r="F328" s="238"/>
      <c r="G328" s="242" t="n">
        <v>45200</v>
      </c>
      <c r="H328" s="231" t="n">
        <v>45196</v>
      </c>
      <c r="I328" s="232" t="n">
        <v>45195</v>
      </c>
    </row>
    <row r="329" customFormat="false" ht="12.75" hidden="false" customHeight="false" outlineLevel="0" collapsed="false">
      <c r="A329" s="241"/>
      <c r="B329" s="239"/>
      <c r="C329" s="240"/>
      <c r="D329" s="240"/>
      <c r="E329" s="240"/>
      <c r="F329" s="238"/>
      <c r="G329" s="242" t="n">
        <v>45231</v>
      </c>
      <c r="H329" s="231" t="n">
        <v>45226</v>
      </c>
      <c r="I329" s="232" t="n">
        <v>45225</v>
      </c>
    </row>
    <row r="330" customFormat="false" ht="12.75" hidden="false" customHeight="false" outlineLevel="0" collapsed="false">
      <c r="A330" s="241"/>
      <c r="B330" s="239"/>
      <c r="C330" s="240"/>
      <c r="D330" s="240"/>
      <c r="E330" s="240"/>
      <c r="F330" s="238"/>
      <c r="G330" s="242" t="n">
        <v>45261</v>
      </c>
      <c r="H330" s="231" t="n">
        <v>45258</v>
      </c>
      <c r="I330" s="232" t="n">
        <v>45257</v>
      </c>
    </row>
    <row r="331" customFormat="false" ht="12.75" hidden="false" customHeight="false" outlineLevel="0" collapsed="false">
      <c r="A331" s="241"/>
      <c r="B331" s="239"/>
      <c r="C331" s="240"/>
      <c r="D331" s="240"/>
      <c r="E331" s="240"/>
      <c r="F331" s="238"/>
      <c r="G331" s="242" t="n">
        <v>45292</v>
      </c>
      <c r="H331" s="231" t="n">
        <v>45287</v>
      </c>
      <c r="I331" s="232" t="n">
        <v>45286</v>
      </c>
    </row>
    <row r="332" customFormat="false" ht="12.75" hidden="false" customHeight="false" outlineLevel="0" collapsed="false">
      <c r="A332" s="241"/>
      <c r="B332" s="239"/>
      <c r="C332" s="240"/>
      <c r="D332" s="240"/>
      <c r="E332" s="240"/>
      <c r="F332" s="238"/>
      <c r="G332" s="242" t="n">
        <v>45323</v>
      </c>
      <c r="H332" s="231" t="n">
        <v>45320</v>
      </c>
      <c r="I332" s="232" t="n">
        <v>45317</v>
      </c>
    </row>
    <row r="333" customFormat="false" ht="12.75" hidden="false" customHeight="false" outlineLevel="0" collapsed="false">
      <c r="A333" s="241"/>
      <c r="B333" s="239"/>
      <c r="C333" s="240"/>
      <c r="D333" s="240"/>
      <c r="E333" s="240"/>
      <c r="F333" s="238"/>
      <c r="G333" s="242" t="n">
        <v>45352</v>
      </c>
      <c r="H333" s="231" t="n">
        <v>45349</v>
      </c>
      <c r="I333" s="232" t="n">
        <v>45348</v>
      </c>
    </row>
    <row r="334" customFormat="false" ht="12.75" hidden="false" customHeight="false" outlineLevel="0" collapsed="false">
      <c r="A334" s="241"/>
      <c r="B334" s="239"/>
      <c r="C334" s="240"/>
      <c r="D334" s="240"/>
      <c r="E334" s="240"/>
      <c r="F334" s="238"/>
      <c r="G334" s="242" t="n">
        <v>45383</v>
      </c>
      <c r="H334" s="231" t="n">
        <v>45377</v>
      </c>
      <c r="I334" s="232" t="n">
        <v>45376</v>
      </c>
    </row>
    <row r="335" customFormat="false" ht="12.75" hidden="false" customHeight="false" outlineLevel="0" collapsed="false">
      <c r="A335" s="241"/>
      <c r="B335" s="239"/>
      <c r="C335" s="240"/>
      <c r="D335" s="240"/>
      <c r="E335" s="240"/>
      <c r="F335" s="238"/>
      <c r="G335" s="242" t="n">
        <v>45413</v>
      </c>
      <c r="H335" s="231" t="n">
        <v>45408</v>
      </c>
      <c r="I335" s="232" t="n">
        <v>45407</v>
      </c>
    </row>
    <row r="336" customFormat="false" ht="12.75" hidden="false" customHeight="false" outlineLevel="0" collapsed="false">
      <c r="A336" s="241"/>
      <c r="B336" s="239"/>
      <c r="C336" s="240"/>
      <c r="D336" s="240"/>
      <c r="E336" s="240"/>
      <c r="F336" s="238"/>
      <c r="G336" s="242" t="n">
        <v>45444</v>
      </c>
      <c r="H336" s="231" t="n">
        <v>45441</v>
      </c>
      <c r="I336" s="232" t="n">
        <v>45440</v>
      </c>
    </row>
    <row r="337" customFormat="false" ht="12.75" hidden="false" customHeight="false" outlineLevel="0" collapsed="false">
      <c r="A337" s="241"/>
      <c r="B337" s="239"/>
      <c r="C337" s="240"/>
      <c r="D337" s="240"/>
      <c r="E337" s="240"/>
      <c r="F337" s="238"/>
      <c r="G337" s="242" t="n">
        <v>45474</v>
      </c>
      <c r="H337" s="231" t="n">
        <v>45469</v>
      </c>
      <c r="I337" s="232" t="n">
        <v>45468</v>
      </c>
    </row>
    <row r="338" customFormat="false" ht="12.75" hidden="false" customHeight="false" outlineLevel="0" collapsed="false">
      <c r="A338" s="241"/>
      <c r="B338" s="239"/>
      <c r="C338" s="240"/>
      <c r="D338" s="240"/>
      <c r="E338" s="240"/>
      <c r="F338" s="238"/>
      <c r="G338" s="242" t="n">
        <v>45505</v>
      </c>
      <c r="H338" s="231" t="n">
        <v>45502</v>
      </c>
      <c r="I338" s="232" t="n">
        <v>45499</v>
      </c>
    </row>
    <row r="339" customFormat="false" ht="12.75" hidden="false" customHeight="false" outlineLevel="0" collapsed="false">
      <c r="A339" s="241"/>
      <c r="B339" s="239"/>
      <c r="C339" s="240"/>
      <c r="D339" s="240"/>
      <c r="E339" s="240"/>
      <c r="F339" s="238"/>
      <c r="G339" s="242" t="n">
        <v>45536</v>
      </c>
      <c r="H339" s="231" t="n">
        <v>45532</v>
      </c>
      <c r="I339" s="232" t="n">
        <v>45531</v>
      </c>
    </row>
    <row r="340" customFormat="false" ht="12.75" hidden="false" customHeight="false" outlineLevel="0" collapsed="false">
      <c r="A340" s="241"/>
      <c r="B340" s="239"/>
      <c r="C340" s="240"/>
      <c r="D340" s="240"/>
      <c r="E340" s="240"/>
      <c r="F340" s="238"/>
      <c r="G340" s="242" t="n">
        <v>45566</v>
      </c>
      <c r="H340" s="231" t="n">
        <v>45561</v>
      </c>
      <c r="I340" s="232" t="n">
        <v>45560</v>
      </c>
    </row>
    <row r="341" customFormat="false" ht="12.75" hidden="false" customHeight="false" outlineLevel="0" collapsed="false">
      <c r="A341" s="241"/>
      <c r="B341" s="239"/>
      <c r="C341" s="240"/>
      <c r="D341" s="240"/>
      <c r="E341" s="240"/>
      <c r="F341" s="238"/>
      <c r="G341" s="242" t="n">
        <v>45597</v>
      </c>
      <c r="H341" s="231" t="n">
        <v>45594</v>
      </c>
      <c r="I341" s="232" t="n">
        <v>45593</v>
      </c>
    </row>
    <row r="342" customFormat="false" ht="12.75" hidden="false" customHeight="false" outlineLevel="0" collapsed="false">
      <c r="A342" s="241"/>
      <c r="B342" s="239"/>
      <c r="C342" s="240"/>
      <c r="D342" s="240"/>
      <c r="E342" s="240"/>
      <c r="F342" s="238"/>
      <c r="G342" s="242" t="n">
        <v>45627</v>
      </c>
      <c r="H342" s="231" t="n">
        <v>45622</v>
      </c>
      <c r="I342" s="232" t="n">
        <v>45621</v>
      </c>
    </row>
    <row r="343" customFormat="false" ht="12.75" hidden="false" customHeight="false" outlineLevel="0" collapsed="false">
      <c r="A343" s="241"/>
      <c r="B343" s="239"/>
      <c r="C343" s="240"/>
      <c r="D343" s="240"/>
      <c r="E343" s="240"/>
      <c r="F343" s="238"/>
      <c r="G343" s="242" t="n">
        <v>45658</v>
      </c>
      <c r="H343" s="231" t="n">
        <v>45653</v>
      </c>
      <c r="I343" s="232" t="n">
        <v>45652</v>
      </c>
    </row>
    <row r="344" customFormat="false" ht="12.75" hidden="false" customHeight="false" outlineLevel="0" collapsed="false">
      <c r="A344" s="241"/>
      <c r="B344" s="239"/>
      <c r="C344" s="240"/>
      <c r="D344" s="240"/>
      <c r="E344" s="240"/>
      <c r="F344" s="238"/>
      <c r="G344" s="242" t="n">
        <v>45689</v>
      </c>
      <c r="H344" s="231" t="n">
        <v>45686</v>
      </c>
      <c r="I344" s="232" t="n">
        <v>45685</v>
      </c>
    </row>
    <row r="345" customFormat="false" ht="12.75" hidden="false" customHeight="false" outlineLevel="0" collapsed="false">
      <c r="A345" s="241"/>
      <c r="B345" s="239"/>
      <c r="C345" s="240"/>
      <c r="D345" s="240"/>
      <c r="E345" s="240"/>
      <c r="F345" s="238"/>
      <c r="G345" s="242" t="n">
        <v>45717</v>
      </c>
      <c r="H345" s="231" t="n">
        <v>45714</v>
      </c>
      <c r="I345" s="232" t="n">
        <v>45713</v>
      </c>
    </row>
    <row r="346" customFormat="false" ht="12.75" hidden="false" customHeight="false" outlineLevel="0" collapsed="false">
      <c r="A346" s="241"/>
      <c r="B346" s="239"/>
      <c r="C346" s="240"/>
      <c r="D346" s="240"/>
      <c r="E346" s="240"/>
      <c r="F346" s="238"/>
      <c r="G346" s="242" t="n">
        <v>45748</v>
      </c>
      <c r="H346" s="231" t="n">
        <v>45743</v>
      </c>
      <c r="I346" s="232" t="n">
        <v>45742</v>
      </c>
    </row>
    <row r="347" customFormat="false" ht="12.75" hidden="false" customHeight="false" outlineLevel="0" collapsed="false">
      <c r="A347" s="241"/>
      <c r="B347" s="239"/>
      <c r="C347" s="240"/>
      <c r="D347" s="240"/>
      <c r="E347" s="240"/>
      <c r="F347" s="238"/>
      <c r="G347" s="242" t="n">
        <v>45778</v>
      </c>
      <c r="H347" s="231" t="n">
        <v>45775</v>
      </c>
      <c r="I347" s="232" t="n">
        <v>45772</v>
      </c>
    </row>
    <row r="348" customFormat="false" ht="12.75" hidden="false" customHeight="false" outlineLevel="0" collapsed="false">
      <c r="A348" s="241"/>
      <c r="B348" s="239"/>
      <c r="C348" s="240"/>
      <c r="D348" s="240"/>
      <c r="E348" s="240"/>
      <c r="F348" s="238"/>
      <c r="G348" s="242" t="n">
        <v>45809</v>
      </c>
      <c r="H348" s="231" t="n">
        <v>45805</v>
      </c>
      <c r="I348" s="232" t="n">
        <v>45804</v>
      </c>
    </row>
    <row r="349" customFormat="false" ht="12.75" hidden="false" customHeight="false" outlineLevel="0" collapsed="false">
      <c r="A349" s="241"/>
      <c r="B349" s="239"/>
      <c r="C349" s="240"/>
      <c r="D349" s="240"/>
      <c r="E349" s="240"/>
      <c r="F349" s="238"/>
      <c r="G349" s="242" t="n">
        <v>45839</v>
      </c>
      <c r="H349" s="231" t="n">
        <v>45834</v>
      </c>
      <c r="I349" s="232" t="n">
        <v>45833</v>
      </c>
    </row>
    <row r="350" customFormat="false" ht="12.75" hidden="false" customHeight="false" outlineLevel="0" collapsed="false">
      <c r="A350" s="241"/>
      <c r="B350" s="239"/>
      <c r="C350" s="240"/>
      <c r="D350" s="240"/>
      <c r="E350" s="240"/>
      <c r="F350" s="238"/>
      <c r="G350" s="242" t="n">
        <v>45870</v>
      </c>
      <c r="H350" s="231" t="n">
        <v>45867</v>
      </c>
      <c r="I350" s="232" t="n">
        <v>45866</v>
      </c>
    </row>
    <row r="351" customFormat="false" ht="12.75" hidden="false" customHeight="false" outlineLevel="0" collapsed="false">
      <c r="A351" s="241"/>
      <c r="B351" s="239"/>
      <c r="C351" s="240"/>
      <c r="D351" s="240"/>
      <c r="E351" s="240"/>
      <c r="F351" s="238"/>
      <c r="G351" s="242" t="n">
        <v>45901</v>
      </c>
      <c r="H351" s="231" t="n">
        <v>45896</v>
      </c>
      <c r="I351" s="232" t="n">
        <v>45895</v>
      </c>
    </row>
    <row r="352" customFormat="false" ht="12.75" hidden="false" customHeight="false" outlineLevel="0" collapsed="false">
      <c r="A352" s="241"/>
      <c r="B352" s="239"/>
      <c r="C352" s="240"/>
      <c r="D352" s="240"/>
      <c r="E352" s="240"/>
      <c r="F352" s="238"/>
      <c r="G352" s="242" t="n">
        <v>45931</v>
      </c>
      <c r="H352" s="231" t="n">
        <v>45926</v>
      </c>
      <c r="I352" s="232" t="n">
        <v>45925</v>
      </c>
    </row>
    <row r="353" customFormat="false" ht="12.75" hidden="false" customHeight="false" outlineLevel="0" collapsed="false">
      <c r="A353" s="241"/>
      <c r="B353" s="239"/>
      <c r="C353" s="240"/>
      <c r="D353" s="240"/>
      <c r="E353" s="240"/>
      <c r="F353" s="238"/>
      <c r="G353" s="242" t="n">
        <v>45962</v>
      </c>
      <c r="H353" s="231" t="n">
        <v>45959</v>
      </c>
      <c r="I353" s="232" t="n">
        <v>45958</v>
      </c>
    </row>
    <row r="354" customFormat="false" ht="12.75" hidden="false" customHeight="false" outlineLevel="0" collapsed="false">
      <c r="A354" s="241"/>
      <c r="B354" s="239"/>
      <c r="C354" s="240"/>
      <c r="D354" s="240"/>
      <c r="E354" s="240"/>
      <c r="F354" s="238"/>
      <c r="G354" s="242" t="n">
        <v>45992</v>
      </c>
      <c r="H354" s="231" t="n">
        <v>45986</v>
      </c>
      <c r="I354" s="232" t="n">
        <v>45985</v>
      </c>
    </row>
    <row r="355" customFormat="false" ht="12.75" hidden="false" customHeight="false" outlineLevel="0" collapsed="false">
      <c r="A355" s="241"/>
      <c r="B355" s="239"/>
      <c r="C355" s="240"/>
      <c r="D355" s="240"/>
      <c r="E355" s="240"/>
      <c r="F355" s="238"/>
      <c r="G355" s="242" t="n">
        <v>46023</v>
      </c>
      <c r="H355" s="231" t="n">
        <v>46020</v>
      </c>
      <c r="I355" s="232" t="n">
        <v>46017</v>
      </c>
    </row>
    <row r="356" customFormat="false" ht="12.75" hidden="false" customHeight="false" outlineLevel="0" collapsed="false">
      <c r="A356" s="241"/>
      <c r="B356" s="239"/>
      <c r="C356" s="240"/>
      <c r="D356" s="240"/>
      <c r="E356" s="240"/>
      <c r="F356" s="238"/>
      <c r="G356" s="242" t="n">
        <v>46054</v>
      </c>
      <c r="H356" s="231" t="n">
        <v>46050</v>
      </c>
      <c r="I356" s="232" t="n">
        <v>46049</v>
      </c>
    </row>
    <row r="357" customFormat="false" ht="12.75" hidden="false" customHeight="false" outlineLevel="0" collapsed="false">
      <c r="A357" s="241"/>
      <c r="B357" s="239"/>
      <c r="C357" s="240"/>
      <c r="D357" s="240"/>
      <c r="E357" s="240"/>
      <c r="F357" s="238"/>
      <c r="G357" s="242" t="n">
        <v>46082</v>
      </c>
      <c r="H357" s="231" t="n">
        <v>46078</v>
      </c>
      <c r="I357" s="232" t="n">
        <v>46077</v>
      </c>
    </row>
    <row r="358" customFormat="false" ht="12.75" hidden="false" customHeight="false" outlineLevel="0" collapsed="false">
      <c r="A358" s="241"/>
      <c r="B358" s="239"/>
      <c r="C358" s="240"/>
      <c r="D358" s="240"/>
      <c r="E358" s="240"/>
      <c r="F358" s="238"/>
      <c r="G358" s="242" t="n">
        <v>46113</v>
      </c>
      <c r="H358" s="231" t="n">
        <v>46108</v>
      </c>
      <c r="I358" s="232" t="n">
        <v>46107</v>
      </c>
    </row>
    <row r="359" customFormat="false" ht="12.75" hidden="false" customHeight="false" outlineLevel="0" collapsed="false">
      <c r="A359" s="241"/>
      <c r="B359" s="239"/>
      <c r="C359" s="240"/>
      <c r="D359" s="240"/>
      <c r="E359" s="240"/>
      <c r="F359" s="238"/>
      <c r="G359" s="242" t="n">
        <v>46143</v>
      </c>
      <c r="H359" s="231" t="n">
        <v>46140</v>
      </c>
      <c r="I359" s="232" t="n">
        <v>46139</v>
      </c>
    </row>
    <row r="360" customFormat="false" ht="12.75" hidden="false" customHeight="false" outlineLevel="0" collapsed="false">
      <c r="A360" s="241"/>
      <c r="B360" s="239"/>
      <c r="C360" s="240"/>
      <c r="D360" s="240"/>
      <c r="E360" s="240"/>
      <c r="F360" s="238"/>
      <c r="G360" s="242" t="n">
        <v>46174</v>
      </c>
      <c r="H360" s="231" t="n">
        <v>46169</v>
      </c>
      <c r="I360" s="232" t="n">
        <v>46168</v>
      </c>
    </row>
    <row r="361" customFormat="false" ht="12.75" hidden="false" customHeight="false" outlineLevel="0" collapsed="false">
      <c r="A361" s="241"/>
      <c r="B361" s="239"/>
      <c r="C361" s="240"/>
      <c r="D361" s="240"/>
      <c r="E361" s="240"/>
      <c r="F361" s="238"/>
      <c r="G361" s="242" t="n">
        <v>46204</v>
      </c>
      <c r="H361" s="231" t="n">
        <v>46199</v>
      </c>
      <c r="I361" s="232" t="n">
        <v>46198</v>
      </c>
    </row>
    <row r="362" customFormat="false" ht="12.75" hidden="false" customHeight="false" outlineLevel="0" collapsed="false">
      <c r="A362" s="241"/>
      <c r="B362" s="239"/>
      <c r="C362" s="240"/>
      <c r="D362" s="240"/>
      <c r="E362" s="240"/>
      <c r="F362" s="238"/>
      <c r="G362" s="242" t="n">
        <v>46235</v>
      </c>
      <c r="H362" s="231" t="n">
        <v>46232</v>
      </c>
      <c r="I362" s="232" t="n">
        <v>46231</v>
      </c>
    </row>
    <row r="363" customFormat="false" ht="12.75" hidden="false" customHeight="false" outlineLevel="0" collapsed="false">
      <c r="A363" s="241"/>
      <c r="B363" s="239"/>
      <c r="C363" s="240"/>
      <c r="D363" s="240"/>
      <c r="E363" s="240"/>
      <c r="F363" s="238"/>
      <c r="G363" s="242" t="n">
        <v>46266</v>
      </c>
      <c r="H363" s="231" t="n">
        <v>46261</v>
      </c>
      <c r="I363" s="232" t="n">
        <v>46260</v>
      </c>
    </row>
    <row r="364" customFormat="false" ht="12.75" hidden="false" customHeight="false" outlineLevel="0" collapsed="false">
      <c r="A364" s="241"/>
      <c r="B364" s="239"/>
      <c r="C364" s="240"/>
      <c r="D364" s="240"/>
      <c r="E364" s="240"/>
      <c r="F364" s="238"/>
      <c r="G364" s="242" t="n">
        <v>46296</v>
      </c>
      <c r="H364" s="231" t="n">
        <v>46293</v>
      </c>
      <c r="I364" s="232" t="n">
        <v>46290</v>
      </c>
    </row>
    <row r="365" customFormat="false" ht="12.75" hidden="false" customHeight="false" outlineLevel="0" collapsed="false">
      <c r="A365" s="241"/>
      <c r="B365" s="239"/>
      <c r="C365" s="240"/>
      <c r="D365" s="240"/>
      <c r="E365" s="240"/>
      <c r="F365" s="238"/>
      <c r="G365" s="242" t="n">
        <v>46327</v>
      </c>
      <c r="H365" s="231" t="n">
        <v>46323</v>
      </c>
      <c r="I365" s="232" t="n">
        <v>46322</v>
      </c>
    </row>
    <row r="366" customFormat="false" ht="12.75" hidden="false" customHeight="false" outlineLevel="0" collapsed="false">
      <c r="A366" s="241"/>
      <c r="B366" s="239"/>
      <c r="C366" s="240"/>
      <c r="D366" s="240"/>
      <c r="E366" s="240"/>
      <c r="F366" s="238"/>
      <c r="G366" s="242" t="n">
        <v>46357</v>
      </c>
      <c r="H366" s="231" t="n">
        <v>46351</v>
      </c>
      <c r="I366" s="232" t="n">
        <v>46350</v>
      </c>
    </row>
    <row r="367" customFormat="false" ht="12.75" hidden="false" customHeight="false" outlineLevel="0" collapsed="false">
      <c r="A367" s="241"/>
      <c r="B367" s="239"/>
      <c r="C367" s="240"/>
      <c r="D367" s="240"/>
      <c r="E367" s="240"/>
      <c r="F367" s="238"/>
      <c r="G367" s="242" t="n">
        <v>46388</v>
      </c>
      <c r="H367" s="231" t="n">
        <v>46385</v>
      </c>
      <c r="I367" s="232" t="n">
        <v>46384</v>
      </c>
    </row>
    <row r="368" customFormat="false" ht="12.75" hidden="false" customHeight="false" outlineLevel="0" collapsed="false">
      <c r="A368" s="241"/>
      <c r="B368" s="239"/>
      <c r="C368" s="240"/>
      <c r="D368" s="240"/>
      <c r="E368" s="240"/>
      <c r="F368" s="238"/>
      <c r="G368" s="242" t="n">
        <v>46419</v>
      </c>
      <c r="H368" s="231" t="n">
        <v>46414</v>
      </c>
      <c r="I368" s="232" t="n">
        <v>46413</v>
      </c>
    </row>
    <row r="369" customFormat="false" ht="12.75" hidden="false" customHeight="false" outlineLevel="0" collapsed="false">
      <c r="A369" s="241"/>
      <c r="B369" s="239"/>
      <c r="C369" s="240"/>
      <c r="D369" s="240"/>
      <c r="E369" s="240"/>
      <c r="F369" s="238"/>
      <c r="G369" s="242" t="n">
        <v>46447</v>
      </c>
      <c r="H369" s="231" t="n">
        <v>46442</v>
      </c>
      <c r="I369" s="232" t="n">
        <v>46441</v>
      </c>
    </row>
    <row r="370" customFormat="false" ht="12.75" hidden="false" customHeight="false" outlineLevel="0" collapsed="false">
      <c r="A370" s="241"/>
      <c r="B370" s="239"/>
      <c r="C370" s="240"/>
      <c r="D370" s="240"/>
      <c r="E370" s="240"/>
      <c r="F370" s="238"/>
      <c r="G370" s="242" t="n">
        <v>46478</v>
      </c>
      <c r="H370" s="231" t="n">
        <v>46475</v>
      </c>
      <c r="I370" s="232" t="n">
        <v>46471</v>
      </c>
    </row>
    <row r="371" customFormat="false" ht="12.75" hidden="false" customHeight="false" outlineLevel="0" collapsed="false">
      <c r="A371" s="241"/>
      <c r="B371" s="239"/>
      <c r="C371" s="240"/>
      <c r="D371" s="240"/>
      <c r="E371" s="240"/>
      <c r="F371" s="238"/>
      <c r="G371" s="242" t="n">
        <v>46508</v>
      </c>
      <c r="H371" s="231" t="n">
        <v>46505</v>
      </c>
      <c r="I371" s="232" t="n">
        <v>46504</v>
      </c>
    </row>
    <row r="372" customFormat="false" ht="12.75" hidden="false" customHeight="false" outlineLevel="0" collapsed="false">
      <c r="A372" s="241"/>
      <c r="B372" s="239"/>
      <c r="C372" s="240"/>
      <c r="D372" s="240"/>
      <c r="E372" s="240"/>
      <c r="F372" s="238"/>
      <c r="G372" s="242" t="n">
        <v>46539</v>
      </c>
      <c r="H372" s="231" t="n">
        <v>46533</v>
      </c>
      <c r="I372" s="232" t="n">
        <v>46532</v>
      </c>
    </row>
    <row r="373" customFormat="false" ht="12.75" hidden="false" customHeight="false" outlineLevel="0" collapsed="false">
      <c r="A373" s="241"/>
      <c r="B373" s="208"/>
      <c r="C373" s="208"/>
      <c r="D373" s="208"/>
      <c r="E373" s="208"/>
      <c r="F373" s="208"/>
      <c r="G373" s="242" t="n">
        <v>46569</v>
      </c>
      <c r="H373" s="231" t="n">
        <v>46566</v>
      </c>
      <c r="I373" s="232" t="n">
        <v>46563</v>
      </c>
    </row>
    <row r="374" customFormat="false" ht="12.75" hidden="false" customHeight="false" outlineLevel="0" collapsed="false">
      <c r="A374" s="241"/>
      <c r="B374" s="208"/>
      <c r="C374" s="208"/>
      <c r="D374" s="208"/>
      <c r="E374" s="208"/>
      <c r="F374" s="208"/>
      <c r="G374" s="242" t="n">
        <v>46600</v>
      </c>
      <c r="H374" s="231" t="n">
        <v>46596</v>
      </c>
      <c r="I374" s="232" t="n">
        <v>46595</v>
      </c>
    </row>
    <row r="375" customFormat="false" ht="12.75" hidden="false" customHeight="false" outlineLevel="0" collapsed="false">
      <c r="A375" s="241"/>
      <c r="B375" s="208"/>
      <c r="C375" s="208"/>
      <c r="D375" s="208"/>
      <c r="E375" s="208"/>
      <c r="F375" s="208"/>
      <c r="G375" s="242" t="n">
        <v>46631</v>
      </c>
      <c r="H375" s="231" t="n">
        <v>46626</v>
      </c>
      <c r="I375" s="232" t="n">
        <v>46625</v>
      </c>
    </row>
    <row r="376" customFormat="false" ht="12.75" hidden="false" customHeight="false" outlineLevel="0" collapsed="false">
      <c r="A376" s="241"/>
      <c r="B376" s="208"/>
      <c r="C376" s="208"/>
      <c r="D376" s="208"/>
      <c r="E376" s="208"/>
      <c r="F376" s="208"/>
      <c r="G376" s="242" t="n">
        <v>46661</v>
      </c>
      <c r="H376" s="231" t="n">
        <v>46658</v>
      </c>
      <c r="I376" s="232" t="n">
        <v>46657</v>
      </c>
    </row>
    <row r="377" customFormat="false" ht="12.75" hidden="false" customHeight="false" outlineLevel="0" collapsed="false">
      <c r="A377" s="241"/>
      <c r="B377" s="208"/>
      <c r="C377" s="208"/>
      <c r="D377" s="208"/>
      <c r="E377" s="208"/>
      <c r="F377" s="208"/>
      <c r="G377" s="242" t="n">
        <v>46692</v>
      </c>
      <c r="H377" s="231" t="n">
        <v>46687</v>
      </c>
      <c r="I377" s="232" t="n">
        <v>46686</v>
      </c>
    </row>
    <row r="378" customFormat="false" ht="12.75" hidden="false" customHeight="false" outlineLevel="0" collapsed="false">
      <c r="A378" s="241"/>
      <c r="B378" s="208"/>
      <c r="C378" s="208"/>
      <c r="D378" s="208"/>
      <c r="E378" s="208"/>
      <c r="F378" s="208"/>
      <c r="G378" s="242" t="n">
        <v>46722</v>
      </c>
      <c r="H378" s="231" t="n">
        <v>46717</v>
      </c>
      <c r="I378" s="232" t="n">
        <v>46715</v>
      </c>
    </row>
    <row r="379" customFormat="false" ht="12.75" hidden="false" customHeight="false" outlineLevel="0" collapsed="false">
      <c r="A379" s="241"/>
      <c r="B379" s="208"/>
      <c r="C379" s="208"/>
      <c r="D379" s="208"/>
      <c r="E379" s="208"/>
      <c r="F379" s="208"/>
      <c r="G379" s="242" t="n">
        <v>46753</v>
      </c>
      <c r="H379" s="231" t="n">
        <v>46749</v>
      </c>
      <c r="I379" s="232" t="n">
        <v>46748</v>
      </c>
    </row>
    <row r="380" customFormat="false" ht="12.75" hidden="false" customHeight="false" outlineLevel="0" collapsed="false">
      <c r="A380" s="241"/>
      <c r="B380" s="208"/>
      <c r="C380" s="208"/>
      <c r="D380" s="208"/>
      <c r="E380" s="208"/>
      <c r="F380" s="208"/>
      <c r="G380" s="242" t="n">
        <v>46784</v>
      </c>
      <c r="H380" s="231" t="n">
        <v>46779</v>
      </c>
      <c r="I380" s="232" t="n">
        <v>46778</v>
      </c>
    </row>
    <row r="381" customFormat="false" ht="12.75" hidden="false" customHeight="false" outlineLevel="0" collapsed="false">
      <c r="A381" s="241"/>
      <c r="B381" s="208"/>
      <c r="C381" s="208"/>
      <c r="D381" s="208"/>
      <c r="E381" s="208"/>
      <c r="F381" s="208"/>
      <c r="G381" s="242" t="n">
        <v>46813</v>
      </c>
      <c r="H381" s="231" t="n">
        <v>46808</v>
      </c>
      <c r="I381" s="232" t="n">
        <v>46807</v>
      </c>
    </row>
    <row r="382" customFormat="false" ht="12.75" hidden="false" customHeight="false" outlineLevel="0" collapsed="false">
      <c r="A382" s="241"/>
      <c r="B382" s="208"/>
      <c r="C382" s="208"/>
      <c r="D382" s="208"/>
      <c r="E382" s="208"/>
      <c r="F382" s="208"/>
      <c r="G382" s="242" t="n">
        <v>46844</v>
      </c>
      <c r="H382" s="231" t="n">
        <v>46841</v>
      </c>
      <c r="I382" s="232" t="n">
        <v>46840</v>
      </c>
    </row>
    <row r="383" customFormat="false" ht="12.75" hidden="false" customHeight="false" outlineLevel="0" collapsed="false">
      <c r="A383" s="241"/>
      <c r="B383" s="208"/>
      <c r="C383" s="208"/>
      <c r="D383" s="208"/>
      <c r="E383" s="208"/>
      <c r="F383" s="208"/>
      <c r="G383" s="242" t="n">
        <v>46874</v>
      </c>
      <c r="H383" s="231" t="n">
        <v>46869</v>
      </c>
      <c r="I383" s="232" t="n">
        <v>46868</v>
      </c>
    </row>
    <row r="384" customFormat="false" ht="12.75" hidden="false" customHeight="false" outlineLevel="0" collapsed="false">
      <c r="A384" s="241"/>
      <c r="B384" s="208"/>
      <c r="C384" s="208"/>
      <c r="D384" s="208"/>
      <c r="E384" s="208"/>
      <c r="F384" s="208"/>
      <c r="G384" s="242" t="n">
        <v>46905</v>
      </c>
      <c r="H384" s="231" t="n">
        <v>46899</v>
      </c>
      <c r="I384" s="232" t="n">
        <v>46898</v>
      </c>
    </row>
    <row r="385" customFormat="false" ht="12.75" hidden="false" customHeight="false" outlineLevel="0" collapsed="false">
      <c r="A385" s="241"/>
      <c r="B385" s="241"/>
      <c r="C385" s="241"/>
      <c r="D385" s="241"/>
      <c r="E385" s="241"/>
      <c r="F385" s="241"/>
      <c r="G385" s="242" t="n">
        <v>46935</v>
      </c>
      <c r="H385" s="231" t="n">
        <v>46932</v>
      </c>
      <c r="I385" s="232" t="n">
        <v>46931</v>
      </c>
    </row>
    <row r="386" customFormat="false" ht="12.75" hidden="false" customHeight="false" outlineLevel="0" collapsed="false">
      <c r="A386" s="241"/>
      <c r="B386" s="241"/>
      <c r="C386" s="241"/>
      <c r="D386" s="241"/>
      <c r="E386" s="241"/>
      <c r="F386" s="241"/>
      <c r="G386" s="242" t="n">
        <v>46966</v>
      </c>
      <c r="H386" s="231" t="n">
        <v>46961</v>
      </c>
      <c r="I386" s="232" t="n">
        <v>46960</v>
      </c>
    </row>
    <row r="387" customFormat="false" ht="12.75" hidden="false" customHeight="false" outlineLevel="0" collapsed="false">
      <c r="A387" s="241"/>
      <c r="B387" s="241"/>
      <c r="C387" s="241"/>
      <c r="D387" s="241"/>
      <c r="E387" s="241"/>
      <c r="F387" s="241"/>
      <c r="G387" s="242" t="n">
        <v>46997</v>
      </c>
      <c r="H387" s="231" t="n">
        <v>46994</v>
      </c>
      <c r="I387" s="232" t="n">
        <v>46993</v>
      </c>
    </row>
    <row r="388" customFormat="false" ht="12.75" hidden="false" customHeight="false" outlineLevel="0" collapsed="false">
      <c r="A388" s="241"/>
      <c r="B388" s="241"/>
      <c r="C388" s="241"/>
      <c r="D388" s="241"/>
      <c r="E388" s="241"/>
      <c r="F388" s="241"/>
      <c r="G388" s="242" t="n">
        <v>47027</v>
      </c>
      <c r="H388" s="231" t="n">
        <v>47023</v>
      </c>
      <c r="I388" s="232" t="n">
        <v>47022</v>
      </c>
    </row>
    <row r="389" customFormat="false" ht="12.75" hidden="false" customHeight="false" outlineLevel="0" collapsed="false">
      <c r="A389" s="241"/>
      <c r="B389" s="241"/>
      <c r="C389" s="241"/>
      <c r="D389" s="241"/>
      <c r="E389" s="241"/>
      <c r="F389" s="241"/>
      <c r="G389" s="242" t="n">
        <v>47058</v>
      </c>
      <c r="H389" s="231" t="n">
        <v>47053</v>
      </c>
      <c r="I389" s="232" t="n">
        <v>47052</v>
      </c>
    </row>
    <row r="390" customFormat="false" ht="12.75" hidden="false" customHeight="false" outlineLevel="0" collapsed="false">
      <c r="A390" s="241"/>
      <c r="B390" s="241"/>
      <c r="C390" s="241"/>
      <c r="D390" s="241"/>
      <c r="E390" s="241"/>
      <c r="F390" s="241"/>
      <c r="G390" s="242" t="n">
        <v>47088</v>
      </c>
      <c r="H390" s="231" t="n">
        <v>47085</v>
      </c>
      <c r="I390" s="232" t="n">
        <v>47084</v>
      </c>
    </row>
    <row r="391" customFormat="false" ht="12.75" hidden="false" customHeight="false" outlineLevel="0" collapsed="false">
      <c r="A391" s="241"/>
      <c r="B391" s="241"/>
      <c r="C391" s="241"/>
      <c r="D391" s="241"/>
      <c r="E391" s="241"/>
      <c r="F391" s="241"/>
      <c r="G391" s="242" t="n">
        <v>47119</v>
      </c>
      <c r="H391" s="231" t="n">
        <v>47114</v>
      </c>
      <c r="I391" s="232" t="n">
        <v>47113</v>
      </c>
    </row>
    <row r="392" customFormat="false" ht="12.75" hidden="false" customHeight="false" outlineLevel="0" collapsed="false">
      <c r="A392" s="241"/>
      <c r="B392" s="241"/>
      <c r="C392" s="241"/>
      <c r="D392" s="241"/>
      <c r="E392" s="241"/>
      <c r="F392" s="241"/>
      <c r="G392" s="242" t="n">
        <v>47150</v>
      </c>
      <c r="H392" s="231" t="n">
        <v>47147</v>
      </c>
      <c r="I392" s="232" t="n">
        <v>47144</v>
      </c>
    </row>
    <row r="393" customFormat="false" ht="12.75" hidden="false" customHeight="false" outlineLevel="0" collapsed="false">
      <c r="A393" s="241"/>
      <c r="B393" s="241"/>
      <c r="C393" s="241"/>
      <c r="D393" s="241"/>
      <c r="E393" s="241"/>
      <c r="F393" s="241"/>
      <c r="G393" s="242" t="n">
        <v>47178</v>
      </c>
      <c r="H393" s="231" t="n">
        <v>47175</v>
      </c>
      <c r="I393" s="232" t="n">
        <v>47172</v>
      </c>
    </row>
    <row r="394" customFormat="false" ht="12.75" hidden="false" customHeight="false" outlineLevel="0" collapsed="false">
      <c r="A394" s="241"/>
      <c r="B394" s="241"/>
      <c r="C394" s="241"/>
      <c r="D394" s="241"/>
      <c r="E394" s="241"/>
      <c r="F394" s="241"/>
      <c r="G394" s="242" t="n">
        <v>47209</v>
      </c>
      <c r="H394" s="231" t="n">
        <v>47204</v>
      </c>
      <c r="I394" s="232" t="n">
        <v>47203</v>
      </c>
    </row>
    <row r="395" customFormat="false" ht="12.75" hidden="false" customHeight="false" outlineLevel="0" collapsed="false">
      <c r="A395" s="241"/>
      <c r="B395" s="241"/>
      <c r="C395" s="241"/>
      <c r="D395" s="241"/>
      <c r="E395" s="241"/>
      <c r="F395" s="241"/>
      <c r="G395" s="242" t="n">
        <v>47239</v>
      </c>
      <c r="H395" s="231" t="n">
        <v>47234</v>
      </c>
      <c r="I395" s="232" t="n">
        <v>47233</v>
      </c>
    </row>
    <row r="396" customFormat="false" ht="12.75" hidden="false" customHeight="false" outlineLevel="0" collapsed="false">
      <c r="A396" s="241"/>
      <c r="B396" s="241"/>
      <c r="C396" s="241"/>
      <c r="D396" s="241"/>
      <c r="E396" s="241"/>
      <c r="F396" s="241"/>
      <c r="G396" s="242" t="n">
        <v>47270</v>
      </c>
      <c r="H396" s="231" t="n">
        <v>47267</v>
      </c>
      <c r="I396" s="232" t="n">
        <v>47263</v>
      </c>
    </row>
    <row r="397" customFormat="false" ht="12.75" hidden="false" customHeight="false" outlineLevel="0" collapsed="false">
      <c r="A397" s="241"/>
      <c r="B397" s="241"/>
      <c r="C397" s="241"/>
      <c r="D397" s="241"/>
      <c r="E397" s="241"/>
      <c r="F397" s="241"/>
      <c r="G397" s="242" t="n">
        <v>47300</v>
      </c>
      <c r="H397" s="231" t="n">
        <v>47296</v>
      </c>
      <c r="I397" s="232" t="n">
        <v>47295</v>
      </c>
    </row>
    <row r="398" customFormat="false" ht="12.75" hidden="false" customHeight="false" outlineLevel="0" collapsed="false">
      <c r="A398" s="241"/>
      <c r="B398" s="241"/>
      <c r="C398" s="241"/>
      <c r="D398" s="241"/>
      <c r="E398" s="241"/>
      <c r="F398" s="241"/>
      <c r="G398" s="242" t="n">
        <v>47331</v>
      </c>
      <c r="H398" s="231" t="n">
        <v>47326</v>
      </c>
      <c r="I398" s="232" t="n">
        <v>47325</v>
      </c>
    </row>
    <row r="399" customFormat="false" ht="12.75" hidden="false" customHeight="false" outlineLevel="0" collapsed="false">
      <c r="A399" s="241"/>
      <c r="B399" s="241"/>
      <c r="C399" s="241"/>
      <c r="D399" s="241"/>
      <c r="E399" s="241"/>
      <c r="F399" s="241"/>
      <c r="G399" s="242" t="n">
        <v>47362</v>
      </c>
      <c r="H399" s="231" t="n">
        <v>47359</v>
      </c>
      <c r="I399" s="232" t="n">
        <v>47358</v>
      </c>
    </row>
    <row r="400" customFormat="false" ht="12.75" hidden="false" customHeight="false" outlineLevel="0" collapsed="false">
      <c r="A400" s="241"/>
      <c r="B400" s="241"/>
      <c r="C400" s="241"/>
      <c r="D400" s="241"/>
      <c r="E400" s="241"/>
      <c r="F400" s="241"/>
      <c r="G400" s="242" t="n">
        <v>47392</v>
      </c>
      <c r="H400" s="231" t="n">
        <v>47387</v>
      </c>
      <c r="I400" s="232" t="n">
        <v>47386</v>
      </c>
    </row>
    <row r="401" customFormat="false" ht="12.75" hidden="false" customHeight="false" outlineLevel="0" collapsed="false">
      <c r="A401" s="241"/>
      <c r="B401" s="241"/>
      <c r="C401" s="241"/>
      <c r="D401" s="241"/>
      <c r="E401" s="241"/>
      <c r="F401" s="241"/>
      <c r="G401" s="242" t="n">
        <v>47423</v>
      </c>
      <c r="H401" s="231" t="n">
        <v>47420</v>
      </c>
      <c r="I401" s="232" t="n">
        <v>47417</v>
      </c>
    </row>
    <row r="402" customFormat="false" ht="12.75" hidden="false" customHeight="false" outlineLevel="0" collapsed="false">
      <c r="A402" s="241"/>
      <c r="B402" s="241"/>
      <c r="C402" s="241"/>
      <c r="D402" s="241"/>
      <c r="E402" s="241"/>
      <c r="F402" s="241"/>
      <c r="G402" s="242" t="n">
        <v>47453</v>
      </c>
      <c r="H402" s="231" t="n">
        <v>47450</v>
      </c>
      <c r="I402" s="232" t="n">
        <v>47449</v>
      </c>
    </row>
    <row r="403" customFormat="false" ht="12.75" hidden="false" customHeight="false" outlineLevel="0" collapsed="false">
      <c r="A403" s="241"/>
      <c r="B403" s="241"/>
      <c r="C403" s="241"/>
      <c r="D403" s="241"/>
      <c r="E403" s="241"/>
      <c r="F403" s="241"/>
      <c r="G403" s="242" t="n">
        <v>47484</v>
      </c>
      <c r="H403" s="231" t="n">
        <v>47479</v>
      </c>
      <c r="I403" s="232" t="n">
        <v>47478</v>
      </c>
    </row>
    <row r="404" customFormat="false" ht="12.75" hidden="false" customHeight="false" outlineLevel="0" collapsed="false">
      <c r="A404" s="241"/>
      <c r="B404" s="241"/>
      <c r="C404" s="241"/>
      <c r="D404" s="241"/>
      <c r="E404" s="241"/>
      <c r="F404" s="241"/>
      <c r="G404" s="242" t="n">
        <v>47515</v>
      </c>
      <c r="H404" s="231" t="n">
        <v>47512</v>
      </c>
      <c r="I404" s="232" t="n">
        <v>47511</v>
      </c>
    </row>
    <row r="405" customFormat="false" ht="12.75" hidden="false" customHeight="false" outlineLevel="0" collapsed="false">
      <c r="A405" s="241"/>
      <c r="B405" s="241"/>
      <c r="C405" s="241"/>
      <c r="D405" s="241"/>
      <c r="E405" s="241"/>
      <c r="F405" s="241"/>
      <c r="G405" s="242" t="n">
        <v>47543</v>
      </c>
      <c r="H405" s="231" t="n">
        <v>47540</v>
      </c>
      <c r="I405" s="232" t="n">
        <v>47539</v>
      </c>
    </row>
    <row r="406" customFormat="false" ht="12.75" hidden="false" customHeight="false" outlineLevel="0" collapsed="false">
      <c r="A406" s="241"/>
      <c r="B406" s="241"/>
      <c r="C406" s="241"/>
      <c r="D406" s="241"/>
      <c r="E406" s="241"/>
      <c r="F406" s="241"/>
      <c r="G406" s="242" t="n">
        <v>47574</v>
      </c>
      <c r="H406" s="231" t="n">
        <v>47569</v>
      </c>
      <c r="I406" s="232" t="n">
        <v>47568</v>
      </c>
    </row>
    <row r="407" customFormat="false" ht="12.75" hidden="false" customHeight="false" outlineLevel="0" collapsed="false">
      <c r="A407" s="241"/>
      <c r="B407" s="241"/>
      <c r="C407" s="241"/>
      <c r="D407" s="241"/>
      <c r="E407" s="241"/>
      <c r="F407" s="241"/>
      <c r="G407" s="242" t="n">
        <v>47604</v>
      </c>
      <c r="H407" s="231" t="n">
        <v>47599</v>
      </c>
      <c r="I407" s="232" t="n">
        <v>47598</v>
      </c>
    </row>
    <row r="408" customFormat="false" ht="12.75" hidden="false" customHeight="false" outlineLevel="0" collapsed="false">
      <c r="A408" s="241"/>
      <c r="B408" s="241"/>
      <c r="C408" s="241"/>
      <c r="D408" s="241"/>
      <c r="E408" s="241"/>
      <c r="F408" s="241"/>
      <c r="G408" s="242" t="n">
        <v>47635</v>
      </c>
      <c r="H408" s="231" t="n">
        <v>47632</v>
      </c>
      <c r="I408" s="232" t="n">
        <v>47631</v>
      </c>
    </row>
    <row r="409" customFormat="false" ht="12.75" hidden="false" customHeight="false" outlineLevel="0" collapsed="false">
      <c r="A409" s="241"/>
      <c r="B409" s="241"/>
      <c r="C409" s="241"/>
      <c r="D409" s="241"/>
      <c r="E409" s="241"/>
      <c r="F409" s="241"/>
      <c r="G409" s="242" t="n">
        <v>47665</v>
      </c>
      <c r="H409" s="231" t="n">
        <v>47660</v>
      </c>
      <c r="I409" s="232" t="n">
        <v>47659</v>
      </c>
    </row>
    <row r="410" customFormat="false" ht="12.75" hidden="false" customHeight="false" outlineLevel="0" collapsed="false">
      <c r="A410" s="241"/>
      <c r="B410" s="241"/>
      <c r="C410" s="241"/>
      <c r="D410" s="241"/>
      <c r="E410" s="241"/>
      <c r="F410" s="241"/>
      <c r="G410" s="242" t="n">
        <v>47696</v>
      </c>
      <c r="H410" s="231" t="n">
        <v>47693</v>
      </c>
      <c r="I410" s="232" t="n">
        <v>47690</v>
      </c>
    </row>
    <row r="411" customFormat="false" ht="12.75" hidden="false" customHeight="false" outlineLevel="0" collapsed="false">
      <c r="A411" s="241"/>
      <c r="B411" s="241"/>
      <c r="C411" s="241"/>
      <c r="D411" s="241"/>
      <c r="E411" s="241"/>
      <c r="F411" s="241"/>
      <c r="G411" s="242" t="n">
        <v>47727</v>
      </c>
      <c r="H411" s="231" t="n">
        <v>47723</v>
      </c>
      <c r="I411" s="232" t="n">
        <v>47722</v>
      </c>
    </row>
    <row r="412" customFormat="false" ht="12.75" hidden="false" customHeight="false" outlineLevel="0" collapsed="false">
      <c r="A412" s="241"/>
      <c r="B412" s="241"/>
      <c r="C412" s="241"/>
      <c r="D412" s="241"/>
      <c r="E412" s="241"/>
      <c r="F412" s="241"/>
      <c r="G412" s="242" t="n">
        <v>47757</v>
      </c>
      <c r="H412" s="231" t="n">
        <v>47752</v>
      </c>
      <c r="I412" s="232" t="n">
        <v>47751</v>
      </c>
    </row>
    <row r="413" customFormat="false" ht="12.75" hidden="false" customHeight="false" outlineLevel="0" collapsed="false">
      <c r="A413" s="241"/>
      <c r="B413" s="241"/>
      <c r="C413" s="241"/>
      <c r="D413" s="241"/>
      <c r="E413" s="241"/>
      <c r="F413" s="241"/>
      <c r="G413" s="242" t="n">
        <v>47788</v>
      </c>
      <c r="H413" s="231" t="n">
        <v>47785</v>
      </c>
      <c r="I413" s="232" t="n">
        <v>47784</v>
      </c>
    </row>
    <row r="414" customFormat="false" ht="13.5" hidden="false" customHeight="false" outlineLevel="0" collapsed="false">
      <c r="A414" s="241"/>
      <c r="B414" s="241"/>
      <c r="C414" s="241"/>
      <c r="D414" s="241"/>
      <c r="E414" s="241"/>
      <c r="F414" s="241"/>
      <c r="G414" s="243" t="n">
        <v>47818</v>
      </c>
      <c r="H414" s="244" t="n">
        <v>47813</v>
      </c>
      <c r="I414" s="245" t="n">
        <v>47812</v>
      </c>
    </row>
    <row r="415" customFormat="false" ht="11.25" hidden="false" customHeight="false" outlineLevel="0" collapsed="false">
      <c r="A415" s="246"/>
      <c r="B415" s="246"/>
      <c r="C415" s="246"/>
      <c r="D415" s="246"/>
      <c r="E415" s="246"/>
      <c r="F415" s="246"/>
    </row>
    <row r="416" customFormat="false" ht="11.25" hidden="false" customHeight="false" outlineLevel="0" collapsed="false">
      <c r="A416" s="246"/>
      <c r="B416" s="246"/>
      <c r="C416" s="246"/>
      <c r="D416" s="246"/>
      <c r="E416" s="246"/>
      <c r="F416" s="246"/>
    </row>
    <row r="417" customFormat="false" ht="11.25" hidden="false" customHeight="false" outlineLevel="0" collapsed="false">
      <c r="A417" s="246"/>
      <c r="B417" s="246"/>
      <c r="C417" s="246"/>
      <c r="D417" s="246"/>
      <c r="E417" s="246"/>
      <c r="F417" s="246"/>
    </row>
    <row r="418" customFormat="false" ht="11.25" hidden="false" customHeight="false" outlineLevel="0" collapsed="false">
      <c r="A418" s="246"/>
      <c r="B418" s="246"/>
      <c r="C418" s="246"/>
      <c r="D418" s="246"/>
      <c r="E418" s="246"/>
      <c r="F418" s="246"/>
    </row>
    <row r="419" customFormat="false" ht="11.25" hidden="false" customHeight="false" outlineLevel="0" collapsed="false">
      <c r="A419" s="246"/>
      <c r="B419" s="246"/>
      <c r="C419" s="246"/>
      <c r="D419" s="246"/>
      <c r="E419" s="246"/>
      <c r="F419" s="246"/>
    </row>
    <row r="420" customFormat="false" ht="11.25" hidden="false" customHeight="false" outlineLevel="0" collapsed="false">
      <c r="A420" s="246"/>
      <c r="B420" s="246"/>
      <c r="C420" s="246"/>
      <c r="D420" s="246"/>
      <c r="E420" s="246"/>
      <c r="F420" s="246"/>
    </row>
    <row r="421" customFormat="false" ht="11.25" hidden="false" customHeight="false" outlineLevel="0" collapsed="false">
      <c r="A421" s="246"/>
      <c r="B421" s="246"/>
      <c r="C421" s="246"/>
      <c r="D421" s="246"/>
      <c r="E421" s="246"/>
      <c r="F421" s="246"/>
    </row>
    <row r="422" customFormat="false" ht="11.25" hidden="false" customHeight="false" outlineLevel="0" collapsed="false">
      <c r="A422" s="246"/>
      <c r="B422" s="246"/>
      <c r="C422" s="246"/>
      <c r="D422" s="246"/>
      <c r="E422" s="246"/>
      <c r="F422" s="246"/>
    </row>
    <row r="423" customFormat="false" ht="11.25" hidden="false" customHeight="false" outlineLevel="0" collapsed="false">
      <c r="A423" s="246"/>
      <c r="B423" s="246"/>
      <c r="C423" s="246"/>
      <c r="D423" s="246"/>
      <c r="E423" s="246"/>
      <c r="F423" s="246"/>
    </row>
    <row r="424" customFormat="false" ht="11.25" hidden="false" customHeight="false" outlineLevel="0" collapsed="false">
      <c r="A424" s="246"/>
      <c r="B424" s="246"/>
      <c r="C424" s="246"/>
      <c r="D424" s="246"/>
      <c r="E424" s="246"/>
      <c r="F424" s="246"/>
    </row>
    <row r="425" customFormat="false" ht="11.25" hidden="false" customHeight="false" outlineLevel="0" collapsed="false">
      <c r="A425" s="246"/>
      <c r="B425" s="246"/>
      <c r="C425" s="246"/>
      <c r="D425" s="246"/>
      <c r="E425" s="246"/>
      <c r="F425" s="246"/>
    </row>
    <row r="426" customFormat="false" ht="11.25" hidden="false" customHeight="false" outlineLevel="0" collapsed="false">
      <c r="A426" s="246"/>
      <c r="B426" s="246"/>
      <c r="C426" s="246"/>
      <c r="D426" s="246"/>
      <c r="E426" s="246"/>
      <c r="F426" s="246"/>
    </row>
    <row r="427" customFormat="false" ht="11.25" hidden="false" customHeight="false" outlineLevel="0" collapsed="false">
      <c r="A427" s="246"/>
      <c r="B427" s="246"/>
      <c r="C427" s="246"/>
      <c r="D427" s="246"/>
      <c r="E427" s="246"/>
      <c r="F427" s="246"/>
    </row>
    <row r="428" customFormat="false" ht="11.25" hidden="false" customHeight="false" outlineLevel="0" collapsed="false">
      <c r="A428" s="246"/>
      <c r="B428" s="246"/>
      <c r="C428" s="246"/>
      <c r="D428" s="246"/>
      <c r="E428" s="246"/>
      <c r="F428" s="246"/>
    </row>
    <row r="429" customFormat="false" ht="11.25" hidden="false" customHeight="false" outlineLevel="0" collapsed="false">
      <c r="A429" s="246"/>
      <c r="B429" s="246"/>
      <c r="C429" s="246"/>
      <c r="D429" s="246"/>
      <c r="E429" s="246"/>
      <c r="F429" s="246"/>
    </row>
    <row r="430" customFormat="false" ht="11.25" hidden="false" customHeight="false" outlineLevel="0" collapsed="false">
      <c r="A430" s="246"/>
      <c r="B430" s="246"/>
      <c r="C430" s="246"/>
      <c r="D430" s="246"/>
      <c r="E430" s="246"/>
      <c r="F430" s="246"/>
    </row>
    <row r="431" customFormat="false" ht="11.25" hidden="false" customHeight="false" outlineLevel="0" collapsed="false">
      <c r="A431" s="246"/>
      <c r="B431" s="246"/>
      <c r="C431" s="246"/>
      <c r="D431" s="246"/>
      <c r="E431" s="246"/>
      <c r="F431" s="246"/>
    </row>
    <row r="432" customFormat="false" ht="11.25" hidden="false" customHeight="false" outlineLevel="0" collapsed="false">
      <c r="A432" s="246"/>
      <c r="B432" s="246"/>
      <c r="C432" s="246"/>
      <c r="D432" s="246"/>
      <c r="E432" s="246"/>
      <c r="F432" s="246"/>
    </row>
    <row r="433" customFormat="false" ht="11.25" hidden="false" customHeight="false" outlineLevel="0" collapsed="false">
      <c r="A433" s="246"/>
      <c r="B433" s="246"/>
      <c r="C433" s="246"/>
      <c r="D433" s="246"/>
      <c r="E433" s="246"/>
      <c r="F433" s="246"/>
    </row>
    <row r="434" customFormat="false" ht="11.25" hidden="false" customHeight="false" outlineLevel="0" collapsed="false">
      <c r="A434" s="246"/>
      <c r="B434" s="246"/>
      <c r="C434" s="246"/>
      <c r="D434" s="246"/>
      <c r="E434" s="246"/>
      <c r="F434" s="246"/>
    </row>
    <row r="435" customFormat="false" ht="11.25" hidden="false" customHeight="false" outlineLevel="0" collapsed="false">
      <c r="A435" s="246"/>
      <c r="B435" s="246"/>
      <c r="C435" s="246"/>
      <c r="D435" s="246"/>
      <c r="E435" s="246"/>
      <c r="F435" s="246"/>
    </row>
    <row r="436" customFormat="false" ht="11.25" hidden="false" customHeight="false" outlineLevel="0" collapsed="false">
      <c r="A436" s="246"/>
      <c r="B436" s="246"/>
      <c r="C436" s="246"/>
      <c r="D436" s="246"/>
      <c r="E436" s="246"/>
      <c r="F436" s="246"/>
    </row>
    <row r="437" customFormat="false" ht="11.25" hidden="false" customHeight="false" outlineLevel="0" collapsed="false">
      <c r="A437" s="246"/>
      <c r="B437" s="246"/>
      <c r="C437" s="246"/>
      <c r="D437" s="246"/>
      <c r="E437" s="246"/>
      <c r="F437" s="246"/>
    </row>
    <row r="438" customFormat="false" ht="11.25" hidden="false" customHeight="false" outlineLevel="0" collapsed="false">
      <c r="A438" s="246"/>
      <c r="B438" s="246"/>
      <c r="C438" s="246"/>
      <c r="D438" s="246"/>
      <c r="E438" s="246"/>
      <c r="F438" s="246"/>
    </row>
    <row r="439" customFormat="false" ht="11.25" hidden="false" customHeight="false" outlineLevel="0" collapsed="false">
      <c r="A439" s="246"/>
      <c r="B439" s="246"/>
      <c r="C439" s="246"/>
      <c r="D439" s="246"/>
      <c r="E439" s="246"/>
      <c r="F439" s="246"/>
    </row>
    <row r="440" customFormat="false" ht="11.25" hidden="false" customHeight="false" outlineLevel="0" collapsed="false">
      <c r="A440" s="246"/>
      <c r="B440" s="246"/>
      <c r="C440" s="246"/>
      <c r="D440" s="246"/>
      <c r="E440" s="246"/>
      <c r="F440" s="246"/>
    </row>
    <row r="441" customFormat="false" ht="11.25" hidden="false" customHeight="false" outlineLevel="0" collapsed="false">
      <c r="A441" s="246"/>
      <c r="B441" s="246"/>
      <c r="C441" s="246"/>
      <c r="D441" s="246"/>
      <c r="E441" s="246"/>
      <c r="F441" s="246"/>
    </row>
    <row r="442" customFormat="false" ht="11.25" hidden="false" customHeight="false" outlineLevel="0" collapsed="false">
      <c r="A442" s="246"/>
      <c r="B442" s="246"/>
      <c r="C442" s="246"/>
      <c r="D442" s="246"/>
      <c r="E442" s="246"/>
      <c r="F442" s="246"/>
    </row>
    <row r="443" customFormat="false" ht="11.25" hidden="false" customHeight="false" outlineLevel="0" collapsed="false">
      <c r="A443" s="246"/>
      <c r="B443" s="246"/>
      <c r="C443" s="246"/>
      <c r="D443" s="246"/>
      <c r="E443" s="246"/>
      <c r="F443" s="246"/>
    </row>
    <row r="444" customFormat="false" ht="11.25" hidden="false" customHeight="false" outlineLevel="0" collapsed="false">
      <c r="A444" s="246"/>
      <c r="B444" s="246"/>
      <c r="C444" s="246"/>
      <c r="D444" s="246"/>
      <c r="E444" s="246"/>
      <c r="F444" s="246"/>
    </row>
    <row r="445" customFormat="false" ht="11.25" hidden="false" customHeight="false" outlineLevel="0" collapsed="false">
      <c r="A445" s="246"/>
      <c r="B445" s="246"/>
      <c r="C445" s="246"/>
      <c r="D445" s="246"/>
      <c r="E445" s="246"/>
      <c r="F445" s="246"/>
    </row>
    <row r="446" customFormat="false" ht="11.25" hidden="false" customHeight="false" outlineLevel="0" collapsed="false">
      <c r="A446" s="246"/>
      <c r="B446" s="246"/>
      <c r="C446" s="246"/>
      <c r="D446" s="246"/>
      <c r="E446" s="246"/>
      <c r="F446" s="246"/>
    </row>
    <row r="447" customFormat="false" ht="11.25" hidden="false" customHeight="false" outlineLevel="0" collapsed="false">
      <c r="A447" s="246"/>
      <c r="B447" s="246"/>
      <c r="C447" s="246"/>
      <c r="D447" s="246"/>
      <c r="E447" s="246"/>
      <c r="F447" s="246"/>
    </row>
    <row r="448" customFormat="false" ht="11.25" hidden="false" customHeight="false" outlineLevel="0" collapsed="false">
      <c r="A448" s="246"/>
      <c r="B448" s="246"/>
      <c r="C448" s="246"/>
      <c r="D448" s="246"/>
      <c r="E448" s="246"/>
      <c r="F448" s="246"/>
    </row>
    <row r="449" customFormat="false" ht="11.25" hidden="false" customHeight="false" outlineLevel="0" collapsed="false">
      <c r="A449" s="246"/>
      <c r="B449" s="246"/>
      <c r="C449" s="246"/>
      <c r="D449" s="246"/>
      <c r="E449" s="246"/>
      <c r="F449" s="246"/>
    </row>
    <row r="450" customFormat="false" ht="11.25" hidden="false" customHeight="false" outlineLevel="0" collapsed="false">
      <c r="A450" s="246"/>
      <c r="B450" s="246"/>
      <c r="C450" s="246"/>
      <c r="D450" s="246"/>
      <c r="E450" s="246"/>
      <c r="F450" s="246"/>
    </row>
    <row r="451" customFormat="false" ht="11.25" hidden="false" customHeight="false" outlineLevel="0" collapsed="false">
      <c r="A451" s="246"/>
      <c r="B451" s="246"/>
      <c r="C451" s="246"/>
      <c r="D451" s="246"/>
      <c r="E451" s="246"/>
      <c r="F451" s="246"/>
    </row>
    <row r="452" customFormat="false" ht="11.25" hidden="false" customHeight="false" outlineLevel="0" collapsed="false">
      <c r="A452" s="246"/>
      <c r="B452" s="246"/>
      <c r="C452" s="246"/>
      <c r="D452" s="246"/>
      <c r="E452" s="246"/>
      <c r="F452" s="246"/>
    </row>
    <row r="453" customFormat="false" ht="11.25" hidden="false" customHeight="false" outlineLevel="0" collapsed="false">
      <c r="A453" s="246"/>
      <c r="B453" s="246"/>
      <c r="C453" s="246"/>
      <c r="D453" s="246"/>
      <c r="E453" s="246"/>
      <c r="F453" s="246"/>
    </row>
    <row r="454" customFormat="false" ht="11.25" hidden="false" customHeight="false" outlineLevel="0" collapsed="false">
      <c r="A454" s="246"/>
      <c r="B454" s="246"/>
      <c r="C454" s="246"/>
      <c r="D454" s="246"/>
      <c r="E454" s="246"/>
      <c r="F454" s="246"/>
    </row>
    <row r="455" customFormat="false" ht="11.25" hidden="false" customHeight="false" outlineLevel="0" collapsed="false">
      <c r="A455" s="246"/>
      <c r="B455" s="246"/>
      <c r="C455" s="246"/>
      <c r="D455" s="246"/>
      <c r="E455" s="246"/>
      <c r="F455" s="246"/>
    </row>
    <row r="456" customFormat="false" ht="11.25" hidden="false" customHeight="false" outlineLevel="0" collapsed="false">
      <c r="A456" s="246"/>
      <c r="B456" s="246"/>
      <c r="C456" s="246"/>
      <c r="D456" s="246"/>
      <c r="E456" s="246"/>
      <c r="F456" s="246"/>
    </row>
    <row r="457" customFormat="false" ht="11.25" hidden="false" customHeight="false" outlineLevel="0" collapsed="false">
      <c r="A457" s="246"/>
      <c r="B457" s="246"/>
      <c r="C457" s="246"/>
      <c r="D457" s="246"/>
      <c r="E457" s="246"/>
      <c r="F457" s="246"/>
    </row>
    <row r="458" customFormat="false" ht="11.25" hidden="false" customHeight="false" outlineLevel="0" collapsed="false">
      <c r="A458" s="246"/>
      <c r="B458" s="246"/>
      <c r="C458" s="246"/>
      <c r="D458" s="246"/>
      <c r="E458" s="246"/>
      <c r="F458" s="246"/>
    </row>
    <row r="459" customFormat="false" ht="11.25" hidden="false" customHeight="false" outlineLevel="0" collapsed="false">
      <c r="A459" s="246"/>
      <c r="B459" s="246"/>
      <c r="C459" s="246"/>
      <c r="D459" s="246"/>
      <c r="E459" s="246"/>
      <c r="F459" s="246"/>
    </row>
    <row r="460" customFormat="false" ht="11.25" hidden="false" customHeight="false" outlineLevel="0" collapsed="false">
      <c r="A460" s="246"/>
      <c r="B460" s="246"/>
      <c r="C460" s="246"/>
      <c r="D460" s="246"/>
      <c r="E460" s="246"/>
      <c r="F460" s="246"/>
    </row>
    <row r="461" customFormat="false" ht="11.25" hidden="false" customHeight="false" outlineLevel="0" collapsed="false">
      <c r="A461" s="246"/>
      <c r="B461" s="246"/>
      <c r="C461" s="246"/>
      <c r="D461" s="246"/>
      <c r="E461" s="246"/>
      <c r="F461" s="246"/>
    </row>
    <row r="462" customFormat="false" ht="11.25" hidden="false" customHeight="false" outlineLevel="0" collapsed="false">
      <c r="A462" s="246"/>
      <c r="B462" s="246"/>
      <c r="C462" s="246"/>
      <c r="D462" s="246"/>
      <c r="E462" s="246"/>
      <c r="F462" s="246"/>
    </row>
    <row r="463" customFormat="false" ht="11.25" hidden="false" customHeight="false" outlineLevel="0" collapsed="false">
      <c r="A463" s="246"/>
      <c r="B463" s="246"/>
      <c r="C463" s="246"/>
      <c r="D463" s="246"/>
      <c r="E463" s="246"/>
      <c r="F463" s="246"/>
    </row>
    <row r="464" customFormat="false" ht="11.25" hidden="false" customHeight="false" outlineLevel="0" collapsed="false">
      <c r="A464" s="246"/>
      <c r="B464" s="246"/>
      <c r="C464" s="246"/>
      <c r="D464" s="246"/>
      <c r="E464" s="246"/>
      <c r="F464" s="246"/>
    </row>
    <row r="465" customFormat="false" ht="11.25" hidden="false" customHeight="false" outlineLevel="0" collapsed="false">
      <c r="A465" s="246"/>
      <c r="B465" s="246"/>
      <c r="C465" s="246"/>
      <c r="D465" s="246"/>
      <c r="E465" s="246"/>
      <c r="F465" s="246"/>
    </row>
    <row r="466" customFormat="false" ht="11.25" hidden="false" customHeight="false" outlineLevel="0" collapsed="false">
      <c r="A466" s="246"/>
      <c r="B466" s="246"/>
      <c r="C466" s="246"/>
      <c r="D466" s="246"/>
      <c r="E466" s="246"/>
      <c r="F466" s="246"/>
    </row>
    <row r="467" customFormat="false" ht="11.25" hidden="false" customHeight="false" outlineLevel="0" collapsed="false">
      <c r="A467" s="246"/>
      <c r="B467" s="246"/>
      <c r="C467" s="246"/>
      <c r="D467" s="246"/>
      <c r="E467" s="246"/>
      <c r="F467" s="246"/>
    </row>
    <row r="468" customFormat="false" ht="11.25" hidden="false" customHeight="false" outlineLevel="0" collapsed="false">
      <c r="A468" s="246"/>
      <c r="B468" s="246"/>
      <c r="C468" s="246"/>
      <c r="D468" s="246"/>
      <c r="E468" s="246"/>
      <c r="F468" s="246"/>
    </row>
    <row r="469" customFormat="false" ht="11.25" hidden="false" customHeight="false" outlineLevel="0" collapsed="false">
      <c r="A469" s="246"/>
      <c r="B469" s="246"/>
      <c r="C469" s="246"/>
      <c r="D469" s="246"/>
      <c r="E469" s="246"/>
      <c r="F469" s="246"/>
    </row>
    <row r="470" customFormat="false" ht="11.25" hidden="false" customHeight="false" outlineLevel="0" collapsed="false">
      <c r="A470" s="246"/>
      <c r="B470" s="246"/>
      <c r="C470" s="246"/>
      <c r="D470" s="246"/>
      <c r="E470" s="246"/>
      <c r="F470" s="246"/>
    </row>
    <row r="471" customFormat="false" ht="11.25" hidden="false" customHeight="false" outlineLevel="0" collapsed="false">
      <c r="A471" s="246"/>
      <c r="B471" s="246"/>
      <c r="C471" s="246"/>
      <c r="D471" s="246"/>
      <c r="E471" s="246"/>
      <c r="F471" s="246"/>
    </row>
    <row r="472" customFormat="false" ht="11.25" hidden="false" customHeight="false" outlineLevel="0" collapsed="false">
      <c r="A472" s="246"/>
      <c r="B472" s="246"/>
      <c r="C472" s="246"/>
      <c r="D472" s="246"/>
      <c r="E472" s="246"/>
      <c r="F472" s="246"/>
    </row>
    <row r="473" customFormat="false" ht="11.25" hidden="false" customHeight="false" outlineLevel="0" collapsed="false">
      <c r="A473" s="246"/>
      <c r="B473" s="246"/>
      <c r="C473" s="246"/>
      <c r="D473" s="246"/>
      <c r="E473" s="246"/>
      <c r="F473" s="246"/>
    </row>
    <row r="474" customFormat="false" ht="11.25" hidden="false" customHeight="false" outlineLevel="0" collapsed="false">
      <c r="A474" s="246"/>
      <c r="B474" s="246"/>
      <c r="C474" s="246"/>
      <c r="D474" s="246"/>
      <c r="E474" s="246"/>
      <c r="F474" s="246"/>
    </row>
    <row r="475" customFormat="false" ht="11.25" hidden="false" customHeight="false" outlineLevel="0" collapsed="false">
      <c r="A475" s="246"/>
      <c r="B475" s="246"/>
      <c r="C475" s="246"/>
      <c r="D475" s="246"/>
      <c r="E475" s="246"/>
      <c r="F475" s="246"/>
    </row>
    <row r="476" customFormat="false" ht="11.25" hidden="false" customHeight="false" outlineLevel="0" collapsed="false">
      <c r="A476" s="246"/>
      <c r="B476" s="246"/>
      <c r="C476" s="246"/>
      <c r="D476" s="246"/>
      <c r="E476" s="246"/>
      <c r="F476" s="246"/>
    </row>
    <row r="477" customFormat="false" ht="11.25" hidden="false" customHeight="false" outlineLevel="0" collapsed="false">
      <c r="A477" s="246"/>
      <c r="B477" s="246"/>
      <c r="C477" s="246"/>
      <c r="D477" s="246"/>
      <c r="E477" s="246"/>
      <c r="F477" s="246"/>
    </row>
    <row r="478" customFormat="false" ht="11.25" hidden="false" customHeight="false" outlineLevel="0" collapsed="false">
      <c r="A478" s="246"/>
      <c r="B478" s="246"/>
      <c r="C478" s="246"/>
      <c r="D478" s="246"/>
      <c r="E478" s="246"/>
      <c r="F478" s="246"/>
    </row>
    <row r="479" customFormat="false" ht="11.25" hidden="false" customHeight="false" outlineLevel="0" collapsed="false">
      <c r="A479" s="246"/>
      <c r="B479" s="246"/>
      <c r="C479" s="246"/>
      <c r="D479" s="246"/>
      <c r="E479" s="246"/>
      <c r="F479" s="246"/>
    </row>
    <row r="480" customFormat="false" ht="11.25" hidden="false" customHeight="false" outlineLevel="0" collapsed="false">
      <c r="A480" s="246"/>
      <c r="B480" s="246"/>
      <c r="C480" s="246"/>
      <c r="D480" s="246"/>
      <c r="E480" s="246"/>
      <c r="F480" s="246"/>
    </row>
    <row r="481" customFormat="false" ht="11.25" hidden="false" customHeight="false" outlineLevel="0" collapsed="false">
      <c r="A481" s="246"/>
      <c r="B481" s="246"/>
      <c r="C481" s="246"/>
      <c r="D481" s="246"/>
      <c r="E481" s="246"/>
      <c r="F481" s="246"/>
    </row>
    <row r="482" customFormat="false" ht="11.25" hidden="false" customHeight="false" outlineLevel="0" collapsed="false">
      <c r="A482" s="246"/>
      <c r="B482" s="246"/>
      <c r="C482" s="246"/>
      <c r="D482" s="246"/>
      <c r="E482" s="246"/>
      <c r="F482" s="246"/>
    </row>
    <row r="483" customFormat="false" ht="11.25" hidden="false" customHeight="false" outlineLevel="0" collapsed="false">
      <c r="A483" s="246"/>
      <c r="B483" s="246"/>
      <c r="C483" s="246"/>
      <c r="D483" s="246"/>
      <c r="E483" s="246"/>
      <c r="F483" s="246"/>
    </row>
    <row r="484" customFormat="false" ht="11.25" hidden="false" customHeight="false" outlineLevel="0" collapsed="false">
      <c r="A484" s="246"/>
      <c r="B484" s="246"/>
      <c r="C484" s="246"/>
      <c r="D484" s="246"/>
      <c r="E484" s="246"/>
      <c r="F484" s="246"/>
    </row>
    <row r="485" customFormat="false" ht="11.25" hidden="false" customHeight="false" outlineLevel="0" collapsed="false">
      <c r="A485" s="246"/>
      <c r="B485" s="246"/>
      <c r="C485" s="246"/>
      <c r="D485" s="246"/>
      <c r="E485" s="246"/>
      <c r="F485" s="246"/>
    </row>
    <row r="486" customFormat="false" ht="11.25" hidden="false" customHeight="false" outlineLevel="0" collapsed="false">
      <c r="A486" s="246"/>
      <c r="B486" s="246"/>
      <c r="C486" s="246"/>
      <c r="D486" s="246"/>
      <c r="E486" s="246"/>
      <c r="F486" s="246"/>
    </row>
    <row r="487" customFormat="false" ht="11.25" hidden="false" customHeight="false" outlineLevel="0" collapsed="false">
      <c r="A487" s="246"/>
      <c r="B487" s="246"/>
      <c r="C487" s="246"/>
      <c r="D487" s="246"/>
      <c r="E487" s="246"/>
      <c r="F487" s="246"/>
    </row>
    <row r="488" customFormat="false" ht="11.25" hidden="false" customHeight="false" outlineLevel="0" collapsed="false">
      <c r="A488" s="246"/>
      <c r="B488" s="246"/>
      <c r="C488" s="246"/>
      <c r="D488" s="246"/>
      <c r="E488" s="246"/>
      <c r="F488" s="246"/>
    </row>
    <row r="489" customFormat="false" ht="11.25" hidden="false" customHeight="false" outlineLevel="0" collapsed="false">
      <c r="A489" s="246"/>
      <c r="B489" s="246"/>
      <c r="C489" s="246"/>
      <c r="D489" s="246"/>
      <c r="E489" s="246"/>
      <c r="F489" s="246"/>
    </row>
    <row r="490" customFormat="false" ht="11.25" hidden="false" customHeight="false" outlineLevel="0" collapsed="false">
      <c r="A490" s="246"/>
      <c r="B490" s="246"/>
      <c r="C490" s="246"/>
      <c r="D490" s="246"/>
      <c r="E490" s="246"/>
      <c r="F490" s="246"/>
    </row>
    <row r="491" customFormat="false" ht="11.25" hidden="false" customHeight="false" outlineLevel="0" collapsed="false">
      <c r="A491" s="246"/>
      <c r="B491" s="246"/>
      <c r="C491" s="246"/>
      <c r="D491" s="246"/>
      <c r="E491" s="246"/>
      <c r="F491" s="246"/>
    </row>
    <row r="492" customFormat="false" ht="11.25" hidden="false" customHeight="false" outlineLevel="0" collapsed="false">
      <c r="A492" s="246"/>
      <c r="B492" s="246"/>
      <c r="C492" s="246"/>
      <c r="D492" s="246"/>
      <c r="E492" s="246"/>
      <c r="F492" s="246"/>
    </row>
    <row r="493" customFormat="false" ht="11.25" hidden="false" customHeight="false" outlineLevel="0" collapsed="false">
      <c r="A493" s="246"/>
      <c r="B493" s="246"/>
      <c r="C493" s="246"/>
      <c r="D493" s="246"/>
      <c r="E493" s="246"/>
      <c r="F493" s="246"/>
    </row>
    <row r="494" customFormat="false" ht="11.25" hidden="false" customHeight="false" outlineLevel="0" collapsed="false">
      <c r="A494" s="246"/>
      <c r="B494" s="246"/>
      <c r="C494" s="246"/>
      <c r="D494" s="246"/>
      <c r="E494" s="246"/>
      <c r="F494" s="246"/>
    </row>
    <row r="495" customFormat="false" ht="11.25" hidden="false" customHeight="false" outlineLevel="0" collapsed="false">
      <c r="A495" s="246"/>
      <c r="B495" s="246"/>
      <c r="C495" s="246"/>
      <c r="D495" s="246"/>
      <c r="E495" s="246"/>
      <c r="F495" s="246"/>
    </row>
    <row r="496" customFormat="false" ht="11.25" hidden="false" customHeight="false" outlineLevel="0" collapsed="false">
      <c r="A496" s="246"/>
      <c r="B496" s="246"/>
      <c r="C496" s="246"/>
      <c r="D496" s="246"/>
      <c r="E496" s="246"/>
      <c r="F496" s="246"/>
    </row>
    <row r="497" customFormat="false" ht="11.25" hidden="false" customHeight="false" outlineLevel="0" collapsed="false">
      <c r="A497" s="246"/>
      <c r="B497" s="246"/>
      <c r="C497" s="246"/>
      <c r="D497" s="246"/>
      <c r="E497" s="246"/>
      <c r="F497" s="246"/>
    </row>
    <row r="498" customFormat="false" ht="11.25" hidden="false" customHeight="false" outlineLevel="0" collapsed="false">
      <c r="A498" s="246"/>
      <c r="B498" s="246"/>
      <c r="C498" s="246"/>
      <c r="D498" s="246"/>
      <c r="E498" s="246"/>
      <c r="F498" s="246"/>
    </row>
    <row r="499" customFormat="false" ht="11.25" hidden="false" customHeight="false" outlineLevel="0" collapsed="false">
      <c r="A499" s="246"/>
      <c r="B499" s="246"/>
      <c r="C499" s="246"/>
      <c r="D499" s="246"/>
      <c r="E499" s="246"/>
      <c r="F499" s="246"/>
    </row>
    <row r="500" customFormat="false" ht="11.25" hidden="false" customHeight="false" outlineLevel="0" collapsed="false">
      <c r="A500" s="246"/>
      <c r="B500" s="246"/>
      <c r="C500" s="246"/>
      <c r="D500" s="246"/>
      <c r="E500" s="246"/>
      <c r="F500" s="246"/>
    </row>
    <row r="501" customFormat="false" ht="11.25" hidden="false" customHeight="false" outlineLevel="0" collapsed="false">
      <c r="A501" s="246"/>
      <c r="B501" s="246"/>
      <c r="C501" s="246"/>
      <c r="D501" s="246"/>
      <c r="E501" s="246"/>
      <c r="F501" s="246"/>
    </row>
    <row r="502" customFormat="false" ht="11.25" hidden="false" customHeight="false" outlineLevel="0" collapsed="false">
      <c r="A502" s="246"/>
      <c r="B502" s="246"/>
      <c r="C502" s="246"/>
      <c r="D502" s="246"/>
      <c r="E502" s="246"/>
      <c r="F502" s="246"/>
    </row>
    <row r="503" customFormat="false" ht="11.25" hidden="false" customHeight="false" outlineLevel="0" collapsed="false">
      <c r="A503" s="246"/>
      <c r="B503" s="246"/>
      <c r="C503" s="246"/>
      <c r="D503" s="246"/>
      <c r="E503" s="246"/>
      <c r="F503" s="246"/>
    </row>
    <row r="504" customFormat="false" ht="11.25" hidden="false" customHeight="false" outlineLevel="0" collapsed="false">
      <c r="A504" s="246"/>
      <c r="B504" s="246"/>
      <c r="C504" s="246"/>
      <c r="D504" s="246"/>
      <c r="E504" s="246"/>
      <c r="F504" s="246"/>
    </row>
    <row r="505" customFormat="false" ht="11.25" hidden="false" customHeight="false" outlineLevel="0" collapsed="false">
      <c r="A505" s="246"/>
      <c r="B505" s="246"/>
      <c r="C505" s="246"/>
      <c r="D505" s="246"/>
      <c r="E505" s="246"/>
      <c r="F505" s="246"/>
    </row>
    <row r="506" customFormat="false" ht="11.25" hidden="false" customHeight="false" outlineLevel="0" collapsed="false">
      <c r="A506" s="246"/>
      <c r="B506" s="246"/>
      <c r="C506" s="246"/>
      <c r="D506" s="246"/>
      <c r="E506" s="246"/>
      <c r="F506" s="246"/>
    </row>
    <row r="507" customFormat="false" ht="11.25" hidden="false" customHeight="false" outlineLevel="0" collapsed="false">
      <c r="A507" s="246"/>
      <c r="B507" s="246"/>
      <c r="C507" s="246"/>
      <c r="D507" s="246"/>
      <c r="E507" s="246"/>
      <c r="F507" s="246"/>
    </row>
    <row r="508" customFormat="false" ht="11.25" hidden="false" customHeight="false" outlineLevel="0" collapsed="false">
      <c r="A508" s="246"/>
      <c r="B508" s="246"/>
      <c r="C508" s="246"/>
      <c r="D508" s="246"/>
      <c r="E508" s="246"/>
      <c r="F508" s="246"/>
    </row>
    <row r="509" customFormat="false" ht="11.25" hidden="false" customHeight="false" outlineLevel="0" collapsed="false">
      <c r="A509" s="246"/>
      <c r="B509" s="246"/>
      <c r="C509" s="246"/>
      <c r="D509" s="246"/>
      <c r="E509" s="246"/>
      <c r="F509" s="246"/>
    </row>
    <row r="510" customFormat="false" ht="11.25" hidden="false" customHeight="false" outlineLevel="0" collapsed="false">
      <c r="A510" s="246"/>
      <c r="B510" s="246"/>
      <c r="C510" s="246"/>
      <c r="D510" s="246"/>
      <c r="E510" s="246"/>
      <c r="F510" s="246"/>
    </row>
    <row r="511" customFormat="false" ht="11.25" hidden="false" customHeight="false" outlineLevel="0" collapsed="false">
      <c r="A511" s="246"/>
      <c r="B511" s="246"/>
      <c r="C511" s="246"/>
      <c r="D511" s="246"/>
      <c r="E511" s="246"/>
      <c r="F511" s="246"/>
    </row>
    <row r="512" customFormat="false" ht="11.25" hidden="false" customHeight="false" outlineLevel="0" collapsed="false">
      <c r="A512" s="246"/>
      <c r="B512" s="246"/>
      <c r="C512" s="246"/>
      <c r="D512" s="246"/>
      <c r="E512" s="246"/>
      <c r="F512" s="246"/>
    </row>
    <row r="513" customFormat="false" ht="11.25" hidden="false" customHeight="false" outlineLevel="0" collapsed="false">
      <c r="A513" s="246"/>
      <c r="B513" s="246"/>
      <c r="C513" s="246"/>
      <c r="D513" s="246"/>
      <c r="E513" s="246"/>
      <c r="F513" s="246"/>
    </row>
    <row r="514" customFormat="false" ht="11.25" hidden="false" customHeight="false" outlineLevel="0" collapsed="false">
      <c r="A514" s="246"/>
      <c r="B514" s="246"/>
      <c r="C514" s="246"/>
      <c r="D514" s="246"/>
      <c r="E514" s="246"/>
      <c r="F514" s="246"/>
    </row>
    <row r="515" customFormat="false" ht="11.25" hidden="false" customHeight="false" outlineLevel="0" collapsed="false">
      <c r="A515" s="246"/>
      <c r="B515" s="246"/>
      <c r="C515" s="246"/>
      <c r="D515" s="246"/>
      <c r="E515" s="246"/>
      <c r="F515" s="246"/>
    </row>
    <row r="516" customFormat="false" ht="11.25" hidden="false" customHeight="false" outlineLevel="0" collapsed="false">
      <c r="A516" s="246"/>
      <c r="B516" s="246"/>
      <c r="C516" s="246"/>
      <c r="D516" s="246"/>
      <c r="E516" s="246"/>
      <c r="F516" s="246"/>
    </row>
    <row r="517" customFormat="false" ht="11.25" hidden="false" customHeight="false" outlineLevel="0" collapsed="false">
      <c r="A517" s="246"/>
      <c r="B517" s="246"/>
      <c r="C517" s="246"/>
      <c r="D517" s="246"/>
      <c r="E517" s="246"/>
      <c r="F517" s="246"/>
    </row>
    <row r="518" customFormat="false" ht="11.25" hidden="false" customHeight="false" outlineLevel="0" collapsed="false">
      <c r="A518" s="246"/>
      <c r="B518" s="246"/>
      <c r="C518" s="246"/>
      <c r="D518" s="246"/>
      <c r="E518" s="246"/>
      <c r="F518" s="246"/>
    </row>
    <row r="519" customFormat="false" ht="11.25" hidden="false" customHeight="false" outlineLevel="0" collapsed="false">
      <c r="A519" s="246"/>
      <c r="B519" s="246"/>
      <c r="C519" s="246"/>
      <c r="D519" s="246"/>
      <c r="E519" s="246"/>
      <c r="F519" s="246"/>
    </row>
    <row r="520" customFormat="false" ht="11.25" hidden="false" customHeight="false" outlineLevel="0" collapsed="false">
      <c r="A520" s="246"/>
      <c r="B520" s="246"/>
      <c r="C520" s="246"/>
      <c r="D520" s="246"/>
      <c r="E520" s="246"/>
      <c r="F520" s="246"/>
    </row>
    <row r="521" customFormat="false" ht="11.25" hidden="false" customHeight="false" outlineLevel="0" collapsed="false">
      <c r="A521" s="246"/>
      <c r="B521" s="246"/>
      <c r="C521" s="246"/>
      <c r="D521" s="246"/>
      <c r="E521" s="246"/>
      <c r="F521" s="246"/>
    </row>
    <row r="522" customFormat="false" ht="11.25" hidden="false" customHeight="false" outlineLevel="0" collapsed="false">
      <c r="A522" s="246"/>
      <c r="B522" s="246"/>
      <c r="C522" s="246"/>
      <c r="D522" s="246"/>
      <c r="E522" s="246"/>
      <c r="F522" s="246"/>
    </row>
    <row r="523" customFormat="false" ht="11.25" hidden="false" customHeight="false" outlineLevel="0" collapsed="false">
      <c r="A523" s="246"/>
      <c r="B523" s="246"/>
      <c r="C523" s="246"/>
      <c r="D523" s="246"/>
      <c r="E523" s="246"/>
      <c r="F523" s="246"/>
    </row>
    <row r="524" customFormat="false" ht="11.25" hidden="false" customHeight="false" outlineLevel="0" collapsed="false">
      <c r="A524" s="246"/>
      <c r="B524" s="246"/>
      <c r="C524" s="246"/>
      <c r="D524" s="246"/>
      <c r="E524" s="246"/>
      <c r="F524" s="246"/>
    </row>
    <row r="525" customFormat="false" ht="11.25" hidden="false" customHeight="false" outlineLevel="0" collapsed="false">
      <c r="A525" s="246"/>
      <c r="B525" s="246"/>
      <c r="C525" s="246"/>
      <c r="D525" s="246"/>
      <c r="E525" s="246"/>
      <c r="F525" s="246"/>
    </row>
    <row r="526" customFormat="false" ht="11.25" hidden="false" customHeight="false" outlineLevel="0" collapsed="false">
      <c r="A526" s="246"/>
      <c r="B526" s="246"/>
      <c r="C526" s="246"/>
      <c r="D526" s="246"/>
      <c r="E526" s="246"/>
      <c r="F526" s="246"/>
    </row>
    <row r="527" customFormat="false" ht="11.25" hidden="false" customHeight="false" outlineLevel="0" collapsed="false">
      <c r="A527" s="246"/>
      <c r="B527" s="246"/>
      <c r="C527" s="246"/>
      <c r="D527" s="246"/>
      <c r="E527" s="246"/>
      <c r="F527" s="246"/>
    </row>
    <row r="528" customFormat="false" ht="11.25" hidden="false" customHeight="false" outlineLevel="0" collapsed="false">
      <c r="A528" s="246"/>
      <c r="B528" s="246"/>
      <c r="C528" s="246"/>
      <c r="D528" s="246"/>
      <c r="E528" s="246"/>
      <c r="F528" s="246"/>
    </row>
    <row r="529" customFormat="false" ht="11.25" hidden="false" customHeight="false" outlineLevel="0" collapsed="false">
      <c r="A529" s="246"/>
      <c r="B529" s="246"/>
      <c r="C529" s="246"/>
      <c r="D529" s="246"/>
      <c r="E529" s="246"/>
      <c r="F529" s="246"/>
    </row>
    <row r="530" customFormat="false" ht="11.25" hidden="false" customHeight="false" outlineLevel="0" collapsed="false">
      <c r="A530" s="246"/>
      <c r="B530" s="246"/>
      <c r="C530" s="246"/>
      <c r="D530" s="246"/>
      <c r="E530" s="246"/>
      <c r="F530" s="246"/>
    </row>
    <row r="531" customFormat="false" ht="11.25" hidden="false" customHeight="false" outlineLevel="0" collapsed="false">
      <c r="A531" s="246"/>
      <c r="B531" s="246"/>
      <c r="C531" s="246"/>
      <c r="D531" s="246"/>
      <c r="E531" s="246"/>
      <c r="F531" s="246"/>
    </row>
    <row r="532" customFormat="false" ht="11.25" hidden="false" customHeight="false" outlineLevel="0" collapsed="false">
      <c r="A532" s="246"/>
      <c r="B532" s="246"/>
      <c r="C532" s="246"/>
      <c r="D532" s="246"/>
      <c r="E532" s="246"/>
      <c r="F532" s="246"/>
    </row>
    <row r="533" customFormat="false" ht="11.25" hidden="false" customHeight="false" outlineLevel="0" collapsed="false">
      <c r="A533" s="246"/>
      <c r="B533" s="246"/>
      <c r="C533" s="246"/>
      <c r="D533" s="246"/>
      <c r="E533" s="246"/>
      <c r="F533" s="246"/>
    </row>
    <row r="534" customFormat="false" ht="11.25" hidden="false" customHeight="false" outlineLevel="0" collapsed="false">
      <c r="A534" s="246"/>
      <c r="B534" s="246"/>
      <c r="C534" s="246"/>
      <c r="D534" s="246"/>
      <c r="E534" s="246"/>
      <c r="F534" s="246"/>
    </row>
    <row r="535" customFormat="false" ht="11.25" hidden="false" customHeight="false" outlineLevel="0" collapsed="false">
      <c r="A535" s="246"/>
      <c r="B535" s="246"/>
      <c r="C535" s="246"/>
      <c r="D535" s="246"/>
      <c r="E535" s="246"/>
      <c r="F535" s="246"/>
    </row>
    <row r="536" customFormat="false" ht="11.25" hidden="false" customHeight="false" outlineLevel="0" collapsed="false">
      <c r="A536" s="246"/>
      <c r="B536" s="246"/>
      <c r="C536" s="246"/>
      <c r="D536" s="246"/>
      <c r="E536" s="246"/>
      <c r="F536" s="246"/>
    </row>
    <row r="537" customFormat="false" ht="11.25" hidden="false" customHeight="false" outlineLevel="0" collapsed="false">
      <c r="A537" s="246"/>
      <c r="B537" s="246"/>
      <c r="C537" s="246"/>
      <c r="D537" s="246"/>
      <c r="E537" s="246"/>
      <c r="F537" s="246"/>
    </row>
    <row r="538" customFormat="false" ht="11.25" hidden="false" customHeight="false" outlineLevel="0" collapsed="false">
      <c r="A538" s="246"/>
      <c r="B538" s="246"/>
      <c r="C538" s="246"/>
      <c r="D538" s="246"/>
      <c r="E538" s="246"/>
      <c r="F538" s="246"/>
    </row>
    <row r="539" customFormat="false" ht="11.25" hidden="false" customHeight="false" outlineLevel="0" collapsed="false">
      <c r="A539" s="246"/>
      <c r="B539" s="246"/>
      <c r="C539" s="246"/>
      <c r="D539" s="246"/>
      <c r="E539" s="246"/>
      <c r="F539" s="246"/>
    </row>
    <row r="540" customFormat="false" ht="11.25" hidden="false" customHeight="false" outlineLevel="0" collapsed="false">
      <c r="A540" s="246"/>
      <c r="B540" s="246"/>
      <c r="C540" s="246"/>
      <c r="D540" s="246"/>
      <c r="E540" s="246"/>
      <c r="F540" s="246"/>
    </row>
    <row r="541" customFormat="false" ht="11.25" hidden="false" customHeight="false" outlineLevel="0" collapsed="false">
      <c r="A541" s="246"/>
      <c r="B541" s="246"/>
      <c r="C541" s="246"/>
      <c r="D541" s="246"/>
      <c r="E541" s="246"/>
      <c r="F541" s="246"/>
    </row>
    <row r="542" customFormat="false" ht="11.25" hidden="false" customHeight="false" outlineLevel="0" collapsed="false">
      <c r="A542" s="246"/>
      <c r="B542" s="246"/>
      <c r="C542" s="246"/>
      <c r="D542" s="246"/>
      <c r="E542" s="246"/>
      <c r="F542" s="246"/>
    </row>
    <row r="543" customFormat="false" ht="11.25" hidden="false" customHeight="false" outlineLevel="0" collapsed="false">
      <c r="A543" s="246"/>
      <c r="B543" s="246"/>
      <c r="C543" s="246"/>
      <c r="D543" s="246"/>
      <c r="E543" s="246"/>
      <c r="F543" s="246"/>
    </row>
    <row r="544" customFormat="false" ht="11.25" hidden="false" customHeight="false" outlineLevel="0" collapsed="false">
      <c r="A544" s="246"/>
      <c r="B544" s="246"/>
      <c r="C544" s="246"/>
      <c r="D544" s="246"/>
      <c r="E544" s="246"/>
      <c r="F544" s="246"/>
    </row>
    <row r="545" customFormat="false" ht="11.25" hidden="false" customHeight="false" outlineLevel="0" collapsed="false">
      <c r="A545" s="246"/>
      <c r="B545" s="246"/>
      <c r="C545" s="246"/>
      <c r="D545" s="246"/>
      <c r="E545" s="246"/>
      <c r="F545" s="246"/>
    </row>
    <row r="546" customFormat="false" ht="11.25" hidden="false" customHeight="false" outlineLevel="0" collapsed="false">
      <c r="A546" s="246"/>
      <c r="B546" s="246"/>
      <c r="C546" s="246"/>
      <c r="D546" s="246"/>
      <c r="E546" s="246"/>
      <c r="F546" s="246"/>
    </row>
    <row r="547" customFormat="false" ht="11.25" hidden="false" customHeight="false" outlineLevel="0" collapsed="false">
      <c r="A547" s="246"/>
      <c r="B547" s="246"/>
      <c r="C547" s="246"/>
      <c r="D547" s="246"/>
      <c r="E547" s="246"/>
      <c r="F547" s="246"/>
    </row>
    <row r="548" customFormat="false" ht="11.25" hidden="false" customHeight="false" outlineLevel="0" collapsed="false">
      <c r="A548" s="246"/>
      <c r="B548" s="246"/>
      <c r="C548" s="246"/>
      <c r="D548" s="246"/>
      <c r="E548" s="246"/>
      <c r="F548" s="246"/>
    </row>
    <row r="549" customFormat="false" ht="11.25" hidden="false" customHeight="false" outlineLevel="0" collapsed="false">
      <c r="A549" s="246"/>
      <c r="B549" s="246"/>
      <c r="C549" s="246"/>
      <c r="D549" s="246"/>
      <c r="E549" s="246"/>
      <c r="F549" s="246"/>
    </row>
    <row r="550" customFormat="false" ht="11.25" hidden="false" customHeight="false" outlineLevel="0" collapsed="false">
      <c r="A550" s="246"/>
      <c r="B550" s="246"/>
      <c r="C550" s="246"/>
      <c r="D550" s="246"/>
      <c r="E550" s="246"/>
      <c r="F550" s="246"/>
    </row>
    <row r="551" customFormat="false" ht="11.25" hidden="false" customHeight="false" outlineLevel="0" collapsed="false">
      <c r="A551" s="246"/>
      <c r="B551" s="246"/>
      <c r="C551" s="246"/>
      <c r="D551" s="246"/>
      <c r="E551" s="246"/>
      <c r="F551" s="246"/>
    </row>
    <row r="552" customFormat="false" ht="11.25" hidden="false" customHeight="false" outlineLevel="0" collapsed="false">
      <c r="A552" s="246"/>
      <c r="B552" s="246"/>
      <c r="C552" s="246"/>
      <c r="D552" s="246"/>
      <c r="E552" s="246"/>
      <c r="F552" s="246"/>
    </row>
    <row r="553" customFormat="false" ht="11.25" hidden="false" customHeight="false" outlineLevel="0" collapsed="false">
      <c r="A553" s="246"/>
      <c r="B553" s="246"/>
      <c r="C553" s="246"/>
      <c r="D553" s="246"/>
      <c r="E553" s="246"/>
      <c r="F553" s="246"/>
    </row>
    <row r="554" customFormat="false" ht="11.25" hidden="false" customHeight="false" outlineLevel="0" collapsed="false">
      <c r="A554" s="246"/>
      <c r="B554" s="246"/>
      <c r="C554" s="246"/>
      <c r="D554" s="246"/>
      <c r="E554" s="246"/>
      <c r="F554" s="246"/>
    </row>
    <row r="555" customFormat="false" ht="11.25" hidden="false" customHeight="false" outlineLevel="0" collapsed="false">
      <c r="A555" s="246"/>
      <c r="B555" s="246"/>
      <c r="C555" s="246"/>
      <c r="D555" s="246"/>
      <c r="E555" s="246"/>
      <c r="F555" s="246"/>
    </row>
    <row r="556" customFormat="false" ht="11.25" hidden="false" customHeight="false" outlineLevel="0" collapsed="false">
      <c r="A556" s="246"/>
      <c r="B556" s="246"/>
      <c r="C556" s="246"/>
      <c r="D556" s="246"/>
      <c r="E556" s="246"/>
      <c r="F556" s="246"/>
    </row>
    <row r="557" customFormat="false" ht="11.25" hidden="false" customHeight="false" outlineLevel="0" collapsed="false">
      <c r="A557" s="246"/>
      <c r="B557" s="246"/>
      <c r="C557" s="246"/>
      <c r="D557" s="246"/>
      <c r="E557" s="246"/>
      <c r="F557" s="246"/>
    </row>
    <row r="558" customFormat="false" ht="11.25" hidden="false" customHeight="false" outlineLevel="0" collapsed="false">
      <c r="A558" s="246"/>
      <c r="B558" s="246"/>
      <c r="C558" s="246"/>
      <c r="D558" s="246"/>
      <c r="E558" s="246"/>
      <c r="F558" s="246"/>
    </row>
    <row r="559" customFormat="false" ht="11.25" hidden="false" customHeight="false" outlineLevel="0" collapsed="false">
      <c r="A559" s="246"/>
      <c r="B559" s="246"/>
      <c r="C559" s="246"/>
      <c r="D559" s="246"/>
      <c r="E559" s="246"/>
      <c r="F559" s="246"/>
    </row>
    <row r="560" customFormat="false" ht="11.25" hidden="false" customHeight="false" outlineLevel="0" collapsed="false">
      <c r="A560" s="246"/>
      <c r="B560" s="246"/>
      <c r="C560" s="246"/>
      <c r="D560" s="246"/>
      <c r="E560" s="246"/>
      <c r="F560" s="246"/>
    </row>
    <row r="561" customFormat="false" ht="11.25" hidden="false" customHeight="false" outlineLevel="0" collapsed="false">
      <c r="A561" s="246"/>
      <c r="B561" s="246"/>
      <c r="C561" s="246"/>
      <c r="D561" s="246"/>
      <c r="E561" s="246"/>
      <c r="F561" s="246"/>
    </row>
    <row r="562" customFormat="false" ht="11.25" hidden="false" customHeight="false" outlineLevel="0" collapsed="false">
      <c r="A562" s="246"/>
      <c r="B562" s="246"/>
      <c r="C562" s="246"/>
      <c r="D562" s="246"/>
      <c r="E562" s="246"/>
      <c r="F562" s="246"/>
    </row>
    <row r="563" customFormat="false" ht="11.25" hidden="false" customHeight="false" outlineLevel="0" collapsed="false">
      <c r="A563" s="246"/>
      <c r="B563" s="246"/>
      <c r="C563" s="246"/>
      <c r="D563" s="246"/>
      <c r="E563" s="246"/>
      <c r="F563" s="246"/>
    </row>
    <row r="564" customFormat="false" ht="11.25" hidden="false" customHeight="false" outlineLevel="0" collapsed="false">
      <c r="A564" s="246"/>
      <c r="B564" s="246"/>
      <c r="C564" s="246"/>
      <c r="D564" s="246"/>
      <c r="E564" s="246"/>
      <c r="F564" s="246"/>
    </row>
    <row r="565" customFormat="false" ht="11.25" hidden="false" customHeight="false" outlineLevel="0" collapsed="false">
      <c r="A565" s="246"/>
      <c r="B565" s="246"/>
      <c r="C565" s="246"/>
      <c r="D565" s="246"/>
      <c r="E565" s="246"/>
      <c r="F565" s="246"/>
    </row>
    <row r="566" customFormat="false" ht="11.25" hidden="false" customHeight="false" outlineLevel="0" collapsed="false">
      <c r="A566" s="246"/>
      <c r="B566" s="246"/>
      <c r="C566" s="246"/>
      <c r="D566" s="246"/>
      <c r="E566" s="246"/>
      <c r="F566" s="246"/>
    </row>
    <row r="567" customFormat="false" ht="11.25" hidden="false" customHeight="false" outlineLevel="0" collapsed="false">
      <c r="A567" s="246"/>
      <c r="B567" s="246"/>
      <c r="C567" s="246"/>
      <c r="D567" s="246"/>
      <c r="E567" s="246"/>
      <c r="F567" s="246"/>
    </row>
    <row r="568" customFormat="false" ht="11.25" hidden="false" customHeight="false" outlineLevel="0" collapsed="false">
      <c r="A568" s="246"/>
      <c r="B568" s="246"/>
      <c r="C568" s="246"/>
      <c r="D568" s="246"/>
      <c r="E568" s="246"/>
      <c r="F568" s="246"/>
    </row>
    <row r="569" customFormat="false" ht="11.25" hidden="false" customHeight="false" outlineLevel="0" collapsed="false">
      <c r="A569" s="246"/>
      <c r="B569" s="246"/>
      <c r="C569" s="246"/>
      <c r="D569" s="246"/>
      <c r="E569" s="246"/>
      <c r="F569" s="246"/>
    </row>
    <row r="570" customFormat="false" ht="11.25" hidden="false" customHeight="false" outlineLevel="0" collapsed="false">
      <c r="A570" s="246"/>
      <c r="B570" s="246"/>
      <c r="C570" s="246"/>
      <c r="D570" s="246"/>
      <c r="E570" s="246"/>
      <c r="F570" s="246"/>
    </row>
    <row r="571" customFormat="false" ht="11.25" hidden="false" customHeight="false" outlineLevel="0" collapsed="false">
      <c r="A571" s="246"/>
      <c r="B571" s="246"/>
      <c r="C571" s="246"/>
      <c r="D571" s="246"/>
      <c r="E571" s="246"/>
      <c r="F571" s="246"/>
    </row>
    <row r="572" customFormat="false" ht="11.25" hidden="false" customHeight="false" outlineLevel="0" collapsed="false">
      <c r="A572" s="246"/>
      <c r="B572" s="246"/>
      <c r="C572" s="246"/>
      <c r="D572" s="246"/>
      <c r="E572" s="246"/>
      <c r="F572" s="246"/>
    </row>
    <row r="573" customFormat="false" ht="11.25" hidden="false" customHeight="false" outlineLevel="0" collapsed="false">
      <c r="A573" s="246"/>
      <c r="B573" s="246"/>
      <c r="C573" s="246"/>
      <c r="D573" s="246"/>
      <c r="E573" s="246"/>
      <c r="F573" s="246"/>
    </row>
    <row r="574" customFormat="false" ht="11.25" hidden="false" customHeight="false" outlineLevel="0" collapsed="false">
      <c r="A574" s="246"/>
      <c r="B574" s="246"/>
      <c r="C574" s="246"/>
      <c r="D574" s="246"/>
      <c r="E574" s="246"/>
      <c r="F574" s="246"/>
    </row>
    <row r="575" customFormat="false" ht="11.25" hidden="false" customHeight="false" outlineLevel="0" collapsed="false">
      <c r="A575" s="246"/>
      <c r="B575" s="246"/>
      <c r="C575" s="246"/>
      <c r="D575" s="246"/>
      <c r="E575" s="246"/>
      <c r="F575" s="246"/>
    </row>
    <row r="576" customFormat="false" ht="11.25" hidden="false" customHeight="false" outlineLevel="0" collapsed="false">
      <c r="A576" s="246"/>
      <c r="B576" s="246"/>
      <c r="C576" s="246"/>
      <c r="D576" s="246"/>
      <c r="E576" s="246"/>
      <c r="F576" s="246"/>
    </row>
    <row r="577" customFormat="false" ht="11.25" hidden="false" customHeight="false" outlineLevel="0" collapsed="false">
      <c r="A577" s="246"/>
      <c r="B577" s="246"/>
      <c r="C577" s="246"/>
      <c r="D577" s="246"/>
      <c r="E577" s="246"/>
      <c r="F577" s="246"/>
    </row>
    <row r="578" customFormat="false" ht="11.25" hidden="false" customHeight="false" outlineLevel="0" collapsed="false">
      <c r="A578" s="246"/>
      <c r="B578" s="246"/>
      <c r="C578" s="246"/>
      <c r="D578" s="246"/>
      <c r="E578" s="246"/>
      <c r="F578" s="246"/>
    </row>
    <row r="579" customFormat="false" ht="11.25" hidden="false" customHeight="false" outlineLevel="0" collapsed="false">
      <c r="A579" s="246"/>
      <c r="B579" s="246"/>
      <c r="C579" s="246"/>
      <c r="D579" s="246"/>
      <c r="E579" s="246"/>
      <c r="F579" s="246"/>
    </row>
    <row r="580" customFormat="false" ht="11.25" hidden="false" customHeight="false" outlineLevel="0" collapsed="false">
      <c r="A580" s="246"/>
      <c r="B580" s="246"/>
      <c r="C580" s="246"/>
      <c r="D580" s="246"/>
      <c r="E580" s="246"/>
      <c r="F580" s="246"/>
    </row>
    <row r="581" customFormat="false" ht="11.25" hidden="false" customHeight="false" outlineLevel="0" collapsed="false">
      <c r="A581" s="246"/>
      <c r="B581" s="246"/>
      <c r="C581" s="246"/>
      <c r="D581" s="246"/>
      <c r="E581" s="246"/>
      <c r="F581" s="246"/>
    </row>
    <row r="582" customFormat="false" ht="11.25" hidden="false" customHeight="false" outlineLevel="0" collapsed="false">
      <c r="A582" s="246"/>
      <c r="B582" s="246"/>
      <c r="C582" s="246"/>
      <c r="D582" s="246"/>
      <c r="E582" s="246"/>
      <c r="F582" s="246"/>
    </row>
    <row r="583" customFormat="false" ht="11.25" hidden="false" customHeight="false" outlineLevel="0" collapsed="false">
      <c r="A583" s="246"/>
      <c r="B583" s="246"/>
      <c r="C583" s="246"/>
      <c r="D583" s="246"/>
      <c r="E583" s="246"/>
      <c r="F583" s="246"/>
    </row>
    <row r="584" customFormat="false" ht="11.25" hidden="false" customHeight="false" outlineLevel="0" collapsed="false">
      <c r="A584" s="246"/>
      <c r="B584" s="246"/>
      <c r="C584" s="246"/>
      <c r="D584" s="246"/>
      <c r="E584" s="246"/>
      <c r="F584" s="246"/>
    </row>
    <row r="585" customFormat="false" ht="11.25" hidden="false" customHeight="false" outlineLevel="0" collapsed="false">
      <c r="A585" s="246"/>
      <c r="B585" s="246"/>
      <c r="C585" s="246"/>
      <c r="D585" s="246"/>
      <c r="E585" s="246"/>
      <c r="F585" s="246"/>
    </row>
    <row r="586" customFormat="false" ht="11.25" hidden="false" customHeight="false" outlineLevel="0" collapsed="false">
      <c r="A586" s="246"/>
      <c r="B586" s="246"/>
      <c r="C586" s="246"/>
      <c r="D586" s="246"/>
      <c r="E586" s="246"/>
      <c r="F586" s="246"/>
    </row>
    <row r="587" customFormat="false" ht="11.25" hidden="false" customHeight="false" outlineLevel="0" collapsed="false">
      <c r="A587" s="246"/>
      <c r="B587" s="246"/>
      <c r="C587" s="246"/>
      <c r="D587" s="246"/>
      <c r="E587" s="246"/>
      <c r="F587" s="246"/>
    </row>
    <row r="588" customFormat="false" ht="11.25" hidden="false" customHeight="false" outlineLevel="0" collapsed="false">
      <c r="A588" s="246"/>
      <c r="B588" s="246"/>
      <c r="C588" s="246"/>
      <c r="D588" s="246"/>
      <c r="E588" s="246"/>
      <c r="F588" s="246"/>
    </row>
    <row r="589" customFormat="false" ht="11.25" hidden="false" customHeight="false" outlineLevel="0" collapsed="false">
      <c r="A589" s="246"/>
      <c r="B589" s="246"/>
      <c r="C589" s="246"/>
      <c r="D589" s="246"/>
      <c r="E589" s="246"/>
      <c r="F589" s="246"/>
    </row>
    <row r="590" customFormat="false" ht="11.25" hidden="false" customHeight="false" outlineLevel="0" collapsed="false">
      <c r="A590" s="246"/>
      <c r="B590" s="246"/>
      <c r="C590" s="246"/>
      <c r="D590" s="246"/>
      <c r="E590" s="246"/>
      <c r="F590" s="246"/>
    </row>
    <row r="591" customFormat="false" ht="11.25" hidden="false" customHeight="false" outlineLevel="0" collapsed="false">
      <c r="A591" s="246"/>
      <c r="B591" s="246"/>
      <c r="C591" s="246"/>
      <c r="D591" s="246"/>
      <c r="E591" s="246"/>
      <c r="F591" s="246"/>
    </row>
    <row r="592" customFormat="false" ht="11.25" hidden="false" customHeight="false" outlineLevel="0" collapsed="false">
      <c r="A592" s="246"/>
      <c r="B592" s="246"/>
      <c r="C592" s="246"/>
      <c r="D592" s="246"/>
      <c r="E592" s="246"/>
      <c r="F592" s="246"/>
    </row>
    <row r="593" customFormat="false" ht="11.25" hidden="false" customHeight="false" outlineLevel="0" collapsed="false">
      <c r="A593" s="246"/>
      <c r="B593" s="246"/>
      <c r="C593" s="246"/>
      <c r="D593" s="246"/>
      <c r="E593" s="246"/>
      <c r="F593" s="246"/>
    </row>
    <row r="594" customFormat="false" ht="11.25" hidden="false" customHeight="false" outlineLevel="0" collapsed="false">
      <c r="A594" s="246"/>
      <c r="B594" s="246"/>
      <c r="C594" s="246"/>
      <c r="D594" s="246"/>
      <c r="E594" s="246"/>
      <c r="F594" s="246"/>
    </row>
    <row r="595" customFormat="false" ht="11.25" hidden="false" customHeight="false" outlineLevel="0" collapsed="false">
      <c r="A595" s="246"/>
      <c r="B595" s="246"/>
      <c r="C595" s="246"/>
      <c r="D595" s="246"/>
      <c r="E595" s="246"/>
      <c r="F595" s="246"/>
    </row>
    <row r="596" customFormat="false" ht="11.25" hidden="false" customHeight="false" outlineLevel="0" collapsed="false">
      <c r="A596" s="246"/>
      <c r="B596" s="246"/>
      <c r="C596" s="246"/>
      <c r="D596" s="246"/>
      <c r="E596" s="246"/>
      <c r="F596" s="246"/>
    </row>
    <row r="597" customFormat="false" ht="11.25" hidden="false" customHeight="false" outlineLevel="0" collapsed="false">
      <c r="A597" s="246"/>
      <c r="B597" s="246"/>
      <c r="C597" s="246"/>
      <c r="D597" s="246"/>
      <c r="E597" s="246"/>
      <c r="F597" s="246"/>
    </row>
    <row r="598" customFormat="false" ht="11.25" hidden="false" customHeight="false" outlineLevel="0" collapsed="false">
      <c r="A598" s="246"/>
      <c r="B598" s="246"/>
      <c r="C598" s="246"/>
      <c r="D598" s="246"/>
      <c r="E598" s="246"/>
      <c r="F598" s="246"/>
    </row>
    <row r="599" customFormat="false" ht="11.25" hidden="false" customHeight="false" outlineLevel="0" collapsed="false">
      <c r="A599" s="246"/>
      <c r="B599" s="246"/>
      <c r="C599" s="246"/>
      <c r="D599" s="246"/>
      <c r="E599" s="246"/>
      <c r="F599" s="246"/>
    </row>
    <row r="600" customFormat="false" ht="11.25" hidden="false" customHeight="false" outlineLevel="0" collapsed="false">
      <c r="A600" s="246"/>
      <c r="B600" s="246"/>
      <c r="C600" s="246"/>
      <c r="D600" s="246"/>
      <c r="E600" s="246"/>
      <c r="F600" s="246"/>
    </row>
    <row r="601" customFormat="false" ht="11.25" hidden="false" customHeight="false" outlineLevel="0" collapsed="false">
      <c r="A601" s="246"/>
      <c r="B601" s="246"/>
      <c r="C601" s="246"/>
      <c r="D601" s="246"/>
      <c r="E601" s="246"/>
      <c r="F601" s="246"/>
    </row>
    <row r="602" customFormat="false" ht="11.25" hidden="false" customHeight="false" outlineLevel="0" collapsed="false">
      <c r="A602" s="246"/>
      <c r="B602" s="246"/>
      <c r="C602" s="246"/>
      <c r="D602" s="246"/>
      <c r="E602" s="246"/>
      <c r="F602" s="246"/>
    </row>
    <row r="603" customFormat="false" ht="11.25" hidden="false" customHeight="false" outlineLevel="0" collapsed="false">
      <c r="A603" s="246"/>
      <c r="B603" s="246"/>
      <c r="C603" s="246"/>
      <c r="D603" s="246"/>
      <c r="E603" s="246"/>
      <c r="F603" s="246"/>
    </row>
    <row r="604" customFormat="false" ht="11.25" hidden="false" customHeight="false" outlineLevel="0" collapsed="false">
      <c r="A604" s="246"/>
      <c r="B604" s="246"/>
      <c r="C604" s="246"/>
      <c r="D604" s="246"/>
      <c r="E604" s="246"/>
      <c r="F604" s="246"/>
    </row>
    <row r="605" customFormat="false" ht="11.25" hidden="false" customHeight="false" outlineLevel="0" collapsed="false">
      <c r="A605" s="246"/>
      <c r="B605" s="246"/>
      <c r="C605" s="246"/>
      <c r="D605" s="246"/>
      <c r="E605" s="246"/>
      <c r="F605" s="246"/>
    </row>
    <row r="606" customFormat="false" ht="11.25" hidden="false" customHeight="false" outlineLevel="0" collapsed="false">
      <c r="A606" s="246"/>
      <c r="B606" s="246"/>
      <c r="C606" s="246"/>
      <c r="D606" s="246"/>
      <c r="E606" s="246"/>
      <c r="F606" s="246"/>
    </row>
    <row r="607" customFormat="false" ht="11.25" hidden="false" customHeight="false" outlineLevel="0" collapsed="false">
      <c r="A607" s="246"/>
      <c r="B607" s="246"/>
      <c r="C607" s="246"/>
      <c r="D607" s="246"/>
      <c r="E607" s="246"/>
      <c r="F607" s="246"/>
    </row>
    <row r="608" customFormat="false" ht="11.25" hidden="false" customHeight="false" outlineLevel="0" collapsed="false">
      <c r="A608" s="246"/>
      <c r="B608" s="246"/>
      <c r="C608" s="246"/>
      <c r="D608" s="246"/>
      <c r="E608" s="246"/>
      <c r="F608" s="246"/>
    </row>
    <row r="609" customFormat="false" ht="11.25" hidden="false" customHeight="false" outlineLevel="0" collapsed="false">
      <c r="A609" s="246"/>
      <c r="B609" s="246"/>
      <c r="C609" s="246"/>
      <c r="D609" s="246"/>
      <c r="E609" s="246"/>
      <c r="F609" s="246"/>
    </row>
    <row r="610" customFormat="false" ht="11.25" hidden="false" customHeight="false" outlineLevel="0" collapsed="false">
      <c r="A610" s="246"/>
      <c r="B610" s="246"/>
      <c r="C610" s="246"/>
      <c r="D610" s="246"/>
      <c r="E610" s="246"/>
      <c r="F610" s="246"/>
    </row>
    <row r="611" customFormat="false" ht="11.25" hidden="false" customHeight="false" outlineLevel="0" collapsed="false">
      <c r="A611" s="246"/>
      <c r="B611" s="246"/>
      <c r="C611" s="246"/>
      <c r="D611" s="246"/>
      <c r="E611" s="246"/>
      <c r="F611" s="246"/>
    </row>
    <row r="612" customFormat="false" ht="11.25" hidden="false" customHeight="false" outlineLevel="0" collapsed="false">
      <c r="A612" s="246"/>
      <c r="B612" s="246"/>
      <c r="C612" s="246"/>
      <c r="D612" s="246"/>
      <c r="E612" s="246"/>
      <c r="F612" s="246"/>
    </row>
    <row r="613" customFormat="false" ht="11.25" hidden="false" customHeight="false" outlineLevel="0" collapsed="false">
      <c r="A613" s="246"/>
      <c r="B613" s="246"/>
      <c r="C613" s="246"/>
      <c r="D613" s="246"/>
      <c r="E613" s="246"/>
      <c r="F613" s="246"/>
    </row>
    <row r="614" customFormat="false" ht="11.25" hidden="false" customHeight="false" outlineLevel="0" collapsed="false">
      <c r="A614" s="246"/>
      <c r="B614" s="246"/>
      <c r="C614" s="246"/>
      <c r="D614" s="246"/>
      <c r="E614" s="246"/>
      <c r="F614" s="246"/>
    </row>
    <row r="615" customFormat="false" ht="11.25" hidden="false" customHeight="false" outlineLevel="0" collapsed="false">
      <c r="A615" s="246"/>
      <c r="B615" s="246"/>
      <c r="C615" s="246"/>
      <c r="D615" s="246"/>
      <c r="E615" s="246"/>
      <c r="F615" s="246"/>
    </row>
    <row r="616" customFormat="false" ht="11.25" hidden="false" customHeight="false" outlineLevel="0" collapsed="false">
      <c r="A616" s="246"/>
      <c r="B616" s="246"/>
      <c r="C616" s="246"/>
      <c r="D616" s="246"/>
      <c r="E616" s="246"/>
      <c r="F616" s="246"/>
    </row>
    <row r="617" customFormat="false" ht="11.25" hidden="false" customHeight="false" outlineLevel="0" collapsed="false">
      <c r="A617" s="246"/>
      <c r="B617" s="246"/>
      <c r="C617" s="246"/>
      <c r="D617" s="246"/>
      <c r="E617" s="246"/>
      <c r="F617" s="246"/>
    </row>
    <row r="618" customFormat="false" ht="11.25" hidden="false" customHeight="false" outlineLevel="0" collapsed="false">
      <c r="A618" s="246"/>
      <c r="B618" s="246"/>
      <c r="C618" s="246"/>
      <c r="D618" s="246"/>
      <c r="E618" s="246"/>
      <c r="F618" s="246"/>
    </row>
    <row r="619" customFormat="false" ht="11.25" hidden="false" customHeight="false" outlineLevel="0" collapsed="false">
      <c r="A619" s="246"/>
      <c r="B619" s="246"/>
      <c r="C619" s="246"/>
      <c r="D619" s="246"/>
      <c r="E619" s="246"/>
      <c r="F619" s="246"/>
    </row>
    <row r="620" customFormat="false" ht="11.25" hidden="false" customHeight="false" outlineLevel="0" collapsed="false">
      <c r="A620" s="246"/>
      <c r="B620" s="246"/>
      <c r="C620" s="246"/>
      <c r="D620" s="246"/>
      <c r="E620" s="246"/>
      <c r="F620" s="246"/>
    </row>
    <row r="621" customFormat="false" ht="11.25" hidden="false" customHeight="false" outlineLevel="0" collapsed="false">
      <c r="A621" s="246"/>
      <c r="B621" s="246"/>
      <c r="C621" s="246"/>
      <c r="D621" s="246"/>
      <c r="E621" s="246"/>
      <c r="F621" s="246"/>
    </row>
    <row r="622" customFormat="false" ht="11.25" hidden="false" customHeight="false" outlineLevel="0" collapsed="false">
      <c r="A622" s="246"/>
      <c r="B622" s="246"/>
      <c r="C622" s="246"/>
      <c r="D622" s="246"/>
      <c r="E622" s="246"/>
      <c r="F622" s="246"/>
    </row>
    <row r="623" customFormat="false" ht="11.25" hidden="false" customHeight="false" outlineLevel="0" collapsed="false">
      <c r="A623" s="246"/>
      <c r="B623" s="246"/>
      <c r="C623" s="246"/>
      <c r="D623" s="246"/>
      <c r="E623" s="246"/>
      <c r="F623" s="246"/>
    </row>
    <row r="624" customFormat="false" ht="11.25" hidden="false" customHeight="false" outlineLevel="0" collapsed="false">
      <c r="A624" s="246"/>
      <c r="B624" s="246"/>
      <c r="C624" s="246"/>
      <c r="D624" s="246"/>
      <c r="E624" s="246"/>
      <c r="F624" s="246"/>
    </row>
    <row r="625" customFormat="false" ht="11.25" hidden="false" customHeight="false" outlineLevel="0" collapsed="false">
      <c r="A625" s="246"/>
      <c r="B625" s="246"/>
      <c r="C625" s="246"/>
      <c r="D625" s="246"/>
      <c r="E625" s="246"/>
      <c r="F625" s="246"/>
    </row>
    <row r="626" customFormat="false" ht="11.25" hidden="false" customHeight="false" outlineLevel="0" collapsed="false">
      <c r="A626" s="246"/>
      <c r="B626" s="246"/>
      <c r="C626" s="246"/>
      <c r="D626" s="246"/>
      <c r="E626" s="246"/>
      <c r="F626" s="246"/>
    </row>
    <row r="627" customFormat="false" ht="11.25" hidden="false" customHeight="false" outlineLevel="0" collapsed="false">
      <c r="A627" s="246"/>
      <c r="B627" s="246"/>
      <c r="C627" s="246"/>
      <c r="D627" s="246"/>
      <c r="E627" s="246"/>
      <c r="F627" s="246"/>
    </row>
    <row r="628" customFormat="false" ht="11.25" hidden="false" customHeight="false" outlineLevel="0" collapsed="false">
      <c r="A628" s="246"/>
      <c r="B628" s="246"/>
      <c r="C628" s="246"/>
      <c r="D628" s="246"/>
      <c r="E628" s="246"/>
      <c r="F628" s="246"/>
    </row>
    <row r="629" customFormat="false" ht="11.25" hidden="false" customHeight="false" outlineLevel="0" collapsed="false">
      <c r="A629" s="246"/>
      <c r="B629" s="246"/>
      <c r="C629" s="246"/>
      <c r="D629" s="246"/>
      <c r="E629" s="246"/>
      <c r="F629" s="246"/>
    </row>
    <row r="630" customFormat="false" ht="11.25" hidden="false" customHeight="false" outlineLevel="0" collapsed="false">
      <c r="A630" s="246"/>
      <c r="B630" s="246"/>
      <c r="C630" s="246"/>
      <c r="D630" s="246"/>
      <c r="E630" s="246"/>
      <c r="F630" s="246"/>
    </row>
    <row r="631" customFormat="false" ht="11.25" hidden="false" customHeight="false" outlineLevel="0" collapsed="false">
      <c r="A631" s="246"/>
      <c r="B631" s="246"/>
      <c r="C631" s="246"/>
      <c r="D631" s="246"/>
      <c r="E631" s="246"/>
      <c r="F631" s="246"/>
    </row>
    <row r="632" customFormat="false" ht="11.25" hidden="false" customHeight="false" outlineLevel="0" collapsed="false">
      <c r="A632" s="246"/>
      <c r="B632" s="246"/>
      <c r="C632" s="246"/>
      <c r="D632" s="246"/>
      <c r="E632" s="246"/>
      <c r="F632" s="246"/>
    </row>
    <row r="633" customFormat="false" ht="11.25" hidden="false" customHeight="false" outlineLevel="0" collapsed="false">
      <c r="A633" s="246"/>
      <c r="B633" s="246"/>
      <c r="C633" s="246"/>
      <c r="D633" s="246"/>
      <c r="E633" s="246"/>
      <c r="F633" s="246"/>
    </row>
    <row r="634" customFormat="false" ht="11.25" hidden="false" customHeight="false" outlineLevel="0" collapsed="false">
      <c r="A634" s="246"/>
      <c r="B634" s="246"/>
      <c r="C634" s="246"/>
      <c r="D634" s="246"/>
      <c r="E634" s="246"/>
      <c r="F634" s="246"/>
    </row>
    <row r="635" customFormat="false" ht="11.25" hidden="false" customHeight="false" outlineLevel="0" collapsed="false">
      <c r="A635" s="246"/>
      <c r="B635" s="246"/>
      <c r="C635" s="246"/>
      <c r="D635" s="246"/>
      <c r="E635" s="246"/>
      <c r="F635" s="246"/>
    </row>
    <row r="636" customFormat="false" ht="11.25" hidden="false" customHeight="false" outlineLevel="0" collapsed="false">
      <c r="A636" s="246"/>
      <c r="B636" s="246"/>
      <c r="C636" s="246"/>
      <c r="D636" s="246"/>
      <c r="E636" s="246"/>
      <c r="F636" s="246"/>
    </row>
    <row r="637" customFormat="false" ht="11.25" hidden="false" customHeight="false" outlineLevel="0" collapsed="false">
      <c r="A637" s="246"/>
      <c r="B637" s="246"/>
      <c r="C637" s="246"/>
      <c r="D637" s="246"/>
      <c r="E637" s="246"/>
      <c r="F637" s="246"/>
    </row>
    <row r="638" customFormat="false" ht="11.25" hidden="false" customHeight="false" outlineLevel="0" collapsed="false">
      <c r="A638" s="246"/>
      <c r="B638" s="246"/>
      <c r="C638" s="246"/>
      <c r="D638" s="246"/>
      <c r="E638" s="246"/>
      <c r="F638" s="246"/>
    </row>
    <row r="639" customFormat="false" ht="11.25" hidden="false" customHeight="false" outlineLevel="0" collapsed="false">
      <c r="A639" s="246"/>
      <c r="B639" s="246"/>
      <c r="C639" s="246"/>
      <c r="D639" s="246"/>
      <c r="E639" s="246"/>
      <c r="F639" s="246"/>
    </row>
    <row r="640" customFormat="false" ht="11.25" hidden="false" customHeight="false" outlineLevel="0" collapsed="false">
      <c r="A640" s="246"/>
      <c r="B640" s="246"/>
      <c r="C640" s="246"/>
      <c r="D640" s="246"/>
      <c r="E640" s="246"/>
      <c r="F640" s="246"/>
    </row>
    <row r="641" customFormat="false" ht="11.25" hidden="false" customHeight="false" outlineLevel="0" collapsed="false">
      <c r="A641" s="246"/>
      <c r="B641" s="246"/>
      <c r="C641" s="246"/>
      <c r="D641" s="246"/>
      <c r="E641" s="246"/>
      <c r="F641" s="246"/>
    </row>
    <row r="642" customFormat="false" ht="11.25" hidden="false" customHeight="false" outlineLevel="0" collapsed="false">
      <c r="A642" s="246"/>
      <c r="B642" s="246"/>
      <c r="C642" s="246"/>
      <c r="D642" s="246"/>
      <c r="E642" s="246"/>
      <c r="F642" s="246"/>
    </row>
    <row r="643" customFormat="false" ht="11.25" hidden="false" customHeight="false" outlineLevel="0" collapsed="false">
      <c r="A643" s="246"/>
      <c r="B643" s="246"/>
      <c r="C643" s="246"/>
      <c r="D643" s="246"/>
      <c r="E643" s="246"/>
      <c r="F643" s="246"/>
    </row>
    <row r="644" customFormat="false" ht="11.25" hidden="false" customHeight="false" outlineLevel="0" collapsed="false">
      <c r="A644" s="246"/>
      <c r="B644" s="246"/>
      <c r="C644" s="246"/>
      <c r="D644" s="246"/>
      <c r="E644" s="246"/>
      <c r="F644" s="246"/>
    </row>
    <row r="645" customFormat="false" ht="11.25" hidden="false" customHeight="false" outlineLevel="0" collapsed="false">
      <c r="A645" s="246"/>
      <c r="B645" s="246"/>
      <c r="C645" s="246"/>
      <c r="D645" s="246"/>
      <c r="E645" s="246"/>
      <c r="F645" s="246"/>
    </row>
    <row r="646" customFormat="false" ht="11.25" hidden="false" customHeight="false" outlineLevel="0" collapsed="false">
      <c r="A646" s="246"/>
      <c r="B646" s="246"/>
      <c r="C646" s="246"/>
      <c r="D646" s="246"/>
      <c r="E646" s="246"/>
      <c r="F646" s="246"/>
    </row>
    <row r="647" customFormat="false" ht="11.25" hidden="false" customHeight="false" outlineLevel="0" collapsed="false">
      <c r="A647" s="246"/>
      <c r="B647" s="246"/>
      <c r="C647" s="246"/>
      <c r="D647" s="246"/>
      <c r="E647" s="246"/>
      <c r="F647" s="246"/>
    </row>
    <row r="648" customFormat="false" ht="11.25" hidden="false" customHeight="false" outlineLevel="0" collapsed="false">
      <c r="A648" s="246"/>
      <c r="B648" s="246"/>
      <c r="C648" s="246"/>
      <c r="D648" s="246"/>
      <c r="E648" s="246"/>
      <c r="F648" s="246"/>
    </row>
    <row r="649" customFormat="false" ht="11.25" hidden="false" customHeight="false" outlineLevel="0" collapsed="false">
      <c r="A649" s="246"/>
      <c r="B649" s="246"/>
      <c r="C649" s="246"/>
      <c r="D649" s="246"/>
      <c r="E649" s="246"/>
      <c r="F649" s="246"/>
    </row>
    <row r="650" customFormat="false" ht="11.25" hidden="false" customHeight="false" outlineLevel="0" collapsed="false">
      <c r="A650" s="246"/>
      <c r="B650" s="246"/>
      <c r="C650" s="246"/>
      <c r="D650" s="246"/>
      <c r="E650" s="246"/>
      <c r="F650" s="246"/>
    </row>
    <row r="651" customFormat="false" ht="11.25" hidden="false" customHeight="false" outlineLevel="0" collapsed="false">
      <c r="A651" s="246"/>
      <c r="B651" s="246"/>
      <c r="C651" s="246"/>
      <c r="D651" s="246"/>
      <c r="E651" s="246"/>
      <c r="F651" s="246"/>
    </row>
    <row r="652" customFormat="false" ht="11.25" hidden="false" customHeight="false" outlineLevel="0" collapsed="false">
      <c r="A652" s="246"/>
      <c r="B652" s="246"/>
      <c r="C652" s="246"/>
      <c r="D652" s="246"/>
      <c r="E652" s="246"/>
      <c r="F652" s="246"/>
    </row>
    <row r="653" customFormat="false" ht="11.25" hidden="false" customHeight="false" outlineLevel="0" collapsed="false">
      <c r="A653" s="246"/>
      <c r="B653" s="246"/>
      <c r="C653" s="246"/>
      <c r="D653" s="246"/>
      <c r="E653" s="246"/>
      <c r="F653" s="246"/>
    </row>
    <row r="654" customFormat="false" ht="11.25" hidden="false" customHeight="false" outlineLevel="0" collapsed="false">
      <c r="A654" s="246"/>
      <c r="B654" s="246"/>
      <c r="C654" s="246"/>
      <c r="D654" s="246"/>
      <c r="E654" s="246"/>
      <c r="F654" s="246"/>
    </row>
    <row r="655" customFormat="false" ht="11.25" hidden="false" customHeight="false" outlineLevel="0" collapsed="false">
      <c r="A655" s="246"/>
      <c r="B655" s="246"/>
      <c r="C655" s="246"/>
      <c r="D655" s="246"/>
      <c r="E655" s="246"/>
      <c r="F655" s="246"/>
    </row>
    <row r="656" customFormat="false" ht="11.25" hidden="false" customHeight="false" outlineLevel="0" collapsed="false">
      <c r="A656" s="246"/>
      <c r="B656" s="246"/>
      <c r="C656" s="246"/>
      <c r="D656" s="246"/>
      <c r="E656" s="246"/>
      <c r="F656" s="246"/>
    </row>
    <row r="657" customFormat="false" ht="11.25" hidden="false" customHeight="false" outlineLevel="0" collapsed="false">
      <c r="A657" s="246"/>
      <c r="B657" s="246"/>
      <c r="C657" s="246"/>
      <c r="D657" s="246"/>
      <c r="E657" s="246"/>
      <c r="F657" s="246"/>
    </row>
    <row r="658" customFormat="false" ht="11.25" hidden="false" customHeight="false" outlineLevel="0" collapsed="false">
      <c r="A658" s="246"/>
      <c r="B658" s="246"/>
      <c r="C658" s="246"/>
      <c r="D658" s="246"/>
      <c r="E658" s="246"/>
      <c r="F658" s="246"/>
    </row>
    <row r="659" customFormat="false" ht="11.25" hidden="false" customHeight="false" outlineLevel="0" collapsed="false">
      <c r="A659" s="246"/>
      <c r="B659" s="246"/>
      <c r="C659" s="246"/>
      <c r="D659" s="246"/>
      <c r="E659" s="246"/>
      <c r="F659" s="246"/>
    </row>
    <row r="660" customFormat="false" ht="11.25" hidden="false" customHeight="false" outlineLevel="0" collapsed="false">
      <c r="A660" s="246"/>
      <c r="B660" s="246"/>
      <c r="C660" s="246"/>
      <c r="D660" s="246"/>
      <c r="E660" s="246"/>
      <c r="F660" s="246"/>
    </row>
    <row r="661" customFormat="false" ht="11.25" hidden="false" customHeight="false" outlineLevel="0" collapsed="false">
      <c r="A661" s="246"/>
      <c r="B661" s="246"/>
      <c r="C661" s="246"/>
      <c r="D661" s="246"/>
      <c r="E661" s="246"/>
      <c r="F661" s="246"/>
    </row>
    <row r="662" customFormat="false" ht="11.25" hidden="false" customHeight="false" outlineLevel="0" collapsed="false">
      <c r="A662" s="246"/>
      <c r="B662" s="246"/>
      <c r="C662" s="246"/>
      <c r="D662" s="246"/>
      <c r="E662" s="246"/>
      <c r="F662" s="246"/>
    </row>
    <row r="663" customFormat="false" ht="11.25" hidden="false" customHeight="false" outlineLevel="0" collapsed="false">
      <c r="A663" s="246"/>
      <c r="B663" s="246"/>
      <c r="C663" s="246"/>
      <c r="D663" s="246"/>
      <c r="E663" s="246"/>
      <c r="F663" s="246"/>
    </row>
    <row r="664" customFormat="false" ht="11.25" hidden="false" customHeight="false" outlineLevel="0" collapsed="false">
      <c r="A664" s="246"/>
      <c r="B664" s="246"/>
      <c r="C664" s="246"/>
      <c r="D664" s="246"/>
      <c r="E664" s="246"/>
      <c r="F664" s="246"/>
    </row>
    <row r="665" customFormat="false" ht="11.25" hidden="false" customHeight="false" outlineLevel="0" collapsed="false">
      <c r="A665" s="246"/>
      <c r="B665" s="246"/>
      <c r="C665" s="246"/>
      <c r="D665" s="246"/>
      <c r="E665" s="246"/>
      <c r="F665" s="246"/>
    </row>
    <row r="666" customFormat="false" ht="11.25" hidden="false" customHeight="false" outlineLevel="0" collapsed="false">
      <c r="A666" s="246"/>
      <c r="B666" s="246"/>
      <c r="C666" s="246"/>
      <c r="D666" s="246"/>
      <c r="E666" s="246"/>
      <c r="F666" s="246"/>
    </row>
    <row r="667" customFormat="false" ht="11.25" hidden="false" customHeight="false" outlineLevel="0" collapsed="false">
      <c r="A667" s="246"/>
      <c r="B667" s="246"/>
      <c r="C667" s="246"/>
      <c r="D667" s="246"/>
      <c r="E667" s="246"/>
      <c r="F667" s="246"/>
    </row>
    <row r="668" customFormat="false" ht="11.25" hidden="false" customHeight="false" outlineLevel="0" collapsed="false">
      <c r="A668" s="246"/>
      <c r="B668" s="246"/>
      <c r="C668" s="246"/>
      <c r="D668" s="246"/>
      <c r="E668" s="246"/>
      <c r="F668" s="246"/>
    </row>
    <row r="669" customFormat="false" ht="11.25" hidden="false" customHeight="false" outlineLevel="0" collapsed="false">
      <c r="A669" s="246"/>
      <c r="B669" s="246"/>
      <c r="C669" s="246"/>
      <c r="D669" s="246"/>
      <c r="E669" s="246"/>
      <c r="F669" s="246"/>
    </row>
    <row r="670" customFormat="false" ht="11.25" hidden="false" customHeight="false" outlineLevel="0" collapsed="false">
      <c r="A670" s="246"/>
      <c r="B670" s="246"/>
      <c r="C670" s="246"/>
      <c r="D670" s="246"/>
      <c r="E670" s="246"/>
      <c r="F670" s="246"/>
    </row>
    <row r="671" customFormat="false" ht="11.25" hidden="false" customHeight="false" outlineLevel="0" collapsed="false">
      <c r="A671" s="246"/>
      <c r="B671" s="246"/>
      <c r="C671" s="246"/>
      <c r="D671" s="246"/>
      <c r="E671" s="246"/>
      <c r="F671" s="246"/>
    </row>
    <row r="672" customFormat="false" ht="11.25" hidden="false" customHeight="false" outlineLevel="0" collapsed="false">
      <c r="A672" s="246"/>
      <c r="B672" s="246"/>
      <c r="C672" s="246"/>
      <c r="D672" s="246"/>
      <c r="E672" s="246"/>
      <c r="F672" s="246"/>
    </row>
    <row r="673" customFormat="false" ht="11.25" hidden="false" customHeight="false" outlineLevel="0" collapsed="false">
      <c r="A673" s="246"/>
      <c r="B673" s="246"/>
      <c r="C673" s="246"/>
      <c r="D673" s="246"/>
      <c r="E673" s="246"/>
      <c r="F673" s="246"/>
    </row>
    <row r="674" customFormat="false" ht="11.25" hidden="false" customHeight="false" outlineLevel="0" collapsed="false">
      <c r="A674" s="246"/>
      <c r="B674" s="246"/>
      <c r="C674" s="246"/>
      <c r="D674" s="246"/>
      <c r="E674" s="246"/>
      <c r="F674" s="246"/>
    </row>
    <row r="675" customFormat="false" ht="11.25" hidden="false" customHeight="false" outlineLevel="0" collapsed="false">
      <c r="A675" s="246"/>
      <c r="B675" s="246"/>
      <c r="C675" s="246"/>
      <c r="D675" s="246"/>
      <c r="E675" s="246"/>
      <c r="F675" s="246"/>
    </row>
    <row r="676" customFormat="false" ht="11.25" hidden="false" customHeight="false" outlineLevel="0" collapsed="false">
      <c r="A676" s="246"/>
      <c r="B676" s="246"/>
      <c r="C676" s="246"/>
      <c r="D676" s="246"/>
      <c r="E676" s="246"/>
      <c r="F676" s="246"/>
    </row>
    <row r="677" customFormat="false" ht="11.25" hidden="false" customHeight="false" outlineLevel="0" collapsed="false">
      <c r="A677" s="246"/>
      <c r="B677" s="246"/>
      <c r="C677" s="246"/>
      <c r="D677" s="246"/>
      <c r="E677" s="246"/>
      <c r="F677" s="246"/>
    </row>
    <row r="678" customFormat="false" ht="11.25" hidden="false" customHeight="false" outlineLevel="0" collapsed="false">
      <c r="A678" s="246"/>
      <c r="B678" s="246"/>
      <c r="C678" s="246"/>
      <c r="D678" s="246"/>
      <c r="E678" s="246"/>
      <c r="F678" s="246"/>
    </row>
    <row r="679" customFormat="false" ht="11.25" hidden="false" customHeight="false" outlineLevel="0" collapsed="false">
      <c r="A679" s="246"/>
      <c r="B679" s="246"/>
      <c r="C679" s="246"/>
      <c r="D679" s="246"/>
      <c r="E679" s="246"/>
      <c r="F679" s="246"/>
    </row>
    <row r="680" customFormat="false" ht="11.25" hidden="false" customHeight="false" outlineLevel="0" collapsed="false">
      <c r="A680" s="246"/>
      <c r="B680" s="246"/>
      <c r="C680" s="246"/>
      <c r="D680" s="246"/>
      <c r="E680" s="246"/>
      <c r="F680" s="246"/>
    </row>
    <row r="681" customFormat="false" ht="11.25" hidden="false" customHeight="false" outlineLevel="0" collapsed="false">
      <c r="A681" s="246"/>
      <c r="B681" s="246"/>
      <c r="C681" s="246"/>
      <c r="D681" s="246"/>
      <c r="E681" s="246"/>
      <c r="F681" s="246"/>
    </row>
    <row r="682" customFormat="false" ht="11.25" hidden="false" customHeight="false" outlineLevel="0" collapsed="false">
      <c r="A682" s="246"/>
      <c r="B682" s="246"/>
      <c r="C682" s="246"/>
      <c r="D682" s="246"/>
      <c r="E682" s="246"/>
      <c r="F682" s="246"/>
    </row>
    <row r="683" customFormat="false" ht="11.25" hidden="false" customHeight="false" outlineLevel="0" collapsed="false">
      <c r="A683" s="246"/>
      <c r="B683" s="246"/>
      <c r="C683" s="246"/>
      <c r="D683" s="246"/>
      <c r="E683" s="246"/>
      <c r="F683" s="246"/>
    </row>
    <row r="684" customFormat="false" ht="11.25" hidden="false" customHeight="false" outlineLevel="0" collapsed="false">
      <c r="A684" s="246"/>
      <c r="B684" s="246"/>
      <c r="C684" s="246"/>
      <c r="D684" s="246"/>
      <c r="E684" s="246"/>
      <c r="F684" s="246"/>
    </row>
    <row r="685" customFormat="false" ht="11.25" hidden="false" customHeight="false" outlineLevel="0" collapsed="false">
      <c r="A685" s="246"/>
      <c r="B685" s="246"/>
      <c r="C685" s="246"/>
      <c r="D685" s="246"/>
      <c r="E685" s="246"/>
      <c r="F685" s="246"/>
    </row>
    <row r="686" customFormat="false" ht="11.25" hidden="false" customHeight="false" outlineLevel="0" collapsed="false">
      <c r="A686" s="246"/>
      <c r="B686" s="246"/>
      <c r="C686" s="246"/>
      <c r="D686" s="246"/>
      <c r="E686" s="246"/>
      <c r="F686" s="246"/>
    </row>
    <row r="687" customFormat="false" ht="11.25" hidden="false" customHeight="false" outlineLevel="0" collapsed="false">
      <c r="A687" s="246"/>
      <c r="B687" s="246"/>
      <c r="C687" s="246"/>
      <c r="D687" s="246"/>
      <c r="E687" s="246"/>
      <c r="F687" s="246"/>
    </row>
    <row r="688" customFormat="false" ht="11.25" hidden="false" customHeight="false" outlineLevel="0" collapsed="false">
      <c r="A688" s="246"/>
      <c r="B688" s="246"/>
      <c r="C688" s="246"/>
      <c r="D688" s="246"/>
      <c r="E688" s="246"/>
      <c r="F688" s="246"/>
    </row>
    <row r="689" customFormat="false" ht="11.25" hidden="false" customHeight="false" outlineLevel="0" collapsed="false">
      <c r="A689" s="246"/>
      <c r="B689" s="246"/>
      <c r="C689" s="246"/>
      <c r="D689" s="246"/>
      <c r="E689" s="246"/>
      <c r="F689" s="246"/>
    </row>
    <row r="690" customFormat="false" ht="11.25" hidden="false" customHeight="false" outlineLevel="0" collapsed="false">
      <c r="A690" s="246"/>
      <c r="B690" s="246"/>
      <c r="C690" s="246"/>
      <c r="D690" s="246"/>
      <c r="E690" s="246"/>
      <c r="F690" s="246"/>
    </row>
    <row r="691" customFormat="false" ht="11.25" hidden="false" customHeight="false" outlineLevel="0" collapsed="false">
      <c r="A691" s="246"/>
      <c r="B691" s="246"/>
      <c r="C691" s="246"/>
      <c r="D691" s="246"/>
      <c r="E691" s="246"/>
      <c r="F691" s="246"/>
    </row>
    <row r="692" customFormat="false" ht="11.25" hidden="false" customHeight="false" outlineLevel="0" collapsed="false">
      <c r="A692" s="246"/>
      <c r="B692" s="246"/>
      <c r="C692" s="246"/>
      <c r="D692" s="246"/>
      <c r="E692" s="246"/>
      <c r="F692" s="246"/>
    </row>
    <row r="693" customFormat="false" ht="11.25" hidden="false" customHeight="false" outlineLevel="0" collapsed="false">
      <c r="A693" s="246"/>
      <c r="B693" s="246"/>
      <c r="C693" s="246"/>
      <c r="D693" s="246"/>
      <c r="E693" s="246"/>
      <c r="F693" s="246"/>
    </row>
    <row r="694" customFormat="false" ht="11.25" hidden="false" customHeight="false" outlineLevel="0" collapsed="false">
      <c r="A694" s="246"/>
      <c r="B694" s="246"/>
      <c r="C694" s="246"/>
      <c r="D694" s="246"/>
      <c r="E694" s="246"/>
      <c r="F694" s="246"/>
    </row>
    <row r="695" customFormat="false" ht="11.25" hidden="false" customHeight="false" outlineLevel="0" collapsed="false">
      <c r="A695" s="246"/>
      <c r="B695" s="246"/>
      <c r="C695" s="246"/>
      <c r="D695" s="246"/>
      <c r="E695" s="246"/>
      <c r="F695" s="246"/>
    </row>
    <row r="696" customFormat="false" ht="11.25" hidden="false" customHeight="false" outlineLevel="0" collapsed="false">
      <c r="A696" s="246"/>
      <c r="B696" s="246"/>
      <c r="C696" s="246"/>
      <c r="D696" s="246"/>
      <c r="E696" s="246"/>
      <c r="F696" s="246"/>
    </row>
    <row r="697" customFormat="false" ht="11.25" hidden="false" customHeight="false" outlineLevel="0" collapsed="false">
      <c r="A697" s="246"/>
      <c r="B697" s="246"/>
      <c r="C697" s="246"/>
      <c r="D697" s="246"/>
      <c r="E697" s="246"/>
      <c r="F697" s="246"/>
    </row>
    <row r="698" customFormat="false" ht="11.25" hidden="false" customHeight="false" outlineLevel="0" collapsed="false">
      <c r="A698" s="246"/>
      <c r="B698" s="246"/>
      <c r="C698" s="246"/>
      <c r="D698" s="246"/>
      <c r="E698" s="246"/>
      <c r="F698" s="246"/>
    </row>
    <row r="699" customFormat="false" ht="11.25" hidden="false" customHeight="false" outlineLevel="0" collapsed="false">
      <c r="A699" s="246"/>
      <c r="B699" s="246"/>
      <c r="C699" s="246"/>
      <c r="D699" s="246"/>
      <c r="E699" s="246"/>
      <c r="F699" s="246"/>
    </row>
    <row r="700" customFormat="false" ht="11.25" hidden="false" customHeight="false" outlineLevel="0" collapsed="false">
      <c r="A700" s="246"/>
      <c r="B700" s="246"/>
      <c r="C700" s="246"/>
      <c r="D700" s="246"/>
      <c r="E700" s="246"/>
      <c r="F700" s="246"/>
    </row>
    <row r="701" customFormat="false" ht="11.25" hidden="false" customHeight="false" outlineLevel="0" collapsed="false">
      <c r="A701" s="246"/>
      <c r="B701" s="246"/>
      <c r="C701" s="246"/>
      <c r="D701" s="246"/>
      <c r="E701" s="246"/>
      <c r="F701" s="246"/>
    </row>
    <row r="702" customFormat="false" ht="11.25" hidden="false" customHeight="false" outlineLevel="0" collapsed="false">
      <c r="A702" s="246"/>
      <c r="B702" s="246"/>
      <c r="C702" s="246"/>
      <c r="D702" s="246"/>
      <c r="E702" s="246"/>
      <c r="F702" s="246"/>
    </row>
    <row r="703" customFormat="false" ht="11.25" hidden="false" customHeight="false" outlineLevel="0" collapsed="false">
      <c r="A703" s="246"/>
      <c r="B703" s="246"/>
      <c r="C703" s="246"/>
      <c r="D703" s="246"/>
      <c r="E703" s="246"/>
      <c r="F703" s="246"/>
    </row>
    <row r="704" customFormat="false" ht="11.25" hidden="false" customHeight="false" outlineLevel="0" collapsed="false">
      <c r="A704" s="246"/>
      <c r="B704" s="246"/>
      <c r="C704" s="246"/>
      <c r="D704" s="246"/>
      <c r="E704" s="246"/>
      <c r="F704" s="246"/>
    </row>
    <row r="705" customFormat="false" ht="11.25" hidden="false" customHeight="false" outlineLevel="0" collapsed="false">
      <c r="A705" s="246"/>
      <c r="B705" s="246"/>
      <c r="C705" s="246"/>
      <c r="D705" s="246"/>
      <c r="E705" s="246"/>
      <c r="F705" s="246"/>
    </row>
    <row r="706" customFormat="false" ht="11.25" hidden="false" customHeight="false" outlineLevel="0" collapsed="false">
      <c r="A706" s="246"/>
      <c r="B706" s="246"/>
      <c r="C706" s="246"/>
      <c r="D706" s="246"/>
      <c r="E706" s="246"/>
      <c r="F706" s="246"/>
    </row>
    <row r="707" customFormat="false" ht="11.25" hidden="false" customHeight="false" outlineLevel="0" collapsed="false">
      <c r="A707" s="246"/>
      <c r="B707" s="246"/>
      <c r="C707" s="246"/>
      <c r="D707" s="246"/>
      <c r="E707" s="246"/>
      <c r="F707" s="246"/>
    </row>
    <row r="708" customFormat="false" ht="11.25" hidden="false" customHeight="false" outlineLevel="0" collapsed="false">
      <c r="A708" s="246"/>
      <c r="B708" s="246"/>
      <c r="C708" s="246"/>
      <c r="D708" s="246"/>
      <c r="E708" s="246"/>
      <c r="F708" s="246"/>
    </row>
    <row r="709" customFormat="false" ht="11.25" hidden="false" customHeight="false" outlineLevel="0" collapsed="false">
      <c r="A709" s="246"/>
      <c r="B709" s="246"/>
      <c r="C709" s="246"/>
      <c r="D709" s="246"/>
      <c r="E709" s="246"/>
      <c r="F709" s="246"/>
    </row>
    <row r="710" customFormat="false" ht="11.25" hidden="false" customHeight="false" outlineLevel="0" collapsed="false">
      <c r="A710" s="246"/>
      <c r="B710" s="246"/>
      <c r="C710" s="246"/>
      <c r="D710" s="246"/>
      <c r="E710" s="246"/>
      <c r="F710" s="246"/>
    </row>
    <row r="711" customFormat="false" ht="11.25" hidden="false" customHeight="false" outlineLevel="0" collapsed="false">
      <c r="A711" s="246"/>
      <c r="B711" s="246"/>
      <c r="C711" s="246"/>
      <c r="D711" s="246"/>
      <c r="E711" s="246"/>
      <c r="F711" s="246"/>
    </row>
    <row r="712" customFormat="false" ht="11.25" hidden="false" customHeight="false" outlineLevel="0" collapsed="false">
      <c r="A712" s="246"/>
      <c r="B712" s="246"/>
      <c r="C712" s="246"/>
      <c r="D712" s="246"/>
      <c r="E712" s="246"/>
      <c r="F712" s="246"/>
    </row>
    <row r="713" customFormat="false" ht="11.25" hidden="false" customHeight="false" outlineLevel="0" collapsed="false">
      <c r="A713" s="246"/>
      <c r="B713" s="246"/>
      <c r="C713" s="246"/>
      <c r="D713" s="246"/>
      <c r="E713" s="246"/>
      <c r="F713" s="246"/>
    </row>
    <row r="714" customFormat="false" ht="11.25" hidden="false" customHeight="false" outlineLevel="0" collapsed="false">
      <c r="A714" s="246"/>
      <c r="B714" s="246"/>
      <c r="C714" s="246"/>
      <c r="D714" s="246"/>
      <c r="E714" s="246"/>
      <c r="F714" s="246"/>
    </row>
    <row r="715" customFormat="false" ht="11.25" hidden="false" customHeight="false" outlineLevel="0" collapsed="false">
      <c r="A715" s="246"/>
      <c r="B715" s="246"/>
      <c r="C715" s="246"/>
      <c r="D715" s="246"/>
      <c r="E715" s="246"/>
      <c r="F715" s="246"/>
    </row>
    <row r="716" customFormat="false" ht="11.25" hidden="false" customHeight="false" outlineLevel="0" collapsed="false">
      <c r="A716" s="246"/>
      <c r="B716" s="246"/>
      <c r="C716" s="246"/>
      <c r="D716" s="246"/>
      <c r="E716" s="246"/>
      <c r="F716" s="246"/>
    </row>
    <row r="717" customFormat="false" ht="11.25" hidden="false" customHeight="false" outlineLevel="0" collapsed="false">
      <c r="A717" s="246"/>
      <c r="B717" s="246"/>
      <c r="C717" s="246"/>
      <c r="D717" s="246"/>
      <c r="E717" s="246"/>
      <c r="F717" s="246"/>
    </row>
    <row r="718" customFormat="false" ht="11.25" hidden="false" customHeight="false" outlineLevel="0" collapsed="false">
      <c r="A718" s="246"/>
      <c r="B718" s="246"/>
      <c r="C718" s="246"/>
      <c r="D718" s="246"/>
      <c r="E718" s="246"/>
      <c r="F718" s="246"/>
    </row>
    <row r="719" customFormat="false" ht="11.25" hidden="false" customHeight="false" outlineLevel="0" collapsed="false">
      <c r="A719" s="246"/>
      <c r="B719" s="246"/>
      <c r="C719" s="246"/>
      <c r="D719" s="246"/>
      <c r="E719" s="246"/>
      <c r="F719" s="246"/>
    </row>
    <row r="720" customFormat="false" ht="11.25" hidden="false" customHeight="false" outlineLevel="0" collapsed="false">
      <c r="A720" s="246"/>
      <c r="B720" s="246"/>
      <c r="C720" s="246"/>
      <c r="D720" s="246"/>
      <c r="E720" s="246"/>
      <c r="F720" s="246"/>
    </row>
    <row r="721" customFormat="false" ht="11.25" hidden="false" customHeight="false" outlineLevel="0" collapsed="false">
      <c r="A721" s="246"/>
      <c r="B721" s="246"/>
      <c r="C721" s="246"/>
      <c r="D721" s="246"/>
      <c r="E721" s="246"/>
      <c r="F721" s="246"/>
    </row>
    <row r="722" customFormat="false" ht="11.25" hidden="false" customHeight="false" outlineLevel="0" collapsed="false">
      <c r="A722" s="246"/>
      <c r="B722" s="246"/>
      <c r="C722" s="246"/>
      <c r="D722" s="246"/>
      <c r="E722" s="246"/>
      <c r="F722" s="246"/>
    </row>
    <row r="723" customFormat="false" ht="11.25" hidden="false" customHeight="false" outlineLevel="0" collapsed="false">
      <c r="A723" s="246"/>
      <c r="B723" s="246"/>
      <c r="C723" s="246"/>
      <c r="D723" s="246"/>
      <c r="E723" s="246"/>
      <c r="F723" s="246"/>
    </row>
    <row r="724" customFormat="false" ht="11.25" hidden="false" customHeight="false" outlineLevel="0" collapsed="false">
      <c r="A724" s="246"/>
      <c r="B724" s="246"/>
      <c r="C724" s="246"/>
      <c r="D724" s="246"/>
      <c r="E724" s="246"/>
      <c r="F724" s="246"/>
    </row>
    <row r="725" customFormat="false" ht="11.25" hidden="false" customHeight="false" outlineLevel="0" collapsed="false">
      <c r="A725" s="246"/>
      <c r="B725" s="246"/>
      <c r="C725" s="246"/>
      <c r="D725" s="246"/>
      <c r="E725" s="246"/>
      <c r="F725" s="246"/>
    </row>
    <row r="726" customFormat="false" ht="11.25" hidden="false" customHeight="false" outlineLevel="0" collapsed="false">
      <c r="A726" s="246"/>
      <c r="B726" s="246"/>
      <c r="C726" s="246"/>
      <c r="D726" s="246"/>
      <c r="E726" s="246"/>
      <c r="F726" s="246"/>
    </row>
    <row r="727" customFormat="false" ht="11.25" hidden="false" customHeight="false" outlineLevel="0" collapsed="false">
      <c r="A727" s="246"/>
      <c r="B727" s="246"/>
      <c r="C727" s="246"/>
      <c r="D727" s="246"/>
      <c r="E727" s="246"/>
      <c r="F727" s="246"/>
    </row>
    <row r="728" customFormat="false" ht="11.25" hidden="false" customHeight="false" outlineLevel="0" collapsed="false">
      <c r="A728" s="246"/>
      <c r="B728" s="246"/>
      <c r="C728" s="246"/>
      <c r="D728" s="246"/>
      <c r="E728" s="246"/>
      <c r="F728" s="246"/>
    </row>
    <row r="729" customFormat="false" ht="11.25" hidden="false" customHeight="false" outlineLevel="0" collapsed="false">
      <c r="A729" s="246"/>
      <c r="B729" s="246"/>
      <c r="C729" s="246"/>
      <c r="D729" s="246"/>
      <c r="E729" s="246"/>
      <c r="F729" s="246"/>
    </row>
    <row r="730" customFormat="false" ht="11.25" hidden="false" customHeight="false" outlineLevel="0" collapsed="false">
      <c r="A730" s="246"/>
      <c r="B730" s="246"/>
      <c r="C730" s="246"/>
      <c r="D730" s="246"/>
      <c r="E730" s="246"/>
      <c r="F730" s="246"/>
    </row>
    <row r="731" customFormat="false" ht="11.25" hidden="false" customHeight="false" outlineLevel="0" collapsed="false">
      <c r="A731" s="246"/>
      <c r="B731" s="246"/>
      <c r="C731" s="246"/>
      <c r="D731" s="246"/>
      <c r="E731" s="246"/>
      <c r="F731" s="246"/>
    </row>
    <row r="732" customFormat="false" ht="11.25" hidden="false" customHeight="false" outlineLevel="0" collapsed="false">
      <c r="A732" s="246"/>
      <c r="B732" s="246"/>
      <c r="C732" s="246"/>
      <c r="D732" s="246"/>
      <c r="E732" s="246"/>
      <c r="F732" s="246"/>
    </row>
    <row r="733" customFormat="false" ht="11.25" hidden="false" customHeight="false" outlineLevel="0" collapsed="false">
      <c r="A733" s="246"/>
      <c r="B733" s="246"/>
      <c r="C733" s="246"/>
      <c r="D733" s="246"/>
      <c r="E733" s="246"/>
      <c r="F733" s="246"/>
    </row>
    <row r="734" customFormat="false" ht="11.25" hidden="false" customHeight="false" outlineLevel="0" collapsed="false">
      <c r="A734" s="246"/>
      <c r="B734" s="246"/>
      <c r="C734" s="246"/>
      <c r="D734" s="246"/>
      <c r="E734" s="246"/>
      <c r="F734" s="246"/>
    </row>
    <row r="735" customFormat="false" ht="11.25" hidden="false" customHeight="false" outlineLevel="0" collapsed="false">
      <c r="A735" s="246"/>
      <c r="B735" s="246"/>
      <c r="C735" s="246"/>
      <c r="D735" s="246"/>
      <c r="E735" s="246"/>
      <c r="F735" s="246"/>
    </row>
    <row r="736" customFormat="false" ht="11.25" hidden="false" customHeight="false" outlineLevel="0" collapsed="false">
      <c r="A736" s="246"/>
      <c r="B736" s="246"/>
      <c r="C736" s="246"/>
      <c r="D736" s="246"/>
      <c r="E736" s="246"/>
      <c r="F736" s="246"/>
    </row>
    <row r="737" customFormat="false" ht="11.25" hidden="false" customHeight="false" outlineLevel="0" collapsed="false">
      <c r="A737" s="246"/>
      <c r="B737" s="246"/>
      <c r="C737" s="246"/>
      <c r="D737" s="246"/>
      <c r="E737" s="246"/>
      <c r="F737" s="246"/>
    </row>
    <row r="738" customFormat="false" ht="11.25" hidden="false" customHeight="false" outlineLevel="0" collapsed="false">
      <c r="A738" s="246"/>
      <c r="B738" s="246"/>
      <c r="C738" s="246"/>
      <c r="D738" s="246"/>
      <c r="E738" s="246"/>
      <c r="F738" s="246"/>
    </row>
    <row r="739" customFormat="false" ht="11.25" hidden="false" customHeight="false" outlineLevel="0" collapsed="false">
      <c r="A739" s="246"/>
      <c r="B739" s="246"/>
      <c r="C739" s="246"/>
      <c r="D739" s="246"/>
      <c r="E739" s="246"/>
      <c r="F739" s="246"/>
    </row>
    <row r="740" customFormat="false" ht="11.25" hidden="false" customHeight="false" outlineLevel="0" collapsed="false">
      <c r="A740" s="246"/>
      <c r="B740" s="246"/>
      <c r="C740" s="246"/>
      <c r="D740" s="246"/>
      <c r="E740" s="246"/>
      <c r="F740" s="246"/>
    </row>
    <row r="741" customFormat="false" ht="11.25" hidden="false" customHeight="false" outlineLevel="0" collapsed="false">
      <c r="A741" s="246"/>
      <c r="B741" s="246"/>
      <c r="C741" s="246"/>
      <c r="D741" s="246"/>
      <c r="E741" s="246"/>
      <c r="F741" s="246"/>
    </row>
    <row r="742" customFormat="false" ht="11.25" hidden="false" customHeight="false" outlineLevel="0" collapsed="false">
      <c r="A742" s="246"/>
      <c r="B742" s="246"/>
      <c r="C742" s="246"/>
      <c r="D742" s="246"/>
      <c r="E742" s="246"/>
      <c r="F742" s="246"/>
    </row>
    <row r="743" customFormat="false" ht="11.25" hidden="false" customHeight="false" outlineLevel="0" collapsed="false">
      <c r="A743" s="246"/>
      <c r="B743" s="246"/>
      <c r="C743" s="246"/>
      <c r="D743" s="246"/>
      <c r="E743" s="246"/>
      <c r="F743" s="246"/>
    </row>
    <row r="744" customFormat="false" ht="11.25" hidden="false" customHeight="false" outlineLevel="0" collapsed="false">
      <c r="A744" s="246"/>
      <c r="B744" s="246"/>
      <c r="C744" s="246"/>
      <c r="D744" s="246"/>
      <c r="E744" s="246"/>
      <c r="F744" s="246"/>
    </row>
    <row r="745" customFormat="false" ht="11.25" hidden="false" customHeight="false" outlineLevel="0" collapsed="false">
      <c r="A745" s="246"/>
      <c r="B745" s="246"/>
      <c r="C745" s="246"/>
      <c r="D745" s="246"/>
      <c r="E745" s="246"/>
      <c r="F745" s="246"/>
    </row>
    <row r="746" customFormat="false" ht="11.25" hidden="false" customHeight="false" outlineLevel="0" collapsed="false">
      <c r="A746" s="246"/>
      <c r="B746" s="246"/>
      <c r="C746" s="246"/>
      <c r="D746" s="246"/>
      <c r="E746" s="246"/>
      <c r="F746" s="246"/>
    </row>
    <row r="747" customFormat="false" ht="11.25" hidden="false" customHeight="false" outlineLevel="0" collapsed="false">
      <c r="A747" s="246"/>
      <c r="B747" s="246"/>
      <c r="C747" s="246"/>
      <c r="D747" s="246"/>
      <c r="E747" s="246"/>
      <c r="F747" s="246"/>
    </row>
    <row r="748" customFormat="false" ht="11.25" hidden="false" customHeight="false" outlineLevel="0" collapsed="false">
      <c r="A748" s="246"/>
      <c r="B748" s="246"/>
      <c r="C748" s="246"/>
      <c r="D748" s="246"/>
      <c r="E748" s="246"/>
      <c r="F748" s="246"/>
    </row>
    <row r="749" customFormat="false" ht="11.25" hidden="false" customHeight="false" outlineLevel="0" collapsed="false">
      <c r="A749" s="246"/>
      <c r="B749" s="246"/>
      <c r="C749" s="246"/>
      <c r="D749" s="246"/>
      <c r="E749" s="246"/>
      <c r="F749" s="246"/>
    </row>
    <row r="750" customFormat="false" ht="11.25" hidden="false" customHeight="false" outlineLevel="0" collapsed="false">
      <c r="A750" s="246"/>
      <c r="B750" s="246"/>
      <c r="C750" s="246"/>
      <c r="D750" s="246"/>
      <c r="E750" s="246"/>
      <c r="F750" s="246"/>
    </row>
    <row r="751" customFormat="false" ht="11.25" hidden="false" customHeight="false" outlineLevel="0" collapsed="false">
      <c r="A751" s="246"/>
      <c r="B751" s="246"/>
      <c r="C751" s="246"/>
      <c r="D751" s="246"/>
      <c r="E751" s="246"/>
      <c r="F751" s="246"/>
    </row>
    <row r="752" customFormat="false" ht="11.25" hidden="false" customHeight="false" outlineLevel="0" collapsed="false">
      <c r="A752" s="246"/>
      <c r="B752" s="246"/>
      <c r="C752" s="246"/>
      <c r="D752" s="246"/>
      <c r="E752" s="246"/>
      <c r="F752" s="246"/>
    </row>
    <row r="753" customFormat="false" ht="11.25" hidden="false" customHeight="false" outlineLevel="0" collapsed="false">
      <c r="A753" s="246"/>
      <c r="B753" s="246"/>
      <c r="C753" s="246"/>
      <c r="D753" s="246"/>
      <c r="E753" s="246"/>
      <c r="F753" s="246"/>
    </row>
    <row r="754" customFormat="false" ht="11.25" hidden="false" customHeight="false" outlineLevel="0" collapsed="false">
      <c r="A754" s="246"/>
      <c r="B754" s="246"/>
      <c r="C754" s="246"/>
      <c r="D754" s="246"/>
      <c r="E754" s="246"/>
      <c r="F754" s="246"/>
    </row>
    <row r="755" customFormat="false" ht="11.25" hidden="false" customHeight="false" outlineLevel="0" collapsed="false">
      <c r="A755" s="246"/>
      <c r="B755" s="246"/>
      <c r="C755" s="246"/>
      <c r="D755" s="246"/>
      <c r="E755" s="246"/>
      <c r="F755" s="246"/>
    </row>
    <row r="756" customFormat="false" ht="11.25" hidden="false" customHeight="false" outlineLevel="0" collapsed="false">
      <c r="A756" s="246"/>
      <c r="B756" s="246"/>
      <c r="C756" s="246"/>
      <c r="D756" s="246"/>
      <c r="E756" s="246"/>
      <c r="F756" s="246"/>
    </row>
    <row r="757" customFormat="false" ht="11.25" hidden="false" customHeight="false" outlineLevel="0" collapsed="false">
      <c r="A757" s="246"/>
      <c r="B757" s="246"/>
      <c r="C757" s="246"/>
      <c r="D757" s="246"/>
      <c r="E757" s="246"/>
      <c r="F757" s="246"/>
    </row>
    <row r="758" customFormat="false" ht="11.25" hidden="false" customHeight="false" outlineLevel="0" collapsed="false">
      <c r="A758" s="246"/>
      <c r="B758" s="246"/>
      <c r="C758" s="246"/>
      <c r="D758" s="246"/>
      <c r="E758" s="246"/>
      <c r="F758" s="246"/>
    </row>
    <row r="759" customFormat="false" ht="11.25" hidden="false" customHeight="false" outlineLevel="0" collapsed="false">
      <c r="A759" s="246"/>
      <c r="B759" s="246"/>
      <c r="C759" s="246"/>
      <c r="D759" s="246"/>
      <c r="E759" s="246"/>
      <c r="F759" s="246"/>
    </row>
    <row r="760" customFormat="false" ht="11.25" hidden="false" customHeight="false" outlineLevel="0" collapsed="false">
      <c r="A760" s="246"/>
      <c r="B760" s="246"/>
      <c r="C760" s="246"/>
      <c r="D760" s="246"/>
      <c r="E760" s="246"/>
      <c r="F760" s="246"/>
    </row>
    <row r="761" customFormat="false" ht="11.25" hidden="false" customHeight="false" outlineLevel="0" collapsed="false">
      <c r="A761" s="246"/>
      <c r="B761" s="246"/>
      <c r="C761" s="246"/>
      <c r="D761" s="246"/>
      <c r="E761" s="246"/>
      <c r="F761" s="246"/>
    </row>
    <row r="762" customFormat="false" ht="11.25" hidden="false" customHeight="false" outlineLevel="0" collapsed="false">
      <c r="A762" s="246"/>
      <c r="B762" s="246"/>
      <c r="C762" s="246"/>
      <c r="D762" s="246"/>
      <c r="E762" s="246"/>
      <c r="F762" s="246"/>
    </row>
    <row r="763" customFormat="false" ht="11.25" hidden="false" customHeight="false" outlineLevel="0" collapsed="false">
      <c r="A763" s="246"/>
      <c r="B763" s="246"/>
      <c r="C763" s="246"/>
      <c r="D763" s="246"/>
      <c r="E763" s="246"/>
      <c r="F763" s="246"/>
    </row>
    <row r="764" customFormat="false" ht="11.25" hidden="false" customHeight="false" outlineLevel="0" collapsed="false">
      <c r="A764" s="246"/>
      <c r="B764" s="246"/>
      <c r="C764" s="246"/>
      <c r="D764" s="246"/>
      <c r="E764" s="246"/>
      <c r="F764" s="246"/>
    </row>
    <row r="765" customFormat="false" ht="11.25" hidden="false" customHeight="false" outlineLevel="0" collapsed="false">
      <c r="A765" s="246"/>
      <c r="B765" s="246"/>
      <c r="C765" s="246"/>
      <c r="D765" s="246"/>
      <c r="E765" s="246"/>
      <c r="F765" s="246"/>
    </row>
    <row r="766" customFormat="false" ht="11.25" hidden="false" customHeight="false" outlineLevel="0" collapsed="false">
      <c r="A766" s="246"/>
      <c r="B766" s="246"/>
      <c r="C766" s="246"/>
      <c r="D766" s="246"/>
      <c r="E766" s="246"/>
      <c r="F766" s="246"/>
    </row>
    <row r="767" customFormat="false" ht="11.25" hidden="false" customHeight="false" outlineLevel="0" collapsed="false">
      <c r="A767" s="246"/>
      <c r="B767" s="246"/>
      <c r="C767" s="246"/>
      <c r="D767" s="246"/>
      <c r="E767" s="246"/>
      <c r="F767" s="246"/>
    </row>
    <row r="768" customFormat="false" ht="11.25" hidden="false" customHeight="false" outlineLevel="0" collapsed="false">
      <c r="A768" s="246"/>
      <c r="B768" s="246"/>
      <c r="C768" s="246"/>
      <c r="D768" s="246"/>
      <c r="E768" s="246"/>
      <c r="F768" s="246"/>
    </row>
    <row r="769" customFormat="false" ht="11.25" hidden="false" customHeight="false" outlineLevel="0" collapsed="false">
      <c r="A769" s="246"/>
      <c r="B769" s="246"/>
      <c r="C769" s="246"/>
      <c r="D769" s="246"/>
      <c r="E769" s="246"/>
      <c r="F769" s="246"/>
    </row>
    <row r="770" customFormat="false" ht="11.25" hidden="false" customHeight="false" outlineLevel="0" collapsed="false">
      <c r="A770" s="246"/>
      <c r="B770" s="246"/>
      <c r="C770" s="246"/>
      <c r="D770" s="246"/>
      <c r="E770" s="246"/>
      <c r="F770" s="246"/>
    </row>
    <row r="771" customFormat="false" ht="11.25" hidden="false" customHeight="false" outlineLevel="0" collapsed="false">
      <c r="A771" s="246"/>
      <c r="B771" s="246"/>
      <c r="C771" s="246"/>
      <c r="D771" s="246"/>
      <c r="E771" s="246"/>
      <c r="F771" s="246"/>
    </row>
    <row r="772" customFormat="false" ht="11.25" hidden="false" customHeight="false" outlineLevel="0" collapsed="false">
      <c r="A772" s="246"/>
      <c r="B772" s="246"/>
      <c r="C772" s="246"/>
      <c r="D772" s="246"/>
      <c r="E772" s="246"/>
      <c r="F772" s="246"/>
    </row>
    <row r="773" customFormat="false" ht="11.25" hidden="false" customHeight="false" outlineLevel="0" collapsed="false">
      <c r="A773" s="246"/>
      <c r="B773" s="246"/>
      <c r="C773" s="246"/>
      <c r="D773" s="246"/>
      <c r="E773" s="246"/>
      <c r="F773" s="246"/>
    </row>
    <row r="774" customFormat="false" ht="11.25" hidden="false" customHeight="false" outlineLevel="0" collapsed="false">
      <c r="A774" s="246"/>
      <c r="B774" s="246"/>
      <c r="C774" s="246"/>
      <c r="D774" s="246"/>
      <c r="E774" s="246"/>
      <c r="F774" s="246"/>
    </row>
    <row r="775" customFormat="false" ht="11.25" hidden="false" customHeight="false" outlineLevel="0" collapsed="false">
      <c r="A775" s="246"/>
      <c r="B775" s="246"/>
      <c r="C775" s="246"/>
      <c r="D775" s="246"/>
      <c r="E775" s="246"/>
      <c r="F775" s="246"/>
    </row>
    <row r="776" customFormat="false" ht="11.25" hidden="false" customHeight="false" outlineLevel="0" collapsed="false">
      <c r="A776" s="246"/>
      <c r="B776" s="246"/>
      <c r="C776" s="246"/>
      <c r="D776" s="246"/>
      <c r="E776" s="246"/>
      <c r="F776" s="246"/>
    </row>
    <row r="777" customFormat="false" ht="11.25" hidden="false" customHeight="false" outlineLevel="0" collapsed="false">
      <c r="A777" s="246"/>
      <c r="B777" s="246"/>
      <c r="C777" s="246"/>
      <c r="D777" s="246"/>
      <c r="E777" s="246"/>
      <c r="F777" s="246"/>
    </row>
    <row r="778" customFormat="false" ht="11.25" hidden="false" customHeight="false" outlineLevel="0" collapsed="false">
      <c r="A778" s="246"/>
      <c r="B778" s="246"/>
      <c r="C778" s="246"/>
      <c r="D778" s="246"/>
      <c r="E778" s="246"/>
      <c r="F778" s="246"/>
    </row>
    <row r="779" customFormat="false" ht="11.25" hidden="false" customHeight="false" outlineLevel="0" collapsed="false">
      <c r="A779" s="246"/>
      <c r="B779" s="246"/>
      <c r="C779" s="246"/>
      <c r="D779" s="246"/>
      <c r="E779" s="246"/>
      <c r="F779" s="246"/>
    </row>
    <row r="780" customFormat="false" ht="11.25" hidden="false" customHeight="false" outlineLevel="0" collapsed="false">
      <c r="A780" s="246"/>
      <c r="B780" s="246"/>
      <c r="C780" s="246"/>
      <c r="D780" s="246"/>
      <c r="E780" s="246"/>
      <c r="F780" s="246"/>
    </row>
    <row r="781" customFormat="false" ht="11.25" hidden="false" customHeight="false" outlineLevel="0" collapsed="false">
      <c r="A781" s="246"/>
      <c r="B781" s="246"/>
      <c r="C781" s="246"/>
      <c r="D781" s="246"/>
      <c r="E781" s="246"/>
      <c r="F781" s="246"/>
    </row>
    <row r="782" customFormat="false" ht="11.25" hidden="false" customHeight="false" outlineLevel="0" collapsed="false">
      <c r="A782" s="246"/>
      <c r="B782" s="246"/>
      <c r="C782" s="246"/>
      <c r="D782" s="246"/>
      <c r="E782" s="246"/>
      <c r="F782" s="246"/>
    </row>
    <row r="783" customFormat="false" ht="11.25" hidden="false" customHeight="false" outlineLevel="0" collapsed="false">
      <c r="A783" s="246"/>
      <c r="B783" s="246"/>
      <c r="C783" s="246"/>
      <c r="D783" s="246"/>
      <c r="E783" s="246"/>
      <c r="F783" s="246"/>
    </row>
    <row r="784" customFormat="false" ht="11.25" hidden="false" customHeight="false" outlineLevel="0" collapsed="false">
      <c r="A784" s="246"/>
      <c r="B784" s="246"/>
      <c r="C784" s="246"/>
      <c r="D784" s="246"/>
      <c r="E784" s="246"/>
      <c r="F784" s="246"/>
    </row>
    <row r="785" customFormat="false" ht="11.25" hidden="false" customHeight="false" outlineLevel="0" collapsed="false">
      <c r="A785" s="246"/>
      <c r="B785" s="246"/>
      <c r="C785" s="246"/>
      <c r="D785" s="246"/>
      <c r="E785" s="246"/>
      <c r="F785" s="246"/>
    </row>
    <row r="786" customFormat="false" ht="11.25" hidden="false" customHeight="false" outlineLevel="0" collapsed="false">
      <c r="A786" s="246"/>
      <c r="B786" s="246"/>
      <c r="C786" s="246"/>
      <c r="D786" s="246"/>
      <c r="E786" s="246"/>
      <c r="F786" s="246"/>
    </row>
    <row r="787" customFormat="false" ht="11.25" hidden="false" customHeight="false" outlineLevel="0" collapsed="false">
      <c r="A787" s="246"/>
      <c r="B787" s="246"/>
      <c r="C787" s="246"/>
      <c r="D787" s="246"/>
      <c r="E787" s="246"/>
      <c r="F787" s="246"/>
    </row>
    <row r="788" customFormat="false" ht="11.25" hidden="false" customHeight="false" outlineLevel="0" collapsed="false">
      <c r="A788" s="246"/>
      <c r="B788" s="246"/>
      <c r="C788" s="246"/>
      <c r="D788" s="246"/>
      <c r="E788" s="246"/>
      <c r="F788" s="246"/>
    </row>
    <row r="789" customFormat="false" ht="11.25" hidden="false" customHeight="false" outlineLevel="0" collapsed="false">
      <c r="A789" s="246"/>
      <c r="B789" s="246"/>
      <c r="C789" s="246"/>
      <c r="D789" s="246"/>
      <c r="E789" s="246"/>
      <c r="F789" s="246"/>
    </row>
    <row r="790" customFormat="false" ht="11.25" hidden="false" customHeight="false" outlineLevel="0" collapsed="false">
      <c r="A790" s="246"/>
      <c r="B790" s="246"/>
      <c r="C790" s="246"/>
      <c r="D790" s="246"/>
      <c r="E790" s="246"/>
      <c r="F790" s="246"/>
    </row>
    <row r="791" customFormat="false" ht="11.25" hidden="false" customHeight="false" outlineLevel="0" collapsed="false">
      <c r="A791" s="246"/>
      <c r="B791" s="246"/>
      <c r="C791" s="246"/>
      <c r="D791" s="246"/>
      <c r="E791" s="246"/>
      <c r="F791" s="246"/>
    </row>
    <row r="792" customFormat="false" ht="11.25" hidden="false" customHeight="false" outlineLevel="0" collapsed="false">
      <c r="A792" s="246"/>
      <c r="B792" s="246"/>
      <c r="C792" s="246"/>
      <c r="D792" s="246"/>
      <c r="E792" s="246"/>
      <c r="F792" s="246"/>
    </row>
    <row r="793" customFormat="false" ht="11.25" hidden="false" customHeight="false" outlineLevel="0" collapsed="false">
      <c r="A793" s="246"/>
      <c r="B793" s="246"/>
      <c r="C793" s="246"/>
      <c r="D793" s="246"/>
      <c r="E793" s="246"/>
      <c r="F793" s="246"/>
    </row>
    <row r="794" customFormat="false" ht="11.25" hidden="false" customHeight="false" outlineLevel="0" collapsed="false">
      <c r="A794" s="246"/>
      <c r="B794" s="246"/>
      <c r="C794" s="246"/>
      <c r="D794" s="246"/>
      <c r="E794" s="246"/>
      <c r="F794" s="246"/>
    </row>
    <row r="795" customFormat="false" ht="11.25" hidden="false" customHeight="false" outlineLevel="0" collapsed="false">
      <c r="A795" s="246"/>
      <c r="B795" s="246"/>
      <c r="C795" s="246"/>
      <c r="D795" s="246"/>
      <c r="E795" s="246"/>
      <c r="F795" s="246"/>
    </row>
    <row r="796" customFormat="false" ht="11.25" hidden="false" customHeight="false" outlineLevel="0" collapsed="false">
      <c r="A796" s="246"/>
      <c r="B796" s="246"/>
      <c r="C796" s="246"/>
      <c r="D796" s="246"/>
      <c r="E796" s="246"/>
      <c r="F796" s="246"/>
    </row>
    <row r="797" customFormat="false" ht="11.25" hidden="false" customHeight="false" outlineLevel="0" collapsed="false">
      <c r="A797" s="246"/>
      <c r="B797" s="246"/>
      <c r="C797" s="246"/>
      <c r="D797" s="246"/>
      <c r="E797" s="246"/>
      <c r="F797" s="246"/>
    </row>
    <row r="798" customFormat="false" ht="11.25" hidden="false" customHeight="false" outlineLevel="0" collapsed="false">
      <c r="A798" s="246"/>
      <c r="B798" s="246"/>
      <c r="C798" s="246"/>
      <c r="D798" s="246"/>
      <c r="E798" s="246"/>
      <c r="F798" s="246"/>
    </row>
    <row r="799" customFormat="false" ht="11.25" hidden="false" customHeight="false" outlineLevel="0" collapsed="false">
      <c r="A799" s="246"/>
      <c r="B799" s="246"/>
      <c r="C799" s="246"/>
      <c r="D799" s="246"/>
      <c r="E799" s="246"/>
      <c r="F799" s="246"/>
    </row>
    <row r="800" customFormat="false" ht="11.25" hidden="false" customHeight="false" outlineLevel="0" collapsed="false">
      <c r="A800" s="246"/>
      <c r="B800" s="246"/>
      <c r="C800" s="246"/>
      <c r="D800" s="246"/>
      <c r="E800" s="246"/>
      <c r="F800" s="246"/>
    </row>
    <row r="801" customFormat="false" ht="11.25" hidden="false" customHeight="false" outlineLevel="0" collapsed="false">
      <c r="A801" s="246"/>
      <c r="B801" s="246"/>
      <c r="C801" s="246"/>
      <c r="D801" s="246"/>
      <c r="E801" s="246"/>
      <c r="F801" s="246"/>
    </row>
    <row r="802" customFormat="false" ht="11.25" hidden="false" customHeight="false" outlineLevel="0" collapsed="false">
      <c r="A802" s="246"/>
      <c r="B802" s="246"/>
      <c r="C802" s="246"/>
      <c r="D802" s="246"/>
      <c r="E802" s="246"/>
      <c r="F802" s="246"/>
    </row>
    <row r="803" customFormat="false" ht="11.25" hidden="false" customHeight="false" outlineLevel="0" collapsed="false">
      <c r="A803" s="246"/>
      <c r="B803" s="246"/>
      <c r="C803" s="246"/>
      <c r="D803" s="246"/>
      <c r="E803" s="246"/>
      <c r="F803" s="246"/>
    </row>
    <row r="804" customFormat="false" ht="11.25" hidden="false" customHeight="false" outlineLevel="0" collapsed="false">
      <c r="A804" s="246"/>
      <c r="B804" s="246"/>
      <c r="C804" s="246"/>
      <c r="D804" s="246"/>
      <c r="E804" s="246"/>
      <c r="F804" s="246"/>
    </row>
    <row r="805" customFormat="false" ht="11.25" hidden="false" customHeight="false" outlineLevel="0" collapsed="false">
      <c r="A805" s="246"/>
      <c r="B805" s="246"/>
      <c r="C805" s="246"/>
      <c r="D805" s="246"/>
      <c r="E805" s="246"/>
      <c r="F805" s="246"/>
    </row>
    <row r="806" customFormat="false" ht="11.25" hidden="false" customHeight="false" outlineLevel="0" collapsed="false">
      <c r="A806" s="246"/>
      <c r="B806" s="246"/>
      <c r="C806" s="246"/>
      <c r="D806" s="246"/>
      <c r="E806" s="246"/>
      <c r="F806" s="246"/>
    </row>
    <row r="807" customFormat="false" ht="11.25" hidden="false" customHeight="false" outlineLevel="0" collapsed="false">
      <c r="A807" s="246"/>
      <c r="B807" s="246"/>
      <c r="C807" s="246"/>
      <c r="D807" s="246"/>
      <c r="E807" s="246"/>
      <c r="F807" s="246"/>
    </row>
    <row r="808" customFormat="false" ht="11.25" hidden="false" customHeight="false" outlineLevel="0" collapsed="false">
      <c r="A808" s="246"/>
      <c r="B808" s="246"/>
      <c r="C808" s="246"/>
      <c r="D808" s="246"/>
      <c r="E808" s="246"/>
      <c r="F808" s="246"/>
    </row>
    <row r="809" customFormat="false" ht="11.25" hidden="false" customHeight="false" outlineLevel="0" collapsed="false">
      <c r="A809" s="246"/>
      <c r="B809" s="246"/>
      <c r="C809" s="246"/>
      <c r="D809" s="246"/>
      <c r="E809" s="246"/>
      <c r="F809" s="246"/>
    </row>
    <row r="810" customFormat="false" ht="11.25" hidden="false" customHeight="false" outlineLevel="0" collapsed="false">
      <c r="A810" s="246"/>
      <c r="B810" s="246"/>
      <c r="C810" s="246"/>
      <c r="D810" s="246"/>
      <c r="E810" s="246"/>
      <c r="F810" s="246"/>
    </row>
    <row r="811" customFormat="false" ht="11.25" hidden="false" customHeight="false" outlineLevel="0" collapsed="false">
      <c r="A811" s="246"/>
      <c r="B811" s="246"/>
      <c r="C811" s="246"/>
      <c r="D811" s="246"/>
      <c r="E811" s="246"/>
      <c r="F811" s="246"/>
    </row>
    <row r="812" customFormat="false" ht="11.25" hidden="false" customHeight="false" outlineLevel="0" collapsed="false">
      <c r="A812" s="246"/>
      <c r="B812" s="246"/>
      <c r="C812" s="246"/>
      <c r="D812" s="246"/>
      <c r="E812" s="246"/>
      <c r="F812" s="246"/>
    </row>
    <row r="813" customFormat="false" ht="11.25" hidden="false" customHeight="false" outlineLevel="0" collapsed="false">
      <c r="A813" s="246"/>
      <c r="B813" s="246"/>
      <c r="C813" s="246"/>
      <c r="D813" s="246"/>
      <c r="E813" s="246"/>
      <c r="F813" s="246"/>
    </row>
    <row r="814" customFormat="false" ht="11.25" hidden="false" customHeight="false" outlineLevel="0" collapsed="false">
      <c r="A814" s="246"/>
      <c r="B814" s="246"/>
      <c r="C814" s="246"/>
      <c r="D814" s="246"/>
      <c r="E814" s="246"/>
      <c r="F814" s="246"/>
    </row>
    <row r="815" customFormat="false" ht="11.25" hidden="false" customHeight="false" outlineLevel="0" collapsed="false">
      <c r="A815" s="246"/>
      <c r="B815" s="246"/>
      <c r="C815" s="246"/>
      <c r="D815" s="246"/>
      <c r="E815" s="246"/>
      <c r="F815" s="246"/>
    </row>
    <row r="816" customFormat="false" ht="11.25" hidden="false" customHeight="false" outlineLevel="0" collapsed="false">
      <c r="A816" s="246"/>
      <c r="B816" s="246"/>
      <c r="C816" s="246"/>
      <c r="D816" s="246"/>
      <c r="E816" s="246"/>
      <c r="F816" s="246"/>
    </row>
    <row r="817" customFormat="false" ht="11.25" hidden="false" customHeight="false" outlineLevel="0" collapsed="false">
      <c r="A817" s="246"/>
      <c r="B817" s="246"/>
      <c r="C817" s="246"/>
      <c r="D817" s="246"/>
      <c r="E817" s="246"/>
      <c r="F817" s="246"/>
    </row>
    <row r="818" customFormat="false" ht="11.25" hidden="false" customHeight="false" outlineLevel="0" collapsed="false">
      <c r="A818" s="246"/>
      <c r="B818" s="246"/>
      <c r="C818" s="246"/>
      <c r="D818" s="246"/>
      <c r="E818" s="246"/>
      <c r="F818" s="246"/>
    </row>
    <row r="819" customFormat="false" ht="11.25" hidden="false" customHeight="false" outlineLevel="0" collapsed="false">
      <c r="A819" s="246"/>
      <c r="B819" s="246"/>
      <c r="C819" s="246"/>
      <c r="D819" s="246"/>
      <c r="E819" s="246"/>
      <c r="F819" s="246"/>
    </row>
    <row r="820" customFormat="false" ht="11.25" hidden="false" customHeight="false" outlineLevel="0" collapsed="false">
      <c r="A820" s="246"/>
      <c r="B820" s="246"/>
      <c r="C820" s="246"/>
      <c r="D820" s="246"/>
      <c r="E820" s="246"/>
      <c r="F820" s="246"/>
    </row>
    <row r="821" customFormat="false" ht="11.25" hidden="false" customHeight="false" outlineLevel="0" collapsed="false">
      <c r="A821" s="246"/>
      <c r="B821" s="246"/>
      <c r="C821" s="246"/>
      <c r="D821" s="246"/>
      <c r="E821" s="246"/>
      <c r="F821" s="246"/>
    </row>
    <row r="822" customFormat="false" ht="11.25" hidden="false" customHeight="false" outlineLevel="0" collapsed="false">
      <c r="A822" s="246"/>
      <c r="B822" s="246"/>
      <c r="C822" s="246"/>
      <c r="D822" s="246"/>
      <c r="E822" s="246"/>
      <c r="F822" s="246"/>
    </row>
    <row r="823" customFormat="false" ht="11.25" hidden="false" customHeight="false" outlineLevel="0" collapsed="false">
      <c r="A823" s="246"/>
      <c r="B823" s="246"/>
      <c r="C823" s="246"/>
      <c r="D823" s="246"/>
      <c r="E823" s="246"/>
      <c r="F823" s="246"/>
    </row>
    <row r="824" customFormat="false" ht="11.25" hidden="false" customHeight="false" outlineLevel="0" collapsed="false">
      <c r="A824" s="246"/>
      <c r="B824" s="246"/>
      <c r="C824" s="246"/>
      <c r="D824" s="246"/>
      <c r="E824" s="246"/>
      <c r="F824" s="246"/>
    </row>
    <row r="825" customFormat="false" ht="11.25" hidden="false" customHeight="false" outlineLevel="0" collapsed="false">
      <c r="A825" s="246"/>
      <c r="B825" s="246"/>
      <c r="C825" s="246"/>
      <c r="D825" s="246"/>
      <c r="E825" s="246"/>
      <c r="F825" s="246"/>
    </row>
    <row r="826" customFormat="false" ht="11.25" hidden="false" customHeight="false" outlineLevel="0" collapsed="false">
      <c r="A826" s="246"/>
      <c r="B826" s="246"/>
      <c r="C826" s="246"/>
      <c r="D826" s="246"/>
      <c r="E826" s="246"/>
      <c r="F826" s="246"/>
    </row>
    <row r="827" customFormat="false" ht="11.25" hidden="false" customHeight="false" outlineLevel="0" collapsed="false">
      <c r="A827" s="246"/>
      <c r="B827" s="246"/>
      <c r="C827" s="246"/>
      <c r="D827" s="246"/>
      <c r="E827" s="246"/>
      <c r="F827" s="246"/>
    </row>
    <row r="828" customFormat="false" ht="11.25" hidden="false" customHeight="false" outlineLevel="0" collapsed="false">
      <c r="A828" s="246"/>
      <c r="B828" s="246"/>
      <c r="C828" s="246"/>
      <c r="D828" s="246"/>
      <c r="E828" s="246"/>
      <c r="F828" s="246"/>
    </row>
    <row r="829" customFormat="false" ht="11.25" hidden="false" customHeight="false" outlineLevel="0" collapsed="false">
      <c r="A829" s="246"/>
      <c r="B829" s="246"/>
      <c r="C829" s="246"/>
      <c r="D829" s="246"/>
      <c r="E829" s="246"/>
      <c r="F829" s="246"/>
    </row>
    <row r="830" customFormat="false" ht="11.25" hidden="false" customHeight="false" outlineLevel="0" collapsed="false">
      <c r="A830" s="246"/>
      <c r="B830" s="246"/>
      <c r="C830" s="246"/>
      <c r="D830" s="246"/>
      <c r="E830" s="246"/>
      <c r="F830" s="246"/>
    </row>
    <row r="831" customFormat="false" ht="11.25" hidden="false" customHeight="false" outlineLevel="0" collapsed="false">
      <c r="A831" s="246"/>
      <c r="B831" s="246"/>
      <c r="C831" s="246"/>
      <c r="D831" s="246"/>
      <c r="E831" s="246"/>
      <c r="F831" s="246"/>
    </row>
    <row r="832" customFormat="false" ht="11.25" hidden="false" customHeight="false" outlineLevel="0" collapsed="false">
      <c r="A832" s="246"/>
      <c r="B832" s="246"/>
      <c r="C832" s="246"/>
      <c r="D832" s="246"/>
      <c r="E832" s="246"/>
      <c r="F832" s="246"/>
    </row>
    <row r="833" customFormat="false" ht="11.25" hidden="false" customHeight="false" outlineLevel="0" collapsed="false">
      <c r="A833" s="246"/>
      <c r="B833" s="246"/>
      <c r="C833" s="246"/>
      <c r="D833" s="246"/>
      <c r="E833" s="246"/>
      <c r="F833" s="246"/>
    </row>
    <row r="834" customFormat="false" ht="11.25" hidden="false" customHeight="false" outlineLevel="0" collapsed="false">
      <c r="A834" s="246"/>
      <c r="B834" s="246"/>
      <c r="C834" s="246"/>
      <c r="D834" s="246"/>
      <c r="E834" s="246"/>
      <c r="F834" s="246"/>
    </row>
    <row r="835" customFormat="false" ht="11.25" hidden="false" customHeight="false" outlineLevel="0" collapsed="false">
      <c r="A835" s="246"/>
      <c r="B835" s="246"/>
      <c r="C835" s="246"/>
      <c r="D835" s="246"/>
      <c r="E835" s="246"/>
      <c r="F835" s="246"/>
    </row>
    <row r="836" customFormat="false" ht="11.25" hidden="false" customHeight="false" outlineLevel="0" collapsed="false">
      <c r="A836" s="246"/>
      <c r="B836" s="246"/>
      <c r="C836" s="246"/>
      <c r="D836" s="246"/>
      <c r="E836" s="246"/>
      <c r="F836" s="246"/>
    </row>
    <row r="837" customFormat="false" ht="11.25" hidden="false" customHeight="false" outlineLevel="0" collapsed="false">
      <c r="A837" s="246"/>
      <c r="B837" s="246"/>
      <c r="C837" s="246"/>
      <c r="D837" s="246"/>
      <c r="E837" s="246"/>
      <c r="F837" s="246"/>
    </row>
    <row r="838" customFormat="false" ht="11.25" hidden="false" customHeight="false" outlineLevel="0" collapsed="false">
      <c r="A838" s="246"/>
      <c r="B838" s="246"/>
      <c r="C838" s="246"/>
      <c r="D838" s="246"/>
      <c r="E838" s="246"/>
      <c r="F838" s="246"/>
    </row>
    <row r="839" customFormat="false" ht="11.25" hidden="false" customHeight="false" outlineLevel="0" collapsed="false">
      <c r="A839" s="246"/>
      <c r="B839" s="246"/>
      <c r="C839" s="246"/>
      <c r="D839" s="246"/>
      <c r="E839" s="246"/>
      <c r="F839" s="246"/>
    </row>
    <row r="840" customFormat="false" ht="11.25" hidden="false" customHeight="false" outlineLevel="0" collapsed="false">
      <c r="A840" s="246"/>
      <c r="B840" s="246"/>
      <c r="C840" s="246"/>
      <c r="D840" s="246"/>
      <c r="E840" s="246"/>
      <c r="F840" s="246"/>
    </row>
    <row r="841" customFormat="false" ht="11.25" hidden="false" customHeight="false" outlineLevel="0" collapsed="false">
      <c r="A841" s="246"/>
      <c r="B841" s="246"/>
      <c r="C841" s="246"/>
      <c r="D841" s="246"/>
      <c r="E841" s="246"/>
      <c r="F841" s="246"/>
    </row>
    <row r="842" customFormat="false" ht="11.25" hidden="false" customHeight="false" outlineLevel="0" collapsed="false">
      <c r="A842" s="246"/>
      <c r="B842" s="246"/>
      <c r="C842" s="246"/>
      <c r="D842" s="246"/>
      <c r="E842" s="246"/>
      <c r="F842" s="246"/>
    </row>
    <row r="843" customFormat="false" ht="11.25" hidden="false" customHeight="false" outlineLevel="0" collapsed="false">
      <c r="A843" s="246"/>
      <c r="B843" s="246"/>
      <c r="C843" s="246"/>
      <c r="D843" s="246"/>
      <c r="E843" s="246"/>
      <c r="F843" s="246"/>
    </row>
    <row r="844" customFormat="false" ht="11.25" hidden="false" customHeight="false" outlineLevel="0" collapsed="false">
      <c r="A844" s="246"/>
      <c r="B844" s="246"/>
      <c r="C844" s="246"/>
      <c r="D844" s="246"/>
      <c r="E844" s="246"/>
      <c r="F844" s="246"/>
    </row>
    <row r="845" customFormat="false" ht="11.25" hidden="false" customHeight="false" outlineLevel="0" collapsed="false">
      <c r="A845" s="246"/>
      <c r="B845" s="246"/>
      <c r="C845" s="246"/>
      <c r="D845" s="246"/>
      <c r="E845" s="246"/>
      <c r="F845" s="246"/>
    </row>
    <row r="846" customFormat="false" ht="11.25" hidden="false" customHeight="false" outlineLevel="0" collapsed="false">
      <c r="A846" s="246"/>
      <c r="B846" s="246"/>
      <c r="C846" s="246"/>
      <c r="D846" s="246"/>
      <c r="E846" s="246"/>
      <c r="F846" s="246"/>
    </row>
    <row r="847" customFormat="false" ht="11.25" hidden="false" customHeight="false" outlineLevel="0" collapsed="false">
      <c r="A847" s="246"/>
      <c r="B847" s="246"/>
      <c r="C847" s="246"/>
      <c r="D847" s="246"/>
      <c r="E847" s="246"/>
      <c r="F847" s="246"/>
    </row>
    <row r="848" customFormat="false" ht="11.25" hidden="false" customHeight="false" outlineLevel="0" collapsed="false">
      <c r="A848" s="246"/>
      <c r="B848" s="246"/>
      <c r="C848" s="246"/>
      <c r="D848" s="246"/>
      <c r="E848" s="246"/>
      <c r="F848" s="246"/>
    </row>
    <row r="849" customFormat="false" ht="11.25" hidden="false" customHeight="false" outlineLevel="0" collapsed="false">
      <c r="A849" s="246"/>
      <c r="B849" s="246"/>
      <c r="C849" s="246"/>
      <c r="D849" s="246"/>
      <c r="E849" s="246"/>
      <c r="F849" s="246"/>
    </row>
    <row r="850" customFormat="false" ht="11.25" hidden="false" customHeight="false" outlineLevel="0" collapsed="false">
      <c r="A850" s="246"/>
      <c r="B850" s="246"/>
      <c r="C850" s="246"/>
      <c r="D850" s="246"/>
      <c r="E850" s="246"/>
      <c r="F850" s="246"/>
    </row>
    <row r="851" customFormat="false" ht="11.25" hidden="false" customHeight="false" outlineLevel="0" collapsed="false">
      <c r="A851" s="246"/>
      <c r="B851" s="246"/>
      <c r="C851" s="246"/>
      <c r="D851" s="246"/>
      <c r="E851" s="246"/>
      <c r="F851" s="246"/>
    </row>
    <row r="852" customFormat="false" ht="11.25" hidden="false" customHeight="false" outlineLevel="0" collapsed="false">
      <c r="A852" s="246"/>
      <c r="B852" s="246"/>
      <c r="C852" s="246"/>
      <c r="D852" s="246"/>
      <c r="E852" s="246"/>
      <c r="F852" s="246"/>
    </row>
    <row r="853" customFormat="false" ht="11.25" hidden="false" customHeight="false" outlineLevel="0" collapsed="false">
      <c r="A853" s="246"/>
      <c r="B853" s="246"/>
      <c r="C853" s="246"/>
      <c r="D853" s="246"/>
      <c r="E853" s="246"/>
      <c r="F853" s="246"/>
    </row>
    <row r="854" customFormat="false" ht="11.25" hidden="false" customHeight="false" outlineLevel="0" collapsed="false">
      <c r="A854" s="246"/>
      <c r="B854" s="246"/>
      <c r="C854" s="246"/>
      <c r="D854" s="246"/>
      <c r="E854" s="246"/>
      <c r="F854" s="246"/>
    </row>
    <row r="855" customFormat="false" ht="11.25" hidden="false" customHeight="false" outlineLevel="0" collapsed="false">
      <c r="A855" s="246"/>
      <c r="B855" s="246"/>
      <c r="C855" s="246"/>
      <c r="D855" s="246"/>
      <c r="E855" s="246"/>
      <c r="F855" s="246"/>
    </row>
    <row r="856" customFormat="false" ht="11.25" hidden="false" customHeight="false" outlineLevel="0" collapsed="false">
      <c r="A856" s="246"/>
      <c r="B856" s="246"/>
      <c r="C856" s="246"/>
      <c r="D856" s="246"/>
      <c r="E856" s="246"/>
      <c r="F856" s="246"/>
    </row>
    <row r="857" customFormat="false" ht="11.25" hidden="false" customHeight="false" outlineLevel="0" collapsed="false">
      <c r="A857" s="246"/>
      <c r="B857" s="246"/>
      <c r="C857" s="246"/>
      <c r="D857" s="246"/>
      <c r="E857" s="246"/>
      <c r="F857" s="246"/>
    </row>
    <row r="858" customFormat="false" ht="11.25" hidden="false" customHeight="false" outlineLevel="0" collapsed="false">
      <c r="A858" s="246"/>
      <c r="B858" s="246"/>
      <c r="C858" s="246"/>
      <c r="D858" s="246"/>
      <c r="E858" s="246"/>
      <c r="F858" s="246"/>
    </row>
    <row r="859" customFormat="false" ht="11.25" hidden="false" customHeight="false" outlineLevel="0" collapsed="false">
      <c r="A859" s="246"/>
      <c r="B859" s="246"/>
      <c r="C859" s="246"/>
      <c r="D859" s="246"/>
      <c r="E859" s="246"/>
      <c r="F859" s="246"/>
    </row>
    <row r="860" customFormat="false" ht="11.25" hidden="false" customHeight="false" outlineLevel="0" collapsed="false">
      <c r="A860" s="246"/>
      <c r="B860" s="246"/>
      <c r="C860" s="246"/>
      <c r="D860" s="246"/>
      <c r="E860" s="246"/>
      <c r="F860" s="246"/>
    </row>
    <row r="861" customFormat="false" ht="11.25" hidden="false" customHeight="false" outlineLevel="0" collapsed="false">
      <c r="A861" s="246"/>
      <c r="B861" s="246"/>
      <c r="C861" s="246"/>
      <c r="D861" s="246"/>
      <c r="E861" s="246"/>
      <c r="F861" s="246"/>
    </row>
    <row r="862" customFormat="false" ht="11.25" hidden="false" customHeight="false" outlineLevel="0" collapsed="false">
      <c r="A862" s="246"/>
      <c r="B862" s="246"/>
      <c r="C862" s="246"/>
      <c r="D862" s="246"/>
      <c r="E862" s="246"/>
      <c r="F862" s="246"/>
    </row>
    <row r="863" customFormat="false" ht="11.25" hidden="false" customHeight="false" outlineLevel="0" collapsed="false">
      <c r="A863" s="246"/>
      <c r="B863" s="246"/>
      <c r="C863" s="246"/>
      <c r="D863" s="246"/>
      <c r="E863" s="246"/>
      <c r="F863" s="246"/>
    </row>
    <row r="864" customFormat="false" ht="11.25" hidden="false" customHeight="false" outlineLevel="0" collapsed="false">
      <c r="A864" s="246"/>
      <c r="B864" s="246"/>
      <c r="C864" s="246"/>
      <c r="D864" s="246"/>
      <c r="E864" s="246"/>
      <c r="F864" s="246"/>
    </row>
    <row r="865" customFormat="false" ht="11.25" hidden="false" customHeight="false" outlineLevel="0" collapsed="false">
      <c r="A865" s="246"/>
      <c r="B865" s="246"/>
      <c r="C865" s="246"/>
      <c r="D865" s="246"/>
      <c r="E865" s="246"/>
      <c r="F865" s="246"/>
    </row>
    <row r="866" customFormat="false" ht="11.25" hidden="false" customHeight="false" outlineLevel="0" collapsed="false">
      <c r="A866" s="246"/>
      <c r="B866" s="246"/>
      <c r="C866" s="246"/>
      <c r="D866" s="246"/>
      <c r="E866" s="246"/>
      <c r="F866" s="246"/>
    </row>
    <row r="867" customFormat="false" ht="11.25" hidden="false" customHeight="false" outlineLevel="0" collapsed="false">
      <c r="A867" s="246"/>
      <c r="B867" s="246"/>
      <c r="C867" s="246"/>
      <c r="D867" s="246"/>
      <c r="E867" s="246"/>
      <c r="F867" s="246"/>
    </row>
    <row r="868" customFormat="false" ht="11.25" hidden="false" customHeight="false" outlineLevel="0" collapsed="false">
      <c r="A868" s="246"/>
      <c r="B868" s="246"/>
      <c r="C868" s="246"/>
      <c r="D868" s="246"/>
      <c r="E868" s="246"/>
      <c r="F868" s="246"/>
    </row>
    <row r="869" customFormat="false" ht="11.25" hidden="false" customHeight="false" outlineLevel="0" collapsed="false">
      <c r="A869" s="246"/>
      <c r="B869" s="246"/>
      <c r="C869" s="246"/>
      <c r="D869" s="246"/>
      <c r="E869" s="246"/>
      <c r="F869" s="246"/>
    </row>
    <row r="870" customFormat="false" ht="11.25" hidden="false" customHeight="false" outlineLevel="0" collapsed="false">
      <c r="A870" s="246"/>
      <c r="B870" s="246"/>
      <c r="C870" s="246"/>
      <c r="D870" s="246"/>
      <c r="E870" s="246"/>
      <c r="F870" s="246"/>
    </row>
    <row r="871" customFormat="false" ht="11.25" hidden="false" customHeight="false" outlineLevel="0" collapsed="false">
      <c r="A871" s="246"/>
      <c r="B871" s="246"/>
      <c r="C871" s="246"/>
      <c r="D871" s="246"/>
      <c r="E871" s="246"/>
      <c r="F871" s="246"/>
    </row>
    <row r="872" customFormat="false" ht="11.25" hidden="false" customHeight="false" outlineLevel="0" collapsed="false">
      <c r="A872" s="246"/>
      <c r="B872" s="246"/>
      <c r="C872" s="246"/>
      <c r="D872" s="246"/>
      <c r="E872" s="246"/>
      <c r="F872" s="246"/>
    </row>
    <row r="873" customFormat="false" ht="11.25" hidden="false" customHeight="false" outlineLevel="0" collapsed="false">
      <c r="A873" s="246"/>
      <c r="B873" s="246"/>
      <c r="C873" s="246"/>
      <c r="D873" s="246"/>
      <c r="E873" s="246"/>
      <c r="F873" s="246"/>
    </row>
    <row r="874" customFormat="false" ht="11.25" hidden="false" customHeight="false" outlineLevel="0" collapsed="false">
      <c r="A874" s="246"/>
      <c r="B874" s="246"/>
      <c r="C874" s="246"/>
      <c r="D874" s="246"/>
      <c r="E874" s="246"/>
      <c r="F874" s="246"/>
    </row>
    <row r="875" customFormat="false" ht="11.25" hidden="false" customHeight="false" outlineLevel="0" collapsed="false">
      <c r="A875" s="246"/>
      <c r="B875" s="246"/>
      <c r="C875" s="246"/>
      <c r="D875" s="246"/>
      <c r="E875" s="246"/>
      <c r="F875" s="246"/>
    </row>
    <row r="876" customFormat="false" ht="11.25" hidden="false" customHeight="false" outlineLevel="0" collapsed="false">
      <c r="A876" s="246"/>
      <c r="B876" s="246"/>
      <c r="C876" s="246"/>
      <c r="D876" s="246"/>
      <c r="E876" s="246"/>
      <c r="F876" s="246"/>
    </row>
    <row r="877" customFormat="false" ht="11.25" hidden="false" customHeight="false" outlineLevel="0" collapsed="false">
      <c r="A877" s="246"/>
      <c r="B877" s="246"/>
      <c r="C877" s="246"/>
      <c r="D877" s="246"/>
      <c r="E877" s="246"/>
      <c r="F877" s="246"/>
    </row>
    <row r="878" customFormat="false" ht="11.25" hidden="false" customHeight="false" outlineLevel="0" collapsed="false">
      <c r="A878" s="246"/>
      <c r="B878" s="246"/>
      <c r="C878" s="246"/>
      <c r="D878" s="246"/>
      <c r="E878" s="246"/>
      <c r="F878" s="246"/>
    </row>
    <row r="879" customFormat="false" ht="11.25" hidden="false" customHeight="false" outlineLevel="0" collapsed="false">
      <c r="A879" s="246"/>
      <c r="B879" s="246"/>
      <c r="C879" s="246"/>
      <c r="D879" s="246"/>
      <c r="E879" s="246"/>
      <c r="F879" s="246"/>
    </row>
    <row r="880" customFormat="false" ht="11.25" hidden="false" customHeight="false" outlineLevel="0" collapsed="false">
      <c r="A880" s="246"/>
      <c r="B880" s="246"/>
      <c r="C880" s="246"/>
      <c r="D880" s="246"/>
      <c r="E880" s="246"/>
      <c r="F880" s="246"/>
    </row>
    <row r="881" customFormat="false" ht="11.25" hidden="false" customHeight="false" outlineLevel="0" collapsed="false">
      <c r="A881" s="246"/>
      <c r="B881" s="246"/>
      <c r="C881" s="246"/>
      <c r="D881" s="246"/>
      <c r="E881" s="246"/>
      <c r="F881" s="246"/>
    </row>
    <row r="882" customFormat="false" ht="11.25" hidden="false" customHeight="false" outlineLevel="0" collapsed="false">
      <c r="A882" s="246"/>
      <c r="B882" s="246"/>
      <c r="C882" s="246"/>
      <c r="D882" s="246"/>
      <c r="E882" s="246"/>
      <c r="F882" s="246"/>
    </row>
    <row r="883" customFormat="false" ht="11.25" hidden="false" customHeight="false" outlineLevel="0" collapsed="false">
      <c r="A883" s="246"/>
      <c r="B883" s="246"/>
      <c r="C883" s="246"/>
      <c r="D883" s="246"/>
      <c r="E883" s="246"/>
      <c r="F883" s="246"/>
    </row>
    <row r="884" customFormat="false" ht="11.25" hidden="false" customHeight="false" outlineLevel="0" collapsed="false">
      <c r="A884" s="246"/>
      <c r="B884" s="246"/>
      <c r="C884" s="246"/>
      <c r="D884" s="246"/>
      <c r="E884" s="246"/>
      <c r="F884" s="246"/>
    </row>
    <row r="885" customFormat="false" ht="11.25" hidden="false" customHeight="false" outlineLevel="0" collapsed="false">
      <c r="A885" s="246"/>
      <c r="B885" s="246"/>
      <c r="C885" s="246"/>
      <c r="D885" s="246"/>
      <c r="E885" s="246"/>
      <c r="F885" s="246"/>
    </row>
    <row r="886" customFormat="false" ht="11.25" hidden="false" customHeight="false" outlineLevel="0" collapsed="false">
      <c r="A886" s="246"/>
      <c r="B886" s="246"/>
      <c r="C886" s="246"/>
      <c r="D886" s="246"/>
      <c r="E886" s="246"/>
      <c r="F886" s="246"/>
    </row>
    <row r="887" customFormat="false" ht="11.25" hidden="false" customHeight="false" outlineLevel="0" collapsed="false">
      <c r="A887" s="246"/>
      <c r="B887" s="246"/>
      <c r="C887" s="246"/>
      <c r="D887" s="246"/>
      <c r="E887" s="246"/>
      <c r="F887" s="246"/>
    </row>
    <row r="888" customFormat="false" ht="11.25" hidden="false" customHeight="false" outlineLevel="0" collapsed="false">
      <c r="A888" s="246"/>
      <c r="B888" s="246"/>
      <c r="C888" s="246"/>
      <c r="D888" s="246"/>
      <c r="E888" s="246"/>
      <c r="F888" s="246"/>
    </row>
    <row r="889" customFormat="false" ht="11.25" hidden="false" customHeight="false" outlineLevel="0" collapsed="false">
      <c r="A889" s="246"/>
      <c r="B889" s="246"/>
      <c r="C889" s="246"/>
      <c r="D889" s="246"/>
      <c r="E889" s="246"/>
      <c r="F889" s="246"/>
    </row>
    <row r="890" customFormat="false" ht="11.25" hidden="false" customHeight="false" outlineLevel="0" collapsed="false">
      <c r="A890" s="246"/>
      <c r="B890" s="246"/>
      <c r="C890" s="246"/>
      <c r="D890" s="246"/>
      <c r="E890" s="246"/>
      <c r="F890" s="246"/>
    </row>
    <row r="891" customFormat="false" ht="11.25" hidden="false" customHeight="false" outlineLevel="0" collapsed="false">
      <c r="A891" s="246"/>
      <c r="B891" s="246"/>
      <c r="C891" s="246"/>
      <c r="D891" s="246"/>
      <c r="E891" s="246"/>
      <c r="F891" s="246"/>
    </row>
    <row r="892" customFormat="false" ht="11.25" hidden="false" customHeight="false" outlineLevel="0" collapsed="false">
      <c r="A892" s="246"/>
      <c r="B892" s="246"/>
      <c r="C892" s="246"/>
      <c r="D892" s="246"/>
      <c r="E892" s="246"/>
      <c r="F892" s="246"/>
    </row>
    <row r="893" customFormat="false" ht="11.25" hidden="false" customHeight="false" outlineLevel="0" collapsed="false">
      <c r="A893" s="246"/>
      <c r="B893" s="246"/>
      <c r="C893" s="246"/>
      <c r="D893" s="246"/>
      <c r="E893" s="246"/>
      <c r="F893" s="246"/>
    </row>
    <row r="894" customFormat="false" ht="11.25" hidden="false" customHeight="false" outlineLevel="0" collapsed="false">
      <c r="A894" s="246"/>
      <c r="B894" s="246"/>
      <c r="C894" s="246"/>
      <c r="D894" s="246"/>
      <c r="E894" s="246"/>
      <c r="F894" s="246"/>
    </row>
    <row r="895" customFormat="false" ht="11.25" hidden="false" customHeight="false" outlineLevel="0" collapsed="false">
      <c r="A895" s="246"/>
      <c r="B895" s="246"/>
      <c r="C895" s="246"/>
      <c r="D895" s="246"/>
      <c r="E895" s="246"/>
      <c r="F895" s="246"/>
    </row>
    <row r="896" customFormat="false" ht="11.25" hidden="false" customHeight="false" outlineLevel="0" collapsed="false">
      <c r="A896" s="246"/>
      <c r="B896" s="246"/>
      <c r="C896" s="246"/>
      <c r="D896" s="246"/>
      <c r="E896" s="246"/>
      <c r="F896" s="246"/>
    </row>
    <row r="897" customFormat="false" ht="11.25" hidden="false" customHeight="false" outlineLevel="0" collapsed="false">
      <c r="A897" s="246"/>
      <c r="B897" s="246"/>
      <c r="C897" s="246"/>
      <c r="D897" s="246"/>
      <c r="E897" s="246"/>
      <c r="F897" s="246"/>
    </row>
    <row r="898" customFormat="false" ht="11.25" hidden="false" customHeight="false" outlineLevel="0" collapsed="false">
      <c r="A898" s="246"/>
      <c r="B898" s="246"/>
      <c r="C898" s="246"/>
      <c r="D898" s="246"/>
      <c r="E898" s="246"/>
      <c r="F898" s="246"/>
    </row>
    <row r="899" customFormat="false" ht="11.25" hidden="false" customHeight="false" outlineLevel="0" collapsed="false">
      <c r="A899" s="246"/>
      <c r="B899" s="246"/>
      <c r="C899" s="246"/>
      <c r="D899" s="246"/>
      <c r="E899" s="246"/>
      <c r="F899" s="246"/>
    </row>
    <row r="900" customFormat="false" ht="11.25" hidden="false" customHeight="false" outlineLevel="0" collapsed="false">
      <c r="A900" s="246"/>
      <c r="B900" s="246"/>
      <c r="C900" s="246"/>
      <c r="D900" s="246"/>
      <c r="E900" s="246"/>
      <c r="F900" s="246"/>
    </row>
    <row r="901" customFormat="false" ht="11.25" hidden="false" customHeight="false" outlineLevel="0" collapsed="false">
      <c r="A901" s="246"/>
      <c r="B901" s="246"/>
      <c r="C901" s="246"/>
      <c r="D901" s="246"/>
      <c r="E901" s="246"/>
      <c r="F901" s="246"/>
    </row>
    <row r="902" customFormat="false" ht="11.25" hidden="false" customHeight="false" outlineLevel="0" collapsed="false">
      <c r="A902" s="246"/>
      <c r="B902" s="246"/>
      <c r="C902" s="246"/>
      <c r="D902" s="246"/>
      <c r="E902" s="246"/>
      <c r="F902" s="246"/>
    </row>
    <row r="903" customFormat="false" ht="11.25" hidden="false" customHeight="false" outlineLevel="0" collapsed="false">
      <c r="A903" s="246"/>
      <c r="B903" s="246"/>
      <c r="C903" s="246"/>
      <c r="D903" s="246"/>
      <c r="E903" s="246"/>
      <c r="F903" s="246"/>
    </row>
    <row r="904" customFormat="false" ht="11.25" hidden="false" customHeight="false" outlineLevel="0" collapsed="false">
      <c r="A904" s="246"/>
      <c r="B904" s="246"/>
      <c r="C904" s="246"/>
      <c r="D904" s="246"/>
      <c r="E904" s="246"/>
      <c r="F904" s="246"/>
    </row>
    <row r="905" customFormat="false" ht="11.25" hidden="false" customHeight="false" outlineLevel="0" collapsed="false">
      <c r="A905" s="246"/>
      <c r="B905" s="246"/>
      <c r="C905" s="246"/>
      <c r="D905" s="246"/>
      <c r="E905" s="246"/>
      <c r="F905" s="246"/>
    </row>
    <row r="906" customFormat="false" ht="11.25" hidden="false" customHeight="false" outlineLevel="0" collapsed="false">
      <c r="A906" s="246"/>
      <c r="B906" s="246"/>
      <c r="C906" s="246"/>
      <c r="D906" s="246"/>
      <c r="E906" s="246"/>
      <c r="F906" s="246"/>
    </row>
    <row r="907" customFormat="false" ht="11.25" hidden="false" customHeight="false" outlineLevel="0" collapsed="false">
      <c r="A907" s="246"/>
      <c r="B907" s="246"/>
      <c r="C907" s="246"/>
      <c r="D907" s="246"/>
      <c r="E907" s="246"/>
      <c r="F907" s="246"/>
    </row>
    <row r="908" customFormat="false" ht="11.25" hidden="false" customHeight="false" outlineLevel="0" collapsed="false">
      <c r="A908" s="246"/>
      <c r="B908" s="246"/>
      <c r="C908" s="246"/>
      <c r="D908" s="246"/>
      <c r="E908" s="246"/>
      <c r="F908" s="246"/>
    </row>
    <row r="909" customFormat="false" ht="11.25" hidden="false" customHeight="false" outlineLevel="0" collapsed="false">
      <c r="A909" s="246"/>
      <c r="B909" s="246"/>
      <c r="C909" s="246"/>
      <c r="D909" s="246"/>
      <c r="E909" s="246"/>
      <c r="F909" s="246"/>
    </row>
    <row r="910" customFormat="false" ht="11.25" hidden="false" customHeight="false" outlineLevel="0" collapsed="false">
      <c r="A910" s="246"/>
      <c r="B910" s="246"/>
      <c r="C910" s="246"/>
      <c r="D910" s="246"/>
      <c r="E910" s="246"/>
      <c r="F910" s="246"/>
    </row>
    <row r="911" customFormat="false" ht="11.25" hidden="false" customHeight="false" outlineLevel="0" collapsed="false">
      <c r="A911" s="246"/>
      <c r="B911" s="246"/>
      <c r="C911" s="246"/>
      <c r="D911" s="246"/>
      <c r="E911" s="246"/>
      <c r="F911" s="246"/>
    </row>
    <row r="912" customFormat="false" ht="11.25" hidden="false" customHeight="false" outlineLevel="0" collapsed="false">
      <c r="A912" s="246"/>
      <c r="B912" s="246"/>
      <c r="C912" s="246"/>
      <c r="D912" s="246"/>
      <c r="E912" s="246"/>
      <c r="F912" s="246"/>
    </row>
    <row r="913" customFormat="false" ht="11.25" hidden="false" customHeight="false" outlineLevel="0" collapsed="false">
      <c r="A913" s="246"/>
      <c r="B913" s="246"/>
      <c r="C913" s="246"/>
      <c r="D913" s="246"/>
      <c r="E913" s="246"/>
      <c r="F913" s="246"/>
    </row>
    <row r="914" customFormat="false" ht="11.25" hidden="false" customHeight="false" outlineLevel="0" collapsed="false">
      <c r="A914" s="246"/>
      <c r="B914" s="246"/>
      <c r="C914" s="246"/>
      <c r="D914" s="246"/>
      <c r="E914" s="246"/>
      <c r="F914" s="246"/>
    </row>
    <row r="915" customFormat="false" ht="11.25" hidden="false" customHeight="false" outlineLevel="0" collapsed="false">
      <c r="A915" s="246"/>
      <c r="B915" s="246"/>
      <c r="C915" s="246"/>
      <c r="D915" s="246"/>
      <c r="E915" s="246"/>
      <c r="F915" s="246"/>
    </row>
    <row r="916" customFormat="false" ht="11.25" hidden="false" customHeight="false" outlineLevel="0" collapsed="false">
      <c r="A916" s="246"/>
      <c r="B916" s="246"/>
      <c r="C916" s="246"/>
      <c r="D916" s="246"/>
      <c r="E916" s="246"/>
      <c r="F916" s="246"/>
    </row>
    <row r="917" customFormat="false" ht="11.25" hidden="false" customHeight="false" outlineLevel="0" collapsed="false">
      <c r="A917" s="246"/>
      <c r="B917" s="246"/>
      <c r="C917" s="246"/>
      <c r="D917" s="246"/>
      <c r="E917" s="246"/>
      <c r="F917" s="246"/>
    </row>
    <row r="918" customFormat="false" ht="11.25" hidden="false" customHeight="false" outlineLevel="0" collapsed="false">
      <c r="A918" s="246"/>
      <c r="B918" s="246"/>
      <c r="C918" s="246"/>
      <c r="D918" s="246"/>
      <c r="E918" s="246"/>
      <c r="F918" s="246"/>
    </row>
    <row r="919" customFormat="false" ht="11.25" hidden="false" customHeight="false" outlineLevel="0" collapsed="false">
      <c r="A919" s="246"/>
      <c r="B919" s="246"/>
      <c r="C919" s="246"/>
      <c r="D919" s="246"/>
      <c r="E919" s="246"/>
      <c r="F919" s="246"/>
    </row>
    <row r="920" customFormat="false" ht="11.25" hidden="false" customHeight="false" outlineLevel="0" collapsed="false">
      <c r="A920" s="246"/>
      <c r="B920" s="246"/>
      <c r="C920" s="246"/>
      <c r="D920" s="246"/>
      <c r="E920" s="246"/>
      <c r="F920" s="246"/>
    </row>
    <row r="921" customFormat="false" ht="11.25" hidden="false" customHeight="false" outlineLevel="0" collapsed="false">
      <c r="A921" s="246"/>
      <c r="B921" s="246"/>
      <c r="C921" s="246"/>
      <c r="D921" s="246"/>
      <c r="E921" s="246"/>
      <c r="F921" s="246"/>
    </row>
    <row r="922" customFormat="false" ht="11.25" hidden="false" customHeight="false" outlineLevel="0" collapsed="false">
      <c r="A922" s="246"/>
      <c r="B922" s="246"/>
      <c r="C922" s="246"/>
      <c r="D922" s="246"/>
      <c r="E922" s="246"/>
      <c r="F922" s="246"/>
    </row>
    <row r="923" customFormat="false" ht="11.25" hidden="false" customHeight="false" outlineLevel="0" collapsed="false">
      <c r="A923" s="246"/>
      <c r="B923" s="246"/>
      <c r="C923" s="246"/>
      <c r="D923" s="246"/>
      <c r="E923" s="246"/>
      <c r="F923" s="246"/>
    </row>
    <row r="924" customFormat="false" ht="11.25" hidden="false" customHeight="false" outlineLevel="0" collapsed="false">
      <c r="A924" s="246"/>
      <c r="B924" s="246"/>
      <c r="C924" s="246"/>
      <c r="D924" s="246"/>
      <c r="E924" s="246"/>
      <c r="F924" s="246"/>
    </row>
    <row r="925" customFormat="false" ht="11.25" hidden="false" customHeight="false" outlineLevel="0" collapsed="false">
      <c r="A925" s="246"/>
      <c r="B925" s="246"/>
      <c r="C925" s="246"/>
      <c r="D925" s="246"/>
      <c r="E925" s="246"/>
      <c r="F925" s="246"/>
    </row>
    <row r="926" customFormat="false" ht="11.25" hidden="false" customHeight="false" outlineLevel="0" collapsed="false">
      <c r="A926" s="246"/>
      <c r="B926" s="246"/>
      <c r="C926" s="246"/>
      <c r="D926" s="246"/>
      <c r="E926" s="246"/>
      <c r="F926" s="246"/>
    </row>
    <row r="927" customFormat="false" ht="11.25" hidden="false" customHeight="false" outlineLevel="0" collapsed="false">
      <c r="A927" s="246"/>
      <c r="B927" s="246"/>
      <c r="C927" s="246"/>
      <c r="D927" s="246"/>
      <c r="E927" s="246"/>
      <c r="F927" s="246"/>
    </row>
    <row r="928" customFormat="false" ht="11.25" hidden="false" customHeight="false" outlineLevel="0" collapsed="false">
      <c r="A928" s="246"/>
      <c r="B928" s="246"/>
      <c r="C928" s="246"/>
      <c r="D928" s="246"/>
      <c r="E928" s="246"/>
      <c r="F928" s="246"/>
    </row>
    <row r="929" customFormat="false" ht="11.25" hidden="false" customHeight="false" outlineLevel="0" collapsed="false">
      <c r="A929" s="246"/>
      <c r="B929" s="246"/>
      <c r="C929" s="246"/>
      <c r="D929" s="246"/>
      <c r="E929" s="246"/>
      <c r="F929" s="246"/>
    </row>
    <row r="930" customFormat="false" ht="11.25" hidden="false" customHeight="false" outlineLevel="0" collapsed="false">
      <c r="A930" s="246"/>
      <c r="B930" s="246"/>
      <c r="C930" s="246"/>
      <c r="D930" s="246"/>
      <c r="E930" s="246"/>
      <c r="F930" s="246"/>
    </row>
    <row r="931" customFormat="false" ht="11.25" hidden="false" customHeight="false" outlineLevel="0" collapsed="false">
      <c r="A931" s="246"/>
      <c r="B931" s="246"/>
      <c r="C931" s="246"/>
      <c r="D931" s="246"/>
      <c r="E931" s="246"/>
      <c r="F931" s="246"/>
    </row>
    <row r="932" customFormat="false" ht="11.25" hidden="false" customHeight="false" outlineLevel="0" collapsed="false">
      <c r="A932" s="246"/>
      <c r="B932" s="246"/>
      <c r="C932" s="246"/>
      <c r="D932" s="246"/>
      <c r="E932" s="246"/>
      <c r="F932" s="246"/>
    </row>
    <row r="933" customFormat="false" ht="11.25" hidden="false" customHeight="false" outlineLevel="0" collapsed="false">
      <c r="A933" s="246"/>
      <c r="B933" s="246"/>
      <c r="C933" s="246"/>
      <c r="D933" s="246"/>
      <c r="E933" s="246"/>
      <c r="F933" s="246"/>
    </row>
    <row r="934" customFormat="false" ht="11.25" hidden="false" customHeight="false" outlineLevel="0" collapsed="false">
      <c r="A934" s="246"/>
      <c r="B934" s="246"/>
      <c r="C934" s="246"/>
      <c r="D934" s="246"/>
      <c r="E934" s="246"/>
      <c r="F934" s="246"/>
    </row>
    <row r="935" customFormat="false" ht="11.25" hidden="false" customHeight="false" outlineLevel="0" collapsed="false">
      <c r="A935" s="246"/>
      <c r="B935" s="246"/>
      <c r="C935" s="246"/>
      <c r="D935" s="246"/>
      <c r="E935" s="246"/>
      <c r="F935" s="246"/>
    </row>
    <row r="936" customFormat="false" ht="11.25" hidden="false" customHeight="false" outlineLevel="0" collapsed="false">
      <c r="A936" s="246"/>
      <c r="B936" s="246"/>
      <c r="C936" s="246"/>
      <c r="D936" s="246"/>
      <c r="E936" s="246"/>
      <c r="F936" s="246"/>
    </row>
    <row r="937" customFormat="false" ht="11.25" hidden="false" customHeight="false" outlineLevel="0" collapsed="false">
      <c r="A937" s="246"/>
      <c r="B937" s="246"/>
      <c r="C937" s="246"/>
      <c r="D937" s="246"/>
      <c r="E937" s="246"/>
      <c r="F937" s="246"/>
    </row>
    <row r="938" customFormat="false" ht="11.25" hidden="false" customHeight="false" outlineLevel="0" collapsed="false">
      <c r="A938" s="246"/>
      <c r="B938" s="246"/>
      <c r="C938" s="246"/>
      <c r="D938" s="246"/>
      <c r="E938" s="246"/>
      <c r="F938" s="246"/>
    </row>
    <row r="939" customFormat="false" ht="11.25" hidden="false" customHeight="false" outlineLevel="0" collapsed="false">
      <c r="A939" s="246"/>
      <c r="B939" s="246"/>
      <c r="C939" s="246"/>
      <c r="D939" s="246"/>
      <c r="E939" s="246"/>
      <c r="F939" s="246"/>
    </row>
    <row r="940" customFormat="false" ht="11.25" hidden="false" customHeight="false" outlineLevel="0" collapsed="false">
      <c r="A940" s="246"/>
      <c r="B940" s="246"/>
      <c r="C940" s="246"/>
      <c r="D940" s="246"/>
      <c r="E940" s="246"/>
      <c r="F940" s="246"/>
    </row>
    <row r="941" customFormat="false" ht="11.25" hidden="false" customHeight="false" outlineLevel="0" collapsed="false">
      <c r="A941" s="246"/>
      <c r="B941" s="246"/>
      <c r="C941" s="246"/>
      <c r="D941" s="246"/>
      <c r="E941" s="246"/>
      <c r="F941" s="246"/>
    </row>
    <row r="942" customFormat="false" ht="11.25" hidden="false" customHeight="false" outlineLevel="0" collapsed="false">
      <c r="A942" s="246"/>
      <c r="B942" s="246"/>
      <c r="C942" s="246"/>
      <c r="D942" s="246"/>
      <c r="E942" s="246"/>
      <c r="F942" s="246"/>
    </row>
    <row r="943" customFormat="false" ht="11.25" hidden="false" customHeight="false" outlineLevel="0" collapsed="false">
      <c r="A943" s="246"/>
      <c r="B943" s="246"/>
      <c r="C943" s="246"/>
      <c r="D943" s="246"/>
      <c r="E943" s="246"/>
      <c r="F943" s="246"/>
    </row>
    <row r="944" customFormat="false" ht="11.25" hidden="false" customHeight="false" outlineLevel="0" collapsed="false">
      <c r="A944" s="246"/>
      <c r="B944" s="246"/>
      <c r="C944" s="246"/>
      <c r="D944" s="246"/>
      <c r="E944" s="246"/>
      <c r="F944" s="246"/>
    </row>
    <row r="945" customFormat="false" ht="11.25" hidden="false" customHeight="false" outlineLevel="0" collapsed="false">
      <c r="A945" s="246"/>
      <c r="B945" s="246"/>
      <c r="C945" s="246"/>
      <c r="D945" s="246"/>
      <c r="E945" s="246"/>
      <c r="F945" s="246"/>
    </row>
    <row r="946" customFormat="false" ht="11.25" hidden="false" customHeight="false" outlineLevel="0" collapsed="false">
      <c r="A946" s="246"/>
      <c r="B946" s="246"/>
      <c r="C946" s="246"/>
      <c r="D946" s="246"/>
      <c r="E946" s="246"/>
      <c r="F946" s="246"/>
    </row>
    <row r="947" customFormat="false" ht="11.25" hidden="false" customHeight="false" outlineLevel="0" collapsed="false">
      <c r="A947" s="246"/>
      <c r="B947" s="246"/>
      <c r="C947" s="246"/>
      <c r="D947" s="246"/>
      <c r="E947" s="246"/>
      <c r="F947" s="246"/>
    </row>
    <row r="948" customFormat="false" ht="11.25" hidden="false" customHeight="false" outlineLevel="0" collapsed="false">
      <c r="A948" s="246"/>
      <c r="B948" s="246"/>
      <c r="C948" s="246"/>
      <c r="D948" s="246"/>
      <c r="E948" s="246"/>
      <c r="F948" s="246"/>
    </row>
    <row r="949" customFormat="false" ht="11.25" hidden="false" customHeight="false" outlineLevel="0" collapsed="false">
      <c r="A949" s="246"/>
      <c r="B949" s="246"/>
      <c r="C949" s="246"/>
      <c r="D949" s="246"/>
      <c r="E949" s="246"/>
      <c r="F949" s="246"/>
    </row>
    <row r="950" customFormat="false" ht="11.25" hidden="false" customHeight="false" outlineLevel="0" collapsed="false">
      <c r="A950" s="246"/>
      <c r="B950" s="246"/>
      <c r="C950" s="246"/>
      <c r="D950" s="246"/>
      <c r="E950" s="246"/>
      <c r="F950" s="246"/>
    </row>
    <row r="951" customFormat="false" ht="11.25" hidden="false" customHeight="false" outlineLevel="0" collapsed="false">
      <c r="A951" s="246"/>
      <c r="B951" s="246"/>
      <c r="C951" s="246"/>
      <c r="D951" s="246"/>
      <c r="E951" s="246"/>
      <c r="F951" s="246"/>
    </row>
    <row r="952" customFormat="false" ht="11.25" hidden="false" customHeight="false" outlineLevel="0" collapsed="false">
      <c r="A952" s="246"/>
      <c r="B952" s="246"/>
      <c r="C952" s="246"/>
      <c r="D952" s="246"/>
      <c r="E952" s="246"/>
      <c r="F952" s="246"/>
    </row>
    <row r="953" customFormat="false" ht="11.25" hidden="false" customHeight="false" outlineLevel="0" collapsed="false">
      <c r="A953" s="246"/>
      <c r="B953" s="246"/>
      <c r="C953" s="246"/>
      <c r="D953" s="246"/>
      <c r="E953" s="246"/>
      <c r="F953" s="246"/>
    </row>
    <row r="954" customFormat="false" ht="11.25" hidden="false" customHeight="false" outlineLevel="0" collapsed="false">
      <c r="A954" s="246"/>
      <c r="B954" s="246"/>
      <c r="C954" s="246"/>
      <c r="D954" s="246"/>
      <c r="E954" s="246"/>
      <c r="F954" s="246"/>
    </row>
    <row r="955" customFormat="false" ht="11.25" hidden="false" customHeight="false" outlineLevel="0" collapsed="false">
      <c r="A955" s="246"/>
      <c r="B955" s="246"/>
      <c r="C955" s="246"/>
      <c r="D955" s="246"/>
      <c r="E955" s="246"/>
      <c r="F955" s="246"/>
    </row>
    <row r="956" customFormat="false" ht="11.25" hidden="false" customHeight="false" outlineLevel="0" collapsed="false">
      <c r="A956" s="246"/>
      <c r="B956" s="246"/>
      <c r="C956" s="246"/>
      <c r="D956" s="246"/>
      <c r="E956" s="246"/>
      <c r="F956" s="246"/>
    </row>
    <row r="957" customFormat="false" ht="11.25" hidden="false" customHeight="false" outlineLevel="0" collapsed="false">
      <c r="A957" s="246"/>
      <c r="B957" s="246"/>
      <c r="C957" s="246"/>
      <c r="D957" s="246"/>
      <c r="E957" s="246"/>
      <c r="F957" s="246"/>
    </row>
    <row r="958" customFormat="false" ht="11.25" hidden="false" customHeight="false" outlineLevel="0" collapsed="false">
      <c r="A958" s="246"/>
      <c r="B958" s="246"/>
      <c r="C958" s="246"/>
      <c r="D958" s="246"/>
      <c r="E958" s="246"/>
      <c r="F958" s="246"/>
    </row>
    <row r="959" customFormat="false" ht="11.25" hidden="false" customHeight="false" outlineLevel="0" collapsed="false">
      <c r="A959" s="246"/>
      <c r="B959" s="246"/>
      <c r="C959" s="246"/>
      <c r="D959" s="246"/>
      <c r="E959" s="246"/>
      <c r="F959" s="246"/>
    </row>
    <row r="960" customFormat="false" ht="11.25" hidden="false" customHeight="false" outlineLevel="0" collapsed="false">
      <c r="A960" s="246"/>
      <c r="B960" s="246"/>
      <c r="C960" s="246"/>
      <c r="D960" s="246"/>
      <c r="E960" s="246"/>
      <c r="F960" s="246"/>
    </row>
    <row r="961" customFormat="false" ht="11.25" hidden="false" customHeight="false" outlineLevel="0" collapsed="false">
      <c r="A961" s="246"/>
      <c r="B961" s="246"/>
      <c r="C961" s="246"/>
      <c r="D961" s="246"/>
      <c r="E961" s="246"/>
      <c r="F961" s="246"/>
    </row>
    <row r="962" customFormat="false" ht="11.25" hidden="false" customHeight="false" outlineLevel="0" collapsed="false">
      <c r="A962" s="246"/>
      <c r="B962" s="246"/>
      <c r="C962" s="246"/>
      <c r="D962" s="246"/>
      <c r="E962" s="246"/>
      <c r="F962" s="246"/>
    </row>
    <row r="963" customFormat="false" ht="11.25" hidden="false" customHeight="false" outlineLevel="0" collapsed="false">
      <c r="A963" s="246"/>
      <c r="B963" s="246"/>
      <c r="C963" s="246"/>
      <c r="D963" s="246"/>
      <c r="E963" s="246"/>
      <c r="F963" s="246"/>
    </row>
    <row r="964" customFormat="false" ht="11.25" hidden="false" customHeight="false" outlineLevel="0" collapsed="false">
      <c r="A964" s="246"/>
      <c r="B964" s="246"/>
      <c r="C964" s="246"/>
      <c r="D964" s="246"/>
      <c r="E964" s="246"/>
      <c r="F964" s="246"/>
    </row>
    <row r="965" customFormat="false" ht="11.25" hidden="false" customHeight="false" outlineLevel="0" collapsed="false">
      <c r="A965" s="246"/>
      <c r="B965" s="246"/>
      <c r="C965" s="246"/>
      <c r="D965" s="246"/>
      <c r="E965" s="246"/>
      <c r="F965" s="246"/>
    </row>
    <row r="966" customFormat="false" ht="11.25" hidden="false" customHeight="false" outlineLevel="0" collapsed="false">
      <c r="A966" s="246"/>
      <c r="B966" s="246"/>
      <c r="C966" s="246"/>
      <c r="D966" s="246"/>
      <c r="E966" s="246"/>
      <c r="F966" s="246"/>
    </row>
    <row r="967" customFormat="false" ht="11.25" hidden="false" customHeight="false" outlineLevel="0" collapsed="false">
      <c r="A967" s="246"/>
      <c r="B967" s="246"/>
      <c r="C967" s="246"/>
      <c r="D967" s="246"/>
      <c r="E967" s="246"/>
      <c r="F967" s="246"/>
    </row>
    <row r="968" customFormat="false" ht="11.25" hidden="false" customHeight="false" outlineLevel="0" collapsed="false">
      <c r="A968" s="246"/>
      <c r="B968" s="246"/>
      <c r="C968" s="246"/>
      <c r="D968" s="246"/>
      <c r="E968" s="246"/>
      <c r="F968" s="246"/>
    </row>
    <row r="969" customFormat="false" ht="11.25" hidden="false" customHeight="false" outlineLevel="0" collapsed="false">
      <c r="A969" s="246"/>
      <c r="B969" s="246"/>
      <c r="C969" s="246"/>
      <c r="D969" s="246"/>
      <c r="E969" s="246"/>
      <c r="F969" s="246"/>
    </row>
    <row r="970" customFormat="false" ht="11.25" hidden="false" customHeight="false" outlineLevel="0" collapsed="false">
      <c r="A970" s="246"/>
      <c r="B970" s="246"/>
      <c r="C970" s="246"/>
      <c r="D970" s="246"/>
      <c r="E970" s="246"/>
      <c r="F970" s="246"/>
    </row>
    <row r="971" customFormat="false" ht="11.25" hidden="false" customHeight="false" outlineLevel="0" collapsed="false">
      <c r="A971" s="246"/>
      <c r="B971" s="246"/>
      <c r="C971" s="246"/>
      <c r="D971" s="246"/>
      <c r="E971" s="246"/>
      <c r="F971" s="246"/>
    </row>
    <row r="972" customFormat="false" ht="11.25" hidden="false" customHeight="false" outlineLevel="0" collapsed="false">
      <c r="A972" s="246"/>
      <c r="B972" s="246"/>
      <c r="C972" s="246"/>
      <c r="D972" s="246"/>
      <c r="E972" s="246"/>
      <c r="F972" s="246"/>
    </row>
    <row r="973" customFormat="false" ht="11.25" hidden="false" customHeight="false" outlineLevel="0" collapsed="false">
      <c r="A973" s="246"/>
      <c r="B973" s="246"/>
      <c r="C973" s="246"/>
      <c r="D973" s="246"/>
      <c r="E973" s="246"/>
      <c r="F973" s="246"/>
    </row>
    <row r="974" customFormat="false" ht="11.25" hidden="false" customHeight="false" outlineLevel="0" collapsed="false">
      <c r="A974" s="246"/>
      <c r="B974" s="246"/>
      <c r="C974" s="246"/>
      <c r="D974" s="246"/>
      <c r="E974" s="246"/>
      <c r="F974" s="246"/>
    </row>
    <row r="975" customFormat="false" ht="11.25" hidden="false" customHeight="false" outlineLevel="0" collapsed="false">
      <c r="A975" s="246"/>
      <c r="B975" s="246"/>
      <c r="C975" s="246"/>
      <c r="D975" s="246"/>
      <c r="E975" s="246"/>
      <c r="F975" s="246"/>
    </row>
    <row r="976" customFormat="false" ht="11.25" hidden="false" customHeight="false" outlineLevel="0" collapsed="false">
      <c r="A976" s="246"/>
      <c r="B976" s="246"/>
      <c r="C976" s="246"/>
      <c r="D976" s="246"/>
      <c r="E976" s="246"/>
      <c r="F976" s="246"/>
    </row>
    <row r="977" customFormat="false" ht="11.25" hidden="false" customHeight="false" outlineLevel="0" collapsed="false">
      <c r="A977" s="246"/>
      <c r="B977" s="246"/>
      <c r="C977" s="246"/>
      <c r="D977" s="246"/>
      <c r="E977" s="246"/>
      <c r="F977" s="246"/>
    </row>
    <row r="978" customFormat="false" ht="11.25" hidden="false" customHeight="false" outlineLevel="0" collapsed="false">
      <c r="A978" s="246"/>
      <c r="B978" s="246"/>
      <c r="C978" s="246"/>
      <c r="D978" s="246"/>
      <c r="E978" s="246"/>
      <c r="F978" s="246"/>
    </row>
    <row r="979" customFormat="false" ht="11.25" hidden="false" customHeight="false" outlineLevel="0" collapsed="false">
      <c r="A979" s="246"/>
      <c r="B979" s="246"/>
      <c r="C979" s="246"/>
      <c r="D979" s="246"/>
      <c r="E979" s="246"/>
      <c r="F979" s="246"/>
    </row>
    <row r="980" customFormat="false" ht="11.25" hidden="false" customHeight="false" outlineLevel="0" collapsed="false">
      <c r="A980" s="246"/>
      <c r="B980" s="246"/>
      <c r="C980" s="246"/>
      <c r="D980" s="246"/>
      <c r="E980" s="246"/>
      <c r="F980" s="246"/>
    </row>
    <row r="981" customFormat="false" ht="11.25" hidden="false" customHeight="false" outlineLevel="0" collapsed="false">
      <c r="A981" s="246"/>
      <c r="B981" s="246"/>
      <c r="C981" s="246"/>
      <c r="D981" s="246"/>
      <c r="E981" s="246"/>
      <c r="F981" s="246"/>
    </row>
    <row r="982" customFormat="false" ht="11.25" hidden="false" customHeight="false" outlineLevel="0" collapsed="false">
      <c r="A982" s="246"/>
      <c r="B982" s="246"/>
      <c r="C982" s="246"/>
      <c r="D982" s="246"/>
      <c r="E982" s="246"/>
      <c r="F982" s="246"/>
    </row>
    <row r="983" customFormat="false" ht="11.25" hidden="false" customHeight="false" outlineLevel="0" collapsed="false">
      <c r="A983" s="246"/>
      <c r="B983" s="246"/>
      <c r="C983" s="246"/>
      <c r="D983" s="246"/>
      <c r="E983" s="246"/>
      <c r="F983" s="246"/>
    </row>
    <row r="984" customFormat="false" ht="11.25" hidden="false" customHeight="false" outlineLevel="0" collapsed="false">
      <c r="A984" s="246"/>
      <c r="B984" s="246"/>
      <c r="C984" s="246"/>
      <c r="D984" s="246"/>
      <c r="E984" s="246"/>
      <c r="F984" s="246"/>
    </row>
    <row r="985" customFormat="false" ht="11.25" hidden="false" customHeight="false" outlineLevel="0" collapsed="false">
      <c r="A985" s="246"/>
      <c r="B985" s="246"/>
      <c r="C985" s="246"/>
      <c r="D985" s="246"/>
      <c r="E985" s="246"/>
      <c r="F985" s="246"/>
    </row>
    <row r="986" customFormat="false" ht="11.25" hidden="false" customHeight="false" outlineLevel="0" collapsed="false">
      <c r="A986" s="246"/>
      <c r="B986" s="246"/>
      <c r="C986" s="246"/>
      <c r="D986" s="246"/>
      <c r="E986" s="246"/>
      <c r="F986" s="246"/>
    </row>
    <row r="987" customFormat="false" ht="11.25" hidden="false" customHeight="false" outlineLevel="0" collapsed="false">
      <c r="A987" s="246"/>
      <c r="B987" s="246"/>
      <c r="C987" s="246"/>
      <c r="D987" s="246"/>
      <c r="E987" s="246"/>
      <c r="F987" s="246"/>
    </row>
    <row r="988" customFormat="false" ht="11.25" hidden="false" customHeight="false" outlineLevel="0" collapsed="false">
      <c r="A988" s="246"/>
      <c r="B988" s="246"/>
      <c r="C988" s="246"/>
      <c r="D988" s="246"/>
      <c r="E988" s="246"/>
      <c r="F988" s="246"/>
    </row>
    <row r="989" customFormat="false" ht="11.25" hidden="false" customHeight="false" outlineLevel="0" collapsed="false">
      <c r="A989" s="246"/>
      <c r="B989" s="246"/>
      <c r="C989" s="246"/>
      <c r="D989" s="246"/>
      <c r="E989" s="246"/>
      <c r="F989" s="246"/>
    </row>
    <row r="990" customFormat="false" ht="11.25" hidden="false" customHeight="false" outlineLevel="0" collapsed="false">
      <c r="A990" s="246"/>
      <c r="B990" s="246"/>
      <c r="C990" s="246"/>
      <c r="D990" s="246"/>
      <c r="E990" s="246"/>
      <c r="F990" s="246"/>
    </row>
    <row r="991" customFormat="false" ht="11.25" hidden="false" customHeight="false" outlineLevel="0" collapsed="false">
      <c r="A991" s="246"/>
      <c r="B991" s="246"/>
      <c r="C991" s="246"/>
      <c r="D991" s="246"/>
      <c r="E991" s="246"/>
      <c r="F991" s="246"/>
    </row>
    <row r="992" customFormat="false" ht="11.25" hidden="false" customHeight="false" outlineLevel="0" collapsed="false">
      <c r="A992" s="246"/>
      <c r="B992" s="246"/>
      <c r="C992" s="246"/>
      <c r="D992" s="246"/>
      <c r="E992" s="246"/>
      <c r="F992" s="246"/>
    </row>
    <row r="993" customFormat="false" ht="11.25" hidden="false" customHeight="false" outlineLevel="0" collapsed="false">
      <c r="A993" s="246"/>
      <c r="B993" s="246"/>
      <c r="C993" s="246"/>
      <c r="D993" s="246"/>
      <c r="E993" s="246"/>
      <c r="F993" s="246"/>
    </row>
    <row r="994" customFormat="false" ht="11.25" hidden="false" customHeight="false" outlineLevel="0" collapsed="false">
      <c r="A994" s="246"/>
      <c r="B994" s="246"/>
      <c r="C994" s="246"/>
      <c r="D994" s="246"/>
      <c r="E994" s="246"/>
      <c r="F994" s="246"/>
    </row>
    <row r="995" customFormat="false" ht="11.25" hidden="false" customHeight="false" outlineLevel="0" collapsed="false">
      <c r="A995" s="246"/>
      <c r="B995" s="246"/>
      <c r="C995" s="246"/>
      <c r="D995" s="246"/>
      <c r="E995" s="246"/>
      <c r="F995" s="246"/>
    </row>
    <row r="996" customFormat="false" ht="11.25" hidden="false" customHeight="false" outlineLevel="0" collapsed="false">
      <c r="A996" s="246"/>
      <c r="B996" s="246"/>
      <c r="C996" s="246"/>
      <c r="D996" s="246"/>
      <c r="E996" s="246"/>
      <c r="F996" s="246"/>
    </row>
    <row r="997" customFormat="false" ht="11.25" hidden="false" customHeight="false" outlineLevel="0" collapsed="false">
      <c r="A997" s="246"/>
      <c r="B997" s="246"/>
      <c r="C997" s="246"/>
      <c r="D997" s="246"/>
      <c r="E997" s="246"/>
      <c r="F997" s="246"/>
    </row>
    <row r="998" customFormat="false" ht="11.25" hidden="false" customHeight="false" outlineLevel="0" collapsed="false">
      <c r="A998" s="246"/>
      <c r="B998" s="246"/>
      <c r="C998" s="246"/>
      <c r="D998" s="246"/>
      <c r="E998" s="246"/>
      <c r="F998" s="246"/>
    </row>
    <row r="999" customFormat="false" ht="11.25" hidden="false" customHeight="false" outlineLevel="0" collapsed="false">
      <c r="A999" s="246"/>
      <c r="B999" s="246"/>
      <c r="C999" s="246"/>
      <c r="D999" s="246"/>
      <c r="E999" s="246"/>
      <c r="F999" s="246"/>
    </row>
    <row r="1000" customFormat="false" ht="11.25" hidden="false" customHeight="false" outlineLevel="0" collapsed="false">
      <c r="A1000" s="246"/>
      <c r="B1000" s="246"/>
      <c r="C1000" s="246"/>
      <c r="D1000" s="246"/>
      <c r="E1000" s="246"/>
      <c r="F1000" s="246"/>
    </row>
    <row r="1001" customFormat="false" ht="11.25" hidden="false" customHeight="false" outlineLevel="0" collapsed="false">
      <c r="A1001" s="246"/>
      <c r="B1001" s="246"/>
      <c r="C1001" s="246"/>
      <c r="D1001" s="246"/>
      <c r="E1001" s="246"/>
      <c r="F1001" s="246"/>
    </row>
    <row r="1002" customFormat="false" ht="11.25" hidden="false" customHeight="false" outlineLevel="0" collapsed="false">
      <c r="A1002" s="246"/>
      <c r="B1002" s="246"/>
      <c r="C1002" s="246"/>
      <c r="D1002" s="246"/>
      <c r="E1002" s="246"/>
      <c r="F1002" s="246"/>
    </row>
    <row r="1003" customFormat="false" ht="11.25" hidden="false" customHeight="false" outlineLevel="0" collapsed="false">
      <c r="A1003" s="246"/>
      <c r="B1003" s="246"/>
      <c r="C1003" s="246"/>
      <c r="D1003" s="246"/>
      <c r="E1003" s="246"/>
      <c r="F1003" s="246"/>
    </row>
    <row r="1004" customFormat="false" ht="11.25" hidden="false" customHeight="false" outlineLevel="0" collapsed="false">
      <c r="A1004" s="246"/>
      <c r="B1004" s="246"/>
      <c r="C1004" s="246"/>
      <c r="D1004" s="246"/>
      <c r="E1004" s="246"/>
      <c r="F1004" s="246"/>
    </row>
    <row r="1005" customFormat="false" ht="11.25" hidden="false" customHeight="false" outlineLevel="0" collapsed="false">
      <c r="A1005" s="246"/>
      <c r="B1005" s="246"/>
      <c r="C1005" s="246"/>
      <c r="D1005" s="246"/>
      <c r="E1005" s="246"/>
      <c r="F1005" s="246"/>
    </row>
    <row r="1006" customFormat="false" ht="11.25" hidden="false" customHeight="false" outlineLevel="0" collapsed="false">
      <c r="A1006" s="246"/>
      <c r="B1006" s="246"/>
      <c r="C1006" s="246"/>
      <c r="D1006" s="246"/>
      <c r="E1006" s="246"/>
      <c r="F1006" s="246"/>
    </row>
    <row r="1007" customFormat="false" ht="11.25" hidden="false" customHeight="false" outlineLevel="0" collapsed="false">
      <c r="A1007" s="246"/>
      <c r="B1007" s="246"/>
      <c r="C1007" s="246"/>
      <c r="D1007" s="246"/>
      <c r="E1007" s="246"/>
      <c r="F1007" s="246"/>
    </row>
    <row r="1008" customFormat="false" ht="11.25" hidden="false" customHeight="false" outlineLevel="0" collapsed="false">
      <c r="A1008" s="246"/>
      <c r="B1008" s="246"/>
      <c r="C1008" s="246"/>
      <c r="D1008" s="246"/>
      <c r="E1008" s="246"/>
      <c r="F1008" s="246"/>
    </row>
    <row r="1009" customFormat="false" ht="11.25" hidden="false" customHeight="false" outlineLevel="0" collapsed="false">
      <c r="A1009" s="246"/>
      <c r="B1009" s="246"/>
      <c r="C1009" s="246"/>
      <c r="D1009" s="246"/>
      <c r="E1009" s="246"/>
      <c r="F1009" s="246"/>
    </row>
    <row r="1010" customFormat="false" ht="11.25" hidden="false" customHeight="false" outlineLevel="0" collapsed="false">
      <c r="A1010" s="246"/>
      <c r="B1010" s="246"/>
      <c r="C1010" s="246"/>
      <c r="D1010" s="246"/>
      <c r="E1010" s="246"/>
      <c r="F1010" s="246"/>
    </row>
    <row r="1011" customFormat="false" ht="11.25" hidden="false" customHeight="false" outlineLevel="0" collapsed="false">
      <c r="A1011" s="246"/>
      <c r="B1011" s="246"/>
      <c r="C1011" s="246"/>
      <c r="D1011" s="246"/>
      <c r="E1011" s="246"/>
      <c r="F1011" s="246"/>
    </row>
    <row r="1012" customFormat="false" ht="11.25" hidden="false" customHeight="false" outlineLevel="0" collapsed="false">
      <c r="A1012" s="246"/>
      <c r="B1012" s="246"/>
      <c r="C1012" s="246"/>
      <c r="D1012" s="246"/>
      <c r="E1012" s="246"/>
      <c r="F1012" s="246"/>
    </row>
    <row r="1013" customFormat="false" ht="11.25" hidden="false" customHeight="false" outlineLevel="0" collapsed="false">
      <c r="A1013" s="246"/>
      <c r="B1013" s="246"/>
      <c r="C1013" s="246"/>
      <c r="D1013" s="246"/>
      <c r="E1013" s="246"/>
      <c r="F1013" s="246"/>
    </row>
    <row r="1014" customFormat="false" ht="11.25" hidden="false" customHeight="false" outlineLevel="0" collapsed="false">
      <c r="A1014" s="246"/>
      <c r="B1014" s="246"/>
      <c r="C1014" s="246"/>
      <c r="D1014" s="246"/>
      <c r="E1014" s="246"/>
      <c r="F1014" s="246"/>
    </row>
    <row r="1015" customFormat="false" ht="11.25" hidden="false" customHeight="false" outlineLevel="0" collapsed="false">
      <c r="A1015" s="246"/>
      <c r="B1015" s="246"/>
      <c r="C1015" s="246"/>
      <c r="D1015" s="246"/>
      <c r="E1015" s="246"/>
      <c r="F1015" s="246"/>
    </row>
    <row r="1016" customFormat="false" ht="11.25" hidden="false" customHeight="false" outlineLevel="0" collapsed="false">
      <c r="A1016" s="246"/>
      <c r="B1016" s="246"/>
      <c r="C1016" s="246"/>
      <c r="D1016" s="246"/>
      <c r="E1016" s="246"/>
      <c r="F1016" s="246"/>
    </row>
    <row r="1017" customFormat="false" ht="11.25" hidden="false" customHeight="false" outlineLevel="0" collapsed="false">
      <c r="A1017" s="246"/>
      <c r="B1017" s="246"/>
      <c r="C1017" s="246"/>
      <c r="D1017" s="246"/>
      <c r="E1017" s="246"/>
      <c r="F1017" s="246"/>
    </row>
    <row r="1018" customFormat="false" ht="11.25" hidden="false" customHeight="false" outlineLevel="0" collapsed="false">
      <c r="A1018" s="246"/>
      <c r="B1018" s="246"/>
      <c r="C1018" s="246"/>
      <c r="D1018" s="246"/>
      <c r="E1018" s="246"/>
      <c r="F1018" s="246"/>
    </row>
    <row r="1019" customFormat="false" ht="11.25" hidden="false" customHeight="false" outlineLevel="0" collapsed="false">
      <c r="A1019" s="246"/>
      <c r="B1019" s="246"/>
      <c r="C1019" s="246"/>
      <c r="D1019" s="246"/>
      <c r="E1019" s="246"/>
      <c r="F1019" s="246"/>
    </row>
    <row r="1020" customFormat="false" ht="11.25" hidden="false" customHeight="false" outlineLevel="0" collapsed="false">
      <c r="A1020" s="246"/>
      <c r="B1020" s="246"/>
      <c r="C1020" s="246"/>
      <c r="D1020" s="246"/>
      <c r="E1020" s="246"/>
      <c r="F1020" s="246"/>
    </row>
    <row r="1021" customFormat="false" ht="11.25" hidden="false" customHeight="false" outlineLevel="0" collapsed="false">
      <c r="A1021" s="246"/>
      <c r="B1021" s="246"/>
      <c r="C1021" s="246"/>
      <c r="D1021" s="246"/>
      <c r="E1021" s="246"/>
      <c r="F1021" s="246"/>
    </row>
    <row r="1022" customFormat="false" ht="11.25" hidden="false" customHeight="false" outlineLevel="0" collapsed="false">
      <c r="A1022" s="246"/>
      <c r="B1022" s="246"/>
      <c r="C1022" s="246"/>
      <c r="D1022" s="246"/>
      <c r="E1022" s="246"/>
      <c r="F1022" s="246"/>
    </row>
    <row r="1023" customFormat="false" ht="11.25" hidden="false" customHeight="false" outlineLevel="0" collapsed="false">
      <c r="A1023" s="246"/>
      <c r="B1023" s="246"/>
      <c r="C1023" s="246"/>
      <c r="D1023" s="246"/>
      <c r="E1023" s="246"/>
      <c r="F1023" s="246"/>
    </row>
    <row r="1024" customFormat="false" ht="11.25" hidden="false" customHeight="false" outlineLevel="0" collapsed="false">
      <c r="A1024" s="246"/>
      <c r="B1024" s="246"/>
      <c r="C1024" s="246"/>
      <c r="D1024" s="246"/>
      <c r="E1024" s="246"/>
      <c r="F1024" s="246"/>
    </row>
    <row r="1025" customFormat="false" ht="11.25" hidden="false" customHeight="false" outlineLevel="0" collapsed="false">
      <c r="A1025" s="246"/>
      <c r="B1025" s="246"/>
      <c r="C1025" s="246"/>
      <c r="D1025" s="246"/>
      <c r="E1025" s="246"/>
      <c r="F1025" s="246"/>
    </row>
    <row r="1026" customFormat="false" ht="11.25" hidden="false" customHeight="false" outlineLevel="0" collapsed="false">
      <c r="A1026" s="246"/>
      <c r="B1026" s="246"/>
      <c r="C1026" s="246"/>
      <c r="D1026" s="246"/>
      <c r="E1026" s="246"/>
      <c r="F1026" s="246"/>
    </row>
    <row r="1027" customFormat="false" ht="11.25" hidden="false" customHeight="false" outlineLevel="0" collapsed="false">
      <c r="A1027" s="246"/>
      <c r="B1027" s="246"/>
      <c r="C1027" s="246"/>
      <c r="D1027" s="246"/>
      <c r="E1027" s="246"/>
      <c r="F1027" s="246"/>
    </row>
    <row r="1028" customFormat="false" ht="11.25" hidden="false" customHeight="false" outlineLevel="0" collapsed="false">
      <c r="A1028" s="246"/>
      <c r="B1028" s="246"/>
      <c r="C1028" s="246"/>
      <c r="D1028" s="246"/>
      <c r="E1028" s="246"/>
      <c r="F1028" s="246"/>
    </row>
    <row r="1029" customFormat="false" ht="11.25" hidden="false" customHeight="false" outlineLevel="0" collapsed="false">
      <c r="A1029" s="246"/>
      <c r="B1029" s="246"/>
      <c r="C1029" s="246"/>
      <c r="D1029" s="246"/>
      <c r="E1029" s="246"/>
      <c r="F1029" s="246"/>
    </row>
    <row r="1030" customFormat="false" ht="11.25" hidden="false" customHeight="false" outlineLevel="0" collapsed="false">
      <c r="A1030" s="246"/>
      <c r="B1030" s="246"/>
      <c r="C1030" s="246"/>
      <c r="D1030" s="246"/>
      <c r="E1030" s="246"/>
      <c r="F1030" s="246"/>
    </row>
    <row r="1031" customFormat="false" ht="11.25" hidden="false" customHeight="false" outlineLevel="0" collapsed="false">
      <c r="A1031" s="246"/>
      <c r="B1031" s="246"/>
      <c r="C1031" s="246"/>
      <c r="D1031" s="246"/>
      <c r="E1031" s="246"/>
      <c r="F1031" s="246"/>
    </row>
    <row r="1032" customFormat="false" ht="11.25" hidden="false" customHeight="false" outlineLevel="0" collapsed="false">
      <c r="A1032" s="246"/>
      <c r="B1032" s="246"/>
      <c r="C1032" s="246"/>
      <c r="D1032" s="246"/>
      <c r="E1032" s="246"/>
      <c r="F1032" s="246"/>
    </row>
    <row r="1033" customFormat="false" ht="11.25" hidden="false" customHeight="false" outlineLevel="0" collapsed="false">
      <c r="A1033" s="246"/>
      <c r="B1033" s="246"/>
      <c r="C1033" s="246"/>
      <c r="D1033" s="246"/>
      <c r="E1033" s="246"/>
      <c r="F1033" s="246"/>
    </row>
    <row r="1034" customFormat="false" ht="11.25" hidden="false" customHeight="false" outlineLevel="0" collapsed="false">
      <c r="A1034" s="246"/>
      <c r="B1034" s="246"/>
      <c r="C1034" s="246"/>
      <c r="D1034" s="246"/>
      <c r="E1034" s="246"/>
      <c r="F1034" s="246"/>
    </row>
    <row r="1035" customFormat="false" ht="11.25" hidden="false" customHeight="false" outlineLevel="0" collapsed="false">
      <c r="A1035" s="246"/>
      <c r="B1035" s="246"/>
      <c r="C1035" s="246"/>
      <c r="D1035" s="246"/>
      <c r="E1035" s="246"/>
      <c r="F1035" s="246"/>
    </row>
    <row r="1036" customFormat="false" ht="11.25" hidden="false" customHeight="false" outlineLevel="0" collapsed="false">
      <c r="A1036" s="246"/>
      <c r="B1036" s="246"/>
      <c r="C1036" s="246"/>
      <c r="D1036" s="246"/>
      <c r="E1036" s="246"/>
      <c r="F1036" s="246"/>
    </row>
    <row r="1037" customFormat="false" ht="11.25" hidden="false" customHeight="false" outlineLevel="0" collapsed="false">
      <c r="A1037" s="246"/>
      <c r="B1037" s="246"/>
      <c r="C1037" s="246"/>
      <c r="D1037" s="246"/>
      <c r="E1037" s="246"/>
      <c r="F1037" s="246"/>
    </row>
    <row r="1038" customFormat="false" ht="11.25" hidden="false" customHeight="false" outlineLevel="0" collapsed="false">
      <c r="A1038" s="246"/>
      <c r="B1038" s="246"/>
      <c r="C1038" s="246"/>
      <c r="D1038" s="246"/>
      <c r="E1038" s="246"/>
      <c r="F1038" s="246"/>
    </row>
    <row r="1039" customFormat="false" ht="11.25" hidden="false" customHeight="false" outlineLevel="0" collapsed="false">
      <c r="A1039" s="246"/>
      <c r="B1039" s="246"/>
      <c r="C1039" s="246"/>
      <c r="D1039" s="246"/>
      <c r="E1039" s="246"/>
      <c r="F1039" s="246"/>
    </row>
    <row r="1040" customFormat="false" ht="11.25" hidden="false" customHeight="false" outlineLevel="0" collapsed="false">
      <c r="A1040" s="246"/>
      <c r="B1040" s="246"/>
      <c r="C1040" s="246"/>
      <c r="D1040" s="246"/>
      <c r="E1040" s="246"/>
      <c r="F1040" s="246"/>
    </row>
    <row r="1041" customFormat="false" ht="11.25" hidden="false" customHeight="false" outlineLevel="0" collapsed="false">
      <c r="A1041" s="246"/>
      <c r="B1041" s="246"/>
      <c r="C1041" s="246"/>
      <c r="D1041" s="246"/>
      <c r="E1041" s="246"/>
      <c r="F1041" s="246"/>
    </row>
    <row r="1042" customFormat="false" ht="11.25" hidden="false" customHeight="false" outlineLevel="0" collapsed="false">
      <c r="A1042" s="246"/>
      <c r="B1042" s="246"/>
      <c r="C1042" s="246"/>
      <c r="D1042" s="246"/>
      <c r="E1042" s="246"/>
      <c r="F1042" s="246"/>
    </row>
    <row r="1043" customFormat="false" ht="11.25" hidden="false" customHeight="false" outlineLevel="0" collapsed="false">
      <c r="A1043" s="246"/>
      <c r="B1043" s="246"/>
      <c r="C1043" s="246"/>
      <c r="D1043" s="246"/>
      <c r="E1043" s="246"/>
      <c r="F1043" s="246"/>
    </row>
    <row r="1044" customFormat="false" ht="11.25" hidden="false" customHeight="false" outlineLevel="0" collapsed="false">
      <c r="A1044" s="246"/>
      <c r="B1044" s="246"/>
      <c r="C1044" s="246"/>
      <c r="D1044" s="246"/>
      <c r="E1044" s="246"/>
      <c r="F1044" s="246"/>
    </row>
    <row r="1045" customFormat="false" ht="11.25" hidden="false" customHeight="false" outlineLevel="0" collapsed="false">
      <c r="A1045" s="246"/>
      <c r="B1045" s="246"/>
      <c r="C1045" s="246"/>
      <c r="D1045" s="246"/>
      <c r="E1045" s="246"/>
      <c r="F1045" s="246"/>
    </row>
    <row r="1046" customFormat="false" ht="11.25" hidden="false" customHeight="false" outlineLevel="0" collapsed="false">
      <c r="A1046" s="246"/>
      <c r="B1046" s="246"/>
      <c r="C1046" s="246"/>
      <c r="D1046" s="246"/>
      <c r="E1046" s="246"/>
      <c r="F1046" s="246"/>
    </row>
    <row r="1047" customFormat="false" ht="11.25" hidden="false" customHeight="false" outlineLevel="0" collapsed="false">
      <c r="A1047" s="246"/>
      <c r="B1047" s="246"/>
      <c r="C1047" s="246"/>
      <c r="D1047" s="246"/>
      <c r="E1047" s="246"/>
      <c r="F1047" s="246"/>
    </row>
    <row r="1048" customFormat="false" ht="11.25" hidden="false" customHeight="false" outlineLevel="0" collapsed="false">
      <c r="A1048" s="246"/>
      <c r="B1048" s="246"/>
      <c r="C1048" s="246"/>
      <c r="D1048" s="246"/>
      <c r="E1048" s="246"/>
      <c r="F1048" s="246"/>
    </row>
    <row r="1049" customFormat="false" ht="11.25" hidden="false" customHeight="false" outlineLevel="0" collapsed="false">
      <c r="A1049" s="246"/>
      <c r="B1049" s="246"/>
      <c r="C1049" s="246"/>
      <c r="D1049" s="246"/>
      <c r="E1049" s="246"/>
      <c r="F1049" s="246"/>
    </row>
    <row r="1050" customFormat="false" ht="11.25" hidden="false" customHeight="false" outlineLevel="0" collapsed="false">
      <c r="A1050" s="246"/>
      <c r="B1050" s="246"/>
      <c r="C1050" s="246"/>
      <c r="D1050" s="246"/>
      <c r="E1050" s="246"/>
      <c r="F1050" s="246"/>
    </row>
    <row r="1051" customFormat="false" ht="11.25" hidden="false" customHeight="false" outlineLevel="0" collapsed="false">
      <c r="A1051" s="246"/>
      <c r="B1051" s="246"/>
      <c r="C1051" s="246"/>
      <c r="D1051" s="246"/>
      <c r="E1051" s="246"/>
      <c r="F1051" s="246"/>
    </row>
    <row r="1052" customFormat="false" ht="11.25" hidden="false" customHeight="false" outlineLevel="0" collapsed="false">
      <c r="A1052" s="246"/>
      <c r="B1052" s="246"/>
      <c r="C1052" s="246"/>
      <c r="D1052" s="246"/>
      <c r="E1052" s="246"/>
      <c r="F1052" s="246"/>
    </row>
    <row r="1053" customFormat="false" ht="11.25" hidden="false" customHeight="false" outlineLevel="0" collapsed="false">
      <c r="A1053" s="246"/>
      <c r="B1053" s="246"/>
      <c r="C1053" s="246"/>
      <c r="D1053" s="246"/>
      <c r="E1053" s="246"/>
      <c r="F1053" s="246"/>
    </row>
    <row r="1054" customFormat="false" ht="11.25" hidden="false" customHeight="false" outlineLevel="0" collapsed="false">
      <c r="A1054" s="246"/>
      <c r="B1054" s="246"/>
      <c r="C1054" s="246"/>
      <c r="D1054" s="246"/>
      <c r="E1054" s="246"/>
      <c r="F1054" s="246"/>
    </row>
    <row r="1055" customFormat="false" ht="11.25" hidden="false" customHeight="false" outlineLevel="0" collapsed="false">
      <c r="A1055" s="246"/>
      <c r="B1055" s="246"/>
      <c r="C1055" s="246"/>
      <c r="D1055" s="246"/>
      <c r="E1055" s="246"/>
      <c r="F1055" s="246"/>
    </row>
    <row r="1056" customFormat="false" ht="11.25" hidden="false" customHeight="false" outlineLevel="0" collapsed="false">
      <c r="A1056" s="246"/>
      <c r="B1056" s="246"/>
      <c r="C1056" s="246"/>
      <c r="D1056" s="246"/>
      <c r="E1056" s="246"/>
      <c r="F1056" s="246"/>
    </row>
    <row r="1057" customFormat="false" ht="11.25" hidden="false" customHeight="false" outlineLevel="0" collapsed="false">
      <c r="A1057" s="246"/>
      <c r="B1057" s="246"/>
      <c r="C1057" s="246"/>
      <c r="D1057" s="246"/>
      <c r="E1057" s="246"/>
      <c r="F1057" s="246"/>
    </row>
    <row r="1058" customFormat="false" ht="11.25" hidden="false" customHeight="false" outlineLevel="0" collapsed="false">
      <c r="A1058" s="246"/>
      <c r="B1058" s="246"/>
      <c r="C1058" s="246"/>
      <c r="D1058" s="246"/>
      <c r="E1058" s="246"/>
      <c r="F1058" s="246"/>
    </row>
    <row r="1059" customFormat="false" ht="11.25" hidden="false" customHeight="false" outlineLevel="0" collapsed="false">
      <c r="A1059" s="246"/>
      <c r="B1059" s="246"/>
      <c r="C1059" s="246"/>
      <c r="D1059" s="246"/>
      <c r="E1059" s="246"/>
      <c r="F1059" s="246"/>
    </row>
    <row r="1060" customFormat="false" ht="11.25" hidden="false" customHeight="false" outlineLevel="0" collapsed="false">
      <c r="A1060" s="246"/>
      <c r="B1060" s="246"/>
      <c r="C1060" s="246"/>
      <c r="D1060" s="246"/>
      <c r="E1060" s="246"/>
      <c r="F1060" s="246"/>
    </row>
    <row r="1061" customFormat="false" ht="11.25" hidden="false" customHeight="false" outlineLevel="0" collapsed="false">
      <c r="A1061" s="246"/>
      <c r="B1061" s="246"/>
      <c r="C1061" s="246"/>
      <c r="D1061" s="246"/>
      <c r="E1061" s="246"/>
      <c r="F1061" s="246"/>
    </row>
    <row r="1062" customFormat="false" ht="11.25" hidden="false" customHeight="false" outlineLevel="0" collapsed="false">
      <c r="A1062" s="246"/>
      <c r="B1062" s="246"/>
      <c r="C1062" s="246"/>
      <c r="D1062" s="246"/>
      <c r="E1062" s="246"/>
      <c r="F1062" s="246"/>
    </row>
    <row r="1063" customFormat="false" ht="11.25" hidden="false" customHeight="false" outlineLevel="0" collapsed="false">
      <c r="A1063" s="246"/>
      <c r="B1063" s="246"/>
      <c r="C1063" s="246"/>
      <c r="D1063" s="246"/>
      <c r="E1063" s="246"/>
      <c r="F1063" s="246"/>
    </row>
    <row r="1064" customFormat="false" ht="11.25" hidden="false" customHeight="false" outlineLevel="0" collapsed="false">
      <c r="A1064" s="246"/>
      <c r="B1064" s="246"/>
      <c r="C1064" s="246"/>
      <c r="D1064" s="246"/>
      <c r="E1064" s="246"/>
      <c r="F1064" s="246"/>
    </row>
    <row r="1065" customFormat="false" ht="11.25" hidden="false" customHeight="false" outlineLevel="0" collapsed="false">
      <c r="A1065" s="246"/>
      <c r="B1065" s="246"/>
      <c r="C1065" s="246"/>
      <c r="D1065" s="246"/>
      <c r="E1065" s="246"/>
      <c r="F1065" s="246"/>
    </row>
    <row r="1066" customFormat="false" ht="11.25" hidden="false" customHeight="false" outlineLevel="0" collapsed="false">
      <c r="A1066" s="246"/>
      <c r="B1066" s="246"/>
      <c r="C1066" s="246"/>
      <c r="D1066" s="246"/>
      <c r="E1066" s="246"/>
      <c r="F1066" s="246"/>
    </row>
    <row r="1067" customFormat="false" ht="11.25" hidden="false" customHeight="false" outlineLevel="0" collapsed="false">
      <c r="A1067" s="246"/>
      <c r="B1067" s="246"/>
      <c r="C1067" s="246"/>
      <c r="D1067" s="246"/>
      <c r="E1067" s="246"/>
      <c r="F1067" s="246"/>
    </row>
    <row r="1068" customFormat="false" ht="11.25" hidden="false" customHeight="false" outlineLevel="0" collapsed="false">
      <c r="A1068" s="246"/>
      <c r="B1068" s="246"/>
      <c r="C1068" s="246"/>
      <c r="D1068" s="246"/>
      <c r="E1068" s="246"/>
      <c r="F1068" s="246"/>
    </row>
    <row r="1069" customFormat="false" ht="11.25" hidden="false" customHeight="false" outlineLevel="0" collapsed="false">
      <c r="A1069" s="246"/>
      <c r="B1069" s="246"/>
      <c r="C1069" s="246"/>
      <c r="D1069" s="246"/>
      <c r="E1069" s="246"/>
      <c r="F1069" s="246"/>
    </row>
    <row r="1070" customFormat="false" ht="11.25" hidden="false" customHeight="false" outlineLevel="0" collapsed="false">
      <c r="A1070" s="246"/>
      <c r="B1070" s="246"/>
      <c r="C1070" s="246"/>
      <c r="D1070" s="246"/>
      <c r="E1070" s="246"/>
      <c r="F1070" s="246"/>
    </row>
    <row r="1071" customFormat="false" ht="11.25" hidden="false" customHeight="false" outlineLevel="0" collapsed="false">
      <c r="A1071" s="246"/>
      <c r="B1071" s="246"/>
      <c r="C1071" s="246"/>
      <c r="D1071" s="246"/>
      <c r="E1071" s="246"/>
      <c r="F1071" s="246"/>
    </row>
    <row r="1072" customFormat="false" ht="11.25" hidden="false" customHeight="false" outlineLevel="0" collapsed="false">
      <c r="A1072" s="246"/>
      <c r="B1072" s="246"/>
      <c r="C1072" s="246"/>
      <c r="D1072" s="246"/>
      <c r="E1072" s="246"/>
      <c r="F1072" s="246"/>
    </row>
    <row r="1073" customFormat="false" ht="11.25" hidden="false" customHeight="false" outlineLevel="0" collapsed="false">
      <c r="A1073" s="246"/>
      <c r="B1073" s="246"/>
      <c r="C1073" s="246"/>
      <c r="D1073" s="246"/>
      <c r="E1073" s="246"/>
      <c r="F1073" s="246"/>
    </row>
    <row r="1074" customFormat="false" ht="11.25" hidden="false" customHeight="false" outlineLevel="0" collapsed="false">
      <c r="A1074" s="246"/>
      <c r="B1074" s="246"/>
      <c r="C1074" s="246"/>
      <c r="D1074" s="246"/>
      <c r="E1074" s="246"/>
      <c r="F1074" s="246"/>
    </row>
    <row r="1075" customFormat="false" ht="11.25" hidden="false" customHeight="false" outlineLevel="0" collapsed="false">
      <c r="A1075" s="246"/>
      <c r="B1075" s="246"/>
      <c r="C1075" s="246"/>
      <c r="D1075" s="246"/>
      <c r="E1075" s="246"/>
      <c r="F1075" s="246"/>
    </row>
    <row r="1076" customFormat="false" ht="11.25" hidden="false" customHeight="false" outlineLevel="0" collapsed="false">
      <c r="A1076" s="246"/>
      <c r="B1076" s="246"/>
      <c r="C1076" s="246"/>
      <c r="D1076" s="246"/>
      <c r="E1076" s="246"/>
      <c r="F1076" s="246"/>
    </row>
    <row r="1077" customFormat="false" ht="11.25" hidden="false" customHeight="false" outlineLevel="0" collapsed="false">
      <c r="A1077" s="246"/>
      <c r="B1077" s="246"/>
      <c r="C1077" s="246"/>
      <c r="D1077" s="246"/>
      <c r="E1077" s="246"/>
      <c r="F1077" s="246"/>
    </row>
    <row r="1078" customFormat="false" ht="11.25" hidden="false" customHeight="false" outlineLevel="0" collapsed="false">
      <c r="A1078" s="246"/>
      <c r="B1078" s="246"/>
      <c r="C1078" s="246"/>
      <c r="D1078" s="246"/>
      <c r="E1078" s="246"/>
      <c r="F1078" s="246"/>
    </row>
    <row r="1079" customFormat="false" ht="11.25" hidden="false" customHeight="false" outlineLevel="0" collapsed="false">
      <c r="A1079" s="246"/>
      <c r="B1079" s="246"/>
      <c r="C1079" s="246"/>
      <c r="D1079" s="246"/>
      <c r="E1079" s="246"/>
      <c r="F1079" s="246"/>
    </row>
    <row r="1080" customFormat="false" ht="11.25" hidden="false" customHeight="false" outlineLevel="0" collapsed="false">
      <c r="A1080" s="246"/>
      <c r="B1080" s="246"/>
      <c r="C1080" s="246"/>
      <c r="D1080" s="246"/>
      <c r="E1080" s="246"/>
      <c r="F1080" s="246"/>
    </row>
    <row r="1081" customFormat="false" ht="11.25" hidden="false" customHeight="false" outlineLevel="0" collapsed="false">
      <c r="A1081" s="246"/>
      <c r="B1081" s="246"/>
      <c r="C1081" s="246"/>
      <c r="D1081" s="246"/>
      <c r="E1081" s="246"/>
      <c r="F1081" s="246"/>
    </row>
    <row r="1082" customFormat="false" ht="11.25" hidden="false" customHeight="false" outlineLevel="0" collapsed="false">
      <c r="A1082" s="246"/>
      <c r="B1082" s="246"/>
      <c r="C1082" s="246"/>
      <c r="D1082" s="246"/>
      <c r="E1082" s="246"/>
      <c r="F1082" s="246"/>
    </row>
    <row r="1083" customFormat="false" ht="11.25" hidden="false" customHeight="false" outlineLevel="0" collapsed="false">
      <c r="A1083" s="246"/>
      <c r="B1083" s="246"/>
      <c r="C1083" s="246"/>
      <c r="D1083" s="246"/>
      <c r="E1083" s="246"/>
      <c r="F1083" s="246"/>
    </row>
    <row r="1084" customFormat="false" ht="11.25" hidden="false" customHeight="false" outlineLevel="0" collapsed="false">
      <c r="A1084" s="246"/>
      <c r="B1084" s="246"/>
      <c r="C1084" s="246"/>
      <c r="D1084" s="246"/>
      <c r="E1084" s="246"/>
      <c r="F1084" s="246"/>
    </row>
    <row r="1085" customFormat="false" ht="11.25" hidden="false" customHeight="false" outlineLevel="0" collapsed="false">
      <c r="A1085" s="246"/>
      <c r="B1085" s="246"/>
      <c r="C1085" s="246"/>
      <c r="D1085" s="246"/>
      <c r="E1085" s="246"/>
      <c r="F1085" s="246"/>
    </row>
    <row r="1086" customFormat="false" ht="11.25" hidden="false" customHeight="false" outlineLevel="0" collapsed="false">
      <c r="A1086" s="246"/>
      <c r="B1086" s="246"/>
      <c r="C1086" s="246"/>
      <c r="D1086" s="246"/>
      <c r="E1086" s="246"/>
      <c r="F1086" s="246"/>
    </row>
    <row r="1087" customFormat="false" ht="11.25" hidden="false" customHeight="false" outlineLevel="0" collapsed="false">
      <c r="A1087" s="246"/>
      <c r="B1087" s="246"/>
      <c r="C1087" s="246"/>
      <c r="D1087" s="246"/>
      <c r="E1087" s="246"/>
      <c r="F1087" s="246"/>
    </row>
    <row r="1088" customFormat="false" ht="11.25" hidden="false" customHeight="false" outlineLevel="0" collapsed="false">
      <c r="A1088" s="246"/>
      <c r="B1088" s="246"/>
      <c r="C1088" s="246"/>
      <c r="D1088" s="246"/>
      <c r="E1088" s="246"/>
      <c r="F1088" s="246"/>
    </row>
    <row r="1089" customFormat="false" ht="11.25" hidden="false" customHeight="false" outlineLevel="0" collapsed="false">
      <c r="A1089" s="246"/>
      <c r="B1089" s="246"/>
      <c r="C1089" s="246"/>
      <c r="D1089" s="246"/>
      <c r="E1089" s="246"/>
      <c r="F1089" s="246"/>
    </row>
    <row r="1090" customFormat="false" ht="11.25" hidden="false" customHeight="false" outlineLevel="0" collapsed="false">
      <c r="A1090" s="246"/>
      <c r="B1090" s="246"/>
      <c r="C1090" s="246"/>
      <c r="D1090" s="246"/>
      <c r="E1090" s="246"/>
      <c r="F1090" s="246"/>
    </row>
    <row r="1091" customFormat="false" ht="11.25" hidden="false" customHeight="false" outlineLevel="0" collapsed="false">
      <c r="A1091" s="246"/>
      <c r="B1091" s="246"/>
      <c r="C1091" s="246"/>
      <c r="D1091" s="246"/>
      <c r="E1091" s="246"/>
      <c r="F1091" s="246"/>
    </row>
    <row r="1092" customFormat="false" ht="11.25" hidden="false" customHeight="false" outlineLevel="0" collapsed="false">
      <c r="A1092" s="246"/>
      <c r="B1092" s="246"/>
      <c r="C1092" s="246"/>
      <c r="D1092" s="246"/>
      <c r="E1092" s="246"/>
      <c r="F1092" s="246"/>
    </row>
    <row r="1093" customFormat="false" ht="11.25" hidden="false" customHeight="false" outlineLevel="0" collapsed="false">
      <c r="A1093" s="246"/>
      <c r="B1093" s="246"/>
      <c r="C1093" s="246"/>
      <c r="D1093" s="246"/>
      <c r="E1093" s="246"/>
      <c r="F1093" s="246"/>
    </row>
    <row r="1094" customFormat="false" ht="11.25" hidden="false" customHeight="false" outlineLevel="0" collapsed="false">
      <c r="A1094" s="246"/>
      <c r="B1094" s="246"/>
      <c r="C1094" s="246"/>
      <c r="D1094" s="246"/>
      <c r="E1094" s="246"/>
      <c r="F1094" s="246"/>
    </row>
    <row r="1095" customFormat="false" ht="11.25" hidden="false" customHeight="false" outlineLevel="0" collapsed="false">
      <c r="A1095" s="246"/>
      <c r="B1095" s="246"/>
      <c r="C1095" s="246"/>
      <c r="D1095" s="246"/>
      <c r="E1095" s="246"/>
      <c r="F1095" s="246"/>
    </row>
    <row r="1096" customFormat="false" ht="11.25" hidden="false" customHeight="false" outlineLevel="0" collapsed="false">
      <c r="A1096" s="246"/>
      <c r="B1096" s="246"/>
      <c r="C1096" s="246"/>
      <c r="D1096" s="246"/>
      <c r="E1096" s="246"/>
      <c r="F1096" s="246"/>
    </row>
    <row r="1097" customFormat="false" ht="11.25" hidden="false" customHeight="false" outlineLevel="0" collapsed="false">
      <c r="A1097" s="246"/>
      <c r="B1097" s="246"/>
      <c r="C1097" s="246"/>
      <c r="D1097" s="246"/>
      <c r="E1097" s="246"/>
      <c r="F1097" s="246"/>
    </row>
    <row r="1098" customFormat="false" ht="11.25" hidden="false" customHeight="false" outlineLevel="0" collapsed="false">
      <c r="A1098" s="246"/>
      <c r="B1098" s="246"/>
      <c r="C1098" s="246"/>
      <c r="D1098" s="246"/>
      <c r="E1098" s="246"/>
      <c r="F1098" s="246"/>
    </row>
    <row r="1099" customFormat="false" ht="11.25" hidden="false" customHeight="false" outlineLevel="0" collapsed="false">
      <c r="A1099" s="246"/>
      <c r="B1099" s="246"/>
      <c r="C1099" s="246"/>
      <c r="D1099" s="246"/>
      <c r="E1099" s="246"/>
      <c r="F1099" s="246"/>
    </row>
    <row r="1100" customFormat="false" ht="11.25" hidden="false" customHeight="false" outlineLevel="0" collapsed="false">
      <c r="A1100" s="246"/>
      <c r="B1100" s="246"/>
      <c r="C1100" s="246"/>
      <c r="D1100" s="246"/>
      <c r="E1100" s="246"/>
      <c r="F1100" s="246"/>
    </row>
    <row r="1101" customFormat="false" ht="11.25" hidden="false" customHeight="false" outlineLevel="0" collapsed="false">
      <c r="A1101" s="246"/>
      <c r="B1101" s="246"/>
      <c r="C1101" s="246"/>
      <c r="D1101" s="246"/>
      <c r="E1101" s="246"/>
      <c r="F1101" s="246"/>
    </row>
    <row r="1102" customFormat="false" ht="11.25" hidden="false" customHeight="false" outlineLevel="0" collapsed="false">
      <c r="A1102" s="246"/>
      <c r="B1102" s="246"/>
      <c r="C1102" s="246"/>
      <c r="D1102" s="246"/>
      <c r="E1102" s="246"/>
      <c r="F1102" s="246"/>
    </row>
    <row r="1103" customFormat="false" ht="11.25" hidden="false" customHeight="false" outlineLevel="0" collapsed="false">
      <c r="A1103" s="246"/>
      <c r="B1103" s="246"/>
      <c r="C1103" s="246"/>
      <c r="D1103" s="246"/>
      <c r="E1103" s="246"/>
      <c r="F1103" s="246"/>
    </row>
    <row r="1104" customFormat="false" ht="11.25" hidden="false" customHeight="false" outlineLevel="0" collapsed="false">
      <c r="A1104" s="246"/>
      <c r="B1104" s="246"/>
      <c r="C1104" s="246"/>
      <c r="D1104" s="246"/>
      <c r="E1104" s="246"/>
      <c r="F1104" s="246"/>
    </row>
    <row r="1105" customFormat="false" ht="11.25" hidden="false" customHeight="false" outlineLevel="0" collapsed="false">
      <c r="A1105" s="246"/>
      <c r="B1105" s="246"/>
      <c r="C1105" s="246"/>
      <c r="D1105" s="246"/>
      <c r="E1105" s="246"/>
      <c r="F1105" s="246"/>
    </row>
    <row r="1106" customFormat="false" ht="11.25" hidden="false" customHeight="false" outlineLevel="0" collapsed="false">
      <c r="A1106" s="246"/>
      <c r="B1106" s="246"/>
      <c r="C1106" s="246"/>
      <c r="D1106" s="246"/>
      <c r="E1106" s="246"/>
      <c r="F1106" s="246"/>
    </row>
    <row r="1107" customFormat="false" ht="11.25" hidden="false" customHeight="false" outlineLevel="0" collapsed="false">
      <c r="A1107" s="246"/>
      <c r="B1107" s="246"/>
      <c r="C1107" s="246"/>
      <c r="D1107" s="246"/>
      <c r="E1107" s="246"/>
      <c r="F1107" s="246"/>
    </row>
    <row r="1108" customFormat="false" ht="11.25" hidden="false" customHeight="false" outlineLevel="0" collapsed="false">
      <c r="A1108" s="246"/>
      <c r="B1108" s="246"/>
      <c r="C1108" s="246"/>
      <c r="D1108" s="246"/>
      <c r="E1108" s="246"/>
      <c r="F1108" s="246"/>
    </row>
    <row r="1109" customFormat="false" ht="11.25" hidden="false" customHeight="false" outlineLevel="0" collapsed="false">
      <c r="A1109" s="246"/>
      <c r="B1109" s="246"/>
      <c r="C1109" s="246"/>
      <c r="D1109" s="246"/>
      <c r="E1109" s="246"/>
      <c r="F1109" s="246"/>
    </row>
    <row r="1110" customFormat="false" ht="11.25" hidden="false" customHeight="false" outlineLevel="0" collapsed="false">
      <c r="A1110" s="246"/>
      <c r="B1110" s="246"/>
      <c r="C1110" s="246"/>
      <c r="D1110" s="246"/>
      <c r="E1110" s="246"/>
      <c r="F1110" s="246"/>
    </row>
    <row r="1111" customFormat="false" ht="11.25" hidden="false" customHeight="false" outlineLevel="0" collapsed="false">
      <c r="A1111" s="246"/>
      <c r="B1111" s="246"/>
      <c r="C1111" s="246"/>
      <c r="D1111" s="246"/>
      <c r="E1111" s="246"/>
      <c r="F1111" s="246"/>
    </row>
    <row r="1112" customFormat="false" ht="11.25" hidden="false" customHeight="false" outlineLevel="0" collapsed="false">
      <c r="A1112" s="246"/>
      <c r="B1112" s="246"/>
      <c r="C1112" s="246"/>
      <c r="D1112" s="246"/>
      <c r="E1112" s="246"/>
      <c r="F1112" s="246"/>
    </row>
    <row r="1113" customFormat="false" ht="11.25" hidden="false" customHeight="false" outlineLevel="0" collapsed="false">
      <c r="A1113" s="246"/>
      <c r="B1113" s="246"/>
      <c r="C1113" s="246"/>
      <c r="D1113" s="246"/>
      <c r="E1113" s="246"/>
      <c r="F1113" s="246"/>
    </row>
    <row r="1114" customFormat="false" ht="11.25" hidden="false" customHeight="false" outlineLevel="0" collapsed="false">
      <c r="A1114" s="246"/>
      <c r="B1114" s="246"/>
      <c r="C1114" s="246"/>
      <c r="D1114" s="246"/>
      <c r="E1114" s="246"/>
      <c r="F1114" s="246"/>
    </row>
    <row r="1115" customFormat="false" ht="11.25" hidden="false" customHeight="false" outlineLevel="0" collapsed="false">
      <c r="A1115" s="246"/>
      <c r="B1115" s="246"/>
      <c r="C1115" s="246"/>
      <c r="D1115" s="246"/>
      <c r="E1115" s="246"/>
      <c r="F1115" s="246"/>
    </row>
    <row r="1116" customFormat="false" ht="11.25" hidden="false" customHeight="false" outlineLevel="0" collapsed="false">
      <c r="A1116" s="246"/>
      <c r="B1116" s="246"/>
      <c r="C1116" s="246"/>
      <c r="D1116" s="246"/>
      <c r="E1116" s="246"/>
      <c r="F1116" s="246"/>
    </row>
    <row r="1117" customFormat="false" ht="11.25" hidden="false" customHeight="false" outlineLevel="0" collapsed="false">
      <c r="A1117" s="246"/>
      <c r="B1117" s="246"/>
      <c r="C1117" s="246"/>
      <c r="D1117" s="246"/>
      <c r="E1117" s="246"/>
      <c r="F1117" s="246"/>
    </row>
    <row r="1118" customFormat="false" ht="11.25" hidden="false" customHeight="false" outlineLevel="0" collapsed="false">
      <c r="A1118" s="246"/>
      <c r="B1118" s="246"/>
      <c r="C1118" s="246"/>
      <c r="D1118" s="246"/>
      <c r="E1118" s="246"/>
      <c r="F1118" s="246"/>
    </row>
    <row r="1119" customFormat="false" ht="11.25" hidden="false" customHeight="false" outlineLevel="0" collapsed="false">
      <c r="A1119" s="246"/>
      <c r="B1119" s="246"/>
      <c r="C1119" s="246"/>
      <c r="D1119" s="246"/>
      <c r="E1119" s="246"/>
      <c r="F1119" s="246"/>
    </row>
    <row r="1120" customFormat="false" ht="11.25" hidden="false" customHeight="false" outlineLevel="0" collapsed="false">
      <c r="A1120" s="246"/>
      <c r="B1120" s="246"/>
      <c r="C1120" s="246"/>
      <c r="D1120" s="246"/>
      <c r="E1120" s="246"/>
      <c r="F1120" s="246"/>
    </row>
    <row r="1121" customFormat="false" ht="11.25" hidden="false" customHeight="false" outlineLevel="0" collapsed="false">
      <c r="A1121" s="246"/>
      <c r="B1121" s="246"/>
      <c r="C1121" s="246"/>
      <c r="D1121" s="246"/>
      <c r="E1121" s="246"/>
      <c r="F1121" s="246"/>
    </row>
    <row r="1122" customFormat="false" ht="11.25" hidden="false" customHeight="false" outlineLevel="0" collapsed="false">
      <c r="A1122" s="246"/>
      <c r="B1122" s="246"/>
      <c r="C1122" s="246"/>
      <c r="D1122" s="246"/>
      <c r="E1122" s="246"/>
      <c r="F1122" s="246"/>
    </row>
    <row r="1123" customFormat="false" ht="11.25" hidden="false" customHeight="false" outlineLevel="0" collapsed="false">
      <c r="A1123" s="246"/>
      <c r="B1123" s="246"/>
      <c r="C1123" s="246"/>
      <c r="D1123" s="246"/>
      <c r="E1123" s="246"/>
      <c r="F1123" s="246"/>
    </row>
    <row r="1124" customFormat="false" ht="11.25" hidden="false" customHeight="false" outlineLevel="0" collapsed="false">
      <c r="A1124" s="246"/>
      <c r="B1124" s="246"/>
      <c r="C1124" s="246"/>
      <c r="D1124" s="246"/>
      <c r="E1124" s="246"/>
      <c r="F1124" s="246"/>
    </row>
    <row r="1125" customFormat="false" ht="11.25" hidden="false" customHeight="false" outlineLevel="0" collapsed="false">
      <c r="A1125" s="246"/>
      <c r="B1125" s="246"/>
      <c r="C1125" s="246"/>
      <c r="D1125" s="246"/>
      <c r="E1125" s="246"/>
      <c r="F1125" s="246"/>
    </row>
    <row r="1126" customFormat="false" ht="11.25" hidden="false" customHeight="false" outlineLevel="0" collapsed="false">
      <c r="A1126" s="246"/>
      <c r="B1126" s="246"/>
      <c r="C1126" s="246"/>
      <c r="D1126" s="246"/>
      <c r="E1126" s="246"/>
      <c r="F1126" s="246"/>
    </row>
    <row r="1127" customFormat="false" ht="11.25" hidden="false" customHeight="false" outlineLevel="0" collapsed="false">
      <c r="A1127" s="246"/>
      <c r="B1127" s="246"/>
      <c r="C1127" s="246"/>
      <c r="D1127" s="246"/>
      <c r="E1127" s="246"/>
      <c r="F1127" s="246"/>
    </row>
    <row r="1128" customFormat="false" ht="11.25" hidden="false" customHeight="false" outlineLevel="0" collapsed="false">
      <c r="A1128" s="246"/>
      <c r="B1128" s="246"/>
      <c r="C1128" s="246"/>
      <c r="D1128" s="246"/>
      <c r="E1128" s="246"/>
      <c r="F1128" s="246"/>
    </row>
    <row r="1129" customFormat="false" ht="11.25" hidden="false" customHeight="false" outlineLevel="0" collapsed="false">
      <c r="A1129" s="246"/>
      <c r="B1129" s="246"/>
      <c r="C1129" s="246"/>
      <c r="D1129" s="246"/>
      <c r="E1129" s="246"/>
      <c r="F1129" s="246"/>
    </row>
    <row r="1130" customFormat="false" ht="11.25" hidden="false" customHeight="false" outlineLevel="0" collapsed="false">
      <c r="A1130" s="246"/>
      <c r="B1130" s="246"/>
      <c r="C1130" s="246"/>
      <c r="D1130" s="246"/>
      <c r="E1130" s="246"/>
      <c r="F1130" s="246"/>
    </row>
    <row r="1131" customFormat="false" ht="11.25" hidden="false" customHeight="false" outlineLevel="0" collapsed="false">
      <c r="A1131" s="246"/>
      <c r="B1131" s="246"/>
      <c r="C1131" s="246"/>
      <c r="D1131" s="246"/>
      <c r="E1131" s="246"/>
      <c r="F1131" s="246"/>
    </row>
    <row r="1132" customFormat="false" ht="11.25" hidden="false" customHeight="false" outlineLevel="0" collapsed="false">
      <c r="A1132" s="246"/>
      <c r="B1132" s="246"/>
      <c r="C1132" s="246"/>
      <c r="D1132" s="246"/>
      <c r="E1132" s="246"/>
      <c r="F1132" s="246"/>
    </row>
    <row r="1133" customFormat="false" ht="11.25" hidden="false" customHeight="false" outlineLevel="0" collapsed="false">
      <c r="A1133" s="246"/>
      <c r="B1133" s="246"/>
      <c r="C1133" s="246"/>
      <c r="D1133" s="246"/>
      <c r="E1133" s="246"/>
      <c r="F1133" s="246"/>
    </row>
    <row r="1134" customFormat="false" ht="11.25" hidden="false" customHeight="false" outlineLevel="0" collapsed="false">
      <c r="A1134" s="246"/>
      <c r="B1134" s="246"/>
      <c r="C1134" s="246"/>
      <c r="D1134" s="246"/>
      <c r="E1134" s="246"/>
      <c r="F1134" s="246"/>
    </row>
    <row r="1135" customFormat="false" ht="11.25" hidden="false" customHeight="false" outlineLevel="0" collapsed="false">
      <c r="A1135" s="246"/>
      <c r="B1135" s="246"/>
      <c r="C1135" s="246"/>
      <c r="D1135" s="246"/>
      <c r="E1135" s="246"/>
      <c r="F1135" s="246"/>
    </row>
    <row r="1136" customFormat="false" ht="11.25" hidden="false" customHeight="false" outlineLevel="0" collapsed="false">
      <c r="A1136" s="246"/>
      <c r="B1136" s="246"/>
      <c r="C1136" s="246"/>
      <c r="D1136" s="246"/>
      <c r="E1136" s="246"/>
      <c r="F1136" s="246"/>
    </row>
    <row r="1137" customFormat="false" ht="11.25" hidden="false" customHeight="false" outlineLevel="0" collapsed="false">
      <c r="A1137" s="246"/>
      <c r="B1137" s="246"/>
      <c r="C1137" s="246"/>
      <c r="D1137" s="246"/>
      <c r="E1137" s="246"/>
      <c r="F1137" s="246"/>
    </row>
    <row r="1138" customFormat="false" ht="11.25" hidden="false" customHeight="false" outlineLevel="0" collapsed="false">
      <c r="A1138" s="246"/>
      <c r="B1138" s="246"/>
      <c r="C1138" s="246"/>
      <c r="D1138" s="246"/>
      <c r="E1138" s="246"/>
      <c r="F1138" s="246"/>
    </row>
    <row r="1139" customFormat="false" ht="11.25" hidden="false" customHeight="false" outlineLevel="0" collapsed="false">
      <c r="A1139" s="246"/>
      <c r="B1139" s="246"/>
      <c r="C1139" s="246"/>
      <c r="D1139" s="246"/>
      <c r="E1139" s="246"/>
      <c r="F1139" s="246"/>
    </row>
    <row r="1140" customFormat="false" ht="11.25" hidden="false" customHeight="false" outlineLevel="0" collapsed="false">
      <c r="A1140" s="246"/>
      <c r="B1140" s="246"/>
      <c r="C1140" s="246"/>
      <c r="D1140" s="246"/>
      <c r="E1140" s="246"/>
      <c r="F1140" s="246"/>
    </row>
    <row r="1141" customFormat="false" ht="11.25" hidden="false" customHeight="false" outlineLevel="0" collapsed="false">
      <c r="A1141" s="246"/>
      <c r="B1141" s="246"/>
      <c r="C1141" s="246"/>
      <c r="D1141" s="246"/>
      <c r="E1141" s="246"/>
      <c r="F1141" s="246"/>
    </row>
    <row r="1142" customFormat="false" ht="11.25" hidden="false" customHeight="false" outlineLevel="0" collapsed="false">
      <c r="A1142" s="246"/>
      <c r="B1142" s="246"/>
      <c r="C1142" s="246"/>
      <c r="D1142" s="246"/>
      <c r="E1142" s="246"/>
      <c r="F1142" s="246"/>
    </row>
    <row r="1143" customFormat="false" ht="11.25" hidden="false" customHeight="false" outlineLevel="0" collapsed="false">
      <c r="A1143" s="246"/>
      <c r="B1143" s="246"/>
      <c r="C1143" s="246"/>
      <c r="D1143" s="246"/>
      <c r="E1143" s="246"/>
      <c r="F1143" s="246"/>
    </row>
    <row r="1144" customFormat="false" ht="11.25" hidden="false" customHeight="false" outlineLevel="0" collapsed="false">
      <c r="A1144" s="246"/>
      <c r="B1144" s="246"/>
      <c r="C1144" s="246"/>
      <c r="D1144" s="246"/>
      <c r="E1144" s="246"/>
      <c r="F1144" s="246"/>
    </row>
    <row r="1145" customFormat="false" ht="11.25" hidden="false" customHeight="false" outlineLevel="0" collapsed="false">
      <c r="A1145" s="246"/>
      <c r="B1145" s="246"/>
      <c r="C1145" s="246"/>
      <c r="D1145" s="246"/>
      <c r="E1145" s="246"/>
      <c r="F1145" s="246"/>
    </row>
    <row r="1146" customFormat="false" ht="11.25" hidden="false" customHeight="false" outlineLevel="0" collapsed="false">
      <c r="A1146" s="246"/>
      <c r="B1146" s="246"/>
      <c r="C1146" s="246"/>
      <c r="D1146" s="246"/>
      <c r="E1146" s="246"/>
      <c r="F1146" s="246"/>
    </row>
    <row r="1147" customFormat="false" ht="11.25" hidden="false" customHeight="false" outlineLevel="0" collapsed="false">
      <c r="A1147" s="246"/>
      <c r="B1147" s="246"/>
      <c r="C1147" s="246"/>
      <c r="D1147" s="246"/>
      <c r="E1147" s="246"/>
      <c r="F1147" s="246"/>
    </row>
    <row r="1148" customFormat="false" ht="11.25" hidden="false" customHeight="false" outlineLevel="0" collapsed="false">
      <c r="A1148" s="246"/>
      <c r="B1148" s="246"/>
      <c r="C1148" s="246"/>
      <c r="D1148" s="246"/>
      <c r="E1148" s="246"/>
      <c r="F1148" s="246"/>
    </row>
    <row r="1149" customFormat="false" ht="11.25" hidden="false" customHeight="false" outlineLevel="0" collapsed="false">
      <c r="A1149" s="246"/>
      <c r="B1149" s="246"/>
      <c r="C1149" s="246"/>
      <c r="D1149" s="246"/>
      <c r="E1149" s="246"/>
      <c r="F1149" s="246"/>
    </row>
    <row r="1150" customFormat="false" ht="11.25" hidden="false" customHeight="false" outlineLevel="0" collapsed="false">
      <c r="A1150" s="246"/>
      <c r="B1150" s="246"/>
      <c r="C1150" s="246"/>
      <c r="D1150" s="246"/>
      <c r="E1150" s="246"/>
      <c r="F1150" s="246"/>
    </row>
    <row r="1151" customFormat="false" ht="11.25" hidden="false" customHeight="false" outlineLevel="0" collapsed="false">
      <c r="A1151" s="246"/>
      <c r="B1151" s="246"/>
      <c r="C1151" s="246"/>
      <c r="D1151" s="246"/>
      <c r="E1151" s="246"/>
      <c r="F1151" s="246"/>
    </row>
    <row r="1152" customFormat="false" ht="11.25" hidden="false" customHeight="false" outlineLevel="0" collapsed="false">
      <c r="A1152" s="246"/>
      <c r="B1152" s="246"/>
      <c r="C1152" s="246"/>
      <c r="D1152" s="246"/>
      <c r="E1152" s="246"/>
      <c r="F1152" s="246"/>
    </row>
    <row r="1153" customFormat="false" ht="11.25" hidden="false" customHeight="false" outlineLevel="0" collapsed="false">
      <c r="A1153" s="246"/>
      <c r="B1153" s="246"/>
      <c r="C1153" s="246"/>
      <c r="D1153" s="246"/>
      <c r="E1153" s="246"/>
      <c r="F1153" s="246"/>
    </row>
    <row r="1154" customFormat="false" ht="11.25" hidden="false" customHeight="false" outlineLevel="0" collapsed="false">
      <c r="A1154" s="246"/>
      <c r="B1154" s="246"/>
      <c r="C1154" s="246"/>
      <c r="D1154" s="246"/>
      <c r="E1154" s="246"/>
      <c r="F1154" s="246"/>
    </row>
    <row r="1155" customFormat="false" ht="11.25" hidden="false" customHeight="false" outlineLevel="0" collapsed="false">
      <c r="A1155" s="246"/>
      <c r="B1155" s="246"/>
      <c r="C1155" s="246"/>
      <c r="D1155" s="246"/>
      <c r="E1155" s="246"/>
      <c r="F1155" s="246"/>
    </row>
    <row r="1156" customFormat="false" ht="11.25" hidden="false" customHeight="false" outlineLevel="0" collapsed="false">
      <c r="A1156" s="246"/>
      <c r="B1156" s="246"/>
      <c r="C1156" s="246"/>
      <c r="D1156" s="246"/>
      <c r="E1156" s="246"/>
      <c r="F1156" s="246"/>
    </row>
    <row r="1157" customFormat="false" ht="11.25" hidden="false" customHeight="false" outlineLevel="0" collapsed="false">
      <c r="A1157" s="246"/>
      <c r="B1157" s="246"/>
      <c r="C1157" s="246"/>
      <c r="D1157" s="246"/>
      <c r="E1157" s="246"/>
      <c r="F1157" s="246"/>
    </row>
    <row r="1158" customFormat="false" ht="11.25" hidden="false" customHeight="false" outlineLevel="0" collapsed="false">
      <c r="A1158" s="246"/>
      <c r="B1158" s="246"/>
      <c r="C1158" s="246"/>
      <c r="D1158" s="246"/>
      <c r="E1158" s="246"/>
      <c r="F1158" s="246"/>
    </row>
    <row r="1159" customFormat="false" ht="11.25" hidden="false" customHeight="false" outlineLevel="0" collapsed="false">
      <c r="A1159" s="246"/>
      <c r="B1159" s="246"/>
      <c r="C1159" s="246"/>
      <c r="D1159" s="246"/>
      <c r="E1159" s="246"/>
      <c r="F1159" s="246"/>
    </row>
    <row r="1160" customFormat="false" ht="11.25" hidden="false" customHeight="false" outlineLevel="0" collapsed="false">
      <c r="A1160" s="246"/>
      <c r="B1160" s="246"/>
      <c r="C1160" s="246"/>
      <c r="D1160" s="246"/>
      <c r="E1160" s="246"/>
      <c r="F1160" s="246"/>
    </row>
    <row r="1161" customFormat="false" ht="11.25" hidden="false" customHeight="false" outlineLevel="0" collapsed="false">
      <c r="A1161" s="246"/>
      <c r="B1161" s="246"/>
      <c r="C1161" s="246"/>
      <c r="D1161" s="246"/>
      <c r="E1161" s="246"/>
      <c r="F1161" s="246"/>
    </row>
    <row r="1162" customFormat="false" ht="11.25" hidden="false" customHeight="false" outlineLevel="0" collapsed="false">
      <c r="A1162" s="246"/>
      <c r="B1162" s="246"/>
      <c r="C1162" s="246"/>
      <c r="D1162" s="246"/>
      <c r="E1162" s="246"/>
      <c r="F1162" s="246"/>
    </row>
    <row r="1163" customFormat="false" ht="11.25" hidden="false" customHeight="false" outlineLevel="0" collapsed="false">
      <c r="A1163" s="246"/>
      <c r="B1163" s="246"/>
      <c r="C1163" s="246"/>
      <c r="D1163" s="246"/>
      <c r="E1163" s="246"/>
      <c r="F1163" s="246"/>
    </row>
    <row r="1164" customFormat="false" ht="11.25" hidden="false" customHeight="false" outlineLevel="0" collapsed="false">
      <c r="A1164" s="246"/>
      <c r="B1164" s="246"/>
      <c r="C1164" s="246"/>
      <c r="D1164" s="246"/>
      <c r="E1164" s="246"/>
      <c r="F1164" s="246"/>
    </row>
    <row r="1165" customFormat="false" ht="11.25" hidden="false" customHeight="false" outlineLevel="0" collapsed="false">
      <c r="A1165" s="246"/>
      <c r="B1165" s="246"/>
      <c r="C1165" s="246"/>
      <c r="D1165" s="246"/>
      <c r="E1165" s="246"/>
      <c r="F1165" s="246"/>
    </row>
    <row r="1166" customFormat="false" ht="11.25" hidden="false" customHeight="false" outlineLevel="0" collapsed="false">
      <c r="A1166" s="246"/>
      <c r="B1166" s="246"/>
      <c r="C1166" s="246"/>
      <c r="D1166" s="246"/>
      <c r="E1166" s="246"/>
      <c r="F1166" s="246"/>
    </row>
    <row r="1167" customFormat="false" ht="11.25" hidden="false" customHeight="false" outlineLevel="0" collapsed="false">
      <c r="A1167" s="246"/>
      <c r="B1167" s="246"/>
      <c r="C1167" s="246"/>
      <c r="D1167" s="246"/>
      <c r="E1167" s="246"/>
      <c r="F1167" s="246"/>
    </row>
    <row r="1168" customFormat="false" ht="11.25" hidden="false" customHeight="false" outlineLevel="0" collapsed="false">
      <c r="A1168" s="246"/>
      <c r="B1168" s="246"/>
      <c r="C1168" s="246"/>
      <c r="D1168" s="246"/>
      <c r="E1168" s="246"/>
      <c r="F1168" s="246"/>
    </row>
    <row r="1169" customFormat="false" ht="11.25" hidden="false" customHeight="false" outlineLevel="0" collapsed="false">
      <c r="A1169" s="246"/>
      <c r="B1169" s="246"/>
      <c r="C1169" s="246"/>
      <c r="D1169" s="246"/>
      <c r="E1169" s="246"/>
      <c r="F1169" s="246"/>
    </row>
    <row r="1170" customFormat="false" ht="11.25" hidden="false" customHeight="false" outlineLevel="0" collapsed="false">
      <c r="A1170" s="246"/>
      <c r="B1170" s="246"/>
      <c r="C1170" s="246"/>
      <c r="D1170" s="246"/>
      <c r="E1170" s="246"/>
      <c r="F1170" s="246"/>
    </row>
    <row r="1171" customFormat="false" ht="11.25" hidden="false" customHeight="false" outlineLevel="0" collapsed="false">
      <c r="A1171" s="246"/>
      <c r="B1171" s="246"/>
      <c r="C1171" s="246"/>
      <c r="D1171" s="246"/>
      <c r="E1171" s="246"/>
      <c r="F1171" s="246"/>
    </row>
    <row r="1172" customFormat="false" ht="11.25" hidden="false" customHeight="false" outlineLevel="0" collapsed="false">
      <c r="A1172" s="246"/>
      <c r="B1172" s="246"/>
      <c r="C1172" s="246"/>
      <c r="D1172" s="246"/>
      <c r="E1172" s="246"/>
      <c r="F1172" s="246"/>
    </row>
    <row r="1173" customFormat="false" ht="11.25" hidden="false" customHeight="false" outlineLevel="0" collapsed="false">
      <c r="A1173" s="246"/>
      <c r="B1173" s="246"/>
      <c r="C1173" s="246"/>
      <c r="D1173" s="246"/>
      <c r="E1173" s="246"/>
      <c r="F1173" s="246"/>
    </row>
    <row r="1174" customFormat="false" ht="11.25" hidden="false" customHeight="false" outlineLevel="0" collapsed="false">
      <c r="A1174" s="246"/>
      <c r="B1174" s="246"/>
      <c r="C1174" s="246"/>
      <c r="D1174" s="246"/>
      <c r="E1174" s="246"/>
      <c r="F1174" s="246"/>
    </row>
    <row r="1175" customFormat="false" ht="11.25" hidden="false" customHeight="false" outlineLevel="0" collapsed="false">
      <c r="A1175" s="246"/>
      <c r="B1175" s="246"/>
      <c r="C1175" s="246"/>
      <c r="D1175" s="246"/>
      <c r="E1175" s="246"/>
      <c r="F1175" s="246"/>
    </row>
    <row r="1176" customFormat="false" ht="11.25" hidden="false" customHeight="false" outlineLevel="0" collapsed="false">
      <c r="A1176" s="246"/>
      <c r="B1176" s="246"/>
      <c r="C1176" s="246"/>
      <c r="D1176" s="246"/>
      <c r="E1176" s="246"/>
      <c r="F1176" s="246"/>
    </row>
    <row r="1177" customFormat="false" ht="11.25" hidden="false" customHeight="false" outlineLevel="0" collapsed="false">
      <c r="A1177" s="246"/>
      <c r="B1177" s="246"/>
      <c r="C1177" s="246"/>
      <c r="D1177" s="246"/>
      <c r="E1177" s="246"/>
      <c r="F1177" s="246"/>
    </row>
    <row r="1178" customFormat="false" ht="11.25" hidden="false" customHeight="false" outlineLevel="0" collapsed="false">
      <c r="A1178" s="246"/>
      <c r="B1178" s="246"/>
      <c r="C1178" s="246"/>
      <c r="D1178" s="246"/>
      <c r="E1178" s="246"/>
      <c r="F1178" s="246"/>
    </row>
    <row r="1179" customFormat="false" ht="11.25" hidden="false" customHeight="false" outlineLevel="0" collapsed="false">
      <c r="A1179" s="246"/>
      <c r="B1179" s="246"/>
      <c r="C1179" s="246"/>
      <c r="D1179" s="246"/>
      <c r="E1179" s="246"/>
      <c r="F1179" s="246"/>
    </row>
    <row r="1180" customFormat="false" ht="11.25" hidden="false" customHeight="false" outlineLevel="0" collapsed="false">
      <c r="A1180" s="246"/>
      <c r="B1180" s="246"/>
      <c r="C1180" s="246"/>
      <c r="D1180" s="246"/>
      <c r="E1180" s="246"/>
      <c r="F1180" s="246"/>
    </row>
    <row r="1181" customFormat="false" ht="11.25" hidden="false" customHeight="false" outlineLevel="0" collapsed="false">
      <c r="A1181" s="246"/>
      <c r="B1181" s="246"/>
      <c r="C1181" s="246"/>
      <c r="D1181" s="246"/>
      <c r="E1181" s="246"/>
      <c r="F1181" s="246"/>
    </row>
    <row r="1182" customFormat="false" ht="11.25" hidden="false" customHeight="false" outlineLevel="0" collapsed="false">
      <c r="A1182" s="246"/>
      <c r="B1182" s="246"/>
      <c r="C1182" s="246"/>
      <c r="D1182" s="246"/>
      <c r="E1182" s="246"/>
      <c r="F1182" s="246"/>
    </row>
    <row r="1183" customFormat="false" ht="11.25" hidden="false" customHeight="false" outlineLevel="0" collapsed="false">
      <c r="A1183" s="246"/>
      <c r="B1183" s="246"/>
      <c r="C1183" s="246"/>
      <c r="D1183" s="246"/>
      <c r="E1183" s="246"/>
      <c r="F1183" s="246"/>
    </row>
    <row r="1184" customFormat="false" ht="11.25" hidden="false" customHeight="false" outlineLevel="0" collapsed="false">
      <c r="A1184" s="246"/>
      <c r="B1184" s="246"/>
      <c r="C1184" s="246"/>
      <c r="D1184" s="246"/>
      <c r="E1184" s="246"/>
      <c r="F1184" s="246"/>
    </row>
    <row r="1185" customFormat="false" ht="11.25" hidden="false" customHeight="false" outlineLevel="0" collapsed="false">
      <c r="A1185" s="246"/>
      <c r="B1185" s="246"/>
      <c r="C1185" s="246"/>
      <c r="D1185" s="246"/>
      <c r="E1185" s="246"/>
      <c r="F1185" s="246"/>
    </row>
    <row r="1186" customFormat="false" ht="11.25" hidden="false" customHeight="false" outlineLevel="0" collapsed="false">
      <c r="A1186" s="246"/>
      <c r="B1186" s="246"/>
      <c r="C1186" s="246"/>
      <c r="D1186" s="246"/>
      <c r="E1186" s="246"/>
      <c r="F1186" s="246"/>
    </row>
    <row r="1187" customFormat="false" ht="11.25" hidden="false" customHeight="false" outlineLevel="0" collapsed="false">
      <c r="A1187" s="246"/>
      <c r="B1187" s="246"/>
      <c r="C1187" s="246"/>
      <c r="D1187" s="246"/>
      <c r="E1187" s="246"/>
      <c r="F1187" s="246"/>
    </row>
    <row r="1188" customFormat="false" ht="11.25" hidden="false" customHeight="false" outlineLevel="0" collapsed="false">
      <c r="A1188" s="246"/>
      <c r="B1188" s="246"/>
      <c r="C1188" s="246"/>
      <c r="D1188" s="246"/>
      <c r="E1188" s="246"/>
      <c r="F1188" s="246"/>
    </row>
    <row r="1189" customFormat="false" ht="11.25" hidden="false" customHeight="false" outlineLevel="0" collapsed="false">
      <c r="A1189" s="246"/>
      <c r="B1189" s="246"/>
      <c r="C1189" s="246"/>
      <c r="D1189" s="246"/>
      <c r="E1189" s="246"/>
      <c r="F1189" s="246"/>
    </row>
    <row r="1190" customFormat="false" ht="11.25" hidden="false" customHeight="false" outlineLevel="0" collapsed="false">
      <c r="A1190" s="246"/>
      <c r="B1190" s="246"/>
      <c r="C1190" s="246"/>
      <c r="D1190" s="246"/>
      <c r="E1190" s="246"/>
      <c r="F1190" s="246"/>
    </row>
    <row r="1191" customFormat="false" ht="11.25" hidden="false" customHeight="false" outlineLevel="0" collapsed="false">
      <c r="A1191" s="246"/>
      <c r="B1191" s="246"/>
      <c r="C1191" s="246"/>
      <c r="D1191" s="246"/>
      <c r="E1191" s="246"/>
      <c r="F1191" s="246"/>
    </row>
    <row r="1192" customFormat="false" ht="11.25" hidden="false" customHeight="false" outlineLevel="0" collapsed="false">
      <c r="A1192" s="246"/>
      <c r="B1192" s="246"/>
      <c r="C1192" s="246"/>
      <c r="D1192" s="246"/>
      <c r="E1192" s="246"/>
      <c r="F1192" s="246"/>
    </row>
    <row r="1193" customFormat="false" ht="11.25" hidden="false" customHeight="false" outlineLevel="0" collapsed="false">
      <c r="A1193" s="246"/>
      <c r="B1193" s="246"/>
      <c r="C1193" s="246"/>
      <c r="D1193" s="246"/>
      <c r="E1193" s="246"/>
      <c r="F1193" s="246"/>
    </row>
    <row r="1194" customFormat="false" ht="11.25" hidden="false" customHeight="false" outlineLevel="0" collapsed="false">
      <c r="A1194" s="246"/>
      <c r="B1194" s="246"/>
      <c r="C1194" s="246"/>
      <c r="D1194" s="246"/>
      <c r="E1194" s="246"/>
      <c r="F1194" s="246"/>
    </row>
    <row r="1195" customFormat="false" ht="11.25" hidden="false" customHeight="false" outlineLevel="0" collapsed="false">
      <c r="A1195" s="246"/>
      <c r="B1195" s="246"/>
      <c r="C1195" s="246"/>
      <c r="D1195" s="246"/>
      <c r="E1195" s="246"/>
      <c r="F1195" s="246"/>
    </row>
    <row r="1196" customFormat="false" ht="11.25" hidden="false" customHeight="false" outlineLevel="0" collapsed="false">
      <c r="A1196" s="246"/>
      <c r="B1196" s="246"/>
      <c r="C1196" s="246"/>
      <c r="D1196" s="246"/>
      <c r="E1196" s="246"/>
      <c r="F1196" s="246"/>
    </row>
    <row r="1197" customFormat="false" ht="11.25" hidden="false" customHeight="false" outlineLevel="0" collapsed="false">
      <c r="A1197" s="246"/>
      <c r="B1197" s="246"/>
      <c r="C1197" s="246"/>
      <c r="D1197" s="246"/>
      <c r="E1197" s="246"/>
      <c r="F1197" s="246"/>
    </row>
    <row r="1198" customFormat="false" ht="11.25" hidden="false" customHeight="false" outlineLevel="0" collapsed="false">
      <c r="A1198" s="246"/>
      <c r="B1198" s="246"/>
      <c r="C1198" s="246"/>
      <c r="D1198" s="246"/>
      <c r="E1198" s="246"/>
      <c r="F1198" s="246"/>
    </row>
    <row r="1199" customFormat="false" ht="11.25" hidden="false" customHeight="false" outlineLevel="0" collapsed="false">
      <c r="A1199" s="246"/>
      <c r="B1199" s="246"/>
      <c r="C1199" s="246"/>
      <c r="D1199" s="246"/>
      <c r="E1199" s="246"/>
      <c r="F1199" s="246"/>
    </row>
    <row r="1200" customFormat="false" ht="11.25" hidden="false" customHeight="false" outlineLevel="0" collapsed="false">
      <c r="A1200" s="246"/>
      <c r="B1200" s="246"/>
      <c r="C1200" s="246"/>
      <c r="D1200" s="246"/>
      <c r="E1200" s="246"/>
      <c r="F1200" s="246"/>
    </row>
    <row r="1201" customFormat="false" ht="11.25" hidden="false" customHeight="false" outlineLevel="0" collapsed="false">
      <c r="A1201" s="246"/>
      <c r="B1201" s="246"/>
      <c r="C1201" s="246"/>
      <c r="D1201" s="246"/>
      <c r="E1201" s="246"/>
      <c r="F1201" s="246"/>
    </row>
    <row r="1202" customFormat="false" ht="11.25" hidden="false" customHeight="false" outlineLevel="0" collapsed="false">
      <c r="A1202" s="246"/>
      <c r="B1202" s="246"/>
      <c r="C1202" s="246"/>
      <c r="D1202" s="246"/>
      <c r="E1202" s="246"/>
      <c r="F1202" s="246"/>
    </row>
    <row r="1203" customFormat="false" ht="11.25" hidden="false" customHeight="false" outlineLevel="0" collapsed="false">
      <c r="A1203" s="246"/>
      <c r="B1203" s="246"/>
      <c r="C1203" s="246"/>
      <c r="D1203" s="246"/>
      <c r="E1203" s="246"/>
      <c r="F1203" s="246"/>
    </row>
    <row r="1204" customFormat="false" ht="11.25" hidden="false" customHeight="false" outlineLevel="0" collapsed="false">
      <c r="A1204" s="246"/>
      <c r="B1204" s="246"/>
      <c r="C1204" s="246"/>
      <c r="D1204" s="246"/>
      <c r="E1204" s="246"/>
      <c r="F1204" s="246"/>
    </row>
    <row r="1205" customFormat="false" ht="11.25" hidden="false" customHeight="false" outlineLevel="0" collapsed="false">
      <c r="A1205" s="246"/>
      <c r="B1205" s="246"/>
      <c r="C1205" s="246"/>
      <c r="D1205" s="246"/>
      <c r="E1205" s="246"/>
      <c r="F1205" s="246"/>
    </row>
    <row r="1206" customFormat="false" ht="11.25" hidden="false" customHeight="false" outlineLevel="0" collapsed="false">
      <c r="A1206" s="246"/>
      <c r="B1206" s="246"/>
      <c r="C1206" s="246"/>
      <c r="D1206" s="246"/>
      <c r="E1206" s="246"/>
      <c r="F1206" s="246"/>
    </row>
    <row r="1207" customFormat="false" ht="11.25" hidden="false" customHeight="false" outlineLevel="0" collapsed="false">
      <c r="A1207" s="246"/>
      <c r="B1207" s="246"/>
      <c r="C1207" s="246"/>
      <c r="D1207" s="246"/>
      <c r="E1207" s="246"/>
      <c r="F1207" s="246"/>
    </row>
    <row r="1208" customFormat="false" ht="11.25" hidden="false" customHeight="false" outlineLevel="0" collapsed="false">
      <c r="A1208" s="246"/>
      <c r="B1208" s="246"/>
      <c r="C1208" s="246"/>
      <c r="D1208" s="246"/>
      <c r="E1208" s="246"/>
      <c r="F1208" s="246"/>
    </row>
    <row r="1209" customFormat="false" ht="11.25" hidden="false" customHeight="false" outlineLevel="0" collapsed="false">
      <c r="A1209" s="246"/>
      <c r="B1209" s="246"/>
      <c r="C1209" s="246"/>
      <c r="D1209" s="246"/>
      <c r="E1209" s="246"/>
      <c r="F1209" s="246"/>
    </row>
    <row r="1210" customFormat="false" ht="11.25" hidden="false" customHeight="false" outlineLevel="0" collapsed="false">
      <c r="A1210" s="246"/>
      <c r="B1210" s="246"/>
      <c r="C1210" s="246"/>
      <c r="D1210" s="246"/>
      <c r="E1210" s="246"/>
      <c r="F1210" s="246"/>
    </row>
    <row r="1211" customFormat="false" ht="11.25" hidden="false" customHeight="false" outlineLevel="0" collapsed="false">
      <c r="A1211" s="246"/>
      <c r="B1211" s="246"/>
      <c r="C1211" s="246"/>
      <c r="D1211" s="246"/>
      <c r="E1211" s="246"/>
      <c r="F1211" s="246"/>
    </row>
    <row r="1212" customFormat="false" ht="11.25" hidden="false" customHeight="false" outlineLevel="0" collapsed="false">
      <c r="A1212" s="246"/>
      <c r="B1212" s="246"/>
      <c r="C1212" s="246"/>
      <c r="D1212" s="246"/>
      <c r="E1212" s="246"/>
      <c r="F1212" s="246"/>
    </row>
    <row r="1213" customFormat="false" ht="11.25" hidden="false" customHeight="false" outlineLevel="0" collapsed="false">
      <c r="A1213" s="246"/>
      <c r="B1213" s="246"/>
      <c r="C1213" s="246"/>
      <c r="D1213" s="246"/>
      <c r="E1213" s="246"/>
      <c r="F1213" s="246"/>
    </row>
    <row r="1214" customFormat="false" ht="11.25" hidden="false" customHeight="false" outlineLevel="0" collapsed="false">
      <c r="A1214" s="246"/>
      <c r="B1214" s="246"/>
      <c r="C1214" s="246"/>
      <c r="D1214" s="246"/>
      <c r="E1214" s="246"/>
      <c r="F1214" s="246"/>
    </row>
    <row r="1215" customFormat="false" ht="11.25" hidden="false" customHeight="false" outlineLevel="0" collapsed="false">
      <c r="A1215" s="246"/>
      <c r="B1215" s="246"/>
      <c r="C1215" s="246"/>
      <c r="D1215" s="246"/>
      <c r="E1215" s="246"/>
      <c r="F1215" s="246"/>
    </row>
    <row r="1216" customFormat="false" ht="11.25" hidden="false" customHeight="false" outlineLevel="0" collapsed="false">
      <c r="A1216" s="246"/>
      <c r="B1216" s="246"/>
      <c r="C1216" s="246"/>
      <c r="D1216" s="246"/>
      <c r="E1216" s="246"/>
      <c r="F1216" s="246"/>
    </row>
    <row r="1217" customFormat="false" ht="11.25" hidden="false" customHeight="false" outlineLevel="0" collapsed="false">
      <c r="A1217" s="246"/>
      <c r="B1217" s="246"/>
      <c r="C1217" s="246"/>
      <c r="D1217" s="246"/>
      <c r="E1217" s="246"/>
      <c r="F1217" s="246"/>
    </row>
    <row r="1218" customFormat="false" ht="11.25" hidden="false" customHeight="false" outlineLevel="0" collapsed="false">
      <c r="A1218" s="246"/>
      <c r="B1218" s="246"/>
      <c r="C1218" s="246"/>
      <c r="D1218" s="246"/>
      <c r="E1218" s="246"/>
      <c r="F1218" s="246"/>
    </row>
    <row r="1219" customFormat="false" ht="11.25" hidden="false" customHeight="false" outlineLevel="0" collapsed="false">
      <c r="A1219" s="246"/>
      <c r="B1219" s="246"/>
      <c r="C1219" s="246"/>
      <c r="D1219" s="246"/>
      <c r="E1219" s="246"/>
      <c r="F1219" s="246"/>
    </row>
    <row r="1220" customFormat="false" ht="11.25" hidden="false" customHeight="false" outlineLevel="0" collapsed="false">
      <c r="A1220" s="246"/>
      <c r="B1220" s="246"/>
      <c r="C1220" s="246"/>
      <c r="D1220" s="246"/>
      <c r="E1220" s="246"/>
      <c r="F1220" s="246"/>
    </row>
    <row r="1221" customFormat="false" ht="11.25" hidden="false" customHeight="false" outlineLevel="0" collapsed="false">
      <c r="A1221" s="246"/>
      <c r="B1221" s="246"/>
      <c r="C1221" s="246"/>
      <c r="D1221" s="246"/>
      <c r="E1221" s="246"/>
      <c r="F1221" s="246"/>
    </row>
    <row r="1222" customFormat="false" ht="11.25" hidden="false" customHeight="false" outlineLevel="0" collapsed="false">
      <c r="A1222" s="246"/>
      <c r="B1222" s="246"/>
      <c r="C1222" s="246"/>
      <c r="D1222" s="246"/>
      <c r="E1222" s="246"/>
      <c r="F1222" s="246"/>
    </row>
    <row r="1223" customFormat="false" ht="11.25" hidden="false" customHeight="false" outlineLevel="0" collapsed="false">
      <c r="A1223" s="246"/>
      <c r="B1223" s="246"/>
      <c r="C1223" s="246"/>
      <c r="D1223" s="246"/>
      <c r="E1223" s="246"/>
      <c r="F1223" s="246"/>
    </row>
    <row r="1224" customFormat="false" ht="11.25" hidden="false" customHeight="false" outlineLevel="0" collapsed="false">
      <c r="A1224" s="246"/>
      <c r="B1224" s="246"/>
      <c r="C1224" s="246"/>
      <c r="D1224" s="246"/>
      <c r="E1224" s="246"/>
      <c r="F1224" s="246"/>
    </row>
    <row r="1225" customFormat="false" ht="11.25" hidden="false" customHeight="false" outlineLevel="0" collapsed="false">
      <c r="A1225" s="246"/>
      <c r="B1225" s="246"/>
      <c r="C1225" s="246"/>
      <c r="D1225" s="246"/>
      <c r="E1225" s="246"/>
      <c r="F1225" s="246"/>
    </row>
    <row r="1226" customFormat="false" ht="11.25" hidden="false" customHeight="false" outlineLevel="0" collapsed="false">
      <c r="A1226" s="246"/>
      <c r="B1226" s="246"/>
      <c r="C1226" s="246"/>
      <c r="D1226" s="246"/>
      <c r="E1226" s="246"/>
      <c r="F1226" s="246"/>
    </row>
    <row r="1227" customFormat="false" ht="11.25" hidden="false" customHeight="false" outlineLevel="0" collapsed="false">
      <c r="A1227" s="246"/>
      <c r="B1227" s="246"/>
      <c r="C1227" s="246"/>
      <c r="D1227" s="246"/>
      <c r="E1227" s="246"/>
      <c r="F1227" s="246"/>
    </row>
    <row r="1228" customFormat="false" ht="11.25" hidden="false" customHeight="false" outlineLevel="0" collapsed="false">
      <c r="A1228" s="246"/>
      <c r="B1228" s="246"/>
      <c r="C1228" s="246"/>
      <c r="D1228" s="246"/>
      <c r="E1228" s="246"/>
      <c r="F1228" s="246"/>
    </row>
    <row r="1229" customFormat="false" ht="11.25" hidden="false" customHeight="false" outlineLevel="0" collapsed="false">
      <c r="A1229" s="246"/>
      <c r="B1229" s="246"/>
      <c r="C1229" s="246"/>
      <c r="D1229" s="246"/>
      <c r="E1229" s="246"/>
      <c r="F1229" s="246"/>
    </row>
    <row r="1230" customFormat="false" ht="11.25" hidden="false" customHeight="false" outlineLevel="0" collapsed="false">
      <c r="A1230" s="246"/>
      <c r="B1230" s="246"/>
      <c r="C1230" s="246"/>
      <c r="D1230" s="246"/>
      <c r="E1230" s="246"/>
      <c r="F1230" s="246"/>
    </row>
    <row r="1231" customFormat="false" ht="11.25" hidden="false" customHeight="false" outlineLevel="0" collapsed="false">
      <c r="A1231" s="246"/>
      <c r="B1231" s="246"/>
      <c r="C1231" s="246"/>
      <c r="D1231" s="246"/>
      <c r="E1231" s="246"/>
      <c r="F1231" s="246"/>
    </row>
    <row r="1232" customFormat="false" ht="11.25" hidden="false" customHeight="false" outlineLevel="0" collapsed="false">
      <c r="A1232" s="246"/>
      <c r="B1232" s="246"/>
      <c r="C1232" s="246"/>
      <c r="D1232" s="246"/>
      <c r="E1232" s="246"/>
      <c r="F1232" s="246"/>
    </row>
    <row r="1233" customFormat="false" ht="11.25" hidden="false" customHeight="false" outlineLevel="0" collapsed="false">
      <c r="A1233" s="246"/>
      <c r="B1233" s="246"/>
      <c r="C1233" s="246"/>
      <c r="D1233" s="246"/>
      <c r="E1233" s="246"/>
      <c r="F1233" s="246"/>
    </row>
    <row r="1234" customFormat="false" ht="11.25" hidden="false" customHeight="false" outlineLevel="0" collapsed="false">
      <c r="A1234" s="246"/>
      <c r="B1234" s="246"/>
      <c r="C1234" s="246"/>
      <c r="D1234" s="246"/>
      <c r="E1234" s="246"/>
      <c r="F1234" s="246"/>
    </row>
    <row r="1235" customFormat="false" ht="11.25" hidden="false" customHeight="false" outlineLevel="0" collapsed="false">
      <c r="A1235" s="246"/>
      <c r="B1235" s="246"/>
      <c r="C1235" s="246"/>
      <c r="D1235" s="246"/>
      <c r="E1235" s="246"/>
      <c r="F1235" s="246"/>
    </row>
    <row r="1236" customFormat="false" ht="11.25" hidden="false" customHeight="false" outlineLevel="0" collapsed="false">
      <c r="A1236" s="246"/>
      <c r="B1236" s="246"/>
      <c r="C1236" s="246"/>
      <c r="D1236" s="246"/>
      <c r="E1236" s="246"/>
      <c r="F1236" s="246"/>
    </row>
    <row r="1237" customFormat="false" ht="11.25" hidden="false" customHeight="false" outlineLevel="0" collapsed="false">
      <c r="A1237" s="246"/>
      <c r="B1237" s="246"/>
      <c r="C1237" s="246"/>
      <c r="D1237" s="246"/>
      <c r="E1237" s="246"/>
      <c r="F1237" s="246"/>
    </row>
    <row r="1238" customFormat="false" ht="11.25" hidden="false" customHeight="false" outlineLevel="0" collapsed="false">
      <c r="A1238" s="246"/>
      <c r="B1238" s="246"/>
      <c r="C1238" s="246"/>
      <c r="D1238" s="246"/>
      <c r="E1238" s="246"/>
      <c r="F1238" s="246"/>
    </row>
    <row r="1239" customFormat="false" ht="11.25" hidden="false" customHeight="false" outlineLevel="0" collapsed="false">
      <c r="A1239" s="246"/>
      <c r="B1239" s="246"/>
      <c r="C1239" s="246"/>
      <c r="D1239" s="246"/>
      <c r="E1239" s="246"/>
      <c r="F1239" s="246"/>
    </row>
    <row r="1240" customFormat="false" ht="11.25" hidden="false" customHeight="false" outlineLevel="0" collapsed="false">
      <c r="A1240" s="246"/>
      <c r="B1240" s="246"/>
      <c r="C1240" s="246"/>
      <c r="D1240" s="246"/>
      <c r="E1240" s="246"/>
      <c r="F1240" s="246"/>
    </row>
    <row r="1241" customFormat="false" ht="11.25" hidden="false" customHeight="false" outlineLevel="0" collapsed="false">
      <c r="A1241" s="246"/>
      <c r="B1241" s="246"/>
      <c r="C1241" s="246"/>
      <c r="D1241" s="246"/>
      <c r="E1241" s="246"/>
      <c r="F1241" s="246"/>
    </row>
    <row r="1242" customFormat="false" ht="11.25" hidden="false" customHeight="false" outlineLevel="0" collapsed="false">
      <c r="A1242" s="246"/>
      <c r="B1242" s="246"/>
      <c r="C1242" s="246"/>
      <c r="D1242" s="246"/>
      <c r="E1242" s="246"/>
      <c r="F1242" s="246"/>
    </row>
    <row r="1243" customFormat="false" ht="11.25" hidden="false" customHeight="false" outlineLevel="0" collapsed="false">
      <c r="A1243" s="246"/>
      <c r="B1243" s="246"/>
      <c r="C1243" s="246"/>
      <c r="D1243" s="246"/>
      <c r="E1243" s="246"/>
      <c r="F1243" s="246"/>
    </row>
    <row r="1244" customFormat="false" ht="11.25" hidden="false" customHeight="false" outlineLevel="0" collapsed="false">
      <c r="A1244" s="246"/>
      <c r="B1244" s="246"/>
      <c r="C1244" s="246"/>
      <c r="D1244" s="246"/>
      <c r="E1244" s="246"/>
      <c r="F1244" s="246"/>
    </row>
    <row r="1245" customFormat="false" ht="11.25" hidden="false" customHeight="false" outlineLevel="0" collapsed="false">
      <c r="A1245" s="246"/>
      <c r="B1245" s="246"/>
      <c r="C1245" s="246"/>
      <c r="D1245" s="246"/>
      <c r="E1245" s="246"/>
      <c r="F1245" s="246"/>
    </row>
    <row r="1246" customFormat="false" ht="11.25" hidden="false" customHeight="false" outlineLevel="0" collapsed="false">
      <c r="A1246" s="246"/>
      <c r="B1246" s="246"/>
      <c r="C1246" s="246"/>
      <c r="D1246" s="246"/>
      <c r="E1246" s="246"/>
      <c r="F1246" s="246"/>
    </row>
    <row r="1247" customFormat="false" ht="11.25" hidden="false" customHeight="false" outlineLevel="0" collapsed="false">
      <c r="A1247" s="246"/>
      <c r="B1247" s="246"/>
      <c r="C1247" s="246"/>
      <c r="D1247" s="246"/>
      <c r="E1247" s="246"/>
      <c r="F1247" s="246"/>
    </row>
    <row r="1248" customFormat="false" ht="11.25" hidden="false" customHeight="false" outlineLevel="0" collapsed="false">
      <c r="A1248" s="246"/>
      <c r="B1248" s="246"/>
      <c r="C1248" s="246"/>
      <c r="D1248" s="246"/>
      <c r="E1248" s="246"/>
      <c r="F1248" s="246"/>
    </row>
    <row r="1249" customFormat="false" ht="11.25" hidden="false" customHeight="false" outlineLevel="0" collapsed="false">
      <c r="A1249" s="246"/>
      <c r="B1249" s="246"/>
      <c r="C1249" s="246"/>
      <c r="D1249" s="246"/>
      <c r="E1249" s="246"/>
      <c r="F1249" s="246"/>
    </row>
    <row r="1250" customFormat="false" ht="11.25" hidden="false" customHeight="false" outlineLevel="0" collapsed="false">
      <c r="A1250" s="246"/>
      <c r="B1250" s="246"/>
      <c r="C1250" s="246"/>
      <c r="D1250" s="246"/>
      <c r="E1250" s="246"/>
      <c r="F1250" s="246"/>
    </row>
    <row r="1251" customFormat="false" ht="11.25" hidden="false" customHeight="false" outlineLevel="0" collapsed="false">
      <c r="A1251" s="246"/>
      <c r="B1251" s="246"/>
      <c r="C1251" s="246"/>
      <c r="D1251" s="246"/>
      <c r="E1251" s="246"/>
      <c r="F1251" s="246"/>
    </row>
    <row r="1252" customFormat="false" ht="11.25" hidden="false" customHeight="false" outlineLevel="0" collapsed="false">
      <c r="A1252" s="246"/>
      <c r="B1252" s="246"/>
      <c r="C1252" s="246"/>
      <c r="D1252" s="246"/>
      <c r="E1252" s="246"/>
      <c r="F1252" s="246"/>
    </row>
    <row r="1253" customFormat="false" ht="11.25" hidden="false" customHeight="false" outlineLevel="0" collapsed="false">
      <c r="A1253" s="246"/>
      <c r="B1253" s="246"/>
      <c r="C1253" s="246"/>
      <c r="D1253" s="246"/>
      <c r="E1253" s="246"/>
      <c r="F1253" s="246"/>
    </row>
    <row r="1254" customFormat="false" ht="11.25" hidden="false" customHeight="false" outlineLevel="0" collapsed="false">
      <c r="A1254" s="246"/>
      <c r="B1254" s="246"/>
      <c r="C1254" s="246"/>
      <c r="D1254" s="246"/>
      <c r="E1254" s="246"/>
      <c r="F1254" s="246"/>
    </row>
    <row r="1255" customFormat="false" ht="11.25" hidden="false" customHeight="false" outlineLevel="0" collapsed="false">
      <c r="A1255" s="246"/>
      <c r="B1255" s="246"/>
      <c r="C1255" s="246"/>
      <c r="D1255" s="246"/>
      <c r="E1255" s="246"/>
      <c r="F1255" s="246"/>
    </row>
    <row r="1256" customFormat="false" ht="11.25" hidden="false" customHeight="false" outlineLevel="0" collapsed="false">
      <c r="A1256" s="246"/>
      <c r="B1256" s="246"/>
      <c r="C1256" s="246"/>
      <c r="D1256" s="246"/>
      <c r="E1256" s="246"/>
      <c r="F1256" s="246"/>
    </row>
    <row r="1257" customFormat="false" ht="11.25" hidden="false" customHeight="false" outlineLevel="0" collapsed="false">
      <c r="A1257" s="246"/>
      <c r="B1257" s="246"/>
      <c r="C1257" s="246"/>
      <c r="D1257" s="246"/>
      <c r="E1257" s="246"/>
      <c r="F1257" s="246"/>
    </row>
    <row r="1258" customFormat="false" ht="11.25" hidden="false" customHeight="false" outlineLevel="0" collapsed="false">
      <c r="A1258" s="246"/>
      <c r="B1258" s="246"/>
      <c r="C1258" s="246"/>
      <c r="D1258" s="246"/>
      <c r="E1258" s="246"/>
      <c r="F1258" s="246"/>
    </row>
    <row r="1259" customFormat="false" ht="11.25" hidden="false" customHeight="false" outlineLevel="0" collapsed="false">
      <c r="A1259" s="246"/>
      <c r="B1259" s="246"/>
      <c r="C1259" s="246"/>
      <c r="D1259" s="246"/>
      <c r="E1259" s="246"/>
      <c r="F1259" s="246"/>
    </row>
    <row r="1260" customFormat="false" ht="11.25" hidden="false" customHeight="false" outlineLevel="0" collapsed="false">
      <c r="A1260" s="246"/>
      <c r="B1260" s="246"/>
      <c r="C1260" s="246"/>
      <c r="D1260" s="246"/>
      <c r="E1260" s="246"/>
      <c r="F1260" s="246"/>
    </row>
    <row r="1261" customFormat="false" ht="11.25" hidden="false" customHeight="false" outlineLevel="0" collapsed="false">
      <c r="A1261" s="246"/>
      <c r="B1261" s="246"/>
      <c r="C1261" s="246"/>
      <c r="D1261" s="246"/>
      <c r="E1261" s="246"/>
      <c r="F1261" s="246"/>
    </row>
    <row r="1262" customFormat="false" ht="11.25" hidden="false" customHeight="false" outlineLevel="0" collapsed="false">
      <c r="A1262" s="246"/>
      <c r="B1262" s="246"/>
      <c r="C1262" s="246"/>
      <c r="D1262" s="246"/>
      <c r="E1262" s="246"/>
      <c r="F1262" s="246"/>
    </row>
    <row r="1263" customFormat="false" ht="11.25" hidden="false" customHeight="false" outlineLevel="0" collapsed="false">
      <c r="A1263" s="246"/>
      <c r="B1263" s="246"/>
      <c r="C1263" s="246"/>
      <c r="D1263" s="246"/>
      <c r="E1263" s="246"/>
      <c r="F1263" s="246"/>
    </row>
    <row r="1264" customFormat="false" ht="11.25" hidden="false" customHeight="false" outlineLevel="0" collapsed="false">
      <c r="A1264" s="246"/>
      <c r="B1264" s="246"/>
      <c r="C1264" s="246"/>
      <c r="D1264" s="246"/>
      <c r="E1264" s="246"/>
      <c r="F1264" s="246"/>
    </row>
    <row r="1265" customFormat="false" ht="11.25" hidden="false" customHeight="false" outlineLevel="0" collapsed="false">
      <c r="A1265" s="246"/>
      <c r="B1265" s="246"/>
      <c r="C1265" s="246"/>
      <c r="D1265" s="246"/>
      <c r="E1265" s="246"/>
      <c r="F1265" s="246"/>
    </row>
    <row r="1266" customFormat="false" ht="11.25" hidden="false" customHeight="false" outlineLevel="0" collapsed="false">
      <c r="A1266" s="246"/>
      <c r="B1266" s="246"/>
      <c r="C1266" s="246"/>
      <c r="D1266" s="246"/>
      <c r="E1266" s="246"/>
      <c r="F1266" s="246"/>
    </row>
    <row r="1267" customFormat="false" ht="11.25" hidden="false" customHeight="false" outlineLevel="0" collapsed="false">
      <c r="A1267" s="246"/>
      <c r="B1267" s="246"/>
      <c r="C1267" s="246"/>
      <c r="D1267" s="246"/>
      <c r="E1267" s="246"/>
      <c r="F1267" s="246"/>
    </row>
    <row r="1268" customFormat="false" ht="11.25" hidden="false" customHeight="false" outlineLevel="0" collapsed="false">
      <c r="A1268" s="246"/>
      <c r="B1268" s="246"/>
      <c r="C1268" s="246"/>
      <c r="D1268" s="246"/>
      <c r="E1268" s="246"/>
      <c r="F1268" s="246"/>
    </row>
    <row r="1269" customFormat="false" ht="11.25" hidden="false" customHeight="false" outlineLevel="0" collapsed="false">
      <c r="A1269" s="246"/>
      <c r="B1269" s="246"/>
      <c r="C1269" s="246"/>
      <c r="D1269" s="246"/>
      <c r="E1269" s="246"/>
      <c r="F1269" s="246"/>
    </row>
    <row r="1270" customFormat="false" ht="11.25" hidden="false" customHeight="false" outlineLevel="0" collapsed="false">
      <c r="A1270" s="246"/>
      <c r="B1270" s="246"/>
      <c r="C1270" s="246"/>
      <c r="D1270" s="246"/>
      <c r="E1270" s="246"/>
      <c r="F1270" s="246"/>
    </row>
    <row r="1271" customFormat="false" ht="11.25" hidden="false" customHeight="false" outlineLevel="0" collapsed="false">
      <c r="A1271" s="246"/>
      <c r="B1271" s="246"/>
      <c r="C1271" s="246"/>
      <c r="D1271" s="246"/>
      <c r="E1271" s="246"/>
      <c r="F1271" s="246"/>
    </row>
    <row r="1272" customFormat="false" ht="11.25" hidden="false" customHeight="false" outlineLevel="0" collapsed="false">
      <c r="A1272" s="246"/>
      <c r="B1272" s="246"/>
      <c r="C1272" s="246"/>
      <c r="D1272" s="246"/>
      <c r="E1272" s="246"/>
      <c r="F1272" s="246"/>
    </row>
    <row r="1273" customFormat="false" ht="11.25" hidden="false" customHeight="false" outlineLevel="0" collapsed="false">
      <c r="A1273" s="246"/>
      <c r="B1273" s="246"/>
      <c r="C1273" s="246"/>
      <c r="D1273" s="246"/>
      <c r="E1273" s="246"/>
      <c r="F1273" s="246"/>
    </row>
    <row r="1274" customFormat="false" ht="11.25" hidden="false" customHeight="false" outlineLevel="0" collapsed="false">
      <c r="A1274" s="246"/>
      <c r="B1274" s="246"/>
      <c r="C1274" s="246"/>
      <c r="D1274" s="246"/>
      <c r="E1274" s="246"/>
      <c r="F1274" s="246"/>
    </row>
    <row r="1275" customFormat="false" ht="11.25" hidden="false" customHeight="false" outlineLevel="0" collapsed="false">
      <c r="A1275" s="246"/>
      <c r="B1275" s="246"/>
      <c r="C1275" s="246"/>
      <c r="D1275" s="246"/>
      <c r="E1275" s="246"/>
      <c r="F1275" s="246"/>
    </row>
    <row r="1276" customFormat="false" ht="11.25" hidden="false" customHeight="false" outlineLevel="0" collapsed="false">
      <c r="A1276" s="246"/>
      <c r="B1276" s="246"/>
      <c r="C1276" s="246"/>
      <c r="D1276" s="246"/>
      <c r="E1276" s="246"/>
      <c r="F1276" s="246"/>
    </row>
    <row r="1277" customFormat="false" ht="11.25" hidden="false" customHeight="false" outlineLevel="0" collapsed="false">
      <c r="A1277" s="246"/>
      <c r="B1277" s="246"/>
      <c r="C1277" s="246"/>
      <c r="D1277" s="246"/>
      <c r="E1277" s="246"/>
      <c r="F1277" s="246"/>
    </row>
    <row r="1278" customFormat="false" ht="11.25" hidden="false" customHeight="false" outlineLevel="0" collapsed="false">
      <c r="A1278" s="246"/>
      <c r="B1278" s="246"/>
      <c r="C1278" s="246"/>
      <c r="D1278" s="246"/>
      <c r="E1278" s="246"/>
      <c r="F1278" s="246"/>
    </row>
    <row r="1279" customFormat="false" ht="11.25" hidden="false" customHeight="false" outlineLevel="0" collapsed="false">
      <c r="A1279" s="246"/>
      <c r="B1279" s="246"/>
      <c r="C1279" s="246"/>
      <c r="D1279" s="246"/>
      <c r="E1279" s="246"/>
      <c r="F1279" s="246"/>
    </row>
    <row r="1280" customFormat="false" ht="11.25" hidden="false" customHeight="false" outlineLevel="0" collapsed="false">
      <c r="A1280" s="246"/>
      <c r="B1280" s="246"/>
      <c r="C1280" s="246"/>
      <c r="D1280" s="246"/>
      <c r="E1280" s="246"/>
      <c r="F1280" s="246"/>
    </row>
    <row r="1281" customFormat="false" ht="11.25" hidden="false" customHeight="false" outlineLevel="0" collapsed="false">
      <c r="A1281" s="246"/>
      <c r="B1281" s="246"/>
      <c r="C1281" s="246"/>
      <c r="D1281" s="246"/>
      <c r="E1281" s="246"/>
      <c r="F1281" s="246"/>
    </row>
    <row r="1282" customFormat="false" ht="11.25" hidden="false" customHeight="false" outlineLevel="0" collapsed="false">
      <c r="A1282" s="246"/>
      <c r="B1282" s="246"/>
      <c r="C1282" s="246"/>
      <c r="D1282" s="246"/>
      <c r="E1282" s="246"/>
      <c r="F1282" s="246"/>
    </row>
    <row r="1283" customFormat="false" ht="11.25" hidden="false" customHeight="false" outlineLevel="0" collapsed="false">
      <c r="A1283" s="246"/>
      <c r="B1283" s="246"/>
      <c r="C1283" s="246"/>
      <c r="D1283" s="246"/>
      <c r="E1283" s="246"/>
      <c r="F1283" s="246"/>
    </row>
    <row r="1284" customFormat="false" ht="11.25" hidden="false" customHeight="false" outlineLevel="0" collapsed="false">
      <c r="A1284" s="246"/>
      <c r="B1284" s="246"/>
      <c r="C1284" s="246"/>
      <c r="D1284" s="246"/>
      <c r="E1284" s="246"/>
      <c r="F1284" s="246"/>
    </row>
    <row r="1285" customFormat="false" ht="11.25" hidden="false" customHeight="false" outlineLevel="0" collapsed="false">
      <c r="A1285" s="246"/>
      <c r="B1285" s="246"/>
      <c r="C1285" s="246"/>
      <c r="D1285" s="246"/>
      <c r="E1285" s="246"/>
      <c r="F1285" s="246"/>
    </row>
    <row r="1286" customFormat="false" ht="11.25" hidden="false" customHeight="false" outlineLevel="0" collapsed="false">
      <c r="A1286" s="246"/>
      <c r="B1286" s="246"/>
      <c r="C1286" s="246"/>
      <c r="D1286" s="246"/>
      <c r="E1286" s="246"/>
      <c r="F1286" s="246"/>
    </row>
    <row r="1287" customFormat="false" ht="11.25" hidden="false" customHeight="false" outlineLevel="0" collapsed="false">
      <c r="A1287" s="246"/>
      <c r="B1287" s="246"/>
      <c r="C1287" s="246"/>
      <c r="D1287" s="246"/>
      <c r="E1287" s="246"/>
      <c r="F1287" s="246"/>
    </row>
    <row r="1288" customFormat="false" ht="11.25" hidden="false" customHeight="false" outlineLevel="0" collapsed="false">
      <c r="A1288" s="246"/>
      <c r="B1288" s="246"/>
      <c r="C1288" s="246"/>
      <c r="D1288" s="246"/>
      <c r="E1288" s="246"/>
      <c r="F1288" s="246"/>
    </row>
    <row r="1289" customFormat="false" ht="11.25" hidden="false" customHeight="false" outlineLevel="0" collapsed="false">
      <c r="A1289" s="246"/>
      <c r="B1289" s="246"/>
      <c r="C1289" s="246"/>
      <c r="D1289" s="246"/>
      <c r="E1289" s="246"/>
      <c r="F1289" s="246"/>
    </row>
    <row r="1290" customFormat="false" ht="11.25" hidden="false" customHeight="false" outlineLevel="0" collapsed="false">
      <c r="A1290" s="246"/>
      <c r="B1290" s="246"/>
      <c r="C1290" s="246"/>
      <c r="D1290" s="246"/>
      <c r="E1290" s="246"/>
      <c r="F1290" s="246"/>
    </row>
    <row r="1291" customFormat="false" ht="11.25" hidden="false" customHeight="false" outlineLevel="0" collapsed="false">
      <c r="A1291" s="246"/>
      <c r="B1291" s="246"/>
      <c r="C1291" s="246"/>
      <c r="D1291" s="246"/>
      <c r="E1291" s="246"/>
      <c r="F1291" s="246"/>
    </row>
    <row r="1292" customFormat="false" ht="11.25" hidden="false" customHeight="false" outlineLevel="0" collapsed="false">
      <c r="A1292" s="246"/>
      <c r="B1292" s="246"/>
      <c r="C1292" s="246"/>
      <c r="D1292" s="246"/>
      <c r="E1292" s="246"/>
      <c r="F1292" s="246"/>
    </row>
    <row r="1293" customFormat="false" ht="11.25" hidden="false" customHeight="false" outlineLevel="0" collapsed="false">
      <c r="A1293" s="246"/>
      <c r="B1293" s="246"/>
      <c r="C1293" s="246"/>
      <c r="D1293" s="246"/>
      <c r="E1293" s="246"/>
      <c r="F1293" s="246"/>
    </row>
    <row r="1294" customFormat="false" ht="11.25" hidden="false" customHeight="false" outlineLevel="0" collapsed="false">
      <c r="A1294" s="246"/>
      <c r="B1294" s="246"/>
      <c r="C1294" s="246"/>
      <c r="D1294" s="246"/>
      <c r="E1294" s="246"/>
      <c r="F1294" s="246"/>
    </row>
    <row r="1295" customFormat="false" ht="11.25" hidden="false" customHeight="false" outlineLevel="0" collapsed="false">
      <c r="A1295" s="246"/>
      <c r="B1295" s="246"/>
      <c r="C1295" s="246"/>
      <c r="D1295" s="246"/>
      <c r="E1295" s="246"/>
      <c r="F1295" s="246"/>
    </row>
    <row r="1296" customFormat="false" ht="11.25" hidden="false" customHeight="false" outlineLevel="0" collapsed="false">
      <c r="A1296" s="246"/>
      <c r="B1296" s="246"/>
      <c r="C1296" s="246"/>
      <c r="D1296" s="246"/>
      <c r="E1296" s="246"/>
      <c r="F1296" s="246"/>
    </row>
    <row r="1297" customFormat="false" ht="11.25" hidden="false" customHeight="false" outlineLevel="0" collapsed="false">
      <c r="A1297" s="246"/>
      <c r="B1297" s="246"/>
      <c r="C1297" s="246"/>
      <c r="D1297" s="246"/>
      <c r="E1297" s="246"/>
      <c r="F1297" s="246"/>
    </row>
    <row r="1298" customFormat="false" ht="11.25" hidden="false" customHeight="false" outlineLevel="0" collapsed="false">
      <c r="A1298" s="246"/>
      <c r="B1298" s="246"/>
      <c r="C1298" s="246"/>
      <c r="D1298" s="246"/>
      <c r="E1298" s="246"/>
      <c r="F1298" s="246"/>
    </row>
    <row r="1299" customFormat="false" ht="11.25" hidden="false" customHeight="false" outlineLevel="0" collapsed="false">
      <c r="A1299" s="246"/>
      <c r="B1299" s="246"/>
      <c r="C1299" s="246"/>
      <c r="D1299" s="246"/>
      <c r="E1299" s="246"/>
      <c r="F1299" s="246"/>
    </row>
    <row r="1300" customFormat="false" ht="11.25" hidden="false" customHeight="false" outlineLevel="0" collapsed="false">
      <c r="A1300" s="246"/>
      <c r="B1300" s="246"/>
      <c r="C1300" s="246"/>
      <c r="D1300" s="246"/>
      <c r="E1300" s="246"/>
      <c r="F1300" s="246"/>
    </row>
    <row r="1301" customFormat="false" ht="11.25" hidden="false" customHeight="false" outlineLevel="0" collapsed="false">
      <c r="A1301" s="246"/>
      <c r="B1301" s="246"/>
      <c r="C1301" s="246"/>
      <c r="D1301" s="246"/>
      <c r="E1301" s="246"/>
      <c r="F1301" s="246"/>
    </row>
    <row r="1302" customFormat="false" ht="11.25" hidden="false" customHeight="false" outlineLevel="0" collapsed="false">
      <c r="A1302" s="246"/>
      <c r="B1302" s="246"/>
      <c r="C1302" s="246"/>
      <c r="D1302" s="246"/>
      <c r="E1302" s="246"/>
      <c r="F1302" s="246"/>
    </row>
    <row r="1303" customFormat="false" ht="11.25" hidden="false" customHeight="false" outlineLevel="0" collapsed="false">
      <c r="A1303" s="246"/>
      <c r="B1303" s="246"/>
      <c r="C1303" s="246"/>
      <c r="D1303" s="246"/>
      <c r="E1303" s="246"/>
      <c r="F1303" s="246"/>
    </row>
    <row r="1304" customFormat="false" ht="11.25" hidden="false" customHeight="false" outlineLevel="0" collapsed="false">
      <c r="A1304" s="246"/>
      <c r="B1304" s="246"/>
      <c r="C1304" s="246"/>
      <c r="D1304" s="246"/>
      <c r="E1304" s="246"/>
      <c r="F1304" s="246"/>
    </row>
    <row r="1305" customFormat="false" ht="11.25" hidden="false" customHeight="false" outlineLevel="0" collapsed="false">
      <c r="A1305" s="246"/>
      <c r="B1305" s="246"/>
      <c r="C1305" s="246"/>
      <c r="D1305" s="246"/>
      <c r="E1305" s="246"/>
      <c r="F1305" s="246"/>
    </row>
    <row r="1306" customFormat="false" ht="11.25" hidden="false" customHeight="false" outlineLevel="0" collapsed="false">
      <c r="A1306" s="246"/>
      <c r="B1306" s="246"/>
      <c r="C1306" s="246"/>
      <c r="D1306" s="246"/>
      <c r="E1306" s="246"/>
      <c r="F1306" s="246"/>
    </row>
  </sheetData>
  <mergeCells count="2">
    <mergeCell ref="G2:I2"/>
    <mergeCell ref="G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H57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A38" activeCellId="0" sqref="A3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4" width="18.7"/>
  </cols>
  <sheetData>
    <row r="4" customFormat="false" ht="12.75" hidden="false" customHeight="false" outlineLevel="0" collapsed="false">
      <c r="A4" s="64" t="s">
        <v>84</v>
      </c>
    </row>
    <row r="5" customFormat="false" ht="12.75" hidden="false" customHeight="false" outlineLevel="0" collapsed="false">
      <c r="A5" s="64" t="s">
        <v>85</v>
      </c>
    </row>
    <row r="6" customFormat="false" ht="12.75" hidden="false" customHeight="false" outlineLevel="0" collapsed="false">
      <c r="A6" s="64" t="s">
        <v>73</v>
      </c>
    </row>
    <row r="7" customFormat="false" ht="12.75" hidden="false" customHeight="false" outlineLevel="0" collapsed="false">
      <c r="A7" s="64" t="s">
        <v>38</v>
      </c>
    </row>
    <row r="8" customFormat="false" ht="12.75" hidden="false" customHeight="false" outlineLevel="0" collapsed="false">
      <c r="A8" s="64" t="s">
        <v>69</v>
      </c>
      <c r="G8" s="64" t="s">
        <v>86</v>
      </c>
    </row>
    <row r="9" customFormat="false" ht="12.75" hidden="false" customHeight="false" outlineLevel="0" collapsed="false">
      <c r="A9" s="64" t="s">
        <v>87</v>
      </c>
      <c r="G9" s="64" t="s">
        <v>70</v>
      </c>
    </row>
    <row r="10" customFormat="false" ht="12.75" hidden="false" customHeight="false" outlineLevel="0" collapsed="false">
      <c r="A10" s="64" t="s">
        <v>88</v>
      </c>
      <c r="G10" s="64" t="s">
        <v>89</v>
      </c>
    </row>
    <row r="11" customFormat="false" ht="12.75" hidden="false" customHeight="false" outlineLevel="0" collapsed="false">
      <c r="A11" s="64" t="s">
        <v>64</v>
      </c>
    </row>
    <row r="12" customFormat="false" ht="12.75" hidden="false" customHeight="false" outlineLevel="0" collapsed="false">
      <c r="A12" s="64" t="s">
        <v>42</v>
      </c>
    </row>
    <row r="13" customFormat="false" ht="12.75" hidden="false" customHeight="false" outlineLevel="0" collapsed="false">
      <c r="A13" s="64" t="s">
        <v>90</v>
      </c>
    </row>
    <row r="14" customFormat="false" ht="12.75" hidden="false" customHeight="false" outlineLevel="0" collapsed="false">
      <c r="A14" s="64" t="s">
        <v>91</v>
      </c>
    </row>
    <row r="15" customFormat="false" ht="12.75" hidden="false" customHeight="false" outlineLevel="0" collapsed="false">
      <c r="A15" s="64" t="s">
        <v>92</v>
      </c>
    </row>
    <row r="16" customFormat="false" ht="12.75" hidden="false" customHeight="false" outlineLevel="0" collapsed="false">
      <c r="A16" s="64" t="s">
        <v>93</v>
      </c>
    </row>
    <row r="17" customFormat="false" ht="12.75" hidden="false" customHeight="false" outlineLevel="0" collapsed="false">
      <c r="A17" s="64" t="s">
        <v>31</v>
      </c>
    </row>
    <row r="18" customFormat="false" ht="12.75" hidden="false" customHeight="false" outlineLevel="0" collapsed="false">
      <c r="A18" s="64" t="s">
        <v>94</v>
      </c>
    </row>
    <row r="19" customFormat="false" ht="12.75" hidden="false" customHeight="false" outlineLevel="0" collapsed="false">
      <c r="A19" s="64" t="s">
        <v>95</v>
      </c>
      <c r="F19" s="64" t="s">
        <v>36</v>
      </c>
    </row>
    <row r="20" customFormat="false" ht="12.75" hidden="false" customHeight="false" outlineLevel="0" collapsed="false">
      <c r="A20" s="64" t="s">
        <v>96</v>
      </c>
      <c r="F20" s="64" t="s">
        <v>32</v>
      </c>
      <c r="H20" s="64" t="s">
        <v>70</v>
      </c>
    </row>
    <row r="21" customFormat="false" ht="12.75" hidden="false" customHeight="false" outlineLevel="0" collapsed="false">
      <c r="A21" s="64" t="s">
        <v>97</v>
      </c>
      <c r="H21" s="64" t="s">
        <v>71</v>
      </c>
    </row>
    <row r="22" customFormat="false" ht="12.75" hidden="false" customHeight="false" outlineLevel="0" collapsed="false">
      <c r="A22" s="64" t="s">
        <v>98</v>
      </c>
    </row>
    <row r="23" customFormat="false" ht="12.75" hidden="false" customHeight="false" outlineLevel="0" collapsed="false">
      <c r="A23" s="64" t="s">
        <v>99</v>
      </c>
    </row>
    <row r="24" customFormat="false" ht="12.75" hidden="false" customHeight="false" outlineLevel="0" collapsed="false">
      <c r="A24" s="64" t="s">
        <v>67</v>
      </c>
    </row>
    <row r="25" customFormat="false" ht="12.75" hidden="false" customHeight="false" outlineLevel="0" collapsed="false">
      <c r="A25" s="64" t="s">
        <v>32</v>
      </c>
    </row>
    <row r="26" customFormat="false" ht="12.75" hidden="false" customHeight="false" outlineLevel="0" collapsed="false">
      <c r="A26" s="64" t="s">
        <v>100</v>
      </c>
    </row>
    <row r="27" customFormat="false" ht="12.75" hidden="false" customHeight="false" outlineLevel="0" collapsed="false">
      <c r="A27" s="64" t="s">
        <v>37</v>
      </c>
    </row>
    <row r="28" customFormat="false" ht="12.75" hidden="false" customHeight="false" outlineLevel="0" collapsed="false">
      <c r="A28" s="64" t="s">
        <v>101</v>
      </c>
    </row>
    <row r="29" customFormat="false" ht="12.75" hidden="false" customHeight="false" outlineLevel="0" collapsed="false">
      <c r="A29" s="64" t="s">
        <v>47</v>
      </c>
      <c r="F29" s="64" t="s">
        <v>31</v>
      </c>
    </row>
    <row r="30" customFormat="false" ht="12.75" hidden="false" customHeight="false" outlineLevel="0" collapsed="false">
      <c r="A30" s="64" t="s">
        <v>102</v>
      </c>
      <c r="F30" s="64" t="s">
        <v>38</v>
      </c>
    </row>
    <row r="31" customFormat="false" ht="12.75" hidden="false" customHeight="false" outlineLevel="0" collapsed="false">
      <c r="A31" s="64" t="s">
        <v>86</v>
      </c>
      <c r="F31" s="64" t="s">
        <v>42</v>
      </c>
    </row>
    <row r="32" customFormat="false" ht="12.75" hidden="false" customHeight="false" outlineLevel="0" collapsed="false">
      <c r="A32" s="64" t="s">
        <v>71</v>
      </c>
      <c r="F32" s="64" t="s">
        <v>47</v>
      </c>
    </row>
    <row r="33" customFormat="false" ht="12.75" hidden="false" customHeight="false" outlineLevel="0" collapsed="false">
      <c r="A33" s="64" t="s">
        <v>103</v>
      </c>
      <c r="F33" s="64" t="s">
        <v>37</v>
      </c>
    </row>
    <row r="34" customFormat="false" ht="12.75" hidden="false" customHeight="false" outlineLevel="0" collapsed="false">
      <c r="A34" s="64" t="s">
        <v>104</v>
      </c>
      <c r="F34" s="64" t="s">
        <v>52</v>
      </c>
    </row>
    <row r="35" customFormat="false" ht="12.75" hidden="false" customHeight="false" outlineLevel="0" collapsed="false">
      <c r="A35" s="64" t="s">
        <v>70</v>
      </c>
      <c r="F35" s="64" t="s">
        <v>75</v>
      </c>
    </row>
    <row r="36" customFormat="false" ht="12.75" hidden="false" customHeight="false" outlineLevel="0" collapsed="false">
      <c r="A36" s="64" t="s">
        <v>55</v>
      </c>
      <c r="F36" s="64" t="s">
        <v>58</v>
      </c>
    </row>
    <row r="37" customFormat="false" ht="12.75" hidden="false" customHeight="false" outlineLevel="0" collapsed="false">
      <c r="A37" s="64" t="s">
        <v>105</v>
      </c>
      <c r="F37" s="64" t="s">
        <v>35</v>
      </c>
    </row>
    <row r="38" customFormat="false" ht="12.75" hidden="false" customHeight="false" outlineLevel="0" collapsed="false">
      <c r="A38" s="64" t="s">
        <v>36</v>
      </c>
    </row>
    <row r="39" customFormat="false" ht="12.75" hidden="false" customHeight="false" outlineLevel="0" collapsed="false">
      <c r="A39" s="64" t="s">
        <v>106</v>
      </c>
    </row>
    <row r="40" customFormat="false" ht="12.75" hidden="false" customHeight="false" outlineLevel="0" collapsed="false">
      <c r="A40" s="64" t="s">
        <v>107</v>
      </c>
    </row>
    <row r="41" customFormat="false" ht="12.75" hidden="false" customHeight="false" outlineLevel="0" collapsed="false">
      <c r="A41" s="64" t="s">
        <v>108</v>
      </c>
    </row>
    <row r="42" customFormat="false" ht="12.75" hidden="false" customHeight="false" outlineLevel="0" collapsed="false">
      <c r="A42" s="64" t="s">
        <v>109</v>
      </c>
    </row>
    <row r="43" customFormat="false" ht="12.75" hidden="false" customHeight="false" outlineLevel="0" collapsed="false">
      <c r="A43" s="64" t="s">
        <v>35</v>
      </c>
      <c r="F43" s="64" t="s">
        <v>32</v>
      </c>
    </row>
    <row r="44" customFormat="false" ht="12.75" hidden="false" customHeight="false" outlineLevel="0" collapsed="false">
      <c r="A44" s="64" t="s">
        <v>110</v>
      </c>
      <c r="F44" s="64" t="s">
        <v>36</v>
      </c>
    </row>
    <row r="45" customFormat="false" ht="12.75" hidden="false" customHeight="false" outlineLevel="0" collapsed="false">
      <c r="A45" s="64" t="s">
        <v>89</v>
      </c>
    </row>
    <row r="46" customFormat="false" ht="12.75" hidden="false" customHeight="false" outlineLevel="0" collapsed="false">
      <c r="A46" s="64" t="s">
        <v>111</v>
      </c>
    </row>
    <row r="47" customFormat="false" ht="12.75" hidden="false" customHeight="false" outlineLevel="0" collapsed="false">
      <c r="A47" s="64" t="s">
        <v>112</v>
      </c>
    </row>
    <row r="48" customFormat="false" ht="12.75" hidden="false" customHeight="false" outlineLevel="0" collapsed="false">
      <c r="A48" s="64" t="s">
        <v>72</v>
      </c>
    </row>
    <row r="49" customFormat="false" ht="12.75" hidden="false" customHeight="false" outlineLevel="0" collapsed="false">
      <c r="A49" s="64" t="s">
        <v>113</v>
      </c>
    </row>
    <row r="50" customFormat="false" ht="12.75" hidden="false" customHeight="false" outlineLevel="0" collapsed="false">
      <c r="A50" s="64" t="s">
        <v>58</v>
      </c>
    </row>
    <row r="51" customFormat="false" ht="12.75" hidden="false" customHeight="false" outlineLevel="0" collapsed="false">
      <c r="A51" s="64" t="s">
        <v>114</v>
      </c>
    </row>
    <row r="52" customFormat="false" ht="12.75" hidden="false" customHeight="false" outlineLevel="0" collapsed="false">
      <c r="A52" s="64" t="s">
        <v>52</v>
      </c>
    </row>
    <row r="53" customFormat="false" ht="12.75" hidden="false" customHeight="false" outlineLevel="0" collapsed="false">
      <c r="A53" s="64" t="s">
        <v>115</v>
      </c>
    </row>
    <row r="54" customFormat="false" ht="12.75" hidden="false" customHeight="false" outlineLevel="0" collapsed="false">
      <c r="A54" s="64" t="s">
        <v>75</v>
      </c>
    </row>
    <row r="55" customFormat="false" ht="12.75" hidden="false" customHeight="false" outlineLevel="0" collapsed="false">
      <c r="A55" s="64" t="s">
        <v>116</v>
      </c>
    </row>
    <row r="56" customFormat="false" ht="12.75" hidden="false" customHeight="false" outlineLevel="0" collapsed="false">
      <c r="A56" s="64" t="s">
        <v>117</v>
      </c>
    </row>
    <row r="57" customFormat="false" ht="12.75" hidden="false" customHeight="false" outlineLevel="0" collapsed="false">
      <c r="A57" s="64" t="s">
        <v>100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29" activeCellId="0" sqref="I29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62"/>
      <c r="B1" s="62"/>
      <c r="C1" s="63"/>
      <c r="D1" s="62"/>
      <c r="G1" s="63" t="s">
        <v>29</v>
      </c>
      <c r="H1" s="62" t="s">
        <v>30</v>
      </c>
      <c r="J1" s="64" t="s">
        <v>31</v>
      </c>
      <c r="K1" s="64" t="s">
        <v>55</v>
      </c>
    </row>
    <row r="2" customFormat="false" ht="12.75" hidden="false" customHeight="false" outlineLevel="0" collapsed="false">
      <c r="A2" s="64"/>
      <c r="B2" s="64"/>
      <c r="C2" s="64"/>
      <c r="D2" s="64"/>
      <c r="G2" s="64" t="s">
        <v>32</v>
      </c>
      <c r="H2" s="64" t="s">
        <v>32</v>
      </c>
      <c r="J2" s="70" t="n">
        <v>36861</v>
      </c>
      <c r="K2" s="70" t="n">
        <v>36861</v>
      </c>
    </row>
    <row r="3" customFormat="false" ht="13.5" hidden="false" customHeight="false" outlineLevel="0" collapsed="false">
      <c r="A3" s="70"/>
      <c r="B3" s="70"/>
      <c r="C3" s="70"/>
      <c r="D3" s="70"/>
      <c r="G3" s="70" t="n">
        <v>36800</v>
      </c>
      <c r="H3" s="70" t="n">
        <v>36800</v>
      </c>
      <c r="J3" s="70" t="n">
        <v>36892</v>
      </c>
      <c r="K3" s="70" t="n">
        <v>36892</v>
      </c>
    </row>
    <row r="4" customFormat="false" ht="14.25" hidden="false" customHeight="false" outlineLevel="0" collapsed="false">
      <c r="A4" s="70"/>
      <c r="B4" s="70"/>
      <c r="C4" s="70"/>
      <c r="D4" s="70"/>
      <c r="G4" s="70" t="n">
        <v>36861</v>
      </c>
      <c r="H4" s="70" t="n">
        <v>36861</v>
      </c>
      <c r="J4" s="71" t="n">
        <v>5.375</v>
      </c>
      <c r="K4" s="71" t="n">
        <v>5.375</v>
      </c>
    </row>
    <row r="5" customFormat="false" ht="14.25" hidden="false" customHeight="false" outlineLevel="0" collapsed="false">
      <c r="A5" s="71"/>
      <c r="B5" s="71"/>
      <c r="C5" s="71"/>
      <c r="D5" s="71"/>
      <c r="G5" s="71" t="n">
        <v>5.12191956521739</v>
      </c>
      <c r="H5" s="71" t="n">
        <v>5.12191956521739</v>
      </c>
      <c r="J5" s="74" t="n">
        <v>-0.0600000000000005</v>
      </c>
      <c r="K5" s="74" t="n">
        <v>-0.155</v>
      </c>
    </row>
    <row r="6" customFormat="false" ht="14.25" hidden="false" customHeight="false" outlineLevel="0" collapsed="false">
      <c r="A6" s="74"/>
      <c r="B6" s="74"/>
      <c r="C6" s="74"/>
      <c r="D6" s="74"/>
      <c r="G6" s="74" t="n">
        <v>-0.10491847826087</v>
      </c>
      <c r="H6" s="74" t="n">
        <v>-0.10491847826087</v>
      </c>
      <c r="J6" s="75" t="n">
        <v>0</v>
      </c>
      <c r="K6" s="75" t="n">
        <v>0</v>
      </c>
    </row>
    <row r="7" customFormat="false" ht="13.5" hidden="false" customHeight="false" outlineLevel="0" collapsed="false">
      <c r="A7" s="75"/>
      <c r="B7" s="75"/>
      <c r="C7" s="75"/>
      <c r="D7" s="75"/>
      <c r="G7" s="75" t="n">
        <v>0</v>
      </c>
      <c r="H7" s="75" t="n">
        <v>0</v>
      </c>
      <c r="J7" s="76" t="n">
        <v>0</v>
      </c>
      <c r="K7" s="76" t="n">
        <v>0</v>
      </c>
    </row>
    <row r="8" customFormat="false" ht="12.75" hidden="false" customHeight="false" outlineLevel="0" collapsed="false">
      <c r="A8" s="76"/>
      <c r="B8" s="76"/>
      <c r="C8" s="76"/>
      <c r="D8" s="76"/>
      <c r="G8" s="76" t="n">
        <v>0</v>
      </c>
      <c r="H8" s="76" t="n">
        <v>0</v>
      </c>
      <c r="J8" s="77" t="n">
        <v>1</v>
      </c>
      <c r="K8" s="77" t="n">
        <v>1</v>
      </c>
    </row>
    <row r="9" customFormat="false" ht="12.75" hidden="false" customHeight="false" outlineLevel="0" collapsed="false">
      <c r="A9" s="77"/>
      <c r="B9" s="77"/>
      <c r="C9" s="77"/>
      <c r="D9" s="77"/>
      <c r="G9" s="77" t="n">
        <v>1</v>
      </c>
      <c r="H9" s="77" t="n">
        <v>1</v>
      </c>
      <c r="J9" s="77" t="n">
        <v>1</v>
      </c>
      <c r="K9" s="77" t="n">
        <v>1</v>
      </c>
    </row>
    <row r="10" customFormat="false" ht="13.5" hidden="false" customHeight="false" outlineLevel="0" collapsed="false">
      <c r="A10" s="77"/>
      <c r="B10" s="77"/>
      <c r="C10" s="77"/>
      <c r="D10" s="77"/>
      <c r="G10" s="77" t="n">
        <v>1</v>
      </c>
      <c r="H10" s="77" t="n">
        <v>2</v>
      </c>
      <c r="J10" s="78" t="n">
        <v>5.38</v>
      </c>
      <c r="K10" s="78" t="n">
        <v>5.28</v>
      </c>
    </row>
    <row r="11" customFormat="false" ht="14.25" hidden="false" customHeight="false" outlineLevel="0" collapsed="false">
      <c r="A11" s="78"/>
      <c r="B11" s="78"/>
      <c r="C11" s="78"/>
      <c r="D11" s="78"/>
      <c r="G11" s="78" t="n">
        <v>5.5</v>
      </c>
      <c r="H11" s="78" t="n">
        <v>4.5</v>
      </c>
      <c r="J11" s="16" t="n">
        <v>0.57424155347678</v>
      </c>
      <c r="K11" s="16" t="n">
        <v>0.565599232430102</v>
      </c>
    </row>
    <row r="12" customFormat="false" ht="13.5" hidden="false" customHeight="false" outlineLevel="0" collapsed="false">
      <c r="A12" s="16"/>
      <c r="B12" s="16"/>
      <c r="C12" s="16"/>
      <c r="D12" s="16"/>
      <c r="G12" s="16" t="n">
        <v>0.210404847760287</v>
      </c>
      <c r="H12" s="16" t="n">
        <v>0.136398040985026</v>
      </c>
      <c r="J12" s="80" t="n">
        <v>0.532718876827362</v>
      </c>
      <c r="K12" s="80" t="n">
        <v>0.533428484772471</v>
      </c>
    </row>
    <row r="13" customFormat="false" ht="12.75" hidden="false" customHeight="false" outlineLevel="0" collapsed="false">
      <c r="A13" s="80"/>
      <c r="B13" s="80"/>
      <c r="C13" s="80"/>
      <c r="D13" s="80"/>
      <c r="G13" s="80" t="n">
        <v>0.311011853365567</v>
      </c>
      <c r="H13" s="80" t="n">
        <v>-0.218808123637618</v>
      </c>
      <c r="J13" s="16" t="n">
        <v>0.010171082271714</v>
      </c>
      <c r="K13" s="16" t="n">
        <v>0.00998788905103454</v>
      </c>
    </row>
    <row r="14" customFormat="false" ht="12.75" hidden="false" customHeight="false" outlineLevel="0" collapsed="false">
      <c r="A14" s="16"/>
      <c r="B14" s="16"/>
      <c r="C14" s="16"/>
      <c r="D14" s="16"/>
      <c r="G14" s="16" t="n">
        <v>0.00598066929144018</v>
      </c>
      <c r="H14" s="16" t="n">
        <v>0.00515358015669542</v>
      </c>
    </row>
    <row r="15" customFormat="false" ht="12.75" hidden="false" customHeight="false" outlineLevel="0" collapsed="false">
      <c r="A15" s="16"/>
      <c r="B15" s="81"/>
      <c r="C15" s="16"/>
      <c r="D15" s="82"/>
      <c r="G15" s="16" t="n">
        <v>0.0740068067752611</v>
      </c>
      <c r="H15" s="82"/>
    </row>
    <row r="16" customFormat="false" ht="12.75" hidden="false" customHeight="false" outlineLevel="0" collapsed="false">
      <c r="A16" s="2"/>
      <c r="B16" s="2"/>
      <c r="C16" s="84"/>
      <c r="D16" s="85"/>
    </row>
    <row r="19" customFormat="false" ht="12.75" hidden="false" customHeight="false" outlineLevel="0" collapsed="false">
      <c r="A19" s="64" t="s">
        <v>37</v>
      </c>
      <c r="B19" s="64" t="s">
        <v>37</v>
      </c>
      <c r="C19" s="64" t="s">
        <v>37</v>
      </c>
      <c r="D19" s="64" t="s">
        <v>37</v>
      </c>
    </row>
    <row r="20" customFormat="false" ht="12.75" hidden="false" customHeight="false" outlineLevel="0" collapsed="false">
      <c r="A20" s="70" t="n">
        <v>36982</v>
      </c>
      <c r="B20" s="70" t="n">
        <v>36982</v>
      </c>
      <c r="C20" s="70" t="n">
        <v>36831</v>
      </c>
      <c r="D20" s="70" t="n">
        <v>36831</v>
      </c>
    </row>
    <row r="21" customFormat="false" ht="13.5" hidden="false" customHeight="false" outlineLevel="0" collapsed="false">
      <c r="A21" s="70" t="n">
        <v>37165</v>
      </c>
      <c r="B21" s="70" t="n">
        <v>37165</v>
      </c>
      <c r="C21" s="70" t="n">
        <v>36951</v>
      </c>
      <c r="D21" s="70" t="n">
        <v>36951</v>
      </c>
    </row>
    <row r="22" customFormat="false" ht="13.5" hidden="false" customHeight="false" outlineLevel="0" collapsed="false">
      <c r="A22" s="71" t="n">
        <v>4.30186915887851</v>
      </c>
      <c r="B22" s="71" t="n">
        <v>4.30186915887851</v>
      </c>
      <c r="C22" s="71" t="n">
        <v>5.05708609271523</v>
      </c>
      <c r="D22" s="71" t="n">
        <v>5.05708609271523</v>
      </c>
    </row>
    <row r="23" customFormat="false" ht="13.5" hidden="false" customHeight="false" outlineLevel="0" collapsed="false">
      <c r="A23" s="74" t="n">
        <v>-0.592616822429906</v>
      </c>
      <c r="B23" s="74" t="n">
        <v>-0.592616822429906</v>
      </c>
      <c r="C23" s="74" t="n">
        <v>-0.340182119205298</v>
      </c>
      <c r="D23" s="74" t="n">
        <v>-0.340182119205298</v>
      </c>
    </row>
    <row r="24" customFormat="false" ht="13.5" hidden="false" customHeight="false" outlineLevel="0" collapsed="false">
      <c r="A24" s="75" t="n">
        <v>0.03</v>
      </c>
      <c r="B24" s="75" t="n">
        <v>0.03</v>
      </c>
      <c r="C24" s="75" t="n">
        <v>0.02</v>
      </c>
      <c r="D24" s="75" t="n">
        <v>0.02</v>
      </c>
    </row>
    <row r="25" customFormat="false" ht="12.75" hidden="false" customHeight="false" outlineLevel="0" collapsed="false">
      <c r="A25" s="76" t="n">
        <v>0</v>
      </c>
      <c r="B25" s="76" t="n">
        <v>0</v>
      </c>
      <c r="C25" s="76" t="n">
        <v>0</v>
      </c>
      <c r="D25" s="76" t="n">
        <v>0</v>
      </c>
    </row>
    <row r="26" customFormat="false" ht="12.75" hidden="false" customHeight="false" outlineLevel="0" collapsed="false">
      <c r="A26" s="77" t="n">
        <v>1</v>
      </c>
      <c r="B26" s="77" t="n">
        <v>1</v>
      </c>
      <c r="C26" s="77" t="n">
        <v>1</v>
      </c>
      <c r="D26" s="77" t="n">
        <v>1</v>
      </c>
      <c r="I26" s="0" t="n">
        <f aca="false">0.46*J26</f>
        <v>8.74</v>
      </c>
      <c r="J26" s="0" t="n">
        <v>19</v>
      </c>
    </row>
    <row r="27" customFormat="false" ht="12.75" hidden="false" customHeight="false" outlineLevel="0" collapsed="false">
      <c r="A27" s="77" t="n">
        <v>1</v>
      </c>
      <c r="B27" s="77" t="n">
        <v>2</v>
      </c>
      <c r="C27" s="77" t="n">
        <v>1</v>
      </c>
      <c r="D27" s="77" t="n">
        <v>2</v>
      </c>
      <c r="I27" s="0" t="n">
        <f aca="false">0.39*J27</f>
        <v>1.755</v>
      </c>
      <c r="J27" s="0" t="n">
        <v>4.5</v>
      </c>
    </row>
    <row r="28" customFormat="false" ht="13.5" hidden="false" customHeight="false" outlineLevel="0" collapsed="false">
      <c r="A28" s="78" t="n">
        <v>5</v>
      </c>
      <c r="B28" s="78" t="n">
        <v>3.05</v>
      </c>
      <c r="C28" s="78" t="n">
        <v>6</v>
      </c>
      <c r="D28" s="78" t="n">
        <v>4</v>
      </c>
    </row>
    <row r="29" customFormat="false" ht="13.5" hidden="false" customHeight="false" outlineLevel="0" collapsed="false">
      <c r="A29" s="16" t="n">
        <v>0.176469097974569</v>
      </c>
      <c r="B29" s="16" t="n">
        <v>0.180591969961662</v>
      </c>
      <c r="C29" s="16" t="n">
        <v>0.204980844121914</v>
      </c>
      <c r="D29" s="16" t="n">
        <v>0.211417619757442</v>
      </c>
      <c r="I29" s="0" t="n">
        <f aca="false">SUM(I26:I27)</f>
        <v>10.495</v>
      </c>
    </row>
    <row r="30" customFormat="false" ht="12.75" hidden="false" customHeight="false" outlineLevel="0" collapsed="false">
      <c r="A30" s="80" t="n">
        <v>0.251061877140318</v>
      </c>
      <c r="B30" s="80" t="n">
        <v>-0.211259400040545</v>
      </c>
      <c r="C30" s="80" t="n">
        <v>0.254386372044775</v>
      </c>
      <c r="D30" s="80" t="n">
        <v>-0.217150073608824</v>
      </c>
    </row>
    <row r="31" customFormat="false" ht="12.75" hidden="false" customHeight="false" outlineLevel="0" collapsed="false">
      <c r="A31" s="16" t="n">
        <v>0.010235750752432</v>
      </c>
      <c r="B31" s="16" t="n">
        <v>0.00930957576072176</v>
      </c>
      <c r="C31" s="16" t="n">
        <v>0.00788688326474605</v>
      </c>
      <c r="D31" s="16" t="n">
        <v>0.00721751864947385</v>
      </c>
    </row>
    <row r="32" customFormat="false" ht="12.75" hidden="false" customHeight="false" outlineLevel="0" collapsed="false">
      <c r="A32" s="16" t="n">
        <v>-0.00412287198709249</v>
      </c>
      <c r="B32" s="81"/>
      <c r="C32" s="16" t="n">
        <v>-0.00643677563552819</v>
      </c>
      <c r="D32" s="8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3:L2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9" activeCellId="0" sqref="H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9.28"/>
    <col collapsed="false" customWidth="true" hidden="false" outlineLevel="0" max="8" min="8" style="0" width="11.56"/>
  </cols>
  <sheetData>
    <row r="3" customFormat="false" ht="12.75" hidden="false" customHeight="false" outlineLevel="0" collapsed="false">
      <c r="B3" s="0" t="s">
        <v>118</v>
      </c>
      <c r="C3" s="0" t="s">
        <v>119</v>
      </c>
      <c r="D3" s="99" t="n">
        <v>4.52</v>
      </c>
      <c r="G3" s="0" t="s">
        <v>119</v>
      </c>
      <c r="H3" s="99" t="n">
        <v>4.86</v>
      </c>
      <c r="I3" s="0" t="n">
        <v>-0.0475</v>
      </c>
    </row>
    <row r="4" customFormat="false" ht="12.75" hidden="false" customHeight="false" outlineLevel="0" collapsed="false">
      <c r="C4" s="0" t="s">
        <v>120</v>
      </c>
      <c r="D4" s="99" t="n">
        <f aca="false">SUM(STRADDLES!H5:H6)</f>
        <v>3.5711039791259</v>
      </c>
      <c r="G4" s="0" t="s">
        <v>120</v>
      </c>
      <c r="H4" s="99" t="n">
        <f aca="false">SUM(STRADDLES!H5:H6)</f>
        <v>3.5711039791259</v>
      </c>
      <c r="I4" s="0" t="n">
        <v>0.01</v>
      </c>
    </row>
    <row r="5" customFormat="false" ht="12.75" hidden="false" customHeight="false" outlineLevel="0" collapsed="false">
      <c r="C5" s="0" t="s">
        <v>79</v>
      </c>
      <c r="D5" s="99" t="n">
        <f aca="false">0.43*0.9</f>
        <v>0.387</v>
      </c>
      <c r="H5" s="99"/>
    </row>
    <row r="6" customFormat="false" ht="12.75" hidden="false" customHeight="false" outlineLevel="0" collapsed="false">
      <c r="D6" s="99" t="n">
        <v>0.99</v>
      </c>
      <c r="G6" s="0" t="s">
        <v>121</v>
      </c>
      <c r="H6" s="0" t="n">
        <v>0.979</v>
      </c>
    </row>
    <row r="7" customFormat="false" ht="12.75" hidden="false" customHeight="false" outlineLevel="0" collapsed="false">
      <c r="C7" s="0" t="s">
        <v>83</v>
      </c>
      <c r="D7" s="99" t="n">
        <v>0.976</v>
      </c>
      <c r="G7" s="0" t="s">
        <v>122</v>
      </c>
      <c r="H7" s="0" t="n">
        <v>0.916</v>
      </c>
    </row>
    <row r="8" customFormat="false" ht="12.75" hidden="false" customHeight="false" outlineLevel="0" collapsed="false">
      <c r="C8" s="0" t="s">
        <v>123</v>
      </c>
      <c r="D8" s="100" t="n">
        <v>36950</v>
      </c>
      <c r="F8" s="0" t="s">
        <v>0</v>
      </c>
      <c r="H8" s="100"/>
    </row>
    <row r="9" customFormat="false" ht="12.75" hidden="false" customHeight="false" outlineLevel="0" collapsed="false">
      <c r="C9" s="0" t="s">
        <v>124</v>
      </c>
      <c r="D9" s="0" t="n">
        <v>6</v>
      </c>
      <c r="G9" s="0" t="s">
        <v>124</v>
      </c>
      <c r="H9" s="0" t="n">
        <v>5</v>
      </c>
      <c r="K9" s="0" t="s">
        <v>125</v>
      </c>
      <c r="L9" s="0" t="n">
        <v>0.979</v>
      </c>
    </row>
    <row r="10" customFormat="false" ht="12.75" hidden="false" customHeight="false" outlineLevel="0" collapsed="false">
      <c r="C10" s="0" t="s">
        <v>126</v>
      </c>
      <c r="D10" s="0" t="n">
        <v>6</v>
      </c>
      <c r="G10" s="0" t="s">
        <v>126</v>
      </c>
      <c r="H10" s="0" t="n">
        <v>5</v>
      </c>
      <c r="K10" s="0" t="s">
        <v>127</v>
      </c>
      <c r="L10" s="0" t="n">
        <v>0.947</v>
      </c>
    </row>
    <row r="11" customFormat="false" ht="12.75" hidden="false" customHeight="false" outlineLevel="0" collapsed="false">
      <c r="K11" s="0" t="s">
        <v>53</v>
      </c>
      <c r="L11" s="0" t="n">
        <v>0.916</v>
      </c>
    </row>
    <row r="12" customFormat="false" ht="12.75" hidden="false" customHeight="false" outlineLevel="0" collapsed="false">
      <c r="C12" s="0" t="s">
        <v>128</v>
      </c>
      <c r="D12" s="99" t="n">
        <v>4.03</v>
      </c>
      <c r="G12" s="0" t="s">
        <v>128</v>
      </c>
      <c r="H12" s="99" t="n">
        <f aca="false">STRADDLES!H11</f>
        <v>3</v>
      </c>
      <c r="K12" s="0" t="s">
        <v>129</v>
      </c>
      <c r="L12" s="0" t="n">
        <v>0.96</v>
      </c>
    </row>
    <row r="13" customFormat="false" ht="12.75" hidden="false" customHeight="false" outlineLevel="0" collapsed="false">
      <c r="C13" s="0" t="s">
        <v>130</v>
      </c>
      <c r="D13" s="0" t="n">
        <v>2</v>
      </c>
      <c r="K13" s="0" t="s">
        <v>131</v>
      </c>
      <c r="L13" s="0" t="n">
        <v>0.898</v>
      </c>
    </row>
    <row r="14" customFormat="false" ht="12.75" hidden="false" customHeight="false" outlineLevel="0" collapsed="false">
      <c r="C14" s="0" t="s">
        <v>132</v>
      </c>
      <c r="D14" s="99" t="e">
        <f aca="true">bsd(1,D$13,D$4,D$12,D$8-TODAY(),D$5,D$7,0)</f>
        <v>#VALUE!</v>
      </c>
      <c r="E14" s="99"/>
      <c r="G14" s="0" t="s">
        <v>132</v>
      </c>
      <c r="H14" s="99" t="e">
        <f aca="false">STRADDLES!H12</f>
        <v>#VALUE!</v>
      </c>
      <c r="I14" s="0" t="e">
        <f aca="false">H14*(H7/H6)</f>
        <v>#VALUE!</v>
      </c>
    </row>
    <row r="15" customFormat="false" ht="12.75" hidden="false" customHeight="false" outlineLevel="0" collapsed="false">
      <c r="C15" s="0" t="s">
        <v>2</v>
      </c>
      <c r="D15" s="99" t="e">
        <f aca="true">bsd(2,D$13,D$4,D$12,D$8-TODAY(),D$5,D$7,0)</f>
        <v>#VALUE!</v>
      </c>
      <c r="E15" s="99"/>
      <c r="H15" s="99"/>
    </row>
    <row r="18" customFormat="false" ht="12.75" hidden="false" customHeight="false" outlineLevel="0" collapsed="false">
      <c r="D18" s="99" t="n">
        <f aca="false">(D3-D12)*D9</f>
        <v>2.94</v>
      </c>
      <c r="H18" s="101" t="n">
        <f aca="false">(H3-H12)*H9*30.5*10000</f>
        <v>2836500</v>
      </c>
    </row>
    <row r="19" customFormat="false" ht="12.75" hidden="false" customHeight="false" outlineLevel="0" collapsed="false">
      <c r="D19" s="0" t="e">
        <f aca="false">D14*D10</f>
        <v>#VALUE!</v>
      </c>
      <c r="H19" s="101" t="e">
        <f aca="false">I14*H10*30.5*10000</f>
        <v>#VALUE!</v>
      </c>
    </row>
    <row r="20" customFormat="false" ht="12.75" hidden="false" customHeight="false" outlineLevel="0" collapsed="false">
      <c r="H20" s="101"/>
    </row>
    <row r="21" customFormat="false" ht="12.75" hidden="false" customHeight="false" outlineLevel="0" collapsed="false">
      <c r="D21" s="99" t="e">
        <f aca="false">D18-D19</f>
        <v>#VALUE!</v>
      </c>
      <c r="H21" s="101" t="e">
        <f aca="false">H18-H19</f>
        <v>#VALUE!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Q2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0" topLeftCell="B31" activePane="bottomRight" state="frozen"/>
      <selection pane="topLeft" activeCell="A1" activeCellId="0" sqref="A1"/>
      <selection pane="topRight" activeCell="B1" activeCellId="0" sqref="B1"/>
      <selection pane="bottomLeft" activeCell="A31" activeCellId="0" sqref="A31"/>
      <selection pane="bottomRight" activeCell="B31" activeCellId="0" sqref="B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2.7"/>
    <col collapsed="false" customWidth="true" hidden="false" outlineLevel="0" max="2" min="2" style="1" width="15.7"/>
    <col collapsed="false" customWidth="true" hidden="false" outlineLevel="0" max="4" min="3" style="1" width="12.7"/>
    <col collapsed="false" customWidth="true" hidden="false" outlineLevel="0" max="5" min="5" style="1" width="10.13"/>
    <col collapsed="false" customWidth="true" hidden="false" outlineLevel="0" max="26" min="6" style="1" width="9.14"/>
    <col collapsed="false" customWidth="true" hidden="false" outlineLevel="0" max="27" min="27" style="1" width="9.99"/>
    <col collapsed="false" customWidth="true" hidden="false" outlineLevel="0" max="28" min="28" style="1" width="9.14"/>
    <col collapsed="false" customWidth="true" hidden="false" outlineLevel="0" max="29" min="29" style="1" width="12.85"/>
    <col collapsed="false" customWidth="true" hidden="false" outlineLevel="0" max="30" min="30" style="1" width="15.99"/>
    <col collapsed="false" customWidth="true" hidden="false" outlineLevel="0" max="36" min="31" style="1" width="9.14"/>
    <col collapsed="false" customWidth="true" hidden="false" outlineLevel="0" max="47" min="38" style="1" width="9.14"/>
    <col collapsed="false" customWidth="true" hidden="false" outlineLevel="0" max="58" min="49" style="1" width="9.14"/>
    <col collapsed="false" customWidth="true" hidden="false" outlineLevel="0" max="69" min="60" style="1" width="9.14"/>
  </cols>
  <sheetData>
    <row r="1" customFormat="false" ht="12.75" hidden="false" customHeight="false" outlineLevel="0" collapsed="false">
      <c r="A1" s="5" t="s">
        <v>133</v>
      </c>
      <c r="B1" s="102" t="n">
        <v>0</v>
      </c>
      <c r="C1" s="4"/>
      <c r="D1" s="2" t="s">
        <v>134</v>
      </c>
      <c r="E1" s="2" t="n">
        <f aca="false">summerstrip</f>
        <v>5.3329</v>
      </c>
      <c r="F1" s="2"/>
      <c r="G1" s="103" t="s">
        <v>135</v>
      </c>
      <c r="I1" s="0"/>
      <c r="J1" s="0"/>
      <c r="K1" s="0"/>
      <c r="L1" s="0"/>
      <c r="M1" s="0"/>
      <c r="N1" s="0"/>
      <c r="O1" s="0"/>
      <c r="P1" s="0"/>
      <c r="Q1" s="0"/>
      <c r="R1" s="0"/>
    </row>
    <row r="2" customFormat="false" ht="12.75" hidden="false" customHeight="false" outlineLevel="0" collapsed="false">
      <c r="A2" s="5" t="s">
        <v>136</v>
      </c>
      <c r="B2" s="104" t="n">
        <f aca="true">TODAY()</f>
        <v>45926</v>
      </c>
      <c r="C2" s="4"/>
      <c r="D2" s="2" t="s">
        <v>137</v>
      </c>
      <c r="E2" s="2" t="n">
        <f aca="false">winterstrip</f>
        <v>5.12898285714286</v>
      </c>
      <c r="F2" s="2"/>
      <c r="G2" s="2"/>
      <c r="I2" s="0"/>
      <c r="J2" s="0"/>
      <c r="K2" s="0"/>
      <c r="L2" s="0"/>
      <c r="M2" s="0"/>
      <c r="N2" s="0"/>
      <c r="O2" s="0"/>
      <c r="P2" s="0"/>
      <c r="Q2" s="0"/>
      <c r="R2" s="0"/>
      <c r="T2" s="1" t="e">
        <f aca="false">IF(#REF!=1,"ATM",B16)</f>
        <v>#REF!</v>
      </c>
      <c r="U2" s="1" t="e">
        <f aca="false">IF(#REF!=3,IF(B17=1,"CALL","PUT"),"STRADDLE")</f>
        <v>#REF!</v>
      </c>
      <c r="Y2" s="10"/>
      <c r="Z2" s="11"/>
      <c r="AA2" s="10"/>
      <c r="AB2" s="11"/>
      <c r="AL2" s="10"/>
      <c r="AM2" s="11"/>
      <c r="AW2" s="10"/>
      <c r="AX2" s="11"/>
      <c r="BH2" s="10"/>
      <c r="BI2" s="11"/>
    </row>
    <row r="3" customFormat="false" ht="12.75" hidden="false" customHeight="false" outlineLevel="0" collapsed="false">
      <c r="A3" s="5"/>
      <c r="B3" s="102"/>
      <c r="D3" s="2"/>
      <c r="E3" s="2"/>
      <c r="F3" s="2"/>
      <c r="G3" s="2"/>
      <c r="I3" s="0"/>
      <c r="J3" s="0"/>
      <c r="K3" s="64" t="s">
        <v>86</v>
      </c>
      <c r="L3" s="0"/>
      <c r="M3" s="0"/>
      <c r="N3" s="0"/>
      <c r="O3" s="0"/>
      <c r="P3" s="0"/>
      <c r="Q3" s="0"/>
      <c r="R3" s="0"/>
      <c r="T3" s="1" t="e">
        <f aca="false">IF(#REF!=1,"ATM",D16)</f>
        <v>#REF!</v>
      </c>
      <c r="U3" s="1" t="e">
        <f aca="false">IF(#REF!=3,IF(D17=1,"CALL","PUT"),"STRADDLE")</f>
        <v>#REF!</v>
      </c>
      <c r="Y3" s="10"/>
      <c r="Z3" s="11"/>
      <c r="AA3" s="10"/>
      <c r="AB3" s="11"/>
      <c r="AL3" s="10"/>
      <c r="AM3" s="11"/>
      <c r="AW3" s="10"/>
      <c r="AX3" s="11"/>
      <c r="BH3" s="10"/>
      <c r="BI3" s="11"/>
    </row>
    <row r="4" customFormat="false" ht="12.75" hidden="false" customHeight="false" outlineLevel="0" collapsed="false">
      <c r="A4" s="5" t="s">
        <v>138</v>
      </c>
      <c r="B4" s="102" t="n">
        <v>1</v>
      </c>
      <c r="C4" s="1" t="s">
        <v>139</v>
      </c>
      <c r="D4" s="2"/>
      <c r="E4" s="2"/>
      <c r="F4" s="2"/>
      <c r="G4" s="2"/>
      <c r="H4" s="105" t="n">
        <v>28</v>
      </c>
      <c r="I4" s="105" t="n">
        <v>33</v>
      </c>
      <c r="J4" s="0"/>
      <c r="K4" s="64" t="s">
        <v>140</v>
      </c>
      <c r="L4" s="0"/>
      <c r="M4" s="0"/>
      <c r="N4" s="0"/>
      <c r="O4" s="0"/>
      <c r="P4" s="0"/>
      <c r="Q4" s="0"/>
      <c r="R4" s="0"/>
      <c r="Y4" s="10"/>
      <c r="Z4" s="11"/>
      <c r="AA4" s="10"/>
      <c r="AB4" s="11"/>
      <c r="AL4" s="10"/>
      <c r="AM4" s="11"/>
      <c r="AW4" s="10"/>
      <c r="AX4" s="11"/>
      <c r="BH4" s="10"/>
      <c r="BI4" s="11"/>
    </row>
    <row r="5" customFormat="false" ht="12.75" hidden="false" customHeight="false" outlineLevel="0" collapsed="false">
      <c r="A5" s="2" t="s">
        <v>141</v>
      </c>
      <c r="B5" s="64" t="s">
        <v>142</v>
      </c>
      <c r="D5" s="2"/>
      <c r="E5" s="2"/>
      <c r="F5" s="2"/>
      <c r="G5" s="2"/>
      <c r="H5" s="105" t="n">
        <v>32</v>
      </c>
      <c r="I5" s="105" t="n">
        <v>34</v>
      </c>
      <c r="J5" s="0"/>
      <c r="K5" s="64" t="s">
        <v>64</v>
      </c>
      <c r="L5" s="0"/>
      <c r="M5" s="0"/>
      <c r="N5" s="0"/>
      <c r="O5" s="0"/>
      <c r="P5" s="0"/>
      <c r="Q5" s="0"/>
      <c r="R5" s="0"/>
      <c r="Y5" s="10"/>
      <c r="Z5" s="11"/>
      <c r="AA5" s="10"/>
      <c r="AB5" s="11"/>
      <c r="AL5" s="10"/>
      <c r="AM5" s="11"/>
      <c r="AW5" s="10"/>
      <c r="AX5" s="11"/>
      <c r="BH5" s="10"/>
      <c r="BI5" s="11"/>
    </row>
    <row r="6" customFormat="false" ht="12.75" hidden="false" customHeight="false" outlineLevel="0" collapsed="false">
      <c r="A6" s="5"/>
      <c r="B6" s="106"/>
      <c r="D6" s="2"/>
      <c r="E6" s="2"/>
      <c r="F6" s="2"/>
      <c r="G6" s="2"/>
      <c r="I6" s="0"/>
      <c r="J6" s="0"/>
      <c r="K6" s="64" t="s">
        <v>31</v>
      </c>
      <c r="L6" s="0"/>
      <c r="M6" s="0"/>
      <c r="N6" s="0"/>
      <c r="O6" s="0"/>
      <c r="P6" s="0"/>
      <c r="Q6" s="0"/>
      <c r="R6" s="0"/>
      <c r="Y6" s="10"/>
      <c r="Z6" s="11"/>
      <c r="AA6" s="10"/>
      <c r="AB6" s="11"/>
      <c r="AL6" s="10"/>
      <c r="AM6" s="11"/>
      <c r="AW6" s="10"/>
      <c r="AX6" s="11"/>
      <c r="BH6" s="10"/>
      <c r="BI6" s="11"/>
    </row>
    <row r="7" customFormat="false" ht="12.75" hidden="false" customHeight="false" outlineLevel="0" collapsed="false">
      <c r="A7" s="5"/>
      <c r="B7" s="102"/>
      <c r="D7" s="2"/>
      <c r="E7" s="2"/>
      <c r="F7" s="2"/>
      <c r="G7" s="2"/>
      <c r="I7" s="14"/>
      <c r="J7" s="15"/>
      <c r="K7" s="64" t="s">
        <v>38</v>
      </c>
      <c r="L7" s="15"/>
      <c r="M7" s="15"/>
      <c r="N7" s="15"/>
      <c r="O7" s="15"/>
      <c r="P7" s="15"/>
      <c r="Q7" s="14"/>
      <c r="R7" s="14"/>
      <c r="Y7" s="10"/>
      <c r="Z7" s="11"/>
      <c r="AA7" s="10"/>
      <c r="AB7" s="11"/>
      <c r="AL7" s="10"/>
      <c r="AM7" s="11"/>
      <c r="AW7" s="10"/>
      <c r="AX7" s="11"/>
      <c r="BH7" s="10"/>
      <c r="BI7" s="11"/>
    </row>
    <row r="8" customFormat="false" ht="12.75" hidden="false" customHeight="false" outlineLevel="0" collapsed="false">
      <c r="A8" s="2"/>
      <c r="B8" s="2"/>
      <c r="D8" s="2" t="s">
        <v>8</v>
      </c>
      <c r="F8" s="2" t="s">
        <v>143</v>
      </c>
      <c r="H8" s="2" t="s">
        <v>144</v>
      </c>
      <c r="K8" s="64" t="s">
        <v>42</v>
      </c>
      <c r="Y8" s="10"/>
      <c r="Z8" s="11"/>
      <c r="AA8" s="10"/>
      <c r="AB8" s="11"/>
      <c r="AL8" s="10"/>
      <c r="AM8" s="11"/>
      <c r="AW8" s="10"/>
      <c r="AX8" s="11"/>
      <c r="BH8" s="10"/>
      <c r="BI8" s="11"/>
    </row>
    <row r="9" customFormat="false" ht="12.75" hidden="false" customHeight="false" outlineLevel="0" collapsed="false">
      <c r="A9" s="2" t="s">
        <v>145</v>
      </c>
      <c r="B9" s="105" t="n">
        <v>1</v>
      </c>
      <c r="C9" s="107" t="n">
        <f aca="false">VLOOKUP(B9,datelook,2,FALSE())</f>
        <v>36800</v>
      </c>
      <c r="D9" s="105" t="n">
        <v>2</v>
      </c>
      <c r="E9" s="107" t="n">
        <f aca="false">VLOOKUP(D9,datelook,2,FALSE())</f>
        <v>36831</v>
      </c>
      <c r="F9" s="105" t="n">
        <v>21</v>
      </c>
      <c r="G9" s="107" t="n">
        <f aca="false">VLOOKUP(F9,datelook,2,FALSE())</f>
        <v>37408</v>
      </c>
      <c r="H9" s="105" t="n">
        <v>33</v>
      </c>
      <c r="I9" s="107" t="n">
        <f aca="false">VLOOKUP(H9,datelook,2,FALSE())</f>
        <v>37773</v>
      </c>
      <c r="K9" s="64" t="s">
        <v>47</v>
      </c>
      <c r="Y9" s="10"/>
      <c r="Z9" s="11"/>
      <c r="AA9" s="10"/>
      <c r="AB9" s="11"/>
      <c r="AL9" s="10"/>
      <c r="AM9" s="11"/>
      <c r="AW9" s="10"/>
      <c r="AX9" s="11"/>
      <c r="BH9" s="10"/>
      <c r="BI9" s="11"/>
    </row>
    <row r="10" customFormat="false" ht="12.75" hidden="false" customHeight="false" outlineLevel="0" collapsed="false">
      <c r="A10" s="5" t="s">
        <v>146</v>
      </c>
      <c r="B10" s="105" t="n">
        <v>30</v>
      </c>
      <c r="C10" s="107" t="n">
        <f aca="false">VLOOKUP(B10,datelook,2,FALSE())</f>
        <v>37681</v>
      </c>
      <c r="D10" s="105" t="n">
        <v>13</v>
      </c>
      <c r="E10" s="107" t="n">
        <f aca="false">VLOOKUP(D10,datelook,2,FALSE())</f>
        <v>37165</v>
      </c>
      <c r="F10" s="105" t="n">
        <v>27</v>
      </c>
      <c r="G10" s="107" t="n">
        <f aca="false">VLOOKUP(F10,datelook,2,FALSE())</f>
        <v>37591</v>
      </c>
      <c r="H10" s="105" t="n">
        <v>34</v>
      </c>
      <c r="I10" s="107" t="n">
        <f aca="false">VLOOKUP(H10,datelook,2,FALSE())</f>
        <v>37803</v>
      </c>
      <c r="J10" s="108"/>
      <c r="K10" s="64" t="s">
        <v>37</v>
      </c>
      <c r="L10" s="108"/>
      <c r="M10" s="108"/>
      <c r="N10" s="108"/>
      <c r="O10" s="108"/>
      <c r="R10" s="64" t="s">
        <v>31</v>
      </c>
      <c r="Y10" s="10"/>
      <c r="Z10" s="11"/>
      <c r="AA10" s="10"/>
      <c r="AB10" s="11"/>
      <c r="AL10" s="10"/>
      <c r="AM10" s="11"/>
      <c r="AW10" s="10"/>
      <c r="AX10" s="11"/>
      <c r="BH10" s="10"/>
      <c r="BI10" s="11"/>
    </row>
    <row r="11" customFormat="false" ht="12.75" hidden="false" customHeight="false" outlineLevel="0" collapsed="false">
      <c r="A11" s="109" t="s">
        <v>16</v>
      </c>
      <c r="B11" s="110" t="n">
        <f aca="false">AD24</f>
        <v>4.57991954165628</v>
      </c>
      <c r="C11" s="111"/>
      <c r="D11" s="110" t="n">
        <f aca="false">AO24</f>
        <v>4.91009466871207</v>
      </c>
      <c r="E11" s="111"/>
      <c r="F11" s="110" t="n">
        <f aca="false">AZ24</f>
        <v>3.77082130069103</v>
      </c>
      <c r="G11" s="111"/>
      <c r="H11" s="110" t="e">
        <f aca="false">BK24</f>
        <v>#DIV/0!</v>
      </c>
      <c r="I11" s="111"/>
      <c r="K11" s="64" t="s">
        <v>52</v>
      </c>
      <c r="R11" s="64" t="s">
        <v>38</v>
      </c>
      <c r="Y11" s="10"/>
      <c r="Z11" s="11"/>
      <c r="AA11" s="10"/>
      <c r="AB11" s="11"/>
      <c r="AL11" s="10"/>
      <c r="AM11" s="11"/>
      <c r="AW11" s="10"/>
      <c r="AX11" s="11"/>
      <c r="BH11" s="10"/>
      <c r="BI11" s="11"/>
    </row>
    <row r="12" customFormat="false" ht="12.75" hidden="false" customHeight="false" outlineLevel="0" collapsed="false">
      <c r="A12" s="109" t="s">
        <v>147</v>
      </c>
      <c r="B12" s="110" t="n">
        <f aca="false">AC24</f>
        <v>4.57991954165628</v>
      </c>
      <c r="C12" s="111"/>
      <c r="D12" s="110" t="n">
        <f aca="false">AN24</f>
        <v>4.91009466871207</v>
      </c>
      <c r="E12" s="111"/>
      <c r="F12" s="110" t="n">
        <f aca="false">AY24</f>
        <v>3.76582130069103</v>
      </c>
      <c r="G12" s="111"/>
      <c r="H12" s="110" t="e">
        <f aca="false">BJ24</f>
        <v>#DIV/0!</v>
      </c>
      <c r="I12" s="111"/>
      <c r="K12" s="64"/>
      <c r="R12" s="64"/>
      <c r="Y12" s="10"/>
      <c r="Z12" s="11"/>
      <c r="AA12" s="10"/>
      <c r="AB12" s="11"/>
      <c r="AL12" s="10"/>
      <c r="AM12" s="11"/>
      <c r="AW12" s="10"/>
      <c r="AX12" s="11"/>
      <c r="BH12" s="10"/>
      <c r="BI12" s="11"/>
    </row>
    <row r="13" customFormat="false" ht="12.75" hidden="false" customHeight="false" outlineLevel="0" collapsed="false">
      <c r="A13" s="109" t="s">
        <v>148</v>
      </c>
      <c r="B13" s="110" t="n">
        <v>0</v>
      </c>
      <c r="C13" s="111"/>
      <c r="D13" s="110" t="n">
        <v>0.03</v>
      </c>
      <c r="E13" s="111"/>
      <c r="F13" s="110" t="n">
        <v>0.03</v>
      </c>
      <c r="G13" s="111"/>
      <c r="H13" s="110" t="n">
        <v>0.03</v>
      </c>
      <c r="I13" s="111"/>
      <c r="K13" s="64" t="s">
        <v>75</v>
      </c>
      <c r="R13" s="64"/>
      <c r="Y13" s="10"/>
      <c r="Z13" s="11"/>
      <c r="AA13" s="10"/>
      <c r="AB13" s="11"/>
      <c r="AL13" s="10"/>
      <c r="AM13" s="11"/>
      <c r="AW13" s="10"/>
      <c r="AX13" s="11"/>
      <c r="BH13" s="10"/>
      <c r="BI13" s="11"/>
    </row>
    <row r="14" customFormat="false" ht="12.75" hidden="false" customHeight="false" outlineLevel="0" collapsed="false">
      <c r="A14" s="109" t="s">
        <v>51</v>
      </c>
      <c r="B14" s="110" t="n">
        <f aca="false">B11-B12</f>
        <v>0</v>
      </c>
      <c r="C14" s="110"/>
      <c r="D14" s="110" t="n">
        <f aca="false">D11-D12</f>
        <v>0</v>
      </c>
      <c r="E14" s="110"/>
      <c r="F14" s="110" t="n">
        <f aca="false">F11-F12</f>
        <v>0.00499999999999945</v>
      </c>
      <c r="G14" s="110"/>
      <c r="H14" s="110" t="e">
        <f aca="false">H11-H12</f>
        <v>#DIV/0!</v>
      </c>
      <c r="I14" s="111"/>
      <c r="K14" s="64" t="s">
        <v>58</v>
      </c>
      <c r="R14" s="64" t="s">
        <v>42</v>
      </c>
      <c r="Y14" s="10"/>
      <c r="Z14" s="11"/>
      <c r="AA14" s="10"/>
      <c r="AB14" s="11"/>
      <c r="AL14" s="10"/>
      <c r="AM14" s="11"/>
      <c r="AW14" s="10"/>
      <c r="AX14" s="11"/>
      <c r="BH14" s="10"/>
      <c r="BI14" s="11"/>
    </row>
    <row r="15" customFormat="false" ht="12.75" hidden="false" customHeight="false" outlineLevel="0" collapsed="false">
      <c r="A15" s="109" t="s">
        <v>149</v>
      </c>
      <c r="B15" s="112" t="n">
        <v>0</v>
      </c>
      <c r="C15" s="111"/>
      <c r="D15" s="112" t="n">
        <v>0</v>
      </c>
      <c r="E15" s="111"/>
      <c r="F15" s="112" t="n">
        <v>0.005</v>
      </c>
      <c r="G15" s="111"/>
      <c r="H15" s="112" t="n">
        <v>0.005</v>
      </c>
      <c r="I15" s="111"/>
      <c r="K15" s="64" t="s">
        <v>35</v>
      </c>
      <c r="R15" s="64" t="s">
        <v>47</v>
      </c>
      <c r="Y15" s="10"/>
      <c r="Z15" s="11"/>
      <c r="AA15" s="10"/>
      <c r="AB15" s="11"/>
      <c r="AL15" s="10"/>
      <c r="AM15" s="11"/>
      <c r="AW15" s="10"/>
      <c r="AX15" s="11"/>
      <c r="BH15" s="10"/>
      <c r="BI15" s="11"/>
    </row>
    <row r="16" customFormat="false" ht="12.75" hidden="false" customHeight="false" outlineLevel="0" collapsed="false">
      <c r="A16" s="62" t="s">
        <v>9</v>
      </c>
      <c r="B16" s="113" t="n">
        <v>3.8</v>
      </c>
      <c r="C16" s="114"/>
      <c r="D16" s="113" t="n">
        <v>3.5</v>
      </c>
      <c r="E16" s="114"/>
      <c r="F16" s="113" t="n">
        <v>2.96</v>
      </c>
      <c r="G16" s="114"/>
      <c r="H16" s="113" t="n">
        <v>2.99</v>
      </c>
      <c r="I16" s="114"/>
      <c r="K16" s="64" t="s">
        <v>95</v>
      </c>
      <c r="R16" s="64"/>
      <c r="Y16" s="10"/>
      <c r="Z16" s="11"/>
      <c r="AA16" s="10"/>
      <c r="AB16" s="11"/>
      <c r="AL16" s="10"/>
      <c r="AM16" s="11"/>
      <c r="AW16" s="10"/>
      <c r="AX16" s="11"/>
      <c r="BH16" s="10"/>
      <c r="BI16" s="11"/>
    </row>
    <row r="17" customFormat="false" ht="12.75" hidden="false" customHeight="false" outlineLevel="0" collapsed="false">
      <c r="A17" s="62" t="s">
        <v>10</v>
      </c>
      <c r="B17" s="115" t="n">
        <v>1</v>
      </c>
      <c r="C17" s="114"/>
      <c r="D17" s="115" t="n">
        <v>2</v>
      </c>
      <c r="E17" s="114"/>
      <c r="F17" s="115" t="n">
        <v>1</v>
      </c>
      <c r="G17" s="114"/>
      <c r="H17" s="115" t="n">
        <v>1</v>
      </c>
      <c r="I17" s="114"/>
      <c r="J17" s="10"/>
      <c r="K17" s="64" t="s">
        <v>32</v>
      </c>
      <c r="L17" s="10"/>
      <c r="M17" s="10"/>
      <c r="N17" s="10"/>
      <c r="R17" s="64" t="s">
        <v>37</v>
      </c>
      <c r="Y17" s="10"/>
      <c r="Z17" s="11"/>
      <c r="AA17" s="10"/>
      <c r="AB17" s="11"/>
      <c r="AL17" s="10"/>
      <c r="AM17" s="11"/>
      <c r="AW17" s="10"/>
      <c r="AX17" s="11"/>
      <c r="BH17" s="10"/>
      <c r="BI17" s="11"/>
    </row>
    <row r="18" customFormat="false" ht="12.75" hidden="false" customHeight="false" outlineLevel="0" collapsed="false">
      <c r="A18" s="62" t="s">
        <v>11</v>
      </c>
      <c r="B18" s="116" t="n">
        <v>0</v>
      </c>
      <c r="C18" s="116"/>
      <c r="D18" s="116" t="n">
        <v>0</v>
      </c>
      <c r="E18" s="116"/>
      <c r="F18" s="116" t="n">
        <v>0.02</v>
      </c>
      <c r="G18" s="116"/>
      <c r="H18" s="116" t="n">
        <v>0.02</v>
      </c>
      <c r="I18" s="114"/>
      <c r="J18" s="10"/>
      <c r="K18" s="10"/>
      <c r="L18" s="10"/>
      <c r="M18" s="10"/>
      <c r="N18" s="10"/>
      <c r="P18" s="47"/>
      <c r="R18" s="64" t="s">
        <v>52</v>
      </c>
      <c r="U18" s="14"/>
      <c r="Y18" s="10"/>
      <c r="Z18" s="11"/>
      <c r="AA18" s="10"/>
      <c r="AB18" s="11"/>
      <c r="AL18" s="10"/>
      <c r="AM18" s="11"/>
      <c r="AW18" s="10"/>
      <c r="AX18" s="11"/>
      <c r="BH18" s="10"/>
      <c r="BI18" s="11"/>
    </row>
    <row r="19" customFormat="false" ht="12.75" hidden="false" customHeight="false" outlineLevel="0" collapsed="false">
      <c r="A19" s="61" t="s">
        <v>150</v>
      </c>
      <c r="B19" s="117" t="n">
        <v>1</v>
      </c>
      <c r="C19" s="118"/>
      <c r="D19" s="114" t="n">
        <v>1</v>
      </c>
      <c r="E19" s="114"/>
      <c r="F19" s="114" t="n">
        <v>1</v>
      </c>
      <c r="G19" s="114"/>
      <c r="H19" s="114" t="n">
        <v>1</v>
      </c>
      <c r="I19" s="119"/>
      <c r="J19" s="10"/>
      <c r="K19" s="10"/>
      <c r="L19" s="10"/>
      <c r="M19" s="10"/>
      <c r="N19" s="10"/>
      <c r="P19" s="47"/>
      <c r="R19" s="64"/>
      <c r="U19" s="14"/>
      <c r="Y19" s="10"/>
      <c r="Z19" s="11"/>
      <c r="AA19" s="10"/>
      <c r="AB19" s="11"/>
      <c r="AL19" s="10"/>
      <c r="AM19" s="11"/>
      <c r="AW19" s="10"/>
      <c r="AX19" s="11"/>
      <c r="BH19" s="10"/>
      <c r="BI19" s="11"/>
    </row>
    <row r="20" customFormat="false" ht="12.75" hidden="false" customHeight="false" outlineLevel="0" collapsed="false">
      <c r="A20" s="62" t="s">
        <v>1</v>
      </c>
      <c r="B20" s="120" t="e">
        <f aca="false">AH24</f>
        <v>#VALUE!</v>
      </c>
      <c r="C20" s="114"/>
      <c r="D20" s="120" t="e">
        <f aca="false">AS24</f>
        <v>#VALUE!</v>
      </c>
      <c r="E20" s="114"/>
      <c r="F20" s="120" t="e">
        <f aca="false">BD24</f>
        <v>#VALUE!</v>
      </c>
      <c r="G20" s="114"/>
      <c r="H20" s="120" t="e">
        <f aca="false">BO24</f>
        <v>#DIV/0!</v>
      </c>
      <c r="I20" s="114"/>
      <c r="J20" s="10"/>
      <c r="K20" s="121" t="e">
        <f aca="false">B21-D21</f>
        <v>#VALUE!</v>
      </c>
      <c r="L20" s="122" t="e">
        <f aca="false">K20*1.5</f>
        <v>#VALUE!</v>
      </c>
      <c r="M20" s="10"/>
      <c r="N20" s="10"/>
      <c r="P20" s="47"/>
      <c r="R20" s="64"/>
      <c r="U20" s="14"/>
      <c r="Y20" s="10"/>
      <c r="Z20" s="11"/>
      <c r="AA20" s="10"/>
      <c r="AB20" s="11"/>
      <c r="AL20" s="10"/>
      <c r="AM20" s="11"/>
      <c r="AW20" s="10"/>
      <c r="AX20" s="11"/>
      <c r="BH20" s="10"/>
      <c r="BI20" s="11"/>
    </row>
    <row r="21" customFormat="false" ht="12.75" hidden="false" customHeight="false" outlineLevel="0" collapsed="false">
      <c r="A21" s="62" t="s">
        <v>2</v>
      </c>
      <c r="B21" s="120" t="e">
        <f aca="false">AI24</f>
        <v>#VALUE!</v>
      </c>
      <c r="C21" s="114"/>
      <c r="D21" s="120" t="e">
        <f aca="false">AT24</f>
        <v>#VALUE!</v>
      </c>
      <c r="E21" s="114"/>
      <c r="F21" s="120" t="e">
        <f aca="false">BE24</f>
        <v>#VALUE!</v>
      </c>
      <c r="G21" s="114"/>
      <c r="H21" s="120" t="e">
        <f aca="false">BP24</f>
        <v>#DIV/0!</v>
      </c>
      <c r="I21" s="114"/>
      <c r="J21" s="10"/>
      <c r="K21" s="10"/>
      <c r="L21" s="122" t="e">
        <f aca="false">K20*4.5</f>
        <v>#VALUE!</v>
      </c>
      <c r="M21" s="10"/>
      <c r="N21" s="10"/>
      <c r="P21" s="47"/>
      <c r="R21" s="64"/>
      <c r="U21" s="14"/>
      <c r="Y21" s="10"/>
      <c r="Z21" s="11"/>
      <c r="AA21" s="10"/>
      <c r="AB21" s="11"/>
      <c r="AL21" s="10"/>
      <c r="AM21" s="11"/>
      <c r="AW21" s="10"/>
      <c r="AX21" s="11"/>
      <c r="BH21" s="10"/>
      <c r="BI21" s="11"/>
    </row>
    <row r="22" customFormat="false" ht="12.75" hidden="false" customHeight="false" outlineLevel="0" collapsed="false">
      <c r="A22" s="62" t="str">
        <f aca="false">G1</f>
        <v>vega</v>
      </c>
      <c r="B22" s="120" t="e">
        <f aca="false">AJ24</f>
        <v>#VALUE!</v>
      </c>
      <c r="C22" s="114"/>
      <c r="D22" s="120" t="e">
        <f aca="false">AU24</f>
        <v>#VALUE!</v>
      </c>
      <c r="E22" s="114"/>
      <c r="F22" s="120" t="e">
        <f aca="false">BF24</f>
        <v>#VALUE!</v>
      </c>
      <c r="G22" s="114"/>
      <c r="H22" s="120" t="e">
        <f aca="false">BQ24</f>
        <v>#DIV/0!</v>
      </c>
      <c r="I22" s="114"/>
      <c r="J22" s="10"/>
      <c r="K22" s="10"/>
      <c r="L22" s="10"/>
      <c r="M22" s="10"/>
      <c r="N22" s="10"/>
      <c r="P22" s="47"/>
      <c r="R22" s="64"/>
      <c r="U22" s="14"/>
      <c r="Y22" s="10"/>
      <c r="Z22" s="11"/>
      <c r="AA22" s="10"/>
      <c r="AB22" s="11"/>
      <c r="AL22" s="10"/>
      <c r="AM22" s="11"/>
      <c r="AW22" s="10"/>
      <c r="AX22" s="11"/>
      <c r="BH22" s="10"/>
      <c r="BI22" s="11"/>
    </row>
    <row r="23" customFormat="false" ht="12.75" hidden="false" customHeight="false" outlineLevel="0" collapsed="false">
      <c r="B23" s="120"/>
      <c r="C23" s="114"/>
      <c r="D23" s="120"/>
      <c r="E23" s="114"/>
      <c r="F23" s="120"/>
      <c r="G23" s="114"/>
      <c r="H23" s="120"/>
      <c r="J23" s="10"/>
      <c r="K23" s="10"/>
      <c r="L23" s="10"/>
      <c r="M23" s="10"/>
      <c r="N23" s="10"/>
      <c r="R23" s="64" t="s">
        <v>75</v>
      </c>
      <c r="Y23" s="10"/>
      <c r="Z23" s="11"/>
      <c r="AA23" s="10"/>
      <c r="AB23" s="11"/>
      <c r="AL23" s="10"/>
      <c r="AM23" s="11"/>
      <c r="AW23" s="10"/>
      <c r="AX23" s="11"/>
      <c r="BH23" s="10"/>
      <c r="BI23" s="11"/>
    </row>
    <row r="24" customFormat="false" ht="12.75" hidden="false" customHeight="false" outlineLevel="0" collapsed="false">
      <c r="A24" s="10"/>
      <c r="B24" s="120" t="e">
        <f aca="false">B20-D20</f>
        <v>#VALUE!</v>
      </c>
      <c r="C24" s="10"/>
      <c r="D24" s="10"/>
      <c r="E24" s="10"/>
      <c r="F24" s="120" t="e">
        <f aca="false">F20-H20</f>
        <v>#DIV/0!</v>
      </c>
      <c r="G24" s="10"/>
      <c r="H24" s="10"/>
      <c r="I24" s="10"/>
      <c r="J24" s="10"/>
      <c r="K24" s="10"/>
      <c r="L24" s="10"/>
      <c r="M24" s="10"/>
      <c r="N24" s="10"/>
      <c r="R24" s="64" t="s">
        <v>58</v>
      </c>
      <c r="V24" s="29"/>
      <c r="W24" s="29"/>
      <c r="X24" s="29"/>
      <c r="Y24" s="10"/>
      <c r="Z24" s="11"/>
      <c r="AA24" s="10"/>
      <c r="AC24" s="1" t="n">
        <f aca="false">AC26/AA28</f>
        <v>4.57991954165628</v>
      </c>
      <c r="AD24" s="1" t="n">
        <f aca="false">AD26/AA28</f>
        <v>4.57991954165628</v>
      </c>
      <c r="AH24" s="123" t="e">
        <f aca="false">AH26/AA28</f>
        <v>#VALUE!</v>
      </c>
      <c r="AI24" s="123" t="e">
        <f aca="false">AI26/AA28</f>
        <v>#VALUE!</v>
      </c>
      <c r="AJ24" s="123" t="e">
        <f aca="false">AJ26/AA28</f>
        <v>#VALUE!</v>
      </c>
      <c r="AL24" s="10"/>
      <c r="AN24" s="1" t="n">
        <f aca="false">AN26/AL28</f>
        <v>4.91009466871207</v>
      </c>
      <c r="AO24" s="1" t="n">
        <f aca="false">AO26/AL28</f>
        <v>4.91009466871207</v>
      </c>
      <c r="AS24" s="123" t="e">
        <f aca="false">AS26/AL28</f>
        <v>#VALUE!</v>
      </c>
      <c r="AT24" s="123" t="e">
        <f aca="false">AT26/AL28</f>
        <v>#VALUE!</v>
      </c>
      <c r="AU24" s="123" t="e">
        <f aca="false">AU26/AL28</f>
        <v>#VALUE!</v>
      </c>
      <c r="AW24" s="10"/>
      <c r="AY24" s="1" t="n">
        <f aca="false">AY26/AW28</f>
        <v>3.76582130069103</v>
      </c>
      <c r="AZ24" s="1" t="n">
        <f aca="false">AZ26/AW28</f>
        <v>3.77082130069103</v>
      </c>
      <c r="BD24" s="123" t="e">
        <f aca="false">BD26/AW28</f>
        <v>#VALUE!</v>
      </c>
      <c r="BE24" s="123" t="e">
        <f aca="false">BE26/AW28</f>
        <v>#VALUE!</v>
      </c>
      <c r="BF24" s="123" t="e">
        <f aca="false">BF26/AW28</f>
        <v>#VALUE!</v>
      </c>
      <c r="BH24" s="10"/>
      <c r="BJ24" s="1" t="e">
        <f aca="false">BJ26/BH28</f>
        <v>#DIV/0!</v>
      </c>
      <c r="BK24" s="1" t="e">
        <f aca="false">BK26/BH28</f>
        <v>#DIV/0!</v>
      </c>
      <c r="BO24" s="123" t="e">
        <f aca="false">BO26/BH28</f>
        <v>#DIV/0!</v>
      </c>
      <c r="BP24" s="123" t="e">
        <f aca="false">BP26/BH28</f>
        <v>#DIV/0!</v>
      </c>
      <c r="BQ24" s="123" t="e">
        <f aca="false">BQ26/BH28</f>
        <v>#DIV/0!</v>
      </c>
    </row>
    <row r="25" customFormat="false" ht="12.75" hidden="false" customHeight="false" outlineLevel="0" collapsed="false">
      <c r="A25" s="10"/>
      <c r="B25" s="10"/>
      <c r="C25" s="10"/>
      <c r="D25" s="10"/>
      <c r="E25" s="10"/>
      <c r="F25" s="121"/>
      <c r="G25" s="10"/>
      <c r="H25" s="10"/>
      <c r="I25" s="10"/>
      <c r="J25" s="10"/>
      <c r="K25" s="10"/>
      <c r="L25" s="10"/>
      <c r="M25" s="10"/>
      <c r="N25" s="10"/>
      <c r="R25" s="64" t="s">
        <v>35</v>
      </c>
      <c r="S25" s="124"/>
      <c r="V25" s="29"/>
      <c r="W25" s="29"/>
      <c r="X25" s="29"/>
      <c r="Y25" s="10"/>
      <c r="Z25" s="11"/>
      <c r="AA25" s="10"/>
      <c r="AB25" s="125" t="n">
        <f aca="false">C9</f>
        <v>36800</v>
      </c>
      <c r="AJ25" s="0"/>
      <c r="AL25" s="10"/>
      <c r="AM25" s="125" t="n">
        <f aca="false">E9</f>
        <v>36831</v>
      </c>
      <c r="AU25" s="0"/>
      <c r="AW25" s="10"/>
      <c r="AX25" s="125" t="n">
        <f aca="false">G9</f>
        <v>37408</v>
      </c>
      <c r="BF25" s="0"/>
      <c r="BH25" s="10"/>
      <c r="BI25" s="125" t="n">
        <f aca="false">I9</f>
        <v>37773</v>
      </c>
      <c r="BQ25" s="0"/>
    </row>
    <row r="26" customFormat="false" ht="12.75" hidden="false" customHeight="false" outlineLevel="0" collapsed="false">
      <c r="A26" s="10"/>
      <c r="B26" s="126"/>
      <c r="C26" s="40" t="e">
        <f aca="false">IF(B$4=1,VLOOKUP(A26,curvesettle,HLOOKUP($B$5,curvesettle,2,FALSE()),0),0)</f>
        <v>#N/A</v>
      </c>
      <c r="D26" s="126"/>
      <c r="E26" s="10"/>
      <c r="F26" s="10"/>
      <c r="G26" s="10"/>
      <c r="H26" s="10"/>
      <c r="I26" s="126"/>
      <c r="J26" s="127"/>
      <c r="K26" s="127"/>
      <c r="L26" s="127"/>
      <c r="M26" s="127"/>
      <c r="N26" s="127"/>
      <c r="O26" s="128"/>
      <c r="P26" s="36"/>
      <c r="Q26" s="129"/>
      <c r="R26" s="36"/>
      <c r="S26" s="36"/>
      <c r="T26" s="130"/>
      <c r="U26" s="30"/>
      <c r="V26" s="32"/>
      <c r="W26" s="32"/>
      <c r="X26" s="32"/>
      <c r="Y26" s="10"/>
      <c r="Z26" s="11"/>
      <c r="AA26" s="10" t="s">
        <v>27</v>
      </c>
      <c r="AB26" s="125" t="n">
        <f aca="false">C10</f>
        <v>37681</v>
      </c>
      <c r="AC26" s="33" t="n">
        <f aca="false">SUM(AC31:AC151)</f>
        <v>4886.79521857714</v>
      </c>
      <c r="AD26" s="33" t="n">
        <f aca="false">SUM(AD31:AD151)</f>
        <v>4886.79521857714</v>
      </c>
      <c r="AE26" s="33"/>
      <c r="AF26" s="33"/>
      <c r="AG26" s="33"/>
      <c r="AH26" s="33" t="e">
        <f aca="false">SUM(AH31:AH151)</f>
        <v>#VALUE!</v>
      </c>
      <c r="AI26" s="33" t="e">
        <f aca="false">SUM(AI31:AI151)</f>
        <v>#VALUE!</v>
      </c>
      <c r="AJ26" s="33" t="e">
        <f aca="false">SUM(AJ31:AJ151)</f>
        <v>#VALUE!</v>
      </c>
      <c r="AL26" s="10" t="s">
        <v>28</v>
      </c>
      <c r="AM26" s="125" t="n">
        <f aca="false">E10</f>
        <v>37165</v>
      </c>
      <c r="AN26" s="33" t="n">
        <f aca="false">SUM(AN31:AN151)</f>
        <v>2971.74347047714</v>
      </c>
      <c r="AO26" s="33" t="n">
        <f aca="false">SUM(AO31:AO151)</f>
        <v>2971.74347047714</v>
      </c>
      <c r="AP26" s="33"/>
      <c r="AQ26" s="33"/>
      <c r="AR26" s="33"/>
      <c r="AS26" s="33" t="e">
        <f aca="false">SUM(AS31:AS151)</f>
        <v>#VALUE!</v>
      </c>
      <c r="AT26" s="33" t="e">
        <f aca="false">SUM(AT31:AT151)</f>
        <v>#VALUE!</v>
      </c>
      <c r="AU26" s="33" t="e">
        <f aca="false">SUM(AU31:AU151)</f>
        <v>#VALUE!</v>
      </c>
      <c r="AW26" s="10" t="s">
        <v>29</v>
      </c>
      <c r="AX26" s="125" t="n">
        <f aca="false">G10</f>
        <v>37591</v>
      </c>
      <c r="AY26" s="33" t="n">
        <f aca="false">SUM(AY31:AY151)</f>
        <v>531.1156198</v>
      </c>
      <c r="AZ26" s="33" t="n">
        <f aca="false">SUM(AZ31:AZ151)</f>
        <v>531.8207988</v>
      </c>
      <c r="BA26" s="33"/>
      <c r="BB26" s="33"/>
      <c r="BC26" s="33"/>
      <c r="BD26" s="33" t="e">
        <f aca="false">SUM(BD31:BD151)</f>
        <v>#VALUE!</v>
      </c>
      <c r="BE26" s="33" t="e">
        <f aca="false">SUM(BE31:BE151)</f>
        <v>#VALUE!</v>
      </c>
      <c r="BF26" s="33" t="e">
        <f aca="false">SUM(BF31:BF151)</f>
        <v>#VALUE!</v>
      </c>
      <c r="BH26" s="10" t="s">
        <v>30</v>
      </c>
      <c r="BI26" s="125" t="n">
        <f aca="false">I10</f>
        <v>37803</v>
      </c>
      <c r="BJ26" s="33" t="n">
        <f aca="false">SUM(BJ31:BJ151)</f>
        <v>0</v>
      </c>
      <c r="BK26" s="33" t="n">
        <f aca="false">SUM(BK31:BK151)</f>
        <v>0</v>
      </c>
      <c r="BL26" s="33"/>
      <c r="BM26" s="33"/>
      <c r="BN26" s="33"/>
      <c r="BO26" s="33" t="n">
        <f aca="false">SUM(BO31:BO151)</f>
        <v>0</v>
      </c>
      <c r="BP26" s="33" t="n">
        <f aca="false">SUM(BP31:BP151)</f>
        <v>0</v>
      </c>
      <c r="BQ26" s="33" t="n">
        <f aca="false">SUM(BQ31:BQ151)</f>
        <v>0</v>
      </c>
    </row>
    <row r="27" customFormat="false" ht="12.75" hidden="false" customHeight="false" outlineLevel="0" collapsed="false">
      <c r="A27" s="10"/>
      <c r="B27" s="10"/>
      <c r="C27" s="10"/>
      <c r="D27" s="10"/>
      <c r="E27" s="10"/>
      <c r="F27" s="10"/>
      <c r="G27" s="121"/>
      <c r="H27" s="10"/>
      <c r="I27" s="126"/>
      <c r="J27" s="131"/>
      <c r="K27" s="131"/>
      <c r="L27" s="131"/>
      <c r="M27" s="131"/>
      <c r="N27" s="131"/>
      <c r="O27" s="131"/>
      <c r="P27" s="131"/>
      <c r="R27" s="131"/>
      <c r="S27" s="131"/>
      <c r="Y27" s="10"/>
      <c r="Z27" s="11"/>
      <c r="AA27" s="10"/>
      <c r="AE27" s="1" t="s">
        <v>10</v>
      </c>
      <c r="AF27" s="1" t="n">
        <f aca="false">IF(B17=4,3,B17)</f>
        <v>1</v>
      </c>
      <c r="AJ27" s="0"/>
      <c r="AL27" s="10"/>
      <c r="AP27" s="1" t="s">
        <v>10</v>
      </c>
      <c r="AQ27" s="1" t="n">
        <f aca="false">IF(D17=4,3,D17)</f>
        <v>2</v>
      </c>
      <c r="AU27" s="0"/>
      <c r="AW27" s="10"/>
      <c r="BA27" s="1" t="s">
        <v>10</v>
      </c>
      <c r="BB27" s="1" t="n">
        <f aca="false">IF(F17=4,3,F17)</f>
        <v>1</v>
      </c>
      <c r="BF27" s="0"/>
      <c r="BH27" s="10"/>
      <c r="BL27" s="1" t="s">
        <v>10</v>
      </c>
      <c r="BM27" s="1" t="n">
        <f aca="false">IF(H17=4,3,H17)</f>
        <v>1</v>
      </c>
      <c r="BQ27" s="0"/>
    </row>
    <row r="28" customFormat="false" ht="12.75" hidden="false" customHeight="false" outlineLevel="0" collapsed="false">
      <c r="A28" s="10"/>
      <c r="B28" s="132"/>
      <c r="C28" s="132"/>
      <c r="D28" s="133"/>
      <c r="E28" s="132"/>
      <c r="F28" s="133"/>
      <c r="G28" s="133"/>
      <c r="H28" s="132"/>
      <c r="I28" s="132"/>
      <c r="J28" s="132"/>
      <c r="K28" s="132"/>
      <c r="L28" s="132"/>
      <c r="M28" s="132"/>
      <c r="N28" s="132"/>
      <c r="O28" s="132"/>
      <c r="P28" s="132"/>
      <c r="R28" s="127"/>
      <c r="S28" s="127"/>
      <c r="V28" s="32"/>
      <c r="W28" s="32"/>
      <c r="X28" s="32"/>
      <c r="Z28" s="11"/>
      <c r="AA28" s="35" t="n">
        <f aca="false">SUM(AA31:AA151)</f>
        <v>1067.0046</v>
      </c>
      <c r="AE28" s="1" t="s">
        <v>151</v>
      </c>
      <c r="AF28" s="1" t="n">
        <f aca="false">IF($G$1="GAMMA",3,IF($G$1="THETA",4,5))</f>
        <v>5</v>
      </c>
      <c r="AJ28" s="0"/>
      <c r="AL28" s="35" t="n">
        <f aca="false">SUM(AL31:AL151)</f>
        <v>605.2314</v>
      </c>
      <c r="AP28" s="1" t="s">
        <v>151</v>
      </c>
      <c r="AQ28" s="1" t="n">
        <f aca="false">IF($G$1="GAMMA",3,IF($G$1="THETA",4,5))</f>
        <v>5</v>
      </c>
      <c r="AU28" s="0"/>
      <c r="AW28" s="35" t="n">
        <f aca="false">SUM(AW31:AW151)</f>
        <v>141.0358</v>
      </c>
      <c r="BA28" s="1" t="s">
        <v>151</v>
      </c>
      <c r="BB28" s="1" t="n">
        <f aca="false">IF($G$1="GAMMA",3,IF($G$1="THETA",4,5))</f>
        <v>5</v>
      </c>
      <c r="BF28" s="0"/>
      <c r="BH28" s="35" t="n">
        <f aca="false">SUM(BH31:BH151)</f>
        <v>0</v>
      </c>
      <c r="BL28" s="1" t="s">
        <v>151</v>
      </c>
      <c r="BM28" s="1" t="n">
        <f aca="false">IF($G$1="GAMMA",3,IF($G$1="THETA",4,5))</f>
        <v>5</v>
      </c>
      <c r="BQ28" s="0"/>
    </row>
    <row r="29" customFormat="false" ht="13.5" hidden="false" customHeight="false" outlineLevel="0" collapsed="false">
      <c r="B29" s="134"/>
      <c r="C29" s="134"/>
      <c r="D29" s="134"/>
      <c r="E29" s="134"/>
      <c r="F29" s="134"/>
      <c r="G29" s="134"/>
      <c r="H29" s="135"/>
      <c r="I29" s="135"/>
      <c r="J29" s="135"/>
      <c r="K29" s="135"/>
      <c r="L29" s="135"/>
      <c r="M29" s="135"/>
      <c r="N29" s="135"/>
      <c r="O29" s="129"/>
      <c r="P29" s="129"/>
      <c r="Q29" s="129"/>
      <c r="R29" s="1" t="s">
        <v>152</v>
      </c>
      <c r="T29" s="10"/>
      <c r="U29" s="10"/>
      <c r="V29" s="10"/>
      <c r="W29" s="10"/>
      <c r="X29" s="10"/>
      <c r="AB29" s="1" t="s">
        <v>153</v>
      </c>
      <c r="AC29" s="23" t="s">
        <v>6</v>
      </c>
      <c r="AD29" s="23" t="s">
        <v>154</v>
      </c>
      <c r="AE29" s="23" t="s">
        <v>1</v>
      </c>
      <c r="AF29" s="23" t="s">
        <v>2</v>
      </c>
      <c r="AG29" s="23" t="str">
        <f aca="false">$G1</f>
        <v>vega</v>
      </c>
      <c r="AH29" s="4" t="s">
        <v>1</v>
      </c>
      <c r="AI29" s="4" t="s">
        <v>2</v>
      </c>
      <c r="AJ29" s="4" t="str">
        <f aca="false">AG29</f>
        <v>vega</v>
      </c>
      <c r="AM29" s="1" t="s">
        <v>153</v>
      </c>
      <c r="AN29" s="23" t="s">
        <v>6</v>
      </c>
      <c r="AO29" s="23" t="s">
        <v>154</v>
      </c>
      <c r="AP29" s="23" t="s">
        <v>1</v>
      </c>
      <c r="AQ29" s="23" t="s">
        <v>2</v>
      </c>
      <c r="AR29" s="23" t="str">
        <f aca="false">$G1</f>
        <v>vega</v>
      </c>
      <c r="AS29" s="4" t="s">
        <v>1</v>
      </c>
      <c r="AT29" s="4" t="s">
        <v>2</v>
      </c>
      <c r="AU29" s="4" t="str">
        <f aca="false">AR29</f>
        <v>vega</v>
      </c>
      <c r="AX29" s="1" t="s">
        <v>153</v>
      </c>
      <c r="AY29" s="23" t="s">
        <v>6</v>
      </c>
      <c r="AZ29" s="23" t="s">
        <v>154</v>
      </c>
      <c r="BA29" s="23" t="s">
        <v>1</v>
      </c>
      <c r="BB29" s="23" t="s">
        <v>2</v>
      </c>
      <c r="BC29" s="23" t="str">
        <f aca="false">$G1</f>
        <v>vega</v>
      </c>
      <c r="BD29" s="4" t="s">
        <v>1</v>
      </c>
      <c r="BE29" s="4" t="s">
        <v>2</v>
      </c>
      <c r="BF29" s="4" t="str">
        <f aca="false">BC29</f>
        <v>vega</v>
      </c>
      <c r="BI29" s="1" t="s">
        <v>153</v>
      </c>
      <c r="BJ29" s="23" t="s">
        <v>6</v>
      </c>
      <c r="BK29" s="23" t="s">
        <v>154</v>
      </c>
      <c r="BL29" s="23" t="s">
        <v>1</v>
      </c>
      <c r="BM29" s="23" t="s">
        <v>2</v>
      </c>
      <c r="BN29" s="23" t="str">
        <f aca="false">$G1</f>
        <v>vega</v>
      </c>
      <c r="BO29" s="4" t="s">
        <v>1</v>
      </c>
      <c r="BP29" s="4" t="s">
        <v>2</v>
      </c>
      <c r="BQ29" s="4" t="str">
        <f aca="false">BN29</f>
        <v>vega</v>
      </c>
    </row>
    <row r="30" customFormat="false" ht="14.25" hidden="false" customHeight="false" outlineLevel="0" collapsed="false">
      <c r="A30" s="37" t="s">
        <v>0</v>
      </c>
      <c r="B30" s="37" t="s">
        <v>49</v>
      </c>
      <c r="C30" s="37" t="s">
        <v>51</v>
      </c>
      <c r="D30" s="37" t="s">
        <v>155</v>
      </c>
      <c r="E30" s="37" t="s">
        <v>11</v>
      </c>
      <c r="F30" s="37" t="s">
        <v>17</v>
      </c>
      <c r="G30" s="37" t="s">
        <v>18</v>
      </c>
      <c r="H30" s="37" t="s">
        <v>156</v>
      </c>
      <c r="I30" s="37" t="s">
        <v>157</v>
      </c>
      <c r="J30" s="37" t="s">
        <v>158</v>
      </c>
      <c r="K30" s="37" t="s">
        <v>159</v>
      </c>
      <c r="L30" s="37" t="s">
        <v>160</v>
      </c>
      <c r="M30" s="37" t="s">
        <v>161</v>
      </c>
      <c r="N30" s="37" t="s">
        <v>162</v>
      </c>
      <c r="O30" s="37" t="s">
        <v>163</v>
      </c>
      <c r="P30" s="37" t="s">
        <v>164</v>
      </c>
      <c r="Q30" s="37" t="s">
        <v>165</v>
      </c>
      <c r="R30" s="37" t="s">
        <v>22</v>
      </c>
      <c r="S30" s="37" t="s">
        <v>21</v>
      </c>
      <c r="T30" s="10"/>
      <c r="W30" s="10"/>
      <c r="X30" s="10"/>
      <c r="AA30" s="1" t="s">
        <v>166</v>
      </c>
      <c r="AD30" s="11"/>
      <c r="AE30" s="10"/>
      <c r="AF30" s="10"/>
      <c r="AG30" s="10"/>
      <c r="AJ30" s="0" t="s">
        <v>167</v>
      </c>
      <c r="AL30" s="1" t="s">
        <v>166</v>
      </c>
      <c r="AO30" s="11"/>
      <c r="AP30" s="10"/>
      <c r="AQ30" s="10"/>
      <c r="AR30" s="10"/>
      <c r="AU30" s="0" t="s">
        <v>167</v>
      </c>
      <c r="AW30" s="1" t="s">
        <v>166</v>
      </c>
      <c r="AZ30" s="11"/>
      <c r="BA30" s="10"/>
      <c r="BB30" s="10"/>
      <c r="BC30" s="10"/>
      <c r="BF30" s="0" t="s">
        <v>167</v>
      </c>
      <c r="BH30" s="1" t="s">
        <v>166</v>
      </c>
      <c r="BK30" s="11"/>
      <c r="BL30" s="10"/>
      <c r="BM30" s="10"/>
      <c r="BN30" s="10"/>
      <c r="BQ30" s="0" t="s">
        <v>167</v>
      </c>
    </row>
    <row r="31" customFormat="false" ht="13.5" hidden="false" customHeight="false" outlineLevel="0" collapsed="false">
      <c r="A31" s="48" t="n">
        <v>36800</v>
      </c>
      <c r="B31" s="40" t="n">
        <f aca="false">VLOOKUP(A31,STRADDLE,5,FALSE())</f>
        <v>5.24</v>
      </c>
      <c r="C31" s="40" t="n">
        <v>0</v>
      </c>
      <c r="D31" s="4" t="n">
        <f aca="false">VLOOKUP(A31,STRADDLE,8,FALSE())</f>
        <v>0.48</v>
      </c>
      <c r="E31" s="131" t="n">
        <f aca="false">IF(ISNUMBER(VLOOKUP(A31,VOLCURVES,HLOOKUP(B$5,VOLCURVES,2,FALSE()),FALSE())),VLOOKUP(A31,VOLCURVES,HLOOKUP(B$5,VOLCURVES,2,FALSE()),FALSE()),1)</f>
        <v>1</v>
      </c>
      <c r="F31" s="41" t="n">
        <f aca="false">IF($B$17=4,$AB31,$B$16)</f>
        <v>3.8</v>
      </c>
      <c r="G31" s="41" t="n">
        <f aca="false">IF($D$17=4,$AM31,$D$16)</f>
        <v>3.5</v>
      </c>
      <c r="H31" s="41" t="n">
        <f aca="false">IF($F$17=4,$AX31,$F$16)</f>
        <v>2.96</v>
      </c>
      <c r="I31" s="41" t="n">
        <f aca="false">IF($H$17=4,$BI31,$H$16)</f>
        <v>2.99</v>
      </c>
      <c r="J31" s="4" t="n">
        <f aca="false">IF($B$19=1,VLOOKUP($A31,SkewTable,HLOOKUP(ROUND(F31-AB31,1),SkewTable,2,FALSE()),FALSE())/100,0)</f>
        <v>-0.0315869049140625</v>
      </c>
      <c r="K31" s="4" t="e">
        <f aca="false">IF($D$19=1,VLOOKUP($A31,SkewTable,HLOOKUP(ROUND(G31-AM31,1),SkewTable,2,FALSE()),FALSE())/100,0)</f>
        <v>#DIV/0!</v>
      </c>
      <c r="L31" s="4" t="e">
        <f aca="false">IF($F$19=1,VLOOKUP($A31,SkewTable,HLOOKUP(ROUND(H31-AX31,1),SkewTable,2,FALSE()),FALSE())/100,0)</f>
        <v>#DIV/0!</v>
      </c>
      <c r="M31" s="4" t="e">
        <f aca="false">IF($H$19=1,VLOOKUP($A31,SkewTable,HLOOKUP(ROUND(I31-BI31,1),SkewTable,2,FALSE()),FALSE())/100,0)</f>
        <v>#DIV/0!</v>
      </c>
      <c r="N31" s="4" t="n">
        <f aca="false">(($D31+J31)*$E31)+B$18</f>
        <v>0.448413095085937</v>
      </c>
      <c r="O31" s="4" t="e">
        <f aca="false">(($D31+K31)*$E31)+D$18</f>
        <v>#DIV/0!</v>
      </c>
      <c r="P31" s="4" t="e">
        <f aca="false">(($D31+L31)*$E31)+F$18</f>
        <v>#DIV/0!</v>
      </c>
      <c r="Q31" s="4" t="e">
        <f aca="false">(($D31+M31)*$E31)+H$18</f>
        <v>#DIV/0!</v>
      </c>
      <c r="R31" s="136" t="n">
        <f aca="false">IF(B$4=1,VLOOKUP(A31,expiration,2,FALSE()),VLOOKUP(A31,expiration,3,FALSE()))-B$2+$B$1</f>
        <v>-9130</v>
      </c>
      <c r="S31" s="4" t="n">
        <f aca="false">VLOOKUP($A31,STRADDLE,12,FALSE())</f>
        <v>0.067720515824946</v>
      </c>
      <c r="T31" s="1" t="n">
        <v>70.1426</v>
      </c>
      <c r="U31" s="43" t="n">
        <v>6</v>
      </c>
      <c r="V31" s="1" t="n">
        <v>3</v>
      </c>
      <c r="X31" s="43"/>
      <c r="Z31" s="9"/>
      <c r="AA31" s="9" t="n">
        <f aca="false">IF($A31&gt;=AB$25,IF($A31&lt;=AB$26,$T31,0),0)</f>
        <v>70.1426</v>
      </c>
      <c r="AB31" s="9" t="n">
        <f aca="false">IF(T31&gt;0,AD31/AA31,0)</f>
        <v>5.24</v>
      </c>
      <c r="AC31" s="1" t="n">
        <f aca="false">AA31*($B31+B$13)</f>
        <v>367.547224</v>
      </c>
      <c r="AD31" s="33" t="n">
        <f aca="false">IF(ISNUMBER(((AC31/AA31)+B$15+$C31)*AA31),((AC31/AA31)+B$15+$C31)*AA31,0)</f>
        <v>367.547224</v>
      </c>
      <c r="AE31" s="44" t="e">
        <f aca="false">IF(AA31=0,0,bsd(1,AF$27,AB31,$F31,$R31,$N31,$S31,0.1))</f>
        <v>#VALUE!</v>
      </c>
      <c r="AF31" s="44" t="e">
        <f aca="false">IF(AA31=0,0,bsd(2,AF$27,AB31,$F31,$R31,$N31,$S31,0.1))</f>
        <v>#VALUE!</v>
      </c>
      <c r="AG31" s="44" t="e">
        <f aca="false">IF(AA31=0,0,bsd(AF$28,AF$27,AB31,$F31,$R31,$N31,$S31,0.1))</f>
        <v>#VALUE!</v>
      </c>
      <c r="AH31" s="45" t="e">
        <f aca="false">AA31*AE31</f>
        <v>#VALUE!</v>
      </c>
      <c r="AI31" s="45" t="e">
        <f aca="false">AA31*AF31</f>
        <v>#VALUE!</v>
      </c>
      <c r="AJ31" s="45" t="e">
        <f aca="false">AA31*AG31</f>
        <v>#VALUE!</v>
      </c>
      <c r="AL31" s="9" t="n">
        <f aca="false">IF($A31&gt;=AM$25,IF($A31&lt;=AM$26,$T31,0),0)</f>
        <v>0</v>
      </c>
      <c r="AM31" s="9" t="e">
        <f aca="false">AO31/AL31</f>
        <v>#DIV/0!</v>
      </c>
      <c r="AN31" s="1" t="n">
        <f aca="false">AL31*($B31+D$13)</f>
        <v>0</v>
      </c>
      <c r="AO31" s="33" t="n">
        <f aca="false">IF(ISNUMBER(((AN31/AL31)+D$15+$C31)*AL31),((AN31/AL31)+D$15+$C31)*AL31,0)</f>
        <v>0</v>
      </c>
      <c r="AP31" s="44" t="n">
        <f aca="false">IF(AL31=0,0,bsd(1,AQ$27,AM31,$G31,$R31,$O31,$S31,0.1))</f>
        <v>0</v>
      </c>
      <c r="AQ31" s="44" t="n">
        <f aca="false">IF(AL31=0,0,bsd(2,AQ$27,AM31,$G31,$R31,$O31,$S31,0.1))</f>
        <v>0</v>
      </c>
      <c r="AR31" s="44" t="n">
        <f aca="false">IF(AL31=0,0,bsd(AQ$28,AQ$27,AM31,$G31,$R31,$O31,$S31,0.1))</f>
        <v>0</v>
      </c>
      <c r="AS31" s="45" t="n">
        <f aca="false">AL31*AP31</f>
        <v>0</v>
      </c>
      <c r="AT31" s="45" t="n">
        <f aca="false">AL31*AQ31</f>
        <v>0</v>
      </c>
      <c r="AU31" s="45" t="n">
        <f aca="false">AL31*AR31</f>
        <v>0</v>
      </c>
      <c r="AW31" s="9" t="n">
        <f aca="false">IF($A31&gt;=AX$25,IF($A31&lt;=AX$26,$T31,0),0)</f>
        <v>0</v>
      </c>
      <c r="AX31" s="9" t="e">
        <f aca="false">AZ31/AW31</f>
        <v>#DIV/0!</v>
      </c>
      <c r="AY31" s="1" t="n">
        <f aca="false">AW31*($B31+F$13)</f>
        <v>0</v>
      </c>
      <c r="AZ31" s="33" t="n">
        <f aca="false">IF(ISNUMBER(((AY31/AW31)+F$15+$C31)*AW31),((AY31/AW31)+F$15+$C31)*AW31,0)</f>
        <v>0</v>
      </c>
      <c r="BA31" s="44" t="n">
        <f aca="false">IF(AW31=0,0,bsd(1,BB$27,AX31,$H31,$R31,$P31,$S31,0.1))</f>
        <v>0</v>
      </c>
      <c r="BB31" s="44" t="n">
        <f aca="false">IF(AW31=0,0,bsd(2,BB$27,AX31,$H31,$R31,$P31,$S31,0.1))</f>
        <v>0</v>
      </c>
      <c r="BC31" s="44" t="n">
        <f aca="false">IF(AW31=0,0,bsd(BB$28,BB$27,AX31,$H31,$R31,$P31,$S31,0.1))</f>
        <v>0</v>
      </c>
      <c r="BD31" s="45" t="n">
        <f aca="false">AW31*BA31</f>
        <v>0</v>
      </c>
      <c r="BE31" s="45" t="n">
        <f aca="false">AW31*BB31</f>
        <v>0</v>
      </c>
      <c r="BF31" s="45" t="n">
        <f aca="false">AW31*BC31</f>
        <v>0</v>
      </c>
      <c r="BH31" s="9" t="n">
        <f aca="false">IF($A31&gt;=BI$25,IF($A31&lt;=BI$26,$T31,0),0)</f>
        <v>0</v>
      </c>
      <c r="BI31" s="9" t="e">
        <f aca="false">BK31/BH31</f>
        <v>#DIV/0!</v>
      </c>
      <c r="BJ31" s="1" t="n">
        <f aca="false">BH31*($B31+H$13)</f>
        <v>0</v>
      </c>
      <c r="BK31" s="33" t="n">
        <f aca="false">IF(ISNUMBER(((BJ31/BH31)+H$15+$C31)*BH31),((BJ31/BH31)+H$15+$C31)*BH31,0)</f>
        <v>0</v>
      </c>
      <c r="BL31" s="44" t="n">
        <f aca="false">IF(BH31=0,0,bsd(1,BM$27,BI31,$I31,$R31,$Q31,$S31,0.1))</f>
        <v>0</v>
      </c>
      <c r="BM31" s="44" t="n">
        <f aca="false">IF(BH31=0,0,bsd(2,BM$27,BI31,$I31,$R31,$Q31,$S31,0.1))</f>
        <v>0</v>
      </c>
      <c r="BN31" s="44" t="n">
        <f aca="false">IF(BH31=0,0,bsd(BM$28,BM$27,BI31,$I31,$R31,$Q31,$S31,0.1))</f>
        <v>0</v>
      </c>
      <c r="BO31" s="45" t="n">
        <f aca="false">BH31*BL31</f>
        <v>0</v>
      </c>
      <c r="BP31" s="45" t="n">
        <f aca="false">BH31*BM31</f>
        <v>0</v>
      </c>
      <c r="BQ31" s="45" t="n">
        <f aca="false">BH31*BN31</f>
        <v>0</v>
      </c>
    </row>
    <row r="32" customFormat="false" ht="12.75" hidden="false" customHeight="false" outlineLevel="0" collapsed="false">
      <c r="A32" s="48" t="n">
        <f aca="false">DATE(YEAR(A31),MONTH(A31)+1,1)</f>
        <v>36831</v>
      </c>
      <c r="B32" s="40" t="n">
        <f aca="false">VLOOKUP(A32,STRADDLE,5,FALSE())</f>
        <v>5.4258</v>
      </c>
      <c r="C32" s="40" t="n">
        <v>0</v>
      </c>
      <c r="D32" s="4" t="n">
        <f aca="false">VLOOKUP(A32,STRADDLE,8,FALSE())</f>
        <v>0.52</v>
      </c>
      <c r="E32" s="131" t="n">
        <f aca="false">IF(ISNUMBER(VLOOKUP(A32,VOLCURVES,HLOOKUP(B$5,VOLCURVES,2,FALSE()),FALSE())),VLOOKUP(A32,VOLCURVES,HLOOKUP(B$5,VOLCURVES,2,FALSE()),FALSE()),1)</f>
        <v>1</v>
      </c>
      <c r="F32" s="41" t="n">
        <f aca="false">IF($B$17=4,$AB32,$B$16)</f>
        <v>3.8</v>
      </c>
      <c r="G32" s="41" t="n">
        <f aca="false">IF($D$17=4,$AM32,$D$16)</f>
        <v>3.5</v>
      </c>
      <c r="H32" s="41" t="n">
        <f aca="false">IF($F$17=4,$AX32,$F$16)</f>
        <v>2.96</v>
      </c>
      <c r="I32" s="41" t="n">
        <f aca="false">IF($H$17=4,$BI32,$H$16)</f>
        <v>2.99</v>
      </c>
      <c r="J32" s="4" t="n">
        <f aca="false">IF($B$19=1,VLOOKUP($A32,SkewTable,HLOOKUP(ROUND(F32-AB32,1),SkewTable,2,FALSE()),FALSE())/100,0)</f>
        <v>-0.0331019643796875</v>
      </c>
      <c r="K32" s="4" t="n">
        <f aca="false">IF($D$19=1,VLOOKUP($A32,SkewTable,HLOOKUP(ROUND(G32-AM32,1),SkewTable,2,FALSE()),FALSE())/100,0)</f>
        <v>-0.0361320833109375</v>
      </c>
      <c r="L32" s="4" t="e">
        <f aca="false">IF($F$19=1,VLOOKUP($A32,SkewTable,HLOOKUP(ROUND(H32-AX32,1),SkewTable,2,FALSE()),FALSE())/100,0)</f>
        <v>#DIV/0!</v>
      </c>
      <c r="M32" s="4" t="e">
        <f aca="false">IF($H$19=1,VLOOKUP($A32,SkewTable,HLOOKUP(ROUND(I32-BI32,1),SkewTable,2,FALSE()),FALSE())/100,0)</f>
        <v>#DIV/0!</v>
      </c>
      <c r="N32" s="4" t="n">
        <f aca="false">(($D32+J32)*$E32)+B$18</f>
        <v>0.486898035620313</v>
      </c>
      <c r="O32" s="4" t="n">
        <f aca="false">(($D32+K32)*$E32)+D$18</f>
        <v>0.483867916689063</v>
      </c>
      <c r="P32" s="4" t="e">
        <f aca="false">(($D32+L32)*$E32)+F$18</f>
        <v>#DIV/0!</v>
      </c>
      <c r="Q32" s="4" t="e">
        <f aca="false">(($D32+M32)*$E32)+H$18</f>
        <v>#DIV/0!</v>
      </c>
      <c r="R32" s="136" t="n">
        <f aca="false">IF(B$4=1,VLOOKUP(A32,expiration,2,FALSE()),VLOOKUP(A32,expiration,3,FALSE()))-B$2+$B$1</f>
        <v>-9100</v>
      </c>
      <c r="S32" s="4" t="n">
        <f aca="false">VLOOKUP($A32,STRADDLE,12,FALSE())</f>
        <v>0.068087889350767</v>
      </c>
      <c r="T32" s="1" t="n">
        <v>67.1922</v>
      </c>
      <c r="U32" s="43" t="n">
        <v>6</v>
      </c>
      <c r="V32" s="1" t="n">
        <v>3</v>
      </c>
      <c r="X32" s="43"/>
      <c r="Z32" s="9"/>
      <c r="AA32" s="9" t="n">
        <f aca="false">IF($A32&gt;=AB$25,IF($A32&lt;=AB$26,$T32,0),0)</f>
        <v>67.1922</v>
      </c>
      <c r="AB32" s="9" t="n">
        <f aca="false">IF(T32&gt;0,AD32/AA32,0)</f>
        <v>5.4258</v>
      </c>
      <c r="AC32" s="1" t="n">
        <f aca="false">AA32*($B32+B$13)</f>
        <v>364.57143876</v>
      </c>
      <c r="AD32" s="33" t="n">
        <f aca="false">IF(ISNUMBER(((AC32/AA32)+B$15+$C32)*AA32),((AC32/AA32)+B$15+$C32)*AA32,0)</f>
        <v>364.57143876</v>
      </c>
      <c r="AE32" s="44" t="e">
        <f aca="false">IF(AA32=0,0,bsd(1,AF$27,AB32,$F32,$R32,$N32,$S32,0.1))</f>
        <v>#VALUE!</v>
      </c>
      <c r="AF32" s="44" t="e">
        <f aca="false">IF(AA32=0,0,bsd(2,AF$27,AB32,$F32,$R32,$N32,$S32,0.1))</f>
        <v>#VALUE!</v>
      </c>
      <c r="AG32" s="44" t="e">
        <f aca="false">IF(AA32=0,0,bsd(AF$28,AF$27,AB32,$F32,$R32,$N32,$S32,0.1))</f>
        <v>#VALUE!</v>
      </c>
      <c r="AH32" s="45" t="e">
        <f aca="false">AA32*AE32</f>
        <v>#VALUE!</v>
      </c>
      <c r="AI32" s="45" t="e">
        <f aca="false">AA32*AF32</f>
        <v>#VALUE!</v>
      </c>
      <c r="AJ32" s="45" t="e">
        <f aca="false">AA32*AG32</f>
        <v>#VALUE!</v>
      </c>
      <c r="AL32" s="9" t="n">
        <f aca="false">IF($A32&gt;=AM$25,IF($A32&lt;=AM$26,$T32,0),0)</f>
        <v>67.1922</v>
      </c>
      <c r="AM32" s="9" t="n">
        <f aca="false">AO32/AL32</f>
        <v>5.4558</v>
      </c>
      <c r="AN32" s="1" t="n">
        <f aca="false">AL32*($B32+D$13)</f>
        <v>366.58720476</v>
      </c>
      <c r="AO32" s="33" t="n">
        <f aca="false">IF(ISNUMBER(((AN32/AL32)+D$15+$C32)*AL32),((AN32/AL32)+D$15+$C32)*AL32,0)</f>
        <v>366.58720476</v>
      </c>
      <c r="AP32" s="44" t="e">
        <f aca="false">IF(AL32=0,0,bsd(1,AQ$27,AM32,$G32,$R32,$O32,$S32,0.1))</f>
        <v>#VALUE!</v>
      </c>
      <c r="AQ32" s="44" t="e">
        <f aca="false">IF(AL32=0,0,bsd(2,AQ$27,AM32,$G32,$R32,$O32,$S32,0.1))</f>
        <v>#VALUE!</v>
      </c>
      <c r="AR32" s="44" t="e">
        <f aca="false">IF(AL32=0,0,bsd(AQ$28,AQ$27,AM32,$G32,$R32,$O32,$S32,0.1))</f>
        <v>#VALUE!</v>
      </c>
      <c r="AS32" s="45" t="e">
        <f aca="false">AL32*AP32</f>
        <v>#VALUE!</v>
      </c>
      <c r="AT32" s="45" t="e">
        <f aca="false">AL32*AQ32</f>
        <v>#VALUE!</v>
      </c>
      <c r="AU32" s="45" t="e">
        <f aca="false">AL32*AR32</f>
        <v>#VALUE!</v>
      </c>
      <c r="AW32" s="9" t="n">
        <f aca="false">IF($A32&gt;=AX$25,IF($A32&lt;=AX$26,$T32,0),0)</f>
        <v>0</v>
      </c>
      <c r="AX32" s="9" t="e">
        <f aca="false">AZ32/AW32</f>
        <v>#DIV/0!</v>
      </c>
      <c r="AY32" s="1" t="n">
        <f aca="false">AW32*($B32+F$13)</f>
        <v>0</v>
      </c>
      <c r="AZ32" s="33" t="n">
        <f aca="false">IF(ISNUMBER(((AY32/AW32)+F$15+$C32)*AW32),((AY32/AW32)+F$15+$C32)*AW32,0)</f>
        <v>0</v>
      </c>
      <c r="BA32" s="44" t="n">
        <f aca="false">IF(AW32=0,0,bsd(1,BB$27,AX32,$H32,$R32,$P32,$S32,0.1))</f>
        <v>0</v>
      </c>
      <c r="BB32" s="44" t="n">
        <f aca="false">IF(AW32=0,0,bsd(2,BB$27,AX32,$H32,$R32,$P32,$S32,0.1))</f>
        <v>0</v>
      </c>
      <c r="BC32" s="44" t="n">
        <f aca="false">IF(AW32=0,0,bsd(BB$28,BB$27,AX32,$H32,$R32,$P32,$S32,0.1))</f>
        <v>0</v>
      </c>
      <c r="BD32" s="45" t="n">
        <f aca="false">AW32*BA32</f>
        <v>0</v>
      </c>
      <c r="BE32" s="45" t="n">
        <f aca="false">AW32*BB32</f>
        <v>0</v>
      </c>
      <c r="BF32" s="45" t="n">
        <f aca="false">AW32*BC32</f>
        <v>0</v>
      </c>
      <c r="BH32" s="9" t="n">
        <f aca="false">IF($A32&gt;=BI$25,IF($A32&lt;=BI$26,$T32,0),0)</f>
        <v>0</v>
      </c>
      <c r="BI32" s="9" t="e">
        <f aca="false">BK32/BH32</f>
        <v>#DIV/0!</v>
      </c>
      <c r="BJ32" s="1" t="n">
        <f aca="false">BH32*($B32+H$13)</f>
        <v>0</v>
      </c>
      <c r="BK32" s="33" t="n">
        <f aca="false">IF(ISNUMBER(((BJ32/BH32)+H$15+$C32)*BH32),((BJ32/BH32)+H$15+$C32)*BH32,0)</f>
        <v>0</v>
      </c>
      <c r="BL32" s="44" t="n">
        <f aca="false">IF(BH32=0,0,bsd(1,BM$27,BI32,$I32,$R32,$Q32,$S32,0.1))</f>
        <v>0</v>
      </c>
      <c r="BM32" s="44" t="n">
        <f aca="false">IF(BH32=0,0,bsd(2,BM$27,BI32,$I32,$R32,$Q32,$S32,0.1))</f>
        <v>0</v>
      </c>
      <c r="BN32" s="44" t="n">
        <f aca="false">IF(BH32=0,0,bsd(BM$28,BM$27,BI32,$I32,$R32,$Q32,$S32,0.1))</f>
        <v>0</v>
      </c>
      <c r="BO32" s="45" t="n">
        <f aca="false">BH32*BL32</f>
        <v>0</v>
      </c>
      <c r="BP32" s="45" t="n">
        <f aca="false">BH32*BM32</f>
        <v>0</v>
      </c>
      <c r="BQ32" s="45" t="n">
        <f aca="false">BH32*BN32</f>
        <v>0</v>
      </c>
    </row>
    <row r="33" customFormat="false" ht="12.75" hidden="false" customHeight="false" outlineLevel="0" collapsed="false">
      <c r="A33" s="48" t="n">
        <f aca="false">DATE(YEAR(A32),MONTH(A32)+1,1)</f>
        <v>36861</v>
      </c>
      <c r="B33" s="40" t="n">
        <f aca="false">VLOOKUP(A33,STRADDLE,5,FALSE())</f>
        <v>5.5268</v>
      </c>
      <c r="C33" s="40" t="n">
        <v>0</v>
      </c>
      <c r="D33" s="4" t="n">
        <f aca="false">VLOOKUP(A33,STRADDLE,8,FALSE())</f>
        <v>0.5725</v>
      </c>
      <c r="E33" s="131" t="n">
        <f aca="false">IF(ISNUMBER(VLOOKUP(A33,VOLCURVES,HLOOKUP(B$5,VOLCURVES,2,FALSE()),FALSE())),VLOOKUP(A33,VOLCURVES,HLOOKUP(B$5,VOLCURVES,2,FALSE()),FALSE()),1)</f>
        <v>1</v>
      </c>
      <c r="F33" s="41" t="n">
        <f aca="false">IF($B$17=4,$AB33,$B$16)</f>
        <v>3.8</v>
      </c>
      <c r="G33" s="41" t="n">
        <f aca="false">IF($D$17=4,$AM33,$D$16)</f>
        <v>3.5</v>
      </c>
      <c r="H33" s="41" t="n">
        <f aca="false">IF($F$17=4,$AX33,$F$16)</f>
        <v>2.96</v>
      </c>
      <c r="I33" s="41" t="n">
        <f aca="false">IF($H$17=4,$BI33,$H$16)</f>
        <v>2.99</v>
      </c>
      <c r="J33" s="4" t="n">
        <f aca="false">IF($B$19=1,VLOOKUP($A33,SkewTable,HLOOKUP(ROUND(F33-AB33,1),SkewTable,2,FALSE()),FALSE())/100,0)</f>
        <v>-0.0338594941125</v>
      </c>
      <c r="K33" s="4" t="n">
        <f aca="false">IF($D$19=1,VLOOKUP($A33,SkewTable,HLOOKUP(ROUND(G33-AM33,1),SkewTable,2,FALSE()),FALSE())/100,0)</f>
        <v>-0.03688961304375</v>
      </c>
      <c r="L33" s="4" t="e">
        <f aca="false">IF($F$19=1,VLOOKUP($A33,SkewTable,HLOOKUP(ROUND(H33-AX33,1),SkewTable,2,FALSE()),FALSE())/100,0)</f>
        <v>#DIV/0!</v>
      </c>
      <c r="M33" s="4" t="e">
        <f aca="false">IF($H$19=1,VLOOKUP($A33,SkewTable,HLOOKUP(ROUND(I33-BI33,1),SkewTable,2,FALSE()),FALSE())/100,0)</f>
        <v>#DIV/0!</v>
      </c>
      <c r="N33" s="4" t="n">
        <f aca="false">(($D33+J33)*$E33)+B$18</f>
        <v>0.5386405058875</v>
      </c>
      <c r="O33" s="4" t="n">
        <f aca="false">(($D33+K33)*$E33)+D$18</f>
        <v>0.53561038695625</v>
      </c>
      <c r="P33" s="4" t="e">
        <f aca="false">(($D33+L33)*$E33)+F$18</f>
        <v>#DIV/0!</v>
      </c>
      <c r="Q33" s="4" t="e">
        <f aca="false">(($D33+M33)*$E33)+H$18</f>
        <v>#DIV/0!</v>
      </c>
      <c r="R33" s="136" t="n">
        <f aca="false">IF(B$4=1,VLOOKUP(A33,expiration,2,FALSE()),VLOOKUP(A33,expiration,3,FALSE()))-B$2+$B$1</f>
        <v>-9068</v>
      </c>
      <c r="S33" s="4" t="n">
        <f aca="false">VLOOKUP($A33,STRADDLE,12,FALSE())</f>
        <v>0.068102551581873</v>
      </c>
      <c r="T33" s="1" t="n">
        <v>63.4535</v>
      </c>
      <c r="U33" s="43" t="n">
        <v>6</v>
      </c>
      <c r="V33" s="1" t="n">
        <v>3</v>
      </c>
      <c r="X33" s="43"/>
      <c r="Z33" s="9"/>
      <c r="AA33" s="9" t="n">
        <f aca="false">IF($A33&gt;=AB$25,IF($A33&lt;=AB$26,$T33,0),0)</f>
        <v>63.4535</v>
      </c>
      <c r="AB33" s="9" t="n">
        <f aca="false">IF(T33&gt;0,AD33/AA33,0)</f>
        <v>5.5268</v>
      </c>
      <c r="AC33" s="1" t="n">
        <f aca="false">AA33*($B33+B$13)</f>
        <v>350.6948038</v>
      </c>
      <c r="AD33" s="33" t="n">
        <f aca="false">IF(ISNUMBER(((AC33/AA33)+B$15+$C33)*AA33),((AC33/AA33)+B$15+$C33)*AA33,0)</f>
        <v>350.6948038</v>
      </c>
      <c r="AE33" s="44" t="e">
        <f aca="false">IF(AA33=0,0,bsd(1,AF$27,AB33,$F33,$R33,$N33,$S33,0.1))</f>
        <v>#VALUE!</v>
      </c>
      <c r="AF33" s="44" t="e">
        <f aca="false">IF(AA33=0,0,bsd(2,AF$27,AB33,$F33,$R33,$N33,$S33,0.1))</f>
        <v>#VALUE!</v>
      </c>
      <c r="AG33" s="44" t="e">
        <f aca="false">IF(AA33=0,0,bsd(AF$28,AF$27,AB33,$F33,$R33,$N33,$S33,0.1))</f>
        <v>#VALUE!</v>
      </c>
      <c r="AH33" s="45" t="e">
        <f aca="false">AA33*AE33</f>
        <v>#VALUE!</v>
      </c>
      <c r="AI33" s="45" t="e">
        <f aca="false">AA33*AF33</f>
        <v>#VALUE!</v>
      </c>
      <c r="AJ33" s="45" t="e">
        <f aca="false">AA33*AG33</f>
        <v>#VALUE!</v>
      </c>
      <c r="AL33" s="9" t="n">
        <f aca="false">IF($A33&gt;=AM$25,IF($A33&lt;=AM$26,$T33,0),0)</f>
        <v>63.4535</v>
      </c>
      <c r="AM33" s="9" t="n">
        <f aca="false">AO33/AL33</f>
        <v>5.5568</v>
      </c>
      <c r="AN33" s="1" t="n">
        <f aca="false">AL33*($B33+D$13)</f>
        <v>352.5984088</v>
      </c>
      <c r="AO33" s="33" t="n">
        <f aca="false">IF(ISNUMBER(((AN33/AL33)+D$15+$C33)*AL33),((AN33/AL33)+D$15+$C33)*AL33,0)</f>
        <v>352.5984088</v>
      </c>
      <c r="AP33" s="44" t="e">
        <f aca="false">IF(AL33=0,0,bsd(1,AQ$27,AM33,$G33,$R33,$O33,$S33,0.1))</f>
        <v>#VALUE!</v>
      </c>
      <c r="AQ33" s="44" t="e">
        <f aca="false">IF(AL33=0,0,bsd(2,AQ$27,AM33,$G33,$R33,$O33,$S33,0.1))</f>
        <v>#VALUE!</v>
      </c>
      <c r="AR33" s="44" t="e">
        <f aca="false">IF(AL33=0,0,bsd(AQ$28,AQ$27,AM33,$G33,$R33,$O33,$S33,0.1))</f>
        <v>#VALUE!</v>
      </c>
      <c r="AS33" s="45" t="e">
        <f aca="false">AL33*AP33</f>
        <v>#VALUE!</v>
      </c>
      <c r="AT33" s="45" t="e">
        <f aca="false">AL33*AQ33</f>
        <v>#VALUE!</v>
      </c>
      <c r="AU33" s="45" t="e">
        <f aca="false">AL33*AR33</f>
        <v>#VALUE!</v>
      </c>
      <c r="AW33" s="9" t="n">
        <f aca="false">IF($A33&gt;=AX$25,IF($A33&lt;=AX$26,$T33,0),0)</f>
        <v>0</v>
      </c>
      <c r="AX33" s="9" t="e">
        <f aca="false">AZ33/AW33</f>
        <v>#DIV/0!</v>
      </c>
      <c r="AY33" s="1" t="n">
        <f aca="false">AW33*($B33+F$13)</f>
        <v>0</v>
      </c>
      <c r="AZ33" s="33" t="n">
        <f aca="false">IF(ISNUMBER(((AY33/AW33)+F$15+$C33)*AW33),((AY33/AW33)+F$15+$C33)*AW33,0)</f>
        <v>0</v>
      </c>
      <c r="BA33" s="44" t="n">
        <f aca="false">IF(AW33=0,0,bsd(1,BB$27,AX33,$H33,$R33,$P33,$S33,0.1))</f>
        <v>0</v>
      </c>
      <c r="BB33" s="44" t="n">
        <f aca="false">IF(AW33=0,0,bsd(2,BB$27,AX33,$H33,$R33,$P33,$S33,0.1))</f>
        <v>0</v>
      </c>
      <c r="BC33" s="44" t="n">
        <f aca="false">IF(AW33=0,0,bsd(BB$28,BB$27,AX33,$H33,$R33,$P33,$S33,0.1))</f>
        <v>0</v>
      </c>
      <c r="BD33" s="45" t="n">
        <f aca="false">AW33*BA33</f>
        <v>0</v>
      </c>
      <c r="BE33" s="45" t="n">
        <f aca="false">AW33*BB33</f>
        <v>0</v>
      </c>
      <c r="BF33" s="45" t="n">
        <f aca="false">AW33*BC33</f>
        <v>0</v>
      </c>
      <c r="BH33" s="9" t="n">
        <f aca="false">IF($A33&gt;=BI$25,IF($A33&lt;=BI$26,$T33,0),0)</f>
        <v>0</v>
      </c>
      <c r="BI33" s="9" t="e">
        <f aca="false">BK33/BH33</f>
        <v>#DIV/0!</v>
      </c>
      <c r="BJ33" s="1" t="n">
        <f aca="false">BH33*($B33+H$13)</f>
        <v>0</v>
      </c>
      <c r="BK33" s="33" t="n">
        <f aca="false">IF(ISNUMBER(((BJ33/BH33)+H$15+$C33)*BH33),((BJ33/BH33)+H$15+$C33)*BH33,0)</f>
        <v>0</v>
      </c>
      <c r="BL33" s="44" t="n">
        <f aca="false">IF(BH33=0,0,bsd(1,BM$27,BI33,$I33,$R33,$Q33,$S33,0.1))</f>
        <v>0</v>
      </c>
      <c r="BM33" s="44" t="n">
        <f aca="false">IF(BH33=0,0,bsd(2,BM$27,BI33,$I33,$R33,$Q33,$S33,0.1))</f>
        <v>0</v>
      </c>
      <c r="BN33" s="44" t="n">
        <f aca="false">IF(BH33=0,0,bsd(BM$28,BM$27,BI33,$I33,$R33,$Q33,$S33,0.1))</f>
        <v>0</v>
      </c>
      <c r="BO33" s="45" t="n">
        <f aca="false">BH33*BL33</f>
        <v>0</v>
      </c>
      <c r="BP33" s="45" t="n">
        <f aca="false">BH33*BM33</f>
        <v>0</v>
      </c>
      <c r="BQ33" s="45" t="n">
        <f aca="false">BH33*BN33</f>
        <v>0</v>
      </c>
    </row>
    <row r="34" customFormat="false" ht="12.75" hidden="false" customHeight="false" outlineLevel="0" collapsed="false">
      <c r="A34" s="48" t="n">
        <f aca="false">DATE(YEAR(A33),MONTH(A33)+1,1)</f>
        <v>36892</v>
      </c>
      <c r="B34" s="40" t="n">
        <f aca="false">VLOOKUP(A34,STRADDLE,5,FALSE())</f>
        <v>5.4768</v>
      </c>
      <c r="C34" s="40" t="n">
        <v>0</v>
      </c>
      <c r="D34" s="4" t="n">
        <f aca="false">VLOOKUP(A34,STRADDLE,8,FALSE())</f>
        <v>0.6075</v>
      </c>
      <c r="E34" s="131" t="n">
        <f aca="false">IF(ISNUMBER(VLOOKUP(A34,VOLCURVES,HLOOKUP(B$5,VOLCURVES,2,FALSE()),FALSE())),VLOOKUP(A34,VOLCURVES,HLOOKUP(B$5,VOLCURVES,2,FALSE()),FALSE()),1)</f>
        <v>1</v>
      </c>
      <c r="F34" s="41" t="n">
        <f aca="false">IF($B$17=4,$AB34,$B$16)</f>
        <v>3.8</v>
      </c>
      <c r="G34" s="41" t="n">
        <f aca="false">IF($D$17=4,$AM34,$D$16)</f>
        <v>3.5</v>
      </c>
      <c r="H34" s="41" t="n">
        <f aca="false">IF($F$17=4,$AX34,$F$16)</f>
        <v>2.96</v>
      </c>
      <c r="I34" s="41" t="n">
        <f aca="false">IF($H$17=4,$BI34,$H$16)</f>
        <v>2.99</v>
      </c>
      <c r="J34" s="4" t="n">
        <f aca="false">IF($B$19=1,VLOOKUP($A34,SkewTable,HLOOKUP(ROUND(F34-AB34,1),SkewTable,2,FALSE()),FALSE())/100,0)</f>
        <v>-0.0338594941125</v>
      </c>
      <c r="K34" s="4" t="n">
        <f aca="false">IF($D$19=1,VLOOKUP($A34,SkewTable,HLOOKUP(ROUND(G34-AM34,1),SkewTable,2,FALSE()),FALSE())/100,0)</f>
        <v>-0.0361320833109375</v>
      </c>
      <c r="L34" s="4" t="e">
        <f aca="false">IF($F$19=1,VLOOKUP($A34,SkewTable,HLOOKUP(ROUND(H34-AX34,1),SkewTable,2,FALSE()),FALSE())/100,0)</f>
        <v>#DIV/0!</v>
      </c>
      <c r="M34" s="4" t="e">
        <f aca="false">IF($H$19=1,VLOOKUP($A34,SkewTable,HLOOKUP(ROUND(I34-BI34,1),SkewTable,2,FALSE()),FALSE())/100,0)</f>
        <v>#DIV/0!</v>
      </c>
      <c r="N34" s="4" t="n">
        <f aca="false">(($D34+J34)*$E34)+B$18</f>
        <v>0.5736405058875</v>
      </c>
      <c r="O34" s="4" t="n">
        <f aca="false">(($D34+K34)*$E34)+D$18</f>
        <v>0.571367916689063</v>
      </c>
      <c r="P34" s="4" t="e">
        <f aca="false">(($D34+L34)*$E34)+F$18</f>
        <v>#DIV/0!</v>
      </c>
      <c r="Q34" s="4" t="e">
        <f aca="false">(($D34+M34)*$E34)+H$18</f>
        <v>#DIV/0!</v>
      </c>
      <c r="R34" s="136" t="n">
        <f aca="false">IF(B$4=1,VLOOKUP(A34,expiration,2,FALSE()),VLOOKUP(A34,expiration,3,FALSE()))-B$2+$B$1</f>
        <v>-9039</v>
      </c>
      <c r="S34" s="4" t="n">
        <f aca="false">VLOOKUP($A34,STRADDLE,12,FALSE())</f>
        <v>0.068146567086238</v>
      </c>
      <c r="T34" s="1" t="n">
        <v>60.0866</v>
      </c>
      <c r="U34" s="43" t="n">
        <v>6</v>
      </c>
      <c r="V34" s="1" t="n">
        <v>3</v>
      </c>
      <c r="X34" s="43"/>
      <c r="Z34" s="9"/>
      <c r="AA34" s="9" t="n">
        <f aca="false">IF($A34&gt;=AB$25,IF($A34&lt;=AB$26,$T34,0),0)</f>
        <v>60.0866</v>
      </c>
      <c r="AB34" s="9" t="n">
        <f aca="false">IF(T34&gt;0,AD34/AA34,0)</f>
        <v>5.4768</v>
      </c>
      <c r="AC34" s="1" t="n">
        <f aca="false">AA34*($B34+B$13)</f>
        <v>329.08229088</v>
      </c>
      <c r="AD34" s="33" t="n">
        <f aca="false">IF(ISNUMBER(((AC34/AA34)+B$15+$C34)*AA34),((AC34/AA34)+B$15+$C34)*AA34,0)</f>
        <v>329.08229088</v>
      </c>
      <c r="AE34" s="44" t="e">
        <f aca="false">IF(AA34=0,0,bsd(1,AF$27,AB34,$F34,$R34,$N34,$S34,0.1))</f>
        <v>#VALUE!</v>
      </c>
      <c r="AF34" s="44" t="e">
        <f aca="false">IF(AA34=0,0,bsd(2,AF$27,AB34,$F34,$R34,$N34,$S34,0.1))</f>
        <v>#VALUE!</v>
      </c>
      <c r="AG34" s="44" t="e">
        <f aca="false">IF(AA34=0,0,bsd(AF$28,AF$27,AB34,$F34,$R34,$N34,$S34,0.1))</f>
        <v>#VALUE!</v>
      </c>
      <c r="AH34" s="45" t="e">
        <f aca="false">AA34*AE34</f>
        <v>#VALUE!</v>
      </c>
      <c r="AI34" s="45" t="e">
        <f aca="false">AA34*AF34</f>
        <v>#VALUE!</v>
      </c>
      <c r="AJ34" s="45" t="e">
        <f aca="false">AA34*AG34</f>
        <v>#VALUE!</v>
      </c>
      <c r="AL34" s="9" t="n">
        <f aca="false">IF($A34&gt;=AM$25,IF($A34&lt;=AM$26,$T34,0),0)</f>
        <v>60.0866</v>
      </c>
      <c r="AM34" s="9" t="n">
        <f aca="false">AO34/AL34</f>
        <v>5.5068</v>
      </c>
      <c r="AN34" s="1" t="n">
        <f aca="false">AL34*($B34+D$13)</f>
        <v>330.88488888</v>
      </c>
      <c r="AO34" s="33" t="n">
        <f aca="false">IF(ISNUMBER(((AN34/AL34)+D$15+$C34)*AL34),((AN34/AL34)+D$15+$C34)*AL34,0)</f>
        <v>330.88488888</v>
      </c>
      <c r="AP34" s="44" t="e">
        <f aca="false">IF(AL34=0,0,bsd(1,AQ$27,AM34,$G34,$R34,$O34,$S34,0.1))</f>
        <v>#VALUE!</v>
      </c>
      <c r="AQ34" s="44" t="e">
        <f aca="false">IF(AL34=0,0,bsd(2,AQ$27,AM34,$G34,$R34,$O34,$S34,0.1))</f>
        <v>#VALUE!</v>
      </c>
      <c r="AR34" s="44" t="e">
        <f aca="false">IF(AL34=0,0,bsd(AQ$28,AQ$27,AM34,$G34,$R34,$O34,$S34,0.1))</f>
        <v>#VALUE!</v>
      </c>
      <c r="AS34" s="45" t="e">
        <f aca="false">AL34*AP34</f>
        <v>#VALUE!</v>
      </c>
      <c r="AT34" s="45" t="e">
        <f aca="false">AL34*AQ34</f>
        <v>#VALUE!</v>
      </c>
      <c r="AU34" s="45" t="e">
        <f aca="false">AL34*AR34</f>
        <v>#VALUE!</v>
      </c>
      <c r="AW34" s="9" t="n">
        <f aca="false">IF($A34&gt;=AX$25,IF($A34&lt;=AX$26,$T34,0),0)</f>
        <v>0</v>
      </c>
      <c r="AX34" s="9" t="e">
        <f aca="false">AZ34/AW34</f>
        <v>#DIV/0!</v>
      </c>
      <c r="AY34" s="1" t="n">
        <f aca="false">AW34*($B34+F$13)</f>
        <v>0</v>
      </c>
      <c r="AZ34" s="33" t="n">
        <f aca="false">IF(ISNUMBER(((AY34/AW34)+F$15+$C34)*AW34),((AY34/AW34)+F$15+$C34)*AW34,0)</f>
        <v>0</v>
      </c>
      <c r="BA34" s="44" t="n">
        <f aca="false">IF(AW34=0,0,bsd(1,BB$27,AX34,$H34,$R34,$P34,$S34,0.1))</f>
        <v>0</v>
      </c>
      <c r="BB34" s="44" t="n">
        <f aca="false">IF(AW34=0,0,bsd(2,BB$27,AX34,$H34,$R34,$P34,$S34,0.1))</f>
        <v>0</v>
      </c>
      <c r="BC34" s="44" t="n">
        <f aca="false">IF(AW34=0,0,bsd(BB$28,BB$27,AX34,$H34,$R34,$P34,$S34,0.1))</f>
        <v>0</v>
      </c>
      <c r="BD34" s="45" t="n">
        <f aca="false">AW34*BA34</f>
        <v>0</v>
      </c>
      <c r="BE34" s="45" t="n">
        <f aca="false">AW34*BB34</f>
        <v>0</v>
      </c>
      <c r="BF34" s="45" t="n">
        <f aca="false">AW34*BC34</f>
        <v>0</v>
      </c>
      <c r="BH34" s="9" t="n">
        <f aca="false">IF($A34&gt;=BI$25,IF($A34&lt;=BI$26,$T34,0),0)</f>
        <v>0</v>
      </c>
      <c r="BI34" s="9" t="e">
        <f aca="false">BK34/BH34</f>
        <v>#DIV/0!</v>
      </c>
      <c r="BJ34" s="1" t="n">
        <f aca="false">BH34*($B34+H$13)</f>
        <v>0</v>
      </c>
      <c r="BK34" s="33" t="n">
        <f aca="false">IF(ISNUMBER(((BJ34/BH34)+H$15+$C34)*BH34),((BJ34/BH34)+H$15+$C34)*BH34,0)</f>
        <v>0</v>
      </c>
      <c r="BL34" s="44" t="n">
        <f aca="false">IF(BH34=0,0,bsd(1,BM$27,BI34,$I34,$R34,$Q34,$S34,0.1))</f>
        <v>0</v>
      </c>
      <c r="BM34" s="44" t="n">
        <f aca="false">IF(BH34=0,0,bsd(2,BM$27,BI34,$I34,$R34,$Q34,$S34,0.1))</f>
        <v>0</v>
      </c>
      <c r="BN34" s="44" t="n">
        <f aca="false">IF(BH34=0,0,bsd(BM$28,BM$27,BI34,$I34,$R34,$Q34,$S34,0.1))</f>
        <v>0</v>
      </c>
      <c r="BO34" s="45" t="n">
        <f aca="false">BH34*BL34</f>
        <v>0</v>
      </c>
      <c r="BP34" s="45" t="n">
        <f aca="false">BH34*BM34</f>
        <v>0</v>
      </c>
      <c r="BQ34" s="45" t="n">
        <f aca="false">BH34*BN34</f>
        <v>0</v>
      </c>
    </row>
    <row r="35" customFormat="false" ht="12.75" hidden="false" customHeight="false" outlineLevel="0" collapsed="false">
      <c r="A35" s="48" t="n">
        <f aca="false">DATE(YEAR(A34),MONTH(A34)+1,1)</f>
        <v>36923</v>
      </c>
      <c r="B35" s="40" t="n">
        <f aca="false">VLOOKUP(A35,STRADDLE,5,FALSE())</f>
        <v>5.1838</v>
      </c>
      <c r="C35" s="40" t="n">
        <v>0</v>
      </c>
      <c r="D35" s="4" t="n">
        <f aca="false">VLOOKUP(A35,STRADDLE,8,FALSE())</f>
        <v>0.5975</v>
      </c>
      <c r="E35" s="131" t="n">
        <f aca="false">IF(ISNUMBER(VLOOKUP(A35,VOLCURVES,HLOOKUP(B$5,VOLCURVES,2,FALSE()),FALSE())),VLOOKUP(A35,VOLCURVES,HLOOKUP(B$5,VOLCURVES,2,FALSE()),FALSE()),1)</f>
        <v>1</v>
      </c>
      <c r="F35" s="41" t="n">
        <f aca="false">IF($B$17=4,$AB35,$B$16)</f>
        <v>3.8</v>
      </c>
      <c r="G35" s="41" t="n">
        <f aca="false">IF($D$17=4,$AM35,$D$16)</f>
        <v>3.5</v>
      </c>
      <c r="H35" s="41" t="n">
        <f aca="false">IF($F$17=4,$AX35,$F$16)</f>
        <v>2.96</v>
      </c>
      <c r="I35" s="41" t="n">
        <f aca="false">IF($H$17=4,$BI35,$H$16)</f>
        <v>2.99</v>
      </c>
      <c r="J35" s="4" t="n">
        <f aca="false">IF($B$19=1,VLOOKUP($A35,SkewTable,HLOOKUP(ROUND(F35-AB35,1),SkewTable,2,FALSE()),FALSE())/100,0)</f>
        <v>-0.0315869049140625</v>
      </c>
      <c r="K35" s="4" t="n">
        <f aca="false">IF($D$19=1,VLOOKUP($A35,SkewTable,HLOOKUP(ROUND(G35-AM35,1),SkewTable,2,FALSE()),FALSE())/100,0)</f>
        <v>-0.0338594941125</v>
      </c>
      <c r="L35" s="4" t="e">
        <f aca="false">IF($F$19=1,VLOOKUP($A35,SkewTable,HLOOKUP(ROUND(H35-AX35,1),SkewTable,2,FALSE()),FALSE())/100,0)</f>
        <v>#DIV/0!</v>
      </c>
      <c r="M35" s="4" t="e">
        <f aca="false">IF($H$19=1,VLOOKUP($A35,SkewTable,HLOOKUP(ROUND(I35-BI35,1),SkewTable,2,FALSE()),FALSE())/100,0)</f>
        <v>#DIV/0!</v>
      </c>
      <c r="N35" s="4" t="n">
        <f aca="false">(($D35+J35)*$E35)+B$18</f>
        <v>0.565913095085938</v>
      </c>
      <c r="O35" s="4" t="n">
        <f aca="false">(($D35+K35)*$E35)+D$18</f>
        <v>0.5636405058875</v>
      </c>
      <c r="P35" s="4" t="e">
        <f aca="false">(($D35+L35)*$E35)+F$18</f>
        <v>#DIV/0!</v>
      </c>
      <c r="Q35" s="4" t="e">
        <f aca="false">(($D35+M35)*$E35)+H$18</f>
        <v>#DIV/0!</v>
      </c>
      <c r="R35" s="136" t="n">
        <f aca="false">IF(B$4=1,VLOOKUP(A35,expiration,2,FALSE()),VLOOKUP(A35,expiration,3,FALSE()))-B$2+$B$1</f>
        <v>-9006</v>
      </c>
      <c r="S35" s="4" t="n">
        <f aca="false">VLOOKUP($A35,STRADDLE,12,FALSE())</f>
        <v>0.068214589689939</v>
      </c>
      <c r="T35" s="1" t="n">
        <v>57.094</v>
      </c>
      <c r="U35" s="43" t="n">
        <v>6</v>
      </c>
      <c r="V35" s="1" t="n">
        <v>4</v>
      </c>
      <c r="X35" s="43"/>
      <c r="Z35" s="9"/>
      <c r="AA35" s="9" t="n">
        <f aca="false">IF($A35&gt;=AB$25,IF($A35&lt;=AB$26,$T35,0),0)</f>
        <v>57.094</v>
      </c>
      <c r="AB35" s="9" t="n">
        <f aca="false">IF(T35&gt;0,AD35/AA35,0)</f>
        <v>5.1838</v>
      </c>
      <c r="AC35" s="1" t="n">
        <f aca="false">AA35*($B35+B$13)</f>
        <v>295.9638772</v>
      </c>
      <c r="AD35" s="33" t="n">
        <f aca="false">IF(ISNUMBER(((AC35/AA35)+B$15+$C35)*AA35),((AC35/AA35)+B$15+$C35)*AA35,0)</f>
        <v>295.9638772</v>
      </c>
      <c r="AE35" s="44" t="e">
        <f aca="false">IF(AA35=0,0,bsd(1,AF$27,AB35,$F35,$R35,$N35,$S35,0.1))</f>
        <v>#VALUE!</v>
      </c>
      <c r="AF35" s="44" t="e">
        <f aca="false">IF(AA35=0,0,bsd(2,AF$27,AB35,$F35,$R35,$N35,$S35,0.1))</f>
        <v>#VALUE!</v>
      </c>
      <c r="AG35" s="44" t="e">
        <f aca="false">IF(AA35=0,0,bsd(AF$28,AF$27,AB35,$F35,$R35,$N35,$S35,0.1))</f>
        <v>#VALUE!</v>
      </c>
      <c r="AH35" s="45" t="e">
        <f aca="false">AA35*AE35</f>
        <v>#VALUE!</v>
      </c>
      <c r="AI35" s="45" t="e">
        <f aca="false">AA35*AF35</f>
        <v>#VALUE!</v>
      </c>
      <c r="AJ35" s="45" t="e">
        <f aca="false">AA35*AG35</f>
        <v>#VALUE!</v>
      </c>
      <c r="AL35" s="9" t="n">
        <f aca="false">IF($A35&gt;=AM$25,IF($A35&lt;=AM$26,$T35,0),0)</f>
        <v>57.094</v>
      </c>
      <c r="AM35" s="9" t="n">
        <f aca="false">AO35/AL35</f>
        <v>5.2138</v>
      </c>
      <c r="AN35" s="1" t="n">
        <f aca="false">AL35*($B35+D$13)</f>
        <v>297.6766972</v>
      </c>
      <c r="AO35" s="33" t="n">
        <f aca="false">IF(ISNUMBER(((AN35/AL35)+D$15+$C35)*AL35),((AN35/AL35)+D$15+$C35)*AL35,0)</f>
        <v>297.6766972</v>
      </c>
      <c r="AP35" s="44" t="e">
        <f aca="false">IF(AL35=0,0,bsd(1,AQ$27,AM35,$G35,$R35,$O35,$S35,0.1))</f>
        <v>#VALUE!</v>
      </c>
      <c r="AQ35" s="44" t="e">
        <f aca="false">IF(AL35=0,0,bsd(2,AQ$27,AM35,$G35,$R35,$O35,$S35,0.1))</f>
        <v>#VALUE!</v>
      </c>
      <c r="AR35" s="44" t="e">
        <f aca="false">IF(AL35=0,0,bsd(AQ$28,AQ$27,AM35,$G35,$R35,$O35,$S35,0.1))</f>
        <v>#VALUE!</v>
      </c>
      <c r="AS35" s="45" t="e">
        <f aca="false">AL35*AP35</f>
        <v>#VALUE!</v>
      </c>
      <c r="AT35" s="45" t="e">
        <f aca="false">AL35*AQ35</f>
        <v>#VALUE!</v>
      </c>
      <c r="AU35" s="45" t="e">
        <f aca="false">AL35*AR35</f>
        <v>#VALUE!</v>
      </c>
      <c r="AW35" s="9" t="n">
        <f aca="false">IF($A35&gt;=AX$25,IF($A35&lt;=AX$26,$T35,0),0)</f>
        <v>0</v>
      </c>
      <c r="AX35" s="9" t="e">
        <f aca="false">AZ35/AW35</f>
        <v>#DIV/0!</v>
      </c>
      <c r="AY35" s="1" t="n">
        <f aca="false">AW35*($B35+F$13)</f>
        <v>0</v>
      </c>
      <c r="AZ35" s="33" t="n">
        <f aca="false">IF(ISNUMBER(((AY35/AW35)+F$15+$C35)*AW35),((AY35/AW35)+F$15+$C35)*AW35,0)</f>
        <v>0</v>
      </c>
      <c r="BA35" s="44" t="n">
        <f aca="false">IF(AW35=0,0,bsd(1,BB$27,AX35,$H35,$R35,$P35,$S35,0.1))</f>
        <v>0</v>
      </c>
      <c r="BB35" s="44" t="n">
        <f aca="false">IF(AW35=0,0,bsd(2,BB$27,AX35,$H35,$R35,$P35,$S35,0.1))</f>
        <v>0</v>
      </c>
      <c r="BC35" s="44" t="n">
        <f aca="false">IF(AW35=0,0,bsd(BB$28,BB$27,AX35,$H35,$R35,$P35,$S35,0.1))</f>
        <v>0</v>
      </c>
      <c r="BD35" s="45" t="n">
        <f aca="false">AW35*BA35</f>
        <v>0</v>
      </c>
      <c r="BE35" s="45" t="n">
        <f aca="false">AW35*BB35</f>
        <v>0</v>
      </c>
      <c r="BF35" s="45" t="n">
        <f aca="false">AW35*BC35</f>
        <v>0</v>
      </c>
      <c r="BH35" s="9" t="n">
        <f aca="false">IF($A35&gt;=BI$25,IF($A35&lt;=BI$26,$T35,0),0)</f>
        <v>0</v>
      </c>
      <c r="BI35" s="9" t="e">
        <f aca="false">BK35/BH35</f>
        <v>#DIV/0!</v>
      </c>
      <c r="BJ35" s="1" t="n">
        <f aca="false">BH35*($B35+H$13)</f>
        <v>0</v>
      </c>
      <c r="BK35" s="33" t="n">
        <f aca="false">IF(ISNUMBER(((BJ35/BH35)+H$15+$C35)*BH35),((BJ35/BH35)+H$15+$C35)*BH35,0)</f>
        <v>0</v>
      </c>
      <c r="BL35" s="44" t="n">
        <f aca="false">IF(BH35=0,0,bsd(1,BM$27,BI35,$I35,$R35,$Q35,$S35,0.1))</f>
        <v>0</v>
      </c>
      <c r="BM35" s="44" t="n">
        <f aca="false">IF(BH35=0,0,bsd(2,BM$27,BI35,$I35,$R35,$Q35,$S35,0.1))</f>
        <v>0</v>
      </c>
      <c r="BN35" s="44" t="n">
        <f aca="false">IF(BH35=0,0,bsd(BM$28,BM$27,BI35,$I35,$R35,$Q35,$S35,0.1))</f>
        <v>0</v>
      </c>
      <c r="BO35" s="45" t="n">
        <f aca="false">BH35*BL35</f>
        <v>0</v>
      </c>
      <c r="BP35" s="45" t="n">
        <f aca="false">BH35*BM35</f>
        <v>0</v>
      </c>
      <c r="BQ35" s="45" t="n">
        <f aca="false">BH35*BN35</f>
        <v>0</v>
      </c>
    </row>
    <row r="36" customFormat="false" ht="12.75" hidden="false" customHeight="false" outlineLevel="0" collapsed="false">
      <c r="A36" s="48" t="n">
        <f aca="false">DATE(YEAR(A35),MONTH(A35)+1,1)</f>
        <v>36951</v>
      </c>
      <c r="B36" s="40" t="n">
        <f aca="false">VLOOKUP(A36,STRADDLE,5,FALSE())</f>
        <v>4.8868</v>
      </c>
      <c r="C36" s="40" t="n">
        <v>0</v>
      </c>
      <c r="D36" s="4" t="n">
        <f aca="false">VLOOKUP(A36,STRADDLE,8,FALSE())</f>
        <v>0.5375</v>
      </c>
      <c r="E36" s="131" t="n">
        <f aca="false">IF(ISNUMBER(VLOOKUP(A36,VOLCURVES,HLOOKUP(B$5,VOLCURVES,2,FALSE()),FALSE())),VLOOKUP(A36,VOLCURVES,HLOOKUP(B$5,VOLCURVES,2,FALSE()),FALSE()),1)</f>
        <v>1</v>
      </c>
      <c r="F36" s="41" t="n">
        <f aca="false">IF($B$17=4,$AB36,$B$16)</f>
        <v>3.8</v>
      </c>
      <c r="G36" s="41" t="n">
        <f aca="false">IF($D$17=4,$AM36,$D$16)</f>
        <v>3.5</v>
      </c>
      <c r="H36" s="41" t="n">
        <f aca="false">IF($F$17=4,$AX36,$F$16)</f>
        <v>2.96</v>
      </c>
      <c r="I36" s="41" t="n">
        <f aca="false">IF($H$17=4,$BI36,$H$16)</f>
        <v>2.99</v>
      </c>
      <c r="J36" s="4" t="n">
        <f aca="false">IF($B$19=1,VLOOKUP($A36,SkewTable,HLOOKUP(ROUND(F36-AB36,1),SkewTable,2,FALSE()),FALSE())/100,0)</f>
        <v>-0.029314315715625</v>
      </c>
      <c r="K36" s="4" t="n">
        <f aca="false">IF($D$19=1,VLOOKUP($A36,SkewTable,HLOOKUP(ROUND(G36-AM36,1),SkewTable,2,FALSE()),FALSE())/100,0)</f>
        <v>-0.0315869049140625</v>
      </c>
      <c r="L36" s="4" t="e">
        <f aca="false">IF($F$19=1,VLOOKUP($A36,SkewTable,HLOOKUP(ROUND(H36-AX36,1),SkewTable,2,FALSE()),FALSE())/100,0)</f>
        <v>#DIV/0!</v>
      </c>
      <c r="M36" s="4" t="e">
        <f aca="false">IF($H$19=1,VLOOKUP($A36,SkewTable,HLOOKUP(ROUND(I36-BI36,1),SkewTable,2,FALSE()),FALSE())/100,0)</f>
        <v>#DIV/0!</v>
      </c>
      <c r="N36" s="4" t="n">
        <f aca="false">(($D36+J36)*$E36)+B$18</f>
        <v>0.508185684284375</v>
      </c>
      <c r="O36" s="4" t="n">
        <f aca="false">(($D36+K36)*$E36)+D$18</f>
        <v>0.505913095085938</v>
      </c>
      <c r="P36" s="4" t="e">
        <f aca="false">(($D36+L36)*$E36)+F$18</f>
        <v>#DIV/0!</v>
      </c>
      <c r="Q36" s="4" t="e">
        <f aca="false">(($D36+M36)*$E36)+H$18</f>
        <v>#DIV/0!</v>
      </c>
      <c r="R36" s="136" t="n">
        <f aca="false">IF(B$4=1,VLOOKUP(A36,expiration,2,FALSE()),VLOOKUP(A36,expiration,3,FALSE()))-B$2+$B$1</f>
        <v>-8978</v>
      </c>
      <c r="S36" s="4" t="n">
        <f aca="false">VLOOKUP($A36,STRADDLE,12,FALSE())</f>
        <v>0.068276029462339</v>
      </c>
      <c r="T36" s="1" t="n">
        <v>54.3886</v>
      </c>
      <c r="U36" s="43" t="n">
        <v>6</v>
      </c>
      <c r="V36" s="1" t="n">
        <v>4</v>
      </c>
      <c r="X36" s="43"/>
      <c r="Z36" s="9"/>
      <c r="AA36" s="9" t="n">
        <f aca="false">IF($A36&gt;=AB$25,IF($A36&lt;=AB$26,$T36,0),0)</f>
        <v>54.3886</v>
      </c>
      <c r="AB36" s="9" t="n">
        <f aca="false">IF(T36&gt;0,AD36/AA36,0)</f>
        <v>4.8868</v>
      </c>
      <c r="AC36" s="1" t="n">
        <f aca="false">AA36*($B36+B$13)</f>
        <v>265.78621048</v>
      </c>
      <c r="AD36" s="33" t="n">
        <f aca="false">IF(ISNUMBER(((AC36/AA36)+B$15+$C36)*AA36),((AC36/AA36)+B$15+$C36)*AA36,0)</f>
        <v>265.78621048</v>
      </c>
      <c r="AE36" s="44" t="e">
        <f aca="false">IF(AA36=0,0,bsd(1,AF$27,AB36,$F36,$R36,$N36,$S36,0.1))</f>
        <v>#VALUE!</v>
      </c>
      <c r="AF36" s="44" t="e">
        <f aca="false">IF(AA36=0,0,bsd(2,AF$27,AB36,$F36,$R36,$N36,$S36,0.1))</f>
        <v>#VALUE!</v>
      </c>
      <c r="AG36" s="44" t="e">
        <f aca="false">IF(AA36=0,0,bsd(AF$28,AF$27,AB36,$F36,$R36,$N36,$S36,0.1))</f>
        <v>#VALUE!</v>
      </c>
      <c r="AH36" s="45" t="e">
        <f aca="false">AA36*AE36</f>
        <v>#VALUE!</v>
      </c>
      <c r="AI36" s="45" t="e">
        <f aca="false">AA36*AF36</f>
        <v>#VALUE!</v>
      </c>
      <c r="AJ36" s="45" t="e">
        <f aca="false">AA36*AG36</f>
        <v>#VALUE!</v>
      </c>
      <c r="AL36" s="9" t="n">
        <f aca="false">IF($A36&gt;=AM$25,IF($A36&lt;=AM$26,$T36,0),0)</f>
        <v>54.3886</v>
      </c>
      <c r="AM36" s="9" t="n">
        <f aca="false">AO36/AL36</f>
        <v>4.9168</v>
      </c>
      <c r="AN36" s="1" t="n">
        <f aca="false">AL36*($B36+D$13)</f>
        <v>267.41786848</v>
      </c>
      <c r="AO36" s="33" t="n">
        <f aca="false">IF(ISNUMBER(((AN36/AL36)+D$15+$C36)*AL36),((AN36/AL36)+D$15+$C36)*AL36,0)</f>
        <v>267.41786848</v>
      </c>
      <c r="AP36" s="44" t="e">
        <f aca="false">IF(AL36=0,0,bsd(1,AQ$27,AM36,$G36,$R36,$O36,$S36,0.1))</f>
        <v>#VALUE!</v>
      </c>
      <c r="AQ36" s="44" t="e">
        <f aca="false">IF(AL36=0,0,bsd(2,AQ$27,AM36,$G36,$R36,$O36,$S36,0.1))</f>
        <v>#VALUE!</v>
      </c>
      <c r="AR36" s="44" t="e">
        <f aca="false">IF(AL36=0,0,bsd(AQ$28,AQ$27,AM36,$G36,$R36,$O36,$S36,0.1))</f>
        <v>#VALUE!</v>
      </c>
      <c r="AS36" s="45" t="e">
        <f aca="false">AL36*AP36</f>
        <v>#VALUE!</v>
      </c>
      <c r="AT36" s="45" t="e">
        <f aca="false">AL36*AQ36</f>
        <v>#VALUE!</v>
      </c>
      <c r="AU36" s="45" t="e">
        <f aca="false">AL36*AR36</f>
        <v>#VALUE!</v>
      </c>
      <c r="AW36" s="9" t="n">
        <f aca="false">IF($A36&gt;=AX$25,IF($A36&lt;=AX$26,$T36,0),0)</f>
        <v>0</v>
      </c>
      <c r="AX36" s="9" t="e">
        <f aca="false">AZ36/AW36</f>
        <v>#DIV/0!</v>
      </c>
      <c r="AY36" s="1" t="n">
        <f aca="false">AW36*($B36+F$13)</f>
        <v>0</v>
      </c>
      <c r="AZ36" s="33" t="n">
        <f aca="false">IF(ISNUMBER(((AY36/AW36)+F$15+$C36)*AW36),((AY36/AW36)+F$15+$C36)*AW36,0)</f>
        <v>0</v>
      </c>
      <c r="BA36" s="44" t="n">
        <f aca="false">IF(AW36=0,0,bsd(1,BB$27,AX36,$H36,$R36,$P36,$S36,0.1))</f>
        <v>0</v>
      </c>
      <c r="BB36" s="44" t="n">
        <f aca="false">IF(AW36=0,0,bsd(2,BB$27,AX36,$H36,$R36,$P36,$S36,0.1))</f>
        <v>0</v>
      </c>
      <c r="BC36" s="44" t="n">
        <f aca="false">IF(AW36=0,0,bsd(BB$28,BB$27,AX36,$H36,$R36,$P36,$S36,0.1))</f>
        <v>0</v>
      </c>
      <c r="BD36" s="45" t="n">
        <f aca="false">AW36*BA36</f>
        <v>0</v>
      </c>
      <c r="BE36" s="45" t="n">
        <f aca="false">AW36*BB36</f>
        <v>0</v>
      </c>
      <c r="BF36" s="45" t="n">
        <f aca="false">AW36*BC36</f>
        <v>0</v>
      </c>
      <c r="BH36" s="9" t="n">
        <f aca="false">IF($A36&gt;=BI$25,IF($A36&lt;=BI$26,$T36,0),0)</f>
        <v>0</v>
      </c>
      <c r="BI36" s="9" t="e">
        <f aca="false">BK36/BH36</f>
        <v>#DIV/0!</v>
      </c>
      <c r="BJ36" s="1" t="n">
        <f aca="false">BH36*($B36+H$13)</f>
        <v>0</v>
      </c>
      <c r="BK36" s="33" t="n">
        <f aca="false">IF(ISNUMBER(((BJ36/BH36)+H$15+$C36)*BH36),((BJ36/BH36)+H$15+$C36)*BH36,0)</f>
        <v>0</v>
      </c>
      <c r="BL36" s="44" t="n">
        <f aca="false">IF(BH36=0,0,bsd(1,BM$27,BI36,$I36,$R36,$Q36,$S36,0.1))</f>
        <v>0</v>
      </c>
      <c r="BM36" s="44" t="n">
        <f aca="false">IF(BH36=0,0,bsd(2,BM$27,BI36,$I36,$R36,$Q36,$S36,0.1))</f>
        <v>0</v>
      </c>
      <c r="BN36" s="44" t="n">
        <f aca="false">IF(BH36=0,0,bsd(BM$28,BM$27,BI36,$I36,$R36,$Q36,$S36,0.1))</f>
        <v>0</v>
      </c>
      <c r="BO36" s="45" t="n">
        <f aca="false">BH36*BL36</f>
        <v>0</v>
      </c>
      <c r="BP36" s="45" t="n">
        <f aca="false">BH36*BM36</f>
        <v>0</v>
      </c>
      <c r="BQ36" s="45" t="n">
        <f aca="false">BH36*BN36</f>
        <v>0</v>
      </c>
    </row>
    <row r="37" customFormat="false" ht="12.75" hidden="false" customHeight="false" outlineLevel="0" collapsed="false">
      <c r="A37" s="48" t="n">
        <f aca="false">DATE(YEAR(A36),MONTH(A36)+1,1)</f>
        <v>36982</v>
      </c>
      <c r="B37" s="40" t="n">
        <f aca="false">VLOOKUP(A37,STRADDLE,5,FALSE())</f>
        <v>4.57071428571429</v>
      </c>
      <c r="C37" s="40" t="n">
        <v>0</v>
      </c>
      <c r="D37" s="4" t="n">
        <f aca="false">VLOOKUP(A37,STRADDLE,8,FALSE())</f>
        <v>0.435</v>
      </c>
      <c r="E37" s="131" t="n">
        <f aca="false">IF(ISNUMBER(VLOOKUP(A37,VOLCURVES,HLOOKUP(B$5,VOLCURVES,2,FALSE()),FALSE())),VLOOKUP(A37,VOLCURVES,HLOOKUP(B$5,VOLCURVES,2,FALSE()),FALSE()),1)</f>
        <v>1</v>
      </c>
      <c r="F37" s="41" t="n">
        <f aca="false">IF($B$17=4,$AB37,$B$16)</f>
        <v>3.8</v>
      </c>
      <c r="G37" s="41" t="n">
        <f aca="false">IF($D$17=4,$AM37,$D$16)</f>
        <v>3.5</v>
      </c>
      <c r="H37" s="41" t="n">
        <f aca="false">IF($F$17=4,$AX37,$F$16)</f>
        <v>2.96</v>
      </c>
      <c r="I37" s="41" t="n">
        <f aca="false">IF($H$17=4,$BI37,$H$16)</f>
        <v>2.99</v>
      </c>
      <c r="J37" s="4" t="n">
        <f aca="false">IF($B$19=1,VLOOKUP($A37,SkewTable,HLOOKUP(ROUND(F37-AB37,1),SkewTable,2,FALSE()),FALSE())/100,0)</f>
        <v>-0.0135404390625</v>
      </c>
      <c r="K37" s="4" t="n">
        <f aca="false">IF($D$19=1,VLOOKUP($A37,SkewTable,HLOOKUP(ROUND(G37-AM37,1),SkewTable,2,FALSE()),FALSE())/100,0)</f>
        <v>-0.0146571578578125</v>
      </c>
      <c r="L37" s="4" t="e">
        <f aca="false">IF($F$19=1,VLOOKUP($A37,SkewTable,HLOOKUP(ROUND(H37-AX37,1),SkewTable,2,FALSE()),FALSE())/100,0)</f>
        <v>#DIV/0!</v>
      </c>
      <c r="M37" s="4" t="e">
        <f aca="false">IF($H$19=1,VLOOKUP($A37,SkewTable,HLOOKUP(ROUND(I37-BI37,1),SkewTable,2,FALSE()),FALSE())/100,0)</f>
        <v>#DIV/0!</v>
      </c>
      <c r="N37" s="4" t="n">
        <f aca="false">(($D37+J37)*$E37)+B$18</f>
        <v>0.4214595609375</v>
      </c>
      <c r="O37" s="4" t="n">
        <f aca="false">(($D37+K37)*$E37)+D$18</f>
        <v>0.420342842142188</v>
      </c>
      <c r="P37" s="4" t="e">
        <f aca="false">(($D37+L37)*$E37)+F$18</f>
        <v>#DIV/0!</v>
      </c>
      <c r="Q37" s="4" t="e">
        <f aca="false">(($D37+M37)*$E37)+H$18</f>
        <v>#DIV/0!</v>
      </c>
      <c r="R37" s="136" t="n">
        <f aca="false">IF(B$4=1,VLOOKUP(A37,expiration,2,FALSE()),VLOOKUP(A37,expiration,3,FALSE()))-B$2+$B$1</f>
        <v>-8948</v>
      </c>
      <c r="S37" s="4" t="n">
        <f aca="false">VLOOKUP($A37,STRADDLE,12,FALSE())</f>
        <v>0.068254674043478</v>
      </c>
      <c r="T37" s="1" t="n">
        <v>51.9385</v>
      </c>
      <c r="U37" s="43" t="n">
        <v>3</v>
      </c>
      <c r="V37" s="1" t="n">
        <v>2</v>
      </c>
      <c r="X37" s="43"/>
      <c r="Z37" s="9"/>
      <c r="AA37" s="9" t="n">
        <f aca="false">IF($A37&gt;=AB$25,IF($A37&lt;=AB$26,$T37,0),0)</f>
        <v>51.9385</v>
      </c>
      <c r="AB37" s="9" t="n">
        <f aca="false">IF(T37&gt;0,AD37/AA37,0)</f>
        <v>4.57071428571429</v>
      </c>
      <c r="AC37" s="1" t="n">
        <f aca="false">AA37*($B37+B$13)</f>
        <v>237.396043928571</v>
      </c>
      <c r="AD37" s="33" t="n">
        <f aca="false">IF(ISNUMBER(((AC37/AA37)+B$15+$C37)*AA37),((AC37/AA37)+B$15+$C37)*AA37,0)</f>
        <v>237.396043928571</v>
      </c>
      <c r="AE37" s="44" t="e">
        <f aca="false">IF(AA37=0,0,bsd(1,AF$27,AB37,$F37,$R37,$N37,$S37,0.1))</f>
        <v>#VALUE!</v>
      </c>
      <c r="AF37" s="44" t="e">
        <f aca="false">IF(AA37=0,0,bsd(2,AF$27,AB37,$F37,$R37,$N37,$S37,0.1))</f>
        <v>#VALUE!</v>
      </c>
      <c r="AG37" s="44" t="e">
        <f aca="false">IF(AA37=0,0,bsd(AF$28,AF$27,AB37,$F37,$R37,$N37,$S37,0.1))</f>
        <v>#VALUE!</v>
      </c>
      <c r="AH37" s="45" t="e">
        <f aca="false">AA37*AE37</f>
        <v>#VALUE!</v>
      </c>
      <c r="AI37" s="45" t="e">
        <f aca="false">AA37*AF37</f>
        <v>#VALUE!</v>
      </c>
      <c r="AJ37" s="45" t="e">
        <f aca="false">AA37*AG37</f>
        <v>#VALUE!</v>
      </c>
      <c r="AL37" s="9" t="n">
        <f aca="false">IF($A37&gt;=AM$25,IF($A37&lt;=AM$26,$T37,0),0)</f>
        <v>51.9385</v>
      </c>
      <c r="AM37" s="9" t="n">
        <f aca="false">AO37/AL37</f>
        <v>4.60071428571429</v>
      </c>
      <c r="AN37" s="1" t="n">
        <f aca="false">AL37*($B37+D$13)</f>
        <v>238.954198928571</v>
      </c>
      <c r="AO37" s="33" t="n">
        <f aca="false">IF(ISNUMBER(((AN37/AL37)+D$15+$C37)*AL37),((AN37/AL37)+D$15+$C37)*AL37,0)</f>
        <v>238.954198928571</v>
      </c>
      <c r="AP37" s="44" t="e">
        <f aca="false">IF(AL37=0,0,bsd(1,AQ$27,AM37,$G37,$R37,$O37,$S37,0.1))</f>
        <v>#VALUE!</v>
      </c>
      <c r="AQ37" s="44" t="e">
        <f aca="false">IF(AL37=0,0,bsd(2,AQ$27,AM37,$G37,$R37,$O37,$S37,0.1))</f>
        <v>#VALUE!</v>
      </c>
      <c r="AR37" s="44" t="e">
        <f aca="false">IF(AL37=0,0,bsd(AQ$28,AQ$27,AM37,$G37,$R37,$O37,$S37,0.1))</f>
        <v>#VALUE!</v>
      </c>
      <c r="AS37" s="45" t="e">
        <f aca="false">AL37*AP37</f>
        <v>#VALUE!</v>
      </c>
      <c r="AT37" s="45" t="e">
        <f aca="false">AL37*AQ37</f>
        <v>#VALUE!</v>
      </c>
      <c r="AU37" s="45" t="e">
        <f aca="false">AL37*AR37</f>
        <v>#VALUE!</v>
      </c>
      <c r="AW37" s="9" t="n">
        <f aca="false">IF($A37&gt;=AX$25,IF($A37&lt;=AX$26,$T37,0),0)</f>
        <v>0</v>
      </c>
      <c r="AX37" s="9" t="e">
        <f aca="false">AZ37/AW37</f>
        <v>#DIV/0!</v>
      </c>
      <c r="AY37" s="1" t="n">
        <f aca="false">AW37*($B37+F$13)</f>
        <v>0</v>
      </c>
      <c r="AZ37" s="33" t="n">
        <f aca="false">IF(ISNUMBER(((AY37/AW37)+F$15+$C37)*AW37),((AY37/AW37)+F$15+$C37)*AW37,0)</f>
        <v>0</v>
      </c>
      <c r="BA37" s="44" t="n">
        <f aca="false">IF(AW37=0,0,bsd(1,BB$27,AX37,$H37,$R37,$P37,$S37,0.1))</f>
        <v>0</v>
      </c>
      <c r="BB37" s="44" t="n">
        <f aca="false">IF(AW37=0,0,bsd(2,BB$27,AX37,$H37,$R37,$P37,$S37,0.1))</f>
        <v>0</v>
      </c>
      <c r="BC37" s="44" t="n">
        <f aca="false">IF(AW37=0,0,bsd(BB$28,BB$27,AX37,$H37,$R37,$P37,$S37,0.1))</f>
        <v>0</v>
      </c>
      <c r="BD37" s="45" t="n">
        <f aca="false">AW37*BA37</f>
        <v>0</v>
      </c>
      <c r="BE37" s="45" t="n">
        <f aca="false">AW37*BB37</f>
        <v>0</v>
      </c>
      <c r="BF37" s="45" t="n">
        <f aca="false">AW37*BC37</f>
        <v>0</v>
      </c>
      <c r="BH37" s="9" t="n">
        <f aca="false">IF($A37&gt;=BI$25,IF($A37&lt;=BI$26,$T37,0),0)</f>
        <v>0</v>
      </c>
      <c r="BI37" s="9" t="e">
        <f aca="false">BK37/BH37</f>
        <v>#DIV/0!</v>
      </c>
      <c r="BJ37" s="1" t="n">
        <f aca="false">BH37*($B37+H$13)</f>
        <v>0</v>
      </c>
      <c r="BK37" s="33" t="n">
        <f aca="false">IF(ISNUMBER(((BJ37/BH37)+H$15+$C37)*BH37),((BJ37/BH37)+H$15+$C37)*BH37,0)</f>
        <v>0</v>
      </c>
      <c r="BL37" s="44" t="n">
        <f aca="false">IF(BH37=0,0,bsd(1,BM$27,BI37,$I37,$R37,$Q37,$S37,0.1))</f>
        <v>0</v>
      </c>
      <c r="BM37" s="44" t="n">
        <f aca="false">IF(BH37=0,0,bsd(2,BM$27,BI37,$I37,$R37,$Q37,$S37,0.1))</f>
        <v>0</v>
      </c>
      <c r="BN37" s="44" t="n">
        <f aca="false">IF(BH37=0,0,bsd(BM$28,BM$27,BI37,$I37,$R37,$Q37,$S37,0.1))</f>
        <v>0</v>
      </c>
      <c r="BO37" s="45" t="n">
        <f aca="false">BH37*BL37</f>
        <v>0</v>
      </c>
      <c r="BP37" s="45" t="n">
        <f aca="false">BH37*BM37</f>
        <v>0</v>
      </c>
      <c r="BQ37" s="45" t="n">
        <f aca="false">BH37*BN37</f>
        <v>0</v>
      </c>
    </row>
    <row r="38" customFormat="false" ht="12.75" hidden="false" customHeight="false" outlineLevel="0" collapsed="false">
      <c r="A38" s="48" t="n">
        <f aca="false">DATE(YEAR(A37),MONTH(A37)+1,1)</f>
        <v>37012</v>
      </c>
      <c r="B38" s="40" t="n">
        <f aca="false">VLOOKUP(A38,STRADDLE,5,FALSE())</f>
        <v>4.46571428571429</v>
      </c>
      <c r="C38" s="40" t="n">
        <v>0</v>
      </c>
      <c r="D38" s="4" t="n">
        <f aca="false">VLOOKUP(A38,STRADDLE,8,FALSE())</f>
        <v>0.3975</v>
      </c>
      <c r="E38" s="131" t="n">
        <f aca="false">IF(ISNUMBER(VLOOKUP(A38,VOLCURVES,HLOOKUP(B$5,VOLCURVES,2,FALSE()),FALSE())),VLOOKUP(A38,VOLCURVES,HLOOKUP(B$5,VOLCURVES,2,FALSE()),FALSE()),1)</f>
        <v>1</v>
      </c>
      <c r="F38" s="41" t="n">
        <f aca="false">IF($B$17=4,$AB38,$B$16)</f>
        <v>3.8</v>
      </c>
      <c r="G38" s="41" t="n">
        <f aca="false">IF($D$17=4,$AM38,$D$16)</f>
        <v>3.5</v>
      </c>
      <c r="H38" s="41" t="n">
        <f aca="false">IF($F$17=4,$AX38,$F$16)</f>
        <v>2.96</v>
      </c>
      <c r="I38" s="41" t="n">
        <f aca="false">IF($H$17=4,$BI38,$H$16)</f>
        <v>2.99</v>
      </c>
      <c r="J38" s="4" t="n">
        <f aca="false">IF($B$19=1,VLOOKUP($A38,SkewTable,HLOOKUP(ROUND(F38-AB38,1),SkewTable,2,FALSE()),FALSE())/100,0)</f>
        <v>-0.01318125</v>
      </c>
      <c r="K38" s="4" t="n">
        <f aca="false">IF($D$19=1,VLOOKUP($A38,SkewTable,HLOOKUP(ROUND(G38-AM38,1),SkewTable,2,FALSE()),FALSE())/100,0)</f>
        <v>-0.0142783929914063</v>
      </c>
      <c r="L38" s="4" t="e">
        <f aca="false">IF($F$19=1,VLOOKUP($A38,SkewTable,HLOOKUP(ROUND(H38-AX38,1),SkewTable,2,FALSE()),FALSE())/100,0)</f>
        <v>#DIV/0!</v>
      </c>
      <c r="M38" s="4" t="e">
        <f aca="false">IF($H$19=1,VLOOKUP($A38,SkewTable,HLOOKUP(ROUND(I38-BI38,1),SkewTable,2,FALSE()),FALSE())/100,0)</f>
        <v>#DIV/0!</v>
      </c>
      <c r="N38" s="4" t="n">
        <f aca="false">(($D38+J38)*$E38)+B$18</f>
        <v>0.38431875</v>
      </c>
      <c r="O38" s="4" t="n">
        <f aca="false">(($D38+K38)*$E38)+D$18</f>
        <v>0.383221607008594</v>
      </c>
      <c r="P38" s="4" t="e">
        <f aca="false">(($D38+L38)*$E38)+F$18</f>
        <v>#DIV/0!</v>
      </c>
      <c r="Q38" s="4" t="e">
        <f aca="false">(($D38+M38)*$E38)+H$18</f>
        <v>#DIV/0!</v>
      </c>
      <c r="R38" s="136" t="n">
        <f aca="false">IF(B$4=1,VLOOKUP(A38,expiration,2,FALSE()),VLOOKUP(A38,expiration,3,FALSE()))-B$2+$B$1</f>
        <v>-8919</v>
      </c>
      <c r="S38" s="4" t="n">
        <f aca="false">VLOOKUP($A38,STRADDLE,12,FALSE())</f>
        <v>0.068096132754615</v>
      </c>
      <c r="T38" s="1" t="n">
        <v>48.947</v>
      </c>
      <c r="U38" s="43" t="n">
        <v>3</v>
      </c>
      <c r="V38" s="1" t="n">
        <v>2</v>
      </c>
      <c r="X38" s="43"/>
      <c r="Z38" s="9"/>
      <c r="AA38" s="9" t="n">
        <f aca="false">IF($A38&gt;=AB$25,IF($A38&lt;=AB$26,$T38,0),0)</f>
        <v>48.947</v>
      </c>
      <c r="AB38" s="9" t="n">
        <f aca="false">IF(T38&gt;0,AD38/AA38,0)</f>
        <v>4.46571428571429</v>
      </c>
      <c r="AC38" s="1" t="n">
        <f aca="false">AA38*($B38+B$13)</f>
        <v>218.583317142857</v>
      </c>
      <c r="AD38" s="33" t="n">
        <f aca="false">IF(ISNUMBER(((AC38/AA38)+B$15+$C38)*AA38),((AC38/AA38)+B$15+$C38)*AA38,0)</f>
        <v>218.583317142857</v>
      </c>
      <c r="AE38" s="44" t="e">
        <f aca="false">IF(AA38=0,0,bsd(1,AF$27,AB38,$F38,$R38,$N38,$S38,0.1))</f>
        <v>#VALUE!</v>
      </c>
      <c r="AF38" s="44" t="e">
        <f aca="false">IF(AA38=0,0,bsd(2,AF$27,AB38,$F38,$R38,$N38,$S38,0.1))</f>
        <v>#VALUE!</v>
      </c>
      <c r="AG38" s="44" t="e">
        <f aca="false">IF(AA38=0,0,bsd(AF$28,AF$27,AB38,$F38,$R38,$N38,$S38,0.1))</f>
        <v>#VALUE!</v>
      </c>
      <c r="AH38" s="45" t="e">
        <f aca="false">AA38*AE38</f>
        <v>#VALUE!</v>
      </c>
      <c r="AI38" s="45" t="e">
        <f aca="false">AA38*AF38</f>
        <v>#VALUE!</v>
      </c>
      <c r="AJ38" s="45" t="e">
        <f aca="false">AA38*AG38</f>
        <v>#VALUE!</v>
      </c>
      <c r="AL38" s="9" t="n">
        <f aca="false">IF($A38&gt;=AM$25,IF($A38&lt;=AM$26,$T38,0),0)</f>
        <v>48.947</v>
      </c>
      <c r="AM38" s="9" t="n">
        <f aca="false">AO38/AL38</f>
        <v>4.49571428571429</v>
      </c>
      <c r="AN38" s="1" t="n">
        <f aca="false">AL38*($B38+D$13)</f>
        <v>220.051727142857</v>
      </c>
      <c r="AO38" s="33" t="n">
        <f aca="false">IF(ISNUMBER(((AN38/AL38)+D$15+$C38)*AL38),((AN38/AL38)+D$15+$C38)*AL38,0)</f>
        <v>220.051727142857</v>
      </c>
      <c r="AP38" s="44" t="e">
        <f aca="false">IF(AL38=0,0,bsd(1,AQ$27,AM38,$G38,$R38,$O38,$S38,0.1))</f>
        <v>#VALUE!</v>
      </c>
      <c r="AQ38" s="44" t="e">
        <f aca="false">IF(AL38=0,0,bsd(2,AQ$27,AM38,$G38,$R38,$O38,$S38,0.1))</f>
        <v>#VALUE!</v>
      </c>
      <c r="AR38" s="44" t="e">
        <f aca="false">IF(AL38=0,0,bsd(AQ$28,AQ$27,AM38,$G38,$R38,$O38,$S38,0.1))</f>
        <v>#VALUE!</v>
      </c>
      <c r="AS38" s="45" t="e">
        <f aca="false">AL38*AP38</f>
        <v>#VALUE!</v>
      </c>
      <c r="AT38" s="45" t="e">
        <f aca="false">AL38*AQ38</f>
        <v>#VALUE!</v>
      </c>
      <c r="AU38" s="45" t="e">
        <f aca="false">AL38*AR38</f>
        <v>#VALUE!</v>
      </c>
      <c r="AW38" s="9" t="n">
        <f aca="false">IF($A38&gt;=AX$25,IF($A38&lt;=AX$26,$T38,0),0)</f>
        <v>0</v>
      </c>
      <c r="AX38" s="9" t="e">
        <f aca="false">AZ38/AW38</f>
        <v>#DIV/0!</v>
      </c>
      <c r="AY38" s="1" t="n">
        <f aca="false">AW38*($B38+F$13)</f>
        <v>0</v>
      </c>
      <c r="AZ38" s="33" t="n">
        <f aca="false">IF(ISNUMBER(((AY38/AW38)+F$15+$C38)*AW38),((AY38/AW38)+F$15+$C38)*AW38,0)</f>
        <v>0</v>
      </c>
      <c r="BA38" s="44" t="n">
        <f aca="false">IF(AW38=0,0,bsd(1,BB$27,AX38,$H38,$R38,$P38,$S38,0.1))</f>
        <v>0</v>
      </c>
      <c r="BB38" s="44" t="n">
        <f aca="false">IF(AW38=0,0,bsd(2,BB$27,AX38,$H38,$R38,$P38,$S38,0.1))</f>
        <v>0</v>
      </c>
      <c r="BC38" s="44" t="n">
        <f aca="false">IF(AW38=0,0,bsd(BB$28,BB$27,AX38,$H38,$R38,$P38,$S38,0.1))</f>
        <v>0</v>
      </c>
      <c r="BD38" s="45" t="n">
        <f aca="false">AW38*BA38</f>
        <v>0</v>
      </c>
      <c r="BE38" s="45" t="n">
        <f aca="false">AW38*BB38</f>
        <v>0</v>
      </c>
      <c r="BF38" s="45" t="n">
        <f aca="false">AW38*BC38</f>
        <v>0</v>
      </c>
      <c r="BH38" s="9" t="n">
        <f aca="false">IF($A38&gt;=BI$25,IF($A38&lt;=BI$26,$T38,0),0)</f>
        <v>0</v>
      </c>
      <c r="BI38" s="9" t="e">
        <f aca="false">BK38/BH38</f>
        <v>#DIV/0!</v>
      </c>
      <c r="BJ38" s="1" t="n">
        <f aca="false">BH38*($B38+H$13)</f>
        <v>0</v>
      </c>
      <c r="BK38" s="33" t="n">
        <f aca="false">IF(ISNUMBER(((BJ38/BH38)+H$15+$C38)*BH38),((BJ38/BH38)+H$15+$C38)*BH38,0)</f>
        <v>0</v>
      </c>
      <c r="BL38" s="44" t="n">
        <f aca="false">IF(BH38=0,0,bsd(1,BM$27,BI38,$I38,$R38,$Q38,$S38,0.1))</f>
        <v>0</v>
      </c>
      <c r="BM38" s="44" t="n">
        <f aca="false">IF(BH38=0,0,bsd(2,BM$27,BI38,$I38,$R38,$Q38,$S38,0.1))</f>
        <v>0</v>
      </c>
      <c r="BN38" s="44" t="n">
        <f aca="false">IF(BH38=0,0,bsd(BM$28,BM$27,BI38,$I38,$R38,$Q38,$S38,0.1))</f>
        <v>0</v>
      </c>
      <c r="BO38" s="45" t="n">
        <f aca="false">BH38*BL38</f>
        <v>0</v>
      </c>
      <c r="BP38" s="45" t="n">
        <f aca="false">BH38*BM38</f>
        <v>0</v>
      </c>
      <c r="BQ38" s="45" t="n">
        <f aca="false">BH38*BN38</f>
        <v>0</v>
      </c>
    </row>
    <row r="39" customFormat="false" ht="12.75" hidden="false" customHeight="false" outlineLevel="0" collapsed="false">
      <c r="A39" s="48" t="n">
        <f aca="false">DATE(YEAR(A38),MONTH(A38)+1,1)</f>
        <v>37043</v>
      </c>
      <c r="B39" s="40" t="n">
        <f aca="false">VLOOKUP(A39,STRADDLE,5,FALSE())</f>
        <v>4.44071428571429</v>
      </c>
      <c r="C39" s="40" t="n">
        <v>0</v>
      </c>
      <c r="D39" s="4" t="n">
        <f aca="false">VLOOKUP(A39,STRADDLE,8,FALSE())</f>
        <v>0.3925</v>
      </c>
      <c r="E39" s="131" t="n">
        <f aca="false">IF(ISNUMBER(VLOOKUP(A39,VOLCURVES,HLOOKUP(B$5,VOLCURVES,2,FALSE()),FALSE())),VLOOKUP(A39,VOLCURVES,HLOOKUP(B$5,VOLCURVES,2,FALSE()),FALSE()),1)</f>
        <v>1</v>
      </c>
      <c r="F39" s="41" t="n">
        <f aca="false">IF($B$17=4,$AB39,$B$16)</f>
        <v>3.8</v>
      </c>
      <c r="G39" s="41" t="n">
        <f aca="false">IF($D$17=4,$AM39,$D$16)</f>
        <v>3.5</v>
      </c>
      <c r="H39" s="41" t="n">
        <f aca="false">IF($F$17=4,$AX39,$F$16)</f>
        <v>2.96</v>
      </c>
      <c r="I39" s="41" t="n">
        <f aca="false">IF($H$17=4,$BI39,$H$16)</f>
        <v>2.99</v>
      </c>
      <c r="J39" s="4" t="n">
        <f aca="false">IF($B$19=1,VLOOKUP($A39,SkewTable,HLOOKUP(ROUND(F39-AB39,1),SkewTable,2,FALSE()),FALSE())/100,0)</f>
        <v>-0.012840625</v>
      </c>
      <c r="K39" s="4" t="n">
        <f aca="false">IF($D$19=1,VLOOKUP($A39,SkewTable,HLOOKUP(ROUND(G39-AM39,1),SkewTable,2,FALSE()),FALSE())/100,0)</f>
        <v>-0.0142783929914063</v>
      </c>
      <c r="L39" s="4" t="e">
        <f aca="false">IF($F$19=1,VLOOKUP($A39,SkewTable,HLOOKUP(ROUND(H39-AX39,1),SkewTable,2,FALSE()),FALSE())/100,0)</f>
        <v>#DIV/0!</v>
      </c>
      <c r="M39" s="4" t="e">
        <f aca="false">IF($H$19=1,VLOOKUP($A39,SkewTable,HLOOKUP(ROUND(I39-BI39,1),SkewTable,2,FALSE()),FALSE())/100,0)</f>
        <v>#DIV/0!</v>
      </c>
      <c r="N39" s="4" t="n">
        <f aca="false">(($D39+J39)*$E39)+B$18</f>
        <v>0.379659375</v>
      </c>
      <c r="O39" s="4" t="n">
        <f aca="false">(($D39+K39)*$E39)+D$18</f>
        <v>0.378221607008594</v>
      </c>
      <c r="P39" s="4" t="e">
        <f aca="false">(($D39+L39)*$E39)+F$18</f>
        <v>#DIV/0!</v>
      </c>
      <c r="Q39" s="4" t="e">
        <f aca="false">(($D39+M39)*$E39)+H$18</f>
        <v>#DIV/0!</v>
      </c>
      <c r="R39" s="136" t="n">
        <f aca="false">IF(B$4=1,VLOOKUP(A39,expiration,2,FALSE()),VLOOKUP(A39,expiration,3,FALSE()))-B$2+$B$1</f>
        <v>-8886</v>
      </c>
      <c r="S39" s="4" t="n">
        <f aca="false">VLOOKUP($A39,STRADDLE,12,FALSE())</f>
        <v>0.067932306764864</v>
      </c>
      <c r="T39" s="1" t="n">
        <v>45.6064</v>
      </c>
      <c r="U39" s="43" t="n">
        <v>3</v>
      </c>
      <c r="V39" s="1" t="n">
        <v>2</v>
      </c>
      <c r="X39" s="43"/>
      <c r="Z39" s="9"/>
      <c r="AA39" s="9" t="n">
        <f aca="false">IF($A39&gt;=AB$25,IF($A39&lt;=AB$26,$T39,0),0)</f>
        <v>45.6064</v>
      </c>
      <c r="AB39" s="9" t="n">
        <f aca="false">IF(T39&gt;0,AD39/AA39,0)</f>
        <v>4.44071428571429</v>
      </c>
      <c r="AC39" s="1" t="n">
        <f aca="false">AA39*($B39+B$13)</f>
        <v>202.524992</v>
      </c>
      <c r="AD39" s="33" t="n">
        <f aca="false">IF(ISNUMBER(((AC39/AA39)+B$15+$C39)*AA39),((AC39/AA39)+B$15+$C39)*AA39,0)</f>
        <v>202.524992</v>
      </c>
      <c r="AE39" s="44" t="e">
        <f aca="false">IF(AA39=0,0,bsd(1,AF$27,AB39,$F39,$R39,$N39,$S39,0.1))</f>
        <v>#VALUE!</v>
      </c>
      <c r="AF39" s="44" t="e">
        <f aca="false">IF(AA39=0,0,bsd(2,AF$27,AB39,$F39,$R39,$N39,$S39,0.1))</f>
        <v>#VALUE!</v>
      </c>
      <c r="AG39" s="44" t="e">
        <f aca="false">IF(AA39=0,0,bsd(AF$28,AF$27,AB39,$F39,$R39,$N39,$S39,0.1))</f>
        <v>#VALUE!</v>
      </c>
      <c r="AH39" s="45" t="e">
        <f aca="false">AA39*AE39</f>
        <v>#VALUE!</v>
      </c>
      <c r="AI39" s="45" t="e">
        <f aca="false">AA39*AF39</f>
        <v>#VALUE!</v>
      </c>
      <c r="AJ39" s="45" t="e">
        <f aca="false">AA39*AG39</f>
        <v>#VALUE!</v>
      </c>
      <c r="AL39" s="9" t="n">
        <f aca="false">IF($A39&gt;=AM$25,IF($A39&lt;=AM$26,$T39,0),0)</f>
        <v>45.6064</v>
      </c>
      <c r="AM39" s="9" t="n">
        <f aca="false">AO39/AL39</f>
        <v>4.47071428571429</v>
      </c>
      <c r="AN39" s="1" t="n">
        <f aca="false">AL39*($B39+D$13)</f>
        <v>203.893184</v>
      </c>
      <c r="AO39" s="33" t="n">
        <f aca="false">IF(ISNUMBER(((AN39/AL39)+D$15+$C39)*AL39),((AN39/AL39)+D$15+$C39)*AL39,0)</f>
        <v>203.893184</v>
      </c>
      <c r="AP39" s="44" t="e">
        <f aca="false">IF(AL39=0,0,bsd(1,AQ$27,AM39,$G39,$R39,$O39,$S39,0.1))</f>
        <v>#VALUE!</v>
      </c>
      <c r="AQ39" s="44" t="e">
        <f aca="false">IF(AL39=0,0,bsd(2,AQ$27,AM39,$G39,$R39,$O39,$S39,0.1))</f>
        <v>#VALUE!</v>
      </c>
      <c r="AR39" s="44" t="e">
        <f aca="false">IF(AL39=0,0,bsd(AQ$28,AQ$27,AM39,$G39,$R39,$O39,$S39,0.1))</f>
        <v>#VALUE!</v>
      </c>
      <c r="AS39" s="45" t="e">
        <f aca="false">AL39*AP39</f>
        <v>#VALUE!</v>
      </c>
      <c r="AT39" s="45" t="e">
        <f aca="false">AL39*AQ39</f>
        <v>#VALUE!</v>
      </c>
      <c r="AU39" s="45" t="e">
        <f aca="false">AL39*AR39</f>
        <v>#VALUE!</v>
      </c>
      <c r="AW39" s="9" t="n">
        <f aca="false">IF($A39&gt;=AX$25,IF($A39&lt;=AX$26,$T39,0),0)</f>
        <v>0</v>
      </c>
      <c r="AX39" s="9" t="e">
        <f aca="false">AZ39/AW39</f>
        <v>#DIV/0!</v>
      </c>
      <c r="AY39" s="1" t="n">
        <f aca="false">AW39*($B39+F$13)</f>
        <v>0</v>
      </c>
      <c r="AZ39" s="33" t="n">
        <f aca="false">IF(ISNUMBER(((AY39/AW39)+F$15+$C39)*AW39),((AY39/AW39)+F$15+$C39)*AW39,0)</f>
        <v>0</v>
      </c>
      <c r="BA39" s="44" t="n">
        <f aca="false">IF(AW39=0,0,bsd(1,BB$27,AX39,$H39,$R39,$P39,$S39,0.1))</f>
        <v>0</v>
      </c>
      <c r="BB39" s="44" t="n">
        <f aca="false">IF(AW39=0,0,bsd(2,BB$27,AX39,$H39,$R39,$P39,$S39,0.1))</f>
        <v>0</v>
      </c>
      <c r="BC39" s="44" t="n">
        <f aca="false">IF(AW39=0,0,bsd(BB$28,BB$27,AX39,$H39,$R39,$P39,$S39,0.1))</f>
        <v>0</v>
      </c>
      <c r="BD39" s="45" t="n">
        <f aca="false">AW39*BA39</f>
        <v>0</v>
      </c>
      <c r="BE39" s="45" t="n">
        <f aca="false">AW39*BB39</f>
        <v>0</v>
      </c>
      <c r="BF39" s="45" t="n">
        <f aca="false">AW39*BC39</f>
        <v>0</v>
      </c>
      <c r="BH39" s="9" t="n">
        <f aca="false">IF($A39&gt;=BI$25,IF($A39&lt;=BI$26,$T39,0),0)</f>
        <v>0</v>
      </c>
      <c r="BI39" s="9" t="e">
        <f aca="false">BK39/BH39</f>
        <v>#DIV/0!</v>
      </c>
      <c r="BJ39" s="1" t="n">
        <f aca="false">BH39*($B39+H$13)</f>
        <v>0</v>
      </c>
      <c r="BK39" s="33" t="n">
        <f aca="false">IF(ISNUMBER(((BJ39/BH39)+H$15+$C39)*BH39),((BJ39/BH39)+H$15+$C39)*BH39,0)</f>
        <v>0</v>
      </c>
      <c r="BL39" s="44" t="n">
        <f aca="false">IF(BH39=0,0,bsd(1,BM$27,BI39,$I39,$R39,$Q39,$S39,0.1))</f>
        <v>0</v>
      </c>
      <c r="BM39" s="44" t="n">
        <f aca="false">IF(BH39=0,0,bsd(2,BM$27,BI39,$I39,$R39,$Q39,$S39,0.1))</f>
        <v>0</v>
      </c>
      <c r="BN39" s="44" t="n">
        <f aca="false">IF(BH39=0,0,bsd(BM$28,BM$27,BI39,$I39,$R39,$Q39,$S39,0.1))</f>
        <v>0</v>
      </c>
      <c r="BO39" s="45" t="n">
        <f aca="false">BH39*BL39</f>
        <v>0</v>
      </c>
      <c r="BP39" s="45" t="n">
        <f aca="false">BH39*BM39</f>
        <v>0</v>
      </c>
      <c r="BQ39" s="45" t="n">
        <f aca="false">BH39*BN39</f>
        <v>0</v>
      </c>
    </row>
    <row r="40" customFormat="false" ht="12.75" hidden="false" customHeight="false" outlineLevel="0" collapsed="false">
      <c r="A40" s="48" t="n">
        <f aca="false">DATE(YEAR(A39),MONTH(A39)+1,1)</f>
        <v>37073</v>
      </c>
      <c r="B40" s="40" t="n">
        <f aca="false">VLOOKUP(A40,STRADDLE,5,FALSE())</f>
        <v>4.42071428571429</v>
      </c>
      <c r="C40" s="40" t="n">
        <v>0</v>
      </c>
      <c r="D40" s="4" t="n">
        <f aca="false">VLOOKUP(A40,STRADDLE,8,FALSE())</f>
        <v>0.3925</v>
      </c>
      <c r="E40" s="131" t="n">
        <f aca="false">IF(ISNUMBER(VLOOKUP(A40,VOLCURVES,HLOOKUP(B$5,VOLCURVES,2,FALSE()),FALSE())),VLOOKUP(A40,VOLCURVES,HLOOKUP(B$5,VOLCURVES,2,FALSE()),FALSE()),1)</f>
        <v>1</v>
      </c>
      <c r="F40" s="41" t="n">
        <f aca="false">IF($B$17=4,$AB40,$B$16)</f>
        <v>3.8</v>
      </c>
      <c r="G40" s="41" t="n">
        <f aca="false">IF($D$17=4,$AM40,$D$16)</f>
        <v>3.5</v>
      </c>
      <c r="H40" s="41" t="n">
        <f aca="false">IF($F$17=4,$AX40,$F$16)</f>
        <v>2.96</v>
      </c>
      <c r="I40" s="41" t="n">
        <f aca="false">IF($H$17=4,$BI40,$H$16)</f>
        <v>2.99</v>
      </c>
      <c r="J40" s="4" t="n">
        <f aca="false">IF($B$19=1,VLOOKUP($A40,SkewTable,HLOOKUP(ROUND(F40-AB40,1),SkewTable,2,FALSE()),FALSE())/100,0)</f>
        <v>-0.012840625</v>
      </c>
      <c r="K40" s="4" t="n">
        <f aca="false">IF($D$19=1,VLOOKUP($A40,SkewTable,HLOOKUP(ROUND(G40-AM40,1),SkewTable,2,FALSE()),FALSE())/100,0)</f>
        <v>-0.0142783929914063</v>
      </c>
      <c r="L40" s="4" t="e">
        <f aca="false">IF($F$19=1,VLOOKUP($A40,SkewTable,HLOOKUP(ROUND(H40-AX40,1),SkewTable,2,FALSE()),FALSE())/100,0)</f>
        <v>#DIV/0!</v>
      </c>
      <c r="M40" s="4" t="e">
        <f aca="false">IF($H$19=1,VLOOKUP($A40,SkewTable,HLOOKUP(ROUND(I40-BI40,1),SkewTable,2,FALSE()),FALSE())/100,0)</f>
        <v>#DIV/0!</v>
      </c>
      <c r="N40" s="4" t="n">
        <f aca="false">(($D40+J40)*$E40)+B$18</f>
        <v>0.379659375</v>
      </c>
      <c r="O40" s="4" t="n">
        <f aca="false">(($D40+K40)*$E40)+D$18</f>
        <v>0.378221607008594</v>
      </c>
      <c r="P40" s="4" t="e">
        <f aca="false">(($D40+L40)*$E40)+F$18</f>
        <v>#DIV/0!</v>
      </c>
      <c r="Q40" s="4" t="e">
        <f aca="false">(($D40+M40)*$E40)+H$18</f>
        <v>#DIV/0!</v>
      </c>
      <c r="R40" s="136" t="n">
        <f aca="false">IF(B$4=1,VLOOKUP(A40,expiration,2,FALSE()),VLOOKUP(A40,expiration,3,FALSE()))-B$2+$B$1</f>
        <v>-8857</v>
      </c>
      <c r="S40" s="4" t="n">
        <f aca="false">VLOOKUP($A40,STRADDLE,12,FALSE())</f>
        <v>0.067795554865608</v>
      </c>
      <c r="T40" s="1" t="n">
        <v>42.7327</v>
      </c>
      <c r="U40" s="43" t="n">
        <v>0</v>
      </c>
      <c r="V40" s="1" t="n">
        <v>2</v>
      </c>
      <c r="X40" s="43"/>
      <c r="Z40" s="9"/>
      <c r="AA40" s="9" t="n">
        <f aca="false">IF($A40&gt;=AB$25,IF($A40&lt;=AB$26,$T40,0),0)</f>
        <v>42.7327</v>
      </c>
      <c r="AB40" s="9" t="n">
        <f aca="false">IF(T40&gt;0,AD40/AA40,0)</f>
        <v>4.42071428571429</v>
      </c>
      <c r="AC40" s="1" t="n">
        <f aca="false">AA40*($B40+B$13)</f>
        <v>188.909057357143</v>
      </c>
      <c r="AD40" s="33" t="n">
        <f aca="false">IF(ISNUMBER(((AC40/AA40)+B$15+$C40)*AA40),((AC40/AA40)+B$15+$C40)*AA40,0)</f>
        <v>188.909057357143</v>
      </c>
      <c r="AE40" s="44" t="e">
        <f aca="false">IF(AA40=0,0,bsd(1,AF$27,AB40,$F40,$R40,$N40,$S40,0.1))</f>
        <v>#VALUE!</v>
      </c>
      <c r="AF40" s="44" t="e">
        <f aca="false">IF(AA40=0,0,bsd(2,AF$27,AB40,$F40,$R40,$N40,$S40,0.1))</f>
        <v>#VALUE!</v>
      </c>
      <c r="AG40" s="44" t="e">
        <f aca="false">IF(AA40=0,0,bsd(AF$28,AF$27,AB40,$F40,$R40,$N40,$S40,0.1))</f>
        <v>#VALUE!</v>
      </c>
      <c r="AH40" s="45" t="e">
        <f aca="false">AA40*AE40</f>
        <v>#VALUE!</v>
      </c>
      <c r="AI40" s="45" t="e">
        <f aca="false">AA40*AF40</f>
        <v>#VALUE!</v>
      </c>
      <c r="AJ40" s="45" t="e">
        <f aca="false">AA40*AG40</f>
        <v>#VALUE!</v>
      </c>
      <c r="AL40" s="9" t="n">
        <f aca="false">IF($A40&gt;=AM$25,IF($A40&lt;=AM$26,$T40,0),0)</f>
        <v>42.7327</v>
      </c>
      <c r="AM40" s="9" t="n">
        <f aca="false">AO40/AL40</f>
        <v>4.45071428571429</v>
      </c>
      <c r="AN40" s="1" t="n">
        <f aca="false">AL40*($B40+D$13)</f>
        <v>190.191038357143</v>
      </c>
      <c r="AO40" s="33" t="n">
        <f aca="false">IF(ISNUMBER(((AN40/AL40)+D$15+$C40)*AL40),((AN40/AL40)+D$15+$C40)*AL40,0)</f>
        <v>190.191038357143</v>
      </c>
      <c r="AP40" s="44" t="e">
        <f aca="false">IF(AL40=0,0,bsd(1,AQ$27,AM40,$G40,$R40,$O40,$S40,0.1))</f>
        <v>#VALUE!</v>
      </c>
      <c r="AQ40" s="44" t="e">
        <f aca="false">IF(AL40=0,0,bsd(2,AQ$27,AM40,$G40,$R40,$O40,$S40,0.1))</f>
        <v>#VALUE!</v>
      </c>
      <c r="AR40" s="44" t="e">
        <f aca="false">IF(AL40=0,0,bsd(AQ$28,AQ$27,AM40,$G40,$R40,$O40,$S40,0.1))</f>
        <v>#VALUE!</v>
      </c>
      <c r="AS40" s="45" t="e">
        <f aca="false">AL40*AP40</f>
        <v>#VALUE!</v>
      </c>
      <c r="AT40" s="45" t="e">
        <f aca="false">AL40*AQ40</f>
        <v>#VALUE!</v>
      </c>
      <c r="AU40" s="45" t="e">
        <f aca="false">AL40*AR40</f>
        <v>#VALUE!</v>
      </c>
      <c r="AW40" s="9" t="n">
        <f aca="false">IF($A40&gt;=AX$25,IF($A40&lt;=AX$26,$T40,0),0)</f>
        <v>0</v>
      </c>
      <c r="AX40" s="9" t="e">
        <f aca="false">AZ40/AW40</f>
        <v>#DIV/0!</v>
      </c>
      <c r="AY40" s="1" t="n">
        <f aca="false">AW40*($B40+F$13)</f>
        <v>0</v>
      </c>
      <c r="AZ40" s="33" t="n">
        <f aca="false">IF(ISNUMBER(((AY40/AW40)+F$15+$C40)*AW40),((AY40/AW40)+F$15+$C40)*AW40,0)</f>
        <v>0</v>
      </c>
      <c r="BA40" s="44" t="n">
        <f aca="false">IF(AW40=0,0,bsd(1,BB$27,AX40,$H40,$R40,$P40,$S40,0.1))</f>
        <v>0</v>
      </c>
      <c r="BB40" s="44" t="n">
        <f aca="false">IF(AW40=0,0,bsd(2,BB$27,AX40,$H40,$R40,$P40,$S40,0.1))</f>
        <v>0</v>
      </c>
      <c r="BC40" s="44" t="n">
        <f aca="false">IF(AW40=0,0,bsd(BB$28,BB$27,AX40,$H40,$R40,$P40,$S40,0.1))</f>
        <v>0</v>
      </c>
      <c r="BD40" s="45" t="n">
        <f aca="false">AW40*BA40</f>
        <v>0</v>
      </c>
      <c r="BE40" s="45" t="n">
        <f aca="false">AW40*BB40</f>
        <v>0</v>
      </c>
      <c r="BF40" s="45" t="n">
        <f aca="false">AW40*BC40</f>
        <v>0</v>
      </c>
      <c r="BH40" s="9" t="n">
        <f aca="false">IF($A40&gt;=BI$25,IF($A40&lt;=BI$26,$T40,0),0)</f>
        <v>0</v>
      </c>
      <c r="BI40" s="9" t="e">
        <f aca="false">BK40/BH40</f>
        <v>#DIV/0!</v>
      </c>
      <c r="BJ40" s="1" t="n">
        <f aca="false">BH40*($B40+H$13)</f>
        <v>0</v>
      </c>
      <c r="BK40" s="33" t="n">
        <f aca="false">IF(ISNUMBER(((BJ40/BH40)+H$15+$C40)*BH40),((BJ40/BH40)+H$15+$C40)*BH40,0)</f>
        <v>0</v>
      </c>
      <c r="BL40" s="44" t="n">
        <f aca="false">IF(BH40=0,0,bsd(1,BM$27,BI40,$I40,$R40,$Q40,$S40,0.1))</f>
        <v>0</v>
      </c>
      <c r="BM40" s="44" t="n">
        <f aca="false">IF(BH40=0,0,bsd(2,BM$27,BI40,$I40,$R40,$Q40,$S40,0.1))</f>
        <v>0</v>
      </c>
      <c r="BN40" s="44" t="n">
        <f aca="false">IF(BH40=0,0,bsd(BM$28,BM$27,BI40,$I40,$R40,$Q40,$S40,0.1))</f>
        <v>0</v>
      </c>
      <c r="BO40" s="45" t="n">
        <f aca="false">BH40*BL40</f>
        <v>0</v>
      </c>
      <c r="BP40" s="45" t="n">
        <f aca="false">BH40*BM40</f>
        <v>0</v>
      </c>
      <c r="BQ40" s="45" t="n">
        <f aca="false">BH40*BN40</f>
        <v>0</v>
      </c>
    </row>
    <row r="41" customFormat="false" ht="12.75" hidden="false" customHeight="false" outlineLevel="0" collapsed="false">
      <c r="A41" s="48" t="n">
        <f aca="false">DATE(YEAR(A40),MONTH(A40)+1,1)</f>
        <v>37104</v>
      </c>
      <c r="B41" s="40" t="n">
        <f aca="false">VLOOKUP(A41,STRADDLE,5,FALSE())</f>
        <v>4.41071428571429</v>
      </c>
      <c r="C41" s="40" t="n">
        <v>0</v>
      </c>
      <c r="D41" s="4" t="n">
        <f aca="false">VLOOKUP(A41,STRADDLE,8,FALSE())</f>
        <v>0.3925</v>
      </c>
      <c r="E41" s="131" t="n">
        <f aca="false">IF(ISNUMBER(VLOOKUP(A41,VOLCURVES,HLOOKUP(B$5,VOLCURVES,2,FALSE()),FALSE())),VLOOKUP(A41,VOLCURVES,HLOOKUP(B$5,VOLCURVES,2,FALSE()),FALSE()),1)</f>
        <v>1</v>
      </c>
      <c r="F41" s="41" t="n">
        <f aca="false">IF($B$17=4,$AB41,$B$16)</f>
        <v>3.8</v>
      </c>
      <c r="G41" s="41" t="n">
        <f aca="false">IF($D$17=4,$AM41,$D$16)</f>
        <v>3.5</v>
      </c>
      <c r="H41" s="41" t="n">
        <f aca="false">IF($F$17=4,$AX41,$F$16)</f>
        <v>2.96</v>
      </c>
      <c r="I41" s="41" t="n">
        <f aca="false">IF($H$17=4,$BI41,$H$16)</f>
        <v>2.99</v>
      </c>
      <c r="J41" s="4" t="n">
        <f aca="false">IF($B$19=1,VLOOKUP($A41,SkewTable,HLOOKUP(ROUND(F41-AB41,1),SkewTable,2,FALSE()),FALSE())/100,0)</f>
        <v>-0.012840625</v>
      </c>
      <c r="K41" s="4" t="n">
        <f aca="false">IF($D$19=1,VLOOKUP($A41,SkewTable,HLOOKUP(ROUND(G41-AM41,1),SkewTable,2,FALSE()),FALSE())/100,0)</f>
        <v>-0.013899628125</v>
      </c>
      <c r="L41" s="4" t="e">
        <f aca="false">IF($F$19=1,VLOOKUP($A41,SkewTable,HLOOKUP(ROUND(H41-AX41,1),SkewTable,2,FALSE()),FALSE())/100,0)</f>
        <v>#DIV/0!</v>
      </c>
      <c r="M41" s="4" t="e">
        <f aca="false">IF($H$19=1,VLOOKUP($A41,SkewTable,HLOOKUP(ROUND(I41-BI41,1),SkewTable,2,FALSE()),FALSE())/100,0)</f>
        <v>#DIV/0!</v>
      </c>
      <c r="N41" s="4" t="n">
        <f aca="false">(($D41+J41)*$E41)+B$18</f>
        <v>0.379659375</v>
      </c>
      <c r="O41" s="4" t="n">
        <f aca="false">(($D41+K41)*$E41)+D$18</f>
        <v>0.378600371875</v>
      </c>
      <c r="P41" s="4" t="e">
        <f aca="false">(($D41+L41)*$E41)+F$18</f>
        <v>#DIV/0!</v>
      </c>
      <c r="Q41" s="4" t="e">
        <f aca="false">(($D41+M41)*$E41)+H$18</f>
        <v>#DIV/0!</v>
      </c>
      <c r="R41" s="136" t="n">
        <f aca="false">IF(B$4=1,VLOOKUP(A41,expiration,2,FALSE()),VLOOKUP(A41,expiration,3,FALSE()))-B$2+$B$1</f>
        <v>-8827</v>
      </c>
      <c r="S41" s="4" t="n">
        <f aca="false">VLOOKUP($A41,STRADDLE,12,FALSE())</f>
        <v>0.067695044006758</v>
      </c>
      <c r="T41" s="1" t="n">
        <v>40.2017</v>
      </c>
      <c r="U41" s="43" t="n">
        <v>0</v>
      </c>
      <c r="V41" s="1" t="n">
        <v>2</v>
      </c>
      <c r="X41" s="43"/>
      <c r="Z41" s="9"/>
      <c r="AA41" s="9" t="n">
        <f aca="false">IF($A41&gt;=AB$25,IF($A41&lt;=AB$26,$T41,0),0)</f>
        <v>40.2017</v>
      </c>
      <c r="AB41" s="9" t="n">
        <f aca="false">IF(T41&gt;0,AD41/AA41,0)</f>
        <v>4.41071428571429</v>
      </c>
      <c r="AC41" s="1" t="n">
        <f aca="false">AA41*($B41+B$13)</f>
        <v>177.3182125</v>
      </c>
      <c r="AD41" s="33" t="n">
        <f aca="false">IF(ISNUMBER(((AC41/AA41)+B$15+$C41)*AA41),((AC41/AA41)+B$15+$C41)*AA41,0)</f>
        <v>177.3182125</v>
      </c>
      <c r="AE41" s="44" t="e">
        <f aca="false">IF(AA41=0,0,bsd(1,AF$27,AB41,$F41,$R41,$N41,$S41,0.1))</f>
        <v>#VALUE!</v>
      </c>
      <c r="AF41" s="44" t="e">
        <f aca="false">IF(AA41=0,0,bsd(2,AF$27,AB41,$F41,$R41,$N41,$S41,0.1))</f>
        <v>#VALUE!</v>
      </c>
      <c r="AG41" s="44" t="e">
        <f aca="false">IF(AA41=0,0,bsd(AF$28,AF$27,AB41,$F41,$R41,$N41,$S41,0.1))</f>
        <v>#VALUE!</v>
      </c>
      <c r="AH41" s="45" t="e">
        <f aca="false">AA41*AE41</f>
        <v>#VALUE!</v>
      </c>
      <c r="AI41" s="45" t="e">
        <f aca="false">AA41*AF41</f>
        <v>#VALUE!</v>
      </c>
      <c r="AJ41" s="45" t="e">
        <f aca="false">AA41*AG41</f>
        <v>#VALUE!</v>
      </c>
      <c r="AL41" s="9" t="n">
        <f aca="false">IF($A41&gt;=AM$25,IF($A41&lt;=AM$26,$T41,0),0)</f>
        <v>40.2017</v>
      </c>
      <c r="AM41" s="9" t="n">
        <f aca="false">AO41/AL41</f>
        <v>4.44071428571429</v>
      </c>
      <c r="AN41" s="1" t="n">
        <f aca="false">AL41*($B41+D$13)</f>
        <v>178.5242635</v>
      </c>
      <c r="AO41" s="33" t="n">
        <f aca="false">IF(ISNUMBER(((AN41/AL41)+D$15+$C41)*AL41),((AN41/AL41)+D$15+$C41)*AL41,0)</f>
        <v>178.5242635</v>
      </c>
      <c r="AP41" s="44" t="e">
        <f aca="false">IF(AL41=0,0,bsd(1,AQ$27,AM41,$G41,$R41,$O41,$S41,0.1))</f>
        <v>#VALUE!</v>
      </c>
      <c r="AQ41" s="44" t="e">
        <f aca="false">IF(AL41=0,0,bsd(2,AQ$27,AM41,$G41,$R41,$O41,$S41,0.1))</f>
        <v>#VALUE!</v>
      </c>
      <c r="AR41" s="44" t="e">
        <f aca="false">IF(AL41=0,0,bsd(AQ$28,AQ$27,AM41,$G41,$R41,$O41,$S41,0.1))</f>
        <v>#VALUE!</v>
      </c>
      <c r="AS41" s="45" t="e">
        <f aca="false">AL41*AP41</f>
        <v>#VALUE!</v>
      </c>
      <c r="AT41" s="45" t="e">
        <f aca="false">AL41*AQ41</f>
        <v>#VALUE!</v>
      </c>
      <c r="AU41" s="45" t="e">
        <f aca="false">AL41*AR41</f>
        <v>#VALUE!</v>
      </c>
      <c r="AW41" s="9" t="n">
        <f aca="false">IF($A41&gt;=AX$25,IF($A41&lt;=AX$26,$T41,0),0)</f>
        <v>0</v>
      </c>
      <c r="AX41" s="9" t="e">
        <f aca="false">AZ41/AW41</f>
        <v>#DIV/0!</v>
      </c>
      <c r="AY41" s="1" t="n">
        <f aca="false">AW41*($B41+F$13)</f>
        <v>0</v>
      </c>
      <c r="AZ41" s="33" t="n">
        <f aca="false">IF(ISNUMBER(((AY41/AW41)+F$15+$C41)*AW41),((AY41/AW41)+F$15+$C41)*AW41,0)</f>
        <v>0</v>
      </c>
      <c r="BA41" s="44" t="n">
        <f aca="false">IF(AW41=0,0,bsd(1,BB$27,AX41,$H41,$R41,$P41,$S41,0.1))</f>
        <v>0</v>
      </c>
      <c r="BB41" s="44" t="n">
        <f aca="false">IF(AW41=0,0,bsd(2,BB$27,AX41,$H41,$R41,$P41,$S41,0.1))</f>
        <v>0</v>
      </c>
      <c r="BC41" s="44" t="n">
        <f aca="false">IF(AW41=0,0,bsd(BB$28,BB$27,AX41,$H41,$R41,$P41,$S41,0.1))</f>
        <v>0</v>
      </c>
      <c r="BD41" s="45" t="n">
        <f aca="false">AW41*BA41</f>
        <v>0</v>
      </c>
      <c r="BE41" s="45" t="n">
        <f aca="false">AW41*BB41</f>
        <v>0</v>
      </c>
      <c r="BF41" s="45" t="n">
        <f aca="false">AW41*BC41</f>
        <v>0</v>
      </c>
      <c r="BH41" s="9" t="n">
        <f aca="false">IF($A41&gt;=BI$25,IF($A41&lt;=BI$26,$T41,0),0)</f>
        <v>0</v>
      </c>
      <c r="BI41" s="9" t="e">
        <f aca="false">BK41/BH41</f>
        <v>#DIV/0!</v>
      </c>
      <c r="BJ41" s="1" t="n">
        <f aca="false">BH41*($B41+H$13)</f>
        <v>0</v>
      </c>
      <c r="BK41" s="33" t="n">
        <f aca="false">IF(ISNUMBER(((BJ41/BH41)+H$15+$C41)*BH41),((BJ41/BH41)+H$15+$C41)*BH41,0)</f>
        <v>0</v>
      </c>
      <c r="BL41" s="44" t="n">
        <f aca="false">IF(BH41=0,0,bsd(1,BM$27,BI41,$I41,$R41,$Q41,$S41,0.1))</f>
        <v>0</v>
      </c>
      <c r="BM41" s="44" t="n">
        <f aca="false">IF(BH41=0,0,bsd(2,BM$27,BI41,$I41,$R41,$Q41,$S41,0.1))</f>
        <v>0</v>
      </c>
      <c r="BN41" s="44" t="n">
        <f aca="false">IF(BH41=0,0,bsd(BM$28,BM$27,BI41,$I41,$R41,$Q41,$S41,0.1))</f>
        <v>0</v>
      </c>
      <c r="BO41" s="45" t="n">
        <f aca="false">BH41*BL41</f>
        <v>0</v>
      </c>
      <c r="BP41" s="45" t="n">
        <f aca="false">BH41*BM41</f>
        <v>0</v>
      </c>
      <c r="BQ41" s="45" t="n">
        <f aca="false">BH41*BN41</f>
        <v>0</v>
      </c>
    </row>
    <row r="42" customFormat="false" ht="12.75" hidden="false" customHeight="false" outlineLevel="0" collapsed="false">
      <c r="A42" s="48" t="n">
        <f aca="false">DATE(YEAR(A41),MONTH(A41)+1,1)</f>
        <v>37135</v>
      </c>
      <c r="B42" s="40" t="n">
        <f aca="false">VLOOKUP(A42,STRADDLE,5,FALSE())</f>
        <v>4.39071428571429</v>
      </c>
      <c r="C42" s="40" t="n">
        <v>0</v>
      </c>
      <c r="D42" s="4" t="n">
        <f aca="false">VLOOKUP(A42,STRADDLE,8,FALSE())</f>
        <v>0.395</v>
      </c>
      <c r="E42" s="131" t="n">
        <f aca="false">IF(ISNUMBER(VLOOKUP(A42,VOLCURVES,HLOOKUP(B$5,VOLCURVES,2,FALSE()),FALSE())),VLOOKUP(A42,VOLCURVES,HLOOKUP(B$5,VOLCURVES,2,FALSE()),FALSE()),1)</f>
        <v>1</v>
      </c>
      <c r="F42" s="41" t="n">
        <f aca="false">IF($B$17=4,$AB42,$B$16)</f>
        <v>3.8</v>
      </c>
      <c r="G42" s="41" t="n">
        <f aca="false">IF($D$17=4,$AM42,$D$16)</f>
        <v>3.5</v>
      </c>
      <c r="H42" s="41" t="n">
        <f aca="false">IF($F$17=4,$AX42,$F$16)</f>
        <v>2.96</v>
      </c>
      <c r="I42" s="41" t="n">
        <f aca="false">IF($H$17=4,$BI42,$H$16)</f>
        <v>2.99</v>
      </c>
      <c r="J42" s="4" t="n">
        <f aca="false">IF($B$19=1,VLOOKUP($A42,SkewTable,HLOOKUP(ROUND(F42-AB42,1),SkewTable,2,FALSE()),FALSE())/100,0)</f>
        <v>-0.012840625</v>
      </c>
      <c r="K42" s="4" t="n">
        <f aca="false">IF($D$19=1,VLOOKUP($A42,SkewTable,HLOOKUP(ROUND(G42-AM42,1),SkewTable,2,FALSE()),FALSE())/100,0)</f>
        <v>-0.013899628125</v>
      </c>
      <c r="L42" s="4" t="e">
        <f aca="false">IF($F$19=1,VLOOKUP($A42,SkewTable,HLOOKUP(ROUND(H42-AX42,1),SkewTable,2,FALSE()),FALSE())/100,0)</f>
        <v>#DIV/0!</v>
      </c>
      <c r="M42" s="4" t="e">
        <f aca="false">IF($H$19=1,VLOOKUP($A42,SkewTable,HLOOKUP(ROUND(I42-BI42,1),SkewTable,2,FALSE()),FALSE())/100,0)</f>
        <v>#DIV/0!</v>
      </c>
      <c r="N42" s="4" t="n">
        <f aca="false">(($D42+J42)*$E42)+B$18</f>
        <v>0.382159375</v>
      </c>
      <c r="O42" s="4" t="n">
        <f aca="false">(($D42+K42)*$E42)+D$18</f>
        <v>0.381100371875</v>
      </c>
      <c r="P42" s="4" t="e">
        <f aca="false">(($D42+L42)*$E42)+F$18</f>
        <v>#DIV/0!</v>
      </c>
      <c r="Q42" s="4" t="e">
        <f aca="false">(($D42+M42)*$E42)+H$18</f>
        <v>#DIV/0!</v>
      </c>
      <c r="R42" s="136" t="n">
        <f aca="false">IF(B$4=1,VLOOKUP(A42,expiration,2,FALSE()),VLOOKUP(A42,expiration,3,FALSE()))-B$2+$B$1</f>
        <v>-8794</v>
      </c>
      <c r="S42" s="4" t="n">
        <f aca="false">VLOOKUP($A42,STRADDLE,12,FALSE())</f>
        <v>0.067594533151252</v>
      </c>
      <c r="T42" s="1" t="n">
        <v>37.8644</v>
      </c>
      <c r="U42" s="43" t="n">
        <v>0</v>
      </c>
      <c r="V42" s="1" t="n">
        <v>3</v>
      </c>
      <c r="X42" s="43"/>
      <c r="Z42" s="9"/>
      <c r="AA42" s="9" t="n">
        <f aca="false">IF($A42&gt;=AB$25,IF($A42&lt;=AB$26,$T42,0),0)</f>
        <v>37.8644</v>
      </c>
      <c r="AB42" s="9" t="n">
        <f aca="false">IF(T42&gt;0,AD42/AA42,0)</f>
        <v>4.39071428571429</v>
      </c>
      <c r="AC42" s="1" t="n">
        <f aca="false">AA42*($B42+B$13)</f>
        <v>166.251762</v>
      </c>
      <c r="AD42" s="33" t="n">
        <f aca="false">IF(ISNUMBER(((AC42/AA42)+B$15+$C42)*AA42),((AC42/AA42)+B$15+$C42)*AA42,0)</f>
        <v>166.251762</v>
      </c>
      <c r="AE42" s="44" t="e">
        <f aca="false">IF(AA42=0,0,bsd(1,AF$27,AB42,$F42,$R42,$N42,$S42,0.1))</f>
        <v>#VALUE!</v>
      </c>
      <c r="AF42" s="44" t="e">
        <f aca="false">IF(AA42=0,0,bsd(2,AF$27,AB42,$F42,$R42,$N42,$S42,0.1))</f>
        <v>#VALUE!</v>
      </c>
      <c r="AG42" s="44" t="e">
        <f aca="false">IF(AA42=0,0,bsd(AF$28,AF$27,AB42,$F42,$R42,$N42,$S42,0.1))</f>
        <v>#VALUE!</v>
      </c>
      <c r="AH42" s="45" t="e">
        <f aca="false">AA42*AE42</f>
        <v>#VALUE!</v>
      </c>
      <c r="AI42" s="45" t="e">
        <f aca="false">AA42*AF42</f>
        <v>#VALUE!</v>
      </c>
      <c r="AJ42" s="45" t="e">
        <f aca="false">AA42*AG42</f>
        <v>#VALUE!</v>
      </c>
      <c r="AL42" s="9" t="n">
        <f aca="false">IF($A42&gt;=AM$25,IF($A42&lt;=AM$26,$T42,0),0)</f>
        <v>37.8644</v>
      </c>
      <c r="AM42" s="9" t="n">
        <f aca="false">AO42/AL42</f>
        <v>4.42071428571429</v>
      </c>
      <c r="AN42" s="1" t="n">
        <f aca="false">AL42*($B42+D$13)</f>
        <v>167.387694</v>
      </c>
      <c r="AO42" s="33" t="n">
        <f aca="false">IF(ISNUMBER(((AN42/AL42)+D$15+$C42)*AL42),((AN42/AL42)+D$15+$C42)*AL42,0)</f>
        <v>167.387694</v>
      </c>
      <c r="AP42" s="44" t="e">
        <f aca="false">IF(AL42=0,0,bsd(1,AQ$27,AM42,$G42,$R42,$O42,$S42,0.1))</f>
        <v>#VALUE!</v>
      </c>
      <c r="AQ42" s="44" t="e">
        <f aca="false">IF(AL42=0,0,bsd(2,AQ$27,AM42,$G42,$R42,$O42,$S42,0.1))</f>
        <v>#VALUE!</v>
      </c>
      <c r="AR42" s="44" t="e">
        <f aca="false">IF(AL42=0,0,bsd(AQ$28,AQ$27,AM42,$G42,$R42,$O42,$S42,0.1))</f>
        <v>#VALUE!</v>
      </c>
      <c r="AS42" s="45" t="e">
        <f aca="false">AL42*AP42</f>
        <v>#VALUE!</v>
      </c>
      <c r="AT42" s="45" t="e">
        <f aca="false">AL42*AQ42</f>
        <v>#VALUE!</v>
      </c>
      <c r="AU42" s="45" t="e">
        <f aca="false">AL42*AR42</f>
        <v>#VALUE!</v>
      </c>
      <c r="AW42" s="9" t="n">
        <f aca="false">IF($A42&gt;=AX$25,IF($A42&lt;=AX$26,$T42,0),0)</f>
        <v>0</v>
      </c>
      <c r="AX42" s="9" t="e">
        <f aca="false">AZ42/AW42</f>
        <v>#DIV/0!</v>
      </c>
      <c r="AY42" s="1" t="n">
        <f aca="false">AW42*($B42+F$13)</f>
        <v>0</v>
      </c>
      <c r="AZ42" s="33" t="n">
        <f aca="false">IF(ISNUMBER(((AY42/AW42)+F$15+$C42)*AW42),((AY42/AW42)+F$15+$C42)*AW42,0)</f>
        <v>0</v>
      </c>
      <c r="BA42" s="44" t="n">
        <f aca="false">IF(AW42=0,0,bsd(1,BB$27,AX42,$H42,$R42,$P42,$S42,0.1))</f>
        <v>0</v>
      </c>
      <c r="BB42" s="44" t="n">
        <f aca="false">IF(AW42=0,0,bsd(2,BB$27,AX42,$H42,$R42,$P42,$S42,0.1))</f>
        <v>0</v>
      </c>
      <c r="BC42" s="44" t="n">
        <f aca="false">IF(AW42=0,0,bsd(BB$28,BB$27,AX42,$H42,$R42,$P42,$S42,0.1))</f>
        <v>0</v>
      </c>
      <c r="BD42" s="45" t="n">
        <f aca="false">AW42*BA42</f>
        <v>0</v>
      </c>
      <c r="BE42" s="45" t="n">
        <f aca="false">AW42*BB42</f>
        <v>0</v>
      </c>
      <c r="BF42" s="45" t="n">
        <f aca="false">AW42*BC42</f>
        <v>0</v>
      </c>
      <c r="BH42" s="9" t="n">
        <f aca="false">IF($A42&gt;=BI$25,IF($A42&lt;=BI$26,$T42,0),0)</f>
        <v>0</v>
      </c>
      <c r="BI42" s="9" t="e">
        <f aca="false">BK42/BH42</f>
        <v>#DIV/0!</v>
      </c>
      <c r="BJ42" s="1" t="n">
        <f aca="false">BH42*($B42+H$13)</f>
        <v>0</v>
      </c>
      <c r="BK42" s="33" t="n">
        <f aca="false">IF(ISNUMBER(((BJ42/BH42)+H$15+$C42)*BH42),((BJ42/BH42)+H$15+$C42)*BH42,0)</f>
        <v>0</v>
      </c>
      <c r="BL42" s="44" t="n">
        <f aca="false">IF(BH42=0,0,bsd(1,BM$27,BI42,$I42,$R42,$Q42,$S42,0.1))</f>
        <v>0</v>
      </c>
      <c r="BM42" s="44" t="n">
        <f aca="false">IF(BH42=0,0,bsd(2,BM$27,BI42,$I42,$R42,$Q42,$S42,0.1))</f>
        <v>0</v>
      </c>
      <c r="BN42" s="44" t="n">
        <f aca="false">IF(BH42=0,0,bsd(BM$28,BM$27,BI42,$I42,$R42,$Q42,$S42,0.1))</f>
        <v>0</v>
      </c>
      <c r="BO42" s="45" t="n">
        <f aca="false">BH42*BL42</f>
        <v>0</v>
      </c>
      <c r="BP42" s="45" t="n">
        <f aca="false">BH42*BM42</f>
        <v>0</v>
      </c>
      <c r="BQ42" s="45" t="n">
        <f aca="false">BH42*BN42</f>
        <v>0</v>
      </c>
    </row>
    <row r="43" customFormat="false" ht="12.75" hidden="false" customHeight="false" outlineLevel="0" collapsed="false">
      <c r="A43" s="48" t="n">
        <f aca="false">DATE(YEAR(A42),MONTH(A42)+1,1)</f>
        <v>37165</v>
      </c>
      <c r="B43" s="40" t="n">
        <f aca="false">VLOOKUP(A43,STRADDLE,5,FALSE())</f>
        <v>4.38071428571429</v>
      </c>
      <c r="C43" s="40" t="n">
        <v>0</v>
      </c>
      <c r="D43" s="4" t="n">
        <f aca="false">VLOOKUP(A43,STRADDLE,8,FALSE())</f>
        <v>0.4025</v>
      </c>
      <c r="E43" s="131" t="n">
        <f aca="false">IF(ISNUMBER(VLOOKUP(A43,VOLCURVES,HLOOKUP(B$5,VOLCURVES,2,FALSE()),FALSE())),VLOOKUP(A43,VOLCURVES,HLOOKUP(B$5,VOLCURVES,2,FALSE()),FALSE()),1)</f>
        <v>1</v>
      </c>
      <c r="F43" s="41" t="n">
        <f aca="false">IF($B$17=4,$AB43,$B$16)</f>
        <v>3.8</v>
      </c>
      <c r="G43" s="41" t="n">
        <f aca="false">IF($D$17=4,$AM43,$D$16)</f>
        <v>3.5</v>
      </c>
      <c r="H43" s="41" t="n">
        <f aca="false">IF($F$17=4,$AX43,$F$16)</f>
        <v>2.96</v>
      </c>
      <c r="I43" s="41" t="n">
        <f aca="false">IF($H$17=4,$BI43,$H$16)</f>
        <v>2.99</v>
      </c>
      <c r="J43" s="4" t="n">
        <f aca="false">IF($B$19=1,VLOOKUP($A43,SkewTable,HLOOKUP(ROUND(F43-AB43,1),SkewTable,2,FALSE()),FALSE())/100,0)</f>
        <v>-0.012840625</v>
      </c>
      <c r="K43" s="4" t="n">
        <f aca="false">IF($D$19=1,VLOOKUP($A43,SkewTable,HLOOKUP(ROUND(G43-AM43,1),SkewTable,2,FALSE()),FALSE())/100,0)</f>
        <v>-0.013899628125</v>
      </c>
      <c r="L43" s="4" t="e">
        <f aca="false">IF($F$19=1,VLOOKUP($A43,SkewTable,HLOOKUP(ROUND(H43-AX43,1),SkewTable,2,FALSE()),FALSE())/100,0)</f>
        <v>#DIV/0!</v>
      </c>
      <c r="M43" s="4" t="e">
        <f aca="false">IF($H$19=1,VLOOKUP($A43,SkewTable,HLOOKUP(ROUND(I43-BI43,1),SkewTable,2,FALSE()),FALSE())/100,0)</f>
        <v>#DIV/0!</v>
      </c>
      <c r="N43" s="4" t="n">
        <f aca="false">(($D43+J43)*$E43)+B$18</f>
        <v>0.389659375</v>
      </c>
      <c r="O43" s="4" t="n">
        <f aca="false">(($D43+K43)*$E43)+D$18</f>
        <v>0.388600371875</v>
      </c>
      <c r="P43" s="4" t="e">
        <f aca="false">(($D43+L43)*$E43)+F$18</f>
        <v>#DIV/0!</v>
      </c>
      <c r="Q43" s="4" t="e">
        <f aca="false">(($D43+M43)*$E43)+H$18</f>
        <v>#DIV/0!</v>
      </c>
      <c r="R43" s="136" t="n">
        <f aca="false">IF(B$4=1,VLOOKUP(A43,expiration,2,FALSE()),VLOOKUP(A43,expiration,3,FALSE()))-B$2+$B$1</f>
        <v>-8766</v>
      </c>
      <c r="S43" s="4" t="n">
        <f aca="false">VLOOKUP($A43,STRADDLE,12,FALSE())</f>
        <v>0.067509261584356</v>
      </c>
      <c r="T43" s="1" t="n">
        <v>35.7258</v>
      </c>
      <c r="U43" s="43" t="n">
        <v>0</v>
      </c>
      <c r="V43" s="1" t="n">
        <v>3</v>
      </c>
      <c r="X43" s="43"/>
      <c r="Z43" s="9"/>
      <c r="AA43" s="9" t="n">
        <f aca="false">IF($A43&gt;=AB$25,IF($A43&lt;=AB$26,$T43,0),0)</f>
        <v>35.7258</v>
      </c>
      <c r="AB43" s="9" t="n">
        <f aca="false">IF(T43&gt;0,AD43/AA43,0)</f>
        <v>4.38071428571429</v>
      </c>
      <c r="AC43" s="1" t="n">
        <f aca="false">AA43*($B43+B$13)</f>
        <v>156.504522428571</v>
      </c>
      <c r="AD43" s="33" t="n">
        <f aca="false">IF(ISNUMBER(((AC43/AA43)+B$15+$C43)*AA43),((AC43/AA43)+B$15+$C43)*AA43,0)</f>
        <v>156.504522428571</v>
      </c>
      <c r="AE43" s="44" t="e">
        <f aca="false">IF(AA43=0,0,bsd(1,AF$27,AB43,$F43,$R43,$N43,$S43,0.1))</f>
        <v>#VALUE!</v>
      </c>
      <c r="AF43" s="44" t="e">
        <f aca="false">IF(AA43=0,0,bsd(2,AF$27,AB43,$F43,$R43,$N43,$S43,0.1))</f>
        <v>#VALUE!</v>
      </c>
      <c r="AG43" s="44" t="e">
        <f aca="false">IF(AA43=0,0,bsd(AF$28,AF$27,AB43,$F43,$R43,$N43,$S43,0.1))</f>
        <v>#VALUE!</v>
      </c>
      <c r="AH43" s="45" t="e">
        <f aca="false">AA43*AE43</f>
        <v>#VALUE!</v>
      </c>
      <c r="AI43" s="45" t="e">
        <f aca="false">AA43*AF43</f>
        <v>#VALUE!</v>
      </c>
      <c r="AJ43" s="45" t="e">
        <f aca="false">AA43*AG43</f>
        <v>#VALUE!</v>
      </c>
      <c r="AL43" s="9" t="n">
        <f aca="false">IF($A43&gt;=AM$25,IF($A43&lt;=AM$26,$T43,0),0)</f>
        <v>35.7258</v>
      </c>
      <c r="AM43" s="9" t="n">
        <f aca="false">AO43/AL43</f>
        <v>4.41071428571429</v>
      </c>
      <c r="AN43" s="1" t="n">
        <f aca="false">AL43*($B43+D$13)</f>
        <v>157.576296428571</v>
      </c>
      <c r="AO43" s="33" t="n">
        <f aca="false">IF(ISNUMBER(((AN43/AL43)+D$15+$C43)*AL43),((AN43/AL43)+D$15+$C43)*AL43,0)</f>
        <v>157.576296428571</v>
      </c>
      <c r="AP43" s="44" t="e">
        <f aca="false">IF(AL43=0,0,bsd(1,AQ$27,AM43,$G43,$R43,$O43,$S43,0.1))</f>
        <v>#VALUE!</v>
      </c>
      <c r="AQ43" s="44" t="e">
        <f aca="false">IF(AL43=0,0,bsd(2,AQ$27,AM43,$G43,$R43,$O43,$S43,0.1))</f>
        <v>#VALUE!</v>
      </c>
      <c r="AR43" s="44" t="e">
        <f aca="false">IF(AL43=0,0,bsd(AQ$28,AQ$27,AM43,$G43,$R43,$O43,$S43,0.1))</f>
        <v>#VALUE!</v>
      </c>
      <c r="AS43" s="45" t="e">
        <f aca="false">AL43*AP43</f>
        <v>#VALUE!</v>
      </c>
      <c r="AT43" s="45" t="e">
        <f aca="false">AL43*AQ43</f>
        <v>#VALUE!</v>
      </c>
      <c r="AU43" s="45" t="e">
        <f aca="false">AL43*AR43</f>
        <v>#VALUE!</v>
      </c>
      <c r="AW43" s="9" t="n">
        <f aca="false">IF($A43&gt;=AX$25,IF($A43&lt;=AX$26,$T43,0),0)</f>
        <v>0</v>
      </c>
      <c r="AX43" s="9" t="e">
        <f aca="false">AZ43/AW43</f>
        <v>#DIV/0!</v>
      </c>
      <c r="AY43" s="1" t="n">
        <f aca="false">AW43*($B43+F$13)</f>
        <v>0</v>
      </c>
      <c r="AZ43" s="33" t="n">
        <f aca="false">IF(ISNUMBER(((AY43/AW43)+F$15+$C43)*AW43),((AY43/AW43)+F$15+$C43)*AW43,0)</f>
        <v>0</v>
      </c>
      <c r="BA43" s="44" t="n">
        <f aca="false">IF(AW43=0,0,bsd(1,BB$27,AX43,$H43,$R43,$P43,$S43,0.1))</f>
        <v>0</v>
      </c>
      <c r="BB43" s="44" t="n">
        <f aca="false">IF(AW43=0,0,bsd(2,BB$27,AX43,$H43,$R43,$P43,$S43,0.1))</f>
        <v>0</v>
      </c>
      <c r="BC43" s="44" t="n">
        <f aca="false">IF(AW43=0,0,bsd(BB$28,BB$27,AX43,$H43,$R43,$P43,$S43,0.1))</f>
        <v>0</v>
      </c>
      <c r="BD43" s="45" t="n">
        <f aca="false">AW43*BA43</f>
        <v>0</v>
      </c>
      <c r="BE43" s="45" t="n">
        <f aca="false">AW43*BB43</f>
        <v>0</v>
      </c>
      <c r="BF43" s="45" t="n">
        <f aca="false">AW43*BC43</f>
        <v>0</v>
      </c>
      <c r="BH43" s="9" t="n">
        <f aca="false">IF($A43&gt;=BI$25,IF($A43&lt;=BI$26,$T43,0),0)</f>
        <v>0</v>
      </c>
      <c r="BI43" s="9" t="e">
        <f aca="false">BK43/BH43</f>
        <v>#DIV/0!</v>
      </c>
      <c r="BJ43" s="1" t="n">
        <f aca="false">BH43*($B43+H$13)</f>
        <v>0</v>
      </c>
      <c r="BK43" s="33" t="n">
        <f aca="false">IF(ISNUMBER(((BJ43/BH43)+H$15+$C43)*BH43),((BJ43/BH43)+H$15+$C43)*BH43,0)</f>
        <v>0</v>
      </c>
      <c r="BL43" s="44" t="n">
        <f aca="false">IF(BH43=0,0,bsd(1,BM$27,BI43,$I43,$R43,$Q43,$S43,0.1))</f>
        <v>0</v>
      </c>
      <c r="BM43" s="44" t="n">
        <f aca="false">IF(BH43=0,0,bsd(2,BM$27,BI43,$I43,$R43,$Q43,$S43,0.1))</f>
        <v>0</v>
      </c>
      <c r="BN43" s="44" t="n">
        <f aca="false">IF(BH43=0,0,bsd(BM$28,BM$27,BI43,$I43,$R43,$Q43,$S43,0.1))</f>
        <v>0</v>
      </c>
      <c r="BO43" s="45" t="n">
        <f aca="false">BH43*BL43</f>
        <v>0</v>
      </c>
      <c r="BP43" s="45" t="n">
        <f aca="false">BH43*BM43</f>
        <v>0</v>
      </c>
      <c r="BQ43" s="45" t="n">
        <f aca="false">BH43*BN43</f>
        <v>0</v>
      </c>
    </row>
    <row r="44" customFormat="false" ht="12.75" hidden="false" customHeight="false" outlineLevel="0" collapsed="false">
      <c r="A44" s="48" t="n">
        <f aca="false">DATE(YEAR(A43),MONTH(A43)+1,1)</f>
        <v>37196</v>
      </c>
      <c r="B44" s="40" t="n">
        <f aca="false">VLOOKUP(A44,STRADDLE,5,FALSE())</f>
        <v>4.486</v>
      </c>
      <c r="C44" s="40" t="n">
        <v>0</v>
      </c>
      <c r="D44" s="4" t="n">
        <f aca="false">VLOOKUP(A44,STRADDLE,8,FALSE())</f>
        <v>0.4075</v>
      </c>
      <c r="E44" s="131" t="n">
        <f aca="false">IF(ISNUMBER(VLOOKUP(A44,VOLCURVES,HLOOKUP(B$5,VOLCURVES,2,FALSE()),FALSE())),VLOOKUP(A44,VOLCURVES,HLOOKUP(B$5,VOLCURVES,2,FALSE()),FALSE()),1)</f>
        <v>1</v>
      </c>
      <c r="F44" s="41" t="n">
        <f aca="false">IF($B$17=4,$AB44,$B$16)</f>
        <v>3.8</v>
      </c>
      <c r="G44" s="41" t="n">
        <f aca="false">IF($D$17=4,$AM44,$D$16)</f>
        <v>3.5</v>
      </c>
      <c r="H44" s="41" t="n">
        <f aca="false">IF($F$17=4,$AX44,$F$16)</f>
        <v>2.96</v>
      </c>
      <c r="I44" s="41" t="n">
        <f aca="false">IF($H$17=4,$BI44,$H$16)</f>
        <v>2.99</v>
      </c>
      <c r="J44" s="4" t="n">
        <f aca="false">IF($B$19=1,VLOOKUP($A44,SkewTable,HLOOKUP(ROUND(F44-AB44,1),SkewTable,2,FALSE()),FALSE())/100,0)</f>
        <v>-0.010545</v>
      </c>
      <c r="K44" s="4" t="e">
        <f aca="false">IF($D$19=1,VLOOKUP($A44,SkewTable,HLOOKUP(ROUND(G44-AM44,1),SkewTable,2,FALSE()),FALSE())/100,0)</f>
        <v>#DIV/0!</v>
      </c>
      <c r="L44" s="4" t="e">
        <f aca="false">IF($F$19=1,VLOOKUP($A44,SkewTable,HLOOKUP(ROUND(H44-AX44,1),SkewTable,2,FALSE()),FALSE())/100,0)</f>
        <v>#DIV/0!</v>
      </c>
      <c r="M44" s="4" t="e">
        <f aca="false">IF($H$19=1,VLOOKUP($A44,SkewTable,HLOOKUP(ROUND(I44-BI44,1),SkewTable,2,FALSE()),FALSE())/100,0)</f>
        <v>#DIV/0!</v>
      </c>
      <c r="N44" s="4" t="n">
        <f aca="false">(($D44+J44)*$E44)+B$18</f>
        <v>0.396955</v>
      </c>
      <c r="O44" s="4" t="e">
        <f aca="false">(($D44+K44)*$E44)+D$18</f>
        <v>#DIV/0!</v>
      </c>
      <c r="P44" s="4" t="e">
        <f aca="false">(($D44+L44)*$E44)+F$18</f>
        <v>#DIV/0!</v>
      </c>
      <c r="Q44" s="4" t="e">
        <f aca="false">(($D44+M44)*$E44)+H$18</f>
        <v>#DIV/0!</v>
      </c>
      <c r="R44" s="136" t="n">
        <f aca="false">IF(B$4=1,VLOOKUP(A44,expiration,2,FALSE()),VLOOKUP(A44,expiration,3,FALSE()))-B$2+$B$1</f>
        <v>-8733</v>
      </c>
      <c r="S44" s="4" t="n">
        <f aca="false">VLOOKUP($A44,STRADDLE,12,FALSE())</f>
        <v>0.067440746905213</v>
      </c>
      <c r="T44" s="1" t="n">
        <v>33.2959</v>
      </c>
      <c r="U44" s="43" t="n">
        <v>0</v>
      </c>
      <c r="V44" s="1" t="n">
        <v>3</v>
      </c>
      <c r="X44" s="43"/>
      <c r="Z44" s="9"/>
      <c r="AA44" s="9" t="n">
        <f aca="false">IF($A44&gt;=AB$25,IF($A44&lt;=AB$26,$T44,0),0)</f>
        <v>33.2959</v>
      </c>
      <c r="AB44" s="9" t="n">
        <f aca="false">IF(T44&gt;0,AD44/AA44,0)</f>
        <v>4.486</v>
      </c>
      <c r="AC44" s="1" t="n">
        <f aca="false">AA44*($B44+B$13)</f>
        <v>149.3654074</v>
      </c>
      <c r="AD44" s="33" t="n">
        <f aca="false">IF(ISNUMBER(((AC44/AA44)+B$15+$C44)*AA44),((AC44/AA44)+B$15+$C44)*AA44,0)</f>
        <v>149.3654074</v>
      </c>
      <c r="AE44" s="44" t="e">
        <f aca="false">IF(AA44=0,0,bsd(1,AF$27,AB44,$F44,$R44,$N44,$S44,0.1))</f>
        <v>#VALUE!</v>
      </c>
      <c r="AF44" s="44" t="e">
        <f aca="false">IF(AA44=0,0,bsd(2,AF$27,AB44,$F44,$R44,$N44,$S44,0.1))</f>
        <v>#VALUE!</v>
      </c>
      <c r="AG44" s="44" t="e">
        <f aca="false">IF(AA44=0,0,bsd(AF$28,AF$27,AB44,$F44,$R44,$N44,$S44,0.1))</f>
        <v>#VALUE!</v>
      </c>
      <c r="AH44" s="45" t="e">
        <f aca="false">AA44*AE44</f>
        <v>#VALUE!</v>
      </c>
      <c r="AI44" s="45" t="e">
        <f aca="false">AA44*AF44</f>
        <v>#VALUE!</v>
      </c>
      <c r="AJ44" s="45" t="e">
        <f aca="false">AA44*AG44</f>
        <v>#VALUE!</v>
      </c>
      <c r="AL44" s="9" t="n">
        <f aca="false">IF($A44&gt;=AM$25,IF($A44&lt;=AM$26,$T44,0),0)</f>
        <v>0</v>
      </c>
      <c r="AM44" s="9" t="e">
        <f aca="false">AO44/AL44</f>
        <v>#DIV/0!</v>
      </c>
      <c r="AN44" s="1" t="n">
        <f aca="false">AL44*($B44+D$13)</f>
        <v>0</v>
      </c>
      <c r="AO44" s="33" t="n">
        <f aca="false">IF(ISNUMBER(((AN44/AL44)+D$15+$C44)*AL44),((AN44/AL44)+D$15+$C44)*AL44,0)</f>
        <v>0</v>
      </c>
      <c r="AP44" s="44" t="n">
        <f aca="false">IF(AL44=0,0,bsd(1,AQ$27,AM44,$G44,$R44,$O44,$S44,0.1))</f>
        <v>0</v>
      </c>
      <c r="AQ44" s="44" t="n">
        <f aca="false">IF(AL44=0,0,bsd(2,AQ$27,AM44,$G44,$R44,$O44,$S44,0.1))</f>
        <v>0</v>
      </c>
      <c r="AR44" s="44" t="n">
        <f aca="false">IF(AL44=0,0,bsd(AQ$28,AQ$27,AM44,$G44,$R44,$O44,$S44,0.1))</f>
        <v>0</v>
      </c>
      <c r="AS44" s="45" t="n">
        <f aca="false">AL44*AP44</f>
        <v>0</v>
      </c>
      <c r="AT44" s="45" t="n">
        <f aca="false">AL44*AQ44</f>
        <v>0</v>
      </c>
      <c r="AU44" s="45" t="n">
        <f aca="false">AL44*AR44</f>
        <v>0</v>
      </c>
      <c r="AW44" s="9" t="n">
        <f aca="false">IF($A44&gt;=AX$25,IF($A44&lt;=AX$26,$T44,0),0)</f>
        <v>0</v>
      </c>
      <c r="AX44" s="9" t="e">
        <f aca="false">AZ44/AW44</f>
        <v>#DIV/0!</v>
      </c>
      <c r="AY44" s="1" t="n">
        <f aca="false">AW44*($B44+F$13)</f>
        <v>0</v>
      </c>
      <c r="AZ44" s="33" t="n">
        <f aca="false">IF(ISNUMBER(((AY44/AW44)+F$15+$C44)*AW44),((AY44/AW44)+F$15+$C44)*AW44,0)</f>
        <v>0</v>
      </c>
      <c r="BA44" s="44" t="n">
        <f aca="false">IF(AW44=0,0,bsd(1,BB$27,AX44,$H44,$R44,$P44,$S44,0.1))</f>
        <v>0</v>
      </c>
      <c r="BB44" s="44" t="n">
        <f aca="false">IF(AW44=0,0,bsd(2,BB$27,AX44,$H44,$R44,$P44,$S44,0.1))</f>
        <v>0</v>
      </c>
      <c r="BC44" s="44" t="n">
        <f aca="false">IF(AW44=0,0,bsd(BB$28,BB$27,AX44,$H44,$R44,$P44,$S44,0.1))</f>
        <v>0</v>
      </c>
      <c r="BD44" s="45" t="n">
        <f aca="false">AW44*BA44</f>
        <v>0</v>
      </c>
      <c r="BE44" s="45" t="n">
        <f aca="false">AW44*BB44</f>
        <v>0</v>
      </c>
      <c r="BF44" s="45" t="n">
        <f aca="false">AW44*BC44</f>
        <v>0</v>
      </c>
      <c r="BH44" s="9" t="n">
        <f aca="false">IF($A44&gt;=BI$25,IF($A44&lt;=BI$26,$T44,0),0)</f>
        <v>0</v>
      </c>
      <c r="BI44" s="9" t="e">
        <f aca="false">BK44/BH44</f>
        <v>#DIV/0!</v>
      </c>
      <c r="BJ44" s="1" t="n">
        <f aca="false">BH44*($B44+H$13)</f>
        <v>0</v>
      </c>
      <c r="BK44" s="33" t="n">
        <f aca="false">IF(ISNUMBER(((BJ44/BH44)+H$15+$C44)*BH44),((BJ44/BH44)+H$15+$C44)*BH44,0)</f>
        <v>0</v>
      </c>
      <c r="BL44" s="44" t="n">
        <f aca="false">IF(BH44=0,0,bsd(1,BM$27,BI44,$I44,$R44,$Q44,$S44,0.1))</f>
        <v>0</v>
      </c>
      <c r="BM44" s="44" t="n">
        <f aca="false">IF(BH44=0,0,bsd(2,BM$27,BI44,$I44,$R44,$Q44,$S44,0.1))</f>
        <v>0</v>
      </c>
      <c r="BN44" s="44" t="n">
        <f aca="false">IF(BH44=0,0,bsd(BM$28,BM$27,BI44,$I44,$R44,$Q44,$S44,0.1))</f>
        <v>0</v>
      </c>
      <c r="BO44" s="45" t="n">
        <f aca="false">BH44*BL44</f>
        <v>0</v>
      </c>
      <c r="BP44" s="45" t="n">
        <f aca="false">BH44*BM44</f>
        <v>0</v>
      </c>
      <c r="BQ44" s="45" t="n">
        <f aca="false">BH44*BN44</f>
        <v>0</v>
      </c>
    </row>
    <row r="45" customFormat="false" ht="12.75" hidden="false" customHeight="false" outlineLevel="0" collapsed="false">
      <c r="A45" s="48" t="n">
        <f aca="false">DATE(YEAR(A44),MONTH(A44)+1,1)</f>
        <v>37226</v>
      </c>
      <c r="B45" s="40" t="n">
        <f aca="false">VLOOKUP(A45,STRADDLE,5,FALSE())</f>
        <v>4.581</v>
      </c>
      <c r="C45" s="40" t="n">
        <v>0</v>
      </c>
      <c r="D45" s="4" t="n">
        <f aca="false">VLOOKUP(A45,STRADDLE,8,FALSE())</f>
        <v>0.4125</v>
      </c>
      <c r="E45" s="131" t="n">
        <f aca="false">IF(ISNUMBER(VLOOKUP(A45,VOLCURVES,HLOOKUP(B$5,VOLCURVES,2,FALSE()),FALSE())),VLOOKUP(A45,VOLCURVES,HLOOKUP(B$5,VOLCURVES,2,FALSE()),FALSE()),1)</f>
        <v>1</v>
      </c>
      <c r="F45" s="41" t="n">
        <f aca="false">IF($B$17=4,$AB45,$B$16)</f>
        <v>3.8</v>
      </c>
      <c r="G45" s="41" t="n">
        <f aca="false">IF($D$17=4,$AM45,$D$16)</f>
        <v>3.5</v>
      </c>
      <c r="H45" s="41" t="n">
        <f aca="false">IF($F$17=4,$AX45,$F$16)</f>
        <v>2.96</v>
      </c>
      <c r="I45" s="41" t="n">
        <f aca="false">IF($H$17=4,$BI45,$H$16)</f>
        <v>2.99</v>
      </c>
      <c r="J45" s="4" t="n">
        <f aca="false">IF($B$19=1,VLOOKUP($A45,SkewTable,HLOOKUP(ROUND(F45-AB45,1),SkewTable,2,FALSE()),FALSE())/100,0)</f>
        <v>-0.01083235125</v>
      </c>
      <c r="K45" s="4" t="e">
        <f aca="false">IF($D$19=1,VLOOKUP($A45,SkewTable,HLOOKUP(ROUND(G45-AM45,1),SkewTable,2,FALSE()),FALSE())/100,0)</f>
        <v>#DIV/0!</v>
      </c>
      <c r="L45" s="4" t="e">
        <f aca="false">IF($F$19=1,VLOOKUP($A45,SkewTable,HLOOKUP(ROUND(H45-AX45,1),SkewTable,2,FALSE()),FALSE())/100,0)</f>
        <v>#DIV/0!</v>
      </c>
      <c r="M45" s="4" t="e">
        <f aca="false">IF($H$19=1,VLOOKUP($A45,SkewTable,HLOOKUP(ROUND(I45-BI45,1),SkewTable,2,FALSE()),FALSE())/100,0)</f>
        <v>#DIV/0!</v>
      </c>
      <c r="N45" s="4" t="n">
        <f aca="false">(($D45+J45)*$E45)+B$18</f>
        <v>0.40166764875</v>
      </c>
      <c r="O45" s="4" t="e">
        <f aca="false">(($D45+K45)*$E45)+D$18</f>
        <v>#DIV/0!</v>
      </c>
      <c r="P45" s="4" t="e">
        <f aca="false">(($D45+L45)*$E45)+F$18</f>
        <v>#DIV/0!</v>
      </c>
      <c r="Q45" s="4" t="e">
        <f aca="false">(($D45+M45)*$E45)+H$18</f>
        <v>#DIV/0!</v>
      </c>
      <c r="R45" s="136" t="n">
        <f aca="false">IF(B$4=1,VLOOKUP(A45,expiration,2,FALSE()),VLOOKUP(A45,expiration,3,FALSE()))-B$2+$B$1</f>
        <v>-8703</v>
      </c>
      <c r="S45" s="4" t="n">
        <f aca="false">VLOOKUP($A45,STRADDLE,12,FALSE())</f>
        <v>0.06737444237849</v>
      </c>
      <c r="T45" s="1" t="n">
        <v>31.4251</v>
      </c>
      <c r="U45" s="43" t="n">
        <v>0</v>
      </c>
      <c r="V45" s="1" t="n">
        <v>3</v>
      </c>
      <c r="X45" s="43"/>
      <c r="Z45" s="9"/>
      <c r="AA45" s="9" t="n">
        <f aca="false">IF($A45&gt;=AB$25,IF($A45&lt;=AB$26,$T45,0),0)</f>
        <v>31.4251</v>
      </c>
      <c r="AB45" s="9" t="n">
        <f aca="false">IF(T45&gt;0,AD45/AA45,0)</f>
        <v>4.581</v>
      </c>
      <c r="AC45" s="1" t="n">
        <f aca="false">AA45*($B45+B$13)</f>
        <v>143.9583831</v>
      </c>
      <c r="AD45" s="33" t="n">
        <f aca="false">IF(ISNUMBER(((AC45/AA45)+B$15+$C45)*AA45),((AC45/AA45)+B$15+$C45)*AA45,0)</f>
        <v>143.9583831</v>
      </c>
      <c r="AE45" s="44" t="e">
        <f aca="false">IF(AA45=0,0,bsd(1,AF$27,AB45,$F45,$R45,$N45,$S45,0.1))</f>
        <v>#VALUE!</v>
      </c>
      <c r="AF45" s="44" t="e">
        <f aca="false">IF(AA45=0,0,bsd(2,AF$27,AB45,$F45,$R45,$N45,$S45,0.1))</f>
        <v>#VALUE!</v>
      </c>
      <c r="AG45" s="44" t="e">
        <f aca="false">IF(AA45=0,0,bsd(AF$28,AF$27,AB45,$F45,$R45,$N45,$S45,0.1))</f>
        <v>#VALUE!</v>
      </c>
      <c r="AH45" s="45" t="e">
        <f aca="false">AA45*AE45</f>
        <v>#VALUE!</v>
      </c>
      <c r="AI45" s="45" t="e">
        <f aca="false">AA45*AF45</f>
        <v>#VALUE!</v>
      </c>
      <c r="AJ45" s="45" t="e">
        <f aca="false">AA45*AG45</f>
        <v>#VALUE!</v>
      </c>
      <c r="AL45" s="9" t="n">
        <f aca="false">IF($A45&gt;=AM$25,IF($A45&lt;=AM$26,$T45,0),0)</f>
        <v>0</v>
      </c>
      <c r="AM45" s="9" t="e">
        <f aca="false">AO45/AL45</f>
        <v>#DIV/0!</v>
      </c>
      <c r="AN45" s="1" t="n">
        <f aca="false">AL45*($B45+D$13)</f>
        <v>0</v>
      </c>
      <c r="AO45" s="33" t="n">
        <f aca="false">IF(ISNUMBER(((AN45/AL45)+D$15+$C45)*AL45),((AN45/AL45)+D$15+$C45)*AL45,0)</f>
        <v>0</v>
      </c>
      <c r="AP45" s="44" t="n">
        <f aca="false">IF(AL45=0,0,bsd(1,AQ$27,AM45,$G45,$R45,$O45,$S45,0.1))</f>
        <v>0</v>
      </c>
      <c r="AQ45" s="44" t="n">
        <f aca="false">IF(AL45=0,0,bsd(2,AQ$27,AM45,$G45,$R45,$O45,$S45,0.1))</f>
        <v>0</v>
      </c>
      <c r="AR45" s="44" t="n">
        <f aca="false">IF(AL45=0,0,bsd(AQ$28,AQ$27,AM45,$G45,$R45,$O45,$S45,0.1))</f>
        <v>0</v>
      </c>
      <c r="AS45" s="45" t="n">
        <f aca="false">AL45*AP45</f>
        <v>0</v>
      </c>
      <c r="AT45" s="45" t="n">
        <f aca="false">AL45*AQ45</f>
        <v>0</v>
      </c>
      <c r="AU45" s="45" t="n">
        <f aca="false">AL45*AR45</f>
        <v>0</v>
      </c>
      <c r="AW45" s="9" t="n">
        <f aca="false">IF($A45&gt;=AX$25,IF($A45&lt;=AX$26,$T45,0),0)</f>
        <v>0</v>
      </c>
      <c r="AX45" s="9" t="e">
        <f aca="false">AZ45/AW45</f>
        <v>#DIV/0!</v>
      </c>
      <c r="AY45" s="1" t="n">
        <f aca="false">AW45*($B45+F$13)</f>
        <v>0</v>
      </c>
      <c r="AZ45" s="33" t="n">
        <f aca="false">IF(ISNUMBER(((AY45/AW45)+F$15+$C45)*AW45),((AY45/AW45)+F$15+$C45)*AW45,0)</f>
        <v>0</v>
      </c>
      <c r="BA45" s="44" t="n">
        <f aca="false">IF(AW45=0,0,bsd(1,BB$27,AX45,$H45,$R45,$P45,$S45,0.1))</f>
        <v>0</v>
      </c>
      <c r="BB45" s="44" t="n">
        <f aca="false">IF(AW45=0,0,bsd(2,BB$27,AX45,$H45,$R45,$P45,$S45,0.1))</f>
        <v>0</v>
      </c>
      <c r="BC45" s="44" t="n">
        <f aca="false">IF(AW45=0,0,bsd(BB$28,BB$27,AX45,$H45,$R45,$P45,$S45,0.1))</f>
        <v>0</v>
      </c>
      <c r="BD45" s="45" t="n">
        <f aca="false">AW45*BA45</f>
        <v>0</v>
      </c>
      <c r="BE45" s="45" t="n">
        <f aca="false">AW45*BB45</f>
        <v>0</v>
      </c>
      <c r="BF45" s="45" t="n">
        <f aca="false">AW45*BC45</f>
        <v>0</v>
      </c>
      <c r="BH45" s="9" t="n">
        <f aca="false">IF($A45&gt;=BI$25,IF($A45&lt;=BI$26,$T45,0),0)</f>
        <v>0</v>
      </c>
      <c r="BI45" s="9" t="e">
        <f aca="false">BK45/BH45</f>
        <v>#DIV/0!</v>
      </c>
      <c r="BJ45" s="1" t="n">
        <f aca="false">BH45*($B45+H$13)</f>
        <v>0</v>
      </c>
      <c r="BK45" s="33" t="n">
        <f aca="false">IF(ISNUMBER(((BJ45/BH45)+H$15+$C45)*BH45),((BJ45/BH45)+H$15+$C45)*BH45,0)</f>
        <v>0</v>
      </c>
      <c r="BL45" s="44" t="n">
        <f aca="false">IF(BH45=0,0,bsd(1,BM$27,BI45,$I45,$R45,$Q45,$S45,0.1))</f>
        <v>0</v>
      </c>
      <c r="BM45" s="44" t="n">
        <f aca="false">IF(BH45=0,0,bsd(2,BM$27,BI45,$I45,$R45,$Q45,$S45,0.1))</f>
        <v>0</v>
      </c>
      <c r="BN45" s="44" t="n">
        <f aca="false">IF(BH45=0,0,bsd(BM$28,BM$27,BI45,$I45,$R45,$Q45,$S45,0.1))</f>
        <v>0</v>
      </c>
      <c r="BO45" s="45" t="n">
        <f aca="false">BH45*BL45</f>
        <v>0</v>
      </c>
      <c r="BP45" s="45" t="n">
        <f aca="false">BH45*BM45</f>
        <v>0</v>
      </c>
      <c r="BQ45" s="45" t="n">
        <f aca="false">BH45*BN45</f>
        <v>0</v>
      </c>
    </row>
    <row r="46" customFormat="false" ht="12.75" hidden="false" customHeight="false" outlineLevel="0" collapsed="false">
      <c r="A46" s="48" t="n">
        <f aca="false">DATE(YEAR(A45),MONTH(A45)+1,1)</f>
        <v>37257</v>
      </c>
      <c r="B46" s="40" t="n">
        <f aca="false">VLOOKUP(A46,STRADDLE,5,FALSE())</f>
        <v>4.546</v>
      </c>
      <c r="C46" s="40" t="n">
        <v>0</v>
      </c>
      <c r="D46" s="4" t="n">
        <f aca="false">VLOOKUP(A46,STRADDLE,8,FALSE())</f>
        <v>0.4175</v>
      </c>
      <c r="E46" s="131" t="n">
        <f aca="false">IF(ISNUMBER(VLOOKUP(A46,VOLCURVES,HLOOKUP(B$5,VOLCURVES,2,FALSE()),FALSE())),VLOOKUP(A46,VOLCURVES,HLOOKUP(B$5,VOLCURVES,2,FALSE()),FALSE()),1)</f>
        <v>1</v>
      </c>
      <c r="F46" s="41" t="n">
        <f aca="false">IF($B$17=4,$AB46,$B$16)</f>
        <v>3.8</v>
      </c>
      <c r="G46" s="41" t="n">
        <f aca="false">IF($D$17=4,$AM46,$D$16)</f>
        <v>3.5</v>
      </c>
      <c r="H46" s="41" t="n">
        <f aca="false">IF($F$17=4,$AX46,$F$16)</f>
        <v>2.96</v>
      </c>
      <c r="I46" s="41" t="n">
        <f aca="false">IF($H$17=4,$BI46,$H$16)</f>
        <v>2.99</v>
      </c>
      <c r="J46" s="4" t="n">
        <f aca="false">IF($B$19=1,VLOOKUP($A46,SkewTable,HLOOKUP(ROUND(F46-AB46,1),SkewTable,2,FALSE()),FALSE())/100,0)</f>
        <v>-0.010545</v>
      </c>
      <c r="K46" s="4" t="e">
        <f aca="false">IF($D$19=1,VLOOKUP($A46,SkewTable,HLOOKUP(ROUND(G46-AM46,1),SkewTable,2,FALSE()),FALSE())/100,0)</f>
        <v>#DIV/0!</v>
      </c>
      <c r="L46" s="4" t="e">
        <f aca="false">IF($F$19=1,VLOOKUP($A46,SkewTable,HLOOKUP(ROUND(H46-AX46,1),SkewTable,2,FALSE()),FALSE())/100,0)</f>
        <v>#DIV/0!</v>
      </c>
      <c r="M46" s="4" t="e">
        <f aca="false">IF($H$19=1,VLOOKUP($A46,SkewTable,HLOOKUP(ROUND(I46-BI46,1),SkewTable,2,FALSE()),FALSE())/100,0)</f>
        <v>#DIV/0!</v>
      </c>
      <c r="N46" s="4" t="n">
        <f aca="false">(($D46+J46)*$E46)+B$18</f>
        <v>0.406955</v>
      </c>
      <c r="O46" s="4" t="e">
        <f aca="false">(($D46+K46)*$E46)+D$18</f>
        <v>#DIV/0!</v>
      </c>
      <c r="P46" s="4" t="e">
        <f aca="false">(($D46+L46)*$E46)+F$18</f>
        <v>#DIV/0!</v>
      </c>
      <c r="Q46" s="4" t="e">
        <f aca="false">(($D46+M46)*$E46)+H$18</f>
        <v>#DIV/0!</v>
      </c>
      <c r="R46" s="136" t="n">
        <f aca="false">IF(B$4=1,VLOOKUP(A46,expiration,2,FALSE()),VLOOKUP(A46,expiration,3,FALSE()))-B$2+$B$1</f>
        <v>-8674</v>
      </c>
      <c r="S46" s="4" t="n">
        <f aca="false">VLOOKUP($A46,STRADDLE,12,FALSE())</f>
        <v>0.067333198956693</v>
      </c>
      <c r="T46" s="1" t="n">
        <v>30.5105</v>
      </c>
      <c r="U46" s="43" t="n">
        <v>0</v>
      </c>
      <c r="V46" s="1" t="n">
        <v>3</v>
      </c>
      <c r="X46" s="43"/>
      <c r="Z46" s="9"/>
      <c r="AA46" s="9" t="n">
        <f aca="false">IF($A46&gt;=AB$25,IF($A46&lt;=AB$26,$T46,0),0)</f>
        <v>30.5105</v>
      </c>
      <c r="AB46" s="9" t="n">
        <f aca="false">IF(T46&gt;0,AD46/AA46,0)</f>
        <v>4.546</v>
      </c>
      <c r="AC46" s="1" t="n">
        <f aca="false">AA46*($B46+B$13)</f>
        <v>138.700733</v>
      </c>
      <c r="AD46" s="33" t="n">
        <f aca="false">IF(ISNUMBER(((AC46/AA46)+B$15+$C46)*AA46),((AC46/AA46)+B$15+$C46)*AA46,0)</f>
        <v>138.700733</v>
      </c>
      <c r="AE46" s="44" t="e">
        <f aca="false">IF(AA46=0,0,bsd(1,AF$27,AB46,$F46,$R46,$N46,$S46,0.1))</f>
        <v>#VALUE!</v>
      </c>
      <c r="AF46" s="44" t="e">
        <f aca="false">IF(AA46=0,0,bsd(2,AF$27,AB46,$F46,$R46,$N46,$S46,0.1))</f>
        <v>#VALUE!</v>
      </c>
      <c r="AG46" s="44" t="e">
        <f aca="false">IF(AA46=0,0,bsd(AF$28,AF$27,AB46,$F46,$R46,$N46,$S46,0.1))</f>
        <v>#VALUE!</v>
      </c>
      <c r="AH46" s="45" t="e">
        <f aca="false">AA46*AE46</f>
        <v>#VALUE!</v>
      </c>
      <c r="AI46" s="45" t="e">
        <f aca="false">AA46*AF46</f>
        <v>#VALUE!</v>
      </c>
      <c r="AJ46" s="45" t="e">
        <f aca="false">AA46*AG46</f>
        <v>#VALUE!</v>
      </c>
      <c r="AL46" s="9" t="n">
        <f aca="false">IF($A46&gt;=AM$25,IF($A46&lt;=AM$26,$T46,0),0)</f>
        <v>0</v>
      </c>
      <c r="AM46" s="9" t="e">
        <f aca="false">AO46/AL46</f>
        <v>#DIV/0!</v>
      </c>
      <c r="AN46" s="1" t="n">
        <f aca="false">AL46*($B46+D$13)</f>
        <v>0</v>
      </c>
      <c r="AO46" s="33" t="n">
        <f aca="false">IF(ISNUMBER(((AN46/AL46)+D$15+$C46)*AL46),((AN46/AL46)+D$15+$C46)*AL46,0)</f>
        <v>0</v>
      </c>
      <c r="AP46" s="44" t="n">
        <f aca="false">IF(AL46=0,0,bsd(1,AQ$27,AM46,$G46,$R46,$O46,$S46,0.1))</f>
        <v>0</v>
      </c>
      <c r="AQ46" s="44" t="n">
        <f aca="false">IF(AL46=0,0,bsd(2,AQ$27,AM46,$G46,$R46,$O46,$S46,0.1))</f>
        <v>0</v>
      </c>
      <c r="AR46" s="44" t="n">
        <f aca="false">IF(AL46=0,0,bsd(AQ$28,AQ$27,AM46,$G46,$R46,$O46,$S46,0.1))</f>
        <v>0</v>
      </c>
      <c r="AS46" s="45" t="n">
        <f aca="false">AL46*AP46</f>
        <v>0</v>
      </c>
      <c r="AT46" s="45" t="n">
        <f aca="false">AL46*AQ46</f>
        <v>0</v>
      </c>
      <c r="AU46" s="45" t="n">
        <f aca="false">AL46*AR46</f>
        <v>0</v>
      </c>
      <c r="AW46" s="9" t="n">
        <f aca="false">IF($A46&gt;=AX$25,IF($A46&lt;=AX$26,$T46,0),0)</f>
        <v>0</v>
      </c>
      <c r="AX46" s="9" t="e">
        <f aca="false">AZ46/AW46</f>
        <v>#DIV/0!</v>
      </c>
      <c r="AY46" s="1" t="n">
        <f aca="false">AW46*($B46+F$13)</f>
        <v>0</v>
      </c>
      <c r="AZ46" s="33" t="n">
        <f aca="false">IF(ISNUMBER(((AY46/AW46)+F$15+$C46)*AW46),((AY46/AW46)+F$15+$C46)*AW46,0)</f>
        <v>0</v>
      </c>
      <c r="BA46" s="44" t="n">
        <f aca="false">IF(AW46=0,0,bsd(1,BB$27,AX46,$H46,$R46,$P46,$S46,0.1))</f>
        <v>0</v>
      </c>
      <c r="BB46" s="44" t="n">
        <f aca="false">IF(AW46=0,0,bsd(2,BB$27,AX46,$H46,$R46,$P46,$S46,0.1))</f>
        <v>0</v>
      </c>
      <c r="BC46" s="44" t="n">
        <f aca="false">IF(AW46=0,0,bsd(BB$28,BB$27,AX46,$H46,$R46,$P46,$S46,0.1))</f>
        <v>0</v>
      </c>
      <c r="BD46" s="45" t="n">
        <f aca="false">AW46*BA46</f>
        <v>0</v>
      </c>
      <c r="BE46" s="45" t="n">
        <f aca="false">AW46*BB46</f>
        <v>0</v>
      </c>
      <c r="BF46" s="45" t="n">
        <f aca="false">AW46*BC46</f>
        <v>0</v>
      </c>
      <c r="BH46" s="9" t="n">
        <f aca="false">IF($A46&gt;=BI$25,IF($A46&lt;=BI$26,$T46,0),0)</f>
        <v>0</v>
      </c>
      <c r="BI46" s="9" t="e">
        <f aca="false">BK46/BH46</f>
        <v>#DIV/0!</v>
      </c>
      <c r="BJ46" s="1" t="n">
        <f aca="false">BH46*($B46+H$13)</f>
        <v>0</v>
      </c>
      <c r="BK46" s="33" t="n">
        <f aca="false">IF(ISNUMBER(((BJ46/BH46)+H$15+$C46)*BH46),((BJ46/BH46)+H$15+$C46)*BH46,0)</f>
        <v>0</v>
      </c>
      <c r="BL46" s="44" t="n">
        <f aca="false">IF(BH46=0,0,bsd(1,BM$27,BI46,$I46,$R46,$Q46,$S46,0.1))</f>
        <v>0</v>
      </c>
      <c r="BM46" s="44" t="n">
        <f aca="false">IF(BH46=0,0,bsd(2,BM$27,BI46,$I46,$R46,$Q46,$S46,0.1))</f>
        <v>0</v>
      </c>
      <c r="BN46" s="44" t="n">
        <f aca="false">IF(BH46=0,0,bsd(BM$28,BM$27,BI46,$I46,$R46,$Q46,$S46,0.1))</f>
        <v>0</v>
      </c>
      <c r="BO46" s="45" t="n">
        <f aca="false">BH46*BL46</f>
        <v>0</v>
      </c>
      <c r="BP46" s="45" t="n">
        <f aca="false">BH46*BM46</f>
        <v>0</v>
      </c>
      <c r="BQ46" s="45" t="n">
        <f aca="false">BH46*BN46</f>
        <v>0</v>
      </c>
    </row>
    <row r="47" customFormat="false" ht="12.75" hidden="false" customHeight="false" outlineLevel="0" collapsed="false">
      <c r="A47" s="48" t="n">
        <f aca="false">DATE(YEAR(A46),MONTH(A46)+1,1)</f>
        <v>37288</v>
      </c>
      <c r="B47" s="40" t="n">
        <f aca="false">VLOOKUP(A47,STRADDLE,5,FALSE())</f>
        <v>4.321</v>
      </c>
      <c r="C47" s="40" t="n">
        <v>0</v>
      </c>
      <c r="D47" s="4" t="n">
        <f aca="false">VLOOKUP(A47,STRADDLE,8,FALSE())</f>
        <v>0.4075</v>
      </c>
      <c r="E47" s="131" t="n">
        <f aca="false">IF(ISNUMBER(VLOOKUP(A47,VOLCURVES,HLOOKUP(B$5,VOLCURVES,2,FALSE()),FALSE())),VLOOKUP(A47,VOLCURVES,HLOOKUP(B$5,VOLCURVES,2,FALSE()),FALSE()),1)</f>
        <v>1</v>
      </c>
      <c r="F47" s="41" t="n">
        <f aca="false">IF($B$17=4,$AB47,$B$16)</f>
        <v>3.8</v>
      </c>
      <c r="G47" s="41" t="n">
        <f aca="false">IF($D$17=4,$AM47,$D$16)</f>
        <v>3.5</v>
      </c>
      <c r="H47" s="41" t="n">
        <f aca="false">IF($F$17=4,$AX47,$F$16)</f>
        <v>2.96</v>
      </c>
      <c r="I47" s="41" t="n">
        <f aca="false">IF($H$17=4,$BI47,$H$16)</f>
        <v>2.99</v>
      </c>
      <c r="J47" s="4" t="n">
        <f aca="false">IF($B$19=1,VLOOKUP($A47,SkewTable,HLOOKUP(ROUND(F47-AB47,1),SkewTable,2,FALSE()),FALSE())/100,0)</f>
        <v>-0.01</v>
      </c>
      <c r="K47" s="4" t="e">
        <f aca="false">IF($D$19=1,VLOOKUP($A47,SkewTable,HLOOKUP(ROUND(G47-AM47,1),SkewTable,2,FALSE()),FALSE())/100,0)</f>
        <v>#DIV/0!</v>
      </c>
      <c r="L47" s="4" t="e">
        <f aca="false">IF($F$19=1,VLOOKUP($A47,SkewTable,HLOOKUP(ROUND(H47-AX47,1),SkewTable,2,FALSE()),FALSE())/100,0)</f>
        <v>#DIV/0!</v>
      </c>
      <c r="M47" s="4" t="e">
        <f aca="false">IF($H$19=1,VLOOKUP($A47,SkewTable,HLOOKUP(ROUND(I47-BI47,1),SkewTable,2,FALSE()),FALSE())/100,0)</f>
        <v>#DIV/0!</v>
      </c>
      <c r="N47" s="4" t="n">
        <f aca="false">(($D47+J47)*$E47)+B$18</f>
        <v>0.3975</v>
      </c>
      <c r="O47" s="4" t="e">
        <f aca="false">(($D47+K47)*$E47)+D$18</f>
        <v>#DIV/0!</v>
      </c>
      <c r="P47" s="4" t="e">
        <f aca="false">(($D47+L47)*$E47)+F$18</f>
        <v>#DIV/0!</v>
      </c>
      <c r="Q47" s="4" t="e">
        <f aca="false">(($D47+M47)*$E47)+H$18</f>
        <v>#DIV/0!</v>
      </c>
      <c r="R47" s="136" t="n">
        <f aca="false">IF(B$4=1,VLOOKUP(A47,expiration,2,FALSE()),VLOOKUP(A47,expiration,3,FALSE()))-B$2+$B$1</f>
        <v>-8641</v>
      </c>
      <c r="S47" s="4" t="n">
        <f aca="false">VLOOKUP($A47,STRADDLE,12,FALSE())</f>
        <v>0.067329715733591</v>
      </c>
      <c r="T47" s="1" t="n">
        <v>29.0824</v>
      </c>
      <c r="U47" s="43" t="n">
        <v>0</v>
      </c>
      <c r="V47" s="1" t="n">
        <v>4</v>
      </c>
      <c r="X47" s="43"/>
      <c r="Z47" s="9"/>
      <c r="AA47" s="9" t="n">
        <f aca="false">IF($A47&gt;=AB$25,IF($A47&lt;=AB$26,$T47,0),0)</f>
        <v>29.0824</v>
      </c>
      <c r="AB47" s="9" t="n">
        <f aca="false">IF(T47&gt;0,AD47/AA47,0)</f>
        <v>4.321</v>
      </c>
      <c r="AC47" s="1" t="n">
        <f aca="false">AA47*($B47+B$13)</f>
        <v>125.6650504</v>
      </c>
      <c r="AD47" s="33" t="n">
        <f aca="false">IF(ISNUMBER(((AC47/AA47)+B$15+$C47)*AA47),((AC47/AA47)+B$15+$C47)*AA47,0)</f>
        <v>125.6650504</v>
      </c>
      <c r="AE47" s="44" t="e">
        <f aca="false">IF(AA47=0,0,bsd(1,AF$27,AB47,$F47,$R47,$N47,$S47,0.1))</f>
        <v>#VALUE!</v>
      </c>
      <c r="AF47" s="44" t="e">
        <f aca="false">IF(AA47=0,0,bsd(2,AF$27,AB47,$F47,$R47,$N47,$S47,0.1))</f>
        <v>#VALUE!</v>
      </c>
      <c r="AG47" s="44" t="e">
        <f aca="false">IF(AA47=0,0,bsd(AF$28,AF$27,AB47,$F47,$R47,$N47,$S47,0.1))</f>
        <v>#VALUE!</v>
      </c>
      <c r="AH47" s="45" t="e">
        <f aca="false">AA47*AE47</f>
        <v>#VALUE!</v>
      </c>
      <c r="AI47" s="45" t="e">
        <f aca="false">AA47*AF47</f>
        <v>#VALUE!</v>
      </c>
      <c r="AJ47" s="45" t="e">
        <f aca="false">AA47*AG47</f>
        <v>#VALUE!</v>
      </c>
      <c r="AL47" s="9" t="n">
        <f aca="false">IF($A47&gt;=AM$25,IF($A47&lt;=AM$26,$T47,0),0)</f>
        <v>0</v>
      </c>
      <c r="AM47" s="9" t="e">
        <f aca="false">AO47/AL47</f>
        <v>#DIV/0!</v>
      </c>
      <c r="AN47" s="1" t="n">
        <f aca="false">AL47*($B47+D$13)</f>
        <v>0</v>
      </c>
      <c r="AO47" s="33" t="n">
        <f aca="false">IF(ISNUMBER(((AN47/AL47)+D$15+$C47)*AL47),((AN47/AL47)+D$15+$C47)*AL47,0)</f>
        <v>0</v>
      </c>
      <c r="AP47" s="44" t="n">
        <f aca="false">IF(AL47=0,0,bsd(1,AQ$27,AM47,$G47,$R47,$O47,$S47,0.1))</f>
        <v>0</v>
      </c>
      <c r="AQ47" s="44" t="n">
        <f aca="false">IF(AL47=0,0,bsd(2,AQ$27,AM47,$G47,$R47,$O47,$S47,0.1))</f>
        <v>0</v>
      </c>
      <c r="AR47" s="44" t="n">
        <f aca="false">IF(AL47=0,0,bsd(AQ$28,AQ$27,AM47,$G47,$R47,$O47,$S47,0.1))</f>
        <v>0</v>
      </c>
      <c r="AS47" s="45" t="n">
        <f aca="false">AL47*AP47</f>
        <v>0</v>
      </c>
      <c r="AT47" s="45" t="n">
        <f aca="false">AL47*AQ47</f>
        <v>0</v>
      </c>
      <c r="AU47" s="45" t="n">
        <f aca="false">AL47*AR47</f>
        <v>0</v>
      </c>
      <c r="AW47" s="9" t="n">
        <f aca="false">IF($A47&gt;=AX$25,IF($A47&lt;=AX$26,$T47,0),0)</f>
        <v>0</v>
      </c>
      <c r="AX47" s="9" t="e">
        <f aca="false">AZ47/AW47</f>
        <v>#DIV/0!</v>
      </c>
      <c r="AY47" s="1" t="n">
        <f aca="false">AW47*($B47+F$13)</f>
        <v>0</v>
      </c>
      <c r="AZ47" s="33" t="n">
        <f aca="false">IF(ISNUMBER(((AY47/AW47)+F$15+$C47)*AW47),((AY47/AW47)+F$15+$C47)*AW47,0)</f>
        <v>0</v>
      </c>
      <c r="BA47" s="44" t="n">
        <f aca="false">IF(AW47=0,0,bsd(1,BB$27,AX47,$H47,$R47,$P47,$S47,0.1))</f>
        <v>0</v>
      </c>
      <c r="BB47" s="44" t="n">
        <f aca="false">IF(AW47=0,0,bsd(2,BB$27,AX47,$H47,$R47,$P47,$S47,0.1))</f>
        <v>0</v>
      </c>
      <c r="BC47" s="44" t="n">
        <f aca="false">IF(AW47=0,0,bsd(BB$28,BB$27,AX47,$H47,$R47,$P47,$S47,0.1))</f>
        <v>0</v>
      </c>
      <c r="BD47" s="45" t="n">
        <f aca="false">AW47*BA47</f>
        <v>0</v>
      </c>
      <c r="BE47" s="45" t="n">
        <f aca="false">AW47*BB47</f>
        <v>0</v>
      </c>
      <c r="BF47" s="45" t="n">
        <f aca="false">AW47*BC47</f>
        <v>0</v>
      </c>
      <c r="BH47" s="9" t="n">
        <f aca="false">IF($A47&gt;=BI$25,IF($A47&lt;=BI$26,$T47,0),0)</f>
        <v>0</v>
      </c>
      <c r="BI47" s="9" t="e">
        <f aca="false">BK47/BH47</f>
        <v>#DIV/0!</v>
      </c>
      <c r="BJ47" s="1" t="n">
        <f aca="false">BH47*($B47+H$13)</f>
        <v>0</v>
      </c>
      <c r="BK47" s="33" t="n">
        <f aca="false">IF(ISNUMBER(((BJ47/BH47)+H$15+$C47)*BH47),((BJ47/BH47)+H$15+$C47)*BH47,0)</f>
        <v>0</v>
      </c>
      <c r="BL47" s="44" t="n">
        <f aca="false">IF(BH47=0,0,bsd(1,BM$27,BI47,$I47,$R47,$Q47,$S47,0.1))</f>
        <v>0</v>
      </c>
      <c r="BM47" s="44" t="n">
        <f aca="false">IF(BH47=0,0,bsd(2,BM$27,BI47,$I47,$R47,$Q47,$S47,0.1))</f>
        <v>0</v>
      </c>
      <c r="BN47" s="44" t="n">
        <f aca="false">IF(BH47=0,0,bsd(BM$28,BM$27,BI47,$I47,$R47,$Q47,$S47,0.1))</f>
        <v>0</v>
      </c>
      <c r="BO47" s="45" t="n">
        <f aca="false">BH47*BL47</f>
        <v>0</v>
      </c>
      <c r="BP47" s="45" t="n">
        <f aca="false">BH47*BM47</f>
        <v>0</v>
      </c>
      <c r="BQ47" s="45" t="n">
        <f aca="false">BH47*BN47</f>
        <v>0</v>
      </c>
    </row>
    <row r="48" customFormat="false" ht="12.75" hidden="false" customHeight="false" outlineLevel="0" collapsed="false">
      <c r="A48" s="48" t="n">
        <f aca="false">DATE(YEAR(A47),MONTH(A47)+1,1)</f>
        <v>37316</v>
      </c>
      <c r="B48" s="40" t="n">
        <f aca="false">VLOOKUP(A48,STRADDLE,5,FALSE())</f>
        <v>4.091</v>
      </c>
      <c r="C48" s="40" t="n">
        <v>0</v>
      </c>
      <c r="D48" s="4" t="n">
        <f aca="false">VLOOKUP(A48,STRADDLE,8,FALSE())</f>
        <v>0.3675</v>
      </c>
      <c r="E48" s="131" t="n">
        <f aca="false">IF(ISNUMBER(VLOOKUP(A48,VOLCURVES,HLOOKUP(B$5,VOLCURVES,2,FALSE()),FALSE())),VLOOKUP(A48,VOLCURVES,HLOOKUP(B$5,VOLCURVES,2,FALSE()),FALSE()),1)</f>
        <v>1</v>
      </c>
      <c r="F48" s="41" t="n">
        <f aca="false">IF($B$17=4,$AB48,$B$16)</f>
        <v>3.8</v>
      </c>
      <c r="G48" s="41" t="n">
        <f aca="false">IF($D$17=4,$AM48,$D$16)</f>
        <v>3.5</v>
      </c>
      <c r="H48" s="41" t="n">
        <f aca="false">IF($F$17=4,$AX48,$F$16)</f>
        <v>2.96</v>
      </c>
      <c r="I48" s="41" t="n">
        <f aca="false">IF($H$17=4,$BI48,$H$16)</f>
        <v>2.99</v>
      </c>
      <c r="J48" s="4" t="n">
        <f aca="false">IF($B$19=1,VLOOKUP($A48,SkewTable,HLOOKUP(ROUND(F48-AB48,1),SkewTable,2,FALSE()),FALSE())/100,0)</f>
        <v>-0.006</v>
      </c>
      <c r="K48" s="4" t="e">
        <f aca="false">IF($D$19=1,VLOOKUP($A48,SkewTable,HLOOKUP(ROUND(G48-AM48,1),SkewTable,2,FALSE()),FALSE())/100,0)</f>
        <v>#DIV/0!</v>
      </c>
      <c r="L48" s="4" t="e">
        <f aca="false">IF($F$19=1,VLOOKUP($A48,SkewTable,HLOOKUP(ROUND(H48-AX48,1),SkewTable,2,FALSE()),FALSE())/100,0)</f>
        <v>#DIV/0!</v>
      </c>
      <c r="M48" s="4" t="e">
        <f aca="false">IF($H$19=1,VLOOKUP($A48,SkewTable,HLOOKUP(ROUND(I48-BI48,1),SkewTable,2,FALSE()),FALSE())/100,0)</f>
        <v>#DIV/0!</v>
      </c>
      <c r="N48" s="4" t="n">
        <f aca="false">(($D48+J48)*$E48)+B$18</f>
        <v>0.3615</v>
      </c>
      <c r="O48" s="4" t="e">
        <f aca="false">(($D48+K48)*$E48)+D$18</f>
        <v>#DIV/0!</v>
      </c>
      <c r="P48" s="4" t="e">
        <f aca="false">(($D48+L48)*$E48)+F$18</f>
        <v>#DIV/0!</v>
      </c>
      <c r="Q48" s="4" t="e">
        <f aca="false">(($D48+M48)*$E48)+H$18</f>
        <v>#DIV/0!</v>
      </c>
      <c r="R48" s="136" t="n">
        <f aca="false">IF(B$4=1,VLOOKUP(A48,expiration,2,FALSE()),VLOOKUP(A48,expiration,3,FALSE()))-B$2+$B$1</f>
        <v>-8613</v>
      </c>
      <c r="S48" s="4" t="n">
        <f aca="false">VLOOKUP($A48,STRADDLE,12,FALSE())</f>
        <v>0.067326569596599</v>
      </c>
      <c r="T48" s="1" t="n">
        <v>28.1099</v>
      </c>
      <c r="U48" s="43" t="n">
        <v>0</v>
      </c>
      <c r="V48" s="1" t="n">
        <v>4</v>
      </c>
      <c r="X48" s="43"/>
      <c r="Z48" s="9"/>
      <c r="AA48" s="9" t="n">
        <f aca="false">IF($A48&gt;=AB$25,IF($A48&lt;=AB$26,$T48,0),0)</f>
        <v>28.1099</v>
      </c>
      <c r="AB48" s="9" t="n">
        <f aca="false">IF(T48&gt;0,AD48/AA48,0)</f>
        <v>4.091</v>
      </c>
      <c r="AC48" s="1" t="n">
        <f aca="false">AA48*($B48+B$13)</f>
        <v>114.9976009</v>
      </c>
      <c r="AD48" s="33" t="n">
        <f aca="false">IF(ISNUMBER(((AC48/AA48)+B$15+$C48)*AA48),((AC48/AA48)+B$15+$C48)*AA48,0)</f>
        <v>114.9976009</v>
      </c>
      <c r="AE48" s="44" t="e">
        <f aca="false">IF(AA48=0,0,bsd(1,AF$27,AB48,$F48,$R48,$N48,$S48,0.1))</f>
        <v>#VALUE!</v>
      </c>
      <c r="AF48" s="44" t="e">
        <f aca="false">IF(AA48=0,0,bsd(2,AF$27,AB48,$F48,$R48,$N48,$S48,0.1))</f>
        <v>#VALUE!</v>
      </c>
      <c r="AG48" s="44" t="e">
        <f aca="false">IF(AA48=0,0,bsd(AF$28,AF$27,AB48,$F48,$R48,$N48,$S48,0.1))</f>
        <v>#VALUE!</v>
      </c>
      <c r="AH48" s="45" t="e">
        <f aca="false">AA48*AE48</f>
        <v>#VALUE!</v>
      </c>
      <c r="AI48" s="45" t="e">
        <f aca="false">AA48*AF48</f>
        <v>#VALUE!</v>
      </c>
      <c r="AJ48" s="45" t="e">
        <f aca="false">AA48*AG48</f>
        <v>#VALUE!</v>
      </c>
      <c r="AL48" s="9" t="n">
        <f aca="false">IF($A48&gt;=AM$25,IF($A48&lt;=AM$26,$T48,0),0)</f>
        <v>0</v>
      </c>
      <c r="AM48" s="9" t="e">
        <f aca="false">AO48/AL48</f>
        <v>#DIV/0!</v>
      </c>
      <c r="AN48" s="1" t="n">
        <f aca="false">AL48*($B48+D$13)</f>
        <v>0</v>
      </c>
      <c r="AO48" s="33" t="n">
        <f aca="false">IF(ISNUMBER(((AN48/AL48)+D$15+$C48)*AL48),((AN48/AL48)+D$15+$C48)*AL48,0)</f>
        <v>0</v>
      </c>
      <c r="AP48" s="44" t="n">
        <f aca="false">IF(AL48=0,0,bsd(1,AQ$27,AM48,$G48,$R48,$O48,$S48,0.1))</f>
        <v>0</v>
      </c>
      <c r="AQ48" s="44" t="n">
        <f aca="false">IF(AL48=0,0,bsd(2,AQ$27,AM48,$G48,$R48,$O48,$S48,0.1))</f>
        <v>0</v>
      </c>
      <c r="AR48" s="44" t="n">
        <f aca="false">IF(AL48=0,0,bsd(AQ$28,AQ$27,AM48,$G48,$R48,$O48,$S48,0.1))</f>
        <v>0</v>
      </c>
      <c r="AS48" s="45" t="n">
        <f aca="false">AL48*AP48</f>
        <v>0</v>
      </c>
      <c r="AT48" s="45" t="n">
        <f aca="false">AL48*AQ48</f>
        <v>0</v>
      </c>
      <c r="AU48" s="45" t="n">
        <f aca="false">AL48*AR48</f>
        <v>0</v>
      </c>
      <c r="AW48" s="9" t="n">
        <f aca="false">IF($A48&gt;=AX$25,IF($A48&lt;=AX$26,$T48,0),0)</f>
        <v>0</v>
      </c>
      <c r="AX48" s="9" t="e">
        <f aca="false">AZ48/AW48</f>
        <v>#DIV/0!</v>
      </c>
      <c r="AY48" s="1" t="n">
        <f aca="false">AW48*($B48+F$13)</f>
        <v>0</v>
      </c>
      <c r="AZ48" s="33" t="n">
        <f aca="false">IF(ISNUMBER(((AY48/AW48)+F$15+$C48)*AW48),((AY48/AW48)+F$15+$C48)*AW48,0)</f>
        <v>0</v>
      </c>
      <c r="BA48" s="44" t="n">
        <f aca="false">IF(AW48=0,0,bsd(1,BB$27,AX48,$H48,$R48,$P48,$S48,0.1))</f>
        <v>0</v>
      </c>
      <c r="BB48" s="44" t="n">
        <f aca="false">IF(AW48=0,0,bsd(2,BB$27,AX48,$H48,$R48,$P48,$S48,0.1))</f>
        <v>0</v>
      </c>
      <c r="BC48" s="44" t="n">
        <f aca="false">IF(AW48=0,0,bsd(BB$28,BB$27,AX48,$H48,$R48,$P48,$S48,0.1))</f>
        <v>0</v>
      </c>
      <c r="BD48" s="45" t="n">
        <f aca="false">AW48*BA48</f>
        <v>0</v>
      </c>
      <c r="BE48" s="45" t="n">
        <f aca="false">AW48*BB48</f>
        <v>0</v>
      </c>
      <c r="BF48" s="45" t="n">
        <f aca="false">AW48*BC48</f>
        <v>0</v>
      </c>
      <c r="BH48" s="9" t="n">
        <f aca="false">IF($A48&gt;=BI$25,IF($A48&lt;=BI$26,$T48,0),0)</f>
        <v>0</v>
      </c>
      <c r="BI48" s="9" t="e">
        <f aca="false">BK48/BH48</f>
        <v>#DIV/0!</v>
      </c>
      <c r="BJ48" s="1" t="n">
        <f aca="false">BH48*($B48+H$13)</f>
        <v>0</v>
      </c>
      <c r="BK48" s="33" t="n">
        <f aca="false">IF(ISNUMBER(((BJ48/BH48)+H$15+$C48)*BH48),((BJ48/BH48)+H$15+$C48)*BH48,0)</f>
        <v>0</v>
      </c>
      <c r="BL48" s="44" t="n">
        <f aca="false">IF(BH48=0,0,bsd(1,BM$27,BI48,$I48,$R48,$Q48,$S48,0.1))</f>
        <v>0</v>
      </c>
      <c r="BM48" s="44" t="n">
        <f aca="false">IF(BH48=0,0,bsd(2,BM$27,BI48,$I48,$R48,$Q48,$S48,0.1))</f>
        <v>0</v>
      </c>
      <c r="BN48" s="44" t="n">
        <f aca="false">IF(BH48=0,0,bsd(BM$28,BM$27,BI48,$I48,$R48,$Q48,$S48,0.1))</f>
        <v>0</v>
      </c>
      <c r="BO48" s="45" t="n">
        <f aca="false">BH48*BL48</f>
        <v>0</v>
      </c>
      <c r="BP48" s="45" t="n">
        <f aca="false">BH48*BM48</f>
        <v>0</v>
      </c>
      <c r="BQ48" s="45" t="n">
        <f aca="false">BH48*BN48</f>
        <v>0</v>
      </c>
    </row>
    <row r="49" customFormat="false" ht="12.75" hidden="false" customHeight="false" outlineLevel="0" collapsed="false">
      <c r="A49" s="48" t="n">
        <f aca="false">DATE(YEAR(A48),MONTH(A48)+1,1)</f>
        <v>37347</v>
      </c>
      <c r="B49" s="40" t="n">
        <f aca="false">VLOOKUP(A49,STRADDLE,5,FALSE())</f>
        <v>3.81</v>
      </c>
      <c r="C49" s="40" t="n">
        <v>0</v>
      </c>
      <c r="D49" s="4" t="n">
        <f aca="false">VLOOKUP(A49,STRADDLE,8,FALSE())</f>
        <v>0.3075</v>
      </c>
      <c r="E49" s="131" t="n">
        <f aca="false">IF(ISNUMBER(VLOOKUP(A49,VOLCURVES,HLOOKUP(B$5,VOLCURVES,2,FALSE()),FALSE())),VLOOKUP(A49,VOLCURVES,HLOOKUP(B$5,VOLCURVES,2,FALSE()),FALSE()),1)</f>
        <v>1</v>
      </c>
      <c r="F49" s="41" t="n">
        <f aca="false">IF($B$17=4,$AB49,$B$16)</f>
        <v>3.8</v>
      </c>
      <c r="G49" s="41" t="n">
        <f aca="false">IF($D$17=4,$AM49,$D$16)</f>
        <v>3.5</v>
      </c>
      <c r="H49" s="41" t="n">
        <f aca="false">IF($F$17=4,$AX49,$F$16)</f>
        <v>2.96</v>
      </c>
      <c r="I49" s="41" t="n">
        <f aca="false">IF($H$17=4,$BI49,$H$16)</f>
        <v>2.99</v>
      </c>
      <c r="J49" s="4" t="n">
        <f aca="false">IF($B$19=1,VLOOKUP($A49,SkewTable,HLOOKUP(ROUND(F49-AB49,1),SkewTable,2,FALSE()),FALSE())/100,0)</f>
        <v>0</v>
      </c>
      <c r="K49" s="4" t="e">
        <f aca="false">IF($D$19=1,VLOOKUP($A49,SkewTable,HLOOKUP(ROUND(G49-AM49,1),SkewTable,2,FALSE()),FALSE())/100,0)</f>
        <v>#DIV/0!</v>
      </c>
      <c r="L49" s="4" t="e">
        <f aca="false">IF($F$19=1,VLOOKUP($A49,SkewTable,HLOOKUP(ROUND(H49-AX49,1),SkewTable,2,FALSE()),FALSE())/100,0)</f>
        <v>#DIV/0!</v>
      </c>
      <c r="M49" s="4" t="e">
        <f aca="false">IF($H$19=1,VLOOKUP($A49,SkewTable,HLOOKUP(ROUND(I49-BI49,1),SkewTable,2,FALSE()),FALSE())/100,0)</f>
        <v>#DIV/0!</v>
      </c>
      <c r="N49" s="4" t="n">
        <f aca="false">(($D49+J49)*$E49)+B$18</f>
        <v>0.3075</v>
      </c>
      <c r="O49" s="4" t="e">
        <f aca="false">(($D49+K49)*$E49)+D$18</f>
        <v>#DIV/0!</v>
      </c>
      <c r="P49" s="4" t="e">
        <f aca="false">(($D49+L49)*$E49)+F$18</f>
        <v>#DIV/0!</v>
      </c>
      <c r="Q49" s="4" t="e">
        <f aca="false">(($D49+M49)*$E49)+H$18</f>
        <v>#DIV/0!</v>
      </c>
      <c r="R49" s="136" t="n">
        <f aca="false">IF(B$4=1,VLOOKUP(A49,expiration,2,FALSE()),VLOOKUP(A49,expiration,3,FALSE()))-B$2+$B$1</f>
        <v>-8585</v>
      </c>
      <c r="S49" s="4" t="n">
        <f aca="false">VLOOKUP($A49,STRADDLE,12,FALSE())</f>
        <v>0.067312742785332</v>
      </c>
      <c r="T49" s="1" t="n">
        <v>26.3854</v>
      </c>
      <c r="U49" s="43" t="n">
        <v>0</v>
      </c>
      <c r="V49" s="1" t="n">
        <v>2</v>
      </c>
      <c r="X49" s="43"/>
      <c r="Z49" s="9"/>
      <c r="AA49" s="9" t="n">
        <f aca="false">IF($A49&gt;=AB$25,IF($A49&lt;=AB$26,$T49,0),0)</f>
        <v>26.3854</v>
      </c>
      <c r="AB49" s="9" t="n">
        <f aca="false">IF(T49&gt;0,AD49/AA49,0)</f>
        <v>3.81</v>
      </c>
      <c r="AC49" s="1" t="n">
        <f aca="false">AA49*($B49+B$13)</f>
        <v>100.528374</v>
      </c>
      <c r="AD49" s="33" t="n">
        <f aca="false">IF(ISNUMBER(((AC49/AA49)+B$15+$C49)*AA49),((AC49/AA49)+B$15+$C49)*AA49,0)</f>
        <v>100.528374</v>
      </c>
      <c r="AE49" s="44" t="e">
        <f aca="false">IF(AA49=0,0,bsd(1,AF$27,AB49,$F49,$R49,$N49,$S49,0.1))</f>
        <v>#VALUE!</v>
      </c>
      <c r="AF49" s="44" t="e">
        <f aca="false">IF(AA49=0,0,bsd(2,AF$27,AB49,$F49,$R49,$N49,$S49,0.1))</f>
        <v>#VALUE!</v>
      </c>
      <c r="AG49" s="44" t="e">
        <f aca="false">IF(AA49=0,0,bsd(AF$28,AF$27,AB49,$F49,$R49,$N49,$S49,0.1))</f>
        <v>#VALUE!</v>
      </c>
      <c r="AH49" s="45" t="e">
        <f aca="false">AA49*AE49</f>
        <v>#VALUE!</v>
      </c>
      <c r="AI49" s="45" t="e">
        <f aca="false">AA49*AF49</f>
        <v>#VALUE!</v>
      </c>
      <c r="AJ49" s="45" t="e">
        <f aca="false">AA49*AG49</f>
        <v>#VALUE!</v>
      </c>
      <c r="AL49" s="9" t="n">
        <f aca="false">IF($A49&gt;=AM$25,IF($A49&lt;=AM$26,$T49,0),0)</f>
        <v>0</v>
      </c>
      <c r="AM49" s="9" t="e">
        <f aca="false">AO49/AL49</f>
        <v>#DIV/0!</v>
      </c>
      <c r="AN49" s="1" t="n">
        <f aca="false">AL49*($B49+D$13)</f>
        <v>0</v>
      </c>
      <c r="AO49" s="33" t="n">
        <f aca="false">IF(ISNUMBER(((AN49/AL49)+D$15+$C49)*AL49),((AN49/AL49)+D$15+$C49)*AL49,0)</f>
        <v>0</v>
      </c>
      <c r="AP49" s="44" t="n">
        <f aca="false">IF(AL49=0,0,bsd(1,AQ$27,AM49,$G49,$R49,$O49,$S49,0.1))</f>
        <v>0</v>
      </c>
      <c r="AQ49" s="44" t="n">
        <f aca="false">IF(AL49=0,0,bsd(2,AQ$27,AM49,$G49,$R49,$O49,$S49,0.1))</f>
        <v>0</v>
      </c>
      <c r="AR49" s="44" t="n">
        <f aca="false">IF(AL49=0,0,bsd(AQ$28,AQ$27,AM49,$G49,$R49,$O49,$S49,0.1))</f>
        <v>0</v>
      </c>
      <c r="AS49" s="45" t="n">
        <f aca="false">AL49*AP49</f>
        <v>0</v>
      </c>
      <c r="AT49" s="45" t="n">
        <f aca="false">AL49*AQ49</f>
        <v>0</v>
      </c>
      <c r="AU49" s="45" t="n">
        <f aca="false">AL49*AR49</f>
        <v>0</v>
      </c>
      <c r="AW49" s="9" t="n">
        <f aca="false">IF($A49&gt;=AX$25,IF($A49&lt;=AX$26,$T49,0),0)</f>
        <v>0</v>
      </c>
      <c r="AX49" s="9" t="e">
        <f aca="false">AZ49/AW49</f>
        <v>#DIV/0!</v>
      </c>
      <c r="AY49" s="1" t="n">
        <f aca="false">AW49*($B49+F$13)</f>
        <v>0</v>
      </c>
      <c r="AZ49" s="33" t="n">
        <f aca="false">IF(ISNUMBER(((AY49/AW49)+F$15+$C49)*AW49),((AY49/AW49)+F$15+$C49)*AW49,0)</f>
        <v>0</v>
      </c>
      <c r="BA49" s="44" t="n">
        <f aca="false">IF(AW49=0,0,bsd(1,BB$27,AX49,$H49,$R49,$P49,$S49,0.1))</f>
        <v>0</v>
      </c>
      <c r="BB49" s="44" t="n">
        <f aca="false">IF(AW49=0,0,bsd(2,BB$27,AX49,$H49,$R49,$P49,$S49,0.1))</f>
        <v>0</v>
      </c>
      <c r="BC49" s="44" t="n">
        <f aca="false">IF(AW49=0,0,bsd(BB$28,BB$27,AX49,$H49,$R49,$P49,$S49,0.1))</f>
        <v>0</v>
      </c>
      <c r="BD49" s="45" t="n">
        <f aca="false">AW49*BA49</f>
        <v>0</v>
      </c>
      <c r="BE49" s="45" t="n">
        <f aca="false">AW49*BB49</f>
        <v>0</v>
      </c>
      <c r="BF49" s="45" t="n">
        <f aca="false">AW49*BC49</f>
        <v>0</v>
      </c>
      <c r="BH49" s="9" t="n">
        <f aca="false">IF($A49&gt;=BI$25,IF($A49&lt;=BI$26,$T49,0),0)</f>
        <v>0</v>
      </c>
      <c r="BI49" s="9" t="e">
        <f aca="false">BK49/BH49</f>
        <v>#DIV/0!</v>
      </c>
      <c r="BJ49" s="1" t="n">
        <f aca="false">BH49*($B49+H$13)</f>
        <v>0</v>
      </c>
      <c r="BK49" s="33" t="n">
        <f aca="false">IF(ISNUMBER(((BJ49/BH49)+H$15+$C49)*BH49),((BJ49/BH49)+H$15+$C49)*BH49,0)</f>
        <v>0</v>
      </c>
      <c r="BL49" s="44" t="n">
        <f aca="false">IF(BH49=0,0,bsd(1,BM$27,BI49,$I49,$R49,$Q49,$S49,0.1))</f>
        <v>0</v>
      </c>
      <c r="BM49" s="44" t="n">
        <f aca="false">IF(BH49=0,0,bsd(2,BM$27,BI49,$I49,$R49,$Q49,$S49,0.1))</f>
        <v>0</v>
      </c>
      <c r="BN49" s="44" t="n">
        <f aca="false">IF(BH49=0,0,bsd(BM$28,BM$27,BI49,$I49,$R49,$Q49,$S49,0.1))</f>
        <v>0</v>
      </c>
      <c r="BO49" s="45" t="n">
        <f aca="false">BH49*BL49</f>
        <v>0</v>
      </c>
      <c r="BP49" s="45" t="n">
        <f aca="false">BH49*BM49</f>
        <v>0</v>
      </c>
      <c r="BQ49" s="45" t="n">
        <f aca="false">BH49*BN49</f>
        <v>0</v>
      </c>
    </row>
    <row r="50" customFormat="false" ht="12.75" hidden="false" customHeight="false" outlineLevel="0" collapsed="false">
      <c r="A50" s="48" t="n">
        <f aca="false">DATE(YEAR(A49),MONTH(A49)+1,1)</f>
        <v>37377</v>
      </c>
      <c r="B50" s="40" t="n">
        <f aca="false">VLOOKUP(A50,STRADDLE,5,FALSE())</f>
        <v>3.71</v>
      </c>
      <c r="C50" s="40" t="n">
        <v>0</v>
      </c>
      <c r="D50" s="4" t="n">
        <f aca="false">VLOOKUP(A50,STRADDLE,8,FALSE())</f>
        <v>0.2925</v>
      </c>
      <c r="E50" s="131" t="n">
        <f aca="false">IF(ISNUMBER(VLOOKUP(A50,VOLCURVES,HLOOKUP(B$5,VOLCURVES,2,FALSE()),FALSE())),VLOOKUP(A50,VOLCURVES,HLOOKUP(B$5,VOLCURVES,2,FALSE()),FALSE()),1)</f>
        <v>1</v>
      </c>
      <c r="F50" s="41" t="n">
        <f aca="false">IF($B$17=4,$AB50,$B$16)</f>
        <v>3.8</v>
      </c>
      <c r="G50" s="41" t="n">
        <f aca="false">IF($D$17=4,$AM50,$D$16)</f>
        <v>3.5</v>
      </c>
      <c r="H50" s="41" t="n">
        <f aca="false">IF($F$17=4,$AX50,$F$16)</f>
        <v>2.96</v>
      </c>
      <c r="I50" s="41" t="n">
        <f aca="false">IF($H$17=4,$BI50,$H$16)</f>
        <v>2.99</v>
      </c>
      <c r="J50" s="4" t="n">
        <f aca="false">IF($B$19=1,VLOOKUP($A50,SkewTable,HLOOKUP(ROUND(F50-AB50,1),SkewTable,2,FALSE()),FALSE())/100,0)</f>
        <v>0.002</v>
      </c>
      <c r="K50" s="4" t="e">
        <f aca="false">IF($D$19=1,VLOOKUP($A50,SkewTable,HLOOKUP(ROUND(G50-AM50,1),SkewTable,2,FALSE()),FALSE())/100,0)</f>
        <v>#DIV/0!</v>
      </c>
      <c r="L50" s="4" t="e">
        <f aca="false">IF($F$19=1,VLOOKUP($A50,SkewTable,HLOOKUP(ROUND(H50-AX50,1),SkewTable,2,FALSE()),FALSE())/100,0)</f>
        <v>#DIV/0!</v>
      </c>
      <c r="M50" s="4" t="e">
        <f aca="false">IF($H$19=1,VLOOKUP($A50,SkewTable,HLOOKUP(ROUND(I50-BI50,1),SkewTable,2,FALSE()),FALSE())/100,0)</f>
        <v>#DIV/0!</v>
      </c>
      <c r="N50" s="4" t="n">
        <f aca="false">(($D50+J50)*$E50)+B$18</f>
        <v>0.2945</v>
      </c>
      <c r="O50" s="4" t="e">
        <f aca="false">(($D50+K50)*$E50)+D$18</f>
        <v>#DIV/0!</v>
      </c>
      <c r="P50" s="4" t="e">
        <f aca="false">(($D50+L50)*$E50)+F$18</f>
        <v>#DIV/0!</v>
      </c>
      <c r="Q50" s="4" t="e">
        <f aca="false">(($D50+M50)*$E50)+H$18</f>
        <v>#DIV/0!</v>
      </c>
      <c r="R50" s="136" t="n">
        <f aca="false">IF(B$4=1,VLOOKUP(A50,expiration,2,FALSE()),VLOOKUP(A50,expiration,3,FALSE()))-B$2+$B$1</f>
        <v>-8554</v>
      </c>
      <c r="S50" s="4" t="n">
        <f aca="false">VLOOKUP($A50,STRADDLE,12,FALSE())</f>
        <v>0.067283554328081</v>
      </c>
      <c r="T50" s="1" t="n">
        <v>24.841</v>
      </c>
      <c r="U50" s="43" t="n">
        <v>0</v>
      </c>
      <c r="V50" s="1" t="n">
        <v>2</v>
      </c>
      <c r="X50" s="43"/>
      <c r="Z50" s="9"/>
      <c r="AA50" s="9" t="n">
        <f aca="false">IF($A50&gt;=AB$25,IF($A50&lt;=AB$26,$T50,0),0)</f>
        <v>24.841</v>
      </c>
      <c r="AB50" s="9" t="n">
        <f aca="false">IF(T50&gt;0,AD50/AA50,0)</f>
        <v>3.71</v>
      </c>
      <c r="AC50" s="1" t="n">
        <f aca="false">AA50*($B50+B$13)</f>
        <v>92.16011</v>
      </c>
      <c r="AD50" s="33" t="n">
        <f aca="false">IF(ISNUMBER(((AC50/AA50)+B$15+$C50)*AA50),((AC50/AA50)+B$15+$C50)*AA50,0)</f>
        <v>92.16011</v>
      </c>
      <c r="AE50" s="44" t="e">
        <f aca="false">IF(AA50=0,0,bsd(1,AF$27,AB50,$F50,$R50,$N50,$S50,0.1))</f>
        <v>#VALUE!</v>
      </c>
      <c r="AF50" s="44" t="e">
        <f aca="false">IF(AA50=0,0,bsd(2,AF$27,AB50,$F50,$R50,$N50,$S50,0.1))</f>
        <v>#VALUE!</v>
      </c>
      <c r="AG50" s="44" t="e">
        <f aca="false">IF(AA50=0,0,bsd(AF$28,AF$27,AB50,$F50,$R50,$N50,$S50,0.1))</f>
        <v>#VALUE!</v>
      </c>
      <c r="AH50" s="45" t="e">
        <f aca="false">AA50*AE50</f>
        <v>#VALUE!</v>
      </c>
      <c r="AI50" s="45" t="e">
        <f aca="false">AA50*AF50</f>
        <v>#VALUE!</v>
      </c>
      <c r="AJ50" s="45" t="e">
        <f aca="false">AA50*AG50</f>
        <v>#VALUE!</v>
      </c>
      <c r="AL50" s="9" t="n">
        <f aca="false">IF($A50&gt;=AM$25,IF($A50&lt;=AM$26,$T50,0),0)</f>
        <v>0</v>
      </c>
      <c r="AM50" s="9" t="e">
        <f aca="false">AO50/AL50</f>
        <v>#DIV/0!</v>
      </c>
      <c r="AN50" s="1" t="n">
        <f aca="false">AL50*($B50+D$13)</f>
        <v>0</v>
      </c>
      <c r="AO50" s="33" t="n">
        <f aca="false">IF(ISNUMBER(((AN50/AL50)+D$15+$C50)*AL50),((AN50/AL50)+D$15+$C50)*AL50,0)</f>
        <v>0</v>
      </c>
      <c r="AP50" s="44" t="n">
        <f aca="false">IF(AL50=0,0,bsd(1,AQ$27,AM50,$G50,$R50,$O50,$S50,0.1))</f>
        <v>0</v>
      </c>
      <c r="AQ50" s="44" t="n">
        <f aca="false">IF(AL50=0,0,bsd(2,AQ$27,AM50,$G50,$R50,$O50,$S50,0.1))</f>
        <v>0</v>
      </c>
      <c r="AR50" s="44" t="n">
        <f aca="false">IF(AL50=0,0,bsd(AQ$28,AQ$27,AM50,$G50,$R50,$O50,$S50,0.1))</f>
        <v>0</v>
      </c>
      <c r="AS50" s="45" t="n">
        <f aca="false">AL50*AP50</f>
        <v>0</v>
      </c>
      <c r="AT50" s="45" t="n">
        <f aca="false">AL50*AQ50</f>
        <v>0</v>
      </c>
      <c r="AU50" s="45" t="n">
        <f aca="false">AL50*AR50</f>
        <v>0</v>
      </c>
      <c r="AW50" s="9" t="n">
        <f aca="false">IF($A50&gt;=AX$25,IF($A50&lt;=AX$26,$T50,0),0)</f>
        <v>0</v>
      </c>
      <c r="AX50" s="9" t="e">
        <f aca="false">AZ50/AW50</f>
        <v>#DIV/0!</v>
      </c>
      <c r="AY50" s="1" t="n">
        <f aca="false">AW50*($B50+F$13)</f>
        <v>0</v>
      </c>
      <c r="AZ50" s="33" t="n">
        <f aca="false">IF(ISNUMBER(((AY50/AW50)+F$15+$C50)*AW50),((AY50/AW50)+F$15+$C50)*AW50,0)</f>
        <v>0</v>
      </c>
      <c r="BA50" s="44" t="n">
        <f aca="false">IF(AW50=0,0,bsd(1,BB$27,AX50,$H50,$R50,$P50,$S50,0.1))</f>
        <v>0</v>
      </c>
      <c r="BB50" s="44" t="n">
        <f aca="false">IF(AW50=0,0,bsd(2,BB$27,AX50,$H50,$R50,$P50,$S50,0.1))</f>
        <v>0</v>
      </c>
      <c r="BC50" s="44" t="n">
        <f aca="false">IF(AW50=0,0,bsd(BB$28,BB$27,AX50,$H50,$R50,$P50,$S50,0.1))</f>
        <v>0</v>
      </c>
      <c r="BD50" s="45" t="n">
        <f aca="false">AW50*BA50</f>
        <v>0</v>
      </c>
      <c r="BE50" s="45" t="n">
        <f aca="false">AW50*BB50</f>
        <v>0</v>
      </c>
      <c r="BF50" s="45" t="n">
        <f aca="false">AW50*BC50</f>
        <v>0</v>
      </c>
      <c r="BH50" s="9" t="n">
        <f aca="false">IF($A50&gt;=BI$25,IF($A50&lt;=BI$26,$T50,0),0)</f>
        <v>0</v>
      </c>
      <c r="BI50" s="9" t="e">
        <f aca="false">BK50/BH50</f>
        <v>#DIV/0!</v>
      </c>
      <c r="BJ50" s="1" t="n">
        <f aca="false">BH50*($B50+H$13)</f>
        <v>0</v>
      </c>
      <c r="BK50" s="33" t="n">
        <f aca="false">IF(ISNUMBER(((BJ50/BH50)+H$15+$C50)*BH50),((BJ50/BH50)+H$15+$C50)*BH50,0)</f>
        <v>0</v>
      </c>
      <c r="BL50" s="44" t="n">
        <f aca="false">IF(BH50=0,0,bsd(1,BM$27,BI50,$I50,$R50,$Q50,$S50,0.1))</f>
        <v>0</v>
      </c>
      <c r="BM50" s="44" t="n">
        <f aca="false">IF(BH50=0,0,bsd(2,BM$27,BI50,$I50,$R50,$Q50,$S50,0.1))</f>
        <v>0</v>
      </c>
      <c r="BN50" s="44" t="n">
        <f aca="false">IF(BH50=0,0,bsd(BM$28,BM$27,BI50,$I50,$R50,$Q50,$S50,0.1))</f>
        <v>0</v>
      </c>
      <c r="BO50" s="45" t="n">
        <f aca="false">BH50*BL50</f>
        <v>0</v>
      </c>
      <c r="BP50" s="45" t="n">
        <f aca="false">BH50*BM50</f>
        <v>0</v>
      </c>
      <c r="BQ50" s="45" t="n">
        <f aca="false">BH50*BN50</f>
        <v>0</v>
      </c>
    </row>
    <row r="51" customFormat="false" ht="12.75" hidden="false" customHeight="false" outlineLevel="0" collapsed="false">
      <c r="A51" s="48" t="n">
        <f aca="false">DATE(YEAR(A50),MONTH(A50)+1,1)</f>
        <v>37408</v>
      </c>
      <c r="B51" s="40" t="n">
        <f aca="false">VLOOKUP(A51,STRADDLE,5,FALSE())</f>
        <v>3.69</v>
      </c>
      <c r="C51" s="40" t="n">
        <v>0</v>
      </c>
      <c r="D51" s="4" t="n">
        <f aca="false">VLOOKUP(A51,STRADDLE,8,FALSE())</f>
        <v>0.29</v>
      </c>
      <c r="E51" s="131" t="n">
        <f aca="false">IF(ISNUMBER(VLOOKUP(A51,VOLCURVES,HLOOKUP(B$5,VOLCURVES,2,FALSE()),FALSE())),VLOOKUP(A51,VOLCURVES,HLOOKUP(B$5,VOLCURVES,2,FALSE()),FALSE()),1)</f>
        <v>1</v>
      </c>
      <c r="F51" s="41" t="n">
        <f aca="false">IF($B$17=4,$AB51,$B$16)</f>
        <v>3.8</v>
      </c>
      <c r="G51" s="41" t="n">
        <f aca="false">IF($D$17=4,$AM51,$D$16)</f>
        <v>3.5</v>
      </c>
      <c r="H51" s="41" t="n">
        <f aca="false">IF($F$17=4,$AX51,$F$16)</f>
        <v>2.96</v>
      </c>
      <c r="I51" s="41" t="n">
        <f aca="false">IF($H$17=4,$BI51,$H$16)</f>
        <v>2.99</v>
      </c>
      <c r="J51" s="4" t="n">
        <f aca="false">IF($B$19=1,VLOOKUP($A51,SkewTable,HLOOKUP(ROUND(F51-AB51,1),SkewTable,2,FALSE()),FALSE())/100,0)</f>
        <v>0.002</v>
      </c>
      <c r="K51" s="4" t="e">
        <f aca="false">IF($D$19=1,VLOOKUP($A51,SkewTable,HLOOKUP(ROUND(G51-AM51,1),SkewTable,2,FALSE()),FALSE())/100,0)</f>
        <v>#DIV/0!</v>
      </c>
      <c r="L51" s="4" t="n">
        <f aca="false">IF($F$19=1,VLOOKUP($A51,SkewTable,HLOOKUP(ROUND(H51-AX51,1),SkewTable,2,FALSE()),FALSE())/100,0)</f>
        <v>-0.01083235125</v>
      </c>
      <c r="M51" s="4" t="e">
        <f aca="false">IF($H$19=1,VLOOKUP($A51,SkewTable,HLOOKUP(ROUND(I51-BI51,1),SkewTable,2,FALSE()),FALSE())/100,0)</f>
        <v>#DIV/0!</v>
      </c>
      <c r="N51" s="4" t="n">
        <f aca="false">(($D51+J51)*$E51)+B$18</f>
        <v>0.292</v>
      </c>
      <c r="O51" s="4" t="e">
        <f aca="false">(($D51+K51)*$E51)+D$18</f>
        <v>#DIV/0!</v>
      </c>
      <c r="P51" s="4" t="n">
        <f aca="false">(($D51+L51)*$E51)+F$18</f>
        <v>0.29916764875</v>
      </c>
      <c r="Q51" s="4" t="e">
        <f aca="false">(($D51+M51)*$E51)+H$18</f>
        <v>#DIV/0!</v>
      </c>
      <c r="R51" s="136" t="n">
        <f aca="false">IF(B$4=1,VLOOKUP(A51,expiration,2,FALSE()),VLOOKUP(A51,expiration,3,FALSE()))-B$2+$B$1</f>
        <v>-8521</v>
      </c>
      <c r="S51" s="4" t="n">
        <f aca="false">VLOOKUP($A51,STRADDLE,12,FALSE())</f>
        <v>0.067253392922551</v>
      </c>
      <c r="T51" s="1" t="n">
        <v>23.5268</v>
      </c>
      <c r="U51" s="43" t="n">
        <v>0</v>
      </c>
      <c r="V51" s="1" t="n">
        <v>2</v>
      </c>
      <c r="X51" s="43"/>
      <c r="Z51" s="9"/>
      <c r="AA51" s="9" t="n">
        <f aca="false">IF($A51&gt;=AB$25,IF($A51&lt;=AB$26,$T51,0),0)</f>
        <v>23.5268</v>
      </c>
      <c r="AB51" s="9" t="n">
        <f aca="false">IF(T51&gt;0,AD51/AA51,0)</f>
        <v>3.69</v>
      </c>
      <c r="AC51" s="1" t="n">
        <f aca="false">AA51*($B51+B$13)</f>
        <v>86.813892</v>
      </c>
      <c r="AD51" s="33" t="n">
        <f aca="false">IF(ISNUMBER(((AC51/AA51)+B$15+$C51)*AA51),((AC51/AA51)+B$15+$C51)*AA51,0)</f>
        <v>86.813892</v>
      </c>
      <c r="AE51" s="44" t="e">
        <f aca="false">IF(AA51=0,0,bsd(1,AF$27,AB51,$F51,$R51,$N51,$S51,0.1))</f>
        <v>#VALUE!</v>
      </c>
      <c r="AF51" s="44" t="e">
        <f aca="false">IF(AA51=0,0,bsd(2,AF$27,AB51,$F51,$R51,$N51,$S51,0.1))</f>
        <v>#VALUE!</v>
      </c>
      <c r="AG51" s="44" t="e">
        <f aca="false">IF(AA51=0,0,bsd(AF$28,AF$27,AB51,$F51,$R51,$N51,$S51,0.1))</f>
        <v>#VALUE!</v>
      </c>
      <c r="AH51" s="45" t="e">
        <f aca="false">AA51*AE51</f>
        <v>#VALUE!</v>
      </c>
      <c r="AI51" s="45" t="e">
        <f aca="false">AA51*AF51</f>
        <v>#VALUE!</v>
      </c>
      <c r="AJ51" s="45" t="e">
        <f aca="false">AA51*AG51</f>
        <v>#VALUE!</v>
      </c>
      <c r="AL51" s="9" t="n">
        <f aca="false">IF($A51&gt;=AM$25,IF($A51&lt;=AM$26,$T51,0),0)</f>
        <v>0</v>
      </c>
      <c r="AM51" s="9" t="e">
        <f aca="false">AO51/AL51</f>
        <v>#DIV/0!</v>
      </c>
      <c r="AN51" s="1" t="n">
        <f aca="false">AL51*($B51+D$13)</f>
        <v>0</v>
      </c>
      <c r="AO51" s="33" t="n">
        <f aca="false">IF(ISNUMBER(((AN51/AL51)+D$15+$C51)*AL51),((AN51/AL51)+D$15+$C51)*AL51,0)</f>
        <v>0</v>
      </c>
      <c r="AP51" s="44" t="n">
        <f aca="false">IF(AL51=0,0,bsd(1,AQ$27,AM51,$G51,$R51,$O51,$S51,0.1))</f>
        <v>0</v>
      </c>
      <c r="AQ51" s="44" t="n">
        <f aca="false">IF(AL51=0,0,bsd(2,AQ$27,AM51,$G51,$R51,$O51,$S51,0.1))</f>
        <v>0</v>
      </c>
      <c r="AR51" s="44" t="n">
        <f aca="false">IF(AL51=0,0,bsd(AQ$28,AQ$27,AM51,$G51,$R51,$O51,$S51,0.1))</f>
        <v>0</v>
      </c>
      <c r="AS51" s="45" t="n">
        <f aca="false">AL51*AP51</f>
        <v>0</v>
      </c>
      <c r="AT51" s="45" t="n">
        <f aca="false">AL51*AQ51</f>
        <v>0</v>
      </c>
      <c r="AU51" s="45" t="n">
        <f aca="false">AL51*AR51</f>
        <v>0</v>
      </c>
      <c r="AW51" s="9" t="n">
        <f aca="false">IF($A51&gt;=AX$25,IF($A51&lt;=AX$26,$T51,0),0)</f>
        <v>23.5268</v>
      </c>
      <c r="AX51" s="9" t="n">
        <f aca="false">AZ51/AW51</f>
        <v>3.725</v>
      </c>
      <c r="AY51" s="1" t="n">
        <f aca="false">AW51*($B51+F$13)</f>
        <v>87.519696</v>
      </c>
      <c r="AZ51" s="33" t="n">
        <f aca="false">IF(ISNUMBER(((AY51/AW51)+F$15+$C51)*AW51),((AY51/AW51)+F$15+$C51)*AW51,0)</f>
        <v>87.63733</v>
      </c>
      <c r="BA51" s="44" t="e">
        <f aca="false">IF(AW51=0,0,bsd(1,BB$27,AX51,$H51,$R51,$P51,$S51,0.1))</f>
        <v>#VALUE!</v>
      </c>
      <c r="BB51" s="44" t="e">
        <f aca="false">IF(AW51=0,0,bsd(2,BB$27,AX51,$H51,$R51,$P51,$S51,0.1))</f>
        <v>#VALUE!</v>
      </c>
      <c r="BC51" s="44" t="e">
        <f aca="false">IF(AW51=0,0,bsd(BB$28,BB$27,AX51,$H51,$R51,$P51,$S51,0.1))</f>
        <v>#VALUE!</v>
      </c>
      <c r="BD51" s="45" t="e">
        <f aca="false">AW51*BA51</f>
        <v>#VALUE!</v>
      </c>
      <c r="BE51" s="45" t="e">
        <f aca="false">AW51*BB51</f>
        <v>#VALUE!</v>
      </c>
      <c r="BF51" s="45" t="e">
        <f aca="false">AW51*BC51</f>
        <v>#VALUE!</v>
      </c>
      <c r="BH51" s="9" t="n">
        <f aca="false">IF($A51&gt;=BI$25,IF($A51&lt;=BI$26,$T51,0),0)</f>
        <v>0</v>
      </c>
      <c r="BI51" s="9" t="e">
        <f aca="false">BK51/BH51</f>
        <v>#DIV/0!</v>
      </c>
      <c r="BJ51" s="1" t="n">
        <f aca="false">BH51*($B51+H$13)</f>
        <v>0</v>
      </c>
      <c r="BK51" s="33" t="n">
        <f aca="false">IF(ISNUMBER(((BJ51/BH51)+H$15+$C51)*BH51),((BJ51/BH51)+H$15+$C51)*BH51,0)</f>
        <v>0</v>
      </c>
      <c r="BL51" s="44" t="n">
        <f aca="false">IF(BH51=0,0,bsd(1,BM$27,BI51,$I51,$R51,$Q51,$S51,0.1))</f>
        <v>0</v>
      </c>
      <c r="BM51" s="44" t="n">
        <f aca="false">IF(BH51=0,0,bsd(2,BM$27,BI51,$I51,$R51,$Q51,$S51,0.1))</f>
        <v>0</v>
      </c>
      <c r="BN51" s="44" t="n">
        <f aca="false">IF(BH51=0,0,bsd(BM$28,BM$27,BI51,$I51,$R51,$Q51,$S51,0.1))</f>
        <v>0</v>
      </c>
      <c r="BO51" s="45" t="n">
        <f aca="false">BH51*BL51</f>
        <v>0</v>
      </c>
      <c r="BP51" s="45" t="n">
        <f aca="false">BH51*BM51</f>
        <v>0</v>
      </c>
      <c r="BQ51" s="45" t="n">
        <f aca="false">BH51*BN51</f>
        <v>0</v>
      </c>
    </row>
    <row r="52" customFormat="false" ht="12.75" hidden="false" customHeight="false" outlineLevel="0" collapsed="false">
      <c r="A52" s="48" t="n">
        <f aca="false">DATE(YEAR(A51),MONTH(A51)+1,1)</f>
        <v>37438</v>
      </c>
      <c r="B52" s="40" t="n">
        <f aca="false">VLOOKUP(A52,STRADDLE,5,FALSE())</f>
        <v>3.7</v>
      </c>
      <c r="C52" s="40" t="n">
        <v>0</v>
      </c>
      <c r="D52" s="4" t="n">
        <f aca="false">VLOOKUP(A52,STRADDLE,8,FALSE())</f>
        <v>0.29</v>
      </c>
      <c r="E52" s="131" t="n">
        <f aca="false">IF(ISNUMBER(VLOOKUP(A52,VOLCURVES,HLOOKUP(B$5,VOLCURVES,2,FALSE()),FALSE())),VLOOKUP(A52,VOLCURVES,HLOOKUP(B$5,VOLCURVES,2,FALSE()),FALSE()),1)</f>
        <v>1</v>
      </c>
      <c r="F52" s="41" t="n">
        <f aca="false">IF($B$17=4,$AB52,$B$16)</f>
        <v>3.8</v>
      </c>
      <c r="G52" s="41" t="n">
        <f aca="false">IF($D$17=4,$AM52,$D$16)</f>
        <v>3.5</v>
      </c>
      <c r="H52" s="41" t="n">
        <f aca="false">IF($F$17=4,$AX52,$F$16)</f>
        <v>2.96</v>
      </c>
      <c r="I52" s="41" t="n">
        <f aca="false">IF($H$17=4,$BI52,$H$16)</f>
        <v>2.99</v>
      </c>
      <c r="J52" s="4" t="n">
        <f aca="false">IF($B$19=1,VLOOKUP($A52,SkewTable,HLOOKUP(ROUND(F52-AB52,1),SkewTable,2,FALSE()),FALSE())/100,0)</f>
        <v>0.002</v>
      </c>
      <c r="K52" s="4" t="e">
        <f aca="false">IF($D$19=1,VLOOKUP($A52,SkewTable,HLOOKUP(ROUND(G52-AM52,1),SkewTable,2,FALSE()),FALSE())/100,0)</f>
        <v>#DIV/0!</v>
      </c>
      <c r="L52" s="4" t="n">
        <f aca="false">IF($F$19=1,VLOOKUP($A52,SkewTable,HLOOKUP(ROUND(H52-AX52,1),SkewTable,2,FALSE()),FALSE())/100,0)</f>
        <v>-0.01083235125</v>
      </c>
      <c r="M52" s="4" t="e">
        <f aca="false">IF($H$19=1,VLOOKUP($A52,SkewTable,HLOOKUP(ROUND(I52-BI52,1),SkewTable,2,FALSE()),FALSE())/100,0)</f>
        <v>#DIV/0!</v>
      </c>
      <c r="N52" s="4" t="n">
        <f aca="false">(($D52+J52)*$E52)+B$18</f>
        <v>0.292</v>
      </c>
      <c r="O52" s="4" t="e">
        <f aca="false">(($D52+K52)*$E52)+D$18</f>
        <v>#DIV/0!</v>
      </c>
      <c r="P52" s="4" t="n">
        <f aca="false">(($D52+L52)*$E52)+F$18</f>
        <v>0.29916764875</v>
      </c>
      <c r="Q52" s="4" t="e">
        <f aca="false">(($D52+M52)*$E52)+H$18</f>
        <v>#DIV/0!</v>
      </c>
      <c r="R52" s="136" t="n">
        <f aca="false">IF(B$4=1,VLOOKUP(A52,expiration,2,FALSE()),VLOOKUP(A52,expiration,3,FALSE()))-B$2+$B$1</f>
        <v>-8493</v>
      </c>
      <c r="S52" s="4" t="n">
        <f aca="false">VLOOKUP($A52,STRADDLE,12,FALSE())</f>
        <v>0.067230480386273</v>
      </c>
      <c r="T52" s="1" t="n">
        <v>22.251</v>
      </c>
      <c r="U52" s="43" t="n">
        <v>0</v>
      </c>
      <c r="V52" s="1" t="n">
        <v>2</v>
      </c>
      <c r="X52" s="43"/>
      <c r="Z52" s="9"/>
      <c r="AA52" s="9" t="n">
        <f aca="false">IF($A52&gt;=AB$25,IF($A52&lt;=AB$26,$T52,0),0)</f>
        <v>22.251</v>
      </c>
      <c r="AB52" s="9" t="n">
        <f aca="false">IF(T52&gt;0,AD52/AA52,0)</f>
        <v>3.7</v>
      </c>
      <c r="AC52" s="1" t="n">
        <f aca="false">AA52*($B52+B$13)</f>
        <v>82.3287</v>
      </c>
      <c r="AD52" s="33" t="n">
        <f aca="false">IF(ISNUMBER(((AC52/AA52)+B$15+$C52)*AA52),((AC52/AA52)+B$15+$C52)*AA52,0)</f>
        <v>82.3287</v>
      </c>
      <c r="AE52" s="44" t="e">
        <f aca="false">IF(AA52=0,0,bsd(1,AF$27,AB52,$F52,$R52,$N52,$S52,0.1))</f>
        <v>#VALUE!</v>
      </c>
      <c r="AF52" s="44" t="e">
        <f aca="false">IF(AA52=0,0,bsd(2,AF$27,AB52,$F52,$R52,$N52,$S52,0.1))</f>
        <v>#VALUE!</v>
      </c>
      <c r="AG52" s="44" t="e">
        <f aca="false">IF(AA52=0,0,bsd(AF$28,AF$27,AB52,$F52,$R52,$N52,$S52,0.1))</f>
        <v>#VALUE!</v>
      </c>
      <c r="AH52" s="45" t="e">
        <f aca="false">AA52*AE52</f>
        <v>#VALUE!</v>
      </c>
      <c r="AI52" s="45" t="e">
        <f aca="false">AA52*AF52</f>
        <v>#VALUE!</v>
      </c>
      <c r="AJ52" s="45" t="e">
        <f aca="false">AA52*AG52</f>
        <v>#VALUE!</v>
      </c>
      <c r="AL52" s="9" t="n">
        <f aca="false">IF($A52&gt;=AM$25,IF($A52&lt;=AM$26,$T52,0),0)</f>
        <v>0</v>
      </c>
      <c r="AM52" s="9" t="e">
        <f aca="false">AO52/AL52</f>
        <v>#DIV/0!</v>
      </c>
      <c r="AN52" s="1" t="n">
        <f aca="false">AL52*($B52+D$13)</f>
        <v>0</v>
      </c>
      <c r="AO52" s="33" t="n">
        <f aca="false">IF(ISNUMBER(((AN52/AL52)+D$15+$C52)*AL52),((AN52/AL52)+D$15+$C52)*AL52,0)</f>
        <v>0</v>
      </c>
      <c r="AP52" s="44" t="n">
        <f aca="false">IF(AL52=0,0,bsd(1,AQ$27,AM52,$G52,$R52,$O52,$S52,0.1))</f>
        <v>0</v>
      </c>
      <c r="AQ52" s="44" t="n">
        <f aca="false">IF(AL52=0,0,bsd(2,AQ$27,AM52,$G52,$R52,$O52,$S52,0.1))</f>
        <v>0</v>
      </c>
      <c r="AR52" s="44" t="n">
        <f aca="false">IF(AL52=0,0,bsd(AQ$28,AQ$27,AM52,$G52,$R52,$O52,$S52,0.1))</f>
        <v>0</v>
      </c>
      <c r="AS52" s="45" t="n">
        <f aca="false">AL52*AP52</f>
        <v>0</v>
      </c>
      <c r="AT52" s="45" t="n">
        <f aca="false">AL52*AQ52</f>
        <v>0</v>
      </c>
      <c r="AU52" s="45" t="n">
        <f aca="false">AL52*AR52</f>
        <v>0</v>
      </c>
      <c r="AW52" s="9" t="n">
        <f aca="false">IF($A52&gt;=AX$25,IF($A52&lt;=AX$26,$T52,0),0)</f>
        <v>22.251</v>
      </c>
      <c r="AX52" s="9" t="n">
        <f aca="false">AZ52/AW52</f>
        <v>3.735</v>
      </c>
      <c r="AY52" s="1" t="n">
        <f aca="false">AW52*($B52+F$13)</f>
        <v>82.99623</v>
      </c>
      <c r="AZ52" s="33" t="n">
        <f aca="false">IF(ISNUMBER(((AY52/AW52)+F$15+$C52)*AW52),((AY52/AW52)+F$15+$C52)*AW52,0)</f>
        <v>83.107485</v>
      </c>
      <c r="BA52" s="44" t="e">
        <f aca="false">IF(AW52=0,0,bsd(1,BB$27,AX52,$H52,$R52,$P52,$S52,0.1))</f>
        <v>#VALUE!</v>
      </c>
      <c r="BB52" s="44" t="e">
        <f aca="false">IF(AW52=0,0,bsd(2,BB$27,AX52,$H52,$R52,$P52,$S52,0.1))</f>
        <v>#VALUE!</v>
      </c>
      <c r="BC52" s="44" t="e">
        <f aca="false">IF(AW52=0,0,bsd(BB$28,BB$27,AX52,$H52,$R52,$P52,$S52,0.1))</f>
        <v>#VALUE!</v>
      </c>
      <c r="BD52" s="45" t="e">
        <f aca="false">AW52*BA52</f>
        <v>#VALUE!</v>
      </c>
      <c r="BE52" s="45" t="e">
        <f aca="false">AW52*BB52</f>
        <v>#VALUE!</v>
      </c>
      <c r="BF52" s="45" t="e">
        <f aca="false">AW52*BC52</f>
        <v>#VALUE!</v>
      </c>
      <c r="BH52" s="9" t="n">
        <f aca="false">IF($A52&gt;=BI$25,IF($A52&lt;=BI$26,$T52,0),0)</f>
        <v>0</v>
      </c>
      <c r="BI52" s="9" t="e">
        <f aca="false">BK52/BH52</f>
        <v>#DIV/0!</v>
      </c>
      <c r="BJ52" s="1" t="n">
        <f aca="false">BH52*($B52+H$13)</f>
        <v>0</v>
      </c>
      <c r="BK52" s="33" t="n">
        <f aca="false">IF(ISNUMBER(((BJ52/BH52)+H$15+$C52)*BH52),((BJ52/BH52)+H$15+$C52)*BH52,0)</f>
        <v>0</v>
      </c>
      <c r="BL52" s="44" t="n">
        <f aca="false">IF(BH52=0,0,bsd(1,BM$27,BI52,$I52,$R52,$Q52,$S52,0.1))</f>
        <v>0</v>
      </c>
      <c r="BM52" s="44" t="n">
        <f aca="false">IF(BH52=0,0,bsd(2,BM$27,BI52,$I52,$R52,$Q52,$S52,0.1))</f>
        <v>0</v>
      </c>
      <c r="BN52" s="44" t="n">
        <f aca="false">IF(BH52=0,0,bsd(BM$28,BM$27,BI52,$I52,$R52,$Q52,$S52,0.1))</f>
        <v>0</v>
      </c>
      <c r="BO52" s="45" t="n">
        <f aca="false">BH52*BL52</f>
        <v>0</v>
      </c>
      <c r="BP52" s="45" t="n">
        <f aca="false">BH52*BM52</f>
        <v>0</v>
      </c>
      <c r="BQ52" s="45" t="n">
        <f aca="false">BH52*BN52</f>
        <v>0</v>
      </c>
    </row>
    <row r="53" customFormat="false" ht="12.75" hidden="false" customHeight="false" outlineLevel="0" collapsed="false">
      <c r="A53" s="48" t="n">
        <f aca="false">DATE(YEAR(A52),MONTH(A52)+1,1)</f>
        <v>37469</v>
      </c>
      <c r="B53" s="40" t="n">
        <f aca="false">VLOOKUP(A53,STRADDLE,5,FALSE())</f>
        <v>3.71</v>
      </c>
      <c r="C53" s="40" t="n">
        <v>0</v>
      </c>
      <c r="D53" s="4" t="n">
        <f aca="false">VLOOKUP(A53,STRADDLE,8,FALSE())</f>
        <v>0.29</v>
      </c>
      <c r="E53" s="131" t="n">
        <f aca="false">IF(ISNUMBER(VLOOKUP(A53,VOLCURVES,HLOOKUP(B$5,VOLCURVES,2,FALSE()),FALSE())),VLOOKUP(A53,VOLCURVES,HLOOKUP(B$5,VOLCURVES,2,FALSE()),FALSE()),1)</f>
        <v>1</v>
      </c>
      <c r="F53" s="41" t="n">
        <f aca="false">IF($B$17=4,$AB53,$B$16)</f>
        <v>3.8</v>
      </c>
      <c r="G53" s="41" t="n">
        <f aca="false">IF($D$17=4,$AM53,$D$16)</f>
        <v>3.5</v>
      </c>
      <c r="H53" s="41" t="n">
        <f aca="false">IF($F$17=4,$AX53,$F$16)</f>
        <v>2.96</v>
      </c>
      <c r="I53" s="41" t="n">
        <f aca="false">IF($H$17=4,$BI53,$H$16)</f>
        <v>2.99</v>
      </c>
      <c r="J53" s="4" t="n">
        <f aca="false">IF($B$19=1,VLOOKUP($A53,SkewTable,HLOOKUP(ROUND(F53-AB53,1),SkewTable,2,FALSE()),FALSE())/100,0)</f>
        <v>0.002</v>
      </c>
      <c r="K53" s="4" t="e">
        <f aca="false">IF($D$19=1,VLOOKUP($A53,SkewTable,HLOOKUP(ROUND(G53-AM53,1),SkewTable,2,FALSE()),FALSE())/100,0)</f>
        <v>#DIV/0!</v>
      </c>
      <c r="L53" s="4" t="n">
        <f aca="false">IF($F$19=1,VLOOKUP($A53,SkewTable,HLOOKUP(ROUND(H53-AX53,1),SkewTable,2,FALSE()),FALSE())/100,0)</f>
        <v>-0.01083235125</v>
      </c>
      <c r="M53" s="4" t="e">
        <f aca="false">IF($H$19=1,VLOOKUP($A53,SkewTable,HLOOKUP(ROUND(I53-BI53,1),SkewTable,2,FALSE()),FALSE())/100,0)</f>
        <v>#DIV/0!</v>
      </c>
      <c r="N53" s="4" t="n">
        <f aca="false">(($D53+J53)*$E53)+B$18</f>
        <v>0.292</v>
      </c>
      <c r="O53" s="4" t="e">
        <f aca="false">(($D53+K53)*$E53)+D$18</f>
        <v>#DIV/0!</v>
      </c>
      <c r="P53" s="4" t="n">
        <f aca="false">(($D53+L53)*$E53)+F$18</f>
        <v>0.29916764875</v>
      </c>
      <c r="Q53" s="4" t="e">
        <f aca="false">(($D53+M53)*$E53)+H$18</f>
        <v>#DIV/0!</v>
      </c>
      <c r="R53" s="136" t="n">
        <f aca="false">IF(B$4=1,VLOOKUP(A53,expiration,2,FALSE()),VLOOKUP(A53,expiration,3,FALSE()))-B$2+$B$1</f>
        <v>-8460</v>
      </c>
      <c r="S53" s="4" t="n">
        <f aca="false">VLOOKUP($A53,STRADDLE,12,FALSE())</f>
        <v>0.067217129309422</v>
      </c>
      <c r="T53" s="1" t="n">
        <v>21.0769</v>
      </c>
      <c r="U53" s="43" t="n">
        <v>0</v>
      </c>
      <c r="V53" s="1" t="n">
        <v>2</v>
      </c>
      <c r="X53" s="43"/>
      <c r="Z53" s="9"/>
      <c r="AA53" s="9" t="n">
        <f aca="false">IF($A53&gt;=AB$25,IF($A53&lt;=AB$26,$T53,0),0)</f>
        <v>21.0769</v>
      </c>
      <c r="AB53" s="9" t="n">
        <f aca="false">IF(T53&gt;0,AD53/AA53,0)</f>
        <v>3.71</v>
      </c>
      <c r="AC53" s="1" t="n">
        <f aca="false">AA53*($B53+B$13)</f>
        <v>78.195299</v>
      </c>
      <c r="AD53" s="33" t="n">
        <f aca="false">IF(ISNUMBER(((AC53/AA53)+B$15+$C53)*AA53),((AC53/AA53)+B$15+$C53)*AA53,0)</f>
        <v>78.195299</v>
      </c>
      <c r="AE53" s="44" t="e">
        <f aca="false">IF(AA53=0,0,bsd(1,AF$27,AB53,$F53,$R53,$N53,$S53,0.1))</f>
        <v>#VALUE!</v>
      </c>
      <c r="AF53" s="44" t="e">
        <f aca="false">IF(AA53=0,0,bsd(2,AF$27,AB53,$F53,$R53,$N53,$S53,0.1))</f>
        <v>#VALUE!</v>
      </c>
      <c r="AG53" s="44" t="e">
        <f aca="false">IF(AA53=0,0,bsd(AF$28,AF$27,AB53,$F53,$R53,$N53,$S53,0.1))</f>
        <v>#VALUE!</v>
      </c>
      <c r="AH53" s="45" t="e">
        <f aca="false">AA53*AE53</f>
        <v>#VALUE!</v>
      </c>
      <c r="AI53" s="45" t="e">
        <f aca="false">AA53*AF53</f>
        <v>#VALUE!</v>
      </c>
      <c r="AJ53" s="45" t="e">
        <f aca="false">AA53*AG53</f>
        <v>#VALUE!</v>
      </c>
      <c r="AL53" s="9" t="n">
        <f aca="false">IF($A53&gt;=AM$25,IF($A53&lt;=AM$26,$T53,0),0)</f>
        <v>0</v>
      </c>
      <c r="AM53" s="9" t="e">
        <f aca="false">AO53/AL53</f>
        <v>#DIV/0!</v>
      </c>
      <c r="AN53" s="1" t="n">
        <f aca="false">AL53*($B53+D$13)</f>
        <v>0</v>
      </c>
      <c r="AO53" s="33" t="n">
        <f aca="false">IF(ISNUMBER(((AN53/AL53)+D$15+$C53)*AL53),((AN53/AL53)+D$15+$C53)*AL53,0)</f>
        <v>0</v>
      </c>
      <c r="AP53" s="44" t="n">
        <f aca="false">IF(AL53=0,0,bsd(1,AQ$27,AM53,$G53,$R53,$O53,$S53,0.1))</f>
        <v>0</v>
      </c>
      <c r="AQ53" s="44" t="n">
        <f aca="false">IF(AL53=0,0,bsd(2,AQ$27,AM53,$G53,$R53,$O53,$S53,0.1))</f>
        <v>0</v>
      </c>
      <c r="AR53" s="44" t="n">
        <f aca="false">IF(AL53=0,0,bsd(AQ$28,AQ$27,AM53,$G53,$R53,$O53,$S53,0.1))</f>
        <v>0</v>
      </c>
      <c r="AS53" s="45" t="n">
        <f aca="false">AL53*AP53</f>
        <v>0</v>
      </c>
      <c r="AT53" s="45" t="n">
        <f aca="false">AL53*AQ53</f>
        <v>0</v>
      </c>
      <c r="AU53" s="45" t="n">
        <f aca="false">AL53*AR53</f>
        <v>0</v>
      </c>
      <c r="AW53" s="9" t="n">
        <f aca="false">IF($A53&gt;=AX$25,IF($A53&lt;=AX$26,$T53,0),0)</f>
        <v>21.0769</v>
      </c>
      <c r="AX53" s="9" t="n">
        <f aca="false">AZ53/AW53</f>
        <v>3.745</v>
      </c>
      <c r="AY53" s="1" t="n">
        <f aca="false">AW53*($B53+F$13)</f>
        <v>78.827606</v>
      </c>
      <c r="AZ53" s="33" t="n">
        <f aca="false">IF(ISNUMBER(((AY53/AW53)+F$15+$C53)*AW53),((AY53/AW53)+F$15+$C53)*AW53,0)</f>
        <v>78.9329905</v>
      </c>
      <c r="BA53" s="44" t="e">
        <f aca="false">IF(AW53=0,0,bsd(1,BB$27,AX53,$H53,$R53,$P53,$S53,0.1))</f>
        <v>#VALUE!</v>
      </c>
      <c r="BB53" s="44" t="e">
        <f aca="false">IF(AW53=0,0,bsd(2,BB$27,AX53,$H53,$R53,$P53,$S53,0.1))</f>
        <v>#VALUE!</v>
      </c>
      <c r="BC53" s="44" t="e">
        <f aca="false">IF(AW53=0,0,bsd(BB$28,BB$27,AX53,$H53,$R53,$P53,$S53,0.1))</f>
        <v>#VALUE!</v>
      </c>
      <c r="BD53" s="45" t="e">
        <f aca="false">AW53*BA53</f>
        <v>#VALUE!</v>
      </c>
      <c r="BE53" s="45" t="e">
        <f aca="false">AW53*BB53</f>
        <v>#VALUE!</v>
      </c>
      <c r="BF53" s="45" t="e">
        <f aca="false">AW53*BC53</f>
        <v>#VALUE!</v>
      </c>
      <c r="BH53" s="9" t="n">
        <f aca="false">IF($A53&gt;=BI$25,IF($A53&lt;=BI$26,$T53,0),0)</f>
        <v>0</v>
      </c>
      <c r="BI53" s="9" t="e">
        <f aca="false">BK53/BH53</f>
        <v>#DIV/0!</v>
      </c>
      <c r="BJ53" s="1" t="n">
        <f aca="false">BH53*($B53+H$13)</f>
        <v>0</v>
      </c>
      <c r="BK53" s="33" t="n">
        <f aca="false">IF(ISNUMBER(((BJ53/BH53)+H$15+$C53)*BH53),((BJ53/BH53)+H$15+$C53)*BH53,0)</f>
        <v>0</v>
      </c>
      <c r="BL53" s="44" t="n">
        <f aca="false">IF(BH53=0,0,bsd(1,BM$27,BI53,$I53,$R53,$Q53,$S53,0.1))</f>
        <v>0</v>
      </c>
      <c r="BM53" s="44" t="n">
        <f aca="false">IF(BH53=0,0,bsd(2,BM$27,BI53,$I53,$R53,$Q53,$S53,0.1))</f>
        <v>0</v>
      </c>
      <c r="BN53" s="44" t="n">
        <f aca="false">IF(BH53=0,0,bsd(BM$28,BM$27,BI53,$I53,$R53,$Q53,$S53,0.1))</f>
        <v>0</v>
      </c>
      <c r="BO53" s="45" t="n">
        <f aca="false">BH53*BL53</f>
        <v>0</v>
      </c>
      <c r="BP53" s="45" t="n">
        <f aca="false">BH53*BM53</f>
        <v>0</v>
      </c>
      <c r="BQ53" s="45" t="n">
        <f aca="false">BH53*BN53</f>
        <v>0</v>
      </c>
    </row>
    <row r="54" customFormat="false" ht="12.75" hidden="false" customHeight="false" outlineLevel="0" collapsed="false">
      <c r="A54" s="48" t="n">
        <f aca="false">DATE(YEAR(A53),MONTH(A53)+1,1)</f>
        <v>37500</v>
      </c>
      <c r="B54" s="40" t="n">
        <f aca="false">VLOOKUP(A54,STRADDLE,5,FALSE())</f>
        <v>3.705</v>
      </c>
      <c r="C54" s="40" t="n">
        <v>0</v>
      </c>
      <c r="D54" s="4" t="n">
        <f aca="false">VLOOKUP(A54,STRADDLE,8,FALSE())</f>
        <v>0.29</v>
      </c>
      <c r="E54" s="131" t="n">
        <f aca="false">IF(ISNUMBER(VLOOKUP(A54,VOLCURVES,HLOOKUP(B$5,VOLCURVES,2,FALSE()),FALSE())),VLOOKUP(A54,VOLCURVES,HLOOKUP(B$5,VOLCURVES,2,FALSE()),FALSE()),1)</f>
        <v>1</v>
      </c>
      <c r="F54" s="41" t="n">
        <f aca="false">IF($B$17=4,$AB54,$B$16)</f>
        <v>3.8</v>
      </c>
      <c r="G54" s="41" t="n">
        <f aca="false">IF($D$17=4,$AM54,$D$16)</f>
        <v>3.5</v>
      </c>
      <c r="H54" s="41" t="n">
        <f aca="false">IF($F$17=4,$AX54,$F$16)</f>
        <v>2.96</v>
      </c>
      <c r="I54" s="41" t="n">
        <f aca="false">IF($H$17=4,$BI54,$H$16)</f>
        <v>2.99</v>
      </c>
      <c r="J54" s="4" t="n">
        <f aca="false">IF($B$19=1,VLOOKUP($A54,SkewTable,HLOOKUP(ROUND(F54-AB54,1),SkewTable,2,FALSE()),FALSE())/100,0)</f>
        <v>0.002</v>
      </c>
      <c r="K54" s="4" t="e">
        <f aca="false">IF($D$19=1,VLOOKUP($A54,SkewTable,HLOOKUP(ROUND(G54-AM54,1),SkewTable,2,FALSE()),FALSE())/100,0)</f>
        <v>#DIV/0!</v>
      </c>
      <c r="L54" s="4" t="n">
        <f aca="false">IF($F$19=1,VLOOKUP($A54,SkewTable,HLOOKUP(ROUND(H54-AX54,1),SkewTable,2,FALSE()),FALSE())/100,0)</f>
        <v>-0.01083235125</v>
      </c>
      <c r="M54" s="4" t="e">
        <f aca="false">IF($H$19=1,VLOOKUP($A54,SkewTable,HLOOKUP(ROUND(I54-BI54,1),SkewTable,2,FALSE()),FALSE())/100,0)</f>
        <v>#DIV/0!</v>
      </c>
      <c r="N54" s="4" t="n">
        <f aca="false">(($D54+J54)*$E54)+B$18</f>
        <v>0.292</v>
      </c>
      <c r="O54" s="4" t="e">
        <f aca="false">(($D54+K54)*$E54)+D$18</f>
        <v>#DIV/0!</v>
      </c>
      <c r="P54" s="4" t="n">
        <f aca="false">(($D54+L54)*$E54)+F$18</f>
        <v>0.29916764875</v>
      </c>
      <c r="Q54" s="4" t="e">
        <f aca="false">(($D54+M54)*$E54)+H$18</f>
        <v>#DIV/0!</v>
      </c>
      <c r="R54" s="136" t="n">
        <f aca="false">IF(B$4=1,VLOOKUP(A54,expiration,2,FALSE()),VLOOKUP(A54,expiration,3,FALSE()))-B$2+$B$1</f>
        <v>-8430</v>
      </c>
      <c r="S54" s="4" t="n">
        <f aca="false">VLOOKUP($A54,STRADDLE,12,FALSE())</f>
        <v>0.06720377823263</v>
      </c>
      <c r="T54" s="1" t="n">
        <v>19.9832</v>
      </c>
      <c r="U54" s="43" t="n">
        <v>0</v>
      </c>
      <c r="V54" s="1" t="n">
        <v>3</v>
      </c>
      <c r="X54" s="43"/>
      <c r="Z54" s="9"/>
      <c r="AA54" s="9" t="n">
        <f aca="false">IF($A54&gt;=AB$25,IF($A54&lt;=AB$26,$T54,0),0)</f>
        <v>19.9832</v>
      </c>
      <c r="AB54" s="9" t="n">
        <f aca="false">IF(T54&gt;0,AD54/AA54,0)</f>
        <v>3.705</v>
      </c>
      <c r="AC54" s="1" t="n">
        <f aca="false">AA54*($B54+B$13)</f>
        <v>74.037756</v>
      </c>
      <c r="AD54" s="33" t="n">
        <f aca="false">IF(ISNUMBER(((AC54/AA54)+B$15+$C54)*AA54),((AC54/AA54)+B$15+$C54)*AA54,0)</f>
        <v>74.037756</v>
      </c>
      <c r="AE54" s="44" t="e">
        <f aca="false">IF(AA54=0,0,bsd(1,AF$27,AB54,$F54,$R54,$N54,$S54,0.1))</f>
        <v>#VALUE!</v>
      </c>
      <c r="AF54" s="44" t="e">
        <f aca="false">IF(AA54=0,0,bsd(2,AF$27,AB54,$F54,$R54,$N54,$S54,0.1))</f>
        <v>#VALUE!</v>
      </c>
      <c r="AG54" s="44" t="e">
        <f aca="false">IF(AA54=0,0,bsd(AF$28,AF$27,AB54,$F54,$R54,$N54,$S54,0.1))</f>
        <v>#VALUE!</v>
      </c>
      <c r="AH54" s="45" t="e">
        <f aca="false">AA54*AE54</f>
        <v>#VALUE!</v>
      </c>
      <c r="AI54" s="45" t="e">
        <f aca="false">AA54*AF54</f>
        <v>#VALUE!</v>
      </c>
      <c r="AJ54" s="45" t="e">
        <f aca="false">AA54*AG54</f>
        <v>#VALUE!</v>
      </c>
      <c r="AL54" s="9" t="n">
        <f aca="false">IF($A54&gt;=AM$25,IF($A54&lt;=AM$26,$T54,0),0)</f>
        <v>0</v>
      </c>
      <c r="AM54" s="9" t="e">
        <f aca="false">AO54/AL54</f>
        <v>#DIV/0!</v>
      </c>
      <c r="AN54" s="1" t="n">
        <f aca="false">AL54*($B54+D$13)</f>
        <v>0</v>
      </c>
      <c r="AO54" s="33" t="n">
        <f aca="false">IF(ISNUMBER(((AN54/AL54)+D$15+$C54)*AL54),((AN54/AL54)+D$15+$C54)*AL54,0)</f>
        <v>0</v>
      </c>
      <c r="AP54" s="44" t="n">
        <f aca="false">IF(AL54=0,0,bsd(1,AQ$27,AM54,$G54,$R54,$O54,$S54,0.1))</f>
        <v>0</v>
      </c>
      <c r="AQ54" s="44" t="n">
        <f aca="false">IF(AL54=0,0,bsd(2,AQ$27,AM54,$G54,$R54,$O54,$S54,0.1))</f>
        <v>0</v>
      </c>
      <c r="AR54" s="44" t="n">
        <f aca="false">IF(AL54=0,0,bsd(AQ$28,AQ$27,AM54,$G54,$R54,$O54,$S54,0.1))</f>
        <v>0</v>
      </c>
      <c r="AS54" s="45" t="n">
        <f aca="false">AL54*AP54</f>
        <v>0</v>
      </c>
      <c r="AT54" s="45" t="n">
        <f aca="false">AL54*AQ54</f>
        <v>0</v>
      </c>
      <c r="AU54" s="45" t="n">
        <f aca="false">AL54*AR54</f>
        <v>0</v>
      </c>
      <c r="AW54" s="9" t="n">
        <f aca="false">IF($A54&gt;=AX$25,IF($A54&lt;=AX$26,$T54,0),0)</f>
        <v>19.9832</v>
      </c>
      <c r="AX54" s="9" t="n">
        <f aca="false">AZ54/AW54</f>
        <v>3.74</v>
      </c>
      <c r="AY54" s="1" t="n">
        <f aca="false">AW54*($B54+F$13)</f>
        <v>74.637252</v>
      </c>
      <c r="AZ54" s="33" t="n">
        <f aca="false">IF(ISNUMBER(((AY54/AW54)+F$15+$C54)*AW54),((AY54/AW54)+F$15+$C54)*AW54,0)</f>
        <v>74.737168</v>
      </c>
      <c r="BA54" s="44" t="e">
        <f aca="false">IF(AW54=0,0,bsd(1,BB$27,AX54,$H54,$R54,$P54,$S54,0.1))</f>
        <v>#VALUE!</v>
      </c>
      <c r="BB54" s="44" t="e">
        <f aca="false">IF(AW54=0,0,bsd(2,BB$27,AX54,$H54,$R54,$P54,$S54,0.1))</f>
        <v>#VALUE!</v>
      </c>
      <c r="BC54" s="44" t="e">
        <f aca="false">IF(AW54=0,0,bsd(BB$28,BB$27,AX54,$H54,$R54,$P54,$S54,0.1))</f>
        <v>#VALUE!</v>
      </c>
      <c r="BD54" s="45" t="e">
        <f aca="false">AW54*BA54</f>
        <v>#VALUE!</v>
      </c>
      <c r="BE54" s="45" t="e">
        <f aca="false">AW54*BB54</f>
        <v>#VALUE!</v>
      </c>
      <c r="BF54" s="45" t="e">
        <f aca="false">AW54*BC54</f>
        <v>#VALUE!</v>
      </c>
      <c r="BH54" s="9" t="n">
        <f aca="false">IF($A54&gt;=BI$25,IF($A54&lt;=BI$26,$T54,0),0)</f>
        <v>0</v>
      </c>
      <c r="BI54" s="9" t="e">
        <f aca="false">BK54/BH54</f>
        <v>#DIV/0!</v>
      </c>
      <c r="BJ54" s="1" t="n">
        <f aca="false">BH54*($B54+H$13)</f>
        <v>0</v>
      </c>
      <c r="BK54" s="33" t="n">
        <f aca="false">IF(ISNUMBER(((BJ54/BH54)+H$15+$C54)*BH54),((BJ54/BH54)+H$15+$C54)*BH54,0)</f>
        <v>0</v>
      </c>
      <c r="BL54" s="44" t="n">
        <f aca="false">IF(BH54=0,0,bsd(1,BM$27,BI54,$I54,$R54,$Q54,$S54,0.1))</f>
        <v>0</v>
      </c>
      <c r="BM54" s="44" t="n">
        <f aca="false">IF(BH54=0,0,bsd(2,BM$27,BI54,$I54,$R54,$Q54,$S54,0.1))</f>
        <v>0</v>
      </c>
      <c r="BN54" s="44" t="n">
        <f aca="false">IF(BH54=0,0,bsd(BM$28,BM$27,BI54,$I54,$R54,$Q54,$S54,0.1))</f>
        <v>0</v>
      </c>
      <c r="BO54" s="45" t="n">
        <f aca="false">BH54*BL54</f>
        <v>0</v>
      </c>
      <c r="BP54" s="45" t="n">
        <f aca="false">BH54*BM54</f>
        <v>0</v>
      </c>
      <c r="BQ54" s="45" t="n">
        <f aca="false">BH54*BN54</f>
        <v>0</v>
      </c>
    </row>
    <row r="55" customFormat="false" ht="12.75" hidden="false" customHeight="false" outlineLevel="0" collapsed="false">
      <c r="A55" s="48" t="n">
        <f aca="false">DATE(YEAR(A54),MONTH(A54)+1,1)</f>
        <v>37530</v>
      </c>
      <c r="B55" s="40" t="n">
        <f aca="false">VLOOKUP(A55,STRADDLE,5,FALSE())</f>
        <v>3.708</v>
      </c>
      <c r="C55" s="40" t="n">
        <v>0</v>
      </c>
      <c r="D55" s="4" t="n">
        <f aca="false">VLOOKUP(A55,STRADDLE,8,FALSE())</f>
        <v>0.295</v>
      </c>
      <c r="E55" s="131" t="n">
        <f aca="false">IF(ISNUMBER(VLOOKUP(A55,VOLCURVES,HLOOKUP(B$5,VOLCURVES,2,FALSE()),FALSE())),VLOOKUP(A55,VOLCURVES,HLOOKUP(B$5,VOLCURVES,2,FALSE()),FALSE()),1)</f>
        <v>1</v>
      </c>
      <c r="F55" s="41" t="n">
        <f aca="false">IF($B$17=4,$AB55,$B$16)</f>
        <v>3.8</v>
      </c>
      <c r="G55" s="41" t="n">
        <f aca="false">IF($D$17=4,$AM55,$D$16)</f>
        <v>3.5</v>
      </c>
      <c r="H55" s="41" t="n">
        <f aca="false">IF($F$17=4,$AX55,$F$16)</f>
        <v>2.96</v>
      </c>
      <c r="I55" s="41" t="n">
        <f aca="false">IF($H$17=4,$BI55,$H$16)</f>
        <v>2.99</v>
      </c>
      <c r="J55" s="4" t="n">
        <f aca="false">IF($B$19=1,VLOOKUP($A55,SkewTable,HLOOKUP(ROUND(F55-AB55,1),SkewTable,2,FALSE()),FALSE())/100,0)</f>
        <v>0.002</v>
      </c>
      <c r="K55" s="4" t="e">
        <f aca="false">IF($D$19=1,VLOOKUP($A55,SkewTable,HLOOKUP(ROUND(G55-AM55,1),SkewTable,2,FALSE()),FALSE())/100,0)</f>
        <v>#DIV/0!</v>
      </c>
      <c r="L55" s="4" t="n">
        <f aca="false">IF($F$19=1,VLOOKUP($A55,SkewTable,HLOOKUP(ROUND(H55-AX55,1),SkewTable,2,FALSE()),FALSE())/100,0)</f>
        <v>-0.01083235125</v>
      </c>
      <c r="M55" s="4" t="e">
        <f aca="false">IF($H$19=1,VLOOKUP($A55,SkewTable,HLOOKUP(ROUND(I55-BI55,1),SkewTable,2,FALSE()),FALSE())/100,0)</f>
        <v>#DIV/0!</v>
      </c>
      <c r="N55" s="4" t="n">
        <f aca="false">(($D55+J55)*$E55)+B$18</f>
        <v>0.297</v>
      </c>
      <c r="O55" s="4" t="e">
        <f aca="false">(($D55+K55)*$E55)+D$18</f>
        <v>#DIV/0!</v>
      </c>
      <c r="P55" s="4" t="n">
        <f aca="false">(($D55+L55)*$E55)+F$18</f>
        <v>0.30416764875</v>
      </c>
      <c r="Q55" s="4" t="e">
        <f aca="false">(($D55+M55)*$E55)+H$18</f>
        <v>#DIV/0!</v>
      </c>
      <c r="R55" s="136" t="n">
        <f aca="false">IF(B$4=1,VLOOKUP(A55,expiration,2,FALSE()),VLOOKUP(A55,expiration,3,FALSE()))-B$2+$B$1</f>
        <v>-8401</v>
      </c>
      <c r="S55" s="4" t="n">
        <f aca="false">VLOOKUP($A55,STRADDLE,12,FALSE())</f>
        <v>0.067194524564304</v>
      </c>
      <c r="T55" s="1" t="n">
        <v>18.9793</v>
      </c>
      <c r="U55" s="43" t="n">
        <v>0</v>
      </c>
      <c r="V55" s="1" t="n">
        <v>3</v>
      </c>
      <c r="X55" s="43"/>
      <c r="Z55" s="9"/>
      <c r="AA55" s="9" t="n">
        <f aca="false">IF($A55&gt;=AB$25,IF($A55&lt;=AB$26,$T55,0),0)</f>
        <v>18.9793</v>
      </c>
      <c r="AB55" s="9" t="n">
        <f aca="false">IF(T55&gt;0,AD55/AA55,0)</f>
        <v>3.708</v>
      </c>
      <c r="AC55" s="1" t="n">
        <f aca="false">AA55*($B55+B$13)</f>
        <v>70.3752444</v>
      </c>
      <c r="AD55" s="33" t="n">
        <f aca="false">IF(ISNUMBER(((AC55/AA55)+B$15+$C55)*AA55),((AC55/AA55)+B$15+$C55)*AA55,0)</f>
        <v>70.3752444</v>
      </c>
      <c r="AE55" s="44" t="e">
        <f aca="false">IF(AA55=0,0,bsd(1,AF$27,AB55,$F55,$R55,$N55,$S55,0.1))</f>
        <v>#VALUE!</v>
      </c>
      <c r="AF55" s="44" t="e">
        <f aca="false">IF(AA55=0,0,bsd(2,AF$27,AB55,$F55,$R55,$N55,$S55,0.1))</f>
        <v>#VALUE!</v>
      </c>
      <c r="AG55" s="44" t="e">
        <f aca="false">IF(AA55=0,0,bsd(AF$28,AF$27,AB55,$F55,$R55,$N55,$S55,0.1))</f>
        <v>#VALUE!</v>
      </c>
      <c r="AH55" s="45" t="e">
        <f aca="false">AA55*AE55</f>
        <v>#VALUE!</v>
      </c>
      <c r="AI55" s="45" t="e">
        <f aca="false">AA55*AF55</f>
        <v>#VALUE!</v>
      </c>
      <c r="AJ55" s="45" t="e">
        <f aca="false">AA55*AG55</f>
        <v>#VALUE!</v>
      </c>
      <c r="AL55" s="9" t="n">
        <f aca="false">IF($A55&gt;=AM$25,IF($A55&lt;=AM$26,$T55,0),0)</f>
        <v>0</v>
      </c>
      <c r="AM55" s="9" t="e">
        <f aca="false">AO55/AL55</f>
        <v>#DIV/0!</v>
      </c>
      <c r="AN55" s="1" t="n">
        <f aca="false">AL55*($B55+D$13)</f>
        <v>0</v>
      </c>
      <c r="AO55" s="33" t="n">
        <f aca="false">IF(ISNUMBER(((AN55/AL55)+D$15+$C55)*AL55),((AN55/AL55)+D$15+$C55)*AL55,0)</f>
        <v>0</v>
      </c>
      <c r="AP55" s="44" t="n">
        <f aca="false">IF(AL55=0,0,bsd(1,AQ$27,AM55,$G55,$R55,$O55,$S55,0.1))</f>
        <v>0</v>
      </c>
      <c r="AQ55" s="44" t="n">
        <f aca="false">IF(AL55=0,0,bsd(2,AQ$27,AM55,$G55,$R55,$O55,$S55,0.1))</f>
        <v>0</v>
      </c>
      <c r="AR55" s="44" t="n">
        <f aca="false">IF(AL55=0,0,bsd(AQ$28,AQ$27,AM55,$G55,$R55,$O55,$S55,0.1))</f>
        <v>0</v>
      </c>
      <c r="AS55" s="45" t="n">
        <f aca="false">AL55*AP55</f>
        <v>0</v>
      </c>
      <c r="AT55" s="45" t="n">
        <f aca="false">AL55*AQ55</f>
        <v>0</v>
      </c>
      <c r="AU55" s="45" t="n">
        <f aca="false">AL55*AR55</f>
        <v>0</v>
      </c>
      <c r="AW55" s="9" t="n">
        <f aca="false">IF($A55&gt;=AX$25,IF($A55&lt;=AX$26,$T55,0),0)</f>
        <v>18.9793</v>
      </c>
      <c r="AX55" s="9" t="n">
        <f aca="false">AZ55/AW55</f>
        <v>3.743</v>
      </c>
      <c r="AY55" s="1" t="n">
        <f aca="false">AW55*($B55+F$13)</f>
        <v>70.9446234</v>
      </c>
      <c r="AZ55" s="33" t="n">
        <f aca="false">IF(ISNUMBER(((AY55/AW55)+F$15+$C55)*AW55),((AY55/AW55)+F$15+$C55)*AW55,0)</f>
        <v>71.0395199</v>
      </c>
      <c r="BA55" s="44" t="e">
        <f aca="false">IF(AW55=0,0,bsd(1,BB$27,AX55,$H55,$R55,$P55,$S55,0.1))</f>
        <v>#VALUE!</v>
      </c>
      <c r="BB55" s="44" t="e">
        <f aca="false">IF(AW55=0,0,bsd(2,BB$27,AX55,$H55,$R55,$P55,$S55,0.1))</f>
        <v>#VALUE!</v>
      </c>
      <c r="BC55" s="44" t="e">
        <f aca="false">IF(AW55=0,0,bsd(BB$28,BB$27,AX55,$H55,$R55,$P55,$S55,0.1))</f>
        <v>#VALUE!</v>
      </c>
      <c r="BD55" s="45" t="e">
        <f aca="false">AW55*BA55</f>
        <v>#VALUE!</v>
      </c>
      <c r="BE55" s="45" t="e">
        <f aca="false">AW55*BB55</f>
        <v>#VALUE!</v>
      </c>
      <c r="BF55" s="45" t="e">
        <f aca="false">AW55*BC55</f>
        <v>#VALUE!</v>
      </c>
      <c r="BH55" s="9" t="n">
        <f aca="false">IF($A55&gt;=BI$25,IF($A55&lt;=BI$26,$T55,0),0)</f>
        <v>0</v>
      </c>
      <c r="BI55" s="9" t="e">
        <f aca="false">BK55/BH55</f>
        <v>#DIV/0!</v>
      </c>
      <c r="BJ55" s="1" t="n">
        <f aca="false">BH55*($B55+H$13)</f>
        <v>0</v>
      </c>
      <c r="BK55" s="33" t="n">
        <f aca="false">IF(ISNUMBER(((BJ55/BH55)+H$15+$C55)*BH55),((BJ55/BH55)+H$15+$C55)*BH55,0)</f>
        <v>0</v>
      </c>
      <c r="BL55" s="44" t="n">
        <f aca="false">IF(BH55=0,0,bsd(1,BM$27,BI55,$I55,$R55,$Q55,$S55,0.1))</f>
        <v>0</v>
      </c>
      <c r="BM55" s="44" t="n">
        <f aca="false">IF(BH55=0,0,bsd(2,BM$27,BI55,$I55,$R55,$Q55,$S55,0.1))</f>
        <v>0</v>
      </c>
      <c r="BN55" s="44" t="n">
        <f aca="false">IF(BH55=0,0,bsd(BM$28,BM$27,BI55,$I55,$R55,$Q55,$S55,0.1))</f>
        <v>0</v>
      </c>
      <c r="BO55" s="45" t="n">
        <f aca="false">BH55*BL55</f>
        <v>0</v>
      </c>
      <c r="BP55" s="45" t="n">
        <f aca="false">BH55*BM55</f>
        <v>0</v>
      </c>
      <c r="BQ55" s="45" t="n">
        <f aca="false">BH55*BN55</f>
        <v>0</v>
      </c>
    </row>
    <row r="56" customFormat="false" ht="12.75" hidden="false" customHeight="false" outlineLevel="0" collapsed="false">
      <c r="A56" s="48" t="n">
        <f aca="false">DATE(YEAR(A55),MONTH(A55)+1,1)</f>
        <v>37561</v>
      </c>
      <c r="B56" s="40" t="n">
        <f aca="false">VLOOKUP(A56,STRADDLE,5,FALSE())</f>
        <v>3.8</v>
      </c>
      <c r="C56" s="40" t="n">
        <v>0</v>
      </c>
      <c r="D56" s="4" t="n">
        <f aca="false">VLOOKUP(A56,STRADDLE,8,FALSE())</f>
        <v>0.2975</v>
      </c>
      <c r="E56" s="131" t="n">
        <f aca="false">IF(ISNUMBER(VLOOKUP(A56,VOLCURVES,HLOOKUP(B$5,VOLCURVES,2,FALSE()),FALSE())),VLOOKUP(A56,VOLCURVES,HLOOKUP(B$5,VOLCURVES,2,FALSE()),FALSE()),1)</f>
        <v>1</v>
      </c>
      <c r="F56" s="41" t="n">
        <f aca="false">IF($B$17=4,$AB56,$B$16)</f>
        <v>3.8</v>
      </c>
      <c r="G56" s="41" t="n">
        <f aca="false">IF($D$17=4,$AM56,$D$16)</f>
        <v>3.5</v>
      </c>
      <c r="H56" s="41" t="n">
        <f aca="false">IF($F$17=4,$AX56,$F$16)</f>
        <v>2.96</v>
      </c>
      <c r="I56" s="41" t="n">
        <f aca="false">IF($H$17=4,$BI56,$H$16)</f>
        <v>2.99</v>
      </c>
      <c r="J56" s="4" t="n">
        <f aca="false">IF($B$19=1,VLOOKUP($A56,SkewTable,HLOOKUP(ROUND(F56-AB56,1),SkewTable,2,FALSE()),FALSE())/100,0)</f>
        <v>0</v>
      </c>
      <c r="K56" s="4" t="e">
        <f aca="false">IF($D$19=1,VLOOKUP($A56,SkewTable,HLOOKUP(ROUND(G56-AM56,1),SkewTable,2,FALSE()),FALSE())/100,0)</f>
        <v>#DIV/0!</v>
      </c>
      <c r="L56" s="4" t="n">
        <f aca="false">IF($F$19=1,VLOOKUP($A56,SkewTable,HLOOKUP(ROUND(H56-AX56,1),SkewTable,2,FALSE()),FALSE())/100,0)</f>
        <v>-0.0111197025</v>
      </c>
      <c r="M56" s="4" t="e">
        <f aca="false">IF($H$19=1,VLOOKUP($A56,SkewTable,HLOOKUP(ROUND(I56-BI56,1),SkewTable,2,FALSE()),FALSE())/100,0)</f>
        <v>#DIV/0!</v>
      </c>
      <c r="N56" s="4" t="n">
        <f aca="false">(($D56+J56)*$E56)+B$18</f>
        <v>0.2975</v>
      </c>
      <c r="O56" s="4" t="e">
        <f aca="false">(($D56+K56)*$E56)+D$18</f>
        <v>#DIV/0!</v>
      </c>
      <c r="P56" s="4" t="n">
        <f aca="false">(($D56+L56)*$E56)+F$18</f>
        <v>0.3063802975</v>
      </c>
      <c r="Q56" s="4" t="e">
        <f aca="false">(($D56+M56)*$E56)+H$18</f>
        <v>#DIV/0!</v>
      </c>
      <c r="R56" s="136" t="n">
        <f aca="false">IF(B$4=1,VLOOKUP(A56,expiration,2,FALSE()),VLOOKUP(A56,expiration,3,FALSE()))-B$2+$B$1</f>
        <v>-8368</v>
      </c>
      <c r="S56" s="4" t="n">
        <f aca="false">VLOOKUP($A56,STRADDLE,12,FALSE())</f>
        <v>0.067190222129849</v>
      </c>
      <c r="T56" s="1" t="n">
        <v>18.0742</v>
      </c>
      <c r="U56" s="43" t="n">
        <v>0</v>
      </c>
      <c r="V56" s="1" t="n">
        <v>3</v>
      </c>
      <c r="X56" s="43"/>
      <c r="Z56" s="9"/>
      <c r="AA56" s="9" t="n">
        <f aca="false">IF($A56&gt;=AB$25,IF($A56&lt;=AB$26,$T56,0),0)</f>
        <v>18.0742</v>
      </c>
      <c r="AB56" s="9" t="n">
        <f aca="false">IF(T56&gt;0,AD56/AA56,0)</f>
        <v>3.8</v>
      </c>
      <c r="AC56" s="1" t="n">
        <f aca="false">AA56*($B56+B$13)</f>
        <v>68.68196</v>
      </c>
      <c r="AD56" s="33" t="n">
        <f aca="false">IF(ISNUMBER(((AC56/AA56)+B$15+$C56)*AA56),((AC56/AA56)+B$15+$C56)*AA56,0)</f>
        <v>68.68196</v>
      </c>
      <c r="AE56" s="44" t="e">
        <f aca="false">IF(AA56=0,0,bsd(1,AF$27,AB56,$F56,$R56,$N56,$S56,0.1))</f>
        <v>#VALUE!</v>
      </c>
      <c r="AF56" s="44" t="e">
        <f aca="false">IF(AA56=0,0,bsd(2,AF$27,AB56,$F56,$R56,$N56,$S56,0.1))</f>
        <v>#VALUE!</v>
      </c>
      <c r="AG56" s="44" t="e">
        <f aca="false">IF(AA56=0,0,bsd(AF$28,AF$27,AB56,$F56,$R56,$N56,$S56,0.1))</f>
        <v>#VALUE!</v>
      </c>
      <c r="AH56" s="45" t="e">
        <f aca="false">AA56*AE56</f>
        <v>#VALUE!</v>
      </c>
      <c r="AI56" s="45" t="e">
        <f aca="false">AA56*AF56</f>
        <v>#VALUE!</v>
      </c>
      <c r="AJ56" s="45" t="e">
        <f aca="false">AA56*AG56</f>
        <v>#VALUE!</v>
      </c>
      <c r="AL56" s="9" t="n">
        <f aca="false">IF($A56&gt;=AM$25,IF($A56&lt;=AM$26,$T56,0),0)</f>
        <v>0</v>
      </c>
      <c r="AM56" s="9" t="e">
        <f aca="false">AO56/AL56</f>
        <v>#DIV/0!</v>
      </c>
      <c r="AN56" s="1" t="n">
        <f aca="false">AL56*($B56+D$13)</f>
        <v>0</v>
      </c>
      <c r="AO56" s="33" t="n">
        <f aca="false">IF(ISNUMBER(((AN56/AL56)+D$15+$C56)*AL56),((AN56/AL56)+D$15+$C56)*AL56,0)</f>
        <v>0</v>
      </c>
      <c r="AP56" s="44" t="n">
        <f aca="false">IF(AL56=0,0,bsd(1,AQ$27,AM56,$G56,$R56,$O56,$S56,0.1))</f>
        <v>0</v>
      </c>
      <c r="AQ56" s="44" t="n">
        <f aca="false">IF(AL56=0,0,bsd(2,AQ$27,AM56,$G56,$R56,$O56,$S56,0.1))</f>
        <v>0</v>
      </c>
      <c r="AR56" s="44" t="n">
        <f aca="false">IF(AL56=0,0,bsd(AQ$28,AQ$27,AM56,$G56,$R56,$O56,$S56,0.1))</f>
        <v>0</v>
      </c>
      <c r="AS56" s="45" t="n">
        <f aca="false">AL56*AP56</f>
        <v>0</v>
      </c>
      <c r="AT56" s="45" t="n">
        <f aca="false">AL56*AQ56</f>
        <v>0</v>
      </c>
      <c r="AU56" s="45" t="n">
        <f aca="false">AL56*AR56</f>
        <v>0</v>
      </c>
      <c r="AW56" s="9" t="n">
        <f aca="false">IF($A56&gt;=AX$25,IF($A56&lt;=AX$26,$T56,0),0)</f>
        <v>18.0742</v>
      </c>
      <c r="AX56" s="9" t="n">
        <f aca="false">AZ56/AW56</f>
        <v>3.835</v>
      </c>
      <c r="AY56" s="1" t="n">
        <f aca="false">AW56*($B56+F$13)</f>
        <v>69.224186</v>
      </c>
      <c r="AZ56" s="33" t="n">
        <f aca="false">IF(ISNUMBER(((AY56/AW56)+F$15+$C56)*AW56),((AY56/AW56)+F$15+$C56)*AW56,0)</f>
        <v>69.314557</v>
      </c>
      <c r="BA56" s="44" t="e">
        <f aca="false">IF(AW56=0,0,bsd(1,BB$27,AX56,$H56,$R56,$P56,$S56,0.1))</f>
        <v>#VALUE!</v>
      </c>
      <c r="BB56" s="44" t="e">
        <f aca="false">IF(AW56=0,0,bsd(2,BB$27,AX56,$H56,$R56,$P56,$S56,0.1))</f>
        <v>#VALUE!</v>
      </c>
      <c r="BC56" s="44" t="e">
        <f aca="false">IF(AW56=0,0,bsd(BB$28,BB$27,AX56,$H56,$R56,$P56,$S56,0.1))</f>
        <v>#VALUE!</v>
      </c>
      <c r="BD56" s="45" t="e">
        <f aca="false">AW56*BA56</f>
        <v>#VALUE!</v>
      </c>
      <c r="BE56" s="45" t="e">
        <f aca="false">AW56*BB56</f>
        <v>#VALUE!</v>
      </c>
      <c r="BF56" s="45" t="e">
        <f aca="false">AW56*BC56</f>
        <v>#VALUE!</v>
      </c>
      <c r="BH56" s="9" t="n">
        <f aca="false">IF($A56&gt;=BI$25,IF($A56&lt;=BI$26,$T56,0),0)</f>
        <v>0</v>
      </c>
      <c r="BI56" s="9" t="e">
        <f aca="false">BK56/BH56</f>
        <v>#DIV/0!</v>
      </c>
      <c r="BJ56" s="1" t="n">
        <f aca="false">BH56*($B56+H$13)</f>
        <v>0</v>
      </c>
      <c r="BK56" s="33" t="n">
        <f aca="false">IF(ISNUMBER(((BJ56/BH56)+H$15+$C56)*BH56),((BJ56/BH56)+H$15+$C56)*BH56,0)</f>
        <v>0</v>
      </c>
      <c r="BL56" s="44" t="n">
        <f aca="false">IF(BH56=0,0,bsd(1,BM$27,BI56,$I56,$R56,$Q56,$S56,0.1))</f>
        <v>0</v>
      </c>
      <c r="BM56" s="44" t="n">
        <f aca="false">IF(BH56=0,0,bsd(2,BM$27,BI56,$I56,$R56,$Q56,$S56,0.1))</f>
        <v>0</v>
      </c>
      <c r="BN56" s="44" t="n">
        <f aca="false">IF(BH56=0,0,bsd(BM$28,BM$27,BI56,$I56,$R56,$Q56,$S56,0.1))</f>
        <v>0</v>
      </c>
      <c r="BO56" s="45" t="n">
        <f aca="false">BH56*BL56</f>
        <v>0</v>
      </c>
      <c r="BP56" s="45" t="n">
        <f aca="false">BH56*BM56</f>
        <v>0</v>
      </c>
      <c r="BQ56" s="45" t="n">
        <f aca="false">BH56*BN56</f>
        <v>0</v>
      </c>
    </row>
    <row r="57" customFormat="false" ht="12.75" hidden="false" customHeight="false" outlineLevel="0" collapsed="false">
      <c r="A57" s="48" t="n">
        <f aca="false">DATE(YEAR(A56),MONTH(A56)+1,1)</f>
        <v>37591</v>
      </c>
      <c r="B57" s="40" t="n">
        <f aca="false">VLOOKUP(A57,STRADDLE,5,FALSE())</f>
        <v>3.876</v>
      </c>
      <c r="C57" s="40" t="n">
        <v>0</v>
      </c>
      <c r="D57" s="4" t="n">
        <f aca="false">VLOOKUP(A57,STRADDLE,8,FALSE())</f>
        <v>0.3</v>
      </c>
      <c r="E57" s="131" t="n">
        <f aca="false">IF(ISNUMBER(VLOOKUP(A57,VOLCURVES,HLOOKUP(B$5,VOLCURVES,2,FALSE()),FALSE())),VLOOKUP(A57,VOLCURVES,HLOOKUP(B$5,VOLCURVES,2,FALSE()),FALSE()),1)</f>
        <v>1</v>
      </c>
      <c r="F57" s="41" t="n">
        <f aca="false">IF($B$17=4,$AB57,$B$16)</f>
        <v>3.8</v>
      </c>
      <c r="G57" s="41" t="n">
        <f aca="false">IF($D$17=4,$AM57,$D$16)</f>
        <v>3.5</v>
      </c>
      <c r="H57" s="41" t="n">
        <f aca="false">IF($F$17=4,$AX57,$F$16)</f>
        <v>2.96</v>
      </c>
      <c r="I57" s="41" t="n">
        <f aca="false">IF($H$17=4,$BI57,$H$16)</f>
        <v>2.99</v>
      </c>
      <c r="J57" s="4" t="n">
        <f aca="false">IF($B$19=1,VLOOKUP($A57,SkewTable,HLOOKUP(ROUND(F57-AB57,1),SkewTable,2,FALSE()),FALSE())/100,0)</f>
        <v>-0.002</v>
      </c>
      <c r="K57" s="4" t="e">
        <f aca="false">IF($D$19=1,VLOOKUP($A57,SkewTable,HLOOKUP(ROUND(G57-AM57,1),SkewTable,2,FALSE()),FALSE())/100,0)</f>
        <v>#DIV/0!</v>
      </c>
      <c r="L57" s="4" t="n">
        <f aca="false">IF($F$19=1,VLOOKUP($A57,SkewTable,HLOOKUP(ROUND(H57-AX57,1),SkewTable,2,FALSE()),FALSE())/100,0)</f>
        <v>-0.011422714393125</v>
      </c>
      <c r="M57" s="4" t="e">
        <f aca="false">IF($H$19=1,VLOOKUP($A57,SkewTable,HLOOKUP(ROUND(I57-BI57,1),SkewTable,2,FALSE()),FALSE())/100,0)</f>
        <v>#DIV/0!</v>
      </c>
      <c r="N57" s="4" t="n">
        <f aca="false">(($D57+J57)*$E57)+B$18</f>
        <v>0.298</v>
      </c>
      <c r="O57" s="4" t="e">
        <f aca="false">(($D57+K57)*$E57)+D$18</f>
        <v>#DIV/0!</v>
      </c>
      <c r="P57" s="4" t="n">
        <f aca="false">(($D57+L57)*$E57)+F$18</f>
        <v>0.308577285606875</v>
      </c>
      <c r="Q57" s="4" t="e">
        <f aca="false">(($D57+M57)*$E57)+H$18</f>
        <v>#DIV/0!</v>
      </c>
      <c r="R57" s="136" t="n">
        <f aca="false">IF(B$4=1,VLOOKUP(A57,expiration,2,FALSE()),VLOOKUP(A57,expiration,3,FALSE()))-B$2+$B$1</f>
        <v>-8340</v>
      </c>
      <c r="S57" s="4" t="n">
        <f aca="false">VLOOKUP($A57,STRADDLE,12,FALSE())</f>
        <v>0.067186058483608</v>
      </c>
      <c r="T57" s="1" t="n">
        <v>17.1444</v>
      </c>
      <c r="U57" s="43" t="n">
        <v>0</v>
      </c>
      <c r="V57" s="1" t="n">
        <v>3</v>
      </c>
      <c r="X57" s="43"/>
      <c r="Z57" s="9"/>
      <c r="AA57" s="9" t="n">
        <f aca="false">IF($A57&gt;=AB$25,IF($A57&lt;=AB$26,$T57,0),0)</f>
        <v>17.1444</v>
      </c>
      <c r="AB57" s="9" t="n">
        <f aca="false">IF(T57&gt;0,AD57/AA57,0)</f>
        <v>3.876</v>
      </c>
      <c r="AC57" s="1" t="n">
        <f aca="false">AA57*($B57+B$13)</f>
        <v>66.4516944</v>
      </c>
      <c r="AD57" s="33" t="n">
        <f aca="false">IF(ISNUMBER(((AC57/AA57)+B$15+$C57)*AA57),((AC57/AA57)+B$15+$C57)*AA57,0)</f>
        <v>66.4516944</v>
      </c>
      <c r="AE57" s="44" t="e">
        <f aca="false">IF(AA57=0,0,bsd(1,AF$27,AB57,$F57,$R57,$N57,$S57,0.1))</f>
        <v>#VALUE!</v>
      </c>
      <c r="AF57" s="44" t="e">
        <f aca="false">IF(AA57=0,0,bsd(2,AF$27,AB57,$F57,$R57,$N57,$S57,0.1))</f>
        <v>#VALUE!</v>
      </c>
      <c r="AG57" s="44" t="e">
        <f aca="false">IF(AA57=0,0,bsd(AF$28,AF$27,AB57,$F57,$R57,$N57,$S57,0.1))</f>
        <v>#VALUE!</v>
      </c>
      <c r="AH57" s="45" t="e">
        <f aca="false">AA57*AE57</f>
        <v>#VALUE!</v>
      </c>
      <c r="AI57" s="45" t="e">
        <f aca="false">AA57*AF57</f>
        <v>#VALUE!</v>
      </c>
      <c r="AJ57" s="45" t="e">
        <f aca="false">AA57*AG57</f>
        <v>#VALUE!</v>
      </c>
      <c r="AL57" s="9" t="n">
        <f aca="false">IF($A57&gt;=AM$25,IF($A57&lt;=AM$26,$T57,0),0)</f>
        <v>0</v>
      </c>
      <c r="AM57" s="9" t="e">
        <f aca="false">AO57/AL57</f>
        <v>#DIV/0!</v>
      </c>
      <c r="AN57" s="1" t="n">
        <f aca="false">AL57*($B57+D$13)</f>
        <v>0</v>
      </c>
      <c r="AO57" s="33" t="n">
        <f aca="false">IF(ISNUMBER(((AN57/AL57)+D$15+$C57)*AL57),((AN57/AL57)+D$15+$C57)*AL57,0)</f>
        <v>0</v>
      </c>
      <c r="AP57" s="44" t="n">
        <f aca="false">IF(AL57=0,0,bsd(1,AQ$27,AM57,$G57,$R57,$O57,$S57,0.1))</f>
        <v>0</v>
      </c>
      <c r="AQ57" s="44" t="n">
        <f aca="false">IF(AL57=0,0,bsd(2,AQ$27,AM57,$G57,$R57,$O57,$S57,0.1))</f>
        <v>0</v>
      </c>
      <c r="AR57" s="44" t="n">
        <f aca="false">IF(AL57=0,0,bsd(AQ$28,AQ$27,AM57,$G57,$R57,$O57,$S57,0.1))</f>
        <v>0</v>
      </c>
      <c r="AS57" s="45" t="n">
        <f aca="false">AL57*AP57</f>
        <v>0</v>
      </c>
      <c r="AT57" s="45" t="n">
        <f aca="false">AL57*AQ57</f>
        <v>0</v>
      </c>
      <c r="AU57" s="45" t="n">
        <f aca="false">AL57*AR57</f>
        <v>0</v>
      </c>
      <c r="AW57" s="9" t="n">
        <f aca="false">IF($A57&gt;=AX$25,IF($A57&lt;=AX$26,$T57,0),0)</f>
        <v>17.1444</v>
      </c>
      <c r="AX57" s="9" t="n">
        <f aca="false">AZ57/AW57</f>
        <v>3.911</v>
      </c>
      <c r="AY57" s="1" t="n">
        <f aca="false">AW57*($B57+F$13)</f>
        <v>66.9660264</v>
      </c>
      <c r="AZ57" s="33" t="n">
        <f aca="false">IF(ISNUMBER(((AY57/AW57)+F$15+$C57)*AW57),((AY57/AW57)+F$15+$C57)*AW57,0)</f>
        <v>67.0517484</v>
      </c>
      <c r="BA57" s="44" t="e">
        <f aca="false">IF(AW57=0,0,bsd(1,BB$27,AX57,$H57,$R57,$P57,$S57,0.1))</f>
        <v>#VALUE!</v>
      </c>
      <c r="BB57" s="44" t="e">
        <f aca="false">IF(AW57=0,0,bsd(2,BB$27,AX57,$H57,$R57,$P57,$S57,0.1))</f>
        <v>#VALUE!</v>
      </c>
      <c r="BC57" s="44" t="e">
        <f aca="false">IF(AW57=0,0,bsd(BB$28,BB$27,AX57,$H57,$R57,$P57,$S57,0.1))</f>
        <v>#VALUE!</v>
      </c>
      <c r="BD57" s="45" t="e">
        <f aca="false">AW57*BA57</f>
        <v>#VALUE!</v>
      </c>
      <c r="BE57" s="45" t="e">
        <f aca="false">AW57*BB57</f>
        <v>#VALUE!</v>
      </c>
      <c r="BF57" s="45" t="e">
        <f aca="false">AW57*BC57</f>
        <v>#VALUE!</v>
      </c>
      <c r="BH57" s="9" t="n">
        <f aca="false">IF($A57&gt;=BI$25,IF($A57&lt;=BI$26,$T57,0),0)</f>
        <v>0</v>
      </c>
      <c r="BI57" s="9" t="e">
        <f aca="false">BK57/BH57</f>
        <v>#DIV/0!</v>
      </c>
      <c r="BJ57" s="1" t="n">
        <f aca="false">BH57*($B57+H$13)</f>
        <v>0</v>
      </c>
      <c r="BK57" s="33" t="n">
        <f aca="false">IF(ISNUMBER(((BJ57/BH57)+H$15+$C57)*BH57),((BJ57/BH57)+H$15+$C57)*BH57,0)</f>
        <v>0</v>
      </c>
      <c r="BL57" s="44" t="n">
        <f aca="false">IF(BH57=0,0,bsd(1,BM$27,BI57,$I57,$R57,$Q57,$S57,0.1))</f>
        <v>0</v>
      </c>
      <c r="BM57" s="44" t="n">
        <f aca="false">IF(BH57=0,0,bsd(2,BM$27,BI57,$I57,$R57,$Q57,$S57,0.1))</f>
        <v>0</v>
      </c>
      <c r="BN57" s="44" t="n">
        <f aca="false">IF(BH57=0,0,bsd(BM$28,BM$27,BI57,$I57,$R57,$Q57,$S57,0.1))</f>
        <v>0</v>
      </c>
      <c r="BO57" s="45" t="n">
        <f aca="false">BH57*BL57</f>
        <v>0</v>
      </c>
      <c r="BP57" s="45" t="n">
        <f aca="false">BH57*BM57</f>
        <v>0</v>
      </c>
      <c r="BQ57" s="45" t="n">
        <f aca="false">BH57*BN57</f>
        <v>0</v>
      </c>
    </row>
    <row r="58" customFormat="false" ht="12.75" hidden="false" customHeight="false" outlineLevel="0" collapsed="false">
      <c r="A58" s="48" t="n">
        <f aca="false">DATE(YEAR(A57),MONTH(A57)+1,1)</f>
        <v>37622</v>
      </c>
      <c r="B58" s="40" t="n">
        <f aca="false">VLOOKUP(A58,STRADDLE,5,FALSE())</f>
        <v>3.857</v>
      </c>
      <c r="C58" s="40" t="n">
        <v>0</v>
      </c>
      <c r="D58" s="4" t="n">
        <f aca="false">VLOOKUP(A58,STRADDLE,8,FALSE())</f>
        <v>0.29</v>
      </c>
      <c r="E58" s="131" t="n">
        <f aca="false">IF(ISNUMBER(VLOOKUP(A58,VOLCURVES,HLOOKUP(B$5,VOLCURVES,2,FALSE()),FALSE())),VLOOKUP(A58,VOLCURVES,HLOOKUP(B$5,VOLCURVES,2,FALSE()),FALSE()),1)</f>
        <v>1</v>
      </c>
      <c r="F58" s="41" t="n">
        <f aca="false">IF($B$17=4,$AB58,$B$16)</f>
        <v>3.8</v>
      </c>
      <c r="G58" s="41" t="n">
        <f aca="false">IF($D$17=4,$AM58,$D$16)</f>
        <v>3.5</v>
      </c>
      <c r="H58" s="41" t="n">
        <f aca="false">IF($F$17=4,$AX58,$F$16)</f>
        <v>2.96</v>
      </c>
      <c r="I58" s="41" t="n">
        <f aca="false">IF($H$17=4,$BI58,$H$16)</f>
        <v>2.99</v>
      </c>
      <c r="J58" s="4" t="n">
        <f aca="false">IF($B$19=1,VLOOKUP($A58,SkewTable,HLOOKUP(ROUND(F58-AB58,1),SkewTable,2,FALSE()),FALSE())/100,0)</f>
        <v>-0.002</v>
      </c>
      <c r="K58" s="4" t="e">
        <f aca="false">IF($D$19=1,VLOOKUP($A58,SkewTable,HLOOKUP(ROUND(G58-AM58,1),SkewTable,2,FALSE()),FALSE())/100,0)</f>
        <v>#DIV/0!</v>
      </c>
      <c r="L58" s="4" t="e">
        <f aca="false">IF($F$19=1,VLOOKUP($A58,SkewTable,HLOOKUP(ROUND(H58-AX58,1),SkewTable,2,FALSE()),FALSE())/100,0)</f>
        <v>#DIV/0!</v>
      </c>
      <c r="M58" s="4" t="e">
        <f aca="false">IF($H$19=1,VLOOKUP($A58,SkewTable,HLOOKUP(ROUND(I58-BI58,1),SkewTable,2,FALSE()),FALSE())/100,0)</f>
        <v>#DIV/0!</v>
      </c>
      <c r="N58" s="4" t="n">
        <f aca="false">(($D58+J58)*$E58)+B$18</f>
        <v>0.288</v>
      </c>
      <c r="O58" s="4" t="e">
        <f aca="false">(($D58+K58)*$E58)+D$18</f>
        <v>#DIV/0!</v>
      </c>
      <c r="P58" s="4" t="e">
        <f aca="false">(($D58+L58)*$E58)+F$18</f>
        <v>#DIV/0!</v>
      </c>
      <c r="Q58" s="4" t="e">
        <f aca="false">(($D58+M58)*$E58)+H$18</f>
        <v>#DIV/0!</v>
      </c>
      <c r="R58" s="136" t="n">
        <f aca="false">IF(B$4=1,VLOOKUP(A58,expiration,2,FALSE()),VLOOKUP(A58,expiration,3,FALSE()))-B$2+$B$1</f>
        <v>-8309</v>
      </c>
      <c r="S58" s="4" t="n">
        <f aca="false">VLOOKUP($A58,STRADDLE,12,FALSE())</f>
        <v>0.067193160128611</v>
      </c>
      <c r="T58" s="1" t="n">
        <v>16.436</v>
      </c>
      <c r="U58" s="43" t="n">
        <v>0</v>
      </c>
      <c r="V58" s="1" t="n">
        <v>3</v>
      </c>
      <c r="X58" s="43"/>
      <c r="Z58" s="9"/>
      <c r="AA58" s="9" t="n">
        <f aca="false">IF($A58&gt;=AB$25,IF($A58&lt;=AB$26,$T58,0),0)</f>
        <v>16.436</v>
      </c>
      <c r="AB58" s="9" t="n">
        <f aca="false">IF(T58&gt;0,AD58/AA58,0)</f>
        <v>3.857</v>
      </c>
      <c r="AC58" s="1" t="n">
        <f aca="false">AA58*($B58+B$13)</f>
        <v>63.393652</v>
      </c>
      <c r="AD58" s="33" t="n">
        <f aca="false">IF(ISNUMBER(((AC58/AA58)+B$15+$C58)*AA58),((AC58/AA58)+B$15+$C58)*AA58,0)</f>
        <v>63.393652</v>
      </c>
      <c r="AE58" s="44" t="e">
        <f aca="false">IF(AA58=0,0,bsd(1,AF$27,AB58,$F58,$R58,$N58,$S58,0.1))</f>
        <v>#VALUE!</v>
      </c>
      <c r="AF58" s="44" t="e">
        <f aca="false">IF(AA58=0,0,bsd(2,AF$27,AB58,$F58,$R58,$N58,$S58,0.1))</f>
        <v>#VALUE!</v>
      </c>
      <c r="AG58" s="44" t="e">
        <f aca="false">IF(AA58=0,0,bsd(AF$28,AF$27,AB58,$F58,$R58,$N58,$S58,0.1))</f>
        <v>#VALUE!</v>
      </c>
      <c r="AH58" s="45" t="e">
        <f aca="false">AA58*AE58</f>
        <v>#VALUE!</v>
      </c>
      <c r="AI58" s="45" t="e">
        <f aca="false">AA58*AF58</f>
        <v>#VALUE!</v>
      </c>
      <c r="AJ58" s="45" t="e">
        <f aca="false">AA58*AG58</f>
        <v>#VALUE!</v>
      </c>
      <c r="AL58" s="9" t="n">
        <f aca="false">IF($A58&gt;=AM$25,IF($A58&lt;=AM$26,$T58,0),0)</f>
        <v>0</v>
      </c>
      <c r="AM58" s="9" t="e">
        <f aca="false">AO58/AL58</f>
        <v>#DIV/0!</v>
      </c>
      <c r="AN58" s="1" t="n">
        <f aca="false">AL58*($B58+D$13)</f>
        <v>0</v>
      </c>
      <c r="AO58" s="33" t="n">
        <f aca="false">IF(ISNUMBER(((AN58/AL58)+D$15+$C58)*AL58),((AN58/AL58)+D$15+$C58)*AL58,0)</f>
        <v>0</v>
      </c>
      <c r="AP58" s="44" t="n">
        <f aca="false">IF(AL58=0,0,bsd(1,AQ$27,AM58,$G58,$R58,$O58,$S58,0.1))</f>
        <v>0</v>
      </c>
      <c r="AQ58" s="44" t="n">
        <f aca="false">IF(AL58=0,0,bsd(2,AQ$27,AM58,$G58,$R58,$O58,$S58,0.1))</f>
        <v>0</v>
      </c>
      <c r="AR58" s="44" t="n">
        <f aca="false">IF(AL58=0,0,bsd(AQ$28,AQ$27,AM58,$G58,$R58,$O58,$S58,0.1))</f>
        <v>0</v>
      </c>
      <c r="AS58" s="45" t="n">
        <f aca="false">AL58*AP58</f>
        <v>0</v>
      </c>
      <c r="AT58" s="45" t="n">
        <f aca="false">AL58*AQ58</f>
        <v>0</v>
      </c>
      <c r="AU58" s="45" t="n">
        <f aca="false">AL58*AR58</f>
        <v>0</v>
      </c>
      <c r="AW58" s="9" t="n">
        <f aca="false">IF($A58&gt;=AX$25,IF($A58&lt;=AX$26,$T58,0),0)</f>
        <v>0</v>
      </c>
      <c r="AX58" s="9" t="e">
        <f aca="false">AZ58/AW58</f>
        <v>#DIV/0!</v>
      </c>
      <c r="AY58" s="1" t="n">
        <f aca="false">AW58*($B58+F$13)</f>
        <v>0</v>
      </c>
      <c r="AZ58" s="33" t="n">
        <f aca="false">IF(ISNUMBER(((AY58/AW58)+F$15+$C58)*AW58),((AY58/AW58)+F$15+$C58)*AW58,0)</f>
        <v>0</v>
      </c>
      <c r="BA58" s="44" t="n">
        <f aca="false">IF(AW58=0,0,bsd(1,BB$27,AX58,$H58,$R58,$P58,$S58,0.1))</f>
        <v>0</v>
      </c>
      <c r="BB58" s="44" t="n">
        <f aca="false">IF(AW58=0,0,bsd(2,BB$27,AX58,$H58,$R58,$P58,$S58,0.1))</f>
        <v>0</v>
      </c>
      <c r="BC58" s="44" t="n">
        <f aca="false">IF(AW58=0,0,bsd(BB$28,BB$27,AX58,$H58,$R58,$P58,$S58,0.1))</f>
        <v>0</v>
      </c>
      <c r="BD58" s="45" t="n">
        <f aca="false">AW58*BA58</f>
        <v>0</v>
      </c>
      <c r="BE58" s="45" t="n">
        <f aca="false">AW58*BB58</f>
        <v>0</v>
      </c>
      <c r="BF58" s="45" t="n">
        <f aca="false">AW58*BC58</f>
        <v>0</v>
      </c>
      <c r="BH58" s="9" t="n">
        <f aca="false">IF($A58&gt;=BI$25,IF($A58&lt;=BI$26,$T58,0),0)</f>
        <v>0</v>
      </c>
      <c r="BI58" s="9" t="e">
        <f aca="false">BK58/BH58</f>
        <v>#DIV/0!</v>
      </c>
      <c r="BJ58" s="1" t="n">
        <f aca="false">BH58*($B58+H$13)</f>
        <v>0</v>
      </c>
      <c r="BK58" s="33" t="n">
        <f aca="false">IF(ISNUMBER(((BJ58/BH58)+H$15+$C58)*BH58),((BJ58/BH58)+H$15+$C58)*BH58,0)</f>
        <v>0</v>
      </c>
      <c r="BL58" s="44" t="n">
        <f aca="false">IF(BH58=0,0,bsd(1,BM$27,BI58,$I58,$R58,$Q58,$S58,0.1))</f>
        <v>0</v>
      </c>
      <c r="BM58" s="44" t="n">
        <f aca="false">IF(BH58=0,0,bsd(2,BM$27,BI58,$I58,$R58,$Q58,$S58,0.1))</f>
        <v>0</v>
      </c>
      <c r="BN58" s="44" t="n">
        <f aca="false">IF(BH58=0,0,bsd(BM$28,BM$27,BI58,$I58,$R58,$Q58,$S58,0.1))</f>
        <v>0</v>
      </c>
      <c r="BO58" s="45" t="n">
        <f aca="false">BH58*BL58</f>
        <v>0</v>
      </c>
      <c r="BP58" s="45" t="n">
        <f aca="false">BH58*BM58</f>
        <v>0</v>
      </c>
      <c r="BQ58" s="45" t="n">
        <f aca="false">BH58*BN58</f>
        <v>0</v>
      </c>
    </row>
    <row r="59" customFormat="false" ht="12.75" hidden="false" customHeight="false" outlineLevel="0" collapsed="false">
      <c r="A59" s="48" t="n">
        <f aca="false">DATE(YEAR(A58),MONTH(A58)+1,1)</f>
        <v>37653</v>
      </c>
      <c r="B59" s="40" t="n">
        <f aca="false">VLOOKUP(A59,STRADDLE,5,FALSE())</f>
        <v>3.695</v>
      </c>
      <c r="C59" s="40" t="n">
        <v>0</v>
      </c>
      <c r="D59" s="4" t="n">
        <f aca="false">VLOOKUP(A59,STRADDLE,8,FALSE())</f>
        <v>0.2875</v>
      </c>
      <c r="E59" s="131" t="n">
        <f aca="false">IF(ISNUMBER(VLOOKUP(A59,VOLCURVES,HLOOKUP(B$5,VOLCURVES,2,FALSE()),FALSE())),VLOOKUP(A59,VOLCURVES,HLOOKUP(B$5,VOLCURVES,2,FALSE()),FALSE()),1)</f>
        <v>1</v>
      </c>
      <c r="F59" s="41" t="n">
        <f aca="false">IF($B$17=4,$AB59,$B$16)</f>
        <v>3.8</v>
      </c>
      <c r="G59" s="41" t="n">
        <f aca="false">IF($D$17=4,$AM59,$D$16)</f>
        <v>3.5</v>
      </c>
      <c r="H59" s="41" t="n">
        <f aca="false">IF($F$17=4,$AX59,$F$16)</f>
        <v>2.96</v>
      </c>
      <c r="I59" s="41" t="n">
        <f aca="false">IF($H$17=4,$BI59,$H$16)</f>
        <v>2.99</v>
      </c>
      <c r="J59" s="4" t="n">
        <f aca="false">IF($B$19=1,VLOOKUP($A59,SkewTable,HLOOKUP(ROUND(F59-AB59,1),SkewTable,2,FALSE()),FALSE())/100,0)</f>
        <v>0.002</v>
      </c>
      <c r="K59" s="4" t="e">
        <f aca="false">IF($D$19=1,VLOOKUP($A59,SkewTable,HLOOKUP(ROUND(G59-AM59,1),SkewTable,2,FALSE()),FALSE())/100,0)</f>
        <v>#DIV/0!</v>
      </c>
      <c r="L59" s="4" t="e">
        <f aca="false">IF($F$19=1,VLOOKUP($A59,SkewTable,HLOOKUP(ROUND(H59-AX59,1),SkewTable,2,FALSE()),FALSE())/100,0)</f>
        <v>#DIV/0!</v>
      </c>
      <c r="M59" s="4" t="e">
        <f aca="false">IF($H$19=1,VLOOKUP($A59,SkewTable,HLOOKUP(ROUND(I59-BI59,1),SkewTable,2,FALSE()),FALSE())/100,0)</f>
        <v>#DIV/0!</v>
      </c>
      <c r="N59" s="4" t="n">
        <f aca="false">(($D59+J59)*$E59)+B$18</f>
        <v>0.2895</v>
      </c>
      <c r="O59" s="4" t="e">
        <f aca="false">(($D59+K59)*$E59)+D$18</f>
        <v>#DIV/0!</v>
      </c>
      <c r="P59" s="4" t="e">
        <f aca="false">(($D59+L59)*$E59)+F$18</f>
        <v>#DIV/0!</v>
      </c>
      <c r="Q59" s="4" t="e">
        <f aca="false">(($D59+M59)*$E59)+H$18</f>
        <v>#DIV/0!</v>
      </c>
      <c r="R59" s="136" t="n">
        <f aca="false">IF(B$4=1,VLOOKUP(A59,expiration,2,FALSE()),VLOOKUP(A59,expiration,3,FALSE()))-B$2+$B$1</f>
        <v>-8276</v>
      </c>
      <c r="S59" s="4" t="n">
        <f aca="false">VLOOKUP($A59,STRADDLE,12,FALSE())</f>
        <v>0.067214109584478</v>
      </c>
      <c r="T59" s="1" t="n">
        <v>15.6361</v>
      </c>
      <c r="U59" s="43" t="n">
        <v>0</v>
      </c>
      <c r="V59" s="1" t="n">
        <v>4</v>
      </c>
      <c r="X59" s="43"/>
      <c r="Z59" s="9"/>
      <c r="AA59" s="9" t="n">
        <f aca="false">IF($A59&gt;=AB$25,IF($A59&lt;=AB$26,$T59,0),0)</f>
        <v>15.6361</v>
      </c>
      <c r="AB59" s="9" t="n">
        <f aca="false">IF(T59&gt;0,AD59/AA59,0)</f>
        <v>3.695</v>
      </c>
      <c r="AC59" s="1" t="n">
        <f aca="false">AA59*($B59+B$13)</f>
        <v>57.7753895</v>
      </c>
      <c r="AD59" s="33" t="n">
        <f aca="false">IF(ISNUMBER(((AC59/AA59)+B$15+$C59)*AA59),((AC59/AA59)+B$15+$C59)*AA59,0)</f>
        <v>57.7753895</v>
      </c>
      <c r="AE59" s="44" t="e">
        <f aca="false">IF(AA59=0,0,bsd(1,AF$27,AB59,$F59,$R59,$N59,$S59,0.1))</f>
        <v>#VALUE!</v>
      </c>
      <c r="AF59" s="44" t="e">
        <f aca="false">IF(AA59=0,0,bsd(2,AF$27,AB59,$F59,$R59,$N59,$S59,0.1))</f>
        <v>#VALUE!</v>
      </c>
      <c r="AG59" s="44" t="e">
        <f aca="false">IF(AA59=0,0,bsd(AF$28,AF$27,AB59,$F59,$R59,$N59,$S59,0.1))</f>
        <v>#VALUE!</v>
      </c>
      <c r="AH59" s="45" t="e">
        <f aca="false">AA59*AE59</f>
        <v>#VALUE!</v>
      </c>
      <c r="AI59" s="45" t="e">
        <f aca="false">AA59*AF59</f>
        <v>#VALUE!</v>
      </c>
      <c r="AJ59" s="45" t="e">
        <f aca="false">AA59*AG59</f>
        <v>#VALUE!</v>
      </c>
      <c r="AL59" s="9" t="n">
        <f aca="false">IF($A59&gt;=AM$25,IF($A59&lt;=AM$26,$T59,0),0)</f>
        <v>0</v>
      </c>
      <c r="AM59" s="9" t="e">
        <f aca="false">AO59/AL59</f>
        <v>#DIV/0!</v>
      </c>
      <c r="AN59" s="1" t="n">
        <f aca="false">AL59*($B59+D$13)</f>
        <v>0</v>
      </c>
      <c r="AO59" s="33" t="n">
        <f aca="false">IF(ISNUMBER(((AN59/AL59)+D$15+$C59)*AL59),((AN59/AL59)+D$15+$C59)*AL59,0)</f>
        <v>0</v>
      </c>
      <c r="AP59" s="44" t="n">
        <f aca="false">IF(AL59=0,0,bsd(1,AQ$27,AM59,$G59,$R59,$O59,$S59,0.1))</f>
        <v>0</v>
      </c>
      <c r="AQ59" s="44" t="n">
        <f aca="false">IF(AL59=0,0,bsd(2,AQ$27,AM59,$G59,$R59,$O59,$S59,0.1))</f>
        <v>0</v>
      </c>
      <c r="AR59" s="44" t="n">
        <f aca="false">IF(AL59=0,0,bsd(AQ$28,AQ$27,AM59,$G59,$R59,$O59,$S59,0.1))</f>
        <v>0</v>
      </c>
      <c r="AS59" s="45" t="n">
        <f aca="false">AL59*AP59</f>
        <v>0</v>
      </c>
      <c r="AT59" s="45" t="n">
        <f aca="false">AL59*AQ59</f>
        <v>0</v>
      </c>
      <c r="AU59" s="45" t="n">
        <f aca="false">AL59*AR59</f>
        <v>0</v>
      </c>
      <c r="AW59" s="9" t="n">
        <f aca="false">IF($A59&gt;=AX$25,IF($A59&lt;=AX$26,$T59,0),0)</f>
        <v>0</v>
      </c>
      <c r="AX59" s="9" t="e">
        <f aca="false">AZ59/AW59</f>
        <v>#DIV/0!</v>
      </c>
      <c r="AY59" s="1" t="n">
        <f aca="false">AW59*($B59+F$13)</f>
        <v>0</v>
      </c>
      <c r="AZ59" s="33" t="n">
        <f aca="false">IF(ISNUMBER(((AY59/AW59)+F$15+$C59)*AW59),((AY59/AW59)+F$15+$C59)*AW59,0)</f>
        <v>0</v>
      </c>
      <c r="BA59" s="44" t="n">
        <f aca="false">IF(AW59=0,0,bsd(1,BB$27,AX59,$H59,$R59,$P59,$S59,0.1))</f>
        <v>0</v>
      </c>
      <c r="BB59" s="44" t="n">
        <f aca="false">IF(AW59=0,0,bsd(2,BB$27,AX59,$H59,$R59,$P59,$S59,0.1))</f>
        <v>0</v>
      </c>
      <c r="BC59" s="44" t="n">
        <f aca="false">IF(AW59=0,0,bsd(BB$28,BB$27,AX59,$H59,$R59,$P59,$S59,0.1))</f>
        <v>0</v>
      </c>
      <c r="BD59" s="45" t="n">
        <f aca="false">AW59*BA59</f>
        <v>0</v>
      </c>
      <c r="BE59" s="45" t="n">
        <f aca="false">AW59*BB59</f>
        <v>0</v>
      </c>
      <c r="BF59" s="45" t="n">
        <f aca="false">AW59*BC59</f>
        <v>0</v>
      </c>
      <c r="BH59" s="9" t="n">
        <f aca="false">IF($A59&gt;=BI$25,IF($A59&lt;=BI$26,$T59,0),0)</f>
        <v>0</v>
      </c>
      <c r="BI59" s="9" t="e">
        <f aca="false">BK59/BH59</f>
        <v>#DIV/0!</v>
      </c>
      <c r="BJ59" s="1" t="n">
        <f aca="false">BH59*($B59+H$13)</f>
        <v>0</v>
      </c>
      <c r="BK59" s="33" t="n">
        <f aca="false">IF(ISNUMBER(((BJ59/BH59)+H$15+$C59)*BH59),((BJ59/BH59)+H$15+$C59)*BH59,0)</f>
        <v>0</v>
      </c>
      <c r="BL59" s="44" t="n">
        <f aca="false">IF(BH59=0,0,bsd(1,BM$27,BI59,$I59,$R59,$Q59,$S59,0.1))</f>
        <v>0</v>
      </c>
      <c r="BM59" s="44" t="n">
        <f aca="false">IF(BH59=0,0,bsd(2,BM$27,BI59,$I59,$R59,$Q59,$S59,0.1))</f>
        <v>0</v>
      </c>
      <c r="BN59" s="44" t="n">
        <f aca="false">IF(BH59=0,0,bsd(BM$28,BM$27,BI59,$I59,$R59,$Q59,$S59,0.1))</f>
        <v>0</v>
      </c>
      <c r="BO59" s="45" t="n">
        <f aca="false">BH59*BL59</f>
        <v>0</v>
      </c>
      <c r="BP59" s="45" t="n">
        <f aca="false">BH59*BM59</f>
        <v>0</v>
      </c>
      <c r="BQ59" s="45" t="n">
        <f aca="false">BH59*BN59</f>
        <v>0</v>
      </c>
    </row>
    <row r="60" customFormat="false" ht="12.75" hidden="false" customHeight="false" outlineLevel="0" collapsed="false">
      <c r="A60" s="48" t="n">
        <f aca="false">DATE(YEAR(A59),MONTH(A59)+1,1)</f>
        <v>37681</v>
      </c>
      <c r="B60" s="40" t="n">
        <f aca="false">VLOOKUP(A60,STRADDLE,5,FALSE())</f>
        <v>3.512</v>
      </c>
      <c r="C60" s="40" t="n">
        <v>0</v>
      </c>
      <c r="D60" s="4" t="n">
        <f aca="false">VLOOKUP(A60,STRADDLE,8,FALSE())</f>
        <v>0.2775</v>
      </c>
      <c r="E60" s="131" t="n">
        <f aca="false">IF(ISNUMBER(VLOOKUP(A60,VOLCURVES,HLOOKUP(B$5,VOLCURVES,2,FALSE()),FALSE())),VLOOKUP(A60,VOLCURVES,HLOOKUP(B$5,VOLCURVES,2,FALSE()),FALSE()),1)</f>
        <v>1</v>
      </c>
      <c r="F60" s="41" t="n">
        <f aca="false">IF($B$17=4,$AB60,$B$16)</f>
        <v>3.8</v>
      </c>
      <c r="G60" s="41" t="n">
        <f aca="false">IF($D$17=4,$AM60,$D$16)</f>
        <v>3.5</v>
      </c>
      <c r="H60" s="41" t="n">
        <f aca="false">IF($F$17=4,$AX60,$F$16)</f>
        <v>2.96</v>
      </c>
      <c r="I60" s="41" t="n">
        <f aca="false">IF($H$17=4,$BI60,$H$16)</f>
        <v>2.99</v>
      </c>
      <c r="J60" s="4" t="n">
        <f aca="false">IF($B$19=1,VLOOKUP($A60,SkewTable,HLOOKUP(ROUND(F60-AB60,1),SkewTable,2,FALSE()),FALSE())/100,0)</f>
        <v>0.006</v>
      </c>
      <c r="K60" s="4" t="e">
        <f aca="false">IF($D$19=1,VLOOKUP($A60,SkewTable,HLOOKUP(ROUND(G60-AM60,1),SkewTable,2,FALSE()),FALSE())/100,0)</f>
        <v>#DIV/0!</v>
      </c>
      <c r="L60" s="4" t="e">
        <f aca="false">IF($F$19=1,VLOOKUP($A60,SkewTable,HLOOKUP(ROUND(H60-AX60,1),SkewTable,2,FALSE()),FALSE())/100,0)</f>
        <v>#DIV/0!</v>
      </c>
      <c r="M60" s="4" t="e">
        <f aca="false">IF($H$19=1,VLOOKUP($A60,SkewTable,HLOOKUP(ROUND(I60-BI60,1),SkewTable,2,FALSE()),FALSE())/100,0)</f>
        <v>#DIV/0!</v>
      </c>
      <c r="N60" s="4" t="n">
        <f aca="false">(($D60+J60)*$E60)+B$18</f>
        <v>0.2835</v>
      </c>
      <c r="O60" s="4" t="e">
        <f aca="false">(($D60+K60)*$E60)+D$18</f>
        <v>#DIV/0!</v>
      </c>
      <c r="P60" s="4" t="e">
        <f aca="false">(($D60+L60)*$E60)+F$18</f>
        <v>#DIV/0!</v>
      </c>
      <c r="Q60" s="4" t="e">
        <f aca="false">(($D60+M60)*$E60)+H$18</f>
        <v>#DIV/0!</v>
      </c>
      <c r="R60" s="136" t="n">
        <f aca="false">IF(B$4=1,VLOOKUP(A60,expiration,2,FALSE()),VLOOKUP(A60,expiration,3,FALSE()))-B$2+$B$1</f>
        <v>-8248</v>
      </c>
      <c r="S60" s="4" t="n">
        <f aca="false">VLOOKUP($A60,STRADDLE,12,FALSE())</f>
        <v>0.067233031673773</v>
      </c>
      <c r="T60" s="1" t="n">
        <v>14.8725</v>
      </c>
      <c r="U60" s="43" t="n">
        <v>0</v>
      </c>
      <c r="V60" s="1" t="n">
        <v>4</v>
      </c>
      <c r="X60" s="43"/>
      <c r="Z60" s="9"/>
      <c r="AA60" s="9" t="n">
        <f aca="false">IF($A60&gt;=AB$25,IF($A60&lt;=AB$26,$T60,0),0)</f>
        <v>14.8725</v>
      </c>
      <c r="AB60" s="9" t="n">
        <f aca="false">IF(T60&gt;0,AD60/AA60,0)</f>
        <v>3.512</v>
      </c>
      <c r="AC60" s="1" t="n">
        <f aca="false">AA60*($B60+B$13)</f>
        <v>52.23222</v>
      </c>
      <c r="AD60" s="33" t="n">
        <f aca="false">IF(ISNUMBER(((AC60/AA60)+B$15+$C60)*AA60),((AC60/AA60)+B$15+$C60)*AA60,0)</f>
        <v>52.23222</v>
      </c>
      <c r="AE60" s="44" t="e">
        <f aca="false">IF(AA60=0,0,bsd(1,AF$27,AB60,$F60,$R60,$N60,$S60,0.1))</f>
        <v>#VALUE!</v>
      </c>
      <c r="AF60" s="44" t="e">
        <f aca="false">IF(AA60=0,0,bsd(2,AF$27,AB60,$F60,$R60,$N60,$S60,0.1))</f>
        <v>#VALUE!</v>
      </c>
      <c r="AG60" s="44" t="e">
        <f aca="false">IF(AA60=0,0,bsd(AF$28,AF$27,AB60,$F60,$R60,$N60,$S60,0.1))</f>
        <v>#VALUE!</v>
      </c>
      <c r="AH60" s="45" t="e">
        <f aca="false">AA60*AE60</f>
        <v>#VALUE!</v>
      </c>
      <c r="AI60" s="45" t="e">
        <f aca="false">AA60*AF60</f>
        <v>#VALUE!</v>
      </c>
      <c r="AJ60" s="45" t="e">
        <f aca="false">AA60*AG60</f>
        <v>#VALUE!</v>
      </c>
      <c r="AL60" s="9" t="n">
        <f aca="false">IF($A60&gt;=AM$25,IF($A60&lt;=AM$26,$T60,0),0)</f>
        <v>0</v>
      </c>
      <c r="AM60" s="9" t="e">
        <f aca="false">AO60/AL60</f>
        <v>#DIV/0!</v>
      </c>
      <c r="AN60" s="1" t="n">
        <f aca="false">AL60*($B60+D$13)</f>
        <v>0</v>
      </c>
      <c r="AO60" s="33" t="n">
        <f aca="false">IF(ISNUMBER(((AN60/AL60)+D$15+$C60)*AL60),((AN60/AL60)+D$15+$C60)*AL60,0)</f>
        <v>0</v>
      </c>
      <c r="AP60" s="44" t="n">
        <f aca="false">IF(AL60=0,0,bsd(1,AQ$27,AM60,$G60,$R60,$O60,$S60,0.1))</f>
        <v>0</v>
      </c>
      <c r="AQ60" s="44" t="n">
        <f aca="false">IF(AL60=0,0,bsd(2,AQ$27,AM60,$G60,$R60,$O60,$S60,0.1))</f>
        <v>0</v>
      </c>
      <c r="AR60" s="44" t="n">
        <f aca="false">IF(AL60=0,0,bsd(AQ$28,AQ$27,AM60,$G60,$R60,$O60,$S60,0.1))</f>
        <v>0</v>
      </c>
      <c r="AS60" s="45" t="n">
        <f aca="false">AL60*AP60</f>
        <v>0</v>
      </c>
      <c r="AT60" s="45" t="n">
        <f aca="false">AL60*AQ60</f>
        <v>0</v>
      </c>
      <c r="AU60" s="45" t="n">
        <f aca="false">AL60*AR60</f>
        <v>0</v>
      </c>
      <c r="AW60" s="9" t="n">
        <f aca="false">IF($A60&gt;=AX$25,IF($A60&lt;=AX$26,$T60,0),0)</f>
        <v>0</v>
      </c>
      <c r="AX60" s="9" t="e">
        <f aca="false">AZ60/AW60</f>
        <v>#DIV/0!</v>
      </c>
      <c r="AY60" s="1" t="n">
        <f aca="false">AW60*($B60+F$13)</f>
        <v>0</v>
      </c>
      <c r="AZ60" s="33" t="n">
        <f aca="false">IF(ISNUMBER(((AY60/AW60)+F$15+$C60)*AW60),((AY60/AW60)+F$15+$C60)*AW60,0)</f>
        <v>0</v>
      </c>
      <c r="BA60" s="44" t="n">
        <f aca="false">IF(AW60=0,0,bsd(1,BB$27,AX60,$H60,$R60,$P60,$S60,0.1))</f>
        <v>0</v>
      </c>
      <c r="BB60" s="44" t="n">
        <f aca="false">IF(AW60=0,0,bsd(2,BB$27,AX60,$H60,$R60,$P60,$S60,0.1))</f>
        <v>0</v>
      </c>
      <c r="BC60" s="44" t="n">
        <f aca="false">IF(AW60=0,0,bsd(BB$28,BB$27,AX60,$H60,$R60,$P60,$S60,0.1))</f>
        <v>0</v>
      </c>
      <c r="BD60" s="45" t="n">
        <f aca="false">AW60*BA60</f>
        <v>0</v>
      </c>
      <c r="BE60" s="45" t="n">
        <f aca="false">AW60*BB60</f>
        <v>0</v>
      </c>
      <c r="BF60" s="45" t="n">
        <f aca="false">AW60*BC60</f>
        <v>0</v>
      </c>
      <c r="BH60" s="9" t="n">
        <f aca="false">IF($A60&gt;=BI$25,IF($A60&lt;=BI$26,$T60,0),0)</f>
        <v>0</v>
      </c>
      <c r="BI60" s="9" t="e">
        <f aca="false">BK60/BH60</f>
        <v>#DIV/0!</v>
      </c>
      <c r="BJ60" s="1" t="n">
        <f aca="false">BH60*($B60+H$13)</f>
        <v>0</v>
      </c>
      <c r="BK60" s="33" t="n">
        <f aca="false">IF(ISNUMBER(((BJ60/BH60)+H$15+$C60)*BH60),((BJ60/BH60)+H$15+$C60)*BH60,0)</f>
        <v>0</v>
      </c>
      <c r="BL60" s="44" t="n">
        <f aca="false">IF(BH60=0,0,bsd(1,BM$27,BI60,$I60,$R60,$Q60,$S60,0.1))</f>
        <v>0</v>
      </c>
      <c r="BM60" s="44" t="n">
        <f aca="false">IF(BH60=0,0,bsd(2,BM$27,BI60,$I60,$R60,$Q60,$S60,0.1))</f>
        <v>0</v>
      </c>
      <c r="BN60" s="44" t="n">
        <f aca="false">IF(BH60=0,0,bsd(BM$28,BM$27,BI60,$I60,$R60,$Q60,$S60,0.1))</f>
        <v>0</v>
      </c>
      <c r="BO60" s="45" t="n">
        <f aca="false">BH60*BL60</f>
        <v>0</v>
      </c>
      <c r="BP60" s="45" t="n">
        <f aca="false">BH60*BM60</f>
        <v>0</v>
      </c>
      <c r="BQ60" s="45" t="n">
        <f aca="false">BH60*BN60</f>
        <v>0</v>
      </c>
    </row>
    <row r="61" customFormat="false" ht="12.75" hidden="false" customHeight="false" outlineLevel="0" collapsed="false">
      <c r="A61" s="48" t="n">
        <f aca="false">DATE(YEAR(A60),MONTH(A60)+1,1)</f>
        <v>37712</v>
      </c>
      <c r="B61" s="40" t="n">
        <f aca="false">VLOOKUP(A61,STRADDLE,5,FALSE())</f>
        <v>3.322</v>
      </c>
      <c r="C61" s="40" t="n">
        <v>0</v>
      </c>
      <c r="D61" s="4" t="n">
        <f aca="false">VLOOKUP(A61,STRADDLE,8,FALSE())</f>
        <v>0.265</v>
      </c>
      <c r="E61" s="131" t="n">
        <f aca="false">IF(ISNUMBER(VLOOKUP(A61,VOLCURVES,HLOOKUP(B$5,VOLCURVES,2,FALSE()),FALSE())),VLOOKUP(A61,VOLCURVES,HLOOKUP(B$5,VOLCURVES,2,FALSE()),FALSE()),1)</f>
        <v>1</v>
      </c>
      <c r="F61" s="41" t="n">
        <f aca="false">IF($B$17=4,$AB61,$B$16)</f>
        <v>3.8</v>
      </c>
      <c r="G61" s="41" t="n">
        <f aca="false">IF($D$17=4,$AM61,$D$16)</f>
        <v>3.5</v>
      </c>
      <c r="H61" s="41" t="n">
        <f aca="false">IF($F$17=4,$AX61,$F$16)</f>
        <v>2.96</v>
      </c>
      <c r="I61" s="41" t="n">
        <f aca="false">IF($H$17=4,$BI61,$H$16)</f>
        <v>2.99</v>
      </c>
      <c r="J61" s="4" t="n">
        <f aca="false">IF($B$19=1,VLOOKUP($A61,SkewTable,HLOOKUP(ROUND(F61-AB61,1),SkewTable,2,FALSE()),FALSE())/100,0)</f>
        <v>0.0451185018386</v>
      </c>
      <c r="K61" s="4" t="e">
        <f aca="false">IF($D$19=1,VLOOKUP($A61,SkewTable,HLOOKUP(ROUND(G61-AM61,1),SkewTable,2,FALSE()),FALSE())/100,0)</f>
        <v>#DIV/0!</v>
      </c>
      <c r="L61" s="4" t="e">
        <f aca="false">IF($F$19=1,VLOOKUP($A61,SkewTable,HLOOKUP(ROUND(H61-AX61,1),SkewTable,2,FALSE()),FALSE())/100,0)</f>
        <v>#DIV/0!</v>
      </c>
      <c r="M61" s="4" t="e">
        <f aca="false">IF($H$19=1,VLOOKUP($A61,SkewTable,HLOOKUP(ROUND(I61-BI61,1),SkewTable,2,FALSE()),FALSE())/100,0)</f>
        <v>#DIV/0!</v>
      </c>
      <c r="N61" s="4" t="n">
        <f aca="false">(($D61+J61)*$E61)+B$18</f>
        <v>0.3101185018386</v>
      </c>
      <c r="O61" s="4" t="e">
        <f aca="false">(($D61+K61)*$E61)+D$18</f>
        <v>#DIV/0!</v>
      </c>
      <c r="P61" s="4" t="e">
        <f aca="false">(($D61+L61)*$E61)+F$18</f>
        <v>#DIV/0!</v>
      </c>
      <c r="Q61" s="4" t="e">
        <f aca="false">(($D61+M61)*$E61)+H$18</f>
        <v>#DIV/0!</v>
      </c>
      <c r="R61" s="136" t="n">
        <f aca="false">IF(B$4=1,VLOOKUP(A61,expiration,2,FALSE()),VLOOKUP(A61,expiration,3,FALSE()))-B$2+$B$1</f>
        <v>-8219</v>
      </c>
      <c r="S61" s="4" t="n">
        <f aca="false">VLOOKUP($A61,STRADDLE,12,FALSE())</f>
        <v>0.06724692996423</v>
      </c>
      <c r="T61" s="1" t="n">
        <v>0</v>
      </c>
      <c r="U61" s="43" t="n">
        <v>0</v>
      </c>
      <c r="V61" s="1" t="n">
        <v>2</v>
      </c>
      <c r="X61" s="43"/>
      <c r="Z61" s="9"/>
      <c r="AA61" s="9" t="n">
        <f aca="false">IF($A61&gt;=AB$25,IF($A61&lt;=AB$26,$T61,0),0)</f>
        <v>0</v>
      </c>
      <c r="AB61" s="9" t="n">
        <f aca="false">IF(T61&gt;0,AD61/AA61,0)</f>
        <v>0</v>
      </c>
      <c r="AC61" s="1" t="n">
        <f aca="false">AA61*($B61+B$13)</f>
        <v>0</v>
      </c>
      <c r="AD61" s="33" t="n">
        <f aca="false">IF(ISNUMBER(((AC61/AA61)+B$15+$C61)*AA61),((AC61/AA61)+B$15+$C61)*AA61,0)</f>
        <v>0</v>
      </c>
      <c r="AE61" s="44" t="n">
        <f aca="false">IF(AA61=0,0,bsd(1,AF$27,AB61,$F61,$R61,$N61,$S61,0.1))</f>
        <v>0</v>
      </c>
      <c r="AF61" s="44" t="n">
        <f aca="false">IF(AA61=0,0,bsd(2,AF$27,AB61,$F61,$R61,$N61,$S61,0.1))</f>
        <v>0</v>
      </c>
      <c r="AG61" s="44" t="n">
        <f aca="false">IF(AA61=0,0,bsd(AF$28,AF$27,AB61,$F61,$R61,$N61,$S61,0.1))</f>
        <v>0</v>
      </c>
      <c r="AH61" s="45" t="n">
        <f aca="false">AA61*AE61</f>
        <v>0</v>
      </c>
      <c r="AI61" s="45" t="n">
        <f aca="false">AA61*AF61</f>
        <v>0</v>
      </c>
      <c r="AJ61" s="45" t="n">
        <f aca="false">AA61*AG61</f>
        <v>0</v>
      </c>
      <c r="AL61" s="9" t="n">
        <f aca="false">IF($A61&gt;=AM$25,IF($A61&lt;=AM$26,$T61,0),0)</f>
        <v>0</v>
      </c>
      <c r="AM61" s="9" t="e">
        <f aca="false">AO61/AL61</f>
        <v>#DIV/0!</v>
      </c>
      <c r="AN61" s="1" t="n">
        <f aca="false">AL61*($B61+D$13)</f>
        <v>0</v>
      </c>
      <c r="AO61" s="33" t="n">
        <f aca="false">IF(ISNUMBER(((AN61/AL61)+D$15+$C61)*AL61),((AN61/AL61)+D$15+$C61)*AL61,0)</f>
        <v>0</v>
      </c>
      <c r="AP61" s="44" t="n">
        <f aca="false">IF(AL61=0,0,bsd(1,AQ$27,AM61,$G61,$R61,$O61,$S61,0.1))</f>
        <v>0</v>
      </c>
      <c r="AQ61" s="44" t="n">
        <f aca="false">IF(AL61=0,0,bsd(2,AQ$27,AM61,$G61,$R61,$O61,$S61,0.1))</f>
        <v>0</v>
      </c>
      <c r="AR61" s="44" t="n">
        <f aca="false">IF(AL61=0,0,bsd(AQ$28,AQ$27,AM61,$G61,$R61,$O61,$S61,0.1))</f>
        <v>0</v>
      </c>
      <c r="AS61" s="45" t="n">
        <f aca="false">AL61*AP61</f>
        <v>0</v>
      </c>
      <c r="AT61" s="45" t="n">
        <f aca="false">AL61*AQ61</f>
        <v>0</v>
      </c>
      <c r="AU61" s="45" t="n">
        <f aca="false">AL61*AR61</f>
        <v>0</v>
      </c>
      <c r="AW61" s="9" t="n">
        <f aca="false">IF($A61&gt;=AX$25,IF($A61&lt;=AX$26,$T61,0),0)</f>
        <v>0</v>
      </c>
      <c r="AX61" s="9" t="e">
        <f aca="false">AZ61/AW61</f>
        <v>#DIV/0!</v>
      </c>
      <c r="AY61" s="1" t="n">
        <f aca="false">AW61*($B61+F$13)</f>
        <v>0</v>
      </c>
      <c r="AZ61" s="33" t="n">
        <f aca="false">IF(ISNUMBER(((AY61/AW61)+F$15+$C61)*AW61),((AY61/AW61)+F$15+$C61)*AW61,0)</f>
        <v>0</v>
      </c>
      <c r="BA61" s="44" t="n">
        <f aca="false">IF(AW61=0,0,bsd(1,BB$27,AX61,$H61,$R61,$P61,$S61,0.1))</f>
        <v>0</v>
      </c>
      <c r="BB61" s="44" t="n">
        <f aca="false">IF(AW61=0,0,bsd(2,BB$27,AX61,$H61,$R61,$P61,$S61,0.1))</f>
        <v>0</v>
      </c>
      <c r="BC61" s="44" t="n">
        <f aca="false">IF(AW61=0,0,bsd(BB$28,BB$27,AX61,$H61,$R61,$P61,$S61,0.1))</f>
        <v>0</v>
      </c>
      <c r="BD61" s="45" t="n">
        <f aca="false">AW61*BA61</f>
        <v>0</v>
      </c>
      <c r="BE61" s="45" t="n">
        <f aca="false">AW61*BB61</f>
        <v>0</v>
      </c>
      <c r="BF61" s="45" t="n">
        <f aca="false">AW61*BC61</f>
        <v>0</v>
      </c>
      <c r="BH61" s="9" t="n">
        <f aca="false">IF($A61&gt;=BI$25,IF($A61&lt;=BI$26,$T61,0),0)</f>
        <v>0</v>
      </c>
      <c r="BI61" s="9" t="e">
        <f aca="false">BK61/BH61</f>
        <v>#DIV/0!</v>
      </c>
      <c r="BJ61" s="1" t="n">
        <f aca="false">BH61*($B61+H$13)</f>
        <v>0</v>
      </c>
      <c r="BK61" s="33" t="n">
        <f aca="false">IF(ISNUMBER(((BJ61/BH61)+H$15+$C61)*BH61),((BJ61/BH61)+H$15+$C61)*BH61,0)</f>
        <v>0</v>
      </c>
      <c r="BL61" s="44" t="n">
        <f aca="false">IF(BH61=0,0,bsd(1,BM$27,BI61,$I61,$R61,$Q61,$S61,0.1))</f>
        <v>0</v>
      </c>
      <c r="BM61" s="44" t="n">
        <f aca="false">IF(BH61=0,0,bsd(2,BM$27,BI61,$I61,$R61,$Q61,$S61,0.1))</f>
        <v>0</v>
      </c>
      <c r="BN61" s="44" t="n">
        <f aca="false">IF(BH61=0,0,bsd(BM$28,BM$27,BI61,$I61,$R61,$Q61,$S61,0.1))</f>
        <v>0</v>
      </c>
      <c r="BO61" s="45" t="n">
        <f aca="false">BH61*BL61</f>
        <v>0</v>
      </c>
      <c r="BP61" s="45" t="n">
        <f aca="false">BH61*BM61</f>
        <v>0</v>
      </c>
      <c r="BQ61" s="45" t="n">
        <f aca="false">BH61*BN61</f>
        <v>0</v>
      </c>
    </row>
    <row r="62" customFormat="false" ht="12.75" hidden="false" customHeight="false" outlineLevel="0" collapsed="false">
      <c r="A62" s="48" t="n">
        <f aca="false">DATE(YEAR(A61),MONTH(A61)+1,1)</f>
        <v>37742</v>
      </c>
      <c r="B62" s="40" t="n">
        <f aca="false">VLOOKUP(A62,STRADDLE,5,FALSE())</f>
        <v>3.272</v>
      </c>
      <c r="C62" s="40" t="n">
        <v>0</v>
      </c>
      <c r="D62" s="4" t="n">
        <f aca="false">VLOOKUP(A62,STRADDLE,8,FALSE())</f>
        <v>0.26</v>
      </c>
      <c r="E62" s="131" t="n">
        <f aca="false">IF(ISNUMBER(VLOOKUP(A62,VOLCURVES,HLOOKUP(B$5,VOLCURVES,2,FALSE()),FALSE())),VLOOKUP(A62,VOLCURVES,HLOOKUP(B$5,VOLCURVES,2,FALSE()),FALSE()),1)</f>
        <v>1</v>
      </c>
      <c r="F62" s="41" t="n">
        <f aca="false">IF($B$17=4,$AB62,$B$16)</f>
        <v>3.8</v>
      </c>
      <c r="G62" s="41" t="n">
        <f aca="false">IF($D$17=4,$AM62,$D$16)</f>
        <v>3.5</v>
      </c>
      <c r="H62" s="41" t="n">
        <f aca="false">IF($F$17=4,$AX62,$F$16)</f>
        <v>2.96</v>
      </c>
      <c r="I62" s="41" t="n">
        <f aca="false">IF($H$17=4,$BI62,$H$16)</f>
        <v>2.99</v>
      </c>
      <c r="J62" s="4" t="n">
        <f aca="false">IF($B$19=1,VLOOKUP($A62,SkewTable,HLOOKUP(ROUND(F62-AB62,1),SkewTable,2,FALSE()),FALSE())/100,0)</f>
        <v>0.0451185018386</v>
      </c>
      <c r="K62" s="4" t="e">
        <f aca="false">IF($D$19=1,VLOOKUP($A62,SkewTable,HLOOKUP(ROUND(G62-AM62,1),SkewTable,2,FALSE()),FALSE())/100,0)</f>
        <v>#DIV/0!</v>
      </c>
      <c r="L62" s="4" t="e">
        <f aca="false">IF($F$19=1,VLOOKUP($A62,SkewTable,HLOOKUP(ROUND(H62-AX62,1),SkewTable,2,FALSE()),FALSE())/100,0)</f>
        <v>#DIV/0!</v>
      </c>
      <c r="M62" s="4" t="e">
        <f aca="false">IF($H$19=1,VLOOKUP($A62,SkewTable,HLOOKUP(ROUND(I62-BI62,1),SkewTable,2,FALSE()),FALSE())/100,0)</f>
        <v>#DIV/0!</v>
      </c>
      <c r="N62" s="4" t="n">
        <f aca="false">(($D62+J62)*$E62)+B$18</f>
        <v>0.3051185018386</v>
      </c>
      <c r="O62" s="4" t="e">
        <f aca="false">(($D62+K62)*$E62)+D$18</f>
        <v>#DIV/0!</v>
      </c>
      <c r="P62" s="4" t="e">
        <f aca="false">(($D62+L62)*$E62)+F$18</f>
        <v>#DIV/0!</v>
      </c>
      <c r="Q62" s="4" t="e">
        <f aca="false">(($D62+M62)*$E62)+H$18</f>
        <v>#DIV/0!</v>
      </c>
      <c r="R62" s="136" t="n">
        <f aca="false">IF(B$4=1,VLOOKUP(A62,expiration,2,FALSE()),VLOOKUP(A62,expiration,3,FALSE()))-B$2+$B$1</f>
        <v>-8187</v>
      </c>
      <c r="S62" s="4" t="n">
        <f aca="false">VLOOKUP($A62,STRADDLE,12,FALSE())</f>
        <v>0.067250744147623</v>
      </c>
      <c r="T62" s="1" t="n">
        <v>0</v>
      </c>
      <c r="U62" s="43" t="n">
        <v>0</v>
      </c>
      <c r="V62" s="1" t="n">
        <v>2</v>
      </c>
      <c r="X62" s="43"/>
      <c r="Z62" s="9"/>
      <c r="AA62" s="9" t="n">
        <f aca="false">IF($A62&gt;=AB$25,IF($A62&lt;=AB$26,$T62,0),0)</f>
        <v>0</v>
      </c>
      <c r="AB62" s="9" t="n">
        <f aca="false">IF(T62&gt;0,AD62/AA62,0)</f>
        <v>0</v>
      </c>
      <c r="AC62" s="1" t="n">
        <f aca="false">AA62*($B62+B$13)</f>
        <v>0</v>
      </c>
      <c r="AD62" s="33" t="n">
        <f aca="false">IF(ISNUMBER(((AC62/AA62)+B$15+$C62)*AA62),((AC62/AA62)+B$15+$C62)*AA62,0)</f>
        <v>0</v>
      </c>
      <c r="AE62" s="44" t="n">
        <f aca="false">IF(AA62=0,0,bsd(1,AF$27,AB62,$F62,$R62,$N62,$S62,0.1))</f>
        <v>0</v>
      </c>
      <c r="AF62" s="44" t="n">
        <f aca="false">IF(AA62=0,0,bsd(2,AF$27,AB62,$F62,$R62,$N62,$S62,0.1))</f>
        <v>0</v>
      </c>
      <c r="AG62" s="44" t="n">
        <f aca="false">IF(AA62=0,0,bsd(AF$28,AF$27,AB62,$F62,$R62,$N62,$S62,0.1))</f>
        <v>0</v>
      </c>
      <c r="AH62" s="45" t="n">
        <f aca="false">AA62*AE62</f>
        <v>0</v>
      </c>
      <c r="AI62" s="45" t="n">
        <f aca="false">AA62*AF62</f>
        <v>0</v>
      </c>
      <c r="AJ62" s="45" t="n">
        <f aca="false">AA62*AG62</f>
        <v>0</v>
      </c>
      <c r="AL62" s="9" t="n">
        <f aca="false">IF($A62&gt;=AM$25,IF($A62&lt;=AM$26,$T62,0),0)</f>
        <v>0</v>
      </c>
      <c r="AM62" s="9" t="e">
        <f aca="false">AO62/AL62</f>
        <v>#DIV/0!</v>
      </c>
      <c r="AN62" s="1" t="n">
        <f aca="false">AL62*($B62+D$13)</f>
        <v>0</v>
      </c>
      <c r="AO62" s="33" t="n">
        <f aca="false">IF(ISNUMBER(((AN62/AL62)+D$15+$C62)*AL62),((AN62/AL62)+D$15+$C62)*AL62,0)</f>
        <v>0</v>
      </c>
      <c r="AP62" s="44" t="n">
        <f aca="false">IF(AL62=0,0,bsd(1,AQ$27,AM62,$G62,$R62,$O62,$S62,0.1))</f>
        <v>0</v>
      </c>
      <c r="AQ62" s="44" t="n">
        <f aca="false">IF(AL62=0,0,bsd(2,AQ$27,AM62,$G62,$R62,$O62,$S62,0.1))</f>
        <v>0</v>
      </c>
      <c r="AR62" s="44" t="n">
        <f aca="false">IF(AL62=0,0,bsd(AQ$28,AQ$27,AM62,$G62,$R62,$O62,$S62,0.1))</f>
        <v>0</v>
      </c>
      <c r="AS62" s="45" t="n">
        <f aca="false">AL62*AP62</f>
        <v>0</v>
      </c>
      <c r="AT62" s="45" t="n">
        <f aca="false">AL62*AQ62</f>
        <v>0</v>
      </c>
      <c r="AU62" s="45" t="n">
        <f aca="false">AL62*AR62</f>
        <v>0</v>
      </c>
      <c r="AW62" s="9" t="n">
        <f aca="false">IF($A62&gt;=AX$25,IF($A62&lt;=AX$26,$T62,0),0)</f>
        <v>0</v>
      </c>
      <c r="AX62" s="9" t="e">
        <f aca="false">AZ62/AW62</f>
        <v>#DIV/0!</v>
      </c>
      <c r="AY62" s="1" t="n">
        <f aca="false">AW62*($B62+F$13)</f>
        <v>0</v>
      </c>
      <c r="AZ62" s="33" t="n">
        <f aca="false">IF(ISNUMBER(((AY62/AW62)+F$15+$C62)*AW62),((AY62/AW62)+F$15+$C62)*AW62,0)</f>
        <v>0</v>
      </c>
      <c r="BA62" s="44" t="n">
        <f aca="false">IF(AW62=0,0,bsd(1,BB$27,AX62,$H62,$R62,$P62,$S62,0.1))</f>
        <v>0</v>
      </c>
      <c r="BB62" s="44" t="n">
        <f aca="false">IF(AW62=0,0,bsd(2,BB$27,AX62,$H62,$R62,$P62,$S62,0.1))</f>
        <v>0</v>
      </c>
      <c r="BC62" s="44" t="n">
        <f aca="false">IF(AW62=0,0,bsd(BB$28,BB$27,AX62,$H62,$R62,$P62,$S62,0.1))</f>
        <v>0</v>
      </c>
      <c r="BD62" s="45" t="n">
        <f aca="false">AW62*BA62</f>
        <v>0</v>
      </c>
      <c r="BE62" s="45" t="n">
        <f aca="false">AW62*BB62</f>
        <v>0</v>
      </c>
      <c r="BF62" s="45" t="n">
        <f aca="false">AW62*BC62</f>
        <v>0</v>
      </c>
      <c r="BH62" s="9" t="n">
        <f aca="false">IF($A62&gt;=BI$25,IF($A62&lt;=BI$26,$T62,0),0)</f>
        <v>0</v>
      </c>
      <c r="BI62" s="9" t="e">
        <f aca="false">BK62/BH62</f>
        <v>#DIV/0!</v>
      </c>
      <c r="BJ62" s="1" t="n">
        <f aca="false">BH62*($B62+H$13)</f>
        <v>0</v>
      </c>
      <c r="BK62" s="33" t="n">
        <f aca="false">IF(ISNUMBER(((BJ62/BH62)+H$15+$C62)*BH62),((BJ62/BH62)+H$15+$C62)*BH62,0)</f>
        <v>0</v>
      </c>
      <c r="BL62" s="44" t="n">
        <f aca="false">IF(BH62=0,0,bsd(1,BM$27,BI62,$I62,$R62,$Q62,$S62,0.1))</f>
        <v>0</v>
      </c>
      <c r="BM62" s="44" t="n">
        <f aca="false">IF(BH62=0,0,bsd(2,BM$27,BI62,$I62,$R62,$Q62,$S62,0.1))</f>
        <v>0</v>
      </c>
      <c r="BN62" s="44" t="n">
        <f aca="false">IF(BH62=0,0,bsd(BM$28,BM$27,BI62,$I62,$R62,$Q62,$S62,0.1))</f>
        <v>0</v>
      </c>
      <c r="BO62" s="45" t="n">
        <f aca="false">BH62*BL62</f>
        <v>0</v>
      </c>
      <c r="BP62" s="45" t="n">
        <f aca="false">BH62*BM62</f>
        <v>0</v>
      </c>
      <c r="BQ62" s="45" t="n">
        <f aca="false">BH62*BN62</f>
        <v>0</v>
      </c>
    </row>
    <row r="63" customFormat="false" ht="12.75" hidden="false" customHeight="false" outlineLevel="0" collapsed="false">
      <c r="A63" s="48" t="n">
        <f aca="false">DATE(YEAR(A62),MONTH(A62)+1,1)</f>
        <v>37773</v>
      </c>
      <c r="B63" s="40" t="n">
        <f aca="false">VLOOKUP(A63,STRADDLE,5,FALSE())</f>
        <v>3.28</v>
      </c>
      <c r="C63" s="40" t="n">
        <v>0</v>
      </c>
      <c r="D63" s="4" t="n">
        <f aca="false">VLOOKUP(A63,STRADDLE,8,FALSE())</f>
        <v>0.2575</v>
      </c>
      <c r="E63" s="131" t="n">
        <f aca="false">IF(ISNUMBER(VLOOKUP(A63,VOLCURVES,HLOOKUP(B$5,VOLCURVES,2,FALSE()),FALSE())),VLOOKUP(A63,VOLCURVES,HLOOKUP(B$5,VOLCURVES,2,FALSE()),FALSE()),1)</f>
        <v>1</v>
      </c>
      <c r="F63" s="41" t="n">
        <f aca="false">IF($B$17=4,$AB63,$B$16)</f>
        <v>3.8</v>
      </c>
      <c r="G63" s="41" t="n">
        <f aca="false">IF($D$17=4,$AM63,$D$16)</f>
        <v>3.5</v>
      </c>
      <c r="H63" s="41" t="n">
        <f aca="false">IF($F$17=4,$AX63,$F$16)</f>
        <v>2.96</v>
      </c>
      <c r="I63" s="41" t="n">
        <f aca="false">IF($H$17=4,$BI63,$H$16)</f>
        <v>2.99</v>
      </c>
      <c r="J63" s="4" t="n">
        <f aca="false">IF($B$19=1,VLOOKUP($A63,SkewTable,HLOOKUP(ROUND(F63-AB63,1),SkewTable,2,FALSE()),FALSE())/100,0)</f>
        <v>0.0451185018386</v>
      </c>
      <c r="K63" s="4" t="e">
        <f aca="false">IF($D$19=1,VLOOKUP($A63,SkewTable,HLOOKUP(ROUND(G63-AM63,1),SkewTable,2,FALSE()),FALSE())/100,0)</f>
        <v>#DIV/0!</v>
      </c>
      <c r="L63" s="4" t="e">
        <f aca="false">IF($F$19=1,VLOOKUP($A63,SkewTable,HLOOKUP(ROUND(H63-AX63,1),SkewTable,2,FALSE()),FALSE())/100,0)</f>
        <v>#DIV/0!</v>
      </c>
      <c r="M63" s="4" t="e">
        <f aca="false">IF($H$19=1,VLOOKUP($A63,SkewTable,HLOOKUP(ROUND(I63-BI63,1),SkewTable,2,FALSE()),FALSE())/100,0)</f>
        <v>#DIV/0!</v>
      </c>
      <c r="N63" s="4" t="n">
        <f aca="false">(($D63+J63)*$E63)+B$18</f>
        <v>0.3026185018386</v>
      </c>
      <c r="O63" s="4" t="e">
        <f aca="false">(($D63+K63)*$E63)+D$18</f>
        <v>#DIV/0!</v>
      </c>
      <c r="P63" s="4" t="e">
        <f aca="false">(($D63+L63)*$E63)+F$18</f>
        <v>#DIV/0!</v>
      </c>
      <c r="Q63" s="4" t="e">
        <f aca="false">(($D63+M63)*$E63)+H$18</f>
        <v>#DIV/0!</v>
      </c>
      <c r="R63" s="136" t="n">
        <f aca="false">IF(B$4=1,VLOOKUP(A63,expiration,2,FALSE()),VLOOKUP(A63,expiration,3,FALSE()))-B$2+$B$1</f>
        <v>-8157</v>
      </c>
      <c r="S63" s="4" t="n">
        <f aca="false">VLOOKUP($A63,STRADDLE,12,FALSE())</f>
        <v>0.067254685470467</v>
      </c>
      <c r="T63" s="1" t="n">
        <v>0</v>
      </c>
      <c r="U63" s="43" t="n">
        <v>0</v>
      </c>
      <c r="V63" s="1" t="n">
        <v>2</v>
      </c>
      <c r="X63" s="43"/>
      <c r="Z63" s="9"/>
      <c r="AA63" s="9" t="n">
        <f aca="false">IF($A63&gt;=AB$25,IF($A63&lt;=AB$26,$T63,0),0)</f>
        <v>0</v>
      </c>
      <c r="AB63" s="9" t="n">
        <f aca="false">IF(T63&gt;0,AD63/AA63,0)</f>
        <v>0</v>
      </c>
      <c r="AC63" s="1" t="n">
        <f aca="false">AA63*($B63+B$13)</f>
        <v>0</v>
      </c>
      <c r="AD63" s="33" t="n">
        <f aca="false">IF(ISNUMBER(((AC63/AA63)+B$15+$C63)*AA63),((AC63/AA63)+B$15+$C63)*AA63,0)</f>
        <v>0</v>
      </c>
      <c r="AE63" s="44" t="n">
        <f aca="false">IF(AA63=0,0,bsd(1,AF$27,AB63,$F63,$R63,$N63,$S63,0.1))</f>
        <v>0</v>
      </c>
      <c r="AF63" s="44" t="n">
        <f aca="false">IF(AA63=0,0,bsd(2,AF$27,AB63,$F63,$R63,$N63,$S63,0.1))</f>
        <v>0</v>
      </c>
      <c r="AG63" s="44" t="n">
        <f aca="false">IF(AA63=0,0,bsd(AF$28,AF$27,AB63,$F63,$R63,$N63,$S63,0.1))</f>
        <v>0</v>
      </c>
      <c r="AH63" s="45" t="n">
        <f aca="false">AA63*AE63</f>
        <v>0</v>
      </c>
      <c r="AI63" s="45" t="n">
        <f aca="false">AA63*AF63</f>
        <v>0</v>
      </c>
      <c r="AJ63" s="45" t="n">
        <f aca="false">AA63*AG63</f>
        <v>0</v>
      </c>
      <c r="AL63" s="9" t="n">
        <f aca="false">IF($A63&gt;=AM$25,IF($A63&lt;=AM$26,$T63,0),0)</f>
        <v>0</v>
      </c>
      <c r="AM63" s="9" t="e">
        <f aca="false">AO63/AL63</f>
        <v>#DIV/0!</v>
      </c>
      <c r="AN63" s="1" t="n">
        <f aca="false">AL63*($B63+D$13)</f>
        <v>0</v>
      </c>
      <c r="AO63" s="33" t="n">
        <f aca="false">IF(ISNUMBER(((AN63/AL63)+D$15+$C63)*AL63),((AN63/AL63)+D$15+$C63)*AL63,0)</f>
        <v>0</v>
      </c>
      <c r="AP63" s="44" t="n">
        <f aca="false">IF(AL63=0,0,bsd(1,AQ$27,AM63,$G63,$R63,$O63,$S63,0.1))</f>
        <v>0</v>
      </c>
      <c r="AQ63" s="44" t="n">
        <f aca="false">IF(AL63=0,0,bsd(2,AQ$27,AM63,$G63,$R63,$O63,$S63,0.1))</f>
        <v>0</v>
      </c>
      <c r="AR63" s="44" t="n">
        <f aca="false">IF(AL63=0,0,bsd(AQ$28,AQ$27,AM63,$G63,$R63,$O63,$S63,0.1))</f>
        <v>0</v>
      </c>
      <c r="AS63" s="45" t="n">
        <f aca="false">AL63*AP63</f>
        <v>0</v>
      </c>
      <c r="AT63" s="45" t="n">
        <f aca="false">AL63*AQ63</f>
        <v>0</v>
      </c>
      <c r="AU63" s="45" t="n">
        <f aca="false">AL63*AR63</f>
        <v>0</v>
      </c>
      <c r="AW63" s="9" t="n">
        <f aca="false">IF($A63&gt;=AX$25,IF($A63&lt;=AX$26,$T63,0),0)</f>
        <v>0</v>
      </c>
      <c r="AX63" s="9" t="e">
        <f aca="false">AZ63/AW63</f>
        <v>#DIV/0!</v>
      </c>
      <c r="AY63" s="1" t="n">
        <f aca="false">AW63*($B63+F$13)</f>
        <v>0</v>
      </c>
      <c r="AZ63" s="33" t="n">
        <f aca="false">IF(ISNUMBER(((AY63/AW63)+F$15+$C63)*AW63),((AY63/AW63)+F$15+$C63)*AW63,0)</f>
        <v>0</v>
      </c>
      <c r="BA63" s="44" t="n">
        <f aca="false">IF(AW63=0,0,bsd(1,BB$27,AX63,$H63,$R63,$P63,$S63,0.1))</f>
        <v>0</v>
      </c>
      <c r="BB63" s="44" t="n">
        <f aca="false">IF(AW63=0,0,bsd(2,BB$27,AX63,$H63,$R63,$P63,$S63,0.1))</f>
        <v>0</v>
      </c>
      <c r="BC63" s="44" t="n">
        <f aca="false">IF(AW63=0,0,bsd(BB$28,BB$27,AX63,$H63,$R63,$P63,$S63,0.1))</f>
        <v>0</v>
      </c>
      <c r="BD63" s="45" t="n">
        <f aca="false">AW63*BA63</f>
        <v>0</v>
      </c>
      <c r="BE63" s="45" t="n">
        <f aca="false">AW63*BB63</f>
        <v>0</v>
      </c>
      <c r="BF63" s="45" t="n">
        <f aca="false">AW63*BC63</f>
        <v>0</v>
      </c>
      <c r="BH63" s="9" t="n">
        <f aca="false">IF($A63&gt;=BI$25,IF($A63&lt;=BI$26,$T63,0),0)</f>
        <v>0</v>
      </c>
      <c r="BI63" s="9" t="e">
        <f aca="false">BK63/BH63</f>
        <v>#DIV/0!</v>
      </c>
      <c r="BJ63" s="1" t="n">
        <f aca="false">BH63*($B63+H$13)</f>
        <v>0</v>
      </c>
      <c r="BK63" s="33" t="n">
        <f aca="false">IF(ISNUMBER(((BJ63/BH63)+H$15+$C63)*BH63),((BJ63/BH63)+H$15+$C63)*BH63,0)</f>
        <v>0</v>
      </c>
      <c r="BL63" s="44" t="n">
        <f aca="false">IF(BH63=0,0,bsd(1,BM$27,BI63,$I63,$R63,$Q63,$S63,0.1))</f>
        <v>0</v>
      </c>
      <c r="BM63" s="44" t="n">
        <f aca="false">IF(BH63=0,0,bsd(2,BM$27,BI63,$I63,$R63,$Q63,$S63,0.1))</f>
        <v>0</v>
      </c>
      <c r="BN63" s="44" t="n">
        <f aca="false">IF(BH63=0,0,bsd(BM$28,BM$27,BI63,$I63,$R63,$Q63,$S63,0.1))</f>
        <v>0</v>
      </c>
      <c r="BO63" s="45" t="n">
        <f aca="false">BH63*BL63</f>
        <v>0</v>
      </c>
      <c r="BP63" s="45" t="n">
        <f aca="false">BH63*BM63</f>
        <v>0</v>
      </c>
      <c r="BQ63" s="45" t="n">
        <f aca="false">BH63*BN63</f>
        <v>0</v>
      </c>
    </row>
    <row r="64" customFormat="false" ht="12.75" hidden="false" customHeight="false" outlineLevel="0" collapsed="false">
      <c r="A64" s="48" t="n">
        <f aca="false">DATE(YEAR(A63),MONTH(A63)+1,1)</f>
        <v>37803</v>
      </c>
      <c r="B64" s="40" t="n">
        <f aca="false">VLOOKUP(A64,STRADDLE,5,FALSE())</f>
        <v>3.288</v>
      </c>
      <c r="C64" s="40" t="n">
        <v>0</v>
      </c>
      <c r="D64" s="4" t="n">
        <f aca="false">VLOOKUP(A64,STRADDLE,8,FALSE())</f>
        <v>0.2575</v>
      </c>
      <c r="E64" s="131" t="n">
        <f aca="false">IF(ISNUMBER(VLOOKUP(A64,VOLCURVES,HLOOKUP(B$5,VOLCURVES,2,FALSE()),FALSE())),VLOOKUP(A64,VOLCURVES,HLOOKUP(B$5,VOLCURVES,2,FALSE()),FALSE()),1)</f>
        <v>1</v>
      </c>
      <c r="F64" s="41" t="n">
        <f aca="false">IF($B$17=4,$AB64,$B$16)</f>
        <v>3.8</v>
      </c>
      <c r="G64" s="41" t="n">
        <f aca="false">IF($D$17=4,$AM64,$D$16)</f>
        <v>3.5</v>
      </c>
      <c r="H64" s="41" t="n">
        <f aca="false">IF($F$17=4,$AX64,$F$16)</f>
        <v>2.96</v>
      </c>
      <c r="I64" s="41" t="n">
        <f aca="false">IF($H$17=4,$BI64,$H$16)</f>
        <v>2.99</v>
      </c>
      <c r="J64" s="4" t="n">
        <f aca="false">IF($B$19=1,VLOOKUP($A64,SkewTable,HLOOKUP(ROUND(F64-AB64,1),SkewTable,2,FALSE()),FALSE())/100,0)</f>
        <v>0.0451185018386</v>
      </c>
      <c r="K64" s="4" t="e">
        <f aca="false">IF($D$19=1,VLOOKUP($A64,SkewTable,HLOOKUP(ROUND(G64-AM64,1),SkewTable,2,FALSE()),FALSE())/100,0)</f>
        <v>#DIV/0!</v>
      </c>
      <c r="L64" s="4" t="e">
        <f aca="false">IF($F$19=1,VLOOKUP($A64,SkewTable,HLOOKUP(ROUND(H64-AX64,1),SkewTable,2,FALSE()),FALSE())/100,0)</f>
        <v>#DIV/0!</v>
      </c>
      <c r="M64" s="4" t="e">
        <f aca="false">IF($H$19=1,VLOOKUP($A64,SkewTable,HLOOKUP(ROUND(I64-BI64,1),SkewTable,2,FALSE()),FALSE())/100,0)</f>
        <v>#DIV/0!</v>
      </c>
      <c r="N64" s="4" t="n">
        <f aca="false">(($D64+J64)*$E64)+B$18</f>
        <v>0.3026185018386</v>
      </c>
      <c r="O64" s="4" t="e">
        <f aca="false">(($D64+K64)*$E64)+D$18</f>
        <v>#DIV/0!</v>
      </c>
      <c r="P64" s="4" t="e">
        <f aca="false">(($D64+L64)*$E64)+F$18</f>
        <v>#DIV/0!</v>
      </c>
      <c r="Q64" s="4" t="e">
        <f aca="false">(($D64+M64)*$E64)+H$18</f>
        <v>#DIV/0!</v>
      </c>
      <c r="R64" s="136" t="n">
        <f aca="false">IF(B$4=1,VLOOKUP(A64,expiration,2,FALSE()),VLOOKUP(A64,expiration,3,FALSE()))-B$2+$B$1</f>
        <v>-8128</v>
      </c>
      <c r="S64" s="4" t="n">
        <f aca="false">VLOOKUP($A64,STRADDLE,12,FALSE())</f>
        <v>0.067261441631244</v>
      </c>
      <c r="T64" s="1" t="n">
        <v>0</v>
      </c>
      <c r="U64" s="43" t="n">
        <v>0</v>
      </c>
      <c r="V64" s="1" t="n">
        <v>2</v>
      </c>
      <c r="X64" s="43"/>
      <c r="Z64" s="9"/>
      <c r="AA64" s="9" t="n">
        <f aca="false">IF($A64&gt;=AB$25,IF($A64&lt;=AB$26,$T64,0),0)</f>
        <v>0</v>
      </c>
      <c r="AB64" s="9" t="n">
        <f aca="false">IF(T64&gt;0,AD64/AA64,0)</f>
        <v>0</v>
      </c>
      <c r="AC64" s="1" t="n">
        <f aca="false">AA64*($B64+B$13)</f>
        <v>0</v>
      </c>
      <c r="AD64" s="33" t="n">
        <f aca="false">IF(ISNUMBER(((AC64/AA64)+B$15+$C64)*AA64),((AC64/AA64)+B$15+$C64)*AA64,0)</f>
        <v>0</v>
      </c>
      <c r="AE64" s="44" t="n">
        <f aca="false">IF(AA64=0,0,bsd(1,AF$27,AB64,$F64,$R64,$N64,$S64,0.1))</f>
        <v>0</v>
      </c>
      <c r="AF64" s="44" t="n">
        <f aca="false">IF(AA64=0,0,bsd(2,AF$27,AB64,$F64,$R64,$N64,$S64,0.1))</f>
        <v>0</v>
      </c>
      <c r="AG64" s="44" t="n">
        <f aca="false">IF(AA64=0,0,bsd(AF$28,AF$27,AB64,$F64,$R64,$N64,$S64,0.1))</f>
        <v>0</v>
      </c>
      <c r="AH64" s="45" t="n">
        <f aca="false">AA64*AE64</f>
        <v>0</v>
      </c>
      <c r="AI64" s="45" t="n">
        <f aca="false">AA64*AF64</f>
        <v>0</v>
      </c>
      <c r="AJ64" s="45" t="n">
        <f aca="false">AA64*AG64</f>
        <v>0</v>
      </c>
      <c r="AL64" s="9" t="n">
        <f aca="false">IF($A64&gt;=AM$25,IF($A64&lt;=AM$26,$T64,0),0)</f>
        <v>0</v>
      </c>
      <c r="AM64" s="9" t="e">
        <f aca="false">AO64/AL64</f>
        <v>#DIV/0!</v>
      </c>
      <c r="AN64" s="1" t="n">
        <f aca="false">AL64*($B64+D$13)</f>
        <v>0</v>
      </c>
      <c r="AO64" s="33" t="n">
        <f aca="false">IF(ISNUMBER(((AN64/AL64)+D$15+$C64)*AL64),((AN64/AL64)+D$15+$C64)*AL64,0)</f>
        <v>0</v>
      </c>
      <c r="AP64" s="44" t="n">
        <f aca="false">IF(AL64=0,0,bsd(1,AQ$27,AM64,$G64,$R64,$O64,$S64,0.1))</f>
        <v>0</v>
      </c>
      <c r="AQ64" s="44" t="n">
        <f aca="false">IF(AL64=0,0,bsd(2,AQ$27,AM64,$G64,$R64,$O64,$S64,0.1))</f>
        <v>0</v>
      </c>
      <c r="AR64" s="44" t="n">
        <f aca="false">IF(AL64=0,0,bsd(AQ$28,AQ$27,AM64,$G64,$R64,$O64,$S64,0.1))</f>
        <v>0</v>
      </c>
      <c r="AS64" s="45" t="n">
        <f aca="false">AL64*AP64</f>
        <v>0</v>
      </c>
      <c r="AT64" s="45" t="n">
        <f aca="false">AL64*AQ64</f>
        <v>0</v>
      </c>
      <c r="AU64" s="45" t="n">
        <f aca="false">AL64*AR64</f>
        <v>0</v>
      </c>
      <c r="AW64" s="9" t="n">
        <f aca="false">IF($A64&gt;=AX$25,IF($A64&lt;=AX$26,$T64,0),0)</f>
        <v>0</v>
      </c>
      <c r="AX64" s="9" t="e">
        <f aca="false">AZ64/AW64</f>
        <v>#DIV/0!</v>
      </c>
      <c r="AY64" s="1" t="n">
        <f aca="false">AW64*($B64+F$13)</f>
        <v>0</v>
      </c>
      <c r="AZ64" s="33" t="n">
        <f aca="false">IF(ISNUMBER(((AY64/AW64)+F$15+$C64)*AW64),((AY64/AW64)+F$15+$C64)*AW64,0)</f>
        <v>0</v>
      </c>
      <c r="BA64" s="44" t="n">
        <f aca="false">IF(AW64=0,0,bsd(1,BB$27,AX64,$H64,$R64,$P64,$S64,0.1))</f>
        <v>0</v>
      </c>
      <c r="BB64" s="44" t="n">
        <f aca="false">IF(AW64=0,0,bsd(2,BB$27,AX64,$H64,$R64,$P64,$S64,0.1))</f>
        <v>0</v>
      </c>
      <c r="BC64" s="44" t="n">
        <f aca="false">IF(AW64=0,0,bsd(BB$28,BB$27,AX64,$H64,$R64,$P64,$S64,0.1))</f>
        <v>0</v>
      </c>
      <c r="BD64" s="45" t="n">
        <f aca="false">AW64*BA64</f>
        <v>0</v>
      </c>
      <c r="BE64" s="45" t="n">
        <f aca="false">AW64*BB64</f>
        <v>0</v>
      </c>
      <c r="BF64" s="45" t="n">
        <f aca="false">AW64*BC64</f>
        <v>0</v>
      </c>
      <c r="BH64" s="9" t="n">
        <f aca="false">IF($A64&gt;=BI$25,IF($A64&lt;=BI$26,$T64,0),0)</f>
        <v>0</v>
      </c>
      <c r="BI64" s="9" t="e">
        <f aca="false">BK64/BH64</f>
        <v>#DIV/0!</v>
      </c>
      <c r="BJ64" s="1" t="n">
        <f aca="false">BH64*($B64+H$13)</f>
        <v>0</v>
      </c>
      <c r="BK64" s="33" t="n">
        <f aca="false">IF(ISNUMBER(((BJ64/BH64)+H$15+$C64)*BH64),((BJ64/BH64)+H$15+$C64)*BH64,0)</f>
        <v>0</v>
      </c>
      <c r="BL64" s="44" t="n">
        <f aca="false">IF(BH64=0,0,bsd(1,BM$27,BI64,$I64,$R64,$Q64,$S64,0.1))</f>
        <v>0</v>
      </c>
      <c r="BM64" s="44" t="n">
        <f aca="false">IF(BH64=0,0,bsd(2,BM$27,BI64,$I64,$R64,$Q64,$S64,0.1))</f>
        <v>0</v>
      </c>
      <c r="BN64" s="44" t="n">
        <f aca="false">IF(BH64=0,0,bsd(BM$28,BM$27,BI64,$I64,$R64,$Q64,$S64,0.1))</f>
        <v>0</v>
      </c>
      <c r="BO64" s="45" t="n">
        <f aca="false">BH64*BL64</f>
        <v>0</v>
      </c>
      <c r="BP64" s="45" t="n">
        <f aca="false">BH64*BM64</f>
        <v>0</v>
      </c>
      <c r="BQ64" s="45" t="n">
        <f aca="false">BH64*BN64</f>
        <v>0</v>
      </c>
    </row>
    <row r="65" customFormat="false" ht="12.75" hidden="false" customHeight="false" outlineLevel="0" collapsed="false">
      <c r="A65" s="48" t="n">
        <f aca="false">DATE(YEAR(A64),MONTH(A64)+1,1)</f>
        <v>37834</v>
      </c>
      <c r="B65" s="40" t="n">
        <f aca="false">VLOOKUP(A65,STRADDLE,5,FALSE())</f>
        <v>3.295</v>
      </c>
      <c r="C65" s="40" t="n">
        <v>0</v>
      </c>
      <c r="D65" s="4" t="n">
        <f aca="false">VLOOKUP(A65,STRADDLE,8,FALSE())</f>
        <v>0.2575</v>
      </c>
      <c r="E65" s="131" t="n">
        <f aca="false">IF(ISNUMBER(VLOOKUP(A65,VOLCURVES,HLOOKUP(B$5,VOLCURVES,2,FALSE()),FALSE())),VLOOKUP(A65,VOLCURVES,HLOOKUP(B$5,VOLCURVES,2,FALSE()),FALSE()),1)</f>
        <v>1</v>
      </c>
      <c r="F65" s="41" t="n">
        <f aca="false">IF($B$17=4,$AB65,$B$16)</f>
        <v>3.8</v>
      </c>
      <c r="G65" s="41" t="n">
        <f aca="false">IF($D$17=4,$AM65,$D$16)</f>
        <v>3.5</v>
      </c>
      <c r="H65" s="41" t="n">
        <f aca="false">IF($F$17=4,$AX65,$F$16)</f>
        <v>2.96</v>
      </c>
      <c r="I65" s="41" t="n">
        <f aca="false">IF($H$17=4,$BI65,$H$16)</f>
        <v>2.99</v>
      </c>
      <c r="J65" s="4" t="n">
        <f aca="false">IF($B$19=1,VLOOKUP($A65,SkewTable,HLOOKUP(ROUND(F65-AB65,1),SkewTable,2,FALSE()),FALSE())/100,0)</f>
        <v>0.0451185018386</v>
      </c>
      <c r="K65" s="4" t="e">
        <f aca="false">IF($D$19=1,VLOOKUP($A65,SkewTable,HLOOKUP(ROUND(G65-AM65,1),SkewTable,2,FALSE()),FALSE())/100,0)</f>
        <v>#DIV/0!</v>
      </c>
      <c r="L65" s="4" t="e">
        <f aca="false">IF($F$19=1,VLOOKUP($A65,SkewTable,HLOOKUP(ROUND(H65-AX65,1),SkewTable,2,FALSE()),FALSE())/100,0)</f>
        <v>#DIV/0!</v>
      </c>
      <c r="M65" s="4" t="e">
        <f aca="false">IF($H$19=1,VLOOKUP($A65,SkewTable,HLOOKUP(ROUND(I65-BI65,1),SkewTable,2,FALSE()),FALSE())/100,0)</f>
        <v>#DIV/0!</v>
      </c>
      <c r="N65" s="4" t="n">
        <f aca="false">(($D65+J65)*$E65)+B$18</f>
        <v>0.3026185018386</v>
      </c>
      <c r="O65" s="4" t="e">
        <f aca="false">(($D65+K65)*$E65)+D$18</f>
        <v>#DIV/0!</v>
      </c>
      <c r="P65" s="4" t="e">
        <f aca="false">(($D65+L65)*$E65)+F$18</f>
        <v>#DIV/0!</v>
      </c>
      <c r="Q65" s="4" t="e">
        <f aca="false">(($D65+M65)*$E65)+H$18</f>
        <v>#DIV/0!</v>
      </c>
      <c r="R65" s="136" t="n">
        <f aca="false">IF(B$4=1,VLOOKUP(A65,expiration,2,FALSE()),VLOOKUP(A65,expiration,3,FALSE()))-B$2+$B$1</f>
        <v>-8095</v>
      </c>
      <c r="S65" s="4" t="n">
        <f aca="false">VLOOKUP($A65,STRADDLE,12,FALSE())</f>
        <v>0.067272650985246</v>
      </c>
      <c r="T65" s="1" t="n">
        <v>0</v>
      </c>
      <c r="U65" s="43" t="n">
        <v>0</v>
      </c>
      <c r="V65" s="1" t="n">
        <v>2</v>
      </c>
      <c r="X65" s="43"/>
      <c r="Z65" s="9"/>
      <c r="AA65" s="9" t="n">
        <f aca="false">IF($A65&gt;=AB$25,IF($A65&lt;=AB$26,$T65,0),0)</f>
        <v>0</v>
      </c>
      <c r="AB65" s="9" t="n">
        <f aca="false">IF(T65&gt;0,AD65/AA65,0)</f>
        <v>0</v>
      </c>
      <c r="AC65" s="1" t="n">
        <f aca="false">AA65*($B65+B$13)</f>
        <v>0</v>
      </c>
      <c r="AD65" s="33" t="n">
        <f aca="false">IF(ISNUMBER(((AC65/AA65)+B$15+$C65)*AA65),((AC65/AA65)+B$15+$C65)*AA65,0)</f>
        <v>0</v>
      </c>
      <c r="AE65" s="44" t="n">
        <f aca="false">IF(AA65=0,0,bsd(1,AF$27,AB65,$F65,$R65,$N65,$S65,0.1))</f>
        <v>0</v>
      </c>
      <c r="AF65" s="44" t="n">
        <f aca="false">IF(AA65=0,0,bsd(2,AF$27,AB65,$F65,$R65,$N65,$S65,0.1))</f>
        <v>0</v>
      </c>
      <c r="AG65" s="44" t="n">
        <f aca="false">IF(AA65=0,0,bsd(AF$28,AF$27,AB65,$F65,$R65,$N65,$S65,0.1))</f>
        <v>0</v>
      </c>
      <c r="AH65" s="45" t="n">
        <f aca="false">AA65*AE65</f>
        <v>0</v>
      </c>
      <c r="AI65" s="45" t="n">
        <f aca="false">AA65*AF65</f>
        <v>0</v>
      </c>
      <c r="AJ65" s="45" t="n">
        <f aca="false">AA65*AG65</f>
        <v>0</v>
      </c>
      <c r="AL65" s="9" t="n">
        <f aca="false">IF($A65&gt;=AM$25,IF($A65&lt;=AM$26,$T65,0),0)</f>
        <v>0</v>
      </c>
      <c r="AM65" s="9" t="e">
        <f aca="false">AO65/AL65</f>
        <v>#DIV/0!</v>
      </c>
      <c r="AN65" s="1" t="n">
        <f aca="false">AL65*($B65+D$13)</f>
        <v>0</v>
      </c>
      <c r="AO65" s="33" t="n">
        <f aca="false">IF(ISNUMBER(((AN65/AL65)+D$15+$C65)*AL65),((AN65/AL65)+D$15+$C65)*AL65,0)</f>
        <v>0</v>
      </c>
      <c r="AP65" s="44" t="n">
        <f aca="false">IF(AL65=0,0,bsd(1,AQ$27,AM65,$G65,$R65,$O65,$S65,0.1))</f>
        <v>0</v>
      </c>
      <c r="AQ65" s="44" t="n">
        <f aca="false">IF(AL65=0,0,bsd(2,AQ$27,AM65,$G65,$R65,$O65,$S65,0.1))</f>
        <v>0</v>
      </c>
      <c r="AR65" s="44" t="n">
        <f aca="false">IF(AL65=0,0,bsd(AQ$28,AQ$27,AM65,$G65,$R65,$O65,$S65,0.1))</f>
        <v>0</v>
      </c>
      <c r="AS65" s="45" t="n">
        <f aca="false">AL65*AP65</f>
        <v>0</v>
      </c>
      <c r="AT65" s="45" t="n">
        <f aca="false">AL65*AQ65</f>
        <v>0</v>
      </c>
      <c r="AU65" s="45" t="n">
        <f aca="false">AL65*AR65</f>
        <v>0</v>
      </c>
      <c r="AW65" s="9" t="n">
        <f aca="false">IF($A65&gt;=AX$25,IF($A65&lt;=AX$26,$T65,0),0)</f>
        <v>0</v>
      </c>
      <c r="AX65" s="9" t="e">
        <f aca="false">AZ65/AW65</f>
        <v>#DIV/0!</v>
      </c>
      <c r="AY65" s="1" t="n">
        <f aca="false">AW65*($B65+F$13)</f>
        <v>0</v>
      </c>
      <c r="AZ65" s="33" t="n">
        <f aca="false">IF(ISNUMBER(((AY65/AW65)+F$15+$C65)*AW65),((AY65/AW65)+F$15+$C65)*AW65,0)</f>
        <v>0</v>
      </c>
      <c r="BA65" s="44" t="n">
        <f aca="false">IF(AW65=0,0,bsd(1,BB$27,AX65,$H65,$R65,$P65,$S65,0.1))</f>
        <v>0</v>
      </c>
      <c r="BB65" s="44" t="n">
        <f aca="false">IF(AW65=0,0,bsd(2,BB$27,AX65,$H65,$R65,$P65,$S65,0.1))</f>
        <v>0</v>
      </c>
      <c r="BC65" s="44" t="n">
        <f aca="false">IF(AW65=0,0,bsd(BB$28,BB$27,AX65,$H65,$R65,$P65,$S65,0.1))</f>
        <v>0</v>
      </c>
      <c r="BD65" s="45" t="n">
        <f aca="false">AW65*BA65</f>
        <v>0</v>
      </c>
      <c r="BE65" s="45" t="n">
        <f aca="false">AW65*BB65</f>
        <v>0</v>
      </c>
      <c r="BF65" s="45" t="n">
        <f aca="false">AW65*BC65</f>
        <v>0</v>
      </c>
      <c r="BH65" s="9" t="n">
        <f aca="false">IF($A65&gt;=BI$25,IF($A65&lt;=BI$26,$T65,0),0)</f>
        <v>0</v>
      </c>
      <c r="BI65" s="9" t="e">
        <f aca="false">BK65/BH65</f>
        <v>#DIV/0!</v>
      </c>
      <c r="BJ65" s="1" t="n">
        <f aca="false">BH65*($B65+H$13)</f>
        <v>0</v>
      </c>
      <c r="BK65" s="33" t="n">
        <f aca="false">IF(ISNUMBER(((BJ65/BH65)+H$15+$C65)*BH65),((BJ65/BH65)+H$15+$C65)*BH65,0)</f>
        <v>0</v>
      </c>
      <c r="BL65" s="44" t="n">
        <f aca="false">IF(BH65=0,0,bsd(1,BM$27,BI65,$I65,$R65,$Q65,$S65,0.1))</f>
        <v>0</v>
      </c>
      <c r="BM65" s="44" t="n">
        <f aca="false">IF(BH65=0,0,bsd(2,BM$27,BI65,$I65,$R65,$Q65,$S65,0.1))</f>
        <v>0</v>
      </c>
      <c r="BN65" s="44" t="n">
        <f aca="false">IF(BH65=0,0,bsd(BM$28,BM$27,BI65,$I65,$R65,$Q65,$S65,0.1))</f>
        <v>0</v>
      </c>
      <c r="BO65" s="45" t="n">
        <f aca="false">BH65*BL65</f>
        <v>0</v>
      </c>
      <c r="BP65" s="45" t="n">
        <f aca="false">BH65*BM65</f>
        <v>0</v>
      </c>
      <c r="BQ65" s="45" t="n">
        <f aca="false">BH65*BN65</f>
        <v>0</v>
      </c>
    </row>
    <row r="66" customFormat="false" ht="12.75" hidden="false" customHeight="false" outlineLevel="0" collapsed="false">
      <c r="A66" s="48" t="n">
        <f aca="false">DATE(YEAR(A65),MONTH(A65)+1,1)</f>
        <v>37865</v>
      </c>
      <c r="B66" s="40" t="n">
        <f aca="false">VLOOKUP(A66,STRADDLE,5,FALSE())</f>
        <v>3.285</v>
      </c>
      <c r="C66" s="40" t="n">
        <v>0</v>
      </c>
      <c r="D66" s="4" t="n">
        <f aca="false">VLOOKUP(A66,STRADDLE,8,FALSE())</f>
        <v>0.2575</v>
      </c>
      <c r="E66" s="131" t="n">
        <f aca="false">IF(ISNUMBER(VLOOKUP(A66,VOLCURVES,HLOOKUP(B$5,VOLCURVES,2,FALSE()),FALSE())),VLOOKUP(A66,VOLCURVES,HLOOKUP(B$5,VOLCURVES,2,FALSE()),FALSE()),1)</f>
        <v>1</v>
      </c>
      <c r="F66" s="41" t="n">
        <f aca="false">IF($B$17=4,$AB66,$B$16)</f>
        <v>3.8</v>
      </c>
      <c r="G66" s="41" t="n">
        <f aca="false">IF($D$17=4,$AM66,$D$16)</f>
        <v>3.5</v>
      </c>
      <c r="H66" s="41" t="n">
        <f aca="false">IF($F$17=4,$AX66,$F$16)</f>
        <v>2.96</v>
      </c>
      <c r="I66" s="41" t="n">
        <f aca="false">IF($H$17=4,$BI66,$H$16)</f>
        <v>2.99</v>
      </c>
      <c r="J66" s="4" t="n">
        <f aca="false">IF($B$19=1,VLOOKUP($A66,SkewTable,HLOOKUP(ROUND(F66-AB66,1),SkewTable,2,FALSE()),FALSE())/100,0)</f>
        <v>0.0451185018386</v>
      </c>
      <c r="K66" s="4" t="e">
        <f aca="false">IF($D$19=1,VLOOKUP($A66,SkewTable,HLOOKUP(ROUND(G66-AM66,1),SkewTable,2,FALSE()),FALSE())/100,0)</f>
        <v>#DIV/0!</v>
      </c>
      <c r="L66" s="4" t="e">
        <f aca="false">IF($F$19=1,VLOOKUP($A66,SkewTable,HLOOKUP(ROUND(H66-AX66,1),SkewTable,2,FALSE()),FALSE())/100,0)</f>
        <v>#DIV/0!</v>
      </c>
      <c r="M66" s="4" t="e">
        <f aca="false">IF($H$19=1,VLOOKUP($A66,SkewTable,HLOOKUP(ROUND(I66-BI66,1),SkewTable,2,FALSE()),FALSE())/100,0)</f>
        <v>#DIV/0!</v>
      </c>
      <c r="N66" s="4" t="n">
        <f aca="false">(($D66+J66)*$E66)+B$18</f>
        <v>0.3026185018386</v>
      </c>
      <c r="O66" s="4" t="e">
        <f aca="false">(($D66+K66)*$E66)+D$18</f>
        <v>#DIV/0!</v>
      </c>
      <c r="P66" s="4" t="e">
        <f aca="false">(($D66+L66)*$E66)+F$18</f>
        <v>#DIV/0!</v>
      </c>
      <c r="Q66" s="4" t="e">
        <f aca="false">(($D66+M66)*$E66)+H$18</f>
        <v>#DIV/0!</v>
      </c>
      <c r="R66" s="136" t="n">
        <f aca="false">IF(B$4=1,VLOOKUP(A66,expiration,2,FALSE()),VLOOKUP(A66,expiration,3,FALSE()))-B$2+$B$1</f>
        <v>-8066</v>
      </c>
      <c r="S66" s="4" t="n">
        <f aca="false">VLOOKUP($A66,STRADDLE,12,FALSE())</f>
        <v>0.06728386033929</v>
      </c>
      <c r="T66" s="1" t="n">
        <v>0</v>
      </c>
      <c r="U66" s="43" t="n">
        <v>0</v>
      </c>
      <c r="V66" s="1" t="n">
        <v>3</v>
      </c>
      <c r="X66" s="43"/>
      <c r="Z66" s="9"/>
      <c r="AA66" s="9" t="n">
        <f aca="false">IF($A66&gt;=AB$25,IF($A66&lt;=AB$26,$T66,0),0)</f>
        <v>0</v>
      </c>
      <c r="AB66" s="9" t="n">
        <f aca="false">IF(T66&gt;0,AD66/AA66,0)</f>
        <v>0</v>
      </c>
      <c r="AC66" s="1" t="n">
        <f aca="false">AA66*($B66+B$13)</f>
        <v>0</v>
      </c>
      <c r="AD66" s="33" t="n">
        <f aca="false">IF(ISNUMBER(((AC66/AA66)+B$15+$C66)*AA66),((AC66/AA66)+B$15+$C66)*AA66,0)</f>
        <v>0</v>
      </c>
      <c r="AE66" s="44" t="n">
        <f aca="false">IF(AA66=0,0,bsd(1,AF$27,AB66,$F66,$R66,$N66,$S66,0.1))</f>
        <v>0</v>
      </c>
      <c r="AF66" s="44" t="n">
        <f aca="false">IF(AA66=0,0,bsd(2,AF$27,AB66,$F66,$R66,$N66,$S66,0.1))</f>
        <v>0</v>
      </c>
      <c r="AG66" s="44" t="n">
        <f aca="false">IF(AA66=0,0,bsd(AF$28,AF$27,AB66,$F66,$R66,$N66,$S66,0.1))</f>
        <v>0</v>
      </c>
      <c r="AH66" s="45" t="n">
        <f aca="false">AA66*AE66</f>
        <v>0</v>
      </c>
      <c r="AI66" s="45" t="n">
        <f aca="false">AA66*AF66</f>
        <v>0</v>
      </c>
      <c r="AJ66" s="45" t="n">
        <f aca="false">AA66*AG66</f>
        <v>0</v>
      </c>
      <c r="AL66" s="9" t="n">
        <f aca="false">IF($A66&gt;=AM$25,IF($A66&lt;=AM$26,$T66,0),0)</f>
        <v>0</v>
      </c>
      <c r="AM66" s="9" t="e">
        <f aca="false">AO66/AL66</f>
        <v>#DIV/0!</v>
      </c>
      <c r="AN66" s="1" t="n">
        <f aca="false">AL66*($B66+D$13)</f>
        <v>0</v>
      </c>
      <c r="AO66" s="33" t="n">
        <f aca="false">IF(ISNUMBER(((AN66/AL66)+D$15+$C66)*AL66),((AN66/AL66)+D$15+$C66)*AL66,0)</f>
        <v>0</v>
      </c>
      <c r="AP66" s="44" t="n">
        <f aca="false">IF(AL66=0,0,bsd(1,AQ$27,AM66,$G66,$R66,$O66,$S66,0.1))</f>
        <v>0</v>
      </c>
      <c r="AQ66" s="44" t="n">
        <f aca="false">IF(AL66=0,0,bsd(2,AQ$27,AM66,$G66,$R66,$O66,$S66,0.1))</f>
        <v>0</v>
      </c>
      <c r="AR66" s="44" t="n">
        <f aca="false">IF(AL66=0,0,bsd(AQ$28,AQ$27,AM66,$G66,$R66,$O66,$S66,0.1))</f>
        <v>0</v>
      </c>
      <c r="AS66" s="45" t="n">
        <f aca="false">AL66*AP66</f>
        <v>0</v>
      </c>
      <c r="AT66" s="45" t="n">
        <f aca="false">AL66*AQ66</f>
        <v>0</v>
      </c>
      <c r="AU66" s="45" t="n">
        <f aca="false">AL66*AR66</f>
        <v>0</v>
      </c>
      <c r="AW66" s="9" t="n">
        <f aca="false">IF($A66&gt;=AX$25,IF($A66&lt;=AX$26,$T66,0),0)</f>
        <v>0</v>
      </c>
      <c r="AX66" s="9" t="e">
        <f aca="false">AZ66/AW66</f>
        <v>#DIV/0!</v>
      </c>
      <c r="AY66" s="1" t="n">
        <f aca="false">AW66*($B66+F$13)</f>
        <v>0</v>
      </c>
      <c r="AZ66" s="33" t="n">
        <f aca="false">IF(ISNUMBER(((AY66/AW66)+F$15+$C66)*AW66),((AY66/AW66)+F$15+$C66)*AW66,0)</f>
        <v>0</v>
      </c>
      <c r="BA66" s="44" t="n">
        <f aca="false">IF(AW66=0,0,bsd(1,BB$27,AX66,$H66,$R66,$P66,$S66,0.1))</f>
        <v>0</v>
      </c>
      <c r="BB66" s="44" t="n">
        <f aca="false">IF(AW66=0,0,bsd(2,BB$27,AX66,$H66,$R66,$P66,$S66,0.1))</f>
        <v>0</v>
      </c>
      <c r="BC66" s="44" t="n">
        <f aca="false">IF(AW66=0,0,bsd(BB$28,BB$27,AX66,$H66,$R66,$P66,$S66,0.1))</f>
        <v>0</v>
      </c>
      <c r="BD66" s="45" t="n">
        <f aca="false">AW66*BA66</f>
        <v>0</v>
      </c>
      <c r="BE66" s="45" t="n">
        <f aca="false">AW66*BB66</f>
        <v>0</v>
      </c>
      <c r="BF66" s="45" t="n">
        <f aca="false">AW66*BC66</f>
        <v>0</v>
      </c>
      <c r="BH66" s="9" t="n">
        <f aca="false">IF($A66&gt;=BI$25,IF($A66&lt;=BI$26,$T66,0),0)</f>
        <v>0</v>
      </c>
      <c r="BI66" s="9" t="e">
        <f aca="false">BK66/BH66</f>
        <v>#DIV/0!</v>
      </c>
      <c r="BJ66" s="1" t="n">
        <f aca="false">BH66*($B66+H$13)</f>
        <v>0</v>
      </c>
      <c r="BK66" s="33" t="n">
        <f aca="false">IF(ISNUMBER(((BJ66/BH66)+H$15+$C66)*BH66),((BJ66/BH66)+H$15+$C66)*BH66,0)</f>
        <v>0</v>
      </c>
      <c r="BL66" s="44" t="n">
        <f aca="false">IF(BH66=0,0,bsd(1,BM$27,BI66,$I66,$R66,$Q66,$S66,0.1))</f>
        <v>0</v>
      </c>
      <c r="BM66" s="44" t="n">
        <f aca="false">IF(BH66=0,0,bsd(2,BM$27,BI66,$I66,$R66,$Q66,$S66,0.1))</f>
        <v>0</v>
      </c>
      <c r="BN66" s="44" t="n">
        <f aca="false">IF(BH66=0,0,bsd(BM$28,BM$27,BI66,$I66,$R66,$Q66,$S66,0.1))</f>
        <v>0</v>
      </c>
      <c r="BO66" s="45" t="n">
        <f aca="false">BH66*BL66</f>
        <v>0</v>
      </c>
      <c r="BP66" s="45" t="n">
        <f aca="false">BH66*BM66</f>
        <v>0</v>
      </c>
      <c r="BQ66" s="45" t="n">
        <f aca="false">BH66*BN66</f>
        <v>0</v>
      </c>
    </row>
    <row r="67" customFormat="false" ht="12.75" hidden="false" customHeight="false" outlineLevel="0" collapsed="false">
      <c r="A67" s="48" t="n">
        <f aca="false">DATE(YEAR(A66),MONTH(A66)+1,1)</f>
        <v>37895</v>
      </c>
      <c r="B67" s="40" t="n">
        <f aca="false">VLOOKUP(A67,STRADDLE,5,FALSE())</f>
        <v>3.308</v>
      </c>
      <c r="C67" s="40" t="n">
        <v>0</v>
      </c>
      <c r="D67" s="4" t="n">
        <f aca="false">VLOOKUP(A67,STRADDLE,8,FALSE())</f>
        <v>0.2575</v>
      </c>
      <c r="E67" s="131" t="n">
        <f aca="false">IF(ISNUMBER(VLOOKUP(A67,VOLCURVES,HLOOKUP(B$5,VOLCURVES,2,FALSE()),FALSE())),VLOOKUP(A67,VOLCURVES,HLOOKUP(B$5,VOLCURVES,2,FALSE()),FALSE()),1)</f>
        <v>1</v>
      </c>
      <c r="F67" s="41" t="n">
        <f aca="false">IF($B$17=4,$AB67,$B$16)</f>
        <v>3.8</v>
      </c>
      <c r="G67" s="41" t="n">
        <f aca="false">IF($D$17=4,$AM67,$D$16)</f>
        <v>3.5</v>
      </c>
      <c r="H67" s="41" t="n">
        <f aca="false">IF($F$17=4,$AX67,$F$16)</f>
        <v>2.96</v>
      </c>
      <c r="I67" s="41" t="n">
        <f aca="false">IF($H$17=4,$BI67,$H$16)</f>
        <v>2.99</v>
      </c>
      <c r="J67" s="4" t="n">
        <f aca="false">IF($B$19=1,VLOOKUP($A67,SkewTable,HLOOKUP(ROUND(F67-AB67,1),SkewTable,2,FALSE()),FALSE())/100,0)</f>
        <v>0.0451185018386</v>
      </c>
      <c r="K67" s="4" t="e">
        <f aca="false">IF($D$19=1,VLOOKUP($A67,SkewTable,HLOOKUP(ROUND(G67-AM67,1),SkewTable,2,FALSE()),FALSE())/100,0)</f>
        <v>#DIV/0!</v>
      </c>
      <c r="L67" s="4" t="e">
        <f aca="false">IF($F$19=1,VLOOKUP($A67,SkewTable,HLOOKUP(ROUND(H67-AX67,1),SkewTable,2,FALSE()),FALSE())/100,0)</f>
        <v>#DIV/0!</v>
      </c>
      <c r="M67" s="4" t="e">
        <f aca="false">IF($H$19=1,VLOOKUP($A67,SkewTable,HLOOKUP(ROUND(I67-BI67,1),SkewTable,2,FALSE()),FALSE())/100,0)</f>
        <v>#DIV/0!</v>
      </c>
      <c r="N67" s="4" t="n">
        <f aca="false">(($D67+J67)*$E67)+B$18</f>
        <v>0.3026185018386</v>
      </c>
      <c r="O67" s="4" t="e">
        <f aca="false">(($D67+K67)*$E67)+D$18</f>
        <v>#DIV/0!</v>
      </c>
      <c r="P67" s="4" t="e">
        <f aca="false">(($D67+L67)*$E67)+F$18</f>
        <v>#DIV/0!</v>
      </c>
      <c r="Q67" s="4" t="e">
        <f aca="false">(($D67+M67)*$E67)+H$18</f>
        <v>#DIV/0!</v>
      </c>
      <c r="R67" s="136" t="n">
        <f aca="false">IF(B$4=1,VLOOKUP(A67,expiration,2,FALSE()),VLOOKUP(A67,expiration,3,FALSE()))-B$2+$B$1</f>
        <v>-8036</v>
      </c>
      <c r="S67" s="4" t="n">
        <f aca="false">VLOOKUP($A67,STRADDLE,12,FALSE())</f>
        <v>0.067297346203373</v>
      </c>
      <c r="T67" s="1" t="n">
        <v>0</v>
      </c>
      <c r="U67" s="43" t="n">
        <v>0</v>
      </c>
      <c r="V67" s="1" t="n">
        <v>3</v>
      </c>
      <c r="X67" s="43"/>
      <c r="Z67" s="9"/>
      <c r="AA67" s="9" t="n">
        <f aca="false">IF($A67&gt;=AB$25,IF($A67&lt;=AB$26,$T67,0),0)</f>
        <v>0</v>
      </c>
      <c r="AB67" s="9" t="n">
        <f aca="false">IF(T67&gt;0,AD67/AA67,0)</f>
        <v>0</v>
      </c>
      <c r="AC67" s="1" t="n">
        <f aca="false">AA67*($B67+B$13)</f>
        <v>0</v>
      </c>
      <c r="AD67" s="33" t="n">
        <f aca="false">IF(ISNUMBER(((AC67/AA67)+B$15+$C67)*AA67),((AC67/AA67)+B$15+$C67)*AA67,0)</f>
        <v>0</v>
      </c>
      <c r="AE67" s="44" t="n">
        <f aca="false">IF(AA67=0,0,bsd(1,AF$27,AB67,$F67,$R67,$N67,$S67,0.1))</f>
        <v>0</v>
      </c>
      <c r="AF67" s="44" t="n">
        <f aca="false">IF(AA67=0,0,bsd(2,AF$27,AB67,$F67,$R67,$N67,$S67,0.1))</f>
        <v>0</v>
      </c>
      <c r="AG67" s="44" t="n">
        <f aca="false">IF(AA67=0,0,bsd(AF$28,AF$27,AB67,$F67,$R67,$N67,$S67,0.1))</f>
        <v>0</v>
      </c>
      <c r="AH67" s="45" t="n">
        <f aca="false">AA67*AE67</f>
        <v>0</v>
      </c>
      <c r="AI67" s="45" t="n">
        <f aca="false">AA67*AF67</f>
        <v>0</v>
      </c>
      <c r="AJ67" s="45" t="n">
        <f aca="false">AA67*AG67</f>
        <v>0</v>
      </c>
      <c r="AL67" s="9" t="n">
        <f aca="false">IF($A67&gt;=AM$25,IF($A67&lt;=AM$26,$T67,0),0)</f>
        <v>0</v>
      </c>
      <c r="AM67" s="9" t="e">
        <f aca="false">AO67/AL67</f>
        <v>#DIV/0!</v>
      </c>
      <c r="AN67" s="1" t="n">
        <f aca="false">AL67*($B67+D$13)</f>
        <v>0</v>
      </c>
      <c r="AO67" s="33" t="n">
        <f aca="false">IF(ISNUMBER(((AN67/AL67)+D$15+$C67)*AL67),((AN67/AL67)+D$15+$C67)*AL67,0)</f>
        <v>0</v>
      </c>
      <c r="AP67" s="44" t="n">
        <f aca="false">IF(AL67=0,0,bsd(1,AQ$27,AM67,$G67,$R67,$O67,$S67,0.1))</f>
        <v>0</v>
      </c>
      <c r="AQ67" s="44" t="n">
        <f aca="false">IF(AL67=0,0,bsd(2,AQ$27,AM67,$G67,$R67,$O67,$S67,0.1))</f>
        <v>0</v>
      </c>
      <c r="AR67" s="44" t="n">
        <f aca="false">IF(AL67=0,0,bsd(AQ$28,AQ$27,AM67,$G67,$R67,$O67,$S67,0.1))</f>
        <v>0</v>
      </c>
      <c r="AS67" s="45" t="n">
        <f aca="false">AL67*AP67</f>
        <v>0</v>
      </c>
      <c r="AT67" s="45" t="n">
        <f aca="false">AL67*AQ67</f>
        <v>0</v>
      </c>
      <c r="AU67" s="45" t="n">
        <f aca="false">AL67*AR67</f>
        <v>0</v>
      </c>
      <c r="AW67" s="9" t="n">
        <f aca="false">IF($A67&gt;=AX$25,IF($A67&lt;=AX$26,$T67,0),0)</f>
        <v>0</v>
      </c>
      <c r="AX67" s="9" t="e">
        <f aca="false">AZ67/AW67</f>
        <v>#DIV/0!</v>
      </c>
      <c r="AY67" s="1" t="n">
        <f aca="false">AW67*($B67+F$13)</f>
        <v>0</v>
      </c>
      <c r="AZ67" s="33" t="n">
        <f aca="false">IF(ISNUMBER(((AY67/AW67)+F$15+$C67)*AW67),((AY67/AW67)+F$15+$C67)*AW67,0)</f>
        <v>0</v>
      </c>
      <c r="BA67" s="44" t="n">
        <f aca="false">IF(AW67=0,0,bsd(1,BB$27,AX67,$H67,$R67,$P67,$S67,0.1))</f>
        <v>0</v>
      </c>
      <c r="BB67" s="44" t="n">
        <f aca="false">IF(AW67=0,0,bsd(2,BB$27,AX67,$H67,$R67,$P67,$S67,0.1))</f>
        <v>0</v>
      </c>
      <c r="BC67" s="44" t="n">
        <f aca="false">IF(AW67=0,0,bsd(BB$28,BB$27,AX67,$H67,$R67,$P67,$S67,0.1))</f>
        <v>0</v>
      </c>
      <c r="BD67" s="45" t="n">
        <f aca="false">AW67*BA67</f>
        <v>0</v>
      </c>
      <c r="BE67" s="45" t="n">
        <f aca="false">AW67*BB67</f>
        <v>0</v>
      </c>
      <c r="BF67" s="45" t="n">
        <f aca="false">AW67*BC67</f>
        <v>0</v>
      </c>
      <c r="BH67" s="9" t="n">
        <f aca="false">IF($A67&gt;=BI$25,IF($A67&lt;=BI$26,$T67,0),0)</f>
        <v>0</v>
      </c>
      <c r="BI67" s="9" t="e">
        <f aca="false">BK67/BH67</f>
        <v>#DIV/0!</v>
      </c>
      <c r="BJ67" s="1" t="n">
        <f aca="false">BH67*($B67+H$13)</f>
        <v>0</v>
      </c>
      <c r="BK67" s="33" t="n">
        <f aca="false">IF(ISNUMBER(((BJ67/BH67)+H$15+$C67)*BH67),((BJ67/BH67)+H$15+$C67)*BH67,0)</f>
        <v>0</v>
      </c>
      <c r="BL67" s="44" t="n">
        <f aca="false">IF(BH67=0,0,bsd(1,BM$27,BI67,$I67,$R67,$Q67,$S67,0.1))</f>
        <v>0</v>
      </c>
      <c r="BM67" s="44" t="n">
        <f aca="false">IF(BH67=0,0,bsd(2,BM$27,BI67,$I67,$R67,$Q67,$S67,0.1))</f>
        <v>0</v>
      </c>
      <c r="BN67" s="44" t="n">
        <f aca="false">IF(BH67=0,0,bsd(BM$28,BM$27,BI67,$I67,$R67,$Q67,$S67,0.1))</f>
        <v>0</v>
      </c>
      <c r="BO67" s="45" t="n">
        <f aca="false">BH67*BL67</f>
        <v>0</v>
      </c>
      <c r="BP67" s="45" t="n">
        <f aca="false">BH67*BM67</f>
        <v>0</v>
      </c>
      <c r="BQ67" s="45" t="n">
        <f aca="false">BH67*BN67</f>
        <v>0</v>
      </c>
    </row>
    <row r="68" customFormat="false" ht="12.75" hidden="false" customHeight="false" outlineLevel="0" collapsed="false">
      <c r="A68" s="48" t="n">
        <f aca="false">DATE(YEAR(A67),MONTH(A67)+1,1)</f>
        <v>37926</v>
      </c>
      <c r="B68" s="40" t="n">
        <f aca="false">VLOOKUP(A68,STRADDLE,5,FALSE())</f>
        <v>3.4</v>
      </c>
      <c r="C68" s="40" t="n">
        <v>0</v>
      </c>
      <c r="D68" s="4" t="n">
        <f aca="false">VLOOKUP(A68,STRADDLE,8,FALSE())</f>
        <v>0.2675</v>
      </c>
      <c r="E68" s="131" t="n">
        <f aca="false">IF(ISNUMBER(VLOOKUP(A68,VOLCURVES,HLOOKUP(B$5,VOLCURVES,2,FALSE()),FALSE())),VLOOKUP(A68,VOLCURVES,HLOOKUP(B$5,VOLCURVES,2,FALSE()),FALSE()),1)</f>
        <v>1</v>
      </c>
      <c r="F68" s="41" t="n">
        <f aca="false">IF($B$17=4,$AB68,$B$16)</f>
        <v>3.8</v>
      </c>
      <c r="G68" s="41" t="n">
        <f aca="false">IF($D$17=4,$AM68,$D$16)</f>
        <v>3.5</v>
      </c>
      <c r="H68" s="41" t="n">
        <f aca="false">IF($F$17=4,$AX68,$F$16)</f>
        <v>2.96</v>
      </c>
      <c r="I68" s="41" t="n">
        <f aca="false">IF($H$17=4,$BI68,$H$16)</f>
        <v>2.99</v>
      </c>
      <c r="J68" s="4" t="n">
        <f aca="false">IF($B$19=1,VLOOKUP($A68,SkewTable,HLOOKUP(ROUND(F68-AB68,1),SkewTable,2,FALSE()),FALSE())/100,0)</f>
        <v>0.0451185018386</v>
      </c>
      <c r="K68" s="4" t="e">
        <f aca="false">IF($D$19=1,VLOOKUP($A68,SkewTable,HLOOKUP(ROUND(G68-AM68,1),SkewTable,2,FALSE()),FALSE())/100,0)</f>
        <v>#DIV/0!</v>
      </c>
      <c r="L68" s="4" t="e">
        <f aca="false">IF($F$19=1,VLOOKUP($A68,SkewTable,HLOOKUP(ROUND(H68-AX68,1),SkewTable,2,FALSE()),FALSE())/100,0)</f>
        <v>#DIV/0!</v>
      </c>
      <c r="M68" s="4" t="e">
        <f aca="false">IF($H$19=1,VLOOKUP($A68,SkewTable,HLOOKUP(ROUND(I68-BI68,1),SkewTable,2,FALSE()),FALSE())/100,0)</f>
        <v>#DIV/0!</v>
      </c>
      <c r="N68" s="4" t="n">
        <f aca="false">(($D68+J68)*$E68)+B$18</f>
        <v>0.3126185018386</v>
      </c>
      <c r="O68" s="4" t="e">
        <f aca="false">(($D68+K68)*$E68)+D$18</f>
        <v>#DIV/0!</v>
      </c>
      <c r="P68" s="4" t="e">
        <f aca="false">(($D68+L68)*$E68)+F$18</f>
        <v>#DIV/0!</v>
      </c>
      <c r="Q68" s="4" t="e">
        <f aca="false">(($D68+M68)*$E68)+H$18</f>
        <v>#DIV/0!</v>
      </c>
      <c r="R68" s="136" t="n">
        <f aca="false">IF(B$4=1,VLOOKUP(A68,expiration,2,FALSE()),VLOOKUP(A68,expiration,3,FALSE()))-B$2+$B$1</f>
        <v>-8003</v>
      </c>
      <c r="S68" s="4" t="n">
        <f aca="false">VLOOKUP($A68,STRADDLE,12,FALSE())</f>
        <v>0.067314594931672</v>
      </c>
      <c r="T68" s="1" t="n">
        <v>0</v>
      </c>
      <c r="U68" s="43" t="n">
        <v>0</v>
      </c>
      <c r="V68" s="1" t="n">
        <v>3</v>
      </c>
      <c r="X68" s="43"/>
      <c r="Z68" s="9"/>
      <c r="AA68" s="9" t="n">
        <f aca="false">IF($A68&gt;=AB$25,IF($A68&lt;=AB$26,$T68,0),0)</f>
        <v>0</v>
      </c>
      <c r="AB68" s="9" t="n">
        <f aca="false">IF(T68&gt;0,AD68/AA68,0)</f>
        <v>0</v>
      </c>
      <c r="AC68" s="1" t="n">
        <f aca="false">AA68*($B68+B$13)</f>
        <v>0</v>
      </c>
      <c r="AD68" s="33" t="n">
        <f aca="false">IF(ISNUMBER(((AC68/AA68)+B$15+$C68)*AA68),((AC68/AA68)+B$15+$C68)*AA68,0)</f>
        <v>0</v>
      </c>
      <c r="AE68" s="44" t="n">
        <f aca="false">IF(AA68=0,0,bsd(1,AF$27,AB68,$F68,$R68,$N68,$S68,0.1))</f>
        <v>0</v>
      </c>
      <c r="AF68" s="44" t="n">
        <f aca="false">IF(AA68=0,0,bsd(2,AF$27,AB68,$F68,$R68,$N68,$S68,0.1))</f>
        <v>0</v>
      </c>
      <c r="AG68" s="44" t="n">
        <f aca="false">IF(AA68=0,0,bsd(AF$28,AF$27,AB68,$F68,$R68,$N68,$S68,0.1))</f>
        <v>0</v>
      </c>
      <c r="AH68" s="45" t="n">
        <f aca="false">AA68*AE68</f>
        <v>0</v>
      </c>
      <c r="AI68" s="45" t="n">
        <f aca="false">AA68*AF68</f>
        <v>0</v>
      </c>
      <c r="AJ68" s="45" t="n">
        <f aca="false">AA68*AG68</f>
        <v>0</v>
      </c>
      <c r="AL68" s="9" t="n">
        <f aca="false">IF($A68&gt;=AM$25,IF($A68&lt;=AM$26,$T68,0),0)</f>
        <v>0</v>
      </c>
      <c r="AM68" s="9" t="e">
        <f aca="false">AO68/AL68</f>
        <v>#DIV/0!</v>
      </c>
      <c r="AN68" s="1" t="n">
        <f aca="false">AL68*($B68+D$13)</f>
        <v>0</v>
      </c>
      <c r="AO68" s="33" t="n">
        <f aca="false">IF(ISNUMBER(((AN68/AL68)+D$15+$C68)*AL68),((AN68/AL68)+D$15+$C68)*AL68,0)</f>
        <v>0</v>
      </c>
      <c r="AP68" s="44" t="n">
        <f aca="false">IF(AL68=0,0,bsd(1,AQ$27,AM68,$G68,$R68,$O68,$S68,0.1))</f>
        <v>0</v>
      </c>
      <c r="AQ68" s="44" t="n">
        <f aca="false">IF(AL68=0,0,bsd(2,AQ$27,AM68,$G68,$R68,$O68,$S68,0.1))</f>
        <v>0</v>
      </c>
      <c r="AR68" s="44" t="n">
        <f aca="false">IF(AL68=0,0,bsd(AQ$28,AQ$27,AM68,$G68,$R68,$O68,$S68,0.1))</f>
        <v>0</v>
      </c>
      <c r="AS68" s="45" t="n">
        <f aca="false">AL68*AP68</f>
        <v>0</v>
      </c>
      <c r="AT68" s="45" t="n">
        <f aca="false">AL68*AQ68</f>
        <v>0</v>
      </c>
      <c r="AU68" s="45" t="n">
        <f aca="false">AL68*AR68</f>
        <v>0</v>
      </c>
      <c r="AW68" s="9" t="n">
        <f aca="false">IF($A68&gt;=AX$25,IF($A68&lt;=AX$26,$T68,0),0)</f>
        <v>0</v>
      </c>
      <c r="AX68" s="9" t="e">
        <f aca="false">AZ68/AW68</f>
        <v>#DIV/0!</v>
      </c>
      <c r="AY68" s="1" t="n">
        <f aca="false">AW68*($B68+F$13)</f>
        <v>0</v>
      </c>
      <c r="AZ68" s="33" t="n">
        <f aca="false">IF(ISNUMBER(((AY68/AW68)+F$15+$C68)*AW68),((AY68/AW68)+F$15+$C68)*AW68,0)</f>
        <v>0</v>
      </c>
      <c r="BA68" s="44" t="n">
        <f aca="false">IF(AW68=0,0,bsd(1,BB$27,AX68,$H68,$R68,$P68,$S68,0.1))</f>
        <v>0</v>
      </c>
      <c r="BB68" s="44" t="n">
        <f aca="false">IF(AW68=0,0,bsd(2,BB$27,AX68,$H68,$R68,$P68,$S68,0.1))</f>
        <v>0</v>
      </c>
      <c r="BC68" s="44" t="n">
        <f aca="false">IF(AW68=0,0,bsd(BB$28,BB$27,AX68,$H68,$R68,$P68,$S68,0.1))</f>
        <v>0</v>
      </c>
      <c r="BD68" s="45" t="n">
        <f aca="false">AW68*BA68</f>
        <v>0</v>
      </c>
      <c r="BE68" s="45" t="n">
        <f aca="false">AW68*BB68</f>
        <v>0</v>
      </c>
      <c r="BF68" s="45" t="n">
        <f aca="false">AW68*BC68</f>
        <v>0</v>
      </c>
      <c r="BH68" s="9" t="n">
        <f aca="false">IF($A68&gt;=BI$25,IF($A68&lt;=BI$26,$T68,0),0)</f>
        <v>0</v>
      </c>
      <c r="BI68" s="9" t="e">
        <f aca="false">BK68/BH68</f>
        <v>#DIV/0!</v>
      </c>
      <c r="BJ68" s="1" t="n">
        <f aca="false">BH68*($B68+H$13)</f>
        <v>0</v>
      </c>
      <c r="BK68" s="33" t="n">
        <f aca="false">IF(ISNUMBER(((BJ68/BH68)+H$15+$C68)*BH68),((BJ68/BH68)+H$15+$C68)*BH68,0)</f>
        <v>0</v>
      </c>
      <c r="BL68" s="44" t="n">
        <f aca="false">IF(BH68=0,0,bsd(1,BM$27,BI68,$I68,$R68,$Q68,$S68,0.1))</f>
        <v>0</v>
      </c>
      <c r="BM68" s="44" t="n">
        <f aca="false">IF(BH68=0,0,bsd(2,BM$27,BI68,$I68,$R68,$Q68,$S68,0.1))</f>
        <v>0</v>
      </c>
      <c r="BN68" s="44" t="n">
        <f aca="false">IF(BH68=0,0,bsd(BM$28,BM$27,BI68,$I68,$R68,$Q68,$S68,0.1))</f>
        <v>0</v>
      </c>
      <c r="BO68" s="45" t="n">
        <f aca="false">BH68*BL68</f>
        <v>0</v>
      </c>
      <c r="BP68" s="45" t="n">
        <f aca="false">BH68*BM68</f>
        <v>0</v>
      </c>
      <c r="BQ68" s="45" t="n">
        <f aca="false">BH68*BN68</f>
        <v>0</v>
      </c>
    </row>
    <row r="69" customFormat="false" ht="12.75" hidden="false" customHeight="false" outlineLevel="0" collapsed="false">
      <c r="A69" s="48" t="n">
        <f aca="false">DATE(YEAR(A68),MONTH(A68)+1,1)</f>
        <v>37956</v>
      </c>
      <c r="B69" s="40" t="n">
        <f aca="false">VLOOKUP(A69,STRADDLE,5,FALSE())</f>
        <v>3.476</v>
      </c>
      <c r="C69" s="40" t="n">
        <v>0</v>
      </c>
      <c r="D69" s="4" t="n">
        <f aca="false">VLOOKUP(A69,STRADDLE,8,FALSE())</f>
        <v>0.2725</v>
      </c>
      <c r="E69" s="131" t="n">
        <f aca="false">IF(ISNUMBER(VLOOKUP(A69,VOLCURVES,HLOOKUP(B$5,VOLCURVES,2,FALSE()),FALSE())),VLOOKUP(A69,VOLCURVES,HLOOKUP(B$5,VOLCURVES,2,FALSE()),FALSE()),1)</f>
        <v>1</v>
      </c>
      <c r="F69" s="41" t="n">
        <f aca="false">IF($B$17=4,$AB69,$B$16)</f>
        <v>3.8</v>
      </c>
      <c r="G69" s="41" t="n">
        <f aca="false">IF($D$17=4,$AM69,$D$16)</f>
        <v>3.5</v>
      </c>
      <c r="H69" s="41" t="n">
        <f aca="false">IF($F$17=4,$AX69,$F$16)</f>
        <v>2.96</v>
      </c>
      <c r="I69" s="41" t="n">
        <f aca="false">IF($H$17=4,$BI69,$H$16)</f>
        <v>2.99</v>
      </c>
      <c r="J69" s="4" t="n">
        <f aca="false">IF($B$19=1,VLOOKUP($A69,SkewTable,HLOOKUP(ROUND(F69-AB69,1),SkewTable,2,FALSE()),FALSE())/100,0)</f>
        <v>0.0451185018386</v>
      </c>
      <c r="K69" s="4" t="e">
        <f aca="false">IF($D$19=1,VLOOKUP($A69,SkewTable,HLOOKUP(ROUND(G69-AM69,1),SkewTable,2,FALSE()),FALSE())/100,0)</f>
        <v>#DIV/0!</v>
      </c>
      <c r="L69" s="4" t="e">
        <f aca="false">IF($F$19=1,VLOOKUP($A69,SkewTable,HLOOKUP(ROUND(H69-AX69,1),SkewTable,2,FALSE()),FALSE())/100,0)</f>
        <v>#DIV/0!</v>
      </c>
      <c r="M69" s="4" t="e">
        <f aca="false">IF($H$19=1,VLOOKUP($A69,SkewTable,HLOOKUP(ROUND(I69-BI69,1),SkewTable,2,FALSE()),FALSE())/100,0)</f>
        <v>#DIV/0!</v>
      </c>
      <c r="N69" s="4" t="n">
        <f aca="false">(($D69+J69)*$E69)+B$18</f>
        <v>0.3176185018386</v>
      </c>
      <c r="O69" s="4" t="e">
        <f aca="false">(($D69+K69)*$E69)+D$18</f>
        <v>#DIV/0!</v>
      </c>
      <c r="P69" s="4" t="e">
        <f aca="false">(($D69+L69)*$E69)+F$18</f>
        <v>#DIV/0!</v>
      </c>
      <c r="Q69" s="4" t="e">
        <f aca="false">(($D69+M69)*$E69)+H$18</f>
        <v>#DIV/0!</v>
      </c>
      <c r="R69" s="136" t="n">
        <f aca="false">IF(B$4=1,VLOOKUP(A69,expiration,2,FALSE()),VLOOKUP(A69,expiration,3,FALSE()))-B$2+$B$1</f>
        <v>-7976</v>
      </c>
      <c r="S69" s="4" t="n">
        <f aca="false">VLOOKUP($A69,STRADDLE,12,FALSE())</f>
        <v>0.067331287249473</v>
      </c>
      <c r="T69" s="1" t="n">
        <v>0</v>
      </c>
      <c r="U69" s="43" t="n">
        <v>0</v>
      </c>
      <c r="V69" s="1" t="n">
        <v>3</v>
      </c>
      <c r="X69" s="43"/>
      <c r="Z69" s="9"/>
      <c r="AA69" s="9" t="n">
        <f aca="false">IF($A69&gt;=AB$25,IF($A69&lt;=AB$26,$T69,0),0)</f>
        <v>0</v>
      </c>
      <c r="AB69" s="9" t="n">
        <f aca="false">IF(T69&gt;0,AD69/AA69,0)</f>
        <v>0</v>
      </c>
      <c r="AC69" s="1" t="n">
        <f aca="false">AA69*($B69+B$13)</f>
        <v>0</v>
      </c>
      <c r="AD69" s="33" t="n">
        <f aca="false">IF(ISNUMBER(((AC69/AA69)+B$15+$C69)*AA69),((AC69/AA69)+B$15+$C69)*AA69,0)</f>
        <v>0</v>
      </c>
      <c r="AE69" s="44" t="n">
        <f aca="false">IF(AA69=0,0,bsd(1,AF$27,AB69,$F69,$R69,$N69,$S69,0.1))</f>
        <v>0</v>
      </c>
      <c r="AF69" s="44" t="n">
        <f aca="false">IF(AA69=0,0,bsd(2,AF$27,AB69,$F69,$R69,$N69,$S69,0.1))</f>
        <v>0</v>
      </c>
      <c r="AG69" s="44" t="n">
        <f aca="false">IF(AA69=0,0,bsd(AF$28,AF$27,AB69,$F69,$R69,$N69,$S69,0.1))</f>
        <v>0</v>
      </c>
      <c r="AH69" s="45" t="n">
        <f aca="false">AA69*AE69</f>
        <v>0</v>
      </c>
      <c r="AI69" s="45" t="n">
        <f aca="false">AA69*AF69</f>
        <v>0</v>
      </c>
      <c r="AJ69" s="45" t="n">
        <f aca="false">AA69*AG69</f>
        <v>0</v>
      </c>
      <c r="AL69" s="9" t="n">
        <f aca="false">IF($A69&gt;=AM$25,IF($A69&lt;=AM$26,$T69,0),0)</f>
        <v>0</v>
      </c>
      <c r="AM69" s="9" t="e">
        <f aca="false">AO69/AL69</f>
        <v>#DIV/0!</v>
      </c>
      <c r="AN69" s="1" t="n">
        <f aca="false">AL69*($B69+D$13)</f>
        <v>0</v>
      </c>
      <c r="AO69" s="33" t="n">
        <f aca="false">IF(ISNUMBER(((AN69/AL69)+D$15+$C69)*AL69),((AN69/AL69)+D$15+$C69)*AL69,0)</f>
        <v>0</v>
      </c>
      <c r="AP69" s="44" t="n">
        <f aca="false">IF(AL69=0,0,bsd(1,AQ$27,AM69,$G69,$R69,$O69,$S69,0.1))</f>
        <v>0</v>
      </c>
      <c r="AQ69" s="44" t="n">
        <f aca="false">IF(AL69=0,0,bsd(2,AQ$27,AM69,$G69,$R69,$O69,$S69,0.1))</f>
        <v>0</v>
      </c>
      <c r="AR69" s="44" t="n">
        <f aca="false">IF(AL69=0,0,bsd(AQ$28,AQ$27,AM69,$G69,$R69,$O69,$S69,0.1))</f>
        <v>0</v>
      </c>
      <c r="AS69" s="45" t="n">
        <f aca="false">AL69*AP69</f>
        <v>0</v>
      </c>
      <c r="AT69" s="45" t="n">
        <f aca="false">AL69*AQ69</f>
        <v>0</v>
      </c>
      <c r="AU69" s="45" t="n">
        <f aca="false">AL69*AR69</f>
        <v>0</v>
      </c>
      <c r="AW69" s="9" t="n">
        <f aca="false">IF($A69&gt;=AX$25,IF($A69&lt;=AX$26,$T69,0),0)</f>
        <v>0</v>
      </c>
      <c r="AX69" s="9" t="e">
        <f aca="false">AZ69/AW69</f>
        <v>#DIV/0!</v>
      </c>
      <c r="AY69" s="1" t="n">
        <f aca="false">AW69*($B69+F$13)</f>
        <v>0</v>
      </c>
      <c r="AZ69" s="33" t="n">
        <f aca="false">IF(ISNUMBER(((AY69/AW69)+F$15+$C69)*AW69),((AY69/AW69)+F$15+$C69)*AW69,0)</f>
        <v>0</v>
      </c>
      <c r="BA69" s="44" t="n">
        <f aca="false">IF(AW69=0,0,bsd(1,BB$27,AX69,$H69,$R69,$P69,$S69,0.1))</f>
        <v>0</v>
      </c>
      <c r="BB69" s="44" t="n">
        <f aca="false">IF(AW69=0,0,bsd(2,BB$27,AX69,$H69,$R69,$P69,$S69,0.1))</f>
        <v>0</v>
      </c>
      <c r="BC69" s="44" t="n">
        <f aca="false">IF(AW69=0,0,bsd(BB$28,BB$27,AX69,$H69,$R69,$P69,$S69,0.1))</f>
        <v>0</v>
      </c>
      <c r="BD69" s="45" t="n">
        <f aca="false">AW69*BA69</f>
        <v>0</v>
      </c>
      <c r="BE69" s="45" t="n">
        <f aca="false">AW69*BB69</f>
        <v>0</v>
      </c>
      <c r="BF69" s="45" t="n">
        <f aca="false">AW69*BC69</f>
        <v>0</v>
      </c>
      <c r="BH69" s="9" t="n">
        <f aca="false">IF($A69&gt;=BI$25,IF($A69&lt;=BI$26,$T69,0),0)</f>
        <v>0</v>
      </c>
      <c r="BI69" s="9" t="e">
        <f aca="false">BK69/BH69</f>
        <v>#DIV/0!</v>
      </c>
      <c r="BJ69" s="1" t="n">
        <f aca="false">BH69*($B69+H$13)</f>
        <v>0</v>
      </c>
      <c r="BK69" s="33" t="n">
        <f aca="false">IF(ISNUMBER(((BJ69/BH69)+H$15+$C69)*BH69),((BJ69/BH69)+H$15+$C69)*BH69,0)</f>
        <v>0</v>
      </c>
      <c r="BL69" s="44" t="n">
        <f aca="false">IF(BH69=0,0,bsd(1,BM$27,BI69,$I69,$R69,$Q69,$S69,0.1))</f>
        <v>0</v>
      </c>
      <c r="BM69" s="44" t="n">
        <f aca="false">IF(BH69=0,0,bsd(2,BM$27,BI69,$I69,$R69,$Q69,$S69,0.1))</f>
        <v>0</v>
      </c>
      <c r="BN69" s="44" t="n">
        <f aca="false">IF(BH69=0,0,bsd(BM$28,BM$27,BI69,$I69,$R69,$Q69,$S69,0.1))</f>
        <v>0</v>
      </c>
      <c r="BO69" s="45" t="n">
        <f aca="false">BH69*BL69</f>
        <v>0</v>
      </c>
      <c r="BP69" s="45" t="n">
        <f aca="false">BH69*BM69</f>
        <v>0</v>
      </c>
      <c r="BQ69" s="45" t="n">
        <f aca="false">BH69*BN69</f>
        <v>0</v>
      </c>
    </row>
    <row r="70" customFormat="false" ht="12.75" hidden="false" customHeight="false" outlineLevel="0" collapsed="false">
      <c r="A70" s="48" t="n">
        <f aca="false">DATE(YEAR(A69),MONTH(A69)+1,1)</f>
        <v>37987</v>
      </c>
      <c r="B70" s="40" t="n">
        <f aca="false">VLOOKUP(A70,STRADDLE,5,FALSE())</f>
        <v>3.664</v>
      </c>
      <c r="C70" s="40" t="n">
        <v>0</v>
      </c>
      <c r="D70" s="4" t="n">
        <f aca="false">VLOOKUP(A70,STRADDLE,8,FALSE())</f>
        <v>0.29</v>
      </c>
      <c r="E70" s="131" t="n">
        <f aca="false">IF(ISNUMBER(VLOOKUP(A70,VOLCURVES,HLOOKUP(B$5,VOLCURVES,2,FALSE()),FALSE())),VLOOKUP(A70,VOLCURVES,HLOOKUP(B$5,VOLCURVES,2,FALSE()),FALSE()),1)</f>
        <v>1</v>
      </c>
      <c r="F70" s="41" t="n">
        <f aca="false">IF($B$17=4,$AB70,$B$16)</f>
        <v>3.8</v>
      </c>
      <c r="G70" s="41" t="n">
        <f aca="false">IF($D$17=4,$AM70,$D$16)</f>
        <v>3.5</v>
      </c>
      <c r="H70" s="41" t="n">
        <f aca="false">IF($F$17=4,$AX70,$F$16)</f>
        <v>2.96</v>
      </c>
      <c r="I70" s="41" t="n">
        <f aca="false">IF($H$17=4,$BI70,$H$16)</f>
        <v>2.99</v>
      </c>
      <c r="J70" s="4" t="n">
        <f aca="false">IF($B$19=1,VLOOKUP($A70,SkewTable,HLOOKUP(ROUND(F70-AB70,1),SkewTable,2,FALSE()),FALSE())/100,0)</f>
        <v>0.0451185018386</v>
      </c>
      <c r="K70" s="4" t="e">
        <f aca="false">IF($D$19=1,VLOOKUP($A70,SkewTable,HLOOKUP(ROUND(G70-AM70,1),SkewTable,2,FALSE()),FALSE())/100,0)</f>
        <v>#DIV/0!</v>
      </c>
      <c r="L70" s="4" t="e">
        <f aca="false">IF($F$19=1,VLOOKUP($A70,SkewTable,HLOOKUP(ROUND(H70-AX70,1),SkewTable,2,FALSE()),FALSE())/100,0)</f>
        <v>#DIV/0!</v>
      </c>
      <c r="M70" s="4" t="e">
        <f aca="false">IF($H$19=1,VLOOKUP($A70,SkewTable,HLOOKUP(ROUND(I70-BI70,1),SkewTable,2,FALSE()),FALSE())/100,0)</f>
        <v>#DIV/0!</v>
      </c>
      <c r="N70" s="4" t="n">
        <f aca="false">(($D70+J70)*$E70)+B$18</f>
        <v>0.3351185018386</v>
      </c>
      <c r="O70" s="4" t="e">
        <f aca="false">(($D70+K70)*$E70)+D$18</f>
        <v>#DIV/0!</v>
      </c>
      <c r="P70" s="4" t="e">
        <f aca="false">(($D70+L70)*$E70)+F$18</f>
        <v>#DIV/0!</v>
      </c>
      <c r="Q70" s="4" t="e">
        <f aca="false">(($D70+M70)*$E70)+H$18</f>
        <v>#DIV/0!</v>
      </c>
      <c r="R70" s="136" t="n">
        <f aca="false">IF(B$4=1,VLOOKUP(A70,expiration,2,FALSE()),VLOOKUP(A70,expiration,3,FALSE()))-B$2+$B$1</f>
        <v>-7942</v>
      </c>
      <c r="S70" s="4" t="n">
        <f aca="false">VLOOKUP($A70,STRADDLE,12,FALSE())</f>
        <v>0.067357274878613</v>
      </c>
      <c r="T70" s="1" t="n">
        <v>0</v>
      </c>
      <c r="U70" s="43" t="n">
        <v>0</v>
      </c>
      <c r="V70" s="1" t="n">
        <v>3</v>
      </c>
      <c r="X70" s="43"/>
      <c r="Z70" s="9"/>
      <c r="AA70" s="9" t="n">
        <f aca="false">IF($A70&gt;=AB$25,IF($A70&lt;=AB$26,$T70,0),0)</f>
        <v>0</v>
      </c>
      <c r="AB70" s="9" t="n">
        <f aca="false">IF(T70&gt;0,AD70/AA70,0)</f>
        <v>0</v>
      </c>
      <c r="AC70" s="1" t="n">
        <f aca="false">AA70*($B70+B$13)</f>
        <v>0</v>
      </c>
      <c r="AD70" s="33" t="n">
        <f aca="false">IF(ISNUMBER(((AC70/AA70)+B$15+$C70)*AA70),((AC70/AA70)+B$15+$C70)*AA70,0)</f>
        <v>0</v>
      </c>
      <c r="AE70" s="44" t="n">
        <f aca="false">IF(AA70=0,0,bsd(1,AF$27,AB70,$F70,$R70,$N70,$S70,0.1))</f>
        <v>0</v>
      </c>
      <c r="AF70" s="44" t="n">
        <f aca="false">IF(AA70=0,0,bsd(2,AF$27,AB70,$F70,$R70,$N70,$S70,0.1))</f>
        <v>0</v>
      </c>
      <c r="AG70" s="44" t="n">
        <f aca="false">IF(AA70=0,0,bsd(AF$28,AF$27,AB70,$F70,$R70,$N70,$S70,0.1))</f>
        <v>0</v>
      </c>
      <c r="AH70" s="45" t="n">
        <f aca="false">AA70*AE70</f>
        <v>0</v>
      </c>
      <c r="AI70" s="45" t="n">
        <f aca="false">AA70*AF70</f>
        <v>0</v>
      </c>
      <c r="AJ70" s="45" t="n">
        <f aca="false">AA70*AG70</f>
        <v>0</v>
      </c>
      <c r="AL70" s="9" t="n">
        <f aca="false">IF($A70&gt;=AM$25,IF($A70&lt;=AM$26,$T70,0),0)</f>
        <v>0</v>
      </c>
      <c r="AM70" s="9" t="e">
        <f aca="false">AO70/AL70</f>
        <v>#DIV/0!</v>
      </c>
      <c r="AN70" s="1" t="n">
        <f aca="false">AL70*($B70+D$13)</f>
        <v>0</v>
      </c>
      <c r="AO70" s="33" t="n">
        <f aca="false">IF(ISNUMBER(((AN70/AL70)+D$15+$C70)*AL70),((AN70/AL70)+D$15+$C70)*AL70,0)</f>
        <v>0</v>
      </c>
      <c r="AP70" s="44" t="n">
        <f aca="false">IF(AL70=0,0,bsd(1,AQ$27,AM70,$G70,$R70,$O70,$S70,0.1))</f>
        <v>0</v>
      </c>
      <c r="AQ70" s="44" t="n">
        <f aca="false">IF(AL70=0,0,bsd(2,AQ$27,AM70,$G70,$R70,$O70,$S70,0.1))</f>
        <v>0</v>
      </c>
      <c r="AR70" s="44" t="n">
        <f aca="false">IF(AL70=0,0,bsd(AQ$28,AQ$27,AM70,$G70,$R70,$O70,$S70,0.1))</f>
        <v>0</v>
      </c>
      <c r="AS70" s="45" t="n">
        <f aca="false">AL70*AP70</f>
        <v>0</v>
      </c>
      <c r="AT70" s="45" t="n">
        <f aca="false">AL70*AQ70</f>
        <v>0</v>
      </c>
      <c r="AU70" s="45" t="n">
        <f aca="false">AL70*AR70</f>
        <v>0</v>
      </c>
      <c r="AW70" s="9" t="n">
        <f aca="false">IF($A70&gt;=AX$25,IF($A70&lt;=AX$26,$T70,0),0)</f>
        <v>0</v>
      </c>
      <c r="AX70" s="9" t="e">
        <f aca="false">AZ70/AW70</f>
        <v>#DIV/0!</v>
      </c>
      <c r="AY70" s="1" t="n">
        <f aca="false">AW70*($B70+F$13)</f>
        <v>0</v>
      </c>
      <c r="AZ70" s="33" t="n">
        <f aca="false">IF(ISNUMBER(((AY70/AW70)+F$15+$C70)*AW70),((AY70/AW70)+F$15+$C70)*AW70,0)</f>
        <v>0</v>
      </c>
      <c r="BA70" s="44" t="n">
        <f aca="false">IF(AW70=0,0,bsd(1,BB$27,AX70,$H70,$R70,$P70,$S70,0.1))</f>
        <v>0</v>
      </c>
      <c r="BB70" s="44" t="n">
        <f aca="false">IF(AW70=0,0,bsd(2,BB$27,AX70,$H70,$R70,$P70,$S70,0.1))</f>
        <v>0</v>
      </c>
      <c r="BC70" s="44" t="n">
        <f aca="false">IF(AW70=0,0,bsd(BB$28,BB$27,AX70,$H70,$R70,$P70,$S70,0.1))</f>
        <v>0</v>
      </c>
      <c r="BD70" s="45" t="n">
        <f aca="false">AW70*BA70</f>
        <v>0</v>
      </c>
      <c r="BE70" s="45" t="n">
        <f aca="false">AW70*BB70</f>
        <v>0</v>
      </c>
      <c r="BF70" s="45" t="n">
        <f aca="false">AW70*BC70</f>
        <v>0</v>
      </c>
      <c r="BH70" s="9" t="n">
        <f aca="false">IF($A70&gt;=BI$25,IF($A70&lt;=BI$26,$T70,0),0)</f>
        <v>0</v>
      </c>
      <c r="BI70" s="9" t="e">
        <f aca="false">BK70/BH70</f>
        <v>#DIV/0!</v>
      </c>
      <c r="BJ70" s="1" t="n">
        <f aca="false">BH70*($B70+H$13)</f>
        <v>0</v>
      </c>
      <c r="BK70" s="33" t="n">
        <f aca="false">IF(ISNUMBER(((BJ70/BH70)+H$15+$C70)*BH70),((BJ70/BH70)+H$15+$C70)*BH70,0)</f>
        <v>0</v>
      </c>
      <c r="BL70" s="44" t="n">
        <f aca="false">IF(BH70=0,0,bsd(1,BM$27,BI70,$I70,$R70,$Q70,$S70,0.1))</f>
        <v>0</v>
      </c>
      <c r="BM70" s="44" t="n">
        <f aca="false">IF(BH70=0,0,bsd(2,BM$27,BI70,$I70,$R70,$Q70,$S70,0.1))</f>
        <v>0</v>
      </c>
      <c r="BN70" s="44" t="n">
        <f aca="false">IF(BH70=0,0,bsd(BM$28,BM$27,BI70,$I70,$R70,$Q70,$S70,0.1))</f>
        <v>0</v>
      </c>
      <c r="BO70" s="45" t="n">
        <f aca="false">BH70*BL70</f>
        <v>0</v>
      </c>
      <c r="BP70" s="45" t="n">
        <f aca="false">BH70*BM70</f>
        <v>0</v>
      </c>
      <c r="BQ70" s="45" t="n">
        <f aca="false">BH70*BN70</f>
        <v>0</v>
      </c>
    </row>
    <row r="71" customFormat="false" ht="12.75" hidden="false" customHeight="false" outlineLevel="0" collapsed="false">
      <c r="A71" s="48" t="n">
        <f aca="false">DATE(YEAR(A70),MONTH(A70)+1,1)</f>
        <v>38018</v>
      </c>
      <c r="B71" s="40" t="n">
        <f aca="false">VLOOKUP(A71,STRADDLE,5,FALSE())</f>
        <v>3.506</v>
      </c>
      <c r="C71" s="40" t="n">
        <v>0</v>
      </c>
      <c r="D71" s="4" t="n">
        <f aca="false">VLOOKUP(A71,STRADDLE,8,FALSE())</f>
        <v>0.2775</v>
      </c>
      <c r="E71" s="131" t="n">
        <f aca="false">IF(ISNUMBER(VLOOKUP(A71,VOLCURVES,HLOOKUP(B$5,VOLCURVES,2,FALSE()),FALSE())),VLOOKUP(A71,VOLCURVES,HLOOKUP(B$5,VOLCURVES,2,FALSE()),FALSE()),1)</f>
        <v>1</v>
      </c>
      <c r="F71" s="41" t="n">
        <f aca="false">IF($B$17=4,$AB71,$B$16)</f>
        <v>3.8</v>
      </c>
      <c r="G71" s="41" t="n">
        <f aca="false">IF($D$17=4,$AM71,$D$16)</f>
        <v>3.5</v>
      </c>
      <c r="H71" s="41" t="n">
        <f aca="false">IF($F$17=4,$AX71,$F$16)</f>
        <v>2.96</v>
      </c>
      <c r="I71" s="41" t="n">
        <f aca="false">IF($H$17=4,$BI71,$H$16)</f>
        <v>2.99</v>
      </c>
      <c r="J71" s="4" t="n">
        <f aca="false">IF($B$19=1,VLOOKUP($A71,SkewTable,HLOOKUP(ROUND(F71-AB71,1),SkewTable,2,FALSE()),FALSE())/100,0)</f>
        <v>0.0451185018386</v>
      </c>
      <c r="K71" s="4" t="e">
        <f aca="false">IF($D$19=1,VLOOKUP($A71,SkewTable,HLOOKUP(ROUND(G71-AM71,1),SkewTable,2,FALSE()),FALSE())/100,0)</f>
        <v>#DIV/0!</v>
      </c>
      <c r="L71" s="4" t="e">
        <f aca="false">IF($F$19=1,VLOOKUP($A71,SkewTable,HLOOKUP(ROUND(H71-AX71,1),SkewTable,2,FALSE()),FALSE())/100,0)</f>
        <v>#DIV/0!</v>
      </c>
      <c r="M71" s="4" t="e">
        <f aca="false">IF($H$19=1,VLOOKUP($A71,SkewTable,HLOOKUP(ROUND(I71-BI71,1),SkewTable,2,FALSE()),FALSE())/100,0)</f>
        <v>#DIV/0!</v>
      </c>
      <c r="N71" s="4" t="n">
        <f aca="false">(($D71+J71)*$E71)+B$18</f>
        <v>0.3226185018386</v>
      </c>
      <c r="O71" s="4" t="e">
        <f aca="false">(($D71+K71)*$E71)+D$18</f>
        <v>#DIV/0!</v>
      </c>
      <c r="P71" s="4" t="e">
        <f aca="false">(($D71+L71)*$E71)+F$18</f>
        <v>#DIV/0!</v>
      </c>
      <c r="Q71" s="4" t="e">
        <f aca="false">(($D71+M71)*$E71)+H$18</f>
        <v>#DIV/0!</v>
      </c>
      <c r="R71" s="136" t="n">
        <f aca="false">IF(B$4=1,VLOOKUP(A71,expiration,2,FALSE()),VLOOKUP(A71,expiration,3,FALSE()))-B$2+$B$1</f>
        <v>-7912</v>
      </c>
      <c r="S71" s="4" t="n">
        <f aca="false">VLOOKUP($A71,STRADDLE,12,FALSE())</f>
        <v>0.067392584002109</v>
      </c>
      <c r="T71" s="1" t="n">
        <v>0</v>
      </c>
      <c r="U71" s="43" t="n">
        <v>0</v>
      </c>
      <c r="V71" s="1" t="n">
        <v>4</v>
      </c>
      <c r="X71" s="43"/>
      <c r="Z71" s="9"/>
      <c r="AA71" s="9" t="n">
        <f aca="false">IF($A71&gt;=AB$25,IF($A71&lt;=AB$26,$T71,0),0)</f>
        <v>0</v>
      </c>
      <c r="AB71" s="9" t="n">
        <f aca="false">IF(T71&gt;0,AD71/AA71,0)</f>
        <v>0</v>
      </c>
      <c r="AC71" s="1" t="n">
        <f aca="false">AA71*($B71+B$13)</f>
        <v>0</v>
      </c>
      <c r="AD71" s="33" t="n">
        <f aca="false">IF(ISNUMBER(((AC71/AA71)+B$15+$C71)*AA71),((AC71/AA71)+B$15+$C71)*AA71,0)</f>
        <v>0</v>
      </c>
      <c r="AE71" s="44" t="n">
        <f aca="false">IF(AA71=0,0,bsd(1,AF$27,AB71,$F71,$R71,$N71,$S71,0.1))</f>
        <v>0</v>
      </c>
      <c r="AF71" s="44" t="n">
        <f aca="false">IF(AA71=0,0,bsd(2,AF$27,AB71,$F71,$R71,$N71,$S71,0.1))</f>
        <v>0</v>
      </c>
      <c r="AG71" s="44" t="n">
        <f aca="false">IF(AA71=0,0,bsd(AF$28,AF$27,AB71,$F71,$R71,$N71,$S71,0.1))</f>
        <v>0</v>
      </c>
      <c r="AH71" s="45" t="n">
        <f aca="false">AA71*AE71</f>
        <v>0</v>
      </c>
      <c r="AI71" s="45" t="n">
        <f aca="false">AA71*AF71</f>
        <v>0</v>
      </c>
      <c r="AJ71" s="45" t="n">
        <f aca="false">AA71*AG71</f>
        <v>0</v>
      </c>
      <c r="AL71" s="9" t="n">
        <f aca="false">IF($A71&gt;=AM$25,IF($A71&lt;=AM$26,$T71,0),0)</f>
        <v>0</v>
      </c>
      <c r="AM71" s="9" t="e">
        <f aca="false">AO71/AL71</f>
        <v>#DIV/0!</v>
      </c>
      <c r="AN71" s="1" t="n">
        <f aca="false">AL71*($B71+D$13)</f>
        <v>0</v>
      </c>
      <c r="AO71" s="33" t="n">
        <f aca="false">IF(ISNUMBER(((AN71/AL71)+D$15+$C71)*AL71),((AN71/AL71)+D$15+$C71)*AL71,0)</f>
        <v>0</v>
      </c>
      <c r="AP71" s="44" t="n">
        <f aca="false">IF(AL71=0,0,bsd(1,AQ$27,AM71,$G71,$R71,$O71,$S71,0.1))</f>
        <v>0</v>
      </c>
      <c r="AQ71" s="44" t="n">
        <f aca="false">IF(AL71=0,0,bsd(2,AQ$27,AM71,$G71,$R71,$O71,$S71,0.1))</f>
        <v>0</v>
      </c>
      <c r="AR71" s="44" t="n">
        <f aca="false">IF(AL71=0,0,bsd(AQ$28,AQ$27,AM71,$G71,$R71,$O71,$S71,0.1))</f>
        <v>0</v>
      </c>
      <c r="AS71" s="45" t="n">
        <f aca="false">AL71*AP71</f>
        <v>0</v>
      </c>
      <c r="AT71" s="45" t="n">
        <f aca="false">AL71*AQ71</f>
        <v>0</v>
      </c>
      <c r="AU71" s="45" t="n">
        <f aca="false">AL71*AR71</f>
        <v>0</v>
      </c>
      <c r="AW71" s="9" t="n">
        <f aca="false">IF($A71&gt;=AX$25,IF($A71&lt;=AX$26,$T71,0),0)</f>
        <v>0</v>
      </c>
      <c r="AX71" s="9" t="e">
        <f aca="false">AZ71/AW71</f>
        <v>#DIV/0!</v>
      </c>
      <c r="AY71" s="1" t="n">
        <f aca="false">AW71*($B71+F$13)</f>
        <v>0</v>
      </c>
      <c r="AZ71" s="33" t="n">
        <f aca="false">IF(ISNUMBER(((AY71/AW71)+F$15+$C71)*AW71),((AY71/AW71)+F$15+$C71)*AW71,0)</f>
        <v>0</v>
      </c>
      <c r="BA71" s="44" t="n">
        <f aca="false">IF(AW71=0,0,bsd(1,BB$27,AX71,$H71,$R71,$P71,$S71,0.1))</f>
        <v>0</v>
      </c>
      <c r="BB71" s="44" t="n">
        <f aca="false">IF(AW71=0,0,bsd(2,BB$27,AX71,$H71,$R71,$P71,$S71,0.1))</f>
        <v>0</v>
      </c>
      <c r="BC71" s="44" t="n">
        <f aca="false">IF(AW71=0,0,bsd(BB$28,BB$27,AX71,$H71,$R71,$P71,$S71,0.1))</f>
        <v>0</v>
      </c>
      <c r="BD71" s="45" t="n">
        <f aca="false">AW71*BA71</f>
        <v>0</v>
      </c>
      <c r="BE71" s="45" t="n">
        <f aca="false">AW71*BB71</f>
        <v>0</v>
      </c>
      <c r="BF71" s="45" t="n">
        <f aca="false">AW71*BC71</f>
        <v>0</v>
      </c>
      <c r="BH71" s="9" t="n">
        <f aca="false">IF($A71&gt;=BI$25,IF($A71&lt;=BI$26,$T71,0),0)</f>
        <v>0</v>
      </c>
      <c r="BI71" s="9" t="e">
        <f aca="false">BK71/BH71</f>
        <v>#DIV/0!</v>
      </c>
      <c r="BJ71" s="1" t="n">
        <f aca="false">BH71*($B71+H$13)</f>
        <v>0</v>
      </c>
      <c r="BK71" s="33" t="n">
        <f aca="false">IF(ISNUMBER(((BJ71/BH71)+H$15+$C71)*BH71),((BJ71/BH71)+H$15+$C71)*BH71,0)</f>
        <v>0</v>
      </c>
      <c r="BL71" s="44" t="n">
        <f aca="false">IF(BH71=0,0,bsd(1,BM$27,BI71,$I71,$R71,$Q71,$S71,0.1))</f>
        <v>0</v>
      </c>
      <c r="BM71" s="44" t="n">
        <f aca="false">IF(BH71=0,0,bsd(2,BM$27,BI71,$I71,$R71,$Q71,$S71,0.1))</f>
        <v>0</v>
      </c>
      <c r="BN71" s="44" t="n">
        <f aca="false">IF(BH71=0,0,bsd(BM$28,BM$27,BI71,$I71,$R71,$Q71,$S71,0.1))</f>
        <v>0</v>
      </c>
      <c r="BO71" s="45" t="n">
        <f aca="false">BH71*BL71</f>
        <v>0</v>
      </c>
      <c r="BP71" s="45" t="n">
        <f aca="false">BH71*BM71</f>
        <v>0</v>
      </c>
      <c r="BQ71" s="45" t="n">
        <f aca="false">BH71*BN71</f>
        <v>0</v>
      </c>
    </row>
    <row r="72" customFormat="false" ht="12.75" hidden="false" customHeight="false" outlineLevel="0" collapsed="false">
      <c r="A72" s="48" t="n">
        <f aca="false">DATE(YEAR(A71),MONTH(A71)+1,1)</f>
        <v>38047</v>
      </c>
      <c r="B72" s="40" t="n">
        <f aca="false">VLOOKUP(A72,STRADDLE,5,FALSE())</f>
        <v>3.326</v>
      </c>
      <c r="C72" s="40" t="n">
        <v>0</v>
      </c>
      <c r="D72" s="4" t="n">
        <f aca="false">VLOOKUP(A72,STRADDLE,8,FALSE())</f>
        <v>0.2775</v>
      </c>
      <c r="E72" s="131" t="n">
        <f aca="false">IF(ISNUMBER(VLOOKUP(A72,VOLCURVES,HLOOKUP(B$5,VOLCURVES,2,FALSE()),FALSE())),VLOOKUP(A72,VOLCURVES,HLOOKUP(B$5,VOLCURVES,2,FALSE()),FALSE()),1)</f>
        <v>1</v>
      </c>
      <c r="F72" s="41" t="n">
        <f aca="false">IF($B$17=4,$AB72,$B$16)</f>
        <v>3.8</v>
      </c>
      <c r="G72" s="41" t="n">
        <f aca="false">IF($D$17=4,$AM72,$D$16)</f>
        <v>3.5</v>
      </c>
      <c r="H72" s="41" t="n">
        <f aca="false">IF($F$17=4,$AX72,$F$16)</f>
        <v>2.96</v>
      </c>
      <c r="I72" s="41" t="n">
        <f aca="false">IF($H$17=4,$BI72,$H$16)</f>
        <v>2.99</v>
      </c>
      <c r="J72" s="4" t="n">
        <f aca="false">IF($B$19=1,VLOOKUP($A72,SkewTable,HLOOKUP(ROUND(F72-AB72,1),SkewTable,2,FALSE()),FALSE())/100,0)</f>
        <v>0.0451185018386</v>
      </c>
      <c r="K72" s="4" t="e">
        <f aca="false">IF($D$19=1,VLOOKUP($A72,SkewTable,HLOOKUP(ROUND(G72-AM72,1),SkewTable,2,FALSE()),FALSE())/100,0)</f>
        <v>#DIV/0!</v>
      </c>
      <c r="L72" s="4" t="e">
        <f aca="false">IF($F$19=1,VLOOKUP($A72,SkewTable,HLOOKUP(ROUND(H72-AX72,1),SkewTable,2,FALSE()),FALSE())/100,0)</f>
        <v>#DIV/0!</v>
      </c>
      <c r="M72" s="4" t="e">
        <f aca="false">IF($H$19=1,VLOOKUP($A72,SkewTable,HLOOKUP(ROUND(I72-BI72,1),SkewTable,2,FALSE()),FALSE())/100,0)</f>
        <v>#DIV/0!</v>
      </c>
      <c r="N72" s="4" t="n">
        <f aca="false">(($D72+J72)*$E72)+B$18</f>
        <v>0.3226185018386</v>
      </c>
      <c r="O72" s="4" t="e">
        <f aca="false">(($D72+K72)*$E72)+D$18</f>
        <v>#DIV/0!</v>
      </c>
      <c r="P72" s="4" t="e">
        <f aca="false">(($D72+L72)*$E72)+F$18</f>
        <v>#DIV/0!</v>
      </c>
      <c r="Q72" s="4" t="e">
        <f aca="false">(($D72+M72)*$E72)+H$18</f>
        <v>#DIV/0!</v>
      </c>
      <c r="R72" s="136" t="n">
        <f aca="false">IF(B$4=1,VLOOKUP(A72,expiration,2,FALSE()),VLOOKUP(A72,expiration,3,FALSE()))-B$2+$B$1</f>
        <v>-7884</v>
      </c>
      <c r="S72" s="4" t="n">
        <f aca="false">VLOOKUP($A72,STRADDLE,12,FALSE())</f>
        <v>0.067425615118011</v>
      </c>
      <c r="T72" s="1" t="n">
        <v>0</v>
      </c>
      <c r="U72" s="43" t="n">
        <v>0</v>
      </c>
      <c r="V72" s="1" t="n">
        <v>4</v>
      </c>
      <c r="X72" s="43"/>
      <c r="Z72" s="9"/>
      <c r="AA72" s="9" t="n">
        <f aca="false">IF($A72&gt;=AB$25,IF($A72&lt;=AB$26,$T72,0),0)</f>
        <v>0</v>
      </c>
      <c r="AB72" s="9" t="n">
        <f aca="false">IF(T72&gt;0,AD72/AA72,0)</f>
        <v>0</v>
      </c>
      <c r="AC72" s="1" t="n">
        <f aca="false">AA72*($B72+B$13)</f>
        <v>0</v>
      </c>
      <c r="AD72" s="33" t="n">
        <f aca="false">IF(ISNUMBER(((AC72/AA72)+B$15+$C72)*AA72),((AC72/AA72)+B$15+$C72)*AA72,0)</f>
        <v>0</v>
      </c>
      <c r="AE72" s="44" t="n">
        <f aca="false">IF(AA72=0,0,bsd(1,AF$27,AB72,$F72,$R72,$N72,$S72,0.1))</f>
        <v>0</v>
      </c>
      <c r="AF72" s="44" t="n">
        <f aca="false">IF(AA72=0,0,bsd(2,AF$27,AB72,$F72,$R72,$N72,$S72,0.1))</f>
        <v>0</v>
      </c>
      <c r="AG72" s="44" t="n">
        <f aca="false">IF(AA72=0,0,bsd(AF$28,AF$27,AB72,$F72,$R72,$N72,$S72,0.1))</f>
        <v>0</v>
      </c>
      <c r="AH72" s="45" t="n">
        <f aca="false">AA72*AE72</f>
        <v>0</v>
      </c>
      <c r="AI72" s="45" t="n">
        <f aca="false">AA72*AF72</f>
        <v>0</v>
      </c>
      <c r="AJ72" s="45" t="n">
        <f aca="false">AA72*AG72</f>
        <v>0</v>
      </c>
      <c r="AL72" s="9" t="n">
        <f aca="false">IF($A72&gt;=AM$25,IF($A72&lt;=AM$26,$T72,0),0)</f>
        <v>0</v>
      </c>
      <c r="AM72" s="9" t="e">
        <f aca="false">AO72/AL72</f>
        <v>#DIV/0!</v>
      </c>
      <c r="AN72" s="1" t="n">
        <f aca="false">AL72*($B72+D$13)</f>
        <v>0</v>
      </c>
      <c r="AO72" s="33" t="n">
        <f aca="false">IF(ISNUMBER(((AN72/AL72)+D$15+$C72)*AL72),((AN72/AL72)+D$15+$C72)*AL72,0)</f>
        <v>0</v>
      </c>
      <c r="AP72" s="44" t="n">
        <f aca="false">IF(AL72=0,0,bsd(1,AQ$27,AM72,$G72,$R72,$O72,$S72,0.1))</f>
        <v>0</v>
      </c>
      <c r="AQ72" s="44" t="n">
        <f aca="false">IF(AL72=0,0,bsd(2,AQ$27,AM72,$G72,$R72,$O72,$S72,0.1))</f>
        <v>0</v>
      </c>
      <c r="AR72" s="44" t="n">
        <f aca="false">IF(AL72=0,0,bsd(AQ$28,AQ$27,AM72,$G72,$R72,$O72,$S72,0.1))</f>
        <v>0</v>
      </c>
      <c r="AS72" s="45" t="n">
        <f aca="false">AL72*AP72</f>
        <v>0</v>
      </c>
      <c r="AT72" s="45" t="n">
        <f aca="false">AL72*AQ72</f>
        <v>0</v>
      </c>
      <c r="AU72" s="45" t="n">
        <f aca="false">AL72*AR72</f>
        <v>0</v>
      </c>
      <c r="AW72" s="9" t="n">
        <f aca="false">IF($A72&gt;=AX$25,IF($A72&lt;=AX$26,$T72,0),0)</f>
        <v>0</v>
      </c>
      <c r="AX72" s="9" t="e">
        <f aca="false">AZ72/AW72</f>
        <v>#DIV/0!</v>
      </c>
      <c r="AY72" s="1" t="n">
        <f aca="false">AW72*($B72+F$13)</f>
        <v>0</v>
      </c>
      <c r="AZ72" s="33" t="n">
        <f aca="false">IF(ISNUMBER(((AY72/AW72)+F$15+$C72)*AW72),((AY72/AW72)+F$15+$C72)*AW72,0)</f>
        <v>0</v>
      </c>
      <c r="BA72" s="44" t="n">
        <f aca="false">IF(AW72=0,0,bsd(1,BB$27,AX72,$H72,$R72,$P72,$S72,0.1))</f>
        <v>0</v>
      </c>
      <c r="BB72" s="44" t="n">
        <f aca="false">IF(AW72=0,0,bsd(2,BB$27,AX72,$H72,$R72,$P72,$S72,0.1))</f>
        <v>0</v>
      </c>
      <c r="BC72" s="44" t="n">
        <f aca="false">IF(AW72=0,0,bsd(BB$28,BB$27,AX72,$H72,$R72,$P72,$S72,0.1))</f>
        <v>0</v>
      </c>
      <c r="BD72" s="45" t="n">
        <f aca="false">AW72*BA72</f>
        <v>0</v>
      </c>
      <c r="BE72" s="45" t="n">
        <f aca="false">AW72*BB72</f>
        <v>0</v>
      </c>
      <c r="BF72" s="45" t="n">
        <f aca="false">AW72*BC72</f>
        <v>0</v>
      </c>
      <c r="BH72" s="9" t="n">
        <f aca="false">IF($A72&gt;=BI$25,IF($A72&lt;=BI$26,$T72,0),0)</f>
        <v>0</v>
      </c>
      <c r="BI72" s="9" t="e">
        <f aca="false">BK72/BH72</f>
        <v>#DIV/0!</v>
      </c>
      <c r="BJ72" s="1" t="n">
        <f aca="false">BH72*($B72+H$13)</f>
        <v>0</v>
      </c>
      <c r="BK72" s="33" t="n">
        <f aca="false">IF(ISNUMBER(((BJ72/BH72)+H$15+$C72)*BH72),((BJ72/BH72)+H$15+$C72)*BH72,0)</f>
        <v>0</v>
      </c>
      <c r="BL72" s="44" t="n">
        <f aca="false">IF(BH72=0,0,bsd(1,BM$27,BI72,$I72,$R72,$Q72,$S72,0.1))</f>
        <v>0</v>
      </c>
      <c r="BM72" s="44" t="n">
        <f aca="false">IF(BH72=0,0,bsd(2,BM$27,BI72,$I72,$R72,$Q72,$S72,0.1))</f>
        <v>0</v>
      </c>
      <c r="BN72" s="44" t="n">
        <f aca="false">IF(BH72=0,0,bsd(BM$28,BM$27,BI72,$I72,$R72,$Q72,$S72,0.1))</f>
        <v>0</v>
      </c>
      <c r="BO72" s="45" t="n">
        <f aca="false">BH72*BL72</f>
        <v>0</v>
      </c>
      <c r="BP72" s="45" t="n">
        <f aca="false">BH72*BM72</f>
        <v>0</v>
      </c>
      <c r="BQ72" s="45" t="n">
        <f aca="false">BH72*BN72</f>
        <v>0</v>
      </c>
    </row>
    <row r="73" customFormat="false" ht="12.75" hidden="false" customHeight="false" outlineLevel="0" collapsed="false">
      <c r="A73" s="48" t="n">
        <f aca="false">DATE(YEAR(A72),MONTH(A72)+1,1)</f>
        <v>38078</v>
      </c>
      <c r="B73" s="40" t="n">
        <f aca="false">VLOOKUP(A73,STRADDLE,5,FALSE())</f>
        <v>3.139</v>
      </c>
      <c r="C73" s="40" t="n">
        <v>0</v>
      </c>
      <c r="D73" s="4" t="n">
        <f aca="false">VLOOKUP(A73,STRADDLE,8,FALSE())</f>
        <v>0.2575</v>
      </c>
      <c r="E73" s="131" t="n">
        <f aca="false">IF(ISNUMBER(VLOOKUP(A73,VOLCURVES,HLOOKUP(B$5,VOLCURVES,2,FALSE()),FALSE())),VLOOKUP(A73,VOLCURVES,HLOOKUP(B$5,VOLCURVES,2,FALSE()),FALSE()),1)</f>
        <v>1</v>
      </c>
      <c r="F73" s="41" t="n">
        <f aca="false">IF($B$17=4,$AB73,$B$16)</f>
        <v>3.8</v>
      </c>
      <c r="G73" s="41" t="n">
        <f aca="false">IF($D$17=4,$AM73,$D$16)</f>
        <v>3.5</v>
      </c>
      <c r="H73" s="41" t="n">
        <f aca="false">IF($F$17=4,$AX73,$F$16)</f>
        <v>2.96</v>
      </c>
      <c r="I73" s="41" t="n">
        <f aca="false">IF($H$17=4,$BI73,$H$16)</f>
        <v>2.99</v>
      </c>
      <c r="J73" s="4" t="n">
        <f aca="false">IF($B$19=1,VLOOKUP($A73,SkewTable,HLOOKUP(ROUND(F73-AB73,1),SkewTable,2,FALSE()),FALSE())/100,0)</f>
        <v>0.0451185018386</v>
      </c>
      <c r="K73" s="4" t="e">
        <f aca="false">IF($D$19=1,VLOOKUP($A73,SkewTable,HLOOKUP(ROUND(G73-AM73,1),SkewTable,2,FALSE()),FALSE())/100,0)</f>
        <v>#DIV/0!</v>
      </c>
      <c r="L73" s="4" t="e">
        <f aca="false">IF($F$19=1,VLOOKUP($A73,SkewTable,HLOOKUP(ROUND(H73-AX73,1),SkewTable,2,FALSE()),FALSE())/100,0)</f>
        <v>#DIV/0!</v>
      </c>
      <c r="M73" s="4" t="e">
        <f aca="false">IF($H$19=1,VLOOKUP($A73,SkewTable,HLOOKUP(ROUND(I73-BI73,1),SkewTable,2,FALSE()),FALSE())/100,0)</f>
        <v>#DIV/0!</v>
      </c>
      <c r="N73" s="4" t="n">
        <f aca="false">(($D73+J73)*$E73)+B$18</f>
        <v>0.3026185018386</v>
      </c>
      <c r="O73" s="4" t="e">
        <f aca="false">(($D73+K73)*$E73)+D$18</f>
        <v>#DIV/0!</v>
      </c>
      <c r="P73" s="4" t="e">
        <f aca="false">(($D73+L73)*$E73)+F$18</f>
        <v>#DIV/0!</v>
      </c>
      <c r="Q73" s="4" t="e">
        <f aca="false">(($D73+M73)*$E73)+H$18</f>
        <v>#DIV/0!</v>
      </c>
      <c r="R73" s="136" t="n">
        <f aca="false">IF(B$4=1,VLOOKUP(A73,expiration,2,FALSE()),VLOOKUP(A73,expiration,3,FALSE()))-B$2+$B$1</f>
        <v>-7851</v>
      </c>
      <c r="S73" s="4" t="n">
        <f aca="false">VLOOKUP($A73,STRADDLE,12,FALSE())</f>
        <v>0.067454837668858</v>
      </c>
      <c r="T73" s="1" t="n">
        <v>0</v>
      </c>
      <c r="U73" s="43" t="n">
        <v>0</v>
      </c>
      <c r="X73" s="43"/>
      <c r="Z73" s="9"/>
      <c r="AA73" s="9" t="n">
        <f aca="false">IF($A73&gt;=AB$25,IF($A73&lt;=AB$26,$T73,0),0)</f>
        <v>0</v>
      </c>
      <c r="AB73" s="9" t="n">
        <f aca="false">IF(T73&gt;0,AD73/AA73,0)</f>
        <v>0</v>
      </c>
      <c r="AC73" s="1" t="n">
        <f aca="false">AA73*($B73+B$13)</f>
        <v>0</v>
      </c>
      <c r="AD73" s="33" t="n">
        <f aca="false">IF(ISNUMBER(((AC73/AA73)+B$15+$C73)*AA73),((AC73/AA73)+B$15+$C73)*AA73,0)</f>
        <v>0</v>
      </c>
      <c r="AE73" s="44" t="n">
        <f aca="false">IF(AA73=0,0,bsd(1,AF$27,AB73,$F73,$R73,$N73,$S73,0.1))</f>
        <v>0</v>
      </c>
      <c r="AF73" s="44" t="n">
        <f aca="false">IF(AA73=0,0,bsd(2,AF$27,AB73,$F73,$R73,$N73,$S73,0.1))</f>
        <v>0</v>
      </c>
      <c r="AG73" s="44" t="n">
        <f aca="false">IF(AA73=0,0,bsd(AF$28,AF$27,AB73,$F73,$R73,$N73,$S73,0.1))</f>
        <v>0</v>
      </c>
      <c r="AH73" s="45" t="n">
        <f aca="false">AA73*AE73</f>
        <v>0</v>
      </c>
      <c r="AI73" s="45" t="n">
        <f aca="false">AA73*AF73</f>
        <v>0</v>
      </c>
      <c r="AJ73" s="45" t="n">
        <f aca="false">AA73*AG73</f>
        <v>0</v>
      </c>
      <c r="AL73" s="9" t="n">
        <f aca="false">IF($A73&gt;=AM$25,IF($A73&lt;=AM$26,$T73,0),0)</f>
        <v>0</v>
      </c>
      <c r="AM73" s="9" t="e">
        <f aca="false">AO73/AL73</f>
        <v>#DIV/0!</v>
      </c>
      <c r="AN73" s="1" t="n">
        <f aca="false">AL73*($B73+D$13)</f>
        <v>0</v>
      </c>
      <c r="AO73" s="33" t="n">
        <f aca="false">IF(ISNUMBER(((AN73/AL73)+D$15+$C73)*AL73),((AN73/AL73)+D$15+$C73)*AL73,0)</f>
        <v>0</v>
      </c>
      <c r="AP73" s="44" t="n">
        <f aca="false">IF(AL73=0,0,bsd(1,AQ$27,AM73,$G73,$R73,$O73,$S73,0.1))</f>
        <v>0</v>
      </c>
      <c r="AQ73" s="44" t="n">
        <f aca="false">IF(AL73=0,0,bsd(2,AQ$27,AM73,$G73,$R73,$O73,$S73,0.1))</f>
        <v>0</v>
      </c>
      <c r="AR73" s="44" t="n">
        <f aca="false">IF(AL73=0,0,bsd(AQ$28,AQ$27,AM73,$G73,$R73,$O73,$S73,0.1))</f>
        <v>0</v>
      </c>
      <c r="AS73" s="45" t="n">
        <f aca="false">AL73*AP73</f>
        <v>0</v>
      </c>
      <c r="AT73" s="45" t="n">
        <f aca="false">AL73*AQ73</f>
        <v>0</v>
      </c>
      <c r="AU73" s="45" t="n">
        <f aca="false">AL73*AR73</f>
        <v>0</v>
      </c>
      <c r="AW73" s="9" t="n">
        <f aca="false">IF($A73&gt;=AX$25,IF($A73&lt;=AX$26,$T73,0),0)</f>
        <v>0</v>
      </c>
      <c r="AX73" s="9" t="e">
        <f aca="false">AZ73/AW73</f>
        <v>#DIV/0!</v>
      </c>
      <c r="AY73" s="1" t="n">
        <f aca="false">AW73*($B73+F$13)</f>
        <v>0</v>
      </c>
      <c r="AZ73" s="33" t="n">
        <f aca="false">IF(ISNUMBER(((AY73/AW73)+F$15+$C73)*AW73),((AY73/AW73)+F$15+$C73)*AW73,0)</f>
        <v>0</v>
      </c>
      <c r="BA73" s="44" t="n">
        <f aca="false">IF(AW73=0,0,bsd(1,BB$27,AX73,$H73,$R73,$P73,$S73,0.1))</f>
        <v>0</v>
      </c>
      <c r="BB73" s="44" t="n">
        <f aca="false">IF(AW73=0,0,bsd(2,BB$27,AX73,$H73,$R73,$P73,$S73,0.1))</f>
        <v>0</v>
      </c>
      <c r="BC73" s="44" t="n">
        <f aca="false">IF(AW73=0,0,bsd(BB$28,BB$27,AX73,$H73,$R73,$P73,$S73,0.1))</f>
        <v>0</v>
      </c>
      <c r="BD73" s="45" t="n">
        <f aca="false">AW73*BA73</f>
        <v>0</v>
      </c>
      <c r="BE73" s="45" t="n">
        <f aca="false">AW73*BB73</f>
        <v>0</v>
      </c>
      <c r="BF73" s="45" t="n">
        <f aca="false">AW73*BC73</f>
        <v>0</v>
      </c>
      <c r="BH73" s="9" t="n">
        <f aca="false">IF($A73&gt;=BI$25,IF($A73&lt;=BI$26,$T73,0),0)</f>
        <v>0</v>
      </c>
      <c r="BI73" s="9" t="e">
        <f aca="false">BK73/BH73</f>
        <v>#DIV/0!</v>
      </c>
      <c r="BJ73" s="1" t="n">
        <f aca="false">BH73*($B73+H$13)</f>
        <v>0</v>
      </c>
      <c r="BK73" s="33" t="n">
        <f aca="false">IF(ISNUMBER(((BJ73/BH73)+H$15+$C73)*BH73),((BJ73/BH73)+H$15+$C73)*BH73,0)</f>
        <v>0</v>
      </c>
      <c r="BL73" s="44" t="n">
        <f aca="false">IF(BH73=0,0,bsd(1,BM$27,BI73,$I73,$R73,$Q73,$S73,0.1))</f>
        <v>0</v>
      </c>
      <c r="BM73" s="44" t="n">
        <f aca="false">IF(BH73=0,0,bsd(2,BM$27,BI73,$I73,$R73,$Q73,$S73,0.1))</f>
        <v>0</v>
      </c>
      <c r="BN73" s="44" t="n">
        <f aca="false">IF(BH73=0,0,bsd(BM$28,BM$27,BI73,$I73,$R73,$Q73,$S73,0.1))</f>
        <v>0</v>
      </c>
      <c r="BO73" s="45" t="n">
        <f aca="false">BH73*BL73</f>
        <v>0</v>
      </c>
      <c r="BP73" s="45" t="n">
        <f aca="false">BH73*BM73</f>
        <v>0</v>
      </c>
      <c r="BQ73" s="45" t="n">
        <f aca="false">BH73*BN73</f>
        <v>0</v>
      </c>
    </row>
    <row r="74" customFormat="false" ht="12.75" hidden="false" customHeight="false" outlineLevel="0" collapsed="false">
      <c r="A74" s="48" t="n">
        <f aca="false">DATE(YEAR(A73),MONTH(A73)+1,1)</f>
        <v>38108</v>
      </c>
      <c r="B74" s="40" t="n">
        <f aca="false">VLOOKUP(A74,STRADDLE,5,FALSE())</f>
        <v>3.09</v>
      </c>
      <c r="C74" s="40" t="n">
        <v>0</v>
      </c>
      <c r="D74" s="4" t="n">
        <f aca="false">VLOOKUP(A74,STRADDLE,8,FALSE())</f>
        <v>0.2575</v>
      </c>
      <c r="E74" s="131" t="n">
        <f aca="false">IF(ISNUMBER(VLOOKUP(A74,VOLCURVES,HLOOKUP(B$5,VOLCURVES,2,FALSE()),FALSE())),VLOOKUP(A74,VOLCURVES,HLOOKUP(B$5,VOLCURVES,2,FALSE()),FALSE()),1)</f>
        <v>1</v>
      </c>
      <c r="F74" s="41" t="n">
        <f aca="false">IF($B$17=4,$AB74,$B$16)</f>
        <v>3.8</v>
      </c>
      <c r="G74" s="41" t="n">
        <f aca="false">IF($D$17=4,$AM74,$D$16)</f>
        <v>3.5</v>
      </c>
      <c r="H74" s="41" t="n">
        <f aca="false">IF($F$17=4,$AX74,$F$16)</f>
        <v>2.96</v>
      </c>
      <c r="I74" s="41" t="n">
        <f aca="false">IF($H$17=4,$BI74,$H$16)</f>
        <v>2.99</v>
      </c>
      <c r="J74" s="4" t="n">
        <f aca="false">IF($B$19=1,VLOOKUP($A74,SkewTable,HLOOKUP(ROUND(F74-AB74,1),SkewTable,2,FALSE()),FALSE())/100,0)</f>
        <v>0.0451185018386</v>
      </c>
      <c r="K74" s="4" t="e">
        <f aca="false">IF($D$19=1,VLOOKUP($A74,SkewTable,HLOOKUP(ROUND(G74-AM74,1),SkewTable,2,FALSE()),FALSE())/100,0)</f>
        <v>#DIV/0!</v>
      </c>
      <c r="L74" s="4" t="e">
        <f aca="false">IF($F$19=1,VLOOKUP($A74,SkewTable,HLOOKUP(ROUND(H74-AX74,1),SkewTable,2,FALSE()),FALSE())/100,0)</f>
        <v>#DIV/0!</v>
      </c>
      <c r="M74" s="4" t="e">
        <f aca="false">IF($H$19=1,VLOOKUP($A74,SkewTable,HLOOKUP(ROUND(I74-BI74,1),SkewTable,2,FALSE()),FALSE())/100,0)</f>
        <v>#DIV/0!</v>
      </c>
      <c r="N74" s="4" t="n">
        <f aca="false">(($D74+J74)*$E74)+B$18</f>
        <v>0.3026185018386</v>
      </c>
      <c r="O74" s="4" t="e">
        <f aca="false">(($D74+K74)*$E74)+D$18</f>
        <v>#DIV/0!</v>
      </c>
      <c r="P74" s="4" t="e">
        <f aca="false">(($D74+L74)*$E74)+F$18</f>
        <v>#DIV/0!</v>
      </c>
      <c r="Q74" s="4" t="e">
        <f aca="false">(($D74+M74)*$E74)+H$18</f>
        <v>#DIV/0!</v>
      </c>
      <c r="R74" s="136" t="n">
        <f aca="false">IF(B$4=1,VLOOKUP(A74,expiration,2,FALSE()),VLOOKUP(A74,expiration,3,FALSE()))-B$2+$B$1</f>
        <v>-7821</v>
      </c>
      <c r="S74" s="4" t="n">
        <f aca="false">VLOOKUP($A74,STRADDLE,12,FALSE())</f>
        <v>0.067476834642469</v>
      </c>
      <c r="T74" s="1" t="n">
        <v>0</v>
      </c>
      <c r="U74" s="43" t="n">
        <v>0</v>
      </c>
      <c r="X74" s="43"/>
      <c r="Z74" s="9"/>
      <c r="AA74" s="9" t="n">
        <f aca="false">IF($A74&gt;=AB$25,IF($A74&lt;=AB$26,$T74,0),0)</f>
        <v>0</v>
      </c>
      <c r="AB74" s="9" t="n">
        <f aca="false">IF(T74&gt;0,AD74/AA74,0)</f>
        <v>0</v>
      </c>
      <c r="AC74" s="1" t="n">
        <f aca="false">AA74*($B74+B$13)</f>
        <v>0</v>
      </c>
      <c r="AD74" s="33" t="n">
        <f aca="false">IF(ISNUMBER(((AC74/AA74)+B$15+$C74)*AA74),((AC74/AA74)+B$15+$C74)*AA74,0)</f>
        <v>0</v>
      </c>
      <c r="AE74" s="44" t="n">
        <f aca="false">IF(AA74=0,0,bsd(1,AF$27,AB74,$F74,$R74,$N74,$S74,0.1))</f>
        <v>0</v>
      </c>
      <c r="AF74" s="44" t="n">
        <f aca="false">IF(AA74=0,0,bsd(2,AF$27,AB74,$F74,$R74,$N74,$S74,0.1))</f>
        <v>0</v>
      </c>
      <c r="AG74" s="44" t="n">
        <f aca="false">IF(AA74=0,0,bsd(AF$28,AF$27,AB74,$F74,$R74,$N74,$S74,0.1))</f>
        <v>0</v>
      </c>
      <c r="AH74" s="45" t="n">
        <f aca="false">AA74*AE74</f>
        <v>0</v>
      </c>
      <c r="AI74" s="45" t="n">
        <f aca="false">AA74*AF74</f>
        <v>0</v>
      </c>
      <c r="AJ74" s="45" t="n">
        <f aca="false">AA74*AG74</f>
        <v>0</v>
      </c>
      <c r="AL74" s="9" t="n">
        <f aca="false">IF($A74&gt;=AM$25,IF($A74&lt;=AM$26,$T74,0),0)</f>
        <v>0</v>
      </c>
      <c r="AM74" s="9" t="e">
        <f aca="false">AO74/AL74</f>
        <v>#DIV/0!</v>
      </c>
      <c r="AN74" s="1" t="n">
        <f aca="false">AL74*($B74+D$13)</f>
        <v>0</v>
      </c>
      <c r="AO74" s="33" t="n">
        <f aca="false">IF(ISNUMBER(((AN74/AL74)+D$15+$C74)*AL74),((AN74/AL74)+D$15+$C74)*AL74,0)</f>
        <v>0</v>
      </c>
      <c r="AP74" s="44" t="n">
        <f aca="false">IF(AL74=0,0,bsd(1,AQ$27,AM74,$G74,$R74,$O74,$S74,0.1))</f>
        <v>0</v>
      </c>
      <c r="AQ74" s="44" t="n">
        <f aca="false">IF(AL74=0,0,bsd(2,AQ$27,AM74,$G74,$R74,$O74,$S74,0.1))</f>
        <v>0</v>
      </c>
      <c r="AR74" s="44" t="n">
        <f aca="false">IF(AL74=0,0,bsd(AQ$28,AQ$27,AM74,$G74,$R74,$O74,$S74,0.1))</f>
        <v>0</v>
      </c>
      <c r="AS74" s="45" t="n">
        <f aca="false">AL74*AP74</f>
        <v>0</v>
      </c>
      <c r="AT74" s="45" t="n">
        <f aca="false">AL74*AQ74</f>
        <v>0</v>
      </c>
      <c r="AU74" s="45" t="n">
        <f aca="false">AL74*AR74</f>
        <v>0</v>
      </c>
      <c r="AW74" s="9" t="n">
        <f aca="false">IF($A74&gt;=AX$25,IF($A74&lt;=AX$26,$T74,0),0)</f>
        <v>0</v>
      </c>
      <c r="AX74" s="9" t="e">
        <f aca="false">AZ74/AW74</f>
        <v>#DIV/0!</v>
      </c>
      <c r="AY74" s="1" t="n">
        <f aca="false">AW74*($B74+F$13)</f>
        <v>0</v>
      </c>
      <c r="AZ74" s="33" t="n">
        <f aca="false">IF(ISNUMBER(((AY74/AW74)+F$15+$C74)*AW74),((AY74/AW74)+F$15+$C74)*AW74,0)</f>
        <v>0</v>
      </c>
      <c r="BA74" s="44" t="n">
        <f aca="false">IF(AW74=0,0,bsd(1,BB$27,AX74,$H74,$R74,$P74,$S74,0.1))</f>
        <v>0</v>
      </c>
      <c r="BB74" s="44" t="n">
        <f aca="false">IF(AW74=0,0,bsd(2,BB$27,AX74,$H74,$R74,$P74,$S74,0.1))</f>
        <v>0</v>
      </c>
      <c r="BC74" s="44" t="n">
        <f aca="false">IF(AW74=0,0,bsd(BB$28,BB$27,AX74,$H74,$R74,$P74,$S74,0.1))</f>
        <v>0</v>
      </c>
      <c r="BD74" s="45" t="n">
        <f aca="false">AW74*BA74</f>
        <v>0</v>
      </c>
      <c r="BE74" s="45" t="n">
        <f aca="false">AW74*BB74</f>
        <v>0</v>
      </c>
      <c r="BF74" s="45" t="n">
        <f aca="false">AW74*BC74</f>
        <v>0</v>
      </c>
      <c r="BH74" s="9" t="n">
        <f aca="false">IF($A74&gt;=BI$25,IF($A74&lt;=BI$26,$T74,0),0)</f>
        <v>0</v>
      </c>
      <c r="BI74" s="9" t="e">
        <f aca="false">BK74/BH74</f>
        <v>#DIV/0!</v>
      </c>
      <c r="BJ74" s="1" t="n">
        <f aca="false">BH74*($B74+H$13)</f>
        <v>0</v>
      </c>
      <c r="BK74" s="33" t="n">
        <f aca="false">IF(ISNUMBER(((BJ74/BH74)+H$15+$C74)*BH74),((BJ74/BH74)+H$15+$C74)*BH74,0)</f>
        <v>0</v>
      </c>
      <c r="BL74" s="44" t="n">
        <f aca="false">IF(BH74=0,0,bsd(1,BM$27,BI74,$I74,$R74,$Q74,$S74,0.1))</f>
        <v>0</v>
      </c>
      <c r="BM74" s="44" t="n">
        <f aca="false">IF(BH74=0,0,bsd(2,BM$27,BI74,$I74,$R74,$Q74,$S74,0.1))</f>
        <v>0</v>
      </c>
      <c r="BN74" s="44" t="n">
        <f aca="false">IF(BH74=0,0,bsd(BM$28,BM$27,BI74,$I74,$R74,$Q74,$S74,0.1))</f>
        <v>0</v>
      </c>
      <c r="BO74" s="45" t="n">
        <f aca="false">BH74*BL74</f>
        <v>0</v>
      </c>
      <c r="BP74" s="45" t="n">
        <f aca="false">BH74*BM74</f>
        <v>0</v>
      </c>
      <c r="BQ74" s="45" t="n">
        <f aca="false">BH74*BN74</f>
        <v>0</v>
      </c>
    </row>
    <row r="75" customFormat="false" ht="12.75" hidden="false" customHeight="false" outlineLevel="0" collapsed="false">
      <c r="A75" s="48" t="n">
        <f aca="false">DATE(YEAR(A74),MONTH(A74)+1,1)</f>
        <v>38139</v>
      </c>
      <c r="B75" s="40" t="n">
        <f aca="false">VLOOKUP(A75,STRADDLE,5,FALSE())</f>
        <v>3.099</v>
      </c>
      <c r="C75" s="40" t="n">
        <v>0</v>
      </c>
      <c r="D75" s="4" t="n">
        <f aca="false">VLOOKUP(A75,STRADDLE,8,FALSE())</f>
        <v>0.2575</v>
      </c>
      <c r="E75" s="131" t="n">
        <f aca="false">IF(ISNUMBER(VLOOKUP(A75,VOLCURVES,HLOOKUP(B$5,VOLCURVES,2,FALSE()),FALSE())),VLOOKUP(A75,VOLCURVES,HLOOKUP(B$5,VOLCURVES,2,FALSE()),FALSE()),1)</f>
        <v>1</v>
      </c>
      <c r="F75" s="41" t="n">
        <f aca="false">IF($B$17=4,$AB75,$B$16)</f>
        <v>3.8</v>
      </c>
      <c r="G75" s="41" t="n">
        <f aca="false">IF($D$17=4,$AM75,$D$16)</f>
        <v>3.5</v>
      </c>
      <c r="H75" s="41" t="n">
        <f aca="false">IF($F$17=4,$AX75,$F$16)</f>
        <v>2.96</v>
      </c>
      <c r="I75" s="41" t="n">
        <f aca="false">IF($H$17=4,$BI75,$H$16)</f>
        <v>2.99</v>
      </c>
      <c r="J75" s="4" t="n">
        <f aca="false">IF($B$19=1,VLOOKUP($A75,SkewTable,HLOOKUP(ROUND(F75-AB75,1),SkewTable,2,FALSE()),FALSE())/100,0)</f>
        <v>0.0451185018386</v>
      </c>
      <c r="K75" s="4" t="e">
        <f aca="false">IF($D$19=1,VLOOKUP($A75,SkewTable,HLOOKUP(ROUND(G75-AM75,1),SkewTable,2,FALSE()),FALSE())/100,0)</f>
        <v>#DIV/0!</v>
      </c>
      <c r="L75" s="4" t="e">
        <f aca="false">IF($F$19=1,VLOOKUP($A75,SkewTable,HLOOKUP(ROUND(H75-AX75,1),SkewTable,2,FALSE()),FALSE())/100,0)</f>
        <v>#DIV/0!</v>
      </c>
      <c r="M75" s="4" t="e">
        <f aca="false">IF($H$19=1,VLOOKUP($A75,SkewTable,HLOOKUP(ROUND(I75-BI75,1),SkewTable,2,FALSE()),FALSE())/100,0)</f>
        <v>#DIV/0!</v>
      </c>
      <c r="N75" s="4" t="n">
        <f aca="false">(($D75+J75)*$E75)+B$18</f>
        <v>0.3026185018386</v>
      </c>
      <c r="O75" s="4" t="e">
        <f aca="false">(($D75+K75)*$E75)+D$18</f>
        <v>#DIV/0!</v>
      </c>
      <c r="P75" s="4" t="e">
        <f aca="false">(($D75+L75)*$E75)+F$18</f>
        <v>#DIV/0!</v>
      </c>
      <c r="Q75" s="4" t="e">
        <f aca="false">(($D75+M75)*$E75)+H$18</f>
        <v>#DIV/0!</v>
      </c>
      <c r="R75" s="136" t="n">
        <f aca="false">IF(B$4=1,VLOOKUP(A75,expiration,2,FALSE()),VLOOKUP(A75,expiration,3,FALSE()))-B$2+$B$1</f>
        <v>-7793</v>
      </c>
      <c r="S75" s="4" t="n">
        <f aca="false">VLOOKUP($A75,STRADDLE,12,FALSE())</f>
        <v>0.067499564848703</v>
      </c>
      <c r="T75" s="1" t="n">
        <v>0</v>
      </c>
      <c r="U75" s="43" t="n">
        <v>0</v>
      </c>
      <c r="X75" s="43"/>
      <c r="Z75" s="9"/>
      <c r="AA75" s="9" t="n">
        <f aca="false">IF($A75&gt;=AB$25,IF($A75&lt;=AB$26,$T75,0),0)</f>
        <v>0</v>
      </c>
      <c r="AB75" s="9" t="n">
        <f aca="false">IF(T75&gt;0,AD75/AA75,0)</f>
        <v>0</v>
      </c>
      <c r="AC75" s="1" t="n">
        <f aca="false">AA75*($B75+B$13)</f>
        <v>0</v>
      </c>
      <c r="AD75" s="33" t="n">
        <f aca="false">IF(ISNUMBER(((AC75/AA75)+B$15+$C75)*AA75),((AC75/AA75)+B$15+$C75)*AA75,0)</f>
        <v>0</v>
      </c>
      <c r="AE75" s="44" t="n">
        <f aca="false">IF(AA75=0,0,bsd(1,AF$27,AB75,$F75,$R75,$N75,$S75,0.1))</f>
        <v>0</v>
      </c>
      <c r="AF75" s="44" t="n">
        <f aca="false">IF(AA75=0,0,bsd(2,AF$27,AB75,$F75,$R75,$N75,$S75,0.1))</f>
        <v>0</v>
      </c>
      <c r="AG75" s="44" t="n">
        <f aca="false">IF(AA75=0,0,bsd(AF$28,AF$27,AB75,$F75,$R75,$N75,$S75,0.1))</f>
        <v>0</v>
      </c>
      <c r="AH75" s="45" t="n">
        <f aca="false">AA75*AE75</f>
        <v>0</v>
      </c>
      <c r="AI75" s="45" t="n">
        <f aca="false">AA75*AF75</f>
        <v>0</v>
      </c>
      <c r="AJ75" s="45" t="n">
        <f aca="false">AA75*AG75</f>
        <v>0</v>
      </c>
      <c r="AL75" s="9" t="n">
        <f aca="false">IF($A75&gt;=AM$25,IF($A75&lt;=AM$26,$T75,0),0)</f>
        <v>0</v>
      </c>
      <c r="AM75" s="9" t="e">
        <f aca="false">AO75/AL75</f>
        <v>#DIV/0!</v>
      </c>
      <c r="AN75" s="1" t="n">
        <f aca="false">AL75*($B75+D$13)</f>
        <v>0</v>
      </c>
      <c r="AO75" s="33" t="n">
        <f aca="false">IF(ISNUMBER(((AN75/AL75)+D$15+$C75)*AL75),((AN75/AL75)+D$15+$C75)*AL75,0)</f>
        <v>0</v>
      </c>
      <c r="AP75" s="44" t="n">
        <f aca="false">IF(AL75=0,0,bsd(1,AQ$27,AM75,$G75,$R75,$O75,$S75,0.1))</f>
        <v>0</v>
      </c>
      <c r="AQ75" s="44" t="n">
        <f aca="false">IF(AL75=0,0,bsd(2,AQ$27,AM75,$G75,$R75,$O75,$S75,0.1))</f>
        <v>0</v>
      </c>
      <c r="AR75" s="44" t="n">
        <f aca="false">IF(AL75=0,0,bsd(AQ$28,AQ$27,AM75,$G75,$R75,$O75,$S75,0.1))</f>
        <v>0</v>
      </c>
      <c r="AS75" s="45" t="n">
        <f aca="false">AL75*AP75</f>
        <v>0</v>
      </c>
      <c r="AT75" s="45" t="n">
        <f aca="false">AL75*AQ75</f>
        <v>0</v>
      </c>
      <c r="AU75" s="45" t="n">
        <f aca="false">AL75*AR75</f>
        <v>0</v>
      </c>
      <c r="AW75" s="9" t="n">
        <f aca="false">IF($A75&gt;=AX$25,IF($A75&lt;=AX$26,$T75,0),0)</f>
        <v>0</v>
      </c>
      <c r="AX75" s="9" t="e">
        <f aca="false">AZ75/AW75</f>
        <v>#DIV/0!</v>
      </c>
      <c r="AY75" s="1" t="n">
        <f aca="false">AW75*($B75+F$13)</f>
        <v>0</v>
      </c>
      <c r="AZ75" s="33" t="n">
        <f aca="false">IF(ISNUMBER(((AY75/AW75)+F$15+$C75)*AW75),((AY75/AW75)+F$15+$C75)*AW75,0)</f>
        <v>0</v>
      </c>
      <c r="BA75" s="44" t="n">
        <f aca="false">IF(AW75=0,0,bsd(1,BB$27,AX75,$H75,$R75,$P75,$S75,0.1))</f>
        <v>0</v>
      </c>
      <c r="BB75" s="44" t="n">
        <f aca="false">IF(AW75=0,0,bsd(2,BB$27,AX75,$H75,$R75,$P75,$S75,0.1))</f>
        <v>0</v>
      </c>
      <c r="BC75" s="44" t="n">
        <f aca="false">IF(AW75=0,0,bsd(BB$28,BB$27,AX75,$H75,$R75,$P75,$S75,0.1))</f>
        <v>0</v>
      </c>
      <c r="BD75" s="45" t="n">
        <f aca="false">AW75*BA75</f>
        <v>0</v>
      </c>
      <c r="BE75" s="45" t="n">
        <f aca="false">AW75*BB75</f>
        <v>0</v>
      </c>
      <c r="BF75" s="45" t="n">
        <f aca="false">AW75*BC75</f>
        <v>0</v>
      </c>
      <c r="BH75" s="9" t="n">
        <f aca="false">IF($A75&gt;=BI$25,IF($A75&lt;=BI$26,$T75,0),0)</f>
        <v>0</v>
      </c>
      <c r="BI75" s="9" t="e">
        <f aca="false">BK75/BH75</f>
        <v>#DIV/0!</v>
      </c>
      <c r="BJ75" s="1" t="n">
        <f aca="false">BH75*($B75+H$13)</f>
        <v>0</v>
      </c>
      <c r="BK75" s="33" t="n">
        <f aca="false">IF(ISNUMBER(((BJ75/BH75)+H$15+$C75)*BH75),((BJ75/BH75)+H$15+$C75)*BH75,0)</f>
        <v>0</v>
      </c>
      <c r="BL75" s="44" t="n">
        <f aca="false">IF(BH75=0,0,bsd(1,BM$27,BI75,$I75,$R75,$Q75,$S75,0.1))</f>
        <v>0</v>
      </c>
      <c r="BM75" s="44" t="n">
        <f aca="false">IF(BH75=0,0,bsd(2,BM$27,BI75,$I75,$R75,$Q75,$S75,0.1))</f>
        <v>0</v>
      </c>
      <c r="BN75" s="44" t="n">
        <f aca="false">IF(BH75=0,0,bsd(BM$28,BM$27,BI75,$I75,$R75,$Q75,$S75,0.1))</f>
        <v>0</v>
      </c>
      <c r="BO75" s="45" t="n">
        <f aca="false">BH75*BL75</f>
        <v>0</v>
      </c>
      <c r="BP75" s="45" t="n">
        <f aca="false">BH75*BM75</f>
        <v>0</v>
      </c>
      <c r="BQ75" s="45" t="n">
        <f aca="false">BH75*BN75</f>
        <v>0</v>
      </c>
    </row>
    <row r="76" customFormat="false" ht="12.75" hidden="false" customHeight="false" outlineLevel="0" collapsed="false">
      <c r="A76" s="48" t="n">
        <f aca="false">DATE(YEAR(A75),MONTH(A75)+1,1)</f>
        <v>38169</v>
      </c>
      <c r="B76" s="40" t="n">
        <f aca="false">VLOOKUP(A76,STRADDLE,5,FALSE())</f>
        <v>3.107</v>
      </c>
      <c r="C76" s="40" t="n">
        <v>0</v>
      </c>
      <c r="D76" s="4" t="n">
        <f aca="false">VLOOKUP(A76,STRADDLE,8,FALSE())</f>
        <v>0.255</v>
      </c>
      <c r="E76" s="131" t="n">
        <f aca="false">IF(ISNUMBER(VLOOKUP(A76,VOLCURVES,HLOOKUP(B$5,VOLCURVES,2,FALSE()),FALSE())),VLOOKUP(A76,VOLCURVES,HLOOKUP(B$5,VOLCURVES,2,FALSE()),FALSE()),1)</f>
        <v>1</v>
      </c>
      <c r="F76" s="41" t="n">
        <f aca="false">IF($B$17=4,$AB76,$B$16)</f>
        <v>3.8</v>
      </c>
      <c r="G76" s="41" t="n">
        <f aca="false">IF($D$17=4,$AM76,$D$16)</f>
        <v>3.5</v>
      </c>
      <c r="H76" s="41" t="n">
        <f aca="false">IF($F$17=4,$AX76,$F$16)</f>
        <v>2.96</v>
      </c>
      <c r="I76" s="41" t="n">
        <f aca="false">IF($H$17=4,$BI76,$H$16)</f>
        <v>2.99</v>
      </c>
      <c r="J76" s="4" t="n">
        <f aca="false">IF($B$19=1,VLOOKUP($A76,SkewTable,HLOOKUP(ROUND(F76-AB76,1),SkewTable,2,FALSE()),FALSE())/100,0)</f>
        <v>0.0451185018386</v>
      </c>
      <c r="K76" s="4" t="e">
        <f aca="false">IF($D$19=1,VLOOKUP($A76,SkewTable,HLOOKUP(ROUND(G76-AM76,1),SkewTable,2,FALSE()),FALSE())/100,0)</f>
        <v>#DIV/0!</v>
      </c>
      <c r="L76" s="4" t="e">
        <f aca="false">IF($F$19=1,VLOOKUP($A76,SkewTable,HLOOKUP(ROUND(H76-AX76,1),SkewTable,2,FALSE()),FALSE())/100,0)</f>
        <v>#DIV/0!</v>
      </c>
      <c r="M76" s="4" t="e">
        <f aca="false">IF($H$19=1,VLOOKUP($A76,SkewTable,HLOOKUP(ROUND(I76-BI76,1),SkewTable,2,FALSE()),FALSE())/100,0)</f>
        <v>#DIV/0!</v>
      </c>
      <c r="N76" s="4" t="n">
        <f aca="false">(($D76+J76)*$E76)+B$18</f>
        <v>0.3001185018386</v>
      </c>
      <c r="O76" s="4" t="e">
        <f aca="false">(($D76+K76)*$E76)+D$18</f>
        <v>#DIV/0!</v>
      </c>
      <c r="P76" s="4" t="e">
        <f aca="false">(($D76+L76)*$E76)+F$18</f>
        <v>#DIV/0!</v>
      </c>
      <c r="Q76" s="4" t="e">
        <f aca="false">(($D76+M76)*$E76)+H$18</f>
        <v>#DIV/0!</v>
      </c>
      <c r="R76" s="136" t="n">
        <f aca="false">IF(B$4=1,VLOOKUP(A76,expiration,2,FALSE()),VLOOKUP(A76,expiration,3,FALSE()))-B$2+$B$1</f>
        <v>-7760</v>
      </c>
      <c r="S76" s="4" t="n">
        <f aca="false">VLOOKUP($A76,STRADDLE,12,FALSE())</f>
        <v>0.06753426580475</v>
      </c>
      <c r="T76" s="1" t="n">
        <v>0</v>
      </c>
      <c r="U76" s="43" t="n">
        <v>0</v>
      </c>
      <c r="X76" s="43"/>
      <c r="Z76" s="9"/>
      <c r="AA76" s="9" t="n">
        <f aca="false">IF($A76&gt;=AB$25,IF($A76&lt;=AB$26,$T76,0),0)</f>
        <v>0</v>
      </c>
      <c r="AB76" s="9" t="n">
        <f aca="false">IF(T76&gt;0,AD76/AA76,0)</f>
        <v>0</v>
      </c>
      <c r="AC76" s="1" t="n">
        <f aca="false">AA76*($B76+B$13)</f>
        <v>0</v>
      </c>
      <c r="AD76" s="33" t="n">
        <f aca="false">IF(ISNUMBER(((AC76/AA76)+B$15+$C76)*AA76),((AC76/AA76)+B$15+$C76)*AA76,0)</f>
        <v>0</v>
      </c>
      <c r="AE76" s="44" t="n">
        <f aca="false">IF(AA76=0,0,bsd(1,AF$27,AB76,$F76,$R76,$N76,$S76,0.1))</f>
        <v>0</v>
      </c>
      <c r="AF76" s="44" t="n">
        <f aca="false">IF(AA76=0,0,bsd(2,AF$27,AB76,$F76,$R76,$N76,$S76,0.1))</f>
        <v>0</v>
      </c>
      <c r="AG76" s="44" t="n">
        <f aca="false">IF(AA76=0,0,bsd(AF$28,AF$27,AB76,$F76,$R76,$N76,$S76,0.1))</f>
        <v>0</v>
      </c>
      <c r="AH76" s="45" t="n">
        <f aca="false">AA76*AE76</f>
        <v>0</v>
      </c>
      <c r="AI76" s="45" t="n">
        <f aca="false">AA76*AF76</f>
        <v>0</v>
      </c>
      <c r="AJ76" s="45" t="n">
        <f aca="false">AA76*AG76</f>
        <v>0</v>
      </c>
      <c r="AL76" s="9" t="n">
        <f aca="false">IF($A76&gt;=AM$25,IF($A76&lt;=AM$26,$T76,0),0)</f>
        <v>0</v>
      </c>
      <c r="AM76" s="9" t="e">
        <f aca="false">AO76/AL76</f>
        <v>#DIV/0!</v>
      </c>
      <c r="AN76" s="1" t="n">
        <f aca="false">AL76*($B76+D$13)</f>
        <v>0</v>
      </c>
      <c r="AO76" s="33" t="n">
        <f aca="false">IF(ISNUMBER(((AN76/AL76)+D$15+$C76)*AL76),((AN76/AL76)+D$15+$C76)*AL76,0)</f>
        <v>0</v>
      </c>
      <c r="AP76" s="44" t="n">
        <f aca="false">IF(AL76=0,0,bsd(1,AQ$27,AM76,$G76,$R76,$O76,$S76,0.1))</f>
        <v>0</v>
      </c>
      <c r="AQ76" s="44" t="n">
        <f aca="false">IF(AL76=0,0,bsd(2,AQ$27,AM76,$G76,$R76,$O76,$S76,0.1))</f>
        <v>0</v>
      </c>
      <c r="AR76" s="44" t="n">
        <f aca="false">IF(AL76=0,0,bsd(AQ$28,AQ$27,AM76,$G76,$R76,$O76,$S76,0.1))</f>
        <v>0</v>
      </c>
      <c r="AS76" s="45" t="n">
        <f aca="false">AL76*AP76</f>
        <v>0</v>
      </c>
      <c r="AT76" s="45" t="n">
        <f aca="false">AL76*AQ76</f>
        <v>0</v>
      </c>
      <c r="AU76" s="45" t="n">
        <f aca="false">AL76*AR76</f>
        <v>0</v>
      </c>
      <c r="AW76" s="9" t="n">
        <f aca="false">IF($A76&gt;=AX$25,IF($A76&lt;=AX$26,$T76,0),0)</f>
        <v>0</v>
      </c>
      <c r="AX76" s="9" t="e">
        <f aca="false">AZ76/AW76</f>
        <v>#DIV/0!</v>
      </c>
      <c r="AY76" s="1" t="n">
        <f aca="false">AW76*($B76+F$13)</f>
        <v>0</v>
      </c>
      <c r="AZ76" s="33" t="n">
        <f aca="false">IF(ISNUMBER(((AY76/AW76)+F$15+$C76)*AW76),((AY76/AW76)+F$15+$C76)*AW76,0)</f>
        <v>0</v>
      </c>
      <c r="BA76" s="44" t="n">
        <f aca="false">IF(AW76=0,0,bsd(1,BB$27,AX76,$H76,$R76,$P76,$S76,0.1))</f>
        <v>0</v>
      </c>
      <c r="BB76" s="44" t="n">
        <f aca="false">IF(AW76=0,0,bsd(2,BB$27,AX76,$H76,$R76,$P76,$S76,0.1))</f>
        <v>0</v>
      </c>
      <c r="BC76" s="44" t="n">
        <f aca="false">IF(AW76=0,0,bsd(BB$28,BB$27,AX76,$H76,$R76,$P76,$S76,0.1))</f>
        <v>0</v>
      </c>
      <c r="BD76" s="45" t="n">
        <f aca="false">AW76*BA76</f>
        <v>0</v>
      </c>
      <c r="BE76" s="45" t="n">
        <f aca="false">AW76*BB76</f>
        <v>0</v>
      </c>
      <c r="BF76" s="45" t="n">
        <f aca="false">AW76*BC76</f>
        <v>0</v>
      </c>
      <c r="BH76" s="9" t="n">
        <f aca="false">IF($A76&gt;=BI$25,IF($A76&lt;=BI$26,$T76,0),0)</f>
        <v>0</v>
      </c>
      <c r="BI76" s="9" t="e">
        <f aca="false">BK76/BH76</f>
        <v>#DIV/0!</v>
      </c>
      <c r="BJ76" s="1" t="n">
        <f aca="false">BH76*($B76+H$13)</f>
        <v>0</v>
      </c>
      <c r="BK76" s="33" t="n">
        <f aca="false">IF(ISNUMBER(((BJ76/BH76)+H$15+$C76)*BH76),((BJ76/BH76)+H$15+$C76)*BH76,0)</f>
        <v>0</v>
      </c>
      <c r="BL76" s="44" t="n">
        <f aca="false">IF(BH76=0,0,bsd(1,BM$27,BI76,$I76,$R76,$Q76,$S76,0.1))</f>
        <v>0</v>
      </c>
      <c r="BM76" s="44" t="n">
        <f aca="false">IF(BH76=0,0,bsd(2,BM$27,BI76,$I76,$R76,$Q76,$S76,0.1))</f>
        <v>0</v>
      </c>
      <c r="BN76" s="44" t="n">
        <f aca="false">IF(BH76=0,0,bsd(BM$28,BM$27,BI76,$I76,$R76,$Q76,$S76,0.1))</f>
        <v>0</v>
      </c>
      <c r="BO76" s="45" t="n">
        <f aca="false">BH76*BL76</f>
        <v>0</v>
      </c>
      <c r="BP76" s="45" t="n">
        <f aca="false">BH76*BM76</f>
        <v>0</v>
      </c>
      <c r="BQ76" s="45" t="n">
        <f aca="false">BH76*BN76</f>
        <v>0</v>
      </c>
    </row>
    <row r="77" customFormat="false" ht="12.75" hidden="false" customHeight="false" outlineLevel="0" collapsed="false">
      <c r="A77" s="48" t="n">
        <f aca="false">DATE(YEAR(A76),MONTH(A76)+1,1)</f>
        <v>38200</v>
      </c>
      <c r="B77" s="40" t="n">
        <f aca="false">VLOOKUP(A77,STRADDLE,5,FALSE())</f>
        <v>3.114</v>
      </c>
      <c r="C77" s="40" t="n">
        <v>0</v>
      </c>
      <c r="D77" s="4" t="n">
        <f aca="false">VLOOKUP(A77,STRADDLE,8,FALSE())</f>
        <v>0.255</v>
      </c>
      <c r="E77" s="131" t="n">
        <f aca="false">IF(ISNUMBER(VLOOKUP(A77,VOLCURVES,HLOOKUP(B$5,VOLCURVES,2,FALSE()),FALSE())),VLOOKUP(A77,VOLCURVES,HLOOKUP(B$5,VOLCURVES,2,FALSE()),FALSE()),1)</f>
        <v>1</v>
      </c>
      <c r="F77" s="41" t="n">
        <f aca="false">IF($B$17=4,$AB77,$B$16)</f>
        <v>3.8</v>
      </c>
      <c r="G77" s="41" t="n">
        <f aca="false">IF($D$17=4,$AM77,$D$16)</f>
        <v>3.5</v>
      </c>
      <c r="H77" s="41" t="n">
        <f aca="false">IF($F$17=4,$AX77,$F$16)</f>
        <v>2.96</v>
      </c>
      <c r="I77" s="41" t="n">
        <f aca="false">IF($H$17=4,$BI77,$H$16)</f>
        <v>2.99</v>
      </c>
      <c r="J77" s="4" t="n">
        <f aca="false">IF($B$19=1,VLOOKUP($A77,SkewTable,HLOOKUP(ROUND(F77-AB77,1),SkewTable,2,FALSE()),FALSE())/100,0)</f>
        <v>0.0451185018386</v>
      </c>
      <c r="K77" s="4" t="e">
        <f aca="false">IF($D$19=1,VLOOKUP($A77,SkewTable,HLOOKUP(ROUND(G77-AM77,1),SkewTable,2,FALSE()),FALSE())/100,0)</f>
        <v>#DIV/0!</v>
      </c>
      <c r="L77" s="4" t="e">
        <f aca="false">IF($F$19=1,VLOOKUP($A77,SkewTable,HLOOKUP(ROUND(H77-AX77,1),SkewTable,2,FALSE()),FALSE())/100,0)</f>
        <v>#DIV/0!</v>
      </c>
      <c r="M77" s="4" t="e">
        <f aca="false">IF($H$19=1,VLOOKUP($A77,SkewTable,HLOOKUP(ROUND(I77-BI77,1),SkewTable,2,FALSE()),FALSE())/100,0)</f>
        <v>#DIV/0!</v>
      </c>
      <c r="N77" s="4" t="n">
        <f aca="false">(($D77+J77)*$E77)+B$18</f>
        <v>0.3001185018386</v>
      </c>
      <c r="O77" s="4" t="e">
        <f aca="false">(($D77+K77)*$E77)+D$18</f>
        <v>#DIV/0!</v>
      </c>
      <c r="P77" s="4" t="e">
        <f aca="false">(($D77+L77)*$E77)+F$18</f>
        <v>#DIV/0!</v>
      </c>
      <c r="Q77" s="4" t="e">
        <f aca="false">(($D77+M77)*$E77)+H$18</f>
        <v>#DIV/0!</v>
      </c>
      <c r="R77" s="136" t="n">
        <f aca="false">IF(B$4=1,VLOOKUP(A77,expiration,2,FALSE()),VLOOKUP(A77,expiration,3,FALSE()))-B$2+$B$1</f>
        <v>-7730</v>
      </c>
      <c r="S77" s="4" t="n">
        <f aca="false">VLOOKUP($A77,STRADDLE,12,FALSE())</f>
        <v>0.067585126257915</v>
      </c>
      <c r="T77" s="1" t="n">
        <v>0</v>
      </c>
      <c r="U77" s="43" t="n">
        <v>0</v>
      </c>
      <c r="X77" s="43"/>
      <c r="Z77" s="9"/>
      <c r="AA77" s="9" t="n">
        <f aca="false">IF($A77&gt;=AB$25,IF($A77&lt;=AB$26,$T77,0),0)</f>
        <v>0</v>
      </c>
      <c r="AB77" s="9" t="n">
        <f aca="false">IF(T77&gt;0,AD77/AA77,0)</f>
        <v>0</v>
      </c>
      <c r="AC77" s="1" t="n">
        <f aca="false">AA77*($B77+B$13)</f>
        <v>0</v>
      </c>
      <c r="AD77" s="33" t="n">
        <f aca="false">IF(ISNUMBER(((AC77/AA77)+B$15+$C77)*AA77),((AC77/AA77)+B$15+$C77)*AA77,0)</f>
        <v>0</v>
      </c>
      <c r="AE77" s="44" t="n">
        <f aca="false">IF(AA77=0,0,bsd(1,AF$27,AB77,$F77,$R77,$N77,$S77,0.1))</f>
        <v>0</v>
      </c>
      <c r="AF77" s="44" t="n">
        <f aca="false">IF(AA77=0,0,bsd(2,AF$27,AB77,$F77,$R77,$N77,$S77,0.1))</f>
        <v>0</v>
      </c>
      <c r="AG77" s="44" t="n">
        <f aca="false">IF(AA77=0,0,bsd(AF$28,AF$27,AB77,$F77,$R77,$N77,$S77,0.1))</f>
        <v>0</v>
      </c>
      <c r="AH77" s="45" t="n">
        <f aca="false">AA77*AE77</f>
        <v>0</v>
      </c>
      <c r="AI77" s="45" t="n">
        <f aca="false">AA77*AF77</f>
        <v>0</v>
      </c>
      <c r="AJ77" s="45" t="n">
        <f aca="false">AA77*AG77</f>
        <v>0</v>
      </c>
      <c r="AL77" s="9" t="n">
        <f aca="false">IF($A77&gt;=AM$25,IF($A77&lt;=AM$26,$T77,0),0)</f>
        <v>0</v>
      </c>
      <c r="AM77" s="9" t="e">
        <f aca="false">AO77/AL77</f>
        <v>#DIV/0!</v>
      </c>
      <c r="AN77" s="1" t="n">
        <f aca="false">AL77*($B77+D$13)</f>
        <v>0</v>
      </c>
      <c r="AO77" s="33" t="n">
        <f aca="false">IF(ISNUMBER(((AN77/AL77)+D$15+$C77)*AL77),((AN77/AL77)+D$15+$C77)*AL77,0)</f>
        <v>0</v>
      </c>
      <c r="AP77" s="44" t="n">
        <f aca="false">IF(AL77=0,0,bsd(1,AQ$27,AM77,$G77,$R77,$O77,$S77,0.1))</f>
        <v>0</v>
      </c>
      <c r="AQ77" s="44" t="n">
        <f aca="false">IF(AL77=0,0,bsd(2,AQ$27,AM77,$G77,$R77,$O77,$S77,0.1))</f>
        <v>0</v>
      </c>
      <c r="AR77" s="44" t="n">
        <f aca="false">IF(AL77=0,0,bsd(AQ$28,AQ$27,AM77,$G77,$R77,$O77,$S77,0.1))</f>
        <v>0</v>
      </c>
      <c r="AS77" s="45" t="n">
        <f aca="false">AL77*AP77</f>
        <v>0</v>
      </c>
      <c r="AT77" s="45" t="n">
        <f aca="false">AL77*AQ77</f>
        <v>0</v>
      </c>
      <c r="AU77" s="45" t="n">
        <f aca="false">AL77*AR77</f>
        <v>0</v>
      </c>
      <c r="AW77" s="9" t="n">
        <f aca="false">IF($A77&gt;=AX$25,IF($A77&lt;=AX$26,$T77,0),0)</f>
        <v>0</v>
      </c>
      <c r="AX77" s="9" t="e">
        <f aca="false">AZ77/AW77</f>
        <v>#DIV/0!</v>
      </c>
      <c r="AY77" s="1" t="n">
        <f aca="false">AW77*($B77+F$13)</f>
        <v>0</v>
      </c>
      <c r="AZ77" s="33" t="n">
        <f aca="false">IF(ISNUMBER(((AY77/AW77)+F$15+$C77)*AW77),((AY77/AW77)+F$15+$C77)*AW77,0)</f>
        <v>0</v>
      </c>
      <c r="BA77" s="44" t="n">
        <f aca="false">IF(AW77=0,0,bsd(1,BB$27,AX77,$H77,$R77,$P77,$S77,0.1))</f>
        <v>0</v>
      </c>
      <c r="BB77" s="44" t="n">
        <f aca="false">IF(AW77=0,0,bsd(2,BB$27,AX77,$H77,$R77,$P77,$S77,0.1))</f>
        <v>0</v>
      </c>
      <c r="BC77" s="44" t="n">
        <f aca="false">IF(AW77=0,0,bsd(BB$28,BB$27,AX77,$H77,$R77,$P77,$S77,0.1))</f>
        <v>0</v>
      </c>
      <c r="BD77" s="45" t="n">
        <f aca="false">AW77*BA77</f>
        <v>0</v>
      </c>
      <c r="BE77" s="45" t="n">
        <f aca="false">AW77*BB77</f>
        <v>0</v>
      </c>
      <c r="BF77" s="45" t="n">
        <f aca="false">AW77*BC77</f>
        <v>0</v>
      </c>
      <c r="BH77" s="9" t="n">
        <f aca="false">IF($A77&gt;=BI$25,IF($A77&lt;=BI$26,$T77,0),0)</f>
        <v>0</v>
      </c>
      <c r="BI77" s="9" t="e">
        <f aca="false">BK77/BH77</f>
        <v>#DIV/0!</v>
      </c>
      <c r="BJ77" s="1" t="n">
        <f aca="false">BH77*($B77+H$13)</f>
        <v>0</v>
      </c>
      <c r="BK77" s="33" t="n">
        <f aca="false">IF(ISNUMBER(((BJ77/BH77)+H$15+$C77)*BH77),((BJ77/BH77)+H$15+$C77)*BH77,0)</f>
        <v>0</v>
      </c>
      <c r="BL77" s="44" t="n">
        <f aca="false">IF(BH77=0,0,bsd(1,BM$27,BI77,$I77,$R77,$Q77,$S77,0.1))</f>
        <v>0</v>
      </c>
      <c r="BM77" s="44" t="n">
        <f aca="false">IF(BH77=0,0,bsd(2,BM$27,BI77,$I77,$R77,$Q77,$S77,0.1))</f>
        <v>0</v>
      </c>
      <c r="BN77" s="44" t="n">
        <f aca="false">IF(BH77=0,0,bsd(BM$28,BM$27,BI77,$I77,$R77,$Q77,$S77,0.1))</f>
        <v>0</v>
      </c>
      <c r="BO77" s="45" t="n">
        <f aca="false">BH77*BL77</f>
        <v>0</v>
      </c>
      <c r="BP77" s="45" t="n">
        <f aca="false">BH77*BM77</f>
        <v>0</v>
      </c>
      <c r="BQ77" s="45" t="n">
        <f aca="false">BH77*BN77</f>
        <v>0</v>
      </c>
    </row>
    <row r="78" customFormat="false" ht="12.75" hidden="false" customHeight="false" outlineLevel="0" collapsed="false">
      <c r="A78" s="48" t="n">
        <f aca="false">DATE(YEAR(A77),MONTH(A77)+1,1)</f>
        <v>38231</v>
      </c>
      <c r="B78" s="40" t="n">
        <f aca="false">VLOOKUP(A78,STRADDLE,5,FALSE())</f>
        <v>3.103</v>
      </c>
      <c r="C78" s="40" t="n">
        <v>0</v>
      </c>
      <c r="D78" s="4" t="n">
        <f aca="false">VLOOKUP(A78,STRADDLE,8,FALSE())</f>
        <v>0.255</v>
      </c>
      <c r="E78" s="131" t="n">
        <f aca="false">IF(ISNUMBER(VLOOKUP(A78,VOLCURVES,HLOOKUP(B$5,VOLCURVES,2,FALSE()),FALSE())),VLOOKUP(A78,VOLCURVES,HLOOKUP(B$5,VOLCURVES,2,FALSE()),FALSE()),1)</f>
        <v>1</v>
      </c>
      <c r="F78" s="41" t="n">
        <f aca="false">IF($B$17=4,$AB78,$B$16)</f>
        <v>3.8</v>
      </c>
      <c r="G78" s="41" t="n">
        <f aca="false">IF($D$17=4,$AM78,$D$16)</f>
        <v>3.5</v>
      </c>
      <c r="H78" s="41" t="n">
        <f aca="false">IF($F$17=4,$AX78,$F$16)</f>
        <v>2.96</v>
      </c>
      <c r="I78" s="41" t="n">
        <f aca="false">IF($H$17=4,$BI78,$H$16)</f>
        <v>2.99</v>
      </c>
      <c r="J78" s="4" t="n">
        <f aca="false">IF($B$19=1,VLOOKUP($A78,SkewTable,HLOOKUP(ROUND(F78-AB78,1),SkewTable,2,FALSE()),FALSE())/100,0)</f>
        <v>0.0451185018386</v>
      </c>
      <c r="K78" s="4" t="e">
        <f aca="false">IF($D$19=1,VLOOKUP($A78,SkewTable,HLOOKUP(ROUND(G78-AM78,1),SkewTable,2,FALSE()),FALSE())/100,0)</f>
        <v>#DIV/0!</v>
      </c>
      <c r="L78" s="4" t="e">
        <f aca="false">IF($F$19=1,VLOOKUP($A78,SkewTable,HLOOKUP(ROUND(H78-AX78,1),SkewTable,2,FALSE()),FALSE())/100,0)</f>
        <v>#DIV/0!</v>
      </c>
      <c r="M78" s="4" t="e">
        <f aca="false">IF($H$19=1,VLOOKUP($A78,SkewTable,HLOOKUP(ROUND(I78-BI78,1),SkewTable,2,FALSE()),FALSE())/100,0)</f>
        <v>#DIV/0!</v>
      </c>
      <c r="N78" s="4" t="n">
        <f aca="false">(($D78+J78)*$E78)+B$18</f>
        <v>0.3001185018386</v>
      </c>
      <c r="O78" s="4" t="e">
        <f aca="false">(($D78+K78)*$E78)+D$18</f>
        <v>#DIV/0!</v>
      </c>
      <c r="P78" s="4" t="e">
        <f aca="false">(($D78+L78)*$E78)+F$18</f>
        <v>#DIV/0!</v>
      </c>
      <c r="Q78" s="4" t="e">
        <f aca="false">(($D78+M78)*$E78)+H$18</f>
        <v>#DIV/0!</v>
      </c>
      <c r="R78" s="136" t="n">
        <f aca="false">IF(B$4=1,VLOOKUP(A78,expiration,2,FALSE()),VLOOKUP(A78,expiration,3,FALSE()))-B$2+$B$1</f>
        <v>-7700</v>
      </c>
      <c r="S78" s="4" t="n">
        <f aca="false">VLOOKUP($A78,STRADDLE,12,FALSE())</f>
        <v>0.067635986711935</v>
      </c>
      <c r="T78" s="1" t="n">
        <v>0</v>
      </c>
      <c r="U78" s="43" t="n">
        <v>0</v>
      </c>
      <c r="X78" s="43"/>
      <c r="Z78" s="9"/>
      <c r="AA78" s="9" t="n">
        <f aca="false">IF($A78&gt;=AB$25,IF($A78&lt;=AB$26,$T78,0),0)</f>
        <v>0</v>
      </c>
      <c r="AB78" s="9" t="n">
        <f aca="false">IF(T78&gt;0,AD78/AA78,0)</f>
        <v>0</v>
      </c>
      <c r="AC78" s="1" t="n">
        <f aca="false">AA78*($B78+B$13)</f>
        <v>0</v>
      </c>
      <c r="AD78" s="33" t="n">
        <f aca="false">IF(ISNUMBER(((AC78/AA78)+B$15+$C78)*AA78),((AC78/AA78)+B$15+$C78)*AA78,0)</f>
        <v>0</v>
      </c>
      <c r="AE78" s="44" t="n">
        <f aca="false">IF(AA78=0,0,bsd(1,AF$27,AB78,$F78,$R78,$N78,$S78,0.1))</f>
        <v>0</v>
      </c>
      <c r="AF78" s="44" t="n">
        <f aca="false">IF(AA78=0,0,bsd(2,AF$27,AB78,$F78,$R78,$N78,$S78,0.1))</f>
        <v>0</v>
      </c>
      <c r="AG78" s="44" t="n">
        <f aca="false">IF(AA78=0,0,bsd(AF$28,AF$27,AB78,$F78,$R78,$N78,$S78,0.1))</f>
        <v>0</v>
      </c>
      <c r="AH78" s="45" t="n">
        <f aca="false">AA78*AE78</f>
        <v>0</v>
      </c>
      <c r="AI78" s="45" t="n">
        <f aca="false">AA78*AF78</f>
        <v>0</v>
      </c>
      <c r="AJ78" s="45" t="n">
        <f aca="false">AA78*AG78</f>
        <v>0</v>
      </c>
      <c r="AL78" s="9" t="n">
        <f aca="false">IF($A78&gt;=AM$25,IF($A78&lt;=AM$26,$T78,0),0)</f>
        <v>0</v>
      </c>
      <c r="AM78" s="9" t="e">
        <f aca="false">AO78/AL78</f>
        <v>#DIV/0!</v>
      </c>
      <c r="AN78" s="1" t="n">
        <f aca="false">AL78*($B78+D$13)</f>
        <v>0</v>
      </c>
      <c r="AO78" s="33" t="n">
        <f aca="false">IF(ISNUMBER(((AN78/AL78)+D$15+$C78)*AL78),((AN78/AL78)+D$15+$C78)*AL78,0)</f>
        <v>0</v>
      </c>
      <c r="AP78" s="44" t="n">
        <f aca="false">IF(AL78=0,0,bsd(1,AQ$27,AM78,$G78,$R78,$O78,$S78,0.1))</f>
        <v>0</v>
      </c>
      <c r="AQ78" s="44" t="n">
        <f aca="false">IF(AL78=0,0,bsd(2,AQ$27,AM78,$G78,$R78,$O78,$S78,0.1))</f>
        <v>0</v>
      </c>
      <c r="AR78" s="44" t="n">
        <f aca="false">IF(AL78=0,0,bsd(AQ$28,AQ$27,AM78,$G78,$R78,$O78,$S78,0.1))</f>
        <v>0</v>
      </c>
      <c r="AS78" s="45" t="n">
        <f aca="false">AL78*AP78</f>
        <v>0</v>
      </c>
      <c r="AT78" s="45" t="n">
        <f aca="false">AL78*AQ78</f>
        <v>0</v>
      </c>
      <c r="AU78" s="45" t="n">
        <f aca="false">AL78*AR78</f>
        <v>0</v>
      </c>
      <c r="AW78" s="9" t="n">
        <f aca="false">IF($A78&gt;=AX$25,IF($A78&lt;=AX$26,$T78,0),0)</f>
        <v>0</v>
      </c>
      <c r="AX78" s="9" t="e">
        <f aca="false">AZ78/AW78</f>
        <v>#DIV/0!</v>
      </c>
      <c r="AY78" s="1" t="n">
        <f aca="false">AW78*($B78+F$13)</f>
        <v>0</v>
      </c>
      <c r="AZ78" s="33" t="n">
        <f aca="false">IF(ISNUMBER(((AY78/AW78)+F$15+$C78)*AW78),((AY78/AW78)+F$15+$C78)*AW78,0)</f>
        <v>0</v>
      </c>
      <c r="BA78" s="44" t="n">
        <f aca="false">IF(AW78=0,0,bsd(1,BB$27,AX78,$H78,$R78,$P78,$S78,0.1))</f>
        <v>0</v>
      </c>
      <c r="BB78" s="44" t="n">
        <f aca="false">IF(AW78=0,0,bsd(2,BB$27,AX78,$H78,$R78,$P78,$S78,0.1))</f>
        <v>0</v>
      </c>
      <c r="BC78" s="44" t="n">
        <f aca="false">IF(AW78=0,0,bsd(BB$28,BB$27,AX78,$H78,$R78,$P78,$S78,0.1))</f>
        <v>0</v>
      </c>
      <c r="BD78" s="45" t="n">
        <f aca="false">AW78*BA78</f>
        <v>0</v>
      </c>
      <c r="BE78" s="45" t="n">
        <f aca="false">AW78*BB78</f>
        <v>0</v>
      </c>
      <c r="BF78" s="45" t="n">
        <f aca="false">AW78*BC78</f>
        <v>0</v>
      </c>
      <c r="BH78" s="9" t="n">
        <f aca="false">IF($A78&gt;=BI$25,IF($A78&lt;=BI$26,$T78,0),0)</f>
        <v>0</v>
      </c>
      <c r="BI78" s="9" t="e">
        <f aca="false">BK78/BH78</f>
        <v>#DIV/0!</v>
      </c>
      <c r="BJ78" s="1" t="n">
        <f aca="false">BH78*($B78+H$13)</f>
        <v>0</v>
      </c>
      <c r="BK78" s="33" t="n">
        <f aca="false">IF(ISNUMBER(((BJ78/BH78)+H$15+$C78)*BH78),((BJ78/BH78)+H$15+$C78)*BH78,0)</f>
        <v>0</v>
      </c>
      <c r="BL78" s="44" t="n">
        <f aca="false">IF(BH78=0,0,bsd(1,BM$27,BI78,$I78,$R78,$Q78,$S78,0.1))</f>
        <v>0</v>
      </c>
      <c r="BM78" s="44" t="n">
        <f aca="false">IF(BH78=0,0,bsd(2,BM$27,BI78,$I78,$R78,$Q78,$S78,0.1))</f>
        <v>0</v>
      </c>
      <c r="BN78" s="44" t="n">
        <f aca="false">IF(BH78=0,0,bsd(BM$28,BM$27,BI78,$I78,$R78,$Q78,$S78,0.1))</f>
        <v>0</v>
      </c>
      <c r="BO78" s="45" t="n">
        <f aca="false">BH78*BL78</f>
        <v>0</v>
      </c>
      <c r="BP78" s="45" t="n">
        <f aca="false">BH78*BM78</f>
        <v>0</v>
      </c>
      <c r="BQ78" s="45" t="n">
        <f aca="false">BH78*BN78</f>
        <v>0</v>
      </c>
    </row>
    <row r="79" customFormat="false" ht="12.75" hidden="false" customHeight="false" outlineLevel="0" collapsed="false">
      <c r="A79" s="48" t="n">
        <f aca="false">DATE(YEAR(A78),MONTH(A78)+1,1)</f>
        <v>38261</v>
      </c>
      <c r="B79" s="40" t="n">
        <f aca="false">VLOOKUP(A79,STRADDLE,5,FALSE())</f>
        <v>3.125</v>
      </c>
      <c r="C79" s="40" t="n">
        <v>0</v>
      </c>
      <c r="D79" s="4" t="n">
        <f aca="false">VLOOKUP(A79,STRADDLE,8,FALSE())</f>
        <v>0.255</v>
      </c>
      <c r="E79" s="131" t="n">
        <f aca="false">IF(ISNUMBER(VLOOKUP(A79,VOLCURVES,HLOOKUP(B$5,VOLCURVES,2,FALSE()),FALSE())),VLOOKUP(A79,VOLCURVES,HLOOKUP(B$5,VOLCURVES,2,FALSE()),FALSE()),1)</f>
        <v>1</v>
      </c>
      <c r="F79" s="41" t="n">
        <f aca="false">IF($B$17=4,$AB79,$B$16)</f>
        <v>3.8</v>
      </c>
      <c r="G79" s="41" t="n">
        <f aca="false">IF($D$17=4,$AM79,$D$16)</f>
        <v>3.5</v>
      </c>
      <c r="H79" s="41" t="n">
        <f aca="false">IF($F$17=4,$AX79,$F$16)</f>
        <v>2.96</v>
      </c>
      <c r="I79" s="41" t="n">
        <f aca="false">IF($H$17=4,$BI79,$H$16)</f>
        <v>2.99</v>
      </c>
      <c r="J79" s="4" t="n">
        <f aca="false">IF($B$19=1,VLOOKUP($A79,SkewTable,HLOOKUP(ROUND(F79-AB79,1),SkewTable,2,FALSE()),FALSE())/100,0)</f>
        <v>0.0451185018386</v>
      </c>
      <c r="K79" s="4" t="e">
        <f aca="false">IF($D$19=1,VLOOKUP($A79,SkewTable,HLOOKUP(ROUND(G79-AM79,1),SkewTable,2,FALSE()),FALSE())/100,0)</f>
        <v>#DIV/0!</v>
      </c>
      <c r="L79" s="4" t="e">
        <f aca="false">IF($F$19=1,VLOOKUP($A79,SkewTable,HLOOKUP(ROUND(H79-AX79,1),SkewTable,2,FALSE()),FALSE())/100,0)</f>
        <v>#DIV/0!</v>
      </c>
      <c r="M79" s="4" t="e">
        <f aca="false">IF($H$19=1,VLOOKUP($A79,SkewTable,HLOOKUP(ROUND(I79-BI79,1),SkewTable,2,FALSE()),FALSE())/100,0)</f>
        <v>#DIV/0!</v>
      </c>
      <c r="N79" s="4" t="n">
        <f aca="false">(($D79+J79)*$E79)+B$18</f>
        <v>0.3001185018386</v>
      </c>
      <c r="O79" s="4" t="e">
        <f aca="false">(($D79+K79)*$E79)+D$18</f>
        <v>#DIV/0!</v>
      </c>
      <c r="P79" s="4" t="e">
        <f aca="false">(($D79+L79)*$E79)+F$18</f>
        <v>#DIV/0!</v>
      </c>
      <c r="Q79" s="4" t="e">
        <f aca="false">(($D79+M79)*$E79)+H$18</f>
        <v>#DIV/0!</v>
      </c>
      <c r="R79" s="136" t="n">
        <f aca="false">IF(B$4=1,VLOOKUP(A79,expiration,2,FALSE()),VLOOKUP(A79,expiration,3,FALSE()))-B$2+$B$1</f>
        <v>-7668</v>
      </c>
      <c r="S79" s="4" t="n">
        <f aca="false">VLOOKUP($A79,STRADDLE,12,FALSE())</f>
        <v>0.067685206506965</v>
      </c>
      <c r="T79" s="1" t="n">
        <v>0</v>
      </c>
      <c r="U79" s="43" t="n">
        <v>0</v>
      </c>
      <c r="X79" s="43"/>
      <c r="Z79" s="9"/>
      <c r="AA79" s="9" t="n">
        <f aca="false">IF($A79&gt;=AB$25,IF($A79&lt;=AB$26,$T79,0),0)</f>
        <v>0</v>
      </c>
      <c r="AB79" s="9" t="n">
        <f aca="false">IF(T79&gt;0,AD79/AA79,0)</f>
        <v>0</v>
      </c>
      <c r="AC79" s="1" t="n">
        <f aca="false">AA79*($B79+B$13)</f>
        <v>0</v>
      </c>
      <c r="AD79" s="33" t="n">
        <f aca="false">IF(ISNUMBER(((AC79/AA79)+B$15+$C79)*AA79),((AC79/AA79)+B$15+$C79)*AA79,0)</f>
        <v>0</v>
      </c>
      <c r="AE79" s="44" t="n">
        <f aca="false">IF(AA79=0,0,bsd(1,AF$27,AB79,$F79,$R79,$N79,$S79,0.1))</f>
        <v>0</v>
      </c>
      <c r="AF79" s="44" t="n">
        <f aca="false">IF(AA79=0,0,bsd(2,AF$27,AB79,$F79,$R79,$N79,$S79,0.1))</f>
        <v>0</v>
      </c>
      <c r="AG79" s="44" t="n">
        <f aca="false">IF(AA79=0,0,bsd(AF$28,AF$27,AB79,$F79,$R79,$N79,$S79,0.1))</f>
        <v>0</v>
      </c>
      <c r="AH79" s="45" t="n">
        <f aca="false">AA79*AE79</f>
        <v>0</v>
      </c>
      <c r="AI79" s="45" t="n">
        <f aca="false">AA79*AF79</f>
        <v>0</v>
      </c>
      <c r="AJ79" s="45" t="n">
        <f aca="false">AA79*AG79</f>
        <v>0</v>
      </c>
      <c r="AL79" s="9" t="n">
        <f aca="false">IF($A79&gt;=AM$25,IF($A79&lt;=AM$26,$T79,0),0)</f>
        <v>0</v>
      </c>
      <c r="AM79" s="9" t="e">
        <f aca="false">AO79/AL79</f>
        <v>#DIV/0!</v>
      </c>
      <c r="AN79" s="1" t="n">
        <f aca="false">AL79*($B79+D$13)</f>
        <v>0</v>
      </c>
      <c r="AO79" s="33" t="n">
        <f aca="false">IF(ISNUMBER(((AN79/AL79)+D$15+$C79)*AL79),((AN79/AL79)+D$15+$C79)*AL79,0)</f>
        <v>0</v>
      </c>
      <c r="AP79" s="44" t="n">
        <f aca="false">IF(AL79=0,0,bsd(1,AQ$27,AM79,$G79,$R79,$O79,$S79,0.1))</f>
        <v>0</v>
      </c>
      <c r="AQ79" s="44" t="n">
        <f aca="false">IF(AL79=0,0,bsd(2,AQ$27,AM79,$G79,$R79,$O79,$S79,0.1))</f>
        <v>0</v>
      </c>
      <c r="AR79" s="44" t="n">
        <f aca="false">IF(AL79=0,0,bsd(AQ$28,AQ$27,AM79,$G79,$R79,$O79,$S79,0.1))</f>
        <v>0</v>
      </c>
      <c r="AS79" s="45" t="n">
        <f aca="false">AL79*AP79</f>
        <v>0</v>
      </c>
      <c r="AT79" s="45" t="n">
        <f aca="false">AL79*AQ79</f>
        <v>0</v>
      </c>
      <c r="AU79" s="45" t="n">
        <f aca="false">AL79*AR79</f>
        <v>0</v>
      </c>
      <c r="AW79" s="9" t="n">
        <f aca="false">IF($A79&gt;=AX$25,IF($A79&lt;=AX$26,$T79,0),0)</f>
        <v>0</v>
      </c>
      <c r="AX79" s="9" t="e">
        <f aca="false">AZ79/AW79</f>
        <v>#DIV/0!</v>
      </c>
      <c r="AY79" s="1" t="n">
        <f aca="false">AW79*($B79+F$13)</f>
        <v>0</v>
      </c>
      <c r="AZ79" s="33" t="n">
        <f aca="false">IF(ISNUMBER(((AY79/AW79)+F$15+$C79)*AW79),((AY79/AW79)+F$15+$C79)*AW79,0)</f>
        <v>0</v>
      </c>
      <c r="BA79" s="44" t="n">
        <f aca="false">IF(AW79=0,0,bsd(1,BB$27,AX79,$H79,$R79,$P79,$S79,0.1))</f>
        <v>0</v>
      </c>
      <c r="BB79" s="44" t="n">
        <f aca="false">IF(AW79=0,0,bsd(2,BB$27,AX79,$H79,$R79,$P79,$S79,0.1))</f>
        <v>0</v>
      </c>
      <c r="BC79" s="44" t="n">
        <f aca="false">IF(AW79=0,0,bsd(BB$28,BB$27,AX79,$H79,$R79,$P79,$S79,0.1))</f>
        <v>0</v>
      </c>
      <c r="BD79" s="45" t="n">
        <f aca="false">AW79*BA79</f>
        <v>0</v>
      </c>
      <c r="BE79" s="45" t="n">
        <f aca="false">AW79*BB79</f>
        <v>0</v>
      </c>
      <c r="BF79" s="45" t="n">
        <f aca="false">AW79*BC79</f>
        <v>0</v>
      </c>
      <c r="BH79" s="9" t="n">
        <f aca="false">IF($A79&gt;=BI$25,IF($A79&lt;=BI$26,$T79,0),0)</f>
        <v>0</v>
      </c>
      <c r="BI79" s="9" t="e">
        <f aca="false">BK79/BH79</f>
        <v>#DIV/0!</v>
      </c>
      <c r="BJ79" s="1" t="n">
        <f aca="false">BH79*($B79+H$13)</f>
        <v>0</v>
      </c>
      <c r="BK79" s="33" t="n">
        <f aca="false">IF(ISNUMBER(((BJ79/BH79)+H$15+$C79)*BH79),((BJ79/BH79)+H$15+$C79)*BH79,0)</f>
        <v>0</v>
      </c>
      <c r="BL79" s="44" t="n">
        <f aca="false">IF(BH79=0,0,bsd(1,BM$27,BI79,$I79,$R79,$Q79,$S79,0.1))</f>
        <v>0</v>
      </c>
      <c r="BM79" s="44" t="n">
        <f aca="false">IF(BH79=0,0,bsd(2,BM$27,BI79,$I79,$R79,$Q79,$S79,0.1))</f>
        <v>0</v>
      </c>
      <c r="BN79" s="44" t="n">
        <f aca="false">IF(BH79=0,0,bsd(BM$28,BM$27,BI79,$I79,$R79,$Q79,$S79,0.1))</f>
        <v>0</v>
      </c>
      <c r="BO79" s="45" t="n">
        <f aca="false">BH79*BL79</f>
        <v>0</v>
      </c>
      <c r="BP79" s="45" t="n">
        <f aca="false">BH79*BM79</f>
        <v>0</v>
      </c>
      <c r="BQ79" s="45" t="n">
        <f aca="false">BH79*BN79</f>
        <v>0</v>
      </c>
    </row>
    <row r="80" customFormat="false" ht="12.75" hidden="false" customHeight="false" outlineLevel="0" collapsed="false">
      <c r="A80" s="48" t="n">
        <f aca="false">DATE(YEAR(A79),MONTH(A79)+1,1)</f>
        <v>38292</v>
      </c>
      <c r="B80" s="40" t="n">
        <f aca="false">VLOOKUP(A80,STRADDLE,5,FALSE())</f>
        <v>3.212</v>
      </c>
      <c r="C80" s="40" t="n">
        <v>0</v>
      </c>
      <c r="D80" s="4" t="n">
        <f aca="false">VLOOKUP(A80,STRADDLE,8,FALSE())</f>
        <v>0.2575</v>
      </c>
      <c r="E80" s="131" t="n">
        <f aca="false">IF(ISNUMBER(VLOOKUP(A80,VOLCURVES,HLOOKUP(B$5,VOLCURVES,2,FALSE()),FALSE())),VLOOKUP(A80,VOLCURVES,HLOOKUP(B$5,VOLCURVES,2,FALSE()),FALSE()),1)</f>
        <v>1</v>
      </c>
      <c r="F80" s="41" t="n">
        <f aca="false">IF($B$17=4,$AB80,$B$16)</f>
        <v>3.8</v>
      </c>
      <c r="G80" s="41" t="n">
        <f aca="false">IF($D$17=4,$AM80,$D$16)</f>
        <v>3.5</v>
      </c>
      <c r="H80" s="41" t="n">
        <f aca="false">IF($F$17=4,$AX80,$F$16)</f>
        <v>2.96</v>
      </c>
      <c r="I80" s="41" t="n">
        <f aca="false">IF($H$17=4,$BI80,$H$16)</f>
        <v>2.99</v>
      </c>
      <c r="J80" s="4" t="n">
        <f aca="false">IF($B$19=1,VLOOKUP($A80,SkewTable,HLOOKUP(ROUND(F80-AB80,1),SkewTable,2,FALSE()),FALSE())/100,0)</f>
        <v>0.0451185018386</v>
      </c>
      <c r="K80" s="4" t="e">
        <f aca="false">IF($D$19=1,VLOOKUP($A80,SkewTable,HLOOKUP(ROUND(G80-AM80,1),SkewTable,2,FALSE()),FALSE())/100,0)</f>
        <v>#DIV/0!</v>
      </c>
      <c r="L80" s="4" t="e">
        <f aca="false">IF($F$19=1,VLOOKUP($A80,SkewTable,HLOOKUP(ROUND(H80-AX80,1),SkewTable,2,FALSE()),FALSE())/100,0)</f>
        <v>#DIV/0!</v>
      </c>
      <c r="M80" s="4" t="e">
        <f aca="false">IF($H$19=1,VLOOKUP($A80,SkewTable,HLOOKUP(ROUND(I80-BI80,1),SkewTable,2,FALSE()),FALSE())/100,0)</f>
        <v>#DIV/0!</v>
      </c>
      <c r="N80" s="4" t="n">
        <f aca="false">(($D80+J80)*$E80)+B$18</f>
        <v>0.3026185018386</v>
      </c>
      <c r="O80" s="4" t="e">
        <f aca="false">(($D80+K80)*$E80)+D$18</f>
        <v>#DIV/0!</v>
      </c>
      <c r="P80" s="4" t="e">
        <f aca="false">(($D80+L80)*$E80)+F$18</f>
        <v>#DIV/0!</v>
      </c>
      <c r="Q80" s="4" t="e">
        <f aca="false">(($D80+M80)*$E80)+H$18</f>
        <v>#DIV/0!</v>
      </c>
      <c r="R80" s="136" t="n">
        <f aca="false">IF(B$4=1,VLOOKUP(A80,expiration,2,FALSE()),VLOOKUP(A80,expiration,3,FALSE()))-B$2+$B$1</f>
        <v>-7639</v>
      </c>
      <c r="S80" s="4" t="n">
        <f aca="false">VLOOKUP($A80,STRADDLE,12,FALSE())</f>
        <v>0.067736066962671</v>
      </c>
      <c r="T80" s="1" t="n">
        <v>0</v>
      </c>
      <c r="U80" s="43" t="n">
        <v>0</v>
      </c>
      <c r="X80" s="43"/>
      <c r="Z80" s="9"/>
      <c r="AA80" s="9" t="n">
        <f aca="false">IF($A80&gt;=AB$25,IF($A80&lt;=AB$26,$T80,0),0)</f>
        <v>0</v>
      </c>
      <c r="AB80" s="9" t="n">
        <f aca="false">IF(T80&gt;0,AD80/AA80,0)</f>
        <v>0</v>
      </c>
      <c r="AC80" s="1" t="n">
        <f aca="false">AA80*($B80+B$13)</f>
        <v>0</v>
      </c>
      <c r="AD80" s="33" t="n">
        <f aca="false">IF(ISNUMBER(((AC80/AA80)+B$15+$C80)*AA80),((AC80/AA80)+B$15+$C80)*AA80,0)</f>
        <v>0</v>
      </c>
      <c r="AE80" s="44" t="n">
        <f aca="false">IF(AA80=0,0,bsd(1,AF$27,AB80,$F80,$R80,$N80,$S80,0.1))</f>
        <v>0</v>
      </c>
      <c r="AF80" s="44" t="n">
        <f aca="false">IF(AA80=0,0,bsd(2,AF$27,AB80,$F80,$R80,$N80,$S80,0.1))</f>
        <v>0</v>
      </c>
      <c r="AG80" s="44" t="n">
        <f aca="false">IF(AA80=0,0,bsd(AF$28,AF$27,AB80,$F80,$R80,$N80,$S80,0.1))</f>
        <v>0</v>
      </c>
      <c r="AH80" s="45" t="n">
        <f aca="false">AA80*AE80</f>
        <v>0</v>
      </c>
      <c r="AI80" s="45" t="n">
        <f aca="false">AA80*AF80</f>
        <v>0</v>
      </c>
      <c r="AJ80" s="45" t="n">
        <f aca="false">AA80*AG80</f>
        <v>0</v>
      </c>
      <c r="AL80" s="9" t="n">
        <f aca="false">IF($A80&gt;=AM$25,IF($A80&lt;=AM$26,$T80,0),0)</f>
        <v>0</v>
      </c>
      <c r="AM80" s="9" t="e">
        <f aca="false">AO80/AL80</f>
        <v>#DIV/0!</v>
      </c>
      <c r="AN80" s="1" t="n">
        <f aca="false">AL80*($B80+D$13)</f>
        <v>0</v>
      </c>
      <c r="AO80" s="33" t="n">
        <f aca="false">IF(ISNUMBER(((AN80/AL80)+D$15+$C80)*AL80),((AN80/AL80)+D$15+$C80)*AL80,0)</f>
        <v>0</v>
      </c>
      <c r="AP80" s="44" t="n">
        <f aca="false">IF(AL80=0,0,bsd(1,AQ$27,AM80,$G80,$R80,$O80,$S80,0.1))</f>
        <v>0</v>
      </c>
      <c r="AQ80" s="44" t="n">
        <f aca="false">IF(AL80=0,0,bsd(2,AQ$27,AM80,$G80,$R80,$O80,$S80,0.1))</f>
        <v>0</v>
      </c>
      <c r="AR80" s="44" t="n">
        <f aca="false">IF(AL80=0,0,bsd(AQ$28,AQ$27,AM80,$G80,$R80,$O80,$S80,0.1))</f>
        <v>0</v>
      </c>
      <c r="AS80" s="45" t="n">
        <f aca="false">AL80*AP80</f>
        <v>0</v>
      </c>
      <c r="AT80" s="45" t="n">
        <f aca="false">AL80*AQ80</f>
        <v>0</v>
      </c>
      <c r="AU80" s="45" t="n">
        <f aca="false">AL80*AR80</f>
        <v>0</v>
      </c>
      <c r="AW80" s="9" t="n">
        <f aca="false">IF($A80&gt;=AX$25,IF($A80&lt;=AX$26,$T80,0),0)</f>
        <v>0</v>
      </c>
      <c r="AX80" s="9" t="e">
        <f aca="false">AZ80/AW80</f>
        <v>#DIV/0!</v>
      </c>
      <c r="AY80" s="1" t="n">
        <f aca="false">AW80*($B80+F$13)</f>
        <v>0</v>
      </c>
      <c r="AZ80" s="33" t="n">
        <f aca="false">IF(ISNUMBER(((AY80/AW80)+F$15+$C80)*AW80),((AY80/AW80)+F$15+$C80)*AW80,0)</f>
        <v>0</v>
      </c>
      <c r="BA80" s="44" t="n">
        <f aca="false">IF(AW80=0,0,bsd(1,BB$27,AX80,$H80,$R80,$P80,$S80,0.1))</f>
        <v>0</v>
      </c>
      <c r="BB80" s="44" t="n">
        <f aca="false">IF(AW80=0,0,bsd(2,BB$27,AX80,$H80,$R80,$P80,$S80,0.1))</f>
        <v>0</v>
      </c>
      <c r="BC80" s="44" t="n">
        <f aca="false">IF(AW80=0,0,bsd(BB$28,BB$27,AX80,$H80,$R80,$P80,$S80,0.1))</f>
        <v>0</v>
      </c>
      <c r="BD80" s="45" t="n">
        <f aca="false">AW80*BA80</f>
        <v>0</v>
      </c>
      <c r="BE80" s="45" t="n">
        <f aca="false">AW80*BB80</f>
        <v>0</v>
      </c>
      <c r="BF80" s="45" t="n">
        <f aca="false">AW80*BC80</f>
        <v>0</v>
      </c>
      <c r="BH80" s="9" t="n">
        <f aca="false">IF($A80&gt;=BI$25,IF($A80&lt;=BI$26,$T80,0),0)</f>
        <v>0</v>
      </c>
      <c r="BI80" s="9" t="e">
        <f aca="false">BK80/BH80</f>
        <v>#DIV/0!</v>
      </c>
      <c r="BJ80" s="1" t="n">
        <f aca="false">BH80*($B80+H$13)</f>
        <v>0</v>
      </c>
      <c r="BK80" s="33" t="n">
        <f aca="false">IF(ISNUMBER(((BJ80/BH80)+H$15+$C80)*BH80),((BJ80/BH80)+H$15+$C80)*BH80,0)</f>
        <v>0</v>
      </c>
      <c r="BL80" s="44" t="n">
        <f aca="false">IF(BH80=0,0,bsd(1,BM$27,BI80,$I80,$R80,$Q80,$S80,0.1))</f>
        <v>0</v>
      </c>
      <c r="BM80" s="44" t="n">
        <f aca="false">IF(BH80=0,0,bsd(2,BM$27,BI80,$I80,$R80,$Q80,$S80,0.1))</f>
        <v>0</v>
      </c>
      <c r="BN80" s="44" t="n">
        <f aca="false">IF(BH80=0,0,bsd(BM$28,BM$27,BI80,$I80,$R80,$Q80,$S80,0.1))</f>
        <v>0</v>
      </c>
      <c r="BO80" s="45" t="n">
        <f aca="false">BH80*BL80</f>
        <v>0</v>
      </c>
      <c r="BP80" s="45" t="n">
        <f aca="false">BH80*BM80</f>
        <v>0</v>
      </c>
      <c r="BQ80" s="45" t="n">
        <f aca="false">BH80*BN80</f>
        <v>0</v>
      </c>
    </row>
    <row r="81" customFormat="false" ht="12.75" hidden="false" customHeight="false" outlineLevel="0" collapsed="false">
      <c r="A81" s="48" t="n">
        <f aca="false">DATE(YEAR(A80),MONTH(A80)+1,1)</f>
        <v>38322</v>
      </c>
      <c r="B81" s="40" t="n">
        <f aca="false">VLOOKUP(A81,STRADDLE,5,FALSE())</f>
        <v>3.285</v>
      </c>
      <c r="C81" s="40" t="n">
        <v>0</v>
      </c>
      <c r="D81" s="4" t="n">
        <f aca="false">VLOOKUP(A81,STRADDLE,8,FALSE())</f>
        <v>0.26</v>
      </c>
      <c r="E81" s="131" t="n">
        <f aca="false">IF(ISNUMBER(VLOOKUP(A81,VOLCURVES,HLOOKUP(B$5,VOLCURVES,2,FALSE()),FALSE())),VLOOKUP(A81,VOLCURVES,HLOOKUP(B$5,VOLCURVES,2,FALSE()),FALSE()),1)</f>
        <v>1</v>
      </c>
      <c r="F81" s="41" t="n">
        <f aca="false">IF($B$17=4,$AB81,$B$16)</f>
        <v>3.8</v>
      </c>
      <c r="G81" s="41" t="n">
        <f aca="false">IF($D$17=4,$AM81,$D$16)</f>
        <v>3.5</v>
      </c>
      <c r="H81" s="41" t="n">
        <f aca="false">IF($F$17=4,$AX81,$F$16)</f>
        <v>2.96</v>
      </c>
      <c r="I81" s="41" t="n">
        <f aca="false">IF($H$17=4,$BI81,$H$16)</f>
        <v>2.99</v>
      </c>
      <c r="J81" s="4" t="n">
        <f aca="false">IF($B$19=1,VLOOKUP($A81,SkewTable,HLOOKUP(ROUND(F81-AB81,1),SkewTable,2,FALSE()),FALSE())/100,0)</f>
        <v>0.0451185018386</v>
      </c>
      <c r="K81" s="4" t="e">
        <f aca="false">IF($D$19=1,VLOOKUP($A81,SkewTable,HLOOKUP(ROUND(G81-AM81,1),SkewTable,2,FALSE()),FALSE())/100,0)</f>
        <v>#DIV/0!</v>
      </c>
      <c r="L81" s="4" t="e">
        <f aca="false">IF($F$19=1,VLOOKUP($A81,SkewTable,HLOOKUP(ROUND(H81-AX81,1),SkewTable,2,FALSE()),FALSE())/100,0)</f>
        <v>#DIV/0!</v>
      </c>
      <c r="M81" s="4" t="e">
        <f aca="false">IF($H$19=1,VLOOKUP($A81,SkewTable,HLOOKUP(ROUND(I81-BI81,1),SkewTable,2,FALSE()),FALSE())/100,0)</f>
        <v>#DIV/0!</v>
      </c>
      <c r="N81" s="4" t="n">
        <f aca="false">(($D81+J81)*$E81)+B$18</f>
        <v>0.3051185018386</v>
      </c>
      <c r="O81" s="4" t="e">
        <f aca="false">(($D81+K81)*$E81)+D$18</f>
        <v>#DIV/0!</v>
      </c>
      <c r="P81" s="4" t="e">
        <f aca="false">(($D81+L81)*$E81)+F$18</f>
        <v>#DIV/0!</v>
      </c>
      <c r="Q81" s="4" t="e">
        <f aca="false">(($D81+M81)*$E81)+H$18</f>
        <v>#DIV/0!</v>
      </c>
      <c r="R81" s="136" t="n">
        <f aca="false">IF(B$4=1,VLOOKUP(A81,expiration,2,FALSE()),VLOOKUP(A81,expiration,3,FALSE()))-B$2+$B$1</f>
        <v>-7609</v>
      </c>
      <c r="S81" s="4" t="n">
        <f aca="false">VLOOKUP($A81,STRADDLE,12,FALSE())</f>
        <v>0.067785286759331</v>
      </c>
      <c r="T81" s="1" t="n">
        <v>0</v>
      </c>
      <c r="U81" s="43" t="n">
        <v>0</v>
      </c>
      <c r="X81" s="43"/>
      <c r="Z81" s="9"/>
      <c r="AA81" s="9" t="n">
        <f aca="false">IF($A81&gt;=AB$25,IF($A81&lt;=AB$26,$T81,0),0)</f>
        <v>0</v>
      </c>
      <c r="AB81" s="9" t="n">
        <f aca="false">IF(T81&gt;0,AD81/AA81,0)</f>
        <v>0</v>
      </c>
      <c r="AC81" s="1" t="n">
        <f aca="false">AA81*($B81+B$13)</f>
        <v>0</v>
      </c>
      <c r="AD81" s="33" t="n">
        <f aca="false">IF(ISNUMBER(((AC81/AA81)+B$15+$C81)*AA81),((AC81/AA81)+B$15+$C81)*AA81,0)</f>
        <v>0</v>
      </c>
      <c r="AE81" s="44" t="n">
        <f aca="false">IF(AA81=0,0,bsd(1,AF$27,AB81,$F81,$R81,$N81,$S81,0.1))</f>
        <v>0</v>
      </c>
      <c r="AF81" s="44" t="n">
        <f aca="false">IF(AA81=0,0,bsd(2,AF$27,AB81,$F81,$R81,$N81,$S81,0.1))</f>
        <v>0</v>
      </c>
      <c r="AG81" s="44" t="n">
        <f aca="false">IF(AA81=0,0,bsd(AF$28,AF$27,AB81,$F81,$R81,$N81,$S81,0.1))</f>
        <v>0</v>
      </c>
      <c r="AH81" s="45" t="n">
        <f aca="false">AA81*AE81</f>
        <v>0</v>
      </c>
      <c r="AI81" s="45" t="n">
        <f aca="false">AA81*AF81</f>
        <v>0</v>
      </c>
      <c r="AJ81" s="45" t="n">
        <f aca="false">AA81*AG81</f>
        <v>0</v>
      </c>
      <c r="AL81" s="9" t="n">
        <f aca="false">IF($A81&gt;=AM$25,IF($A81&lt;=AM$26,$T81,0),0)</f>
        <v>0</v>
      </c>
      <c r="AM81" s="9" t="e">
        <f aca="false">AO81/AL81</f>
        <v>#DIV/0!</v>
      </c>
      <c r="AN81" s="1" t="n">
        <f aca="false">AL81*($B81+D$13)</f>
        <v>0</v>
      </c>
      <c r="AO81" s="33" t="n">
        <f aca="false">IF(ISNUMBER(((AN81/AL81)+D$15+$C81)*AL81),((AN81/AL81)+D$15+$C81)*AL81,0)</f>
        <v>0</v>
      </c>
      <c r="AP81" s="44" t="n">
        <f aca="false">IF(AL81=0,0,bsd(1,AQ$27,AM81,$G81,$R81,$O81,$S81,0.1))</f>
        <v>0</v>
      </c>
      <c r="AQ81" s="44" t="n">
        <f aca="false">IF(AL81=0,0,bsd(2,AQ$27,AM81,$G81,$R81,$O81,$S81,0.1))</f>
        <v>0</v>
      </c>
      <c r="AR81" s="44" t="n">
        <f aca="false">IF(AL81=0,0,bsd(AQ$28,AQ$27,AM81,$G81,$R81,$O81,$S81,0.1))</f>
        <v>0</v>
      </c>
      <c r="AS81" s="45" t="n">
        <f aca="false">AL81*AP81</f>
        <v>0</v>
      </c>
      <c r="AT81" s="45" t="n">
        <f aca="false">AL81*AQ81</f>
        <v>0</v>
      </c>
      <c r="AU81" s="45" t="n">
        <f aca="false">AL81*AR81</f>
        <v>0</v>
      </c>
      <c r="AW81" s="9" t="n">
        <f aca="false">IF($A81&gt;=AX$25,IF($A81&lt;=AX$26,$T81,0),0)</f>
        <v>0</v>
      </c>
      <c r="AX81" s="9" t="e">
        <f aca="false">AZ81/AW81</f>
        <v>#DIV/0!</v>
      </c>
      <c r="AY81" s="1" t="n">
        <f aca="false">AW81*($B81+F$13)</f>
        <v>0</v>
      </c>
      <c r="AZ81" s="33" t="n">
        <f aca="false">IF(ISNUMBER(((AY81/AW81)+F$15+$C81)*AW81),((AY81/AW81)+F$15+$C81)*AW81,0)</f>
        <v>0</v>
      </c>
      <c r="BA81" s="44" t="n">
        <f aca="false">IF(AW81=0,0,bsd(1,BB$27,AX81,$H81,$R81,$P81,$S81,0.1))</f>
        <v>0</v>
      </c>
      <c r="BB81" s="44" t="n">
        <f aca="false">IF(AW81=0,0,bsd(2,BB$27,AX81,$H81,$R81,$P81,$S81,0.1))</f>
        <v>0</v>
      </c>
      <c r="BC81" s="44" t="n">
        <f aca="false">IF(AW81=0,0,bsd(BB$28,BB$27,AX81,$H81,$R81,$P81,$S81,0.1))</f>
        <v>0</v>
      </c>
      <c r="BD81" s="45" t="n">
        <f aca="false">AW81*BA81</f>
        <v>0</v>
      </c>
      <c r="BE81" s="45" t="n">
        <f aca="false">AW81*BB81</f>
        <v>0</v>
      </c>
      <c r="BF81" s="45" t="n">
        <f aca="false">AW81*BC81</f>
        <v>0</v>
      </c>
      <c r="BH81" s="9" t="n">
        <f aca="false">IF($A81&gt;=BI$25,IF($A81&lt;=BI$26,$T81,0),0)</f>
        <v>0</v>
      </c>
      <c r="BI81" s="9" t="e">
        <f aca="false">BK81/BH81</f>
        <v>#DIV/0!</v>
      </c>
      <c r="BJ81" s="1" t="n">
        <f aca="false">BH81*($B81+H$13)</f>
        <v>0</v>
      </c>
      <c r="BK81" s="33" t="n">
        <f aca="false">IF(ISNUMBER(((BJ81/BH81)+H$15+$C81)*BH81),((BJ81/BH81)+H$15+$C81)*BH81,0)</f>
        <v>0</v>
      </c>
      <c r="BL81" s="44" t="n">
        <f aca="false">IF(BH81=0,0,bsd(1,BM$27,BI81,$I81,$R81,$Q81,$S81,0.1))</f>
        <v>0</v>
      </c>
      <c r="BM81" s="44" t="n">
        <f aca="false">IF(BH81=0,0,bsd(2,BM$27,BI81,$I81,$R81,$Q81,$S81,0.1))</f>
        <v>0</v>
      </c>
      <c r="BN81" s="44" t="n">
        <f aca="false">IF(BH81=0,0,bsd(BM$28,BM$27,BI81,$I81,$R81,$Q81,$S81,0.1))</f>
        <v>0</v>
      </c>
      <c r="BO81" s="45" t="n">
        <f aca="false">BH81*BL81</f>
        <v>0</v>
      </c>
      <c r="BP81" s="45" t="n">
        <f aca="false">BH81*BM81</f>
        <v>0</v>
      </c>
      <c r="BQ81" s="45" t="n">
        <f aca="false">BH81*BN81</f>
        <v>0</v>
      </c>
    </row>
    <row r="82" customFormat="false" ht="12.75" hidden="false" customHeight="false" outlineLevel="0" collapsed="false">
      <c r="A82" s="48" t="n">
        <f aca="false">DATE(YEAR(A81),MONTH(A81)+1,1)</f>
        <v>38353</v>
      </c>
      <c r="B82" s="40" t="n">
        <f aca="false">VLOOKUP(A82,STRADDLE,5,FALSE())</f>
        <v>3.581</v>
      </c>
      <c r="C82" s="40" t="n">
        <v>0</v>
      </c>
      <c r="D82" s="4" t="n">
        <f aca="false">VLOOKUP(A82,STRADDLE,8,FALSE())</f>
        <v>0.265</v>
      </c>
      <c r="E82" s="131" t="n">
        <f aca="false">IF(ISNUMBER(VLOOKUP(A82,VOLCURVES,HLOOKUP(B$5,VOLCURVES,2,FALSE()),FALSE())),VLOOKUP(A82,VOLCURVES,HLOOKUP(B$5,VOLCURVES,2,FALSE()),FALSE()),1)</f>
        <v>1</v>
      </c>
      <c r="F82" s="41" t="n">
        <f aca="false">IF($B$17=4,$AB82,$B$16)</f>
        <v>3.8</v>
      </c>
      <c r="G82" s="41" t="n">
        <f aca="false">IF($D$17=4,$AM82,$D$16)</f>
        <v>3.5</v>
      </c>
      <c r="H82" s="41" t="n">
        <f aca="false">IF($F$17=4,$AX82,$F$16)</f>
        <v>2.96</v>
      </c>
      <c r="I82" s="41" t="n">
        <f aca="false">IF($H$17=4,$BI82,$H$16)</f>
        <v>2.99</v>
      </c>
      <c r="J82" s="4" t="n">
        <f aca="false">IF($B$19=1,VLOOKUP($A82,SkewTable,HLOOKUP(ROUND(F82-AB82,1),SkewTable,2,FALSE()),FALSE())/100,0)</f>
        <v>0.0451185018386</v>
      </c>
      <c r="K82" s="4" t="e">
        <f aca="false">IF($D$19=1,VLOOKUP($A82,SkewTable,HLOOKUP(ROUND(G82-AM82,1),SkewTable,2,FALSE()),FALSE())/100,0)</f>
        <v>#DIV/0!</v>
      </c>
      <c r="L82" s="4" t="e">
        <f aca="false">IF($F$19=1,VLOOKUP($A82,SkewTable,HLOOKUP(ROUND(H82-AX82,1),SkewTable,2,FALSE()),FALSE())/100,0)</f>
        <v>#DIV/0!</v>
      </c>
      <c r="M82" s="4" t="e">
        <f aca="false">IF($H$19=1,VLOOKUP($A82,SkewTable,HLOOKUP(ROUND(I82-BI82,1),SkewTable,2,FALSE()),FALSE())/100,0)</f>
        <v>#DIV/0!</v>
      </c>
      <c r="N82" s="4" t="n">
        <f aca="false">(($D82+J82)*$E82)+B$18</f>
        <v>0.3101185018386</v>
      </c>
      <c r="O82" s="4" t="e">
        <f aca="false">(($D82+K82)*$E82)+D$18</f>
        <v>#DIV/0!</v>
      </c>
      <c r="P82" s="4" t="e">
        <f aca="false">(($D82+L82)*$E82)+F$18</f>
        <v>#DIV/0!</v>
      </c>
      <c r="Q82" s="4" t="e">
        <f aca="false">(($D82+M82)*$E82)+H$18</f>
        <v>#DIV/0!</v>
      </c>
      <c r="R82" s="136" t="n">
        <f aca="false">IF(B$4=1,VLOOKUP(A82,expiration,2,FALSE()),VLOOKUP(A82,expiration,3,FALSE()))-B$2+$B$1</f>
        <v>-7577</v>
      </c>
      <c r="S82" s="4" t="n">
        <f aca="false">VLOOKUP($A82,STRADDLE,12,FALSE())</f>
        <v>0.067836147216722</v>
      </c>
      <c r="T82" s="1" t="n">
        <v>0</v>
      </c>
      <c r="U82" s="43" t="n">
        <v>0</v>
      </c>
      <c r="X82" s="43"/>
      <c r="Z82" s="9"/>
      <c r="AA82" s="9" t="n">
        <f aca="false">IF($A82&gt;=AB$25,IF($A82&lt;=AB$26,$T82,0),0)</f>
        <v>0</v>
      </c>
      <c r="AB82" s="9" t="n">
        <f aca="false">IF(T82&gt;0,AD82/AA82,0)</f>
        <v>0</v>
      </c>
      <c r="AC82" s="1" t="n">
        <f aca="false">AA82*($B82+B$13)</f>
        <v>0</v>
      </c>
      <c r="AD82" s="33" t="n">
        <f aca="false">IF(ISNUMBER(((AC82/AA82)+B$15+$C82)*AA82),((AC82/AA82)+B$15+$C82)*AA82,0)</f>
        <v>0</v>
      </c>
      <c r="AE82" s="44" t="n">
        <f aca="false">IF(AA82=0,0,bsd(1,AF$27,AB82,$F82,$R82,$N82,$S82,0.1))</f>
        <v>0</v>
      </c>
      <c r="AF82" s="44" t="n">
        <f aca="false">IF(AA82=0,0,bsd(2,AF$27,AB82,$F82,$R82,$N82,$S82,0.1))</f>
        <v>0</v>
      </c>
      <c r="AG82" s="44" t="n">
        <f aca="false">IF(AA82=0,0,bsd(AF$28,AF$27,AB82,$F82,$R82,$N82,$S82,0.1))</f>
        <v>0</v>
      </c>
      <c r="AH82" s="45" t="n">
        <f aca="false">AA82*AE82</f>
        <v>0</v>
      </c>
      <c r="AI82" s="45" t="n">
        <f aca="false">AA82*AF82</f>
        <v>0</v>
      </c>
      <c r="AJ82" s="45" t="n">
        <f aca="false">AA82*AG82</f>
        <v>0</v>
      </c>
      <c r="AL82" s="9" t="n">
        <f aca="false">IF($A82&gt;=AM$25,IF($A82&lt;=AM$26,$T82,0),0)</f>
        <v>0</v>
      </c>
      <c r="AM82" s="9" t="e">
        <f aca="false">AO82/AL82</f>
        <v>#DIV/0!</v>
      </c>
      <c r="AN82" s="1" t="n">
        <f aca="false">AL82*($B82+D$13)</f>
        <v>0</v>
      </c>
      <c r="AO82" s="33" t="n">
        <f aca="false">IF(ISNUMBER(((AN82/AL82)+D$15+$C82)*AL82),((AN82/AL82)+D$15+$C82)*AL82,0)</f>
        <v>0</v>
      </c>
      <c r="AP82" s="44" t="n">
        <f aca="false">IF(AL82=0,0,bsd(1,AQ$27,AM82,$G82,$R82,$O82,$S82,0.1))</f>
        <v>0</v>
      </c>
      <c r="AQ82" s="44" t="n">
        <f aca="false">IF(AL82=0,0,bsd(2,AQ$27,AM82,$G82,$R82,$O82,$S82,0.1))</f>
        <v>0</v>
      </c>
      <c r="AR82" s="44" t="n">
        <f aca="false">IF(AL82=0,0,bsd(AQ$28,AQ$27,AM82,$G82,$R82,$O82,$S82,0.1))</f>
        <v>0</v>
      </c>
      <c r="AS82" s="45" t="n">
        <f aca="false">AL82*AP82</f>
        <v>0</v>
      </c>
      <c r="AT82" s="45" t="n">
        <f aca="false">AL82*AQ82</f>
        <v>0</v>
      </c>
      <c r="AU82" s="45" t="n">
        <f aca="false">AL82*AR82</f>
        <v>0</v>
      </c>
      <c r="AW82" s="9" t="n">
        <f aca="false">IF($A82&gt;=AX$25,IF($A82&lt;=AX$26,$T82,0),0)</f>
        <v>0</v>
      </c>
      <c r="AX82" s="9" t="e">
        <f aca="false">AZ82/AW82</f>
        <v>#DIV/0!</v>
      </c>
      <c r="AY82" s="1" t="n">
        <f aca="false">AW82*($B82+F$13)</f>
        <v>0</v>
      </c>
      <c r="AZ82" s="33" t="n">
        <f aca="false">IF(ISNUMBER(((AY82/AW82)+F$15+$C82)*AW82),((AY82/AW82)+F$15+$C82)*AW82,0)</f>
        <v>0</v>
      </c>
      <c r="BA82" s="44" t="n">
        <f aca="false">IF(AW82=0,0,bsd(1,BB$27,AX82,$H82,$R82,$P82,$S82,0.1))</f>
        <v>0</v>
      </c>
      <c r="BB82" s="44" t="n">
        <f aca="false">IF(AW82=0,0,bsd(2,BB$27,AX82,$H82,$R82,$P82,$S82,0.1))</f>
        <v>0</v>
      </c>
      <c r="BC82" s="44" t="n">
        <f aca="false">IF(AW82=0,0,bsd(BB$28,BB$27,AX82,$H82,$R82,$P82,$S82,0.1))</f>
        <v>0</v>
      </c>
      <c r="BD82" s="45" t="n">
        <f aca="false">AW82*BA82</f>
        <v>0</v>
      </c>
      <c r="BE82" s="45" t="n">
        <f aca="false">AW82*BB82</f>
        <v>0</v>
      </c>
      <c r="BF82" s="45" t="n">
        <f aca="false">AW82*BC82</f>
        <v>0</v>
      </c>
      <c r="BH82" s="9" t="n">
        <f aca="false">IF($A82&gt;=BI$25,IF($A82&lt;=BI$26,$T82,0),0)</f>
        <v>0</v>
      </c>
      <c r="BI82" s="9" t="e">
        <f aca="false">BK82/BH82</f>
        <v>#DIV/0!</v>
      </c>
      <c r="BJ82" s="1" t="n">
        <f aca="false">BH82*($B82+H$13)</f>
        <v>0</v>
      </c>
      <c r="BK82" s="33" t="n">
        <f aca="false">IF(ISNUMBER(((BJ82/BH82)+H$15+$C82)*BH82),((BJ82/BH82)+H$15+$C82)*BH82,0)</f>
        <v>0</v>
      </c>
      <c r="BL82" s="44" t="n">
        <f aca="false">IF(BH82=0,0,bsd(1,BM$27,BI82,$I82,$R82,$Q82,$S82,0.1))</f>
        <v>0</v>
      </c>
      <c r="BM82" s="44" t="n">
        <f aca="false">IF(BH82=0,0,bsd(2,BM$27,BI82,$I82,$R82,$Q82,$S82,0.1))</f>
        <v>0</v>
      </c>
      <c r="BN82" s="44" t="n">
        <f aca="false">IF(BH82=0,0,bsd(BM$28,BM$27,BI82,$I82,$R82,$Q82,$S82,0.1))</f>
        <v>0</v>
      </c>
      <c r="BO82" s="45" t="n">
        <f aca="false">BH82*BL82</f>
        <v>0</v>
      </c>
      <c r="BP82" s="45" t="n">
        <f aca="false">BH82*BM82</f>
        <v>0</v>
      </c>
      <c r="BQ82" s="45" t="n">
        <f aca="false">BH82*BN82</f>
        <v>0</v>
      </c>
    </row>
    <row r="83" customFormat="false" ht="12.75" hidden="false" customHeight="false" outlineLevel="0" collapsed="false">
      <c r="A83" s="48" t="n">
        <f aca="false">DATE(YEAR(A82),MONTH(A82)+1,1)</f>
        <v>38384</v>
      </c>
      <c r="B83" s="40" t="n">
        <f aca="false">VLOOKUP(A83,STRADDLE,5,FALSE())</f>
        <v>3.427</v>
      </c>
      <c r="C83" s="40" t="n">
        <v>0</v>
      </c>
      <c r="D83" s="4" t="n">
        <f aca="false">VLOOKUP(A83,STRADDLE,8,FALSE())</f>
        <v>0.2525</v>
      </c>
      <c r="E83" s="131" t="n">
        <f aca="false">IF(ISNUMBER(VLOOKUP(A83,VOLCURVES,HLOOKUP(B$5,VOLCURVES,2,FALSE()),FALSE())),VLOOKUP(A83,VOLCURVES,HLOOKUP(B$5,VOLCURVES,2,FALSE()),FALSE()),1)</f>
        <v>1</v>
      </c>
      <c r="F83" s="41" t="n">
        <f aca="false">IF($B$17=4,$AB83,$B$16)</f>
        <v>3.8</v>
      </c>
      <c r="G83" s="41" t="n">
        <f aca="false">IF($D$17=4,$AM83,$D$16)</f>
        <v>3.5</v>
      </c>
      <c r="H83" s="41" t="n">
        <f aca="false">IF($F$17=4,$AX83,$F$16)</f>
        <v>2.96</v>
      </c>
      <c r="I83" s="41" t="n">
        <f aca="false">IF($H$17=4,$BI83,$H$16)</f>
        <v>2.99</v>
      </c>
      <c r="J83" s="4" t="n">
        <f aca="false">IF($B$19=1,VLOOKUP($A83,SkewTable,HLOOKUP(ROUND(F83-AB83,1),SkewTable,2,FALSE()),FALSE())/100,0)</f>
        <v>0.0451185018386</v>
      </c>
      <c r="K83" s="4" t="e">
        <f aca="false">IF($D$19=1,VLOOKUP($A83,SkewTable,HLOOKUP(ROUND(G83-AM83,1),SkewTable,2,FALSE()),FALSE())/100,0)</f>
        <v>#DIV/0!</v>
      </c>
      <c r="L83" s="4" t="e">
        <f aca="false">IF($F$19=1,VLOOKUP($A83,SkewTable,HLOOKUP(ROUND(H83-AX83,1),SkewTable,2,FALSE()),FALSE())/100,0)</f>
        <v>#DIV/0!</v>
      </c>
      <c r="M83" s="4" t="e">
        <f aca="false">IF($H$19=1,VLOOKUP($A83,SkewTable,HLOOKUP(ROUND(I83-BI83,1),SkewTable,2,FALSE()),FALSE())/100,0)</f>
        <v>#DIV/0!</v>
      </c>
      <c r="N83" s="4" t="n">
        <f aca="false">(($D83+J83)*$E83)+B$18</f>
        <v>0.2976185018386</v>
      </c>
      <c r="O83" s="4" t="e">
        <f aca="false">(($D83+K83)*$E83)+D$18</f>
        <v>#DIV/0!</v>
      </c>
      <c r="P83" s="4" t="e">
        <f aca="false">(($D83+L83)*$E83)+F$18</f>
        <v>#DIV/0!</v>
      </c>
      <c r="Q83" s="4" t="e">
        <f aca="false">(($D83+M83)*$E83)+H$18</f>
        <v>#DIV/0!</v>
      </c>
      <c r="R83" s="136" t="n">
        <f aca="false">IF(B$4=1,VLOOKUP(A83,expiration,2,FALSE()),VLOOKUP(A83,expiration,3,FALSE()))-B$2+$B$1</f>
        <v>-7547</v>
      </c>
      <c r="S83" s="4" t="n">
        <f aca="false">VLOOKUP($A83,STRADDLE,12,FALSE())</f>
        <v>0.06788700767497</v>
      </c>
      <c r="T83" s="1" t="n">
        <v>0</v>
      </c>
      <c r="U83" s="43" t="n">
        <v>0</v>
      </c>
      <c r="X83" s="43"/>
      <c r="Z83" s="9"/>
      <c r="AA83" s="9" t="n">
        <f aca="false">IF($A83&gt;=AB$25,IF($A83&lt;=AB$26,$T83,0),0)</f>
        <v>0</v>
      </c>
      <c r="AB83" s="9" t="n">
        <f aca="false">IF(T83&gt;0,AD83/AA83,0)</f>
        <v>0</v>
      </c>
      <c r="AC83" s="1" t="n">
        <f aca="false">AA83*($B83+B$13)</f>
        <v>0</v>
      </c>
      <c r="AD83" s="33" t="n">
        <f aca="false">IF(ISNUMBER(((AC83/AA83)+B$15+$C83)*AA83),((AC83/AA83)+B$15+$C83)*AA83,0)</f>
        <v>0</v>
      </c>
      <c r="AE83" s="44" t="n">
        <f aca="false">IF(AA83=0,0,bsd(1,AF$27,AB83,$F83,$R83,$N83,$S83,0.1))</f>
        <v>0</v>
      </c>
      <c r="AF83" s="44" t="n">
        <f aca="false">IF(AA83=0,0,bsd(2,AF$27,AB83,$F83,$R83,$N83,$S83,0.1))</f>
        <v>0</v>
      </c>
      <c r="AG83" s="44" t="n">
        <f aca="false">IF(AA83=0,0,bsd(AF$28,AF$27,AB83,$F83,$R83,$N83,$S83,0.1))</f>
        <v>0</v>
      </c>
      <c r="AH83" s="45" t="n">
        <f aca="false">AA83*AE83</f>
        <v>0</v>
      </c>
      <c r="AI83" s="45" t="n">
        <f aca="false">AA83*AF83</f>
        <v>0</v>
      </c>
      <c r="AJ83" s="45" t="n">
        <f aca="false">AA83*AG83</f>
        <v>0</v>
      </c>
      <c r="AL83" s="9" t="n">
        <f aca="false">IF($A83&gt;=AM$25,IF($A83&lt;=AM$26,$T83,0),0)</f>
        <v>0</v>
      </c>
      <c r="AM83" s="9" t="e">
        <f aca="false">AO83/AL83</f>
        <v>#DIV/0!</v>
      </c>
      <c r="AN83" s="1" t="n">
        <f aca="false">AL83*($B83+D$13)</f>
        <v>0</v>
      </c>
      <c r="AO83" s="33" t="n">
        <f aca="false">IF(ISNUMBER(((AN83/AL83)+D$15+$C83)*AL83),((AN83/AL83)+D$15+$C83)*AL83,0)</f>
        <v>0</v>
      </c>
      <c r="AP83" s="44" t="n">
        <f aca="false">IF(AL83=0,0,bsd(1,AQ$27,AM83,$G83,$R83,$O83,$S83,0.1))</f>
        <v>0</v>
      </c>
      <c r="AQ83" s="44" t="n">
        <f aca="false">IF(AL83=0,0,bsd(2,AQ$27,AM83,$G83,$R83,$O83,$S83,0.1))</f>
        <v>0</v>
      </c>
      <c r="AR83" s="44" t="n">
        <f aca="false">IF(AL83=0,0,bsd(AQ$28,AQ$27,AM83,$G83,$R83,$O83,$S83,0.1))</f>
        <v>0</v>
      </c>
      <c r="AS83" s="45" t="n">
        <f aca="false">AL83*AP83</f>
        <v>0</v>
      </c>
      <c r="AT83" s="45" t="n">
        <f aca="false">AL83*AQ83</f>
        <v>0</v>
      </c>
      <c r="AU83" s="45" t="n">
        <f aca="false">AL83*AR83</f>
        <v>0</v>
      </c>
      <c r="AW83" s="9" t="n">
        <f aca="false">IF($A83&gt;=AX$25,IF($A83&lt;=AX$26,$T83,0),0)</f>
        <v>0</v>
      </c>
      <c r="AX83" s="9" t="e">
        <f aca="false">AZ83/AW83</f>
        <v>#DIV/0!</v>
      </c>
      <c r="AY83" s="1" t="n">
        <f aca="false">AW83*($B83+F$13)</f>
        <v>0</v>
      </c>
      <c r="AZ83" s="33" t="n">
        <f aca="false">IF(ISNUMBER(((AY83/AW83)+F$15+$C83)*AW83),((AY83/AW83)+F$15+$C83)*AW83,0)</f>
        <v>0</v>
      </c>
      <c r="BA83" s="44" t="n">
        <f aca="false">IF(AW83=0,0,bsd(1,BB$27,AX83,$H83,$R83,$P83,$S83,0.1))</f>
        <v>0</v>
      </c>
      <c r="BB83" s="44" t="n">
        <f aca="false">IF(AW83=0,0,bsd(2,BB$27,AX83,$H83,$R83,$P83,$S83,0.1))</f>
        <v>0</v>
      </c>
      <c r="BC83" s="44" t="n">
        <f aca="false">IF(AW83=0,0,bsd(BB$28,BB$27,AX83,$H83,$R83,$P83,$S83,0.1))</f>
        <v>0</v>
      </c>
      <c r="BD83" s="45" t="n">
        <f aca="false">AW83*BA83</f>
        <v>0</v>
      </c>
      <c r="BE83" s="45" t="n">
        <f aca="false">AW83*BB83</f>
        <v>0</v>
      </c>
      <c r="BF83" s="45" t="n">
        <f aca="false">AW83*BC83</f>
        <v>0</v>
      </c>
      <c r="BH83" s="9" t="n">
        <f aca="false">IF($A83&gt;=BI$25,IF($A83&lt;=BI$26,$T83,0),0)</f>
        <v>0</v>
      </c>
      <c r="BI83" s="9" t="e">
        <f aca="false">BK83/BH83</f>
        <v>#DIV/0!</v>
      </c>
      <c r="BJ83" s="1" t="n">
        <f aca="false">BH83*($B83+H$13)</f>
        <v>0</v>
      </c>
      <c r="BK83" s="33" t="n">
        <f aca="false">IF(ISNUMBER(((BJ83/BH83)+H$15+$C83)*BH83),((BJ83/BH83)+H$15+$C83)*BH83,0)</f>
        <v>0</v>
      </c>
      <c r="BL83" s="44" t="n">
        <f aca="false">IF(BH83=0,0,bsd(1,BM$27,BI83,$I83,$R83,$Q83,$S83,0.1))</f>
        <v>0</v>
      </c>
      <c r="BM83" s="44" t="n">
        <f aca="false">IF(BH83=0,0,bsd(2,BM$27,BI83,$I83,$R83,$Q83,$S83,0.1))</f>
        <v>0</v>
      </c>
      <c r="BN83" s="44" t="n">
        <f aca="false">IF(BH83=0,0,bsd(BM$28,BM$27,BI83,$I83,$R83,$Q83,$S83,0.1))</f>
        <v>0</v>
      </c>
      <c r="BO83" s="45" t="n">
        <f aca="false">BH83*BL83</f>
        <v>0</v>
      </c>
      <c r="BP83" s="45" t="n">
        <f aca="false">BH83*BM83</f>
        <v>0</v>
      </c>
      <c r="BQ83" s="45" t="n">
        <f aca="false">BH83*BN83</f>
        <v>0</v>
      </c>
    </row>
    <row r="84" customFormat="false" ht="12.75" hidden="false" customHeight="false" outlineLevel="0" collapsed="false">
      <c r="A84" s="48" t="n">
        <f aca="false">DATE(YEAR(A83),MONTH(A83)+1,1)</f>
        <v>38412</v>
      </c>
      <c r="B84" s="40" t="n">
        <f aca="false">VLOOKUP(A84,STRADDLE,5,FALSE())</f>
        <v>3.25</v>
      </c>
      <c r="C84" s="40" t="n">
        <v>0</v>
      </c>
      <c r="D84" s="4" t="n">
        <f aca="false">VLOOKUP(A84,STRADDLE,8,FALSE())</f>
        <v>0.2475</v>
      </c>
      <c r="E84" s="131" t="n">
        <f aca="false">IF(ISNUMBER(VLOOKUP(A84,VOLCURVES,HLOOKUP(B$5,VOLCURVES,2,FALSE()),FALSE())),VLOOKUP(A84,VOLCURVES,HLOOKUP(B$5,VOLCURVES,2,FALSE()),FALSE()),1)</f>
        <v>1</v>
      </c>
      <c r="F84" s="41" t="n">
        <f aca="false">IF($B$17=4,$AB84,$B$16)</f>
        <v>3.8</v>
      </c>
      <c r="G84" s="41" t="n">
        <f aca="false">IF($D$17=4,$AM84,$D$16)</f>
        <v>3.5</v>
      </c>
      <c r="H84" s="41" t="n">
        <f aca="false">IF($F$17=4,$AX84,$F$16)</f>
        <v>2.96</v>
      </c>
      <c r="I84" s="41" t="n">
        <f aca="false">IF($H$17=4,$BI84,$H$16)</f>
        <v>2.99</v>
      </c>
      <c r="J84" s="4" t="n">
        <f aca="false">IF($B$19=1,VLOOKUP($A84,SkewTable,HLOOKUP(ROUND(F84-AB84,1),SkewTable,2,FALSE()),FALSE())/100,0)</f>
        <v>0.0451185018386</v>
      </c>
      <c r="K84" s="4" t="e">
        <f aca="false">IF($D$19=1,VLOOKUP($A84,SkewTable,HLOOKUP(ROUND(G84-AM84,1),SkewTable,2,FALSE()),FALSE())/100,0)</f>
        <v>#DIV/0!</v>
      </c>
      <c r="L84" s="4" t="e">
        <f aca="false">IF($F$19=1,VLOOKUP($A84,SkewTable,HLOOKUP(ROUND(H84-AX84,1),SkewTable,2,FALSE()),FALSE())/100,0)</f>
        <v>#DIV/0!</v>
      </c>
      <c r="M84" s="4" t="e">
        <f aca="false">IF($H$19=1,VLOOKUP($A84,SkewTable,HLOOKUP(ROUND(I84-BI84,1),SkewTable,2,FALSE()),FALSE())/100,0)</f>
        <v>#DIV/0!</v>
      </c>
      <c r="N84" s="4" t="n">
        <f aca="false">(($D84+J84)*$E84)+B$18</f>
        <v>0.2926185018386</v>
      </c>
      <c r="O84" s="4" t="e">
        <f aca="false">(($D84+K84)*$E84)+D$18</f>
        <v>#DIV/0!</v>
      </c>
      <c r="P84" s="4" t="e">
        <f aca="false">(($D84+L84)*$E84)+F$18</f>
        <v>#DIV/0!</v>
      </c>
      <c r="Q84" s="4" t="e">
        <f aca="false">(($D84+M84)*$E84)+H$18</f>
        <v>#DIV/0!</v>
      </c>
      <c r="R84" s="136" t="n">
        <f aca="false">IF(B$4=1,VLOOKUP(A84,expiration,2,FALSE()),VLOOKUP(A84,expiration,3,FALSE()))-B$2+$B$1</f>
        <v>-7519</v>
      </c>
      <c r="S84" s="4" t="n">
        <f aca="false">VLOOKUP($A84,STRADDLE,12,FALSE())</f>
        <v>0.067932946154122</v>
      </c>
      <c r="T84" s="1" t="n">
        <v>0</v>
      </c>
      <c r="U84" s="43" t="n">
        <v>0</v>
      </c>
      <c r="X84" s="43"/>
      <c r="Z84" s="9"/>
      <c r="AA84" s="9" t="n">
        <f aca="false">IF($A84&gt;=AB$25,IF($A84&lt;=AB$26,$T84,0),0)</f>
        <v>0</v>
      </c>
      <c r="AB84" s="9" t="n">
        <f aca="false">IF(T84&gt;0,AD84/AA84,0)</f>
        <v>0</v>
      </c>
      <c r="AC84" s="1" t="n">
        <f aca="false">AA84*($B84+B$13)</f>
        <v>0</v>
      </c>
      <c r="AD84" s="33" t="n">
        <f aca="false">IF(ISNUMBER(((AC84/AA84)+B$15+$C84)*AA84),((AC84/AA84)+B$15+$C84)*AA84,0)</f>
        <v>0</v>
      </c>
      <c r="AE84" s="44" t="n">
        <f aca="false">IF(AA84=0,0,bsd(1,AF$27,AB84,$F84,$R84,$N84,$S84,0.1))</f>
        <v>0</v>
      </c>
      <c r="AF84" s="44" t="n">
        <f aca="false">IF(AA84=0,0,bsd(2,AF$27,AB84,$F84,$R84,$N84,$S84,0.1))</f>
        <v>0</v>
      </c>
      <c r="AG84" s="44" t="n">
        <f aca="false">IF(AA84=0,0,bsd(AF$28,AF$27,AB84,$F84,$R84,$N84,$S84,0.1))</f>
        <v>0</v>
      </c>
      <c r="AH84" s="45" t="n">
        <f aca="false">AA84*AE84</f>
        <v>0</v>
      </c>
      <c r="AI84" s="45" t="n">
        <f aca="false">AA84*AF84</f>
        <v>0</v>
      </c>
      <c r="AJ84" s="45" t="n">
        <f aca="false">AA84*AG84</f>
        <v>0</v>
      </c>
      <c r="AL84" s="9" t="n">
        <f aca="false">IF($A84&gt;=AM$25,IF($A84&lt;=AM$26,$T84,0),0)</f>
        <v>0</v>
      </c>
      <c r="AM84" s="9" t="e">
        <f aca="false">AO84/AL84</f>
        <v>#DIV/0!</v>
      </c>
      <c r="AN84" s="1" t="n">
        <f aca="false">AL84*($B84+D$13)</f>
        <v>0</v>
      </c>
      <c r="AO84" s="33" t="n">
        <f aca="false">IF(ISNUMBER(((AN84/AL84)+D$15+$C84)*AL84),((AN84/AL84)+D$15+$C84)*AL84,0)</f>
        <v>0</v>
      </c>
      <c r="AP84" s="44" t="n">
        <f aca="false">IF(AL84=0,0,bsd(1,AQ$27,AM84,$G84,$R84,$O84,$S84,0.1))</f>
        <v>0</v>
      </c>
      <c r="AQ84" s="44" t="n">
        <f aca="false">IF(AL84=0,0,bsd(2,AQ$27,AM84,$G84,$R84,$O84,$S84,0.1))</f>
        <v>0</v>
      </c>
      <c r="AR84" s="44" t="n">
        <f aca="false">IF(AL84=0,0,bsd(AQ$28,AQ$27,AM84,$G84,$R84,$O84,$S84,0.1))</f>
        <v>0</v>
      </c>
      <c r="AS84" s="45" t="n">
        <f aca="false">AL84*AP84</f>
        <v>0</v>
      </c>
      <c r="AT84" s="45" t="n">
        <f aca="false">AL84*AQ84</f>
        <v>0</v>
      </c>
      <c r="AU84" s="45" t="n">
        <f aca="false">AL84*AR84</f>
        <v>0</v>
      </c>
      <c r="AW84" s="9" t="n">
        <f aca="false">IF($A84&gt;=AX$25,IF($A84&lt;=AX$26,$T84,0),0)</f>
        <v>0</v>
      </c>
      <c r="AX84" s="9" t="e">
        <f aca="false">AZ84/AW84</f>
        <v>#DIV/0!</v>
      </c>
      <c r="AY84" s="1" t="n">
        <f aca="false">AW84*($B84+F$13)</f>
        <v>0</v>
      </c>
      <c r="AZ84" s="33" t="n">
        <f aca="false">IF(ISNUMBER(((AY84/AW84)+F$15+$C84)*AW84),((AY84/AW84)+F$15+$C84)*AW84,0)</f>
        <v>0</v>
      </c>
      <c r="BA84" s="44" t="n">
        <f aca="false">IF(AW84=0,0,bsd(1,BB$27,AX84,$H84,$R84,$P84,$S84,0.1))</f>
        <v>0</v>
      </c>
      <c r="BB84" s="44" t="n">
        <f aca="false">IF(AW84=0,0,bsd(2,BB$27,AX84,$H84,$R84,$P84,$S84,0.1))</f>
        <v>0</v>
      </c>
      <c r="BC84" s="44" t="n">
        <f aca="false">IF(AW84=0,0,bsd(BB$28,BB$27,AX84,$H84,$R84,$P84,$S84,0.1))</f>
        <v>0</v>
      </c>
      <c r="BD84" s="45" t="n">
        <f aca="false">AW84*BA84</f>
        <v>0</v>
      </c>
      <c r="BE84" s="45" t="n">
        <f aca="false">AW84*BB84</f>
        <v>0</v>
      </c>
      <c r="BF84" s="45" t="n">
        <f aca="false">AW84*BC84</f>
        <v>0</v>
      </c>
      <c r="BH84" s="9" t="n">
        <f aca="false">IF($A84&gt;=BI$25,IF($A84&lt;=BI$26,$T84,0),0)</f>
        <v>0</v>
      </c>
      <c r="BI84" s="9" t="e">
        <f aca="false">BK84/BH84</f>
        <v>#DIV/0!</v>
      </c>
      <c r="BJ84" s="1" t="n">
        <f aca="false">BH84*($B84+H$13)</f>
        <v>0</v>
      </c>
      <c r="BK84" s="33" t="n">
        <f aca="false">IF(ISNUMBER(((BJ84/BH84)+H$15+$C84)*BH84),((BJ84/BH84)+H$15+$C84)*BH84,0)</f>
        <v>0</v>
      </c>
      <c r="BL84" s="44" t="n">
        <f aca="false">IF(BH84=0,0,bsd(1,BM$27,BI84,$I84,$R84,$Q84,$S84,0.1))</f>
        <v>0</v>
      </c>
      <c r="BM84" s="44" t="n">
        <f aca="false">IF(BH84=0,0,bsd(2,BM$27,BI84,$I84,$R84,$Q84,$S84,0.1))</f>
        <v>0</v>
      </c>
      <c r="BN84" s="44" t="n">
        <f aca="false">IF(BH84=0,0,bsd(BM$28,BM$27,BI84,$I84,$R84,$Q84,$S84,0.1))</f>
        <v>0</v>
      </c>
      <c r="BO84" s="45" t="n">
        <f aca="false">BH84*BL84</f>
        <v>0</v>
      </c>
      <c r="BP84" s="45" t="n">
        <f aca="false">BH84*BM84</f>
        <v>0</v>
      </c>
      <c r="BQ84" s="45" t="n">
        <f aca="false">BH84*BN84</f>
        <v>0</v>
      </c>
    </row>
    <row r="85" customFormat="false" ht="12.75" hidden="false" customHeight="false" outlineLevel="0" collapsed="false">
      <c r="A85" s="48" t="n">
        <f aca="false">DATE(YEAR(A84),MONTH(A84)+1,1)</f>
        <v>38443</v>
      </c>
      <c r="B85" s="40" t="n">
        <f aca="false">VLOOKUP(A85,STRADDLE,5,FALSE())</f>
        <v>3.066</v>
      </c>
      <c r="C85" s="40" t="n">
        <v>0</v>
      </c>
      <c r="D85" s="4" t="n">
        <f aca="false">VLOOKUP(A85,STRADDLE,8,FALSE())</f>
        <v>0.235</v>
      </c>
      <c r="E85" s="131" t="n">
        <f aca="false">IF(ISNUMBER(VLOOKUP(A85,VOLCURVES,HLOOKUP(B$5,VOLCURVES,2,FALSE()),FALSE())),VLOOKUP(A85,VOLCURVES,HLOOKUP(B$5,VOLCURVES,2,FALSE()),FALSE()),1)</f>
        <v>1</v>
      </c>
      <c r="F85" s="41" t="n">
        <f aca="false">IF($B$17=4,$AB85,$B$16)</f>
        <v>3.8</v>
      </c>
      <c r="G85" s="41" t="n">
        <f aca="false">IF($D$17=4,$AM85,$D$16)</f>
        <v>3.5</v>
      </c>
      <c r="H85" s="41" t="n">
        <f aca="false">IF($F$17=4,$AX85,$F$16)</f>
        <v>2.96</v>
      </c>
      <c r="I85" s="41" t="n">
        <f aca="false">IF($H$17=4,$BI85,$H$16)</f>
        <v>2.99</v>
      </c>
      <c r="J85" s="4" t="n">
        <f aca="false">IF($B$19=1,VLOOKUP($A85,SkewTable,HLOOKUP(ROUND(F85-AB85,1),SkewTable,2,FALSE()),FALSE())/100,0)</f>
        <v>0.0451185018386</v>
      </c>
      <c r="K85" s="4" t="e">
        <f aca="false">IF($D$19=1,VLOOKUP($A85,SkewTable,HLOOKUP(ROUND(G85-AM85,1),SkewTable,2,FALSE()),FALSE())/100,0)</f>
        <v>#DIV/0!</v>
      </c>
      <c r="L85" s="4" t="e">
        <f aca="false">IF($F$19=1,VLOOKUP($A85,SkewTable,HLOOKUP(ROUND(H85-AX85,1),SkewTable,2,FALSE()),FALSE())/100,0)</f>
        <v>#DIV/0!</v>
      </c>
      <c r="M85" s="4" t="e">
        <f aca="false">IF($H$19=1,VLOOKUP($A85,SkewTable,HLOOKUP(ROUND(I85-BI85,1),SkewTable,2,FALSE()),FALSE())/100,0)</f>
        <v>#DIV/0!</v>
      </c>
      <c r="N85" s="4" t="n">
        <f aca="false">(($D85+J85)*$E85)+B$18</f>
        <v>0.2801185018386</v>
      </c>
      <c r="O85" s="4" t="e">
        <f aca="false">(($D85+K85)*$E85)+D$18</f>
        <v>#DIV/0!</v>
      </c>
      <c r="P85" s="4" t="e">
        <f aca="false">(($D85+L85)*$E85)+F$18</f>
        <v>#DIV/0!</v>
      </c>
      <c r="Q85" s="4" t="e">
        <f aca="false">(($D85+M85)*$E85)+H$18</f>
        <v>#DIV/0!</v>
      </c>
      <c r="R85" s="136" t="n">
        <f aca="false">IF(B$4=1,VLOOKUP(A85,expiration,2,FALSE()),VLOOKUP(A85,expiration,3,FALSE()))-B$2+$B$1</f>
        <v>-7486</v>
      </c>
      <c r="S85" s="4" t="n">
        <f aca="false">VLOOKUP($A85,STRADDLE,12,FALSE())</f>
        <v>0.067983806614</v>
      </c>
      <c r="T85" s="1" t="n">
        <v>0</v>
      </c>
      <c r="U85" s="43" t="n">
        <v>0</v>
      </c>
      <c r="X85" s="43"/>
      <c r="Z85" s="9"/>
      <c r="AA85" s="9" t="n">
        <f aca="false">IF($A85&gt;=AB$25,IF($A85&lt;=AB$26,$T85,0),0)</f>
        <v>0</v>
      </c>
      <c r="AB85" s="9" t="n">
        <f aca="false">IF(T85&gt;0,AD85/AA85,0)</f>
        <v>0</v>
      </c>
      <c r="AC85" s="1" t="n">
        <f aca="false">AA85*($B85+B$13)</f>
        <v>0</v>
      </c>
      <c r="AD85" s="33" t="n">
        <f aca="false">IF(ISNUMBER(((AC85/AA85)+B$15+$C85)*AA85),((AC85/AA85)+B$15+$C85)*AA85,0)</f>
        <v>0</v>
      </c>
      <c r="AE85" s="44" t="n">
        <f aca="false">IF(AA85=0,0,bsd(1,AF$27,AB85,$F85,$R85,$N85,$S85,0.1))</f>
        <v>0</v>
      </c>
      <c r="AF85" s="44" t="n">
        <f aca="false">IF(AA85=0,0,bsd(2,AF$27,AB85,$F85,$R85,$N85,$S85,0.1))</f>
        <v>0</v>
      </c>
      <c r="AG85" s="44" t="n">
        <f aca="false">IF(AA85=0,0,bsd(AF$28,AF$27,AB85,$F85,$R85,$N85,$S85,0.1))</f>
        <v>0</v>
      </c>
      <c r="AH85" s="45" t="n">
        <f aca="false">AA85*AE85</f>
        <v>0</v>
      </c>
      <c r="AI85" s="45" t="n">
        <f aca="false">AA85*AF85</f>
        <v>0</v>
      </c>
      <c r="AJ85" s="45" t="n">
        <f aca="false">AA85*AG85</f>
        <v>0</v>
      </c>
      <c r="AL85" s="9" t="n">
        <f aca="false">IF($A85&gt;=AM$25,IF($A85&lt;=AM$26,$T85,0),0)</f>
        <v>0</v>
      </c>
      <c r="AM85" s="9" t="e">
        <f aca="false">AO85/AL85</f>
        <v>#DIV/0!</v>
      </c>
      <c r="AN85" s="1" t="n">
        <f aca="false">AL85*($B85+D$13)</f>
        <v>0</v>
      </c>
      <c r="AO85" s="33" t="n">
        <f aca="false">IF(ISNUMBER(((AN85/AL85)+D$15+$C85)*AL85),((AN85/AL85)+D$15+$C85)*AL85,0)</f>
        <v>0</v>
      </c>
      <c r="AP85" s="44" t="n">
        <f aca="false">IF(AL85=0,0,bsd(1,AQ$27,AM85,$G85,$R85,$O85,$S85,0.1))</f>
        <v>0</v>
      </c>
      <c r="AQ85" s="44" t="n">
        <f aca="false">IF(AL85=0,0,bsd(2,AQ$27,AM85,$G85,$R85,$O85,$S85,0.1))</f>
        <v>0</v>
      </c>
      <c r="AR85" s="44" t="n">
        <f aca="false">IF(AL85=0,0,bsd(AQ$28,AQ$27,AM85,$G85,$R85,$O85,$S85,0.1))</f>
        <v>0</v>
      </c>
      <c r="AS85" s="45" t="n">
        <f aca="false">AL85*AP85</f>
        <v>0</v>
      </c>
      <c r="AT85" s="45" t="n">
        <f aca="false">AL85*AQ85</f>
        <v>0</v>
      </c>
      <c r="AU85" s="45" t="n">
        <f aca="false">AL85*AR85</f>
        <v>0</v>
      </c>
      <c r="AW85" s="9" t="n">
        <f aca="false">IF($A85&gt;=AX$25,IF($A85&lt;=AX$26,$T85,0),0)</f>
        <v>0</v>
      </c>
      <c r="AX85" s="9" t="e">
        <f aca="false">AZ85/AW85</f>
        <v>#DIV/0!</v>
      </c>
      <c r="AY85" s="1" t="n">
        <f aca="false">AW85*($B85+F$13)</f>
        <v>0</v>
      </c>
      <c r="AZ85" s="33" t="n">
        <f aca="false">IF(ISNUMBER(((AY85/AW85)+F$15+$C85)*AW85),((AY85/AW85)+F$15+$C85)*AW85,0)</f>
        <v>0</v>
      </c>
      <c r="BA85" s="44" t="n">
        <f aca="false">IF(AW85=0,0,bsd(1,BB$27,AX85,$H85,$R85,$P85,$S85,0.1))</f>
        <v>0</v>
      </c>
      <c r="BB85" s="44" t="n">
        <f aca="false">IF(AW85=0,0,bsd(2,BB$27,AX85,$H85,$R85,$P85,$S85,0.1))</f>
        <v>0</v>
      </c>
      <c r="BC85" s="44" t="n">
        <f aca="false">IF(AW85=0,0,bsd(BB$28,BB$27,AX85,$H85,$R85,$P85,$S85,0.1))</f>
        <v>0</v>
      </c>
      <c r="BD85" s="45" t="n">
        <f aca="false">AW85*BA85</f>
        <v>0</v>
      </c>
      <c r="BE85" s="45" t="n">
        <f aca="false">AW85*BB85</f>
        <v>0</v>
      </c>
      <c r="BF85" s="45" t="n">
        <f aca="false">AW85*BC85</f>
        <v>0</v>
      </c>
      <c r="BH85" s="9" t="n">
        <f aca="false">IF($A85&gt;=BI$25,IF($A85&lt;=BI$26,$T85,0),0)</f>
        <v>0</v>
      </c>
      <c r="BI85" s="9" t="e">
        <f aca="false">BK85/BH85</f>
        <v>#DIV/0!</v>
      </c>
      <c r="BJ85" s="1" t="n">
        <f aca="false">BH85*($B85+H$13)</f>
        <v>0</v>
      </c>
      <c r="BK85" s="33" t="n">
        <f aca="false">IF(ISNUMBER(((BJ85/BH85)+H$15+$C85)*BH85),((BJ85/BH85)+H$15+$C85)*BH85,0)</f>
        <v>0</v>
      </c>
      <c r="BL85" s="44" t="n">
        <f aca="false">IF(BH85=0,0,bsd(1,BM$27,BI85,$I85,$R85,$Q85,$S85,0.1))</f>
        <v>0</v>
      </c>
      <c r="BM85" s="44" t="n">
        <f aca="false">IF(BH85=0,0,bsd(2,BM$27,BI85,$I85,$R85,$Q85,$S85,0.1))</f>
        <v>0</v>
      </c>
      <c r="BN85" s="44" t="n">
        <f aca="false">IF(BH85=0,0,bsd(BM$28,BM$27,BI85,$I85,$R85,$Q85,$S85,0.1))</f>
        <v>0</v>
      </c>
      <c r="BO85" s="45" t="n">
        <f aca="false">BH85*BL85</f>
        <v>0</v>
      </c>
      <c r="BP85" s="45" t="n">
        <f aca="false">BH85*BM85</f>
        <v>0</v>
      </c>
      <c r="BQ85" s="45" t="n">
        <f aca="false">BH85*BN85</f>
        <v>0</v>
      </c>
    </row>
    <row r="86" customFormat="false" ht="12.75" hidden="false" customHeight="false" outlineLevel="0" collapsed="false">
      <c r="A86" s="48" t="n">
        <f aca="false">DATE(YEAR(A85),MONTH(A85)+1,1)</f>
        <v>38473</v>
      </c>
      <c r="B86" s="40" t="n">
        <f aca="false">VLOOKUP(A86,STRADDLE,5,FALSE())</f>
        <v>3.018</v>
      </c>
      <c r="C86" s="40" t="n">
        <v>0</v>
      </c>
      <c r="D86" s="4" t="n">
        <f aca="false">VLOOKUP(A86,STRADDLE,8,FALSE())</f>
        <v>0.235</v>
      </c>
      <c r="E86" s="131" t="n">
        <f aca="false">IF(ISNUMBER(VLOOKUP(A86,VOLCURVES,HLOOKUP(B$5,VOLCURVES,2,FALSE()),FALSE())),VLOOKUP(A86,VOLCURVES,HLOOKUP(B$5,VOLCURVES,2,FALSE()),FALSE()),1)</f>
        <v>1</v>
      </c>
      <c r="F86" s="41" t="n">
        <f aca="false">IF($B$17=4,$AB86,$B$16)</f>
        <v>3.8</v>
      </c>
      <c r="G86" s="41" t="n">
        <f aca="false">IF($D$17=4,$AM86,$D$16)</f>
        <v>3.5</v>
      </c>
      <c r="H86" s="41" t="n">
        <f aca="false">IF($F$17=4,$AX86,$F$16)</f>
        <v>2.96</v>
      </c>
      <c r="I86" s="41" t="n">
        <f aca="false">IF($H$17=4,$BI86,$H$16)</f>
        <v>2.99</v>
      </c>
      <c r="J86" s="4" t="n">
        <f aca="false">IF($B$19=1,VLOOKUP($A86,SkewTable,HLOOKUP(ROUND(F86-AB86,1),SkewTable,2,FALSE()),FALSE())/100,0)</f>
        <v>0.0451185018386</v>
      </c>
      <c r="K86" s="4" t="e">
        <f aca="false">IF($D$19=1,VLOOKUP($A86,SkewTable,HLOOKUP(ROUND(G86-AM86,1),SkewTable,2,FALSE()),FALSE())/100,0)</f>
        <v>#DIV/0!</v>
      </c>
      <c r="L86" s="4" t="e">
        <f aca="false">IF($F$19=1,VLOOKUP($A86,SkewTable,HLOOKUP(ROUND(H86-AX86,1),SkewTable,2,FALSE()),FALSE())/100,0)</f>
        <v>#DIV/0!</v>
      </c>
      <c r="M86" s="4" t="e">
        <f aca="false">IF($H$19=1,VLOOKUP($A86,SkewTable,HLOOKUP(ROUND(I86-BI86,1),SkewTable,2,FALSE()),FALSE())/100,0)</f>
        <v>#DIV/0!</v>
      </c>
      <c r="N86" s="4" t="n">
        <f aca="false">(($D86+J86)*$E86)+B$18</f>
        <v>0.2801185018386</v>
      </c>
      <c r="O86" s="4" t="e">
        <f aca="false">(($D86+K86)*$E86)+D$18</f>
        <v>#DIV/0!</v>
      </c>
      <c r="P86" s="4" t="e">
        <f aca="false">(($D86+L86)*$E86)+F$18</f>
        <v>#DIV/0!</v>
      </c>
      <c r="Q86" s="4" t="e">
        <f aca="false">(($D86+M86)*$E86)+H$18</f>
        <v>#DIV/0!</v>
      </c>
      <c r="R86" s="136" t="n">
        <f aca="false">IF(B$4=1,VLOOKUP(A86,expiration,2,FALSE()),VLOOKUP(A86,expiration,3,FALSE()))-B$2+$B$1</f>
        <v>-7457</v>
      </c>
      <c r="S86" s="4" t="n">
        <f aca="false">VLOOKUP($A86,STRADDLE,12,FALSE())</f>
        <v>0.068033026414695</v>
      </c>
      <c r="T86" s="1" t="n">
        <v>0</v>
      </c>
      <c r="U86" s="43" t="n">
        <v>0</v>
      </c>
      <c r="X86" s="43"/>
      <c r="Z86" s="9"/>
      <c r="AA86" s="9" t="n">
        <f aca="false">IF($A86&gt;=AB$25,IF($A86&lt;=AB$26,$T86,0),0)</f>
        <v>0</v>
      </c>
      <c r="AB86" s="9" t="n">
        <f aca="false">IF(T86&gt;0,AD86/AA86,0)</f>
        <v>0</v>
      </c>
      <c r="AC86" s="1" t="n">
        <f aca="false">AA86*($B86+B$13)</f>
        <v>0</v>
      </c>
      <c r="AD86" s="33" t="n">
        <f aca="false">IF(ISNUMBER(((AC86/AA86)+B$15+$C86)*AA86),((AC86/AA86)+B$15+$C86)*AA86,0)</f>
        <v>0</v>
      </c>
      <c r="AE86" s="44" t="n">
        <f aca="false">IF(AA86=0,0,bsd(1,AF$27,AB86,$F86,$R86,$N86,$S86,0.1))</f>
        <v>0</v>
      </c>
      <c r="AF86" s="44" t="n">
        <f aca="false">IF(AA86=0,0,bsd(2,AF$27,AB86,$F86,$R86,$N86,$S86,0.1))</f>
        <v>0</v>
      </c>
      <c r="AG86" s="44" t="n">
        <f aca="false">IF(AA86=0,0,bsd(AF$28,AF$27,AB86,$F86,$R86,$N86,$S86,0.1))</f>
        <v>0</v>
      </c>
      <c r="AH86" s="45" t="n">
        <f aca="false">AA86*AE86</f>
        <v>0</v>
      </c>
      <c r="AI86" s="45" t="n">
        <f aca="false">AA86*AF86</f>
        <v>0</v>
      </c>
      <c r="AJ86" s="45" t="n">
        <f aca="false">AA86*AG86</f>
        <v>0</v>
      </c>
      <c r="AL86" s="9" t="n">
        <f aca="false">IF($A86&gt;=AM$25,IF($A86&lt;=AM$26,$T86,0),0)</f>
        <v>0</v>
      </c>
      <c r="AM86" s="9" t="e">
        <f aca="false">AO86/AL86</f>
        <v>#DIV/0!</v>
      </c>
      <c r="AN86" s="1" t="n">
        <f aca="false">AL86*($B86+D$13)</f>
        <v>0</v>
      </c>
      <c r="AO86" s="33" t="n">
        <f aca="false">IF(ISNUMBER(((AN86/AL86)+D$15+$C86)*AL86),((AN86/AL86)+D$15+$C86)*AL86,0)</f>
        <v>0</v>
      </c>
      <c r="AP86" s="44" t="n">
        <f aca="false">IF(AL86=0,0,bsd(1,AQ$27,AM86,$G86,$R86,$O86,$S86,0.1))</f>
        <v>0</v>
      </c>
      <c r="AQ86" s="44" t="n">
        <f aca="false">IF(AL86=0,0,bsd(2,AQ$27,AM86,$G86,$R86,$O86,$S86,0.1))</f>
        <v>0</v>
      </c>
      <c r="AR86" s="44" t="n">
        <f aca="false">IF(AL86=0,0,bsd(AQ$28,AQ$27,AM86,$G86,$R86,$O86,$S86,0.1))</f>
        <v>0</v>
      </c>
      <c r="AS86" s="45" t="n">
        <f aca="false">AL86*AP86</f>
        <v>0</v>
      </c>
      <c r="AT86" s="45" t="n">
        <f aca="false">AL86*AQ86</f>
        <v>0</v>
      </c>
      <c r="AU86" s="45" t="n">
        <f aca="false">AL86*AR86</f>
        <v>0</v>
      </c>
      <c r="AW86" s="9" t="n">
        <f aca="false">IF($A86&gt;=AX$25,IF($A86&lt;=AX$26,$T86,0),0)</f>
        <v>0</v>
      </c>
      <c r="AX86" s="9" t="e">
        <f aca="false">AZ86/AW86</f>
        <v>#DIV/0!</v>
      </c>
      <c r="AY86" s="1" t="n">
        <f aca="false">AW86*($B86+F$13)</f>
        <v>0</v>
      </c>
      <c r="AZ86" s="33" t="n">
        <f aca="false">IF(ISNUMBER(((AY86/AW86)+F$15+$C86)*AW86),((AY86/AW86)+F$15+$C86)*AW86,0)</f>
        <v>0</v>
      </c>
      <c r="BA86" s="44" t="n">
        <f aca="false">IF(AW86=0,0,bsd(1,BB$27,AX86,$H86,$R86,$P86,$S86,0.1))</f>
        <v>0</v>
      </c>
      <c r="BB86" s="44" t="n">
        <f aca="false">IF(AW86=0,0,bsd(2,BB$27,AX86,$H86,$R86,$P86,$S86,0.1))</f>
        <v>0</v>
      </c>
      <c r="BC86" s="44" t="n">
        <f aca="false">IF(AW86=0,0,bsd(BB$28,BB$27,AX86,$H86,$R86,$P86,$S86,0.1))</f>
        <v>0</v>
      </c>
      <c r="BD86" s="45" t="n">
        <f aca="false">AW86*BA86</f>
        <v>0</v>
      </c>
      <c r="BE86" s="45" t="n">
        <f aca="false">AW86*BB86</f>
        <v>0</v>
      </c>
      <c r="BF86" s="45" t="n">
        <f aca="false">AW86*BC86</f>
        <v>0</v>
      </c>
      <c r="BH86" s="9" t="n">
        <f aca="false">IF($A86&gt;=BI$25,IF($A86&lt;=BI$26,$T86,0),0)</f>
        <v>0</v>
      </c>
      <c r="BI86" s="9" t="e">
        <f aca="false">BK86/BH86</f>
        <v>#DIV/0!</v>
      </c>
      <c r="BJ86" s="1" t="n">
        <f aca="false">BH86*($B86+H$13)</f>
        <v>0</v>
      </c>
      <c r="BK86" s="33" t="n">
        <f aca="false">IF(ISNUMBER(((BJ86/BH86)+H$15+$C86)*BH86),((BJ86/BH86)+H$15+$C86)*BH86,0)</f>
        <v>0</v>
      </c>
      <c r="BL86" s="44" t="n">
        <f aca="false">IF(BH86=0,0,bsd(1,BM$27,BI86,$I86,$R86,$Q86,$S86,0.1))</f>
        <v>0</v>
      </c>
      <c r="BM86" s="44" t="n">
        <f aca="false">IF(BH86=0,0,bsd(2,BM$27,BI86,$I86,$R86,$Q86,$S86,0.1))</f>
        <v>0</v>
      </c>
      <c r="BN86" s="44" t="n">
        <f aca="false">IF(BH86=0,0,bsd(BM$28,BM$27,BI86,$I86,$R86,$Q86,$S86,0.1))</f>
        <v>0</v>
      </c>
      <c r="BO86" s="45" t="n">
        <f aca="false">BH86*BL86</f>
        <v>0</v>
      </c>
      <c r="BP86" s="45" t="n">
        <f aca="false">BH86*BM86</f>
        <v>0</v>
      </c>
      <c r="BQ86" s="45" t="n">
        <f aca="false">BH86*BN86</f>
        <v>0</v>
      </c>
    </row>
    <row r="87" customFormat="false" ht="12.75" hidden="false" customHeight="false" outlineLevel="0" collapsed="false">
      <c r="A87" s="48" t="n">
        <f aca="false">DATE(YEAR(A86),MONTH(A86)+1,1)</f>
        <v>38504</v>
      </c>
      <c r="B87" s="40" t="n">
        <f aca="false">VLOOKUP(A87,STRADDLE,5,FALSE())</f>
        <v>3.028</v>
      </c>
      <c r="C87" s="40" t="n">
        <v>0</v>
      </c>
      <c r="D87" s="4" t="n">
        <f aca="false">VLOOKUP(A87,STRADDLE,8,FALSE())</f>
        <v>0.2325</v>
      </c>
      <c r="E87" s="131" t="n">
        <f aca="false">IF(ISNUMBER(VLOOKUP(A87,VOLCURVES,HLOOKUP(B$5,VOLCURVES,2,FALSE()),FALSE())),VLOOKUP(A87,VOLCURVES,HLOOKUP(B$5,VOLCURVES,2,FALSE()),FALSE()),1)</f>
        <v>1</v>
      </c>
      <c r="F87" s="41" t="n">
        <f aca="false">IF($B$17=4,$AB87,$B$16)</f>
        <v>3.8</v>
      </c>
      <c r="G87" s="41" t="n">
        <f aca="false">IF($D$17=4,$AM87,$D$16)</f>
        <v>3.5</v>
      </c>
      <c r="H87" s="41" t="n">
        <f aca="false">IF($F$17=4,$AX87,$F$16)</f>
        <v>2.96</v>
      </c>
      <c r="I87" s="41" t="n">
        <f aca="false">IF($H$17=4,$BI87,$H$16)</f>
        <v>2.99</v>
      </c>
      <c r="J87" s="4" t="n">
        <f aca="false">IF($B$19=1,VLOOKUP($A87,SkewTable,HLOOKUP(ROUND(F87-AB87,1),SkewTable,2,FALSE()),FALSE())/100,0)</f>
        <v>0.0451185018386</v>
      </c>
      <c r="K87" s="4" t="e">
        <f aca="false">IF($D$19=1,VLOOKUP($A87,SkewTable,HLOOKUP(ROUND(G87-AM87,1),SkewTable,2,FALSE()),FALSE())/100,0)</f>
        <v>#DIV/0!</v>
      </c>
      <c r="L87" s="4" t="e">
        <f aca="false">IF($F$19=1,VLOOKUP($A87,SkewTable,HLOOKUP(ROUND(H87-AX87,1),SkewTable,2,FALSE()),FALSE())/100,0)</f>
        <v>#DIV/0!</v>
      </c>
      <c r="M87" s="4" t="e">
        <f aca="false">IF($H$19=1,VLOOKUP($A87,SkewTable,HLOOKUP(ROUND(I87-BI87,1),SkewTable,2,FALSE()),FALSE())/100,0)</f>
        <v>#DIV/0!</v>
      </c>
      <c r="N87" s="4" t="n">
        <f aca="false">(($D87+J87)*$E87)+B$18</f>
        <v>0.2776185018386</v>
      </c>
      <c r="O87" s="4" t="e">
        <f aca="false">(($D87+K87)*$E87)+D$18</f>
        <v>#DIV/0!</v>
      </c>
      <c r="P87" s="4" t="e">
        <f aca="false">(($D87+L87)*$E87)+F$18</f>
        <v>#DIV/0!</v>
      </c>
      <c r="Q87" s="4" t="e">
        <f aca="false">(($D87+M87)*$E87)+H$18</f>
        <v>#DIV/0!</v>
      </c>
      <c r="R87" s="136" t="n">
        <f aca="false">IF(B$4=1,VLOOKUP(A87,expiration,2,FALSE()),VLOOKUP(A87,expiration,3,FALSE()))-B$2+$B$1</f>
        <v>-7428</v>
      </c>
      <c r="S87" s="4" t="n">
        <f aca="false">VLOOKUP($A87,STRADDLE,12,FALSE())</f>
        <v>0.068083886876256</v>
      </c>
      <c r="T87" s="1" t="n">
        <v>0</v>
      </c>
      <c r="U87" s="43" t="n">
        <v>0</v>
      </c>
      <c r="X87" s="43"/>
      <c r="Z87" s="9"/>
      <c r="AA87" s="9" t="n">
        <f aca="false">IF($A87&gt;=AB$25,IF($A87&lt;=AB$26,$T87,0),0)</f>
        <v>0</v>
      </c>
      <c r="AB87" s="9" t="n">
        <f aca="false">IF(T87&gt;0,AD87/AA87,0)</f>
        <v>0</v>
      </c>
      <c r="AC87" s="1" t="n">
        <f aca="false">AA87*($B87+B$13)</f>
        <v>0</v>
      </c>
      <c r="AD87" s="33" t="n">
        <f aca="false">IF(ISNUMBER(((AC87/AA87)+B$15+$C87)*AA87),((AC87/AA87)+B$15+$C87)*AA87,0)</f>
        <v>0</v>
      </c>
      <c r="AE87" s="44" t="n">
        <f aca="false">IF(AA87=0,0,bsd(1,AF$27,AB87,$F87,$R87,$N87,$S87,0.1))</f>
        <v>0</v>
      </c>
      <c r="AF87" s="44" t="n">
        <f aca="false">IF(AA87=0,0,bsd(2,AF$27,AB87,$F87,$R87,$N87,$S87,0.1))</f>
        <v>0</v>
      </c>
      <c r="AG87" s="44" t="n">
        <f aca="false">IF(AA87=0,0,bsd(AF$28,AF$27,AB87,$F87,$R87,$N87,$S87,0.1))</f>
        <v>0</v>
      </c>
      <c r="AH87" s="45" t="n">
        <f aca="false">AA87*AE87</f>
        <v>0</v>
      </c>
      <c r="AI87" s="45" t="n">
        <f aca="false">AA87*AF87</f>
        <v>0</v>
      </c>
      <c r="AJ87" s="45" t="n">
        <f aca="false">AA87*AG87</f>
        <v>0</v>
      </c>
      <c r="AL87" s="9" t="n">
        <f aca="false">IF($A87&gt;=AM$25,IF($A87&lt;=AM$26,$T87,0),0)</f>
        <v>0</v>
      </c>
      <c r="AM87" s="9" t="e">
        <f aca="false">AO87/AL87</f>
        <v>#DIV/0!</v>
      </c>
      <c r="AN87" s="1" t="n">
        <f aca="false">AL87*($B87+D$13)</f>
        <v>0</v>
      </c>
      <c r="AO87" s="33" t="n">
        <f aca="false">IF(ISNUMBER(((AN87/AL87)+D$15+$C87)*AL87),((AN87/AL87)+D$15+$C87)*AL87,0)</f>
        <v>0</v>
      </c>
      <c r="AP87" s="44" t="n">
        <f aca="false">IF(AL87=0,0,bsd(1,AQ$27,AM87,$G87,$R87,$O87,$S87,0.1))</f>
        <v>0</v>
      </c>
      <c r="AQ87" s="44" t="n">
        <f aca="false">IF(AL87=0,0,bsd(2,AQ$27,AM87,$G87,$R87,$O87,$S87,0.1))</f>
        <v>0</v>
      </c>
      <c r="AR87" s="44" t="n">
        <f aca="false">IF(AL87=0,0,bsd(AQ$28,AQ$27,AM87,$G87,$R87,$O87,$S87,0.1))</f>
        <v>0</v>
      </c>
      <c r="AS87" s="45" t="n">
        <f aca="false">AL87*AP87</f>
        <v>0</v>
      </c>
      <c r="AT87" s="45" t="n">
        <f aca="false">AL87*AQ87</f>
        <v>0</v>
      </c>
      <c r="AU87" s="45" t="n">
        <f aca="false">AL87*AR87</f>
        <v>0</v>
      </c>
      <c r="AW87" s="9" t="n">
        <f aca="false">IF($A87&gt;=AX$25,IF($A87&lt;=AX$26,$T87,0),0)</f>
        <v>0</v>
      </c>
      <c r="AX87" s="9" t="e">
        <f aca="false">AZ87/AW87</f>
        <v>#DIV/0!</v>
      </c>
      <c r="AY87" s="1" t="n">
        <f aca="false">AW87*($B87+F$13)</f>
        <v>0</v>
      </c>
      <c r="AZ87" s="33" t="n">
        <f aca="false">IF(ISNUMBER(((AY87/AW87)+F$15+$C87)*AW87),((AY87/AW87)+F$15+$C87)*AW87,0)</f>
        <v>0</v>
      </c>
      <c r="BA87" s="44" t="n">
        <f aca="false">IF(AW87=0,0,bsd(1,BB$27,AX87,$H87,$R87,$P87,$S87,0.1))</f>
        <v>0</v>
      </c>
      <c r="BB87" s="44" t="n">
        <f aca="false">IF(AW87=0,0,bsd(2,BB$27,AX87,$H87,$R87,$P87,$S87,0.1))</f>
        <v>0</v>
      </c>
      <c r="BC87" s="44" t="n">
        <f aca="false">IF(AW87=0,0,bsd(BB$28,BB$27,AX87,$H87,$R87,$P87,$S87,0.1))</f>
        <v>0</v>
      </c>
      <c r="BD87" s="45" t="n">
        <f aca="false">AW87*BA87</f>
        <v>0</v>
      </c>
      <c r="BE87" s="45" t="n">
        <f aca="false">AW87*BB87</f>
        <v>0</v>
      </c>
      <c r="BF87" s="45" t="n">
        <f aca="false">AW87*BC87</f>
        <v>0</v>
      </c>
      <c r="BH87" s="9" t="n">
        <f aca="false">IF($A87&gt;=BI$25,IF($A87&lt;=BI$26,$T87,0),0)</f>
        <v>0</v>
      </c>
      <c r="BI87" s="9" t="e">
        <f aca="false">BK87/BH87</f>
        <v>#DIV/0!</v>
      </c>
      <c r="BJ87" s="1" t="n">
        <f aca="false">BH87*($B87+H$13)</f>
        <v>0</v>
      </c>
      <c r="BK87" s="33" t="n">
        <f aca="false">IF(ISNUMBER(((BJ87/BH87)+H$15+$C87)*BH87),((BJ87/BH87)+H$15+$C87)*BH87,0)</f>
        <v>0</v>
      </c>
      <c r="BL87" s="44" t="n">
        <f aca="false">IF(BH87=0,0,bsd(1,BM$27,BI87,$I87,$R87,$Q87,$S87,0.1))</f>
        <v>0</v>
      </c>
      <c r="BM87" s="44" t="n">
        <f aca="false">IF(BH87=0,0,bsd(2,BM$27,BI87,$I87,$R87,$Q87,$S87,0.1))</f>
        <v>0</v>
      </c>
      <c r="BN87" s="44" t="n">
        <f aca="false">IF(BH87=0,0,bsd(BM$28,BM$27,BI87,$I87,$R87,$Q87,$S87,0.1))</f>
        <v>0</v>
      </c>
      <c r="BO87" s="45" t="n">
        <f aca="false">BH87*BL87</f>
        <v>0</v>
      </c>
      <c r="BP87" s="45" t="n">
        <f aca="false">BH87*BM87</f>
        <v>0</v>
      </c>
      <c r="BQ87" s="45" t="n">
        <f aca="false">BH87*BN87</f>
        <v>0</v>
      </c>
    </row>
    <row r="88" customFormat="false" ht="12.75" hidden="false" customHeight="false" outlineLevel="0" collapsed="false">
      <c r="A88" s="48" t="n">
        <f aca="false">DATE(YEAR(A87),MONTH(A87)+1,1)</f>
        <v>38534</v>
      </c>
      <c r="B88" s="40" t="n">
        <f aca="false">VLOOKUP(A88,STRADDLE,5,FALSE())</f>
        <v>3.036</v>
      </c>
      <c r="C88" s="40" t="n">
        <v>0</v>
      </c>
      <c r="D88" s="4" t="n">
        <f aca="false">VLOOKUP(A88,STRADDLE,8,FALSE())</f>
        <v>0.2325</v>
      </c>
      <c r="E88" s="131" t="n">
        <f aca="false">IF(ISNUMBER(VLOOKUP(A88,VOLCURVES,HLOOKUP(B$5,VOLCURVES,2,FALSE()),FALSE())),VLOOKUP(A88,VOLCURVES,HLOOKUP(B$5,VOLCURVES,2,FALSE()),FALSE()),1)</f>
        <v>1</v>
      </c>
      <c r="F88" s="41" t="n">
        <f aca="false">IF($B$17=4,$AB88,$B$16)</f>
        <v>3.8</v>
      </c>
      <c r="G88" s="41" t="n">
        <f aca="false">IF($D$17=4,$AM88,$D$16)</f>
        <v>3.5</v>
      </c>
      <c r="H88" s="41" t="n">
        <f aca="false">IF($F$17=4,$AX88,$F$16)</f>
        <v>2.96</v>
      </c>
      <c r="I88" s="41" t="n">
        <f aca="false">IF($H$17=4,$BI88,$H$16)</f>
        <v>2.99</v>
      </c>
      <c r="J88" s="4" t="n">
        <f aca="false">IF($B$19=1,VLOOKUP($A88,SkewTable,HLOOKUP(ROUND(F88-AB88,1),SkewTable,2,FALSE()),FALSE())/100,0)</f>
        <v>0.0451185018386</v>
      </c>
      <c r="K88" s="4" t="e">
        <f aca="false">IF($D$19=1,VLOOKUP($A88,SkewTable,HLOOKUP(ROUND(G88-AM88,1),SkewTable,2,FALSE()),FALSE())/100,0)</f>
        <v>#DIV/0!</v>
      </c>
      <c r="L88" s="4" t="e">
        <f aca="false">IF($F$19=1,VLOOKUP($A88,SkewTable,HLOOKUP(ROUND(H88-AX88,1),SkewTable,2,FALSE()),FALSE())/100,0)</f>
        <v>#DIV/0!</v>
      </c>
      <c r="M88" s="4" t="e">
        <f aca="false">IF($H$19=1,VLOOKUP($A88,SkewTable,HLOOKUP(ROUND(I88-BI88,1),SkewTable,2,FALSE()),FALSE())/100,0)</f>
        <v>#DIV/0!</v>
      </c>
      <c r="N88" s="4" t="n">
        <f aca="false">(($D88+J88)*$E88)+B$18</f>
        <v>0.2776185018386</v>
      </c>
      <c r="O88" s="4" t="e">
        <f aca="false">(($D88+K88)*$E88)+D$18</f>
        <v>#DIV/0!</v>
      </c>
      <c r="P88" s="4" t="e">
        <f aca="false">(($D88+L88)*$E88)+F$18</f>
        <v>#DIV/0!</v>
      </c>
      <c r="Q88" s="4" t="e">
        <f aca="false">(($D88+M88)*$E88)+H$18</f>
        <v>#DIV/0!</v>
      </c>
      <c r="R88" s="136" t="n">
        <f aca="false">IF(B$4=1,VLOOKUP(A88,expiration,2,FALSE()),VLOOKUP(A88,expiration,3,FALSE()))-B$2+$B$1</f>
        <v>-7395</v>
      </c>
      <c r="S88" s="4" t="n">
        <f aca="false">VLOOKUP($A88,STRADDLE,12,FALSE())</f>
        <v>0.068133106678583</v>
      </c>
      <c r="T88" s="1" t="n">
        <v>0</v>
      </c>
      <c r="U88" s="43" t="n">
        <v>0</v>
      </c>
      <c r="X88" s="43"/>
      <c r="Z88" s="9"/>
      <c r="AA88" s="9" t="n">
        <f aca="false">IF($A88&gt;=AB$25,IF($A88&lt;=AB$26,$T88,0),0)</f>
        <v>0</v>
      </c>
      <c r="AB88" s="9" t="n">
        <f aca="false">IF(T88&gt;0,AD88/AA88,0)</f>
        <v>0</v>
      </c>
      <c r="AC88" s="1" t="n">
        <f aca="false">AA88*($B88+B$13)</f>
        <v>0</v>
      </c>
      <c r="AD88" s="33" t="n">
        <f aca="false">IF(ISNUMBER(((AC88/AA88)+B$15+$C88)*AA88),((AC88/AA88)+B$15+$C88)*AA88,0)</f>
        <v>0</v>
      </c>
      <c r="AE88" s="44" t="n">
        <f aca="false">IF(AA88=0,0,bsd(1,AF$27,AB88,$F88,$R88,$N88,$S88,0.1))</f>
        <v>0</v>
      </c>
      <c r="AF88" s="44" t="n">
        <f aca="false">IF(AA88=0,0,bsd(2,AF$27,AB88,$F88,$R88,$N88,$S88,0.1))</f>
        <v>0</v>
      </c>
      <c r="AG88" s="44" t="n">
        <f aca="false">IF(AA88=0,0,bsd(AF$28,AF$27,AB88,$F88,$R88,$N88,$S88,0.1))</f>
        <v>0</v>
      </c>
      <c r="AH88" s="45" t="n">
        <f aca="false">AA88*AE88</f>
        <v>0</v>
      </c>
      <c r="AI88" s="45" t="n">
        <f aca="false">AA88*AF88</f>
        <v>0</v>
      </c>
      <c r="AJ88" s="45" t="n">
        <f aca="false">AA88*AG88</f>
        <v>0</v>
      </c>
      <c r="AL88" s="9" t="n">
        <f aca="false">IF($A88&gt;=AM$25,IF($A88&lt;=AM$26,$T88,0),0)</f>
        <v>0</v>
      </c>
      <c r="AM88" s="9" t="e">
        <f aca="false">AO88/AL88</f>
        <v>#DIV/0!</v>
      </c>
      <c r="AN88" s="1" t="n">
        <f aca="false">AL88*($B88+D$13)</f>
        <v>0</v>
      </c>
      <c r="AO88" s="33" t="n">
        <f aca="false">IF(ISNUMBER(((AN88/AL88)+D$15+$C88)*AL88),((AN88/AL88)+D$15+$C88)*AL88,0)</f>
        <v>0</v>
      </c>
      <c r="AP88" s="44" t="n">
        <f aca="false">IF(AL88=0,0,bsd(1,AQ$27,AM88,$G88,$R88,$O88,$S88,0.1))</f>
        <v>0</v>
      </c>
      <c r="AQ88" s="44" t="n">
        <f aca="false">IF(AL88=0,0,bsd(2,AQ$27,AM88,$G88,$R88,$O88,$S88,0.1))</f>
        <v>0</v>
      </c>
      <c r="AR88" s="44" t="n">
        <f aca="false">IF(AL88=0,0,bsd(AQ$28,AQ$27,AM88,$G88,$R88,$O88,$S88,0.1))</f>
        <v>0</v>
      </c>
      <c r="AS88" s="45" t="n">
        <f aca="false">AL88*AP88</f>
        <v>0</v>
      </c>
      <c r="AT88" s="45" t="n">
        <f aca="false">AL88*AQ88</f>
        <v>0</v>
      </c>
      <c r="AU88" s="45" t="n">
        <f aca="false">AL88*AR88</f>
        <v>0</v>
      </c>
      <c r="AW88" s="9" t="n">
        <f aca="false">IF($A88&gt;=AX$25,IF($A88&lt;=AX$26,$T88,0),0)</f>
        <v>0</v>
      </c>
      <c r="AX88" s="9" t="e">
        <f aca="false">AZ88/AW88</f>
        <v>#DIV/0!</v>
      </c>
      <c r="AY88" s="1" t="n">
        <f aca="false">AW88*($B88+F$13)</f>
        <v>0</v>
      </c>
      <c r="AZ88" s="33" t="n">
        <f aca="false">IF(ISNUMBER(((AY88/AW88)+F$15+$C88)*AW88),((AY88/AW88)+F$15+$C88)*AW88,0)</f>
        <v>0</v>
      </c>
      <c r="BA88" s="44" t="n">
        <f aca="false">IF(AW88=0,0,bsd(1,BB$27,AX88,$H88,$R88,$P88,$S88,0.1))</f>
        <v>0</v>
      </c>
      <c r="BB88" s="44" t="n">
        <f aca="false">IF(AW88=0,0,bsd(2,BB$27,AX88,$H88,$R88,$P88,$S88,0.1))</f>
        <v>0</v>
      </c>
      <c r="BC88" s="44" t="n">
        <f aca="false">IF(AW88=0,0,bsd(BB$28,BB$27,AX88,$H88,$R88,$P88,$S88,0.1))</f>
        <v>0</v>
      </c>
      <c r="BD88" s="45" t="n">
        <f aca="false">AW88*BA88</f>
        <v>0</v>
      </c>
      <c r="BE88" s="45" t="n">
        <f aca="false">AW88*BB88</f>
        <v>0</v>
      </c>
      <c r="BF88" s="45" t="n">
        <f aca="false">AW88*BC88</f>
        <v>0</v>
      </c>
      <c r="BH88" s="9" t="n">
        <f aca="false">IF($A88&gt;=BI$25,IF($A88&lt;=BI$26,$T88,0),0)</f>
        <v>0</v>
      </c>
      <c r="BI88" s="9" t="e">
        <f aca="false">BK88/BH88</f>
        <v>#DIV/0!</v>
      </c>
      <c r="BJ88" s="1" t="n">
        <f aca="false">BH88*($B88+H$13)</f>
        <v>0</v>
      </c>
      <c r="BK88" s="33" t="n">
        <f aca="false">IF(ISNUMBER(((BJ88/BH88)+H$15+$C88)*BH88),((BJ88/BH88)+H$15+$C88)*BH88,0)</f>
        <v>0</v>
      </c>
      <c r="BL88" s="44" t="n">
        <f aca="false">IF(BH88=0,0,bsd(1,BM$27,BI88,$I88,$R88,$Q88,$S88,0.1))</f>
        <v>0</v>
      </c>
      <c r="BM88" s="44" t="n">
        <f aca="false">IF(BH88=0,0,bsd(2,BM$27,BI88,$I88,$R88,$Q88,$S88,0.1))</f>
        <v>0</v>
      </c>
      <c r="BN88" s="44" t="n">
        <f aca="false">IF(BH88=0,0,bsd(BM$28,BM$27,BI88,$I88,$R88,$Q88,$S88,0.1))</f>
        <v>0</v>
      </c>
      <c r="BO88" s="45" t="n">
        <f aca="false">BH88*BL88</f>
        <v>0</v>
      </c>
      <c r="BP88" s="45" t="n">
        <f aca="false">BH88*BM88</f>
        <v>0</v>
      </c>
      <c r="BQ88" s="45" t="n">
        <f aca="false">BH88*BN88</f>
        <v>0</v>
      </c>
    </row>
    <row r="89" customFormat="false" ht="12.75" hidden="false" customHeight="false" outlineLevel="0" collapsed="false">
      <c r="A89" s="48" t="n">
        <f aca="false">DATE(YEAR(A88),MONTH(A88)+1,1)</f>
        <v>38565</v>
      </c>
      <c r="B89" s="40" t="n">
        <f aca="false">VLOOKUP(A89,STRADDLE,5,FALSE())</f>
        <v>3.043</v>
      </c>
      <c r="C89" s="40" t="n">
        <v>0</v>
      </c>
      <c r="D89" s="4" t="n">
        <f aca="false">VLOOKUP(A89,STRADDLE,8,FALSE())</f>
        <v>0.2325</v>
      </c>
      <c r="E89" s="131" t="n">
        <f aca="false">IF(ISNUMBER(VLOOKUP(A89,VOLCURVES,HLOOKUP(B$5,VOLCURVES,2,FALSE()),FALSE())),VLOOKUP(A89,VOLCURVES,HLOOKUP(B$5,VOLCURVES,2,FALSE()),FALSE()),1)</f>
        <v>1</v>
      </c>
      <c r="F89" s="41" t="n">
        <f aca="false">IF($B$17=4,$AB89,$B$16)</f>
        <v>3.8</v>
      </c>
      <c r="G89" s="41" t="n">
        <f aca="false">IF($D$17=4,$AM89,$D$16)</f>
        <v>3.5</v>
      </c>
      <c r="H89" s="41" t="n">
        <f aca="false">IF($F$17=4,$AX89,$F$16)</f>
        <v>2.96</v>
      </c>
      <c r="I89" s="41" t="n">
        <f aca="false">IF($H$17=4,$BI89,$H$16)</f>
        <v>2.99</v>
      </c>
      <c r="J89" s="4" t="n">
        <f aca="false">IF($B$19=1,VLOOKUP($A89,SkewTable,HLOOKUP(ROUND(F89-AB89,1),SkewTable,2,FALSE()),FALSE())/100,0)</f>
        <v>0.0451185018386</v>
      </c>
      <c r="K89" s="4" t="e">
        <f aca="false">IF($D$19=1,VLOOKUP($A89,SkewTable,HLOOKUP(ROUND(G89-AM89,1),SkewTable,2,FALSE()),FALSE())/100,0)</f>
        <v>#DIV/0!</v>
      </c>
      <c r="L89" s="4" t="e">
        <f aca="false">IF($F$19=1,VLOOKUP($A89,SkewTable,HLOOKUP(ROUND(H89-AX89,1),SkewTable,2,FALSE()),FALSE())/100,0)</f>
        <v>#DIV/0!</v>
      </c>
      <c r="M89" s="4" t="e">
        <f aca="false">IF($H$19=1,VLOOKUP($A89,SkewTable,HLOOKUP(ROUND(I89-BI89,1),SkewTable,2,FALSE()),FALSE())/100,0)</f>
        <v>#DIV/0!</v>
      </c>
      <c r="N89" s="4" t="n">
        <f aca="false">(($D89+J89)*$E89)+B$18</f>
        <v>0.2776185018386</v>
      </c>
      <c r="O89" s="4" t="e">
        <f aca="false">(($D89+K89)*$E89)+D$18</f>
        <v>#DIV/0!</v>
      </c>
      <c r="P89" s="4" t="e">
        <f aca="false">(($D89+L89)*$E89)+F$18</f>
        <v>#DIV/0!</v>
      </c>
      <c r="Q89" s="4" t="e">
        <f aca="false">(($D89+M89)*$E89)+H$18</f>
        <v>#DIV/0!</v>
      </c>
      <c r="R89" s="136" t="n">
        <f aca="false">IF(B$4=1,VLOOKUP(A89,expiration,2,FALSE()),VLOOKUP(A89,expiration,3,FALSE()))-B$2+$B$1</f>
        <v>-7366</v>
      </c>
      <c r="S89" s="4" t="n">
        <f aca="false">VLOOKUP($A89,STRADDLE,12,FALSE())</f>
        <v>0.068183967141829</v>
      </c>
      <c r="T89" s="1" t="n">
        <v>0</v>
      </c>
      <c r="U89" s="43" t="n">
        <v>0</v>
      </c>
      <c r="X89" s="43"/>
      <c r="Z89" s="9"/>
      <c r="AA89" s="9" t="n">
        <f aca="false">IF($A89&gt;=AB$25,IF($A89&lt;=AB$26,$T89,0),0)</f>
        <v>0</v>
      </c>
      <c r="AB89" s="9" t="n">
        <f aca="false">IF(T89&gt;0,AD89/AA89,0)</f>
        <v>0</v>
      </c>
      <c r="AC89" s="1" t="n">
        <f aca="false">AA89*($B89+B$13)</f>
        <v>0</v>
      </c>
      <c r="AD89" s="33" t="n">
        <f aca="false">IF(ISNUMBER(((AC89/AA89)+B$15+$C89)*AA89),((AC89/AA89)+B$15+$C89)*AA89,0)</f>
        <v>0</v>
      </c>
      <c r="AE89" s="44" t="n">
        <f aca="false">IF(AA89=0,0,bsd(1,AF$27,AB89,$F89,$R89,$N89,$S89,0.1))</f>
        <v>0</v>
      </c>
      <c r="AF89" s="44" t="n">
        <f aca="false">IF(AA89=0,0,bsd(2,AF$27,AB89,$F89,$R89,$N89,$S89,0.1))</f>
        <v>0</v>
      </c>
      <c r="AG89" s="44" t="n">
        <f aca="false">IF(AA89=0,0,bsd(AF$28,AF$27,AB89,$F89,$R89,$N89,$S89,0.1))</f>
        <v>0</v>
      </c>
      <c r="AH89" s="45" t="n">
        <f aca="false">AA89*AE89</f>
        <v>0</v>
      </c>
      <c r="AI89" s="45" t="n">
        <f aca="false">AA89*AF89</f>
        <v>0</v>
      </c>
      <c r="AJ89" s="45" t="n">
        <f aca="false">AA89*AG89</f>
        <v>0</v>
      </c>
      <c r="AL89" s="9" t="n">
        <f aca="false">IF($A89&gt;=AM$25,IF($A89&lt;=AM$26,$T89,0),0)</f>
        <v>0</v>
      </c>
      <c r="AM89" s="9" t="e">
        <f aca="false">AO89/AL89</f>
        <v>#DIV/0!</v>
      </c>
      <c r="AN89" s="1" t="n">
        <f aca="false">AL89*($B89+D$13)</f>
        <v>0</v>
      </c>
      <c r="AO89" s="33" t="n">
        <f aca="false">IF(ISNUMBER(((AN89/AL89)+D$15+$C89)*AL89),((AN89/AL89)+D$15+$C89)*AL89,0)</f>
        <v>0</v>
      </c>
      <c r="AP89" s="44" t="n">
        <f aca="false">IF(AL89=0,0,bsd(1,AQ$27,AM89,$G89,$R89,$O89,$S89,0.1))</f>
        <v>0</v>
      </c>
      <c r="AQ89" s="44" t="n">
        <f aca="false">IF(AL89=0,0,bsd(2,AQ$27,AM89,$G89,$R89,$O89,$S89,0.1))</f>
        <v>0</v>
      </c>
      <c r="AR89" s="44" t="n">
        <f aca="false">IF(AL89=0,0,bsd(AQ$28,AQ$27,AM89,$G89,$R89,$O89,$S89,0.1))</f>
        <v>0</v>
      </c>
      <c r="AS89" s="45" t="n">
        <f aca="false">AL89*AP89</f>
        <v>0</v>
      </c>
      <c r="AT89" s="45" t="n">
        <f aca="false">AL89*AQ89</f>
        <v>0</v>
      </c>
      <c r="AU89" s="45" t="n">
        <f aca="false">AL89*AR89</f>
        <v>0</v>
      </c>
      <c r="AW89" s="9" t="n">
        <f aca="false">IF($A89&gt;=AX$25,IF($A89&lt;=AX$26,$T89,0),0)</f>
        <v>0</v>
      </c>
      <c r="AX89" s="9" t="e">
        <f aca="false">AZ89/AW89</f>
        <v>#DIV/0!</v>
      </c>
      <c r="AY89" s="1" t="n">
        <f aca="false">AW89*($B89+F$13)</f>
        <v>0</v>
      </c>
      <c r="AZ89" s="33" t="n">
        <f aca="false">IF(ISNUMBER(((AY89/AW89)+F$15+$C89)*AW89),((AY89/AW89)+F$15+$C89)*AW89,0)</f>
        <v>0</v>
      </c>
      <c r="BA89" s="44" t="n">
        <f aca="false">IF(AW89=0,0,bsd(1,BB$27,AX89,$H89,$R89,$P89,$S89,0.1))</f>
        <v>0</v>
      </c>
      <c r="BB89" s="44" t="n">
        <f aca="false">IF(AW89=0,0,bsd(2,BB$27,AX89,$H89,$R89,$P89,$S89,0.1))</f>
        <v>0</v>
      </c>
      <c r="BC89" s="44" t="n">
        <f aca="false">IF(AW89=0,0,bsd(BB$28,BB$27,AX89,$H89,$R89,$P89,$S89,0.1))</f>
        <v>0</v>
      </c>
      <c r="BD89" s="45" t="n">
        <f aca="false">AW89*BA89</f>
        <v>0</v>
      </c>
      <c r="BE89" s="45" t="n">
        <f aca="false">AW89*BB89</f>
        <v>0</v>
      </c>
      <c r="BF89" s="45" t="n">
        <f aca="false">AW89*BC89</f>
        <v>0</v>
      </c>
      <c r="BH89" s="9" t="n">
        <f aca="false">IF($A89&gt;=BI$25,IF($A89&lt;=BI$26,$T89,0),0)</f>
        <v>0</v>
      </c>
      <c r="BI89" s="9" t="e">
        <f aca="false">BK89/BH89</f>
        <v>#DIV/0!</v>
      </c>
      <c r="BJ89" s="1" t="n">
        <f aca="false">BH89*($B89+H$13)</f>
        <v>0</v>
      </c>
      <c r="BK89" s="33" t="n">
        <f aca="false">IF(ISNUMBER(((BJ89/BH89)+H$15+$C89)*BH89),((BJ89/BH89)+H$15+$C89)*BH89,0)</f>
        <v>0</v>
      </c>
      <c r="BL89" s="44" t="n">
        <f aca="false">IF(BH89=0,0,bsd(1,BM$27,BI89,$I89,$R89,$Q89,$S89,0.1))</f>
        <v>0</v>
      </c>
      <c r="BM89" s="44" t="n">
        <f aca="false">IF(BH89=0,0,bsd(2,BM$27,BI89,$I89,$R89,$Q89,$S89,0.1))</f>
        <v>0</v>
      </c>
      <c r="BN89" s="44" t="n">
        <f aca="false">IF(BH89=0,0,bsd(BM$28,BM$27,BI89,$I89,$R89,$Q89,$S89,0.1))</f>
        <v>0</v>
      </c>
      <c r="BO89" s="45" t="n">
        <f aca="false">BH89*BL89</f>
        <v>0</v>
      </c>
      <c r="BP89" s="45" t="n">
        <f aca="false">BH89*BM89</f>
        <v>0</v>
      </c>
      <c r="BQ89" s="45" t="n">
        <f aca="false">BH89*BN89</f>
        <v>0</v>
      </c>
    </row>
    <row r="90" customFormat="false" ht="12.75" hidden="false" customHeight="false" outlineLevel="0" collapsed="false">
      <c r="A90" s="48" t="n">
        <f aca="false">DATE(YEAR(A89),MONTH(A89)+1,1)</f>
        <v>38596</v>
      </c>
      <c r="B90" s="40" t="n">
        <f aca="false">VLOOKUP(A90,STRADDLE,5,FALSE())</f>
        <v>3.031</v>
      </c>
      <c r="C90" s="40" t="n">
        <v>0</v>
      </c>
      <c r="D90" s="4" t="n">
        <f aca="false">VLOOKUP(A90,STRADDLE,8,FALSE())</f>
        <v>0.2325</v>
      </c>
      <c r="E90" s="131" t="n">
        <f aca="false">IF(ISNUMBER(VLOOKUP(A90,VOLCURVES,HLOOKUP(B$5,VOLCURVES,2,FALSE()),FALSE())),VLOOKUP(A90,VOLCURVES,HLOOKUP(B$5,VOLCURVES,2,FALSE()),FALSE()),1)</f>
        <v>1</v>
      </c>
      <c r="F90" s="41" t="n">
        <f aca="false">IF($B$17=4,$AB90,$B$16)</f>
        <v>3.8</v>
      </c>
      <c r="G90" s="41" t="n">
        <f aca="false">IF($D$17=4,$AM90,$D$16)</f>
        <v>3.5</v>
      </c>
      <c r="H90" s="41" t="n">
        <f aca="false">IF($F$17=4,$AX90,$F$16)</f>
        <v>2.96</v>
      </c>
      <c r="I90" s="41" t="n">
        <f aca="false">IF($H$17=4,$BI90,$H$16)</f>
        <v>2.99</v>
      </c>
      <c r="J90" s="4" t="n">
        <f aca="false">IF($B$19=1,VLOOKUP($A90,SkewTable,HLOOKUP(ROUND(F90-AB90,1),SkewTable,2,FALSE()),FALSE())/100,0)</f>
        <v>0.0451185018386</v>
      </c>
      <c r="K90" s="4" t="e">
        <f aca="false">IF($D$19=1,VLOOKUP($A90,SkewTable,HLOOKUP(ROUND(G90-AM90,1),SkewTable,2,FALSE()),FALSE())/100,0)</f>
        <v>#DIV/0!</v>
      </c>
      <c r="L90" s="4" t="e">
        <f aca="false">IF($F$19=1,VLOOKUP($A90,SkewTable,HLOOKUP(ROUND(H90-AX90,1),SkewTable,2,FALSE()),FALSE())/100,0)</f>
        <v>#DIV/0!</v>
      </c>
      <c r="M90" s="4" t="e">
        <f aca="false">IF($H$19=1,VLOOKUP($A90,SkewTable,HLOOKUP(ROUND(I90-BI90,1),SkewTable,2,FALSE()),FALSE())/100,0)</f>
        <v>#DIV/0!</v>
      </c>
      <c r="N90" s="4" t="n">
        <f aca="false">(($D90+J90)*$E90)+B$18</f>
        <v>0.2776185018386</v>
      </c>
      <c r="O90" s="4" t="e">
        <f aca="false">(($D90+K90)*$E90)+D$18</f>
        <v>#DIV/0!</v>
      </c>
      <c r="P90" s="4" t="e">
        <f aca="false">(($D90+L90)*$E90)+F$18</f>
        <v>#DIV/0!</v>
      </c>
      <c r="Q90" s="4" t="e">
        <f aca="false">(($D90+M90)*$E90)+H$18</f>
        <v>#DIV/0!</v>
      </c>
      <c r="R90" s="136" t="n">
        <f aca="false">IF(B$4=1,VLOOKUP(A90,expiration,2,FALSE()),VLOOKUP(A90,expiration,3,FALSE()))-B$2+$B$1</f>
        <v>-7333</v>
      </c>
      <c r="S90" s="4" t="n">
        <f aca="false">VLOOKUP($A90,STRADDLE,12,FALSE())</f>
        <v>0.068234827605931</v>
      </c>
      <c r="T90" s="1" t="n">
        <v>0</v>
      </c>
      <c r="U90" s="43" t="n">
        <v>0</v>
      </c>
      <c r="X90" s="43"/>
      <c r="Z90" s="9"/>
      <c r="AA90" s="9" t="n">
        <f aca="false">IF($A90&gt;=AB$25,IF($A90&lt;=AB$26,$T90,0),0)</f>
        <v>0</v>
      </c>
      <c r="AB90" s="9" t="n">
        <f aca="false">IF(T90&gt;0,AD90/AA90,0)</f>
        <v>0</v>
      </c>
      <c r="AC90" s="1" t="n">
        <f aca="false">AA90*($B90+B$13)</f>
        <v>0</v>
      </c>
      <c r="AD90" s="33" t="n">
        <f aca="false">IF(ISNUMBER(((AC90/AA90)+B$15+$C90)*AA90),((AC90/AA90)+B$15+$C90)*AA90,0)</f>
        <v>0</v>
      </c>
      <c r="AE90" s="44" t="n">
        <f aca="false">IF(AA90=0,0,bsd(1,AF$27,AB90,$F90,$R90,$N90,$S90,0.1))</f>
        <v>0</v>
      </c>
      <c r="AF90" s="44" t="n">
        <f aca="false">IF(AA90=0,0,bsd(2,AF$27,AB90,$F90,$R90,$N90,$S90,0.1))</f>
        <v>0</v>
      </c>
      <c r="AG90" s="44" t="n">
        <f aca="false">IF(AA90=0,0,bsd(AF$28,AF$27,AB90,$F90,$R90,$N90,$S90,0.1))</f>
        <v>0</v>
      </c>
      <c r="AH90" s="45" t="n">
        <f aca="false">AA90*AE90</f>
        <v>0</v>
      </c>
      <c r="AI90" s="45" t="n">
        <f aca="false">AA90*AF90</f>
        <v>0</v>
      </c>
      <c r="AJ90" s="45" t="n">
        <f aca="false">AA90*AG90</f>
        <v>0</v>
      </c>
      <c r="AL90" s="9" t="n">
        <f aca="false">IF($A90&gt;=AM$25,IF($A90&lt;=AM$26,$T90,0),0)</f>
        <v>0</v>
      </c>
      <c r="AM90" s="9" t="e">
        <f aca="false">AO90/AL90</f>
        <v>#DIV/0!</v>
      </c>
      <c r="AN90" s="1" t="n">
        <f aca="false">AL90*($B90+D$13)</f>
        <v>0</v>
      </c>
      <c r="AO90" s="33" t="n">
        <f aca="false">IF(ISNUMBER(((AN90/AL90)+D$15+$C90)*AL90),((AN90/AL90)+D$15+$C90)*AL90,0)</f>
        <v>0</v>
      </c>
      <c r="AP90" s="44" t="n">
        <f aca="false">IF(AL90=0,0,bsd(1,AQ$27,AM90,$G90,$R90,$O90,$S90,0.1))</f>
        <v>0</v>
      </c>
      <c r="AQ90" s="44" t="n">
        <f aca="false">IF(AL90=0,0,bsd(2,AQ$27,AM90,$G90,$R90,$O90,$S90,0.1))</f>
        <v>0</v>
      </c>
      <c r="AR90" s="44" t="n">
        <f aca="false">IF(AL90=0,0,bsd(AQ$28,AQ$27,AM90,$G90,$R90,$O90,$S90,0.1))</f>
        <v>0</v>
      </c>
      <c r="AS90" s="45" t="n">
        <f aca="false">AL90*AP90</f>
        <v>0</v>
      </c>
      <c r="AT90" s="45" t="n">
        <f aca="false">AL90*AQ90</f>
        <v>0</v>
      </c>
      <c r="AU90" s="45" t="n">
        <f aca="false">AL90*AR90</f>
        <v>0</v>
      </c>
      <c r="AW90" s="9" t="n">
        <f aca="false">IF($A90&gt;=AX$25,IF($A90&lt;=AX$26,$T90,0),0)</f>
        <v>0</v>
      </c>
      <c r="AX90" s="9" t="e">
        <f aca="false">AZ90/AW90</f>
        <v>#DIV/0!</v>
      </c>
      <c r="AY90" s="1" t="n">
        <f aca="false">AW90*($B90+F$13)</f>
        <v>0</v>
      </c>
      <c r="AZ90" s="33" t="n">
        <f aca="false">IF(ISNUMBER(((AY90/AW90)+F$15+$C90)*AW90),((AY90/AW90)+F$15+$C90)*AW90,0)</f>
        <v>0</v>
      </c>
      <c r="BA90" s="44" t="n">
        <f aca="false">IF(AW90=0,0,bsd(1,BB$27,AX90,$H90,$R90,$P90,$S90,0.1))</f>
        <v>0</v>
      </c>
      <c r="BB90" s="44" t="n">
        <f aca="false">IF(AW90=0,0,bsd(2,BB$27,AX90,$H90,$R90,$P90,$S90,0.1))</f>
        <v>0</v>
      </c>
      <c r="BC90" s="44" t="n">
        <f aca="false">IF(AW90=0,0,bsd(BB$28,BB$27,AX90,$H90,$R90,$P90,$S90,0.1))</f>
        <v>0</v>
      </c>
      <c r="BD90" s="45" t="n">
        <f aca="false">AW90*BA90</f>
        <v>0</v>
      </c>
      <c r="BE90" s="45" t="n">
        <f aca="false">AW90*BB90</f>
        <v>0</v>
      </c>
      <c r="BF90" s="45" t="n">
        <f aca="false">AW90*BC90</f>
        <v>0</v>
      </c>
      <c r="BH90" s="9" t="n">
        <f aca="false">IF($A90&gt;=BI$25,IF($A90&lt;=BI$26,$T90,0),0)</f>
        <v>0</v>
      </c>
      <c r="BI90" s="9" t="e">
        <f aca="false">BK90/BH90</f>
        <v>#DIV/0!</v>
      </c>
      <c r="BJ90" s="1" t="n">
        <f aca="false">BH90*($B90+H$13)</f>
        <v>0</v>
      </c>
      <c r="BK90" s="33" t="n">
        <f aca="false">IF(ISNUMBER(((BJ90/BH90)+H$15+$C90)*BH90),((BJ90/BH90)+H$15+$C90)*BH90,0)</f>
        <v>0</v>
      </c>
      <c r="BL90" s="44" t="n">
        <f aca="false">IF(BH90=0,0,bsd(1,BM$27,BI90,$I90,$R90,$Q90,$S90,0.1))</f>
        <v>0</v>
      </c>
      <c r="BM90" s="44" t="n">
        <f aca="false">IF(BH90=0,0,bsd(2,BM$27,BI90,$I90,$R90,$Q90,$S90,0.1))</f>
        <v>0</v>
      </c>
      <c r="BN90" s="44" t="n">
        <f aca="false">IF(BH90=0,0,bsd(BM$28,BM$27,BI90,$I90,$R90,$Q90,$S90,0.1))</f>
        <v>0</v>
      </c>
      <c r="BO90" s="45" t="n">
        <f aca="false">BH90*BL90</f>
        <v>0</v>
      </c>
      <c r="BP90" s="45" t="n">
        <f aca="false">BH90*BM90</f>
        <v>0</v>
      </c>
      <c r="BQ90" s="45" t="n">
        <f aca="false">BH90*BN90</f>
        <v>0</v>
      </c>
    </row>
    <row r="91" customFormat="false" ht="12.75" hidden="false" customHeight="false" outlineLevel="0" collapsed="false">
      <c r="A91" s="48" t="n">
        <f aca="false">DATE(YEAR(A90),MONTH(A90)+1,1)</f>
        <v>38626</v>
      </c>
      <c r="B91" s="40" t="n">
        <f aca="false">VLOOKUP(A91,STRADDLE,5,FALSE())</f>
        <v>3.052</v>
      </c>
      <c r="C91" s="40" t="n">
        <v>0</v>
      </c>
      <c r="D91" s="4" t="n">
        <f aca="false">VLOOKUP(A91,STRADDLE,8,FALSE())</f>
        <v>0.2325</v>
      </c>
      <c r="E91" s="131" t="n">
        <f aca="false">IF(ISNUMBER(VLOOKUP(A91,VOLCURVES,HLOOKUP(B$5,VOLCURVES,2,FALSE()),FALSE())),VLOOKUP(A91,VOLCURVES,HLOOKUP(B$5,VOLCURVES,2,FALSE()),FALSE()),1)</f>
        <v>1</v>
      </c>
      <c r="F91" s="41" t="n">
        <f aca="false">IF($B$17=4,$AB91,$B$16)</f>
        <v>3.8</v>
      </c>
      <c r="G91" s="41" t="n">
        <f aca="false">IF($D$17=4,$AM91,$D$16)</f>
        <v>3.5</v>
      </c>
      <c r="H91" s="41" t="n">
        <f aca="false">IF($F$17=4,$AX91,$F$16)</f>
        <v>2.96</v>
      </c>
      <c r="I91" s="41" t="n">
        <f aca="false">IF($H$17=4,$BI91,$H$16)</f>
        <v>2.99</v>
      </c>
      <c r="J91" s="4" t="n">
        <f aca="false">IF($B$19=1,VLOOKUP($A91,SkewTable,HLOOKUP(ROUND(F91-AB91,1),SkewTable,2,FALSE()),FALSE())/100,0)</f>
        <v>0.0451185018386</v>
      </c>
      <c r="K91" s="4" t="e">
        <f aca="false">IF($D$19=1,VLOOKUP($A91,SkewTable,HLOOKUP(ROUND(G91-AM91,1),SkewTable,2,FALSE()),FALSE())/100,0)</f>
        <v>#DIV/0!</v>
      </c>
      <c r="L91" s="4" t="e">
        <f aca="false">IF($F$19=1,VLOOKUP($A91,SkewTable,HLOOKUP(ROUND(H91-AX91,1),SkewTable,2,FALSE()),FALSE())/100,0)</f>
        <v>#DIV/0!</v>
      </c>
      <c r="M91" s="4" t="e">
        <f aca="false">IF($H$19=1,VLOOKUP($A91,SkewTable,HLOOKUP(ROUND(I91-BI91,1),SkewTable,2,FALSE()),FALSE())/100,0)</f>
        <v>#DIV/0!</v>
      </c>
      <c r="N91" s="4" t="n">
        <f aca="false">(($D91+J91)*$E91)+B$18</f>
        <v>0.2776185018386</v>
      </c>
      <c r="O91" s="4" t="e">
        <f aca="false">(($D91+K91)*$E91)+D$18</f>
        <v>#DIV/0!</v>
      </c>
      <c r="P91" s="4" t="e">
        <f aca="false">(($D91+L91)*$E91)+F$18</f>
        <v>#DIV/0!</v>
      </c>
      <c r="Q91" s="4" t="e">
        <f aca="false">(($D91+M91)*$E91)+H$18</f>
        <v>#DIV/0!</v>
      </c>
      <c r="R91" s="136" t="n">
        <f aca="false">IF(B$4=1,VLOOKUP(A91,expiration,2,FALSE()),VLOOKUP(A91,expiration,3,FALSE()))-B$2+$B$1</f>
        <v>-7303</v>
      </c>
      <c r="S91" s="4" t="n">
        <f aca="false">VLOOKUP($A91,STRADDLE,12,FALSE())</f>
        <v>0.068284220896026</v>
      </c>
      <c r="T91" s="1" t="n">
        <v>0</v>
      </c>
      <c r="U91" s="43" t="n">
        <v>0</v>
      </c>
      <c r="X91" s="43"/>
      <c r="Z91" s="9"/>
      <c r="AA91" s="9" t="n">
        <f aca="false">IF($A91&gt;=AB$25,IF($A91&lt;=AB$26,$T91,0),0)</f>
        <v>0</v>
      </c>
      <c r="AB91" s="9" t="n">
        <f aca="false">IF(T91&gt;0,AD91/AA91,0)</f>
        <v>0</v>
      </c>
      <c r="AC91" s="1" t="n">
        <f aca="false">AA91*($B91+B$13)</f>
        <v>0</v>
      </c>
      <c r="AD91" s="33" t="n">
        <f aca="false">IF(ISNUMBER(((AC91/AA91)+B$15+$C91)*AA91),((AC91/AA91)+B$15+$C91)*AA91,0)</f>
        <v>0</v>
      </c>
      <c r="AE91" s="44" t="n">
        <f aca="false">IF(AA91=0,0,bsd(1,AF$27,AB91,$F91,$R91,$N91,$S91,0.1))</f>
        <v>0</v>
      </c>
      <c r="AF91" s="44" t="n">
        <f aca="false">IF(AA91=0,0,bsd(2,AF$27,AB91,$F91,$R91,$N91,$S91,0.1))</f>
        <v>0</v>
      </c>
      <c r="AG91" s="44" t="n">
        <f aca="false">IF(AA91=0,0,bsd(AF$28,AF$27,AB91,$F91,$R91,$N91,$S91,0.1))</f>
        <v>0</v>
      </c>
      <c r="AH91" s="45" t="n">
        <f aca="false">AA91*AE91</f>
        <v>0</v>
      </c>
      <c r="AI91" s="45" t="n">
        <f aca="false">AA91*AF91</f>
        <v>0</v>
      </c>
      <c r="AJ91" s="45" t="n">
        <f aca="false">AA91*AG91</f>
        <v>0</v>
      </c>
      <c r="AL91" s="9" t="n">
        <f aca="false">IF($A91&gt;=AM$25,IF($A91&lt;=AM$26,$T91,0),0)</f>
        <v>0</v>
      </c>
      <c r="AM91" s="9" t="e">
        <f aca="false">AO91/AL91</f>
        <v>#DIV/0!</v>
      </c>
      <c r="AN91" s="1" t="n">
        <f aca="false">AL91*($B91+D$13)</f>
        <v>0</v>
      </c>
      <c r="AO91" s="33" t="n">
        <f aca="false">IF(ISNUMBER(((AN91/AL91)+D$15+$C91)*AL91),((AN91/AL91)+D$15+$C91)*AL91,0)</f>
        <v>0</v>
      </c>
      <c r="AP91" s="44" t="n">
        <f aca="false">IF(AL91=0,0,bsd(1,AQ$27,AM91,$G91,$R91,$O91,$S91,0.1))</f>
        <v>0</v>
      </c>
      <c r="AQ91" s="44" t="n">
        <f aca="false">IF(AL91=0,0,bsd(2,AQ$27,AM91,$G91,$R91,$O91,$S91,0.1))</f>
        <v>0</v>
      </c>
      <c r="AR91" s="44" t="n">
        <f aca="false">IF(AL91=0,0,bsd(AQ$28,AQ$27,AM91,$G91,$R91,$O91,$S91,0.1))</f>
        <v>0</v>
      </c>
      <c r="AS91" s="45" t="n">
        <f aca="false">AL91*AP91</f>
        <v>0</v>
      </c>
      <c r="AT91" s="45" t="n">
        <f aca="false">AL91*AQ91</f>
        <v>0</v>
      </c>
      <c r="AU91" s="45" t="n">
        <f aca="false">AL91*AR91</f>
        <v>0</v>
      </c>
      <c r="AW91" s="9" t="n">
        <f aca="false">IF($A91&gt;=AX$25,IF($A91&lt;=AX$26,$T91,0),0)</f>
        <v>0</v>
      </c>
      <c r="AX91" s="9" t="e">
        <f aca="false">AZ91/AW91</f>
        <v>#DIV/0!</v>
      </c>
      <c r="AY91" s="1" t="n">
        <f aca="false">AW91*($B91+F$13)</f>
        <v>0</v>
      </c>
      <c r="AZ91" s="33" t="n">
        <f aca="false">IF(ISNUMBER(((AY91/AW91)+F$15+$C91)*AW91),((AY91/AW91)+F$15+$C91)*AW91,0)</f>
        <v>0</v>
      </c>
      <c r="BA91" s="44" t="n">
        <f aca="false">IF(AW91=0,0,bsd(1,BB$27,AX91,$H91,$R91,$P91,$S91,0.1))</f>
        <v>0</v>
      </c>
      <c r="BB91" s="44" t="n">
        <f aca="false">IF(AW91=0,0,bsd(2,BB$27,AX91,$H91,$R91,$P91,$S91,0.1))</f>
        <v>0</v>
      </c>
      <c r="BC91" s="44" t="n">
        <f aca="false">IF(AW91=0,0,bsd(BB$28,BB$27,AX91,$H91,$R91,$P91,$S91,0.1))</f>
        <v>0</v>
      </c>
      <c r="BD91" s="45" t="n">
        <f aca="false">AW91*BA91</f>
        <v>0</v>
      </c>
      <c r="BE91" s="45" t="n">
        <f aca="false">AW91*BB91</f>
        <v>0</v>
      </c>
      <c r="BF91" s="45" t="n">
        <f aca="false">AW91*BC91</f>
        <v>0</v>
      </c>
      <c r="BH91" s="9" t="n">
        <f aca="false">IF($A91&gt;=BI$25,IF($A91&lt;=BI$26,$T91,0),0)</f>
        <v>0</v>
      </c>
      <c r="BI91" s="9" t="e">
        <f aca="false">BK91/BH91</f>
        <v>#DIV/0!</v>
      </c>
      <c r="BJ91" s="1" t="n">
        <f aca="false">BH91*($B91+H$13)</f>
        <v>0</v>
      </c>
      <c r="BK91" s="33" t="n">
        <f aca="false">IF(ISNUMBER(((BJ91/BH91)+H$15+$C91)*BH91),((BJ91/BH91)+H$15+$C91)*BH91,0)</f>
        <v>0</v>
      </c>
      <c r="BL91" s="44" t="n">
        <f aca="false">IF(BH91=0,0,bsd(1,BM$27,BI91,$I91,$R91,$Q91,$S91,0.1))</f>
        <v>0</v>
      </c>
      <c r="BM91" s="44" t="n">
        <f aca="false">IF(BH91=0,0,bsd(2,BM$27,BI91,$I91,$R91,$Q91,$S91,0.1))</f>
        <v>0</v>
      </c>
      <c r="BN91" s="44" t="n">
        <f aca="false">IF(BH91=0,0,bsd(BM$28,BM$27,BI91,$I91,$R91,$Q91,$S91,0.1))</f>
        <v>0</v>
      </c>
      <c r="BO91" s="45" t="n">
        <f aca="false">BH91*BL91</f>
        <v>0</v>
      </c>
      <c r="BP91" s="45" t="n">
        <f aca="false">BH91*BM91</f>
        <v>0</v>
      </c>
      <c r="BQ91" s="45" t="n">
        <f aca="false">BH91*BN91</f>
        <v>0</v>
      </c>
    </row>
    <row r="92" customFormat="false" ht="12.75" hidden="false" customHeight="false" outlineLevel="0" collapsed="false">
      <c r="A92" s="48" t="n">
        <f aca="false">DATE(YEAR(A91),MONTH(A91)+1,1)</f>
        <v>38657</v>
      </c>
      <c r="B92" s="40" t="n">
        <f aca="false">VLOOKUP(A92,STRADDLE,5,FALSE())</f>
        <v>3.134</v>
      </c>
      <c r="C92" s="40" t="n">
        <v>0</v>
      </c>
      <c r="D92" s="4" t="n">
        <f aca="false">VLOOKUP(A92,STRADDLE,8,FALSE())</f>
        <v>0.2325</v>
      </c>
      <c r="E92" s="131" t="n">
        <f aca="false">IF(ISNUMBER(VLOOKUP(A92,VOLCURVES,HLOOKUP(B$5,VOLCURVES,2,FALSE()),FALSE())),VLOOKUP(A92,VOLCURVES,HLOOKUP(B$5,VOLCURVES,2,FALSE()),FALSE()),1)</f>
        <v>1</v>
      </c>
      <c r="F92" s="41" t="n">
        <f aca="false">IF($B$17=4,$AB92,$B$16)</f>
        <v>3.8</v>
      </c>
      <c r="G92" s="41" t="n">
        <f aca="false">IF($D$17=4,$AM92,$D$16)</f>
        <v>3.5</v>
      </c>
      <c r="H92" s="41" t="n">
        <f aca="false">IF($F$17=4,$AX92,$F$16)</f>
        <v>2.96</v>
      </c>
      <c r="I92" s="41" t="n">
        <f aca="false">IF($H$17=4,$BI92,$H$16)</f>
        <v>2.99</v>
      </c>
      <c r="J92" s="4" t="n">
        <f aca="false">IF($B$19=1,VLOOKUP($A92,SkewTable,HLOOKUP(ROUND(F92-AB92,1),SkewTable,2,FALSE()),FALSE())/100,0)</f>
        <v>0.0451185018386</v>
      </c>
      <c r="K92" s="4" t="e">
        <f aca="false">IF($D$19=1,VLOOKUP($A92,SkewTable,HLOOKUP(ROUND(G92-AM92,1),SkewTable,2,FALSE()),FALSE())/100,0)</f>
        <v>#DIV/0!</v>
      </c>
      <c r="L92" s="4" t="e">
        <f aca="false">IF($F$19=1,VLOOKUP($A92,SkewTable,HLOOKUP(ROUND(H92-AX92,1),SkewTable,2,FALSE()),FALSE())/100,0)</f>
        <v>#DIV/0!</v>
      </c>
      <c r="M92" s="4" t="e">
        <f aca="false">IF($H$19=1,VLOOKUP($A92,SkewTable,HLOOKUP(ROUND(I92-BI92,1),SkewTable,2,FALSE()),FALSE())/100,0)</f>
        <v>#DIV/0!</v>
      </c>
      <c r="N92" s="4" t="n">
        <f aca="false">(($D92+J92)*$E92)+B$18</f>
        <v>0.2776185018386</v>
      </c>
      <c r="O92" s="4" t="e">
        <f aca="false">(($D92+K92)*$E92)+D$18</f>
        <v>#DIV/0!</v>
      </c>
      <c r="P92" s="4" t="e">
        <f aca="false">(($D92+L92)*$E92)+F$18</f>
        <v>#DIV/0!</v>
      </c>
      <c r="Q92" s="4" t="e">
        <f aca="false">(($D92+M92)*$E92)+H$18</f>
        <v>#DIV/0!</v>
      </c>
      <c r="R92" s="136" t="n">
        <f aca="false">IF(B$4=1,VLOOKUP(A92,expiration,2,FALSE()),VLOOKUP(A92,expiration,3,FALSE()))-B$2+$B$1</f>
        <v>-7274</v>
      </c>
      <c r="S92" s="4" t="n">
        <f aca="false">VLOOKUP($A92,STRADDLE,12,FALSE())</f>
        <v>0.068335570274971</v>
      </c>
      <c r="T92" s="1" t="n">
        <v>0</v>
      </c>
      <c r="U92" s="43" t="n">
        <v>0</v>
      </c>
      <c r="X92" s="43"/>
      <c r="Z92" s="9"/>
      <c r="AA92" s="9" t="n">
        <f aca="false">IF($A92&gt;=AB$25,IF($A92&lt;=AB$26,$T92,0),0)</f>
        <v>0</v>
      </c>
      <c r="AB92" s="9" t="n">
        <f aca="false">IF(T92&gt;0,AD92/AA92,0)</f>
        <v>0</v>
      </c>
      <c r="AC92" s="1" t="n">
        <f aca="false">AA92*($B92+B$13)</f>
        <v>0</v>
      </c>
      <c r="AD92" s="33" t="n">
        <f aca="false">IF(ISNUMBER(((AC92/AA92)+B$15+$C92)*AA92),((AC92/AA92)+B$15+$C92)*AA92,0)</f>
        <v>0</v>
      </c>
      <c r="AE92" s="44" t="n">
        <f aca="false">IF(AA92=0,0,bsd(1,AF$27,AB92,$F92,$R92,$N92,$S92,0.1))</f>
        <v>0</v>
      </c>
      <c r="AF92" s="44" t="n">
        <f aca="false">IF(AA92=0,0,bsd(2,AF$27,AB92,$F92,$R92,$N92,$S92,0.1))</f>
        <v>0</v>
      </c>
      <c r="AG92" s="44" t="n">
        <f aca="false">IF(AA92=0,0,bsd(AF$28,AF$27,AB92,$F92,$R92,$N92,$S92,0.1))</f>
        <v>0</v>
      </c>
      <c r="AH92" s="45" t="n">
        <f aca="false">AA92*AE92</f>
        <v>0</v>
      </c>
      <c r="AI92" s="45" t="n">
        <f aca="false">AA92*AF92</f>
        <v>0</v>
      </c>
      <c r="AJ92" s="45" t="n">
        <f aca="false">AA92*AG92</f>
        <v>0</v>
      </c>
      <c r="AL92" s="9" t="n">
        <f aca="false">IF($A92&gt;=AM$25,IF($A92&lt;=AM$26,$T92,0),0)</f>
        <v>0</v>
      </c>
      <c r="AM92" s="9" t="e">
        <f aca="false">AO92/AL92</f>
        <v>#DIV/0!</v>
      </c>
      <c r="AN92" s="1" t="n">
        <f aca="false">AL92*($B92+D$13)</f>
        <v>0</v>
      </c>
      <c r="AO92" s="33" t="n">
        <f aca="false">IF(ISNUMBER(((AN92/AL92)+D$15+$C92)*AL92),((AN92/AL92)+D$15+$C92)*AL92,0)</f>
        <v>0</v>
      </c>
      <c r="AP92" s="44" t="n">
        <f aca="false">IF(AL92=0,0,bsd(1,AQ$27,AM92,$G92,$R92,$O92,$S92,0.1))</f>
        <v>0</v>
      </c>
      <c r="AQ92" s="44" t="n">
        <f aca="false">IF(AL92=0,0,bsd(2,AQ$27,AM92,$G92,$R92,$O92,$S92,0.1))</f>
        <v>0</v>
      </c>
      <c r="AR92" s="44" t="n">
        <f aca="false">IF(AL92=0,0,bsd(AQ$28,AQ$27,AM92,$G92,$R92,$O92,$S92,0.1))</f>
        <v>0</v>
      </c>
      <c r="AS92" s="45" t="n">
        <f aca="false">AL92*AP92</f>
        <v>0</v>
      </c>
      <c r="AT92" s="45" t="n">
        <f aca="false">AL92*AQ92</f>
        <v>0</v>
      </c>
      <c r="AU92" s="45" t="n">
        <f aca="false">AL92*AR92</f>
        <v>0</v>
      </c>
      <c r="AW92" s="9" t="n">
        <f aca="false">IF($A92&gt;=AX$25,IF($A92&lt;=AX$26,$T92,0),0)</f>
        <v>0</v>
      </c>
      <c r="AX92" s="9" t="e">
        <f aca="false">AZ92/AW92</f>
        <v>#DIV/0!</v>
      </c>
      <c r="AY92" s="1" t="n">
        <f aca="false">AW92*($B92+F$13)</f>
        <v>0</v>
      </c>
      <c r="AZ92" s="33" t="n">
        <f aca="false">IF(ISNUMBER(((AY92/AW92)+F$15+$C92)*AW92),((AY92/AW92)+F$15+$C92)*AW92,0)</f>
        <v>0</v>
      </c>
      <c r="BA92" s="44" t="n">
        <f aca="false">IF(AW92=0,0,bsd(1,BB$27,AX92,$H92,$R92,$P92,$S92,0.1))</f>
        <v>0</v>
      </c>
      <c r="BB92" s="44" t="n">
        <f aca="false">IF(AW92=0,0,bsd(2,BB$27,AX92,$H92,$R92,$P92,$S92,0.1))</f>
        <v>0</v>
      </c>
      <c r="BC92" s="44" t="n">
        <f aca="false">IF(AW92=0,0,bsd(BB$28,BB$27,AX92,$H92,$R92,$P92,$S92,0.1))</f>
        <v>0</v>
      </c>
      <c r="BD92" s="45" t="n">
        <f aca="false">AW92*BA92</f>
        <v>0</v>
      </c>
      <c r="BE92" s="45" t="n">
        <f aca="false">AW92*BB92</f>
        <v>0</v>
      </c>
      <c r="BF92" s="45" t="n">
        <f aca="false">AW92*BC92</f>
        <v>0</v>
      </c>
      <c r="BH92" s="9" t="n">
        <f aca="false">IF($A92&gt;=BI$25,IF($A92&lt;=BI$26,$T92,0),0)</f>
        <v>0</v>
      </c>
      <c r="BI92" s="9" t="e">
        <f aca="false">BK92/BH92</f>
        <v>#DIV/0!</v>
      </c>
      <c r="BJ92" s="1" t="n">
        <f aca="false">BH92*($B92+H$13)</f>
        <v>0</v>
      </c>
      <c r="BK92" s="33" t="n">
        <f aca="false">IF(ISNUMBER(((BJ92/BH92)+H$15+$C92)*BH92),((BJ92/BH92)+H$15+$C92)*BH92,0)</f>
        <v>0</v>
      </c>
      <c r="BL92" s="44" t="n">
        <f aca="false">IF(BH92=0,0,bsd(1,BM$27,BI92,$I92,$R92,$Q92,$S92,0.1))</f>
        <v>0</v>
      </c>
      <c r="BM92" s="44" t="n">
        <f aca="false">IF(BH92=0,0,bsd(2,BM$27,BI92,$I92,$R92,$Q92,$S92,0.1))</f>
        <v>0</v>
      </c>
      <c r="BN92" s="44" t="n">
        <f aca="false">IF(BH92=0,0,bsd(BM$28,BM$27,BI92,$I92,$R92,$Q92,$S92,0.1))</f>
        <v>0</v>
      </c>
      <c r="BO92" s="45" t="n">
        <f aca="false">BH92*BL92</f>
        <v>0</v>
      </c>
      <c r="BP92" s="45" t="n">
        <f aca="false">BH92*BM92</f>
        <v>0</v>
      </c>
      <c r="BQ92" s="45" t="n">
        <f aca="false">BH92*BN92</f>
        <v>0</v>
      </c>
    </row>
    <row r="93" customFormat="false" ht="12.75" hidden="false" customHeight="false" outlineLevel="0" collapsed="false">
      <c r="A93" s="48" t="n">
        <f aca="false">DATE(YEAR(A92),MONTH(A92)+1,1)</f>
        <v>38687</v>
      </c>
      <c r="B93" s="40" t="n">
        <f aca="false">VLOOKUP(A93,STRADDLE,5,FALSE())</f>
        <v>3.204</v>
      </c>
      <c r="C93" s="40" t="n">
        <v>0</v>
      </c>
      <c r="D93" s="4" t="n">
        <f aca="false">VLOOKUP(A93,STRADDLE,8,FALSE())</f>
        <v>0.235</v>
      </c>
      <c r="E93" s="131" t="n">
        <f aca="false">IF(ISNUMBER(VLOOKUP(A93,VOLCURVES,HLOOKUP(B$5,VOLCURVES,2,FALSE()),FALSE())),VLOOKUP(A93,VOLCURVES,HLOOKUP(B$5,VOLCURVES,2,FALSE()),FALSE()),1)</f>
        <v>1</v>
      </c>
      <c r="F93" s="41" t="n">
        <f aca="false">IF($B$17=4,$AB93,$B$16)</f>
        <v>3.8</v>
      </c>
      <c r="G93" s="41" t="n">
        <f aca="false">IF($D$17=4,$AM93,$D$16)</f>
        <v>3.5</v>
      </c>
      <c r="H93" s="41" t="n">
        <f aca="false">IF($F$17=4,$AX93,$F$16)</f>
        <v>2.96</v>
      </c>
      <c r="I93" s="41" t="n">
        <f aca="false">IF($H$17=4,$BI93,$H$16)</f>
        <v>2.99</v>
      </c>
      <c r="J93" s="4" t="n">
        <f aca="false">IF($B$19=1,VLOOKUP($A93,SkewTable,HLOOKUP(ROUND(F93-AB93,1),SkewTable,2,FALSE()),FALSE())/100,0)</f>
        <v>0.0451185018386</v>
      </c>
      <c r="K93" s="4" t="e">
        <f aca="false">IF($D$19=1,VLOOKUP($A93,SkewTable,HLOOKUP(ROUND(G93-AM93,1),SkewTable,2,FALSE()),FALSE())/100,0)</f>
        <v>#DIV/0!</v>
      </c>
      <c r="L93" s="4" t="e">
        <f aca="false">IF($F$19=1,VLOOKUP($A93,SkewTable,HLOOKUP(ROUND(H93-AX93,1),SkewTable,2,FALSE()),FALSE())/100,0)</f>
        <v>#DIV/0!</v>
      </c>
      <c r="M93" s="4" t="e">
        <f aca="false">IF($H$19=1,VLOOKUP($A93,SkewTable,HLOOKUP(ROUND(I93-BI93,1),SkewTable,2,FALSE()),FALSE())/100,0)</f>
        <v>#DIV/0!</v>
      </c>
      <c r="N93" s="4" t="n">
        <f aca="false">(($D93+J93)*$E93)+B$18</f>
        <v>0.2801185018386</v>
      </c>
      <c r="O93" s="4" t="e">
        <f aca="false">(($D93+K93)*$E93)+D$18</f>
        <v>#DIV/0!</v>
      </c>
      <c r="P93" s="4" t="e">
        <f aca="false">(($D93+L93)*$E93)+F$18</f>
        <v>#DIV/0!</v>
      </c>
      <c r="Q93" s="4" t="e">
        <f aca="false">(($D93+M93)*$E93)+H$18</f>
        <v>#DIV/0!</v>
      </c>
      <c r="R93" s="136" t="n">
        <f aca="false">IF(B$4=1,VLOOKUP(A93,expiration,2,FALSE()),VLOOKUP(A93,expiration,3,FALSE()))-B$2+$B$1</f>
        <v>-7242</v>
      </c>
      <c r="S93" s="4" t="n">
        <f aca="false">VLOOKUP($A93,STRADDLE,12,FALSE())</f>
        <v>0.068385263223168</v>
      </c>
      <c r="T93" s="1" t="n">
        <v>0</v>
      </c>
      <c r="U93" s="43" t="n">
        <v>0</v>
      </c>
      <c r="X93" s="43"/>
      <c r="Z93" s="9"/>
      <c r="AA93" s="9" t="n">
        <f aca="false">IF($A93&gt;=AB$25,IF($A93&lt;=AB$26,$T93,0),0)</f>
        <v>0</v>
      </c>
      <c r="AB93" s="9" t="n">
        <f aca="false">IF(T93&gt;0,AD93/AA93,0)</f>
        <v>0</v>
      </c>
      <c r="AC93" s="1" t="n">
        <f aca="false">AA93*($B93+B$13)</f>
        <v>0</v>
      </c>
      <c r="AD93" s="33" t="n">
        <f aca="false">IF(ISNUMBER(((AC93/AA93)+B$15+$C93)*AA93),((AC93/AA93)+B$15+$C93)*AA93,0)</f>
        <v>0</v>
      </c>
      <c r="AE93" s="44" t="n">
        <f aca="false">IF(AA93=0,0,bsd(1,AF$27,AB93,$F93,$R93,$N93,$S93,0.1))</f>
        <v>0</v>
      </c>
      <c r="AF93" s="44" t="n">
        <f aca="false">IF(AA93=0,0,bsd(2,AF$27,AB93,$F93,$R93,$N93,$S93,0.1))</f>
        <v>0</v>
      </c>
      <c r="AG93" s="44" t="n">
        <f aca="false">IF(AA93=0,0,bsd(AF$28,AF$27,AB93,$F93,$R93,$N93,$S93,0.1))</f>
        <v>0</v>
      </c>
      <c r="AH93" s="45" t="n">
        <f aca="false">AA93*AE93</f>
        <v>0</v>
      </c>
      <c r="AI93" s="45" t="n">
        <f aca="false">AA93*AF93</f>
        <v>0</v>
      </c>
      <c r="AJ93" s="45" t="n">
        <f aca="false">AA93*AG93</f>
        <v>0</v>
      </c>
      <c r="AL93" s="9" t="n">
        <f aca="false">IF($A93&gt;=AM$25,IF($A93&lt;=AM$26,$T93,0),0)</f>
        <v>0</v>
      </c>
      <c r="AM93" s="9" t="e">
        <f aca="false">AO93/AL93</f>
        <v>#DIV/0!</v>
      </c>
      <c r="AN93" s="1" t="n">
        <f aca="false">AL93*($B93+D$13)</f>
        <v>0</v>
      </c>
      <c r="AO93" s="33" t="n">
        <f aca="false">IF(ISNUMBER(((AN93/AL93)+D$15+$C93)*AL93),((AN93/AL93)+D$15+$C93)*AL93,0)</f>
        <v>0</v>
      </c>
      <c r="AP93" s="44" t="n">
        <f aca="false">IF(AL93=0,0,bsd(1,AQ$27,AM93,$G93,$R93,$O93,$S93,0.1))</f>
        <v>0</v>
      </c>
      <c r="AQ93" s="44" t="n">
        <f aca="false">IF(AL93=0,0,bsd(2,AQ$27,AM93,$G93,$R93,$O93,$S93,0.1))</f>
        <v>0</v>
      </c>
      <c r="AR93" s="44" t="n">
        <f aca="false">IF(AL93=0,0,bsd(AQ$28,AQ$27,AM93,$G93,$R93,$O93,$S93,0.1))</f>
        <v>0</v>
      </c>
      <c r="AS93" s="45" t="n">
        <f aca="false">AL93*AP93</f>
        <v>0</v>
      </c>
      <c r="AT93" s="45" t="n">
        <f aca="false">AL93*AQ93</f>
        <v>0</v>
      </c>
      <c r="AU93" s="45" t="n">
        <f aca="false">AL93*AR93</f>
        <v>0</v>
      </c>
      <c r="AW93" s="9" t="n">
        <f aca="false">IF($A93&gt;=AX$25,IF($A93&lt;=AX$26,$T93,0),0)</f>
        <v>0</v>
      </c>
      <c r="AX93" s="9" t="e">
        <f aca="false">AZ93/AW93</f>
        <v>#DIV/0!</v>
      </c>
      <c r="AY93" s="1" t="n">
        <f aca="false">AW93*($B93+F$13)</f>
        <v>0</v>
      </c>
      <c r="AZ93" s="33" t="n">
        <f aca="false">IF(ISNUMBER(((AY93/AW93)+F$15+$C93)*AW93),((AY93/AW93)+F$15+$C93)*AW93,0)</f>
        <v>0</v>
      </c>
      <c r="BA93" s="44" t="n">
        <f aca="false">IF(AW93=0,0,bsd(1,BB$27,AX93,$H93,$R93,$P93,$S93,0.1))</f>
        <v>0</v>
      </c>
      <c r="BB93" s="44" t="n">
        <f aca="false">IF(AW93=0,0,bsd(2,BB$27,AX93,$H93,$R93,$P93,$S93,0.1))</f>
        <v>0</v>
      </c>
      <c r="BC93" s="44" t="n">
        <f aca="false">IF(AW93=0,0,bsd(BB$28,BB$27,AX93,$H93,$R93,$P93,$S93,0.1))</f>
        <v>0</v>
      </c>
      <c r="BD93" s="45" t="n">
        <f aca="false">AW93*BA93</f>
        <v>0</v>
      </c>
      <c r="BE93" s="45" t="n">
        <f aca="false">AW93*BB93</f>
        <v>0</v>
      </c>
      <c r="BF93" s="45" t="n">
        <f aca="false">AW93*BC93</f>
        <v>0</v>
      </c>
      <c r="BH93" s="9" t="n">
        <f aca="false">IF($A93&gt;=BI$25,IF($A93&lt;=BI$26,$T93,0),0)</f>
        <v>0</v>
      </c>
      <c r="BI93" s="9" t="e">
        <f aca="false">BK93/BH93</f>
        <v>#DIV/0!</v>
      </c>
      <c r="BJ93" s="1" t="n">
        <f aca="false">BH93*($B93+H$13)</f>
        <v>0</v>
      </c>
      <c r="BK93" s="33" t="n">
        <f aca="false">IF(ISNUMBER(((BJ93/BH93)+H$15+$C93)*BH93),((BJ93/BH93)+H$15+$C93)*BH93,0)</f>
        <v>0</v>
      </c>
      <c r="BL93" s="44" t="n">
        <f aca="false">IF(BH93=0,0,bsd(1,BM$27,BI93,$I93,$R93,$Q93,$S93,0.1))</f>
        <v>0</v>
      </c>
      <c r="BM93" s="44" t="n">
        <f aca="false">IF(BH93=0,0,bsd(2,BM$27,BI93,$I93,$R93,$Q93,$S93,0.1))</f>
        <v>0</v>
      </c>
      <c r="BN93" s="44" t="n">
        <f aca="false">IF(BH93=0,0,bsd(BM$28,BM$27,BI93,$I93,$R93,$Q93,$S93,0.1))</f>
        <v>0</v>
      </c>
      <c r="BO93" s="45" t="n">
        <f aca="false">BH93*BL93</f>
        <v>0</v>
      </c>
      <c r="BP93" s="45" t="n">
        <f aca="false">BH93*BM93</f>
        <v>0</v>
      </c>
      <c r="BQ93" s="45" t="n">
        <f aca="false">BH93*BN93</f>
        <v>0</v>
      </c>
    </row>
    <row r="94" customFormat="false" ht="12.75" hidden="false" customHeight="false" outlineLevel="0" collapsed="false">
      <c r="A94" s="48" t="n">
        <f aca="false">DATE(YEAR(A93),MONTH(A93)+1,1)</f>
        <v>38718</v>
      </c>
      <c r="B94" s="40" t="n">
        <f aca="false">VLOOKUP(A94,STRADDLE,5,FALSE())</f>
        <v>3.558</v>
      </c>
      <c r="C94" s="40" t="n">
        <v>0</v>
      </c>
      <c r="D94" s="4" t="n">
        <f aca="false">VLOOKUP(A94,STRADDLE,8,FALSE())</f>
        <v>0.235</v>
      </c>
      <c r="E94" s="131" t="n">
        <f aca="false">IF(ISNUMBER(VLOOKUP(A94,VOLCURVES,HLOOKUP(B$5,VOLCURVES,2,FALSE()),FALSE())),VLOOKUP(A94,VOLCURVES,HLOOKUP(B$5,VOLCURVES,2,FALSE()),FALSE()),1)</f>
        <v>1</v>
      </c>
      <c r="F94" s="41" t="n">
        <f aca="false">IF($B$17=4,$AB94,$B$16)</f>
        <v>3.8</v>
      </c>
      <c r="G94" s="41" t="n">
        <f aca="false">IF($D$17=4,$AM94,$D$16)</f>
        <v>3.5</v>
      </c>
      <c r="H94" s="41" t="n">
        <f aca="false">IF($F$17=4,$AX94,$F$16)</f>
        <v>2.96</v>
      </c>
      <c r="I94" s="41" t="n">
        <f aca="false">IF($H$17=4,$BI94,$H$16)</f>
        <v>2.99</v>
      </c>
      <c r="J94" s="4" t="n">
        <f aca="false">IF($B$19=1,VLOOKUP($A94,SkewTable,HLOOKUP(ROUND(F94-AB94,1),SkewTable,2,FALSE()),FALSE())/100,0)</f>
        <v>0.0451185018386</v>
      </c>
      <c r="K94" s="4" t="e">
        <f aca="false">IF($D$19=1,VLOOKUP($A94,SkewTable,HLOOKUP(ROUND(G94-AM94,1),SkewTable,2,FALSE()),FALSE())/100,0)</f>
        <v>#DIV/0!</v>
      </c>
      <c r="L94" s="4" t="e">
        <f aca="false">IF($F$19=1,VLOOKUP($A94,SkewTable,HLOOKUP(ROUND(H94-AX94,1),SkewTable,2,FALSE()),FALSE())/100,0)</f>
        <v>#DIV/0!</v>
      </c>
      <c r="M94" s="4" t="e">
        <f aca="false">IF($H$19=1,VLOOKUP($A94,SkewTable,HLOOKUP(ROUND(I94-BI94,1),SkewTable,2,FALSE()),FALSE())/100,0)</f>
        <v>#DIV/0!</v>
      </c>
      <c r="N94" s="4" t="n">
        <f aca="false">(($D94+J94)*$E94)+B$18</f>
        <v>0.2801185018386</v>
      </c>
      <c r="O94" s="4" t="e">
        <f aca="false">(($D94+K94)*$E94)+D$18</f>
        <v>#DIV/0!</v>
      </c>
      <c r="P94" s="4" t="e">
        <f aca="false">(($D94+L94)*$E94)+F$18</f>
        <v>#DIV/0!</v>
      </c>
      <c r="Q94" s="4" t="e">
        <f aca="false">(($D94+M94)*$E94)+H$18</f>
        <v>#DIV/0!</v>
      </c>
      <c r="R94" s="136" t="n">
        <f aca="false">IF(B$4=1,VLOOKUP(A94,expiration,2,FALSE()),VLOOKUP(A94,expiration,3,FALSE()))-B$2+$B$1</f>
        <v>-7212</v>
      </c>
      <c r="S94" s="4" t="n">
        <f aca="false">VLOOKUP($A94,STRADDLE,12,FALSE())</f>
        <v>0.06843661260383</v>
      </c>
      <c r="T94" s="1" t="n">
        <v>0</v>
      </c>
      <c r="U94" s="43" t="n">
        <v>0</v>
      </c>
      <c r="X94" s="43"/>
      <c r="Z94" s="9"/>
      <c r="AA94" s="9" t="n">
        <f aca="false">IF($A94&gt;=AB$25,IF($A94&lt;=AB$26,$T94,0),0)</f>
        <v>0</v>
      </c>
      <c r="AB94" s="9" t="n">
        <f aca="false">IF(T94&gt;0,AD94/AA94,0)</f>
        <v>0</v>
      </c>
      <c r="AC94" s="1" t="n">
        <f aca="false">AA94*($B94+B$13)</f>
        <v>0</v>
      </c>
      <c r="AD94" s="33" t="n">
        <f aca="false">IF(ISNUMBER(((AC94/AA94)+B$15+$C94)*AA94),((AC94/AA94)+B$15+$C94)*AA94,0)</f>
        <v>0</v>
      </c>
      <c r="AE94" s="44" t="n">
        <f aca="false">IF(AA94=0,0,bsd(1,AF$27,AB94,$F94,$R94,$N94,$S94,0.1))</f>
        <v>0</v>
      </c>
      <c r="AF94" s="44" t="n">
        <f aca="false">IF(AA94=0,0,bsd(2,AF$27,AB94,$F94,$R94,$N94,$S94,0.1))</f>
        <v>0</v>
      </c>
      <c r="AG94" s="44" t="n">
        <f aca="false">IF(AA94=0,0,bsd(AF$28,AF$27,AB94,$F94,$R94,$N94,$S94,0.1))</f>
        <v>0</v>
      </c>
      <c r="AH94" s="45" t="n">
        <f aca="false">AA94*AE94</f>
        <v>0</v>
      </c>
      <c r="AI94" s="45" t="n">
        <f aca="false">AA94*AF94</f>
        <v>0</v>
      </c>
      <c r="AJ94" s="45" t="n">
        <f aca="false">AA94*AG94</f>
        <v>0</v>
      </c>
      <c r="AL94" s="9" t="n">
        <f aca="false">IF($A94&gt;=AM$25,IF($A94&lt;=AM$26,$T94,0),0)</f>
        <v>0</v>
      </c>
      <c r="AM94" s="9" t="e">
        <f aca="false">AO94/AL94</f>
        <v>#DIV/0!</v>
      </c>
      <c r="AN94" s="1" t="n">
        <f aca="false">AL94*($B94+D$13)</f>
        <v>0</v>
      </c>
      <c r="AO94" s="33" t="n">
        <f aca="false">IF(ISNUMBER(((AN94/AL94)+D$15+$C94)*AL94),((AN94/AL94)+D$15+$C94)*AL94,0)</f>
        <v>0</v>
      </c>
      <c r="AP94" s="44" t="n">
        <f aca="false">IF(AL94=0,0,bsd(1,AQ$27,AM94,$G94,$R94,$O94,$S94,0.1))</f>
        <v>0</v>
      </c>
      <c r="AQ94" s="44" t="n">
        <f aca="false">IF(AL94=0,0,bsd(2,AQ$27,AM94,$G94,$R94,$O94,$S94,0.1))</f>
        <v>0</v>
      </c>
      <c r="AR94" s="44" t="n">
        <f aca="false">IF(AL94=0,0,bsd(AQ$28,AQ$27,AM94,$G94,$R94,$O94,$S94,0.1))</f>
        <v>0</v>
      </c>
      <c r="AS94" s="45" t="n">
        <f aca="false">AL94*AP94</f>
        <v>0</v>
      </c>
      <c r="AT94" s="45" t="n">
        <f aca="false">AL94*AQ94</f>
        <v>0</v>
      </c>
      <c r="AU94" s="45" t="n">
        <f aca="false">AL94*AR94</f>
        <v>0</v>
      </c>
      <c r="AW94" s="9" t="n">
        <f aca="false">IF($A94&gt;=AX$25,IF($A94&lt;=AX$26,$T94,0),0)</f>
        <v>0</v>
      </c>
      <c r="AX94" s="9" t="e">
        <f aca="false">AZ94/AW94</f>
        <v>#DIV/0!</v>
      </c>
      <c r="AY94" s="1" t="n">
        <f aca="false">AW94*($B94+F$13)</f>
        <v>0</v>
      </c>
      <c r="AZ94" s="33" t="n">
        <f aca="false">IF(ISNUMBER(((AY94/AW94)+F$15+$C94)*AW94),((AY94/AW94)+F$15+$C94)*AW94,0)</f>
        <v>0</v>
      </c>
      <c r="BA94" s="44" t="n">
        <f aca="false">IF(AW94=0,0,bsd(1,BB$27,AX94,$H94,$R94,$P94,$S94,0.1))</f>
        <v>0</v>
      </c>
      <c r="BB94" s="44" t="n">
        <f aca="false">IF(AW94=0,0,bsd(2,BB$27,AX94,$H94,$R94,$P94,$S94,0.1))</f>
        <v>0</v>
      </c>
      <c r="BC94" s="44" t="n">
        <f aca="false">IF(AW94=0,0,bsd(BB$28,BB$27,AX94,$H94,$R94,$P94,$S94,0.1))</f>
        <v>0</v>
      </c>
      <c r="BD94" s="45" t="n">
        <f aca="false">AW94*BA94</f>
        <v>0</v>
      </c>
      <c r="BE94" s="45" t="n">
        <f aca="false">AW94*BB94</f>
        <v>0</v>
      </c>
      <c r="BF94" s="45" t="n">
        <f aca="false">AW94*BC94</f>
        <v>0</v>
      </c>
      <c r="BH94" s="9" t="n">
        <f aca="false">IF($A94&gt;=BI$25,IF($A94&lt;=BI$26,$T94,0),0)</f>
        <v>0</v>
      </c>
      <c r="BI94" s="9" t="e">
        <f aca="false">BK94/BH94</f>
        <v>#DIV/0!</v>
      </c>
      <c r="BJ94" s="1" t="n">
        <f aca="false">BH94*($B94+H$13)</f>
        <v>0</v>
      </c>
      <c r="BK94" s="33" t="n">
        <f aca="false">IF(ISNUMBER(((BJ94/BH94)+H$15+$C94)*BH94),((BJ94/BH94)+H$15+$C94)*BH94,0)</f>
        <v>0</v>
      </c>
      <c r="BL94" s="44" t="n">
        <f aca="false">IF(BH94=0,0,bsd(1,BM$27,BI94,$I94,$R94,$Q94,$S94,0.1))</f>
        <v>0</v>
      </c>
      <c r="BM94" s="44" t="n">
        <f aca="false">IF(BH94=0,0,bsd(2,BM$27,BI94,$I94,$R94,$Q94,$S94,0.1))</f>
        <v>0</v>
      </c>
      <c r="BN94" s="44" t="n">
        <f aca="false">IF(BH94=0,0,bsd(BM$28,BM$27,BI94,$I94,$R94,$Q94,$S94,0.1))</f>
        <v>0</v>
      </c>
      <c r="BO94" s="45" t="n">
        <f aca="false">BH94*BL94</f>
        <v>0</v>
      </c>
      <c r="BP94" s="45" t="n">
        <f aca="false">BH94*BM94</f>
        <v>0</v>
      </c>
      <c r="BQ94" s="45" t="n">
        <f aca="false">BH94*BN94</f>
        <v>0</v>
      </c>
    </row>
    <row r="95" customFormat="false" ht="12.75" hidden="false" customHeight="false" outlineLevel="0" collapsed="false">
      <c r="A95" s="48" t="n">
        <f aca="false">DATE(YEAR(A94),MONTH(A94)+1,1)</f>
        <v>38749</v>
      </c>
      <c r="B95" s="40" t="n">
        <f aca="false">VLOOKUP(A95,STRADDLE,5,FALSE())</f>
        <v>3.408</v>
      </c>
      <c r="C95" s="40" t="n">
        <v>0</v>
      </c>
      <c r="D95" s="4" t="n">
        <f aca="false">VLOOKUP(A95,STRADDLE,8,FALSE())</f>
        <v>0.2325</v>
      </c>
      <c r="E95" s="131" t="n">
        <f aca="false">IF(ISNUMBER(VLOOKUP(A95,VOLCURVES,HLOOKUP(B$5,VOLCURVES,2,FALSE()),FALSE())),VLOOKUP(A95,VOLCURVES,HLOOKUP(B$5,VOLCURVES,2,FALSE()),FALSE()),1)</f>
        <v>1</v>
      </c>
      <c r="F95" s="41" t="n">
        <f aca="false">IF($B$17=4,$AB95,$B$16)</f>
        <v>3.8</v>
      </c>
      <c r="G95" s="41" t="n">
        <f aca="false">IF($D$17=4,$AM95,$D$16)</f>
        <v>3.5</v>
      </c>
      <c r="H95" s="41" t="n">
        <f aca="false">IF($F$17=4,$AX95,$F$16)</f>
        <v>2.96</v>
      </c>
      <c r="I95" s="41" t="n">
        <f aca="false">IF($H$17=4,$BI95,$H$16)</f>
        <v>2.99</v>
      </c>
      <c r="J95" s="4" t="n">
        <f aca="false">IF($B$19=1,VLOOKUP($A95,SkewTable,HLOOKUP(ROUND(F95-AB95,1),SkewTable,2,FALSE()),FALSE())/100,0)</f>
        <v>0.0451185018386</v>
      </c>
      <c r="K95" s="4" t="e">
        <f aca="false">IF($D$19=1,VLOOKUP($A95,SkewTable,HLOOKUP(ROUND(G95-AM95,1),SkewTable,2,FALSE()),FALSE())/100,0)</f>
        <v>#DIV/0!</v>
      </c>
      <c r="L95" s="4" t="e">
        <f aca="false">IF($F$19=1,VLOOKUP($A95,SkewTable,HLOOKUP(ROUND(H95-AX95,1),SkewTable,2,FALSE()),FALSE())/100,0)</f>
        <v>#DIV/0!</v>
      </c>
      <c r="M95" s="4" t="e">
        <f aca="false">IF($H$19=1,VLOOKUP($A95,SkewTable,HLOOKUP(ROUND(I95-BI95,1),SkewTable,2,FALSE()),FALSE())/100,0)</f>
        <v>#DIV/0!</v>
      </c>
      <c r="N95" s="4" t="n">
        <f aca="false">(($D95+J95)*$E95)+B$18</f>
        <v>0.2776185018386</v>
      </c>
      <c r="O95" s="4" t="e">
        <f aca="false">(($D95+K95)*$E95)+D$18</f>
        <v>#DIV/0!</v>
      </c>
      <c r="P95" s="4" t="e">
        <f aca="false">(($D95+L95)*$E95)+F$18</f>
        <v>#DIV/0!</v>
      </c>
      <c r="Q95" s="4" t="e">
        <f aca="false">(($D95+M95)*$E95)+H$18</f>
        <v>#DIV/0!</v>
      </c>
      <c r="R95" s="136" t="n">
        <f aca="false">IF(B$4=1,VLOOKUP(A95,expiration,2,FALSE()),VLOOKUP(A95,expiration,3,FALSE()))-B$2+$B$1</f>
        <v>-7182</v>
      </c>
      <c r="S95" s="4" t="n">
        <f aca="false">VLOOKUP($A95,STRADDLE,12,FALSE())</f>
        <v>0.068487961985365</v>
      </c>
      <c r="T95" s="1" t="n">
        <v>0</v>
      </c>
      <c r="U95" s="43" t="n">
        <v>0</v>
      </c>
      <c r="X95" s="43"/>
      <c r="Z95" s="9"/>
      <c r="AA95" s="9" t="n">
        <f aca="false">IF($A95&gt;=AB$25,IF($A95&lt;=AB$26,$T95,0),0)</f>
        <v>0</v>
      </c>
      <c r="AB95" s="9" t="n">
        <f aca="false">IF(T95&gt;0,AD95/AA95,0)</f>
        <v>0</v>
      </c>
      <c r="AC95" s="1" t="n">
        <f aca="false">AA95*($B95+B$13)</f>
        <v>0</v>
      </c>
      <c r="AD95" s="33" t="n">
        <f aca="false">IF(ISNUMBER(((AC95/AA95)+B$15+$C95)*AA95),((AC95/AA95)+B$15+$C95)*AA95,0)</f>
        <v>0</v>
      </c>
      <c r="AE95" s="44" t="n">
        <f aca="false">IF(AA95=0,0,bsd(1,AF$27,AB95,$F95,$R95,$N95,$S95,0.1))</f>
        <v>0</v>
      </c>
      <c r="AF95" s="44" t="n">
        <f aca="false">IF(AA95=0,0,bsd(2,AF$27,AB95,$F95,$R95,$N95,$S95,0.1))</f>
        <v>0</v>
      </c>
      <c r="AG95" s="44" t="n">
        <f aca="false">IF(AA95=0,0,bsd(AF$28,AF$27,AB95,$F95,$R95,$N95,$S95,0.1))</f>
        <v>0</v>
      </c>
      <c r="AH95" s="45" t="n">
        <f aca="false">AA95*AE95</f>
        <v>0</v>
      </c>
      <c r="AI95" s="45" t="n">
        <f aca="false">AA95*AF95</f>
        <v>0</v>
      </c>
      <c r="AJ95" s="45" t="n">
        <f aca="false">AA95*AG95</f>
        <v>0</v>
      </c>
      <c r="AL95" s="9" t="n">
        <f aca="false">IF($A95&gt;=AM$25,IF($A95&lt;=AM$26,$T95,0),0)</f>
        <v>0</v>
      </c>
      <c r="AM95" s="9" t="e">
        <f aca="false">AO95/AL95</f>
        <v>#DIV/0!</v>
      </c>
      <c r="AN95" s="1" t="n">
        <f aca="false">AL95*($B95+D$13)</f>
        <v>0</v>
      </c>
      <c r="AO95" s="33" t="n">
        <f aca="false">IF(ISNUMBER(((AN95/AL95)+D$15+$C95)*AL95),((AN95/AL95)+D$15+$C95)*AL95,0)</f>
        <v>0</v>
      </c>
      <c r="AP95" s="44" t="n">
        <f aca="false">IF(AL95=0,0,bsd(1,AQ$27,AM95,$G95,$R95,$O95,$S95,0.1))</f>
        <v>0</v>
      </c>
      <c r="AQ95" s="44" t="n">
        <f aca="false">IF(AL95=0,0,bsd(2,AQ$27,AM95,$G95,$R95,$O95,$S95,0.1))</f>
        <v>0</v>
      </c>
      <c r="AR95" s="44" t="n">
        <f aca="false">IF(AL95=0,0,bsd(AQ$28,AQ$27,AM95,$G95,$R95,$O95,$S95,0.1))</f>
        <v>0</v>
      </c>
      <c r="AS95" s="45" t="n">
        <f aca="false">AL95*AP95</f>
        <v>0</v>
      </c>
      <c r="AT95" s="45" t="n">
        <f aca="false">AL95*AQ95</f>
        <v>0</v>
      </c>
      <c r="AU95" s="45" t="n">
        <f aca="false">AL95*AR95</f>
        <v>0</v>
      </c>
      <c r="AW95" s="9" t="n">
        <f aca="false">IF($A95&gt;=AX$25,IF($A95&lt;=AX$26,$T95,0),0)</f>
        <v>0</v>
      </c>
      <c r="AX95" s="9" t="e">
        <f aca="false">AZ95/AW95</f>
        <v>#DIV/0!</v>
      </c>
      <c r="AY95" s="1" t="n">
        <f aca="false">AW95*($B95+F$13)</f>
        <v>0</v>
      </c>
      <c r="AZ95" s="33" t="n">
        <f aca="false">IF(ISNUMBER(((AY95/AW95)+F$15+$C95)*AW95),((AY95/AW95)+F$15+$C95)*AW95,0)</f>
        <v>0</v>
      </c>
      <c r="BA95" s="44" t="n">
        <f aca="false">IF(AW95=0,0,bsd(1,BB$27,AX95,$H95,$R95,$P95,$S95,0.1))</f>
        <v>0</v>
      </c>
      <c r="BB95" s="44" t="n">
        <f aca="false">IF(AW95=0,0,bsd(2,BB$27,AX95,$H95,$R95,$P95,$S95,0.1))</f>
        <v>0</v>
      </c>
      <c r="BC95" s="44" t="n">
        <f aca="false">IF(AW95=0,0,bsd(BB$28,BB$27,AX95,$H95,$R95,$P95,$S95,0.1))</f>
        <v>0</v>
      </c>
      <c r="BD95" s="45" t="n">
        <f aca="false">AW95*BA95</f>
        <v>0</v>
      </c>
      <c r="BE95" s="45" t="n">
        <f aca="false">AW95*BB95</f>
        <v>0</v>
      </c>
      <c r="BF95" s="45" t="n">
        <f aca="false">AW95*BC95</f>
        <v>0</v>
      </c>
      <c r="BH95" s="9" t="n">
        <f aca="false">IF($A95&gt;=BI$25,IF($A95&lt;=BI$26,$T95,0),0)</f>
        <v>0</v>
      </c>
      <c r="BI95" s="9" t="e">
        <f aca="false">BK95/BH95</f>
        <v>#DIV/0!</v>
      </c>
      <c r="BJ95" s="1" t="n">
        <f aca="false">BH95*($B95+H$13)</f>
        <v>0</v>
      </c>
      <c r="BK95" s="33" t="n">
        <f aca="false">IF(ISNUMBER(((BJ95/BH95)+H$15+$C95)*BH95),((BJ95/BH95)+H$15+$C95)*BH95,0)</f>
        <v>0</v>
      </c>
      <c r="BL95" s="44" t="n">
        <f aca="false">IF(BH95=0,0,bsd(1,BM$27,BI95,$I95,$R95,$Q95,$S95,0.1))</f>
        <v>0</v>
      </c>
      <c r="BM95" s="44" t="n">
        <f aca="false">IF(BH95=0,0,bsd(2,BM$27,BI95,$I95,$R95,$Q95,$S95,0.1))</f>
        <v>0</v>
      </c>
      <c r="BN95" s="44" t="n">
        <f aca="false">IF(BH95=0,0,bsd(BM$28,BM$27,BI95,$I95,$R95,$Q95,$S95,0.1))</f>
        <v>0</v>
      </c>
      <c r="BO95" s="45" t="n">
        <f aca="false">BH95*BL95</f>
        <v>0</v>
      </c>
      <c r="BP95" s="45" t="n">
        <f aca="false">BH95*BM95</f>
        <v>0</v>
      </c>
      <c r="BQ95" s="45" t="n">
        <f aca="false">BH95*BN95</f>
        <v>0</v>
      </c>
    </row>
    <row r="96" customFormat="false" ht="12.75" hidden="false" customHeight="false" outlineLevel="0" collapsed="false">
      <c r="A96" s="48" t="n">
        <f aca="false">DATE(YEAR(A95),MONTH(A95)+1,1)</f>
        <v>38777</v>
      </c>
      <c r="B96" s="40" t="n">
        <f aca="false">VLOOKUP(A96,STRADDLE,5,FALSE())</f>
        <v>3.234</v>
      </c>
      <c r="C96" s="40" t="n">
        <v>0</v>
      </c>
      <c r="D96" s="4" t="n">
        <f aca="false">VLOOKUP(A96,STRADDLE,8,FALSE())</f>
        <v>0.23</v>
      </c>
      <c r="E96" s="131" t="n">
        <f aca="false">IF(ISNUMBER(VLOOKUP(A96,VOLCURVES,HLOOKUP(B$5,VOLCURVES,2,FALSE()),FALSE())),VLOOKUP(A96,VOLCURVES,HLOOKUP(B$5,VOLCURVES,2,FALSE()),FALSE()),1)</f>
        <v>1</v>
      </c>
      <c r="F96" s="41" t="n">
        <f aca="false">IF($B$17=4,$AB96,$B$16)</f>
        <v>3.8</v>
      </c>
      <c r="G96" s="41" t="n">
        <f aca="false">IF($D$17=4,$AM96,$D$16)</f>
        <v>3.5</v>
      </c>
      <c r="H96" s="41" t="n">
        <f aca="false">IF($F$17=4,$AX96,$F$16)</f>
        <v>2.96</v>
      </c>
      <c r="I96" s="41" t="n">
        <f aca="false">IF($H$17=4,$BI96,$H$16)</f>
        <v>2.99</v>
      </c>
      <c r="J96" s="4" t="n">
        <f aca="false">IF($B$19=1,VLOOKUP($A96,SkewTable,HLOOKUP(ROUND(F96-AB96,1),SkewTable,2,FALSE()),FALSE())/100,0)</f>
        <v>0.0451185018386</v>
      </c>
      <c r="K96" s="4" t="e">
        <f aca="false">IF($D$19=1,VLOOKUP($A96,SkewTable,HLOOKUP(ROUND(G96-AM96,1),SkewTable,2,FALSE()),FALSE())/100,0)</f>
        <v>#DIV/0!</v>
      </c>
      <c r="L96" s="4" t="e">
        <f aca="false">IF($F$19=1,VLOOKUP($A96,SkewTable,HLOOKUP(ROUND(H96-AX96,1),SkewTable,2,FALSE()),FALSE())/100,0)</f>
        <v>#DIV/0!</v>
      </c>
      <c r="M96" s="4" t="e">
        <f aca="false">IF($H$19=1,VLOOKUP($A96,SkewTable,HLOOKUP(ROUND(I96-BI96,1),SkewTable,2,FALSE()),FALSE())/100,0)</f>
        <v>#DIV/0!</v>
      </c>
      <c r="N96" s="4" t="n">
        <f aca="false">(($D96+J96)*$E96)+B$18</f>
        <v>0.2751185018386</v>
      </c>
      <c r="O96" s="4" t="e">
        <f aca="false">(($D96+K96)*$E96)+D$18</f>
        <v>#DIV/0!</v>
      </c>
      <c r="P96" s="4" t="e">
        <f aca="false">(($D96+L96)*$E96)+F$18</f>
        <v>#DIV/0!</v>
      </c>
      <c r="Q96" s="4" t="e">
        <f aca="false">(($D96+M96)*$E96)+H$18</f>
        <v>#DIV/0!</v>
      </c>
      <c r="R96" s="136" t="n">
        <f aca="false">IF(B$4=1,VLOOKUP(A96,expiration,2,FALSE()),VLOOKUP(A96,expiration,3,FALSE()))-B$2+$B$1</f>
        <v>-7154</v>
      </c>
      <c r="S96" s="4" t="n">
        <f aca="false">VLOOKUP($A96,STRADDLE,12,FALSE())</f>
        <v>0.068534342072662</v>
      </c>
      <c r="T96" s="1" t="n">
        <v>0</v>
      </c>
      <c r="U96" s="43" t="n">
        <v>0</v>
      </c>
      <c r="X96" s="43"/>
      <c r="Z96" s="9"/>
      <c r="AA96" s="9" t="n">
        <f aca="false">IF($A96&gt;=AB$25,IF($A96&lt;=AB$26,$T96,0),0)</f>
        <v>0</v>
      </c>
      <c r="AB96" s="9" t="n">
        <f aca="false">IF(T96&gt;0,AD96/AA96,0)</f>
        <v>0</v>
      </c>
      <c r="AC96" s="1" t="n">
        <f aca="false">AA96*($B96+B$13)</f>
        <v>0</v>
      </c>
      <c r="AD96" s="33" t="n">
        <f aca="false">IF(ISNUMBER(((AC96/AA96)+B$15+$C96)*AA96),((AC96/AA96)+B$15+$C96)*AA96,0)</f>
        <v>0</v>
      </c>
      <c r="AE96" s="44" t="n">
        <f aca="false">IF(AA96=0,0,bsd(1,AF$27,AB96,$F96,$R96,$N96,$S96,0.1))</f>
        <v>0</v>
      </c>
      <c r="AF96" s="44" t="n">
        <f aca="false">IF(AA96=0,0,bsd(2,AF$27,AB96,$F96,$R96,$N96,$S96,0.1))</f>
        <v>0</v>
      </c>
      <c r="AG96" s="44" t="n">
        <f aca="false">IF(AA96=0,0,bsd(AF$28,AF$27,AB96,$F96,$R96,$N96,$S96,0.1))</f>
        <v>0</v>
      </c>
      <c r="AH96" s="45" t="n">
        <f aca="false">AA96*AE96</f>
        <v>0</v>
      </c>
      <c r="AI96" s="45" t="n">
        <f aca="false">AA96*AF96</f>
        <v>0</v>
      </c>
      <c r="AJ96" s="45" t="n">
        <f aca="false">AA96*AG96</f>
        <v>0</v>
      </c>
      <c r="AL96" s="9" t="n">
        <f aca="false">IF($A96&gt;=AM$25,IF($A96&lt;=AM$26,$T96,0),0)</f>
        <v>0</v>
      </c>
      <c r="AM96" s="9" t="e">
        <f aca="false">AO96/AL96</f>
        <v>#DIV/0!</v>
      </c>
      <c r="AN96" s="1" t="n">
        <f aca="false">AL96*($B96+D$13)</f>
        <v>0</v>
      </c>
      <c r="AO96" s="33" t="n">
        <f aca="false">IF(ISNUMBER(((AN96/AL96)+D$15+$C96)*AL96),((AN96/AL96)+D$15+$C96)*AL96,0)</f>
        <v>0</v>
      </c>
      <c r="AP96" s="44" t="n">
        <f aca="false">IF(AL96=0,0,bsd(1,AQ$27,AM96,$G96,$R96,$O96,$S96,0.1))</f>
        <v>0</v>
      </c>
      <c r="AQ96" s="44" t="n">
        <f aca="false">IF(AL96=0,0,bsd(2,AQ$27,AM96,$G96,$R96,$O96,$S96,0.1))</f>
        <v>0</v>
      </c>
      <c r="AR96" s="44" t="n">
        <f aca="false">IF(AL96=0,0,bsd(AQ$28,AQ$27,AM96,$G96,$R96,$O96,$S96,0.1))</f>
        <v>0</v>
      </c>
      <c r="AS96" s="45" t="n">
        <f aca="false">AL96*AP96</f>
        <v>0</v>
      </c>
      <c r="AT96" s="45" t="n">
        <f aca="false">AL96*AQ96</f>
        <v>0</v>
      </c>
      <c r="AU96" s="45" t="n">
        <f aca="false">AL96*AR96</f>
        <v>0</v>
      </c>
      <c r="AW96" s="9" t="n">
        <f aca="false">IF($A96&gt;=AX$25,IF($A96&lt;=AX$26,$T96,0),0)</f>
        <v>0</v>
      </c>
      <c r="AX96" s="9" t="e">
        <f aca="false">AZ96/AW96</f>
        <v>#DIV/0!</v>
      </c>
      <c r="AY96" s="1" t="n">
        <f aca="false">AW96*($B96+F$13)</f>
        <v>0</v>
      </c>
      <c r="AZ96" s="33" t="n">
        <f aca="false">IF(ISNUMBER(((AY96/AW96)+F$15+$C96)*AW96),((AY96/AW96)+F$15+$C96)*AW96,0)</f>
        <v>0</v>
      </c>
      <c r="BA96" s="44" t="n">
        <f aca="false">IF(AW96=0,0,bsd(1,BB$27,AX96,$H96,$R96,$P96,$S96,0.1))</f>
        <v>0</v>
      </c>
      <c r="BB96" s="44" t="n">
        <f aca="false">IF(AW96=0,0,bsd(2,BB$27,AX96,$H96,$R96,$P96,$S96,0.1))</f>
        <v>0</v>
      </c>
      <c r="BC96" s="44" t="n">
        <f aca="false">IF(AW96=0,0,bsd(BB$28,BB$27,AX96,$H96,$R96,$P96,$S96,0.1))</f>
        <v>0</v>
      </c>
      <c r="BD96" s="45" t="n">
        <f aca="false">AW96*BA96</f>
        <v>0</v>
      </c>
      <c r="BE96" s="45" t="n">
        <f aca="false">AW96*BB96</f>
        <v>0</v>
      </c>
      <c r="BF96" s="45" t="n">
        <f aca="false">AW96*BC96</f>
        <v>0</v>
      </c>
      <c r="BH96" s="9" t="n">
        <f aca="false">IF($A96&gt;=BI$25,IF($A96&lt;=BI$26,$T96,0),0)</f>
        <v>0</v>
      </c>
      <c r="BI96" s="9" t="e">
        <f aca="false">BK96/BH96</f>
        <v>#DIV/0!</v>
      </c>
      <c r="BJ96" s="1" t="n">
        <f aca="false">BH96*($B96+H$13)</f>
        <v>0</v>
      </c>
      <c r="BK96" s="33" t="n">
        <f aca="false">IF(ISNUMBER(((BJ96/BH96)+H$15+$C96)*BH96),((BJ96/BH96)+H$15+$C96)*BH96,0)</f>
        <v>0</v>
      </c>
      <c r="BL96" s="44" t="n">
        <f aca="false">IF(BH96=0,0,bsd(1,BM$27,BI96,$I96,$R96,$Q96,$S96,0.1))</f>
        <v>0</v>
      </c>
      <c r="BM96" s="44" t="n">
        <f aca="false">IF(BH96=0,0,bsd(2,BM$27,BI96,$I96,$R96,$Q96,$S96,0.1))</f>
        <v>0</v>
      </c>
      <c r="BN96" s="44" t="n">
        <f aca="false">IF(BH96=0,0,bsd(BM$28,BM$27,BI96,$I96,$R96,$Q96,$S96,0.1))</f>
        <v>0</v>
      </c>
      <c r="BO96" s="45" t="n">
        <f aca="false">BH96*BL96</f>
        <v>0</v>
      </c>
      <c r="BP96" s="45" t="n">
        <f aca="false">BH96*BM96</f>
        <v>0</v>
      </c>
      <c r="BQ96" s="45" t="n">
        <f aca="false">BH96*BN96</f>
        <v>0</v>
      </c>
    </row>
    <row r="97" customFormat="false" ht="12.75" hidden="false" customHeight="false" outlineLevel="0" collapsed="false">
      <c r="A97" s="48" t="n">
        <f aca="false">DATE(YEAR(A96),MONTH(A96)+1,1)</f>
        <v>38808</v>
      </c>
      <c r="B97" s="40" t="n">
        <f aca="false">VLOOKUP(A97,STRADDLE,5,FALSE())</f>
        <v>3.053</v>
      </c>
      <c r="C97" s="40" t="n">
        <v>0</v>
      </c>
      <c r="D97" s="4" t="n">
        <f aca="false">VLOOKUP(A97,STRADDLE,8,FALSE())</f>
        <v>0.23</v>
      </c>
      <c r="E97" s="131" t="n">
        <f aca="false">IF(ISNUMBER(VLOOKUP(A97,VOLCURVES,HLOOKUP(B$5,VOLCURVES,2,FALSE()),FALSE())),VLOOKUP(A97,VOLCURVES,HLOOKUP(B$5,VOLCURVES,2,FALSE()),FALSE()),1)</f>
        <v>1</v>
      </c>
      <c r="F97" s="41" t="n">
        <f aca="false">IF($B$17=4,$AB97,$B$16)</f>
        <v>3.8</v>
      </c>
      <c r="G97" s="41" t="n">
        <f aca="false">IF($D$17=4,$AM97,$D$16)</f>
        <v>3.5</v>
      </c>
      <c r="H97" s="41" t="n">
        <f aca="false">IF($F$17=4,$AX97,$F$16)</f>
        <v>2.96</v>
      </c>
      <c r="I97" s="41" t="n">
        <f aca="false">IF($H$17=4,$BI97,$H$16)</f>
        <v>2.99</v>
      </c>
      <c r="J97" s="4" t="n">
        <f aca="false">IF($B$19=1,VLOOKUP($A97,SkewTable,HLOOKUP(ROUND(F97-AB97,1),SkewTable,2,FALSE()),FALSE())/100,0)</f>
        <v>0.0451185018386</v>
      </c>
      <c r="K97" s="4" t="e">
        <f aca="false">IF($D$19=1,VLOOKUP($A97,SkewTable,HLOOKUP(ROUND(G97-AM97,1),SkewTable,2,FALSE()),FALSE())/100,0)</f>
        <v>#DIV/0!</v>
      </c>
      <c r="L97" s="4" t="e">
        <f aca="false">IF($F$19=1,VLOOKUP($A97,SkewTable,HLOOKUP(ROUND(H97-AX97,1),SkewTable,2,FALSE()),FALSE())/100,0)</f>
        <v>#DIV/0!</v>
      </c>
      <c r="M97" s="4" t="e">
        <f aca="false">IF($H$19=1,VLOOKUP($A97,SkewTable,HLOOKUP(ROUND(I97-BI97,1),SkewTable,2,FALSE()),FALSE())/100,0)</f>
        <v>#DIV/0!</v>
      </c>
      <c r="N97" s="4" t="n">
        <f aca="false">(($D97+J97)*$E97)+B$18</f>
        <v>0.2751185018386</v>
      </c>
      <c r="O97" s="4" t="e">
        <f aca="false">(($D97+K97)*$E97)+D$18</f>
        <v>#DIV/0!</v>
      </c>
      <c r="P97" s="4" t="e">
        <f aca="false">(($D97+L97)*$E97)+F$18</f>
        <v>#DIV/0!</v>
      </c>
      <c r="Q97" s="4" t="e">
        <f aca="false">(($D97+M97)*$E97)+H$18</f>
        <v>#DIV/0!</v>
      </c>
      <c r="R97" s="136" t="n">
        <f aca="false">IF(B$4=1,VLOOKUP(A97,expiration,2,FALSE()),VLOOKUP(A97,expiration,3,FALSE()))-B$2+$B$1</f>
        <v>-7121</v>
      </c>
      <c r="S97" s="4" t="n">
        <f aca="false">VLOOKUP($A97,STRADDLE,12,FALSE())</f>
        <v>0.068585691455857</v>
      </c>
      <c r="T97" s="1" t="n">
        <v>0</v>
      </c>
      <c r="U97" s="43" t="n">
        <v>0</v>
      </c>
      <c r="X97" s="43"/>
      <c r="Z97" s="9"/>
      <c r="AA97" s="9" t="n">
        <f aca="false">IF($A97&gt;=AB$25,IF($A97&lt;=AB$26,$T97,0),0)</f>
        <v>0</v>
      </c>
      <c r="AB97" s="9" t="n">
        <f aca="false">IF(T97&gt;0,AD97/AA97,0)</f>
        <v>0</v>
      </c>
      <c r="AC97" s="1" t="n">
        <f aca="false">AA97*($B97+B$13)</f>
        <v>0</v>
      </c>
      <c r="AD97" s="33" t="n">
        <f aca="false">IF(ISNUMBER(((AC97/AA97)+B$15+$C97)*AA97),((AC97/AA97)+B$15+$C97)*AA97,0)</f>
        <v>0</v>
      </c>
      <c r="AE97" s="44" t="n">
        <f aca="false">IF(AA97=0,0,bsd(1,AF$27,AB97,$F97,$R97,$N97,$S97,0.1))</f>
        <v>0</v>
      </c>
      <c r="AF97" s="44" t="n">
        <f aca="false">IF(AA97=0,0,bsd(2,AF$27,AB97,$F97,$R97,$N97,$S97,0.1))</f>
        <v>0</v>
      </c>
      <c r="AG97" s="44" t="n">
        <f aca="false">IF(AA97=0,0,bsd(AF$28,AF$27,AB97,$F97,$R97,$N97,$S97,0.1))</f>
        <v>0</v>
      </c>
      <c r="AH97" s="45" t="n">
        <f aca="false">AA97*AE97</f>
        <v>0</v>
      </c>
      <c r="AI97" s="45" t="n">
        <f aca="false">AA97*AF97</f>
        <v>0</v>
      </c>
      <c r="AJ97" s="45" t="n">
        <f aca="false">AA97*AG97</f>
        <v>0</v>
      </c>
      <c r="AL97" s="9" t="n">
        <f aca="false">IF($A97&gt;=AM$25,IF($A97&lt;=AM$26,$T97,0),0)</f>
        <v>0</v>
      </c>
      <c r="AM97" s="9" t="e">
        <f aca="false">AO97/AL97</f>
        <v>#DIV/0!</v>
      </c>
      <c r="AN97" s="1" t="n">
        <f aca="false">AL97*($B97+D$13)</f>
        <v>0</v>
      </c>
      <c r="AO97" s="33" t="n">
        <f aca="false">IF(ISNUMBER(((AN97/AL97)+D$15+$C97)*AL97),((AN97/AL97)+D$15+$C97)*AL97,0)</f>
        <v>0</v>
      </c>
      <c r="AP97" s="44" t="n">
        <f aca="false">IF(AL97=0,0,bsd(1,AQ$27,AM97,$G97,$R97,$O97,$S97,0.1))</f>
        <v>0</v>
      </c>
      <c r="AQ97" s="44" t="n">
        <f aca="false">IF(AL97=0,0,bsd(2,AQ$27,AM97,$G97,$R97,$O97,$S97,0.1))</f>
        <v>0</v>
      </c>
      <c r="AR97" s="44" t="n">
        <f aca="false">IF(AL97=0,0,bsd(AQ$28,AQ$27,AM97,$G97,$R97,$O97,$S97,0.1))</f>
        <v>0</v>
      </c>
      <c r="AS97" s="45" t="n">
        <f aca="false">AL97*AP97</f>
        <v>0</v>
      </c>
      <c r="AT97" s="45" t="n">
        <f aca="false">AL97*AQ97</f>
        <v>0</v>
      </c>
      <c r="AU97" s="45" t="n">
        <f aca="false">AL97*AR97</f>
        <v>0</v>
      </c>
      <c r="AW97" s="9" t="n">
        <f aca="false">IF($A97&gt;=AX$25,IF($A97&lt;=AX$26,$T97,0),0)</f>
        <v>0</v>
      </c>
      <c r="AX97" s="9" t="e">
        <f aca="false">AZ97/AW97</f>
        <v>#DIV/0!</v>
      </c>
      <c r="AY97" s="1" t="n">
        <f aca="false">AW97*($B97+F$13)</f>
        <v>0</v>
      </c>
      <c r="AZ97" s="33" t="n">
        <f aca="false">IF(ISNUMBER(((AY97/AW97)+F$15+$C97)*AW97),((AY97/AW97)+F$15+$C97)*AW97,0)</f>
        <v>0</v>
      </c>
      <c r="BA97" s="44" t="n">
        <f aca="false">IF(AW97=0,0,bsd(1,BB$27,AX97,$H97,$R97,$P97,$S97,0.1))</f>
        <v>0</v>
      </c>
      <c r="BB97" s="44" t="n">
        <f aca="false">IF(AW97=0,0,bsd(2,BB$27,AX97,$H97,$R97,$P97,$S97,0.1))</f>
        <v>0</v>
      </c>
      <c r="BC97" s="44" t="n">
        <f aca="false">IF(AW97=0,0,bsd(BB$28,BB$27,AX97,$H97,$R97,$P97,$S97,0.1))</f>
        <v>0</v>
      </c>
      <c r="BD97" s="45" t="n">
        <f aca="false">AW97*BA97</f>
        <v>0</v>
      </c>
      <c r="BE97" s="45" t="n">
        <f aca="false">AW97*BB97</f>
        <v>0</v>
      </c>
      <c r="BF97" s="45" t="n">
        <f aca="false">AW97*BC97</f>
        <v>0</v>
      </c>
      <c r="BH97" s="9" t="n">
        <f aca="false">IF($A97&gt;=BI$25,IF($A97&lt;=BI$26,$T97,0),0)</f>
        <v>0</v>
      </c>
      <c r="BI97" s="9" t="e">
        <f aca="false">BK97/BH97</f>
        <v>#DIV/0!</v>
      </c>
      <c r="BJ97" s="1" t="n">
        <f aca="false">BH97*($B97+H$13)</f>
        <v>0</v>
      </c>
      <c r="BK97" s="33" t="n">
        <f aca="false">IF(ISNUMBER(((BJ97/BH97)+H$15+$C97)*BH97),((BJ97/BH97)+H$15+$C97)*BH97,0)</f>
        <v>0</v>
      </c>
      <c r="BL97" s="44" t="n">
        <f aca="false">IF(BH97=0,0,bsd(1,BM$27,BI97,$I97,$R97,$Q97,$S97,0.1))</f>
        <v>0</v>
      </c>
      <c r="BM97" s="44" t="n">
        <f aca="false">IF(BH97=0,0,bsd(2,BM$27,BI97,$I97,$R97,$Q97,$S97,0.1))</f>
        <v>0</v>
      </c>
      <c r="BN97" s="44" t="n">
        <f aca="false">IF(BH97=0,0,bsd(BM$28,BM$27,BI97,$I97,$R97,$Q97,$S97,0.1))</f>
        <v>0</v>
      </c>
      <c r="BO97" s="45" t="n">
        <f aca="false">BH97*BL97</f>
        <v>0</v>
      </c>
      <c r="BP97" s="45" t="n">
        <f aca="false">BH97*BM97</f>
        <v>0</v>
      </c>
      <c r="BQ97" s="45" t="n">
        <f aca="false">BH97*BN97</f>
        <v>0</v>
      </c>
    </row>
    <row r="98" customFormat="false" ht="12.75" hidden="false" customHeight="false" outlineLevel="0" collapsed="false">
      <c r="A98" s="48" t="n">
        <f aca="false">DATE(YEAR(A97),MONTH(A97)+1,1)</f>
        <v>38838</v>
      </c>
      <c r="B98" s="40" t="n">
        <f aca="false">VLOOKUP(A98,STRADDLE,5,FALSE())</f>
        <v>3.006</v>
      </c>
      <c r="C98" s="40" t="n">
        <v>0</v>
      </c>
      <c r="D98" s="4" t="n">
        <f aca="false">VLOOKUP(A98,STRADDLE,8,FALSE())</f>
        <v>0.2275</v>
      </c>
      <c r="E98" s="131" t="n">
        <f aca="false">IF(ISNUMBER(VLOOKUP(A98,VOLCURVES,HLOOKUP(B$5,VOLCURVES,2,FALSE()),FALSE())),VLOOKUP(A98,VOLCURVES,HLOOKUP(B$5,VOLCURVES,2,FALSE()),FALSE()),1)</f>
        <v>1</v>
      </c>
      <c r="F98" s="41" t="n">
        <f aca="false">IF($B$17=4,$AB98,$B$16)</f>
        <v>3.8</v>
      </c>
      <c r="G98" s="41" t="n">
        <f aca="false">IF($D$17=4,$AM98,$D$16)</f>
        <v>3.5</v>
      </c>
      <c r="H98" s="41" t="n">
        <f aca="false">IF($F$17=4,$AX98,$F$16)</f>
        <v>2.96</v>
      </c>
      <c r="I98" s="41" t="n">
        <f aca="false">IF($H$17=4,$BI98,$H$16)</f>
        <v>2.99</v>
      </c>
      <c r="J98" s="4" t="n">
        <f aca="false">IF($B$19=1,VLOOKUP($A98,SkewTable,HLOOKUP(ROUND(F98-AB98,1),SkewTable,2,FALSE()),FALSE())/100,0)</f>
        <v>0.0451185018386</v>
      </c>
      <c r="K98" s="4" t="e">
        <f aca="false">IF($D$19=1,VLOOKUP($A98,SkewTable,HLOOKUP(ROUND(G98-AM98,1),SkewTable,2,FALSE()),FALSE())/100,0)</f>
        <v>#DIV/0!</v>
      </c>
      <c r="L98" s="4" t="e">
        <f aca="false">IF($F$19=1,VLOOKUP($A98,SkewTable,HLOOKUP(ROUND(H98-AX98,1),SkewTable,2,FALSE()),FALSE())/100,0)</f>
        <v>#DIV/0!</v>
      </c>
      <c r="M98" s="4" t="e">
        <f aca="false">IF($H$19=1,VLOOKUP($A98,SkewTable,HLOOKUP(ROUND(I98-BI98,1),SkewTable,2,FALSE()),FALSE())/100,0)</f>
        <v>#DIV/0!</v>
      </c>
      <c r="N98" s="4" t="n">
        <f aca="false">(($D98+J98)*$E98)+B$18</f>
        <v>0.2726185018386</v>
      </c>
      <c r="O98" s="4" t="e">
        <f aca="false">(($D98+K98)*$E98)+D$18</f>
        <v>#DIV/0!</v>
      </c>
      <c r="P98" s="4" t="e">
        <f aca="false">(($D98+L98)*$E98)+F$18</f>
        <v>#DIV/0!</v>
      </c>
      <c r="Q98" s="4" t="e">
        <f aca="false">(($D98+M98)*$E98)+H$18</f>
        <v>#DIV/0!</v>
      </c>
      <c r="R98" s="136" t="n">
        <f aca="false">IF(B$4=1,VLOOKUP(A98,expiration,2,FALSE()),VLOOKUP(A98,expiration,3,FALSE()))-B$2+$B$1</f>
        <v>-7093</v>
      </c>
      <c r="S98" s="4" t="n">
        <f aca="false">VLOOKUP($A98,STRADDLE,12,FALSE())</f>
        <v>0.068635384408167</v>
      </c>
      <c r="T98" s="1" t="n">
        <v>0</v>
      </c>
      <c r="U98" s="43" t="n">
        <v>0</v>
      </c>
      <c r="X98" s="43"/>
      <c r="Z98" s="9"/>
      <c r="AA98" s="9" t="n">
        <f aca="false">IF($A98&gt;=AB$25,IF($A98&lt;=AB$26,$T98,0),0)</f>
        <v>0</v>
      </c>
      <c r="AB98" s="9" t="n">
        <f aca="false">IF(T98&gt;0,AD98/AA98,0)</f>
        <v>0</v>
      </c>
      <c r="AC98" s="1" t="n">
        <f aca="false">AA98*($B98+B$13)</f>
        <v>0</v>
      </c>
      <c r="AD98" s="33" t="n">
        <f aca="false">IF(ISNUMBER(((AC98/AA98)+B$15+$C98)*AA98),((AC98/AA98)+B$15+$C98)*AA98,0)</f>
        <v>0</v>
      </c>
      <c r="AE98" s="44" t="n">
        <f aca="false">IF(AA98=0,0,bsd(1,AF$27,AB98,$F98,$R98,$N98,$S98,0.1))</f>
        <v>0</v>
      </c>
      <c r="AF98" s="44" t="n">
        <f aca="false">IF(AA98=0,0,bsd(2,AF$27,AB98,$F98,$R98,$N98,$S98,0.1))</f>
        <v>0</v>
      </c>
      <c r="AG98" s="44" t="n">
        <f aca="false">IF(AA98=0,0,bsd(AF$28,AF$27,AB98,$F98,$R98,$N98,$S98,0.1))</f>
        <v>0</v>
      </c>
      <c r="AH98" s="45" t="n">
        <f aca="false">AA98*AE98</f>
        <v>0</v>
      </c>
      <c r="AI98" s="45" t="n">
        <f aca="false">AA98*AF98</f>
        <v>0</v>
      </c>
      <c r="AJ98" s="45" t="n">
        <f aca="false">AA98*AG98</f>
        <v>0</v>
      </c>
      <c r="AL98" s="9" t="n">
        <f aca="false">IF($A98&gt;=AM$25,IF($A98&lt;=AM$26,$T98,0),0)</f>
        <v>0</v>
      </c>
      <c r="AM98" s="9" t="e">
        <f aca="false">AO98/AL98</f>
        <v>#DIV/0!</v>
      </c>
      <c r="AN98" s="1" t="n">
        <f aca="false">AL98*($B98+D$13)</f>
        <v>0</v>
      </c>
      <c r="AO98" s="33" t="n">
        <f aca="false">IF(ISNUMBER(((AN98/AL98)+D$15+$C98)*AL98),((AN98/AL98)+D$15+$C98)*AL98,0)</f>
        <v>0</v>
      </c>
      <c r="AP98" s="44" t="n">
        <f aca="false">IF(AL98=0,0,bsd(1,AQ$27,AM98,$G98,$R98,$O98,$S98,0.1))</f>
        <v>0</v>
      </c>
      <c r="AQ98" s="44" t="n">
        <f aca="false">IF(AL98=0,0,bsd(2,AQ$27,AM98,$G98,$R98,$O98,$S98,0.1))</f>
        <v>0</v>
      </c>
      <c r="AR98" s="44" t="n">
        <f aca="false">IF(AL98=0,0,bsd(AQ$28,AQ$27,AM98,$G98,$R98,$O98,$S98,0.1))</f>
        <v>0</v>
      </c>
      <c r="AS98" s="45" t="n">
        <f aca="false">AL98*AP98</f>
        <v>0</v>
      </c>
      <c r="AT98" s="45" t="n">
        <f aca="false">AL98*AQ98</f>
        <v>0</v>
      </c>
      <c r="AU98" s="45" t="n">
        <f aca="false">AL98*AR98</f>
        <v>0</v>
      </c>
      <c r="AW98" s="9" t="n">
        <f aca="false">IF($A98&gt;=AX$25,IF($A98&lt;=AX$26,$T98,0),0)</f>
        <v>0</v>
      </c>
      <c r="AX98" s="9" t="e">
        <f aca="false">AZ98/AW98</f>
        <v>#DIV/0!</v>
      </c>
      <c r="AY98" s="1" t="n">
        <f aca="false">AW98*($B98+F$13)</f>
        <v>0</v>
      </c>
      <c r="AZ98" s="33" t="n">
        <f aca="false">IF(ISNUMBER(((AY98/AW98)+F$15+$C98)*AW98),((AY98/AW98)+F$15+$C98)*AW98,0)</f>
        <v>0</v>
      </c>
      <c r="BA98" s="44" t="n">
        <f aca="false">IF(AW98=0,0,bsd(1,BB$27,AX98,$H98,$R98,$P98,$S98,0.1))</f>
        <v>0</v>
      </c>
      <c r="BB98" s="44" t="n">
        <f aca="false">IF(AW98=0,0,bsd(2,BB$27,AX98,$H98,$R98,$P98,$S98,0.1))</f>
        <v>0</v>
      </c>
      <c r="BC98" s="44" t="n">
        <f aca="false">IF(AW98=0,0,bsd(BB$28,BB$27,AX98,$H98,$R98,$P98,$S98,0.1))</f>
        <v>0</v>
      </c>
      <c r="BD98" s="45" t="n">
        <f aca="false">AW98*BA98</f>
        <v>0</v>
      </c>
      <c r="BE98" s="45" t="n">
        <f aca="false">AW98*BB98</f>
        <v>0</v>
      </c>
      <c r="BF98" s="45" t="n">
        <f aca="false">AW98*BC98</f>
        <v>0</v>
      </c>
      <c r="BH98" s="9" t="n">
        <f aca="false">IF($A98&gt;=BI$25,IF($A98&lt;=BI$26,$T98,0),0)</f>
        <v>0</v>
      </c>
      <c r="BI98" s="9" t="e">
        <f aca="false">BK98/BH98</f>
        <v>#DIV/0!</v>
      </c>
      <c r="BJ98" s="1" t="n">
        <f aca="false">BH98*($B98+H$13)</f>
        <v>0</v>
      </c>
      <c r="BK98" s="33" t="n">
        <f aca="false">IF(ISNUMBER(((BJ98/BH98)+H$15+$C98)*BH98),((BJ98/BH98)+H$15+$C98)*BH98,0)</f>
        <v>0</v>
      </c>
      <c r="BL98" s="44" t="n">
        <f aca="false">IF(BH98=0,0,bsd(1,BM$27,BI98,$I98,$R98,$Q98,$S98,0.1))</f>
        <v>0</v>
      </c>
      <c r="BM98" s="44" t="n">
        <f aca="false">IF(BH98=0,0,bsd(2,BM$27,BI98,$I98,$R98,$Q98,$S98,0.1))</f>
        <v>0</v>
      </c>
      <c r="BN98" s="44" t="n">
        <f aca="false">IF(BH98=0,0,bsd(BM$28,BM$27,BI98,$I98,$R98,$Q98,$S98,0.1))</f>
        <v>0</v>
      </c>
      <c r="BO98" s="45" t="n">
        <f aca="false">BH98*BL98</f>
        <v>0</v>
      </c>
      <c r="BP98" s="45" t="n">
        <f aca="false">BH98*BM98</f>
        <v>0</v>
      </c>
      <c r="BQ98" s="45" t="n">
        <f aca="false">BH98*BN98</f>
        <v>0</v>
      </c>
    </row>
    <row r="99" customFormat="false" ht="12.75" hidden="false" customHeight="false" outlineLevel="0" collapsed="false">
      <c r="A99" s="48" t="n">
        <f aca="false">DATE(YEAR(A98),MONTH(A98)+1,1)</f>
        <v>38869</v>
      </c>
      <c r="B99" s="40" t="n">
        <f aca="false">VLOOKUP(A99,STRADDLE,5,FALSE())</f>
        <v>3.017</v>
      </c>
      <c r="C99" s="40" t="n">
        <v>0</v>
      </c>
      <c r="D99" s="4" t="n">
        <f aca="false">VLOOKUP(A99,STRADDLE,8,FALSE())</f>
        <v>0.2275</v>
      </c>
      <c r="E99" s="131" t="n">
        <f aca="false">IF(ISNUMBER(VLOOKUP(A99,VOLCURVES,HLOOKUP(B$5,VOLCURVES,2,FALSE()),FALSE())),VLOOKUP(A99,VOLCURVES,HLOOKUP(B$5,VOLCURVES,2,FALSE()),FALSE()),1)</f>
        <v>1</v>
      </c>
      <c r="F99" s="41" t="n">
        <f aca="false">IF($B$17=4,$AB99,$B$16)</f>
        <v>3.8</v>
      </c>
      <c r="G99" s="41" t="n">
        <f aca="false">IF($D$17=4,$AM99,$D$16)</f>
        <v>3.5</v>
      </c>
      <c r="H99" s="41" t="n">
        <f aca="false">IF($F$17=4,$AX99,$F$16)</f>
        <v>2.96</v>
      </c>
      <c r="I99" s="41" t="n">
        <f aca="false">IF($H$17=4,$BI99,$H$16)</f>
        <v>2.99</v>
      </c>
      <c r="J99" s="4" t="n">
        <f aca="false">IF($B$19=1,VLOOKUP($A99,SkewTable,HLOOKUP(ROUND(F99-AB99,1),SkewTable,2,FALSE()),FALSE())/100,0)</f>
        <v>0.0451185018386</v>
      </c>
      <c r="K99" s="4" t="e">
        <f aca="false">IF($D$19=1,VLOOKUP($A99,SkewTable,HLOOKUP(ROUND(G99-AM99,1),SkewTable,2,FALSE()),FALSE())/100,0)</f>
        <v>#DIV/0!</v>
      </c>
      <c r="L99" s="4" t="e">
        <f aca="false">IF($F$19=1,VLOOKUP($A99,SkewTable,HLOOKUP(ROUND(H99-AX99,1),SkewTable,2,FALSE()),FALSE())/100,0)</f>
        <v>#DIV/0!</v>
      </c>
      <c r="M99" s="4" t="e">
        <f aca="false">IF($H$19=1,VLOOKUP($A99,SkewTable,HLOOKUP(ROUND(I99-BI99,1),SkewTable,2,FALSE()),FALSE())/100,0)</f>
        <v>#DIV/0!</v>
      </c>
      <c r="N99" s="4" t="n">
        <f aca="false">(($D99+J99)*$E99)+B$18</f>
        <v>0.2726185018386</v>
      </c>
      <c r="O99" s="4" t="e">
        <f aca="false">(($D99+K99)*$E99)+D$18</f>
        <v>#DIV/0!</v>
      </c>
      <c r="P99" s="4" t="e">
        <f aca="false">(($D99+L99)*$E99)+F$18</f>
        <v>#DIV/0!</v>
      </c>
      <c r="Q99" s="4" t="e">
        <f aca="false">(($D99+M99)*$E99)+H$18</f>
        <v>#DIV/0!</v>
      </c>
      <c r="R99" s="136" t="n">
        <f aca="false">IF(B$4=1,VLOOKUP(A99,expiration,2,FALSE()),VLOOKUP(A99,expiration,3,FALSE()))-B$2+$B$1</f>
        <v>-7063</v>
      </c>
      <c r="S99" s="4" t="n">
        <f aca="false">VLOOKUP($A99,STRADDLE,12,FALSE())</f>
        <v>0.068686733793079</v>
      </c>
      <c r="T99" s="1" t="n">
        <v>0</v>
      </c>
      <c r="U99" s="43" t="n">
        <v>0</v>
      </c>
      <c r="X99" s="43"/>
      <c r="Z99" s="9"/>
      <c r="AA99" s="9" t="n">
        <f aca="false">IF($A99&gt;=AB$25,IF($A99&lt;=AB$26,$T99,0),0)</f>
        <v>0</v>
      </c>
      <c r="AB99" s="9" t="n">
        <f aca="false">IF(T99&gt;0,AD99/AA99,0)</f>
        <v>0</v>
      </c>
      <c r="AC99" s="1" t="n">
        <f aca="false">AA99*($B99+B$13)</f>
        <v>0</v>
      </c>
      <c r="AD99" s="33" t="n">
        <f aca="false">IF(ISNUMBER(((AC99/AA99)+B$15+$C99)*AA99),((AC99/AA99)+B$15+$C99)*AA99,0)</f>
        <v>0</v>
      </c>
      <c r="AE99" s="44" t="n">
        <f aca="false">IF(AA99=0,0,bsd(1,AF$27,AB99,$F99,$R99,$N99,$S99,0.1))</f>
        <v>0</v>
      </c>
      <c r="AF99" s="44" t="n">
        <f aca="false">IF(AA99=0,0,bsd(2,AF$27,AB99,$F99,$R99,$N99,$S99,0.1))</f>
        <v>0</v>
      </c>
      <c r="AG99" s="44" t="n">
        <f aca="false">IF(AA99=0,0,bsd(AF$28,AF$27,AB99,$F99,$R99,$N99,$S99,0.1))</f>
        <v>0</v>
      </c>
      <c r="AH99" s="45" t="n">
        <f aca="false">AA99*AE99</f>
        <v>0</v>
      </c>
      <c r="AI99" s="45" t="n">
        <f aca="false">AA99*AF99</f>
        <v>0</v>
      </c>
      <c r="AJ99" s="45" t="n">
        <f aca="false">AA99*AG99</f>
        <v>0</v>
      </c>
      <c r="AL99" s="9" t="n">
        <f aca="false">IF($A99&gt;=AM$25,IF($A99&lt;=AM$26,$T99,0),0)</f>
        <v>0</v>
      </c>
      <c r="AM99" s="9" t="e">
        <f aca="false">AO99/AL99</f>
        <v>#DIV/0!</v>
      </c>
      <c r="AN99" s="1" t="n">
        <f aca="false">AL99*($B99+D$13)</f>
        <v>0</v>
      </c>
      <c r="AO99" s="33" t="n">
        <f aca="false">IF(ISNUMBER(((AN99/AL99)+D$15+$C99)*AL99),((AN99/AL99)+D$15+$C99)*AL99,0)</f>
        <v>0</v>
      </c>
      <c r="AP99" s="44" t="n">
        <f aca="false">IF(AL99=0,0,bsd(1,AQ$27,AM99,$G99,$R99,$O99,$S99,0.1))</f>
        <v>0</v>
      </c>
      <c r="AQ99" s="44" t="n">
        <f aca="false">IF(AL99=0,0,bsd(2,AQ$27,AM99,$G99,$R99,$O99,$S99,0.1))</f>
        <v>0</v>
      </c>
      <c r="AR99" s="44" t="n">
        <f aca="false">IF(AL99=0,0,bsd(AQ$28,AQ$27,AM99,$G99,$R99,$O99,$S99,0.1))</f>
        <v>0</v>
      </c>
      <c r="AS99" s="45" t="n">
        <f aca="false">AL99*AP99</f>
        <v>0</v>
      </c>
      <c r="AT99" s="45" t="n">
        <f aca="false">AL99*AQ99</f>
        <v>0</v>
      </c>
      <c r="AU99" s="45" t="n">
        <f aca="false">AL99*AR99</f>
        <v>0</v>
      </c>
      <c r="AW99" s="9" t="n">
        <f aca="false">IF($A99&gt;=AX$25,IF($A99&lt;=AX$26,$T99,0),0)</f>
        <v>0</v>
      </c>
      <c r="AX99" s="9" t="e">
        <f aca="false">AZ99/AW99</f>
        <v>#DIV/0!</v>
      </c>
      <c r="AY99" s="1" t="n">
        <f aca="false">AW99*($B99+F$13)</f>
        <v>0</v>
      </c>
      <c r="AZ99" s="33" t="n">
        <f aca="false">IF(ISNUMBER(((AY99/AW99)+F$15+$C99)*AW99),((AY99/AW99)+F$15+$C99)*AW99,0)</f>
        <v>0</v>
      </c>
      <c r="BA99" s="44" t="n">
        <f aca="false">IF(AW99=0,0,bsd(1,BB$27,AX99,$H99,$R99,$P99,$S99,0.1))</f>
        <v>0</v>
      </c>
      <c r="BB99" s="44" t="n">
        <f aca="false">IF(AW99=0,0,bsd(2,BB$27,AX99,$H99,$R99,$P99,$S99,0.1))</f>
        <v>0</v>
      </c>
      <c r="BC99" s="44" t="n">
        <f aca="false">IF(AW99=0,0,bsd(BB$28,BB$27,AX99,$H99,$R99,$P99,$S99,0.1))</f>
        <v>0</v>
      </c>
      <c r="BD99" s="45" t="n">
        <f aca="false">AW99*BA99</f>
        <v>0</v>
      </c>
      <c r="BE99" s="45" t="n">
        <f aca="false">AW99*BB99</f>
        <v>0</v>
      </c>
      <c r="BF99" s="45" t="n">
        <f aca="false">AW99*BC99</f>
        <v>0</v>
      </c>
      <c r="BH99" s="9" t="n">
        <f aca="false">IF($A99&gt;=BI$25,IF($A99&lt;=BI$26,$T99,0),0)</f>
        <v>0</v>
      </c>
      <c r="BI99" s="9" t="e">
        <f aca="false">BK99/BH99</f>
        <v>#DIV/0!</v>
      </c>
      <c r="BJ99" s="1" t="n">
        <f aca="false">BH99*($B99+H$13)</f>
        <v>0</v>
      </c>
      <c r="BK99" s="33" t="n">
        <f aca="false">IF(ISNUMBER(((BJ99/BH99)+H$15+$C99)*BH99),((BJ99/BH99)+H$15+$C99)*BH99,0)</f>
        <v>0</v>
      </c>
      <c r="BL99" s="44" t="n">
        <f aca="false">IF(BH99=0,0,bsd(1,BM$27,BI99,$I99,$R99,$Q99,$S99,0.1))</f>
        <v>0</v>
      </c>
      <c r="BM99" s="44" t="n">
        <f aca="false">IF(BH99=0,0,bsd(2,BM$27,BI99,$I99,$R99,$Q99,$S99,0.1))</f>
        <v>0</v>
      </c>
      <c r="BN99" s="44" t="n">
        <f aca="false">IF(BH99=0,0,bsd(BM$28,BM$27,BI99,$I99,$R99,$Q99,$S99,0.1))</f>
        <v>0</v>
      </c>
      <c r="BO99" s="45" t="n">
        <f aca="false">BH99*BL99</f>
        <v>0</v>
      </c>
      <c r="BP99" s="45" t="n">
        <f aca="false">BH99*BM99</f>
        <v>0</v>
      </c>
      <c r="BQ99" s="45" t="n">
        <f aca="false">BH99*BN99</f>
        <v>0</v>
      </c>
    </row>
    <row r="100" customFormat="false" ht="12.75" hidden="false" customHeight="false" outlineLevel="0" collapsed="false">
      <c r="A100" s="48" t="n">
        <f aca="false">DATE(YEAR(A99),MONTH(A99)+1,1)</f>
        <v>38899</v>
      </c>
      <c r="B100" s="40" t="n">
        <f aca="false">VLOOKUP(A100,STRADDLE,5,FALSE())</f>
        <v>3.025</v>
      </c>
      <c r="C100" s="40" t="n">
        <v>0</v>
      </c>
      <c r="D100" s="4" t="n">
        <f aca="false">VLOOKUP(A100,STRADDLE,8,FALSE())</f>
        <v>0.2275</v>
      </c>
      <c r="E100" s="131" t="n">
        <f aca="false">IF(ISNUMBER(VLOOKUP(A100,VOLCURVES,HLOOKUP(B$5,VOLCURVES,2,FALSE()),FALSE())),VLOOKUP(A100,VOLCURVES,HLOOKUP(B$5,VOLCURVES,2,FALSE()),FALSE()),1)</f>
        <v>1</v>
      </c>
      <c r="F100" s="41" t="n">
        <f aca="false">IF($B$17=4,$AB100,$B$16)</f>
        <v>3.8</v>
      </c>
      <c r="G100" s="41" t="n">
        <f aca="false">IF($D$17=4,$AM100,$D$16)</f>
        <v>3.5</v>
      </c>
      <c r="H100" s="41" t="n">
        <f aca="false">IF($F$17=4,$AX100,$F$16)</f>
        <v>2.96</v>
      </c>
      <c r="I100" s="41" t="n">
        <f aca="false">IF($H$17=4,$BI100,$H$16)</f>
        <v>2.99</v>
      </c>
      <c r="J100" s="4" t="n">
        <f aca="false">IF($B$19=1,VLOOKUP($A100,SkewTable,HLOOKUP(ROUND(F100-AB100,1),SkewTable,2,FALSE()),FALSE())/100,0)</f>
        <v>0.0451185018386</v>
      </c>
      <c r="K100" s="4" t="e">
        <f aca="false">IF($D$19=1,VLOOKUP($A100,SkewTable,HLOOKUP(ROUND(G100-AM100,1),SkewTable,2,FALSE()),FALSE())/100,0)</f>
        <v>#DIV/0!</v>
      </c>
      <c r="L100" s="4" t="e">
        <f aca="false">IF($F$19=1,VLOOKUP($A100,SkewTable,HLOOKUP(ROUND(H100-AX100,1),SkewTable,2,FALSE()),FALSE())/100,0)</f>
        <v>#DIV/0!</v>
      </c>
      <c r="M100" s="4" t="e">
        <f aca="false">IF($H$19=1,VLOOKUP($A100,SkewTable,HLOOKUP(ROUND(I100-BI100,1),SkewTable,2,FALSE()),FALSE())/100,0)</f>
        <v>#DIV/0!</v>
      </c>
      <c r="N100" s="4" t="n">
        <f aca="false">(($D100+J100)*$E100)+B$18</f>
        <v>0.2726185018386</v>
      </c>
      <c r="O100" s="4" t="e">
        <f aca="false">(($D100+K100)*$E100)+D$18</f>
        <v>#DIV/0!</v>
      </c>
      <c r="P100" s="4" t="e">
        <f aca="false">(($D100+L100)*$E100)+F$18</f>
        <v>#DIV/0!</v>
      </c>
      <c r="Q100" s="4" t="e">
        <f aca="false">(($D100+M100)*$E100)+H$18</f>
        <v>#DIV/0!</v>
      </c>
      <c r="R100" s="136" t="n">
        <f aca="false">IF(B$4=1,VLOOKUP(A100,expiration,2,FALSE()),VLOOKUP(A100,expiration,3,FALSE()))-B$2+$B$1</f>
        <v>-7030</v>
      </c>
      <c r="S100" s="4" t="n">
        <f aca="false">VLOOKUP($A100,STRADDLE,12,FALSE())</f>
        <v>0.06873642674705</v>
      </c>
      <c r="T100" s="1" t="n">
        <v>0</v>
      </c>
      <c r="U100" s="43" t="n">
        <v>0</v>
      </c>
      <c r="X100" s="43"/>
      <c r="Z100" s="9"/>
      <c r="AA100" s="9" t="n">
        <f aca="false">IF($A100&gt;=AB$25,IF($A100&lt;=AB$26,$T100,0),0)</f>
        <v>0</v>
      </c>
      <c r="AB100" s="9" t="n">
        <f aca="false">IF(T100&gt;0,AD100/AA100,0)</f>
        <v>0</v>
      </c>
      <c r="AC100" s="1" t="n">
        <f aca="false">AA100*($B100+B$13)</f>
        <v>0</v>
      </c>
      <c r="AD100" s="33" t="n">
        <f aca="false">IF(ISNUMBER(((AC100/AA100)+B$15+$C100)*AA100),((AC100/AA100)+B$15+$C100)*AA100,0)</f>
        <v>0</v>
      </c>
      <c r="AE100" s="44" t="n">
        <f aca="false">IF(AA100=0,0,bsd(1,AF$27,AB100,$F100,$R100,$N100,$S100,0.1))</f>
        <v>0</v>
      </c>
      <c r="AF100" s="44" t="n">
        <f aca="false">IF(AA100=0,0,bsd(2,AF$27,AB100,$F100,$R100,$N100,$S100,0.1))</f>
        <v>0</v>
      </c>
      <c r="AG100" s="44" t="n">
        <f aca="false">IF(AA100=0,0,bsd(AF$28,AF$27,AB100,$F100,$R100,$N100,$S100,0.1))</f>
        <v>0</v>
      </c>
      <c r="AH100" s="45" t="n">
        <f aca="false">AA100*AE100</f>
        <v>0</v>
      </c>
      <c r="AI100" s="45" t="n">
        <f aca="false">AA100*AF100</f>
        <v>0</v>
      </c>
      <c r="AJ100" s="45" t="n">
        <f aca="false">AA100*AG100</f>
        <v>0</v>
      </c>
      <c r="AL100" s="9" t="n">
        <f aca="false">IF($A100&gt;=AM$25,IF($A100&lt;=AM$26,$T100,0),0)</f>
        <v>0</v>
      </c>
      <c r="AM100" s="9" t="e">
        <f aca="false">AO100/AL100</f>
        <v>#DIV/0!</v>
      </c>
      <c r="AN100" s="1" t="n">
        <f aca="false">AL100*($B100+D$13)</f>
        <v>0</v>
      </c>
      <c r="AO100" s="33" t="n">
        <f aca="false">IF(ISNUMBER(((AN100/AL100)+D$15+$C100)*AL100),((AN100/AL100)+D$15+$C100)*AL100,0)</f>
        <v>0</v>
      </c>
      <c r="AP100" s="44" t="n">
        <f aca="false">IF(AL100=0,0,bsd(1,AQ$27,AM100,$G100,$R100,$O100,$S100,0.1))</f>
        <v>0</v>
      </c>
      <c r="AQ100" s="44" t="n">
        <f aca="false">IF(AL100=0,0,bsd(2,AQ$27,AM100,$G100,$R100,$O100,$S100,0.1))</f>
        <v>0</v>
      </c>
      <c r="AR100" s="44" t="n">
        <f aca="false">IF(AL100=0,0,bsd(AQ$28,AQ$27,AM100,$G100,$R100,$O100,$S100,0.1))</f>
        <v>0</v>
      </c>
      <c r="AS100" s="45" t="n">
        <f aca="false">AL100*AP100</f>
        <v>0</v>
      </c>
      <c r="AT100" s="45" t="n">
        <f aca="false">AL100*AQ100</f>
        <v>0</v>
      </c>
      <c r="AU100" s="45" t="n">
        <f aca="false">AL100*AR100</f>
        <v>0</v>
      </c>
      <c r="AW100" s="9" t="n">
        <f aca="false">IF($A100&gt;=AX$25,IF($A100&lt;=AX$26,$T100,0),0)</f>
        <v>0</v>
      </c>
      <c r="AX100" s="9" t="e">
        <f aca="false">AZ100/AW100</f>
        <v>#DIV/0!</v>
      </c>
      <c r="AY100" s="1" t="n">
        <f aca="false">AW100*($B100+F$13)</f>
        <v>0</v>
      </c>
      <c r="AZ100" s="33" t="n">
        <f aca="false">IF(ISNUMBER(((AY100/AW100)+F$15+$C100)*AW100),((AY100/AW100)+F$15+$C100)*AW100,0)</f>
        <v>0</v>
      </c>
      <c r="BA100" s="44" t="n">
        <f aca="false">IF(AW100=0,0,bsd(1,BB$27,AX100,$H100,$R100,$P100,$S100,0.1))</f>
        <v>0</v>
      </c>
      <c r="BB100" s="44" t="n">
        <f aca="false">IF(AW100=0,0,bsd(2,BB$27,AX100,$H100,$R100,$P100,$S100,0.1))</f>
        <v>0</v>
      </c>
      <c r="BC100" s="44" t="n">
        <f aca="false">IF(AW100=0,0,bsd(BB$28,BB$27,AX100,$H100,$R100,$P100,$S100,0.1))</f>
        <v>0</v>
      </c>
      <c r="BD100" s="45" t="n">
        <f aca="false">AW100*BA100</f>
        <v>0</v>
      </c>
      <c r="BE100" s="45" t="n">
        <f aca="false">AW100*BB100</f>
        <v>0</v>
      </c>
      <c r="BF100" s="45" t="n">
        <f aca="false">AW100*BC100</f>
        <v>0</v>
      </c>
      <c r="BH100" s="9" t="n">
        <f aca="false">IF($A100&gt;=BI$25,IF($A100&lt;=BI$26,$T100,0),0)</f>
        <v>0</v>
      </c>
      <c r="BI100" s="9" t="e">
        <f aca="false">BK100/BH100</f>
        <v>#DIV/0!</v>
      </c>
      <c r="BJ100" s="1" t="n">
        <f aca="false">BH100*($B100+H$13)</f>
        <v>0</v>
      </c>
      <c r="BK100" s="33" t="n">
        <f aca="false">IF(ISNUMBER(((BJ100/BH100)+H$15+$C100)*BH100),((BJ100/BH100)+H$15+$C100)*BH100,0)</f>
        <v>0</v>
      </c>
      <c r="BL100" s="44" t="n">
        <f aca="false">IF(BH100=0,0,bsd(1,BM$27,BI100,$I100,$R100,$Q100,$S100,0.1))</f>
        <v>0</v>
      </c>
      <c r="BM100" s="44" t="n">
        <f aca="false">IF(BH100=0,0,bsd(2,BM$27,BI100,$I100,$R100,$Q100,$S100,0.1))</f>
        <v>0</v>
      </c>
      <c r="BN100" s="44" t="n">
        <f aca="false">IF(BH100=0,0,bsd(BM$28,BM$27,BI100,$I100,$R100,$Q100,$S100,0.1))</f>
        <v>0</v>
      </c>
      <c r="BO100" s="45" t="n">
        <f aca="false">BH100*BL100</f>
        <v>0</v>
      </c>
      <c r="BP100" s="45" t="n">
        <f aca="false">BH100*BM100</f>
        <v>0</v>
      </c>
      <c r="BQ100" s="45" t="n">
        <f aca="false">BH100*BN100</f>
        <v>0</v>
      </c>
    </row>
    <row r="101" customFormat="false" ht="12.75" hidden="false" customHeight="false" outlineLevel="0" collapsed="false">
      <c r="A101" s="48" t="n">
        <f aca="false">DATE(YEAR(A100),MONTH(A100)+1,1)</f>
        <v>38930</v>
      </c>
      <c r="B101" s="40" t="n">
        <f aca="false">VLOOKUP(A101,STRADDLE,5,FALSE())</f>
        <v>3.032</v>
      </c>
      <c r="C101" s="40" t="n">
        <v>0</v>
      </c>
      <c r="D101" s="4" t="n">
        <f aca="false">VLOOKUP(A101,STRADDLE,8,FALSE())</f>
        <v>0.2275</v>
      </c>
      <c r="E101" s="131" t="n">
        <f aca="false">IF(ISNUMBER(VLOOKUP(A101,VOLCURVES,HLOOKUP(B$5,VOLCURVES,2,FALSE()),FALSE())),VLOOKUP(A101,VOLCURVES,HLOOKUP(B$5,VOLCURVES,2,FALSE()),FALSE()),1)</f>
        <v>1</v>
      </c>
      <c r="F101" s="41" t="n">
        <f aca="false">IF($B$17=4,$AB101,$B$16)</f>
        <v>3.8</v>
      </c>
      <c r="G101" s="41" t="n">
        <f aca="false">IF($D$17=4,$AM101,$D$16)</f>
        <v>3.5</v>
      </c>
      <c r="H101" s="41" t="n">
        <f aca="false">IF($F$17=4,$AX101,$F$16)</f>
        <v>2.96</v>
      </c>
      <c r="I101" s="41" t="n">
        <f aca="false">IF($H$17=4,$BI101,$H$16)</f>
        <v>2.99</v>
      </c>
      <c r="J101" s="4" t="n">
        <f aca="false">IF($B$19=1,VLOOKUP($A101,SkewTable,HLOOKUP(ROUND(F101-AB101,1),SkewTable,2,FALSE()),FALSE())/100,0)</f>
        <v>0.0451185018386</v>
      </c>
      <c r="K101" s="4" t="e">
        <f aca="false">IF($D$19=1,VLOOKUP($A101,SkewTable,HLOOKUP(ROUND(G101-AM101,1),SkewTable,2,FALSE()),FALSE())/100,0)</f>
        <v>#DIV/0!</v>
      </c>
      <c r="L101" s="4" t="e">
        <f aca="false">IF($F$19=1,VLOOKUP($A101,SkewTable,HLOOKUP(ROUND(H101-AX101,1),SkewTable,2,FALSE()),FALSE())/100,0)</f>
        <v>#DIV/0!</v>
      </c>
      <c r="M101" s="4" t="e">
        <f aca="false">IF($H$19=1,VLOOKUP($A101,SkewTable,HLOOKUP(ROUND(I101-BI101,1),SkewTable,2,FALSE()),FALSE())/100,0)</f>
        <v>#DIV/0!</v>
      </c>
      <c r="N101" s="4" t="n">
        <f aca="false">(($D101+J101)*$E101)+B$18</f>
        <v>0.2726185018386</v>
      </c>
      <c r="O101" s="4" t="e">
        <f aca="false">(($D101+K101)*$E101)+D$18</f>
        <v>#DIV/0!</v>
      </c>
      <c r="P101" s="4" t="e">
        <f aca="false">(($D101+L101)*$E101)+F$18</f>
        <v>#DIV/0!</v>
      </c>
      <c r="Q101" s="4" t="e">
        <f aca="false">(($D101+M101)*$E101)+H$18</f>
        <v>#DIV/0!</v>
      </c>
      <c r="R101" s="136" t="n">
        <f aca="false">IF(B$4=1,VLOOKUP(A101,expiration,2,FALSE()),VLOOKUP(A101,expiration,3,FALSE()))-B$2+$B$1</f>
        <v>-7001</v>
      </c>
      <c r="S101" s="4" t="n">
        <f aca="false">VLOOKUP($A101,STRADDLE,12,FALSE())</f>
        <v>0.068787776133678</v>
      </c>
      <c r="T101" s="1" t="n">
        <v>0</v>
      </c>
      <c r="U101" s="43" t="n">
        <v>0</v>
      </c>
      <c r="X101" s="43"/>
      <c r="Z101" s="9"/>
      <c r="AA101" s="9" t="n">
        <f aca="false">IF($A101&gt;=AB$25,IF($A101&lt;=AB$26,$T101,0),0)</f>
        <v>0</v>
      </c>
      <c r="AB101" s="9" t="n">
        <f aca="false">IF(T101&gt;0,AD101/AA101,0)</f>
        <v>0</v>
      </c>
      <c r="AC101" s="1" t="n">
        <f aca="false">AA101*($B101+B$13)</f>
        <v>0</v>
      </c>
      <c r="AD101" s="33" t="n">
        <f aca="false">IF(ISNUMBER(((AC101/AA101)+B$15+$C101)*AA101),((AC101/AA101)+B$15+$C101)*AA101,0)</f>
        <v>0</v>
      </c>
      <c r="AE101" s="44" t="n">
        <f aca="false">IF(AA101=0,0,bsd(1,AF$27,AB101,$F101,$R101,$N101,$S101,0.1))</f>
        <v>0</v>
      </c>
      <c r="AF101" s="44" t="n">
        <f aca="false">IF(AA101=0,0,bsd(2,AF$27,AB101,$F101,$R101,$N101,$S101,0.1))</f>
        <v>0</v>
      </c>
      <c r="AG101" s="44" t="n">
        <f aca="false">IF(AA101=0,0,bsd(AF$28,AF$27,AB101,$F101,$R101,$N101,$S101,0.1))</f>
        <v>0</v>
      </c>
      <c r="AH101" s="45" t="n">
        <f aca="false">AA101*AE101</f>
        <v>0</v>
      </c>
      <c r="AI101" s="45" t="n">
        <f aca="false">AA101*AF101</f>
        <v>0</v>
      </c>
      <c r="AJ101" s="45" t="n">
        <f aca="false">AA101*AG101</f>
        <v>0</v>
      </c>
      <c r="AL101" s="9" t="n">
        <f aca="false">IF($A101&gt;=AM$25,IF($A101&lt;=AM$26,$T101,0),0)</f>
        <v>0</v>
      </c>
      <c r="AM101" s="9" t="e">
        <f aca="false">AO101/AL101</f>
        <v>#DIV/0!</v>
      </c>
      <c r="AN101" s="1" t="n">
        <f aca="false">AL101*($B101+D$13)</f>
        <v>0</v>
      </c>
      <c r="AO101" s="33" t="n">
        <f aca="false">IF(ISNUMBER(((AN101/AL101)+D$15+$C101)*AL101),((AN101/AL101)+D$15+$C101)*AL101,0)</f>
        <v>0</v>
      </c>
      <c r="AP101" s="44" t="n">
        <f aca="false">IF(AL101=0,0,bsd(1,AQ$27,AM101,$G101,$R101,$O101,$S101,0.1))</f>
        <v>0</v>
      </c>
      <c r="AQ101" s="44" t="n">
        <f aca="false">IF(AL101=0,0,bsd(2,AQ$27,AM101,$G101,$R101,$O101,$S101,0.1))</f>
        <v>0</v>
      </c>
      <c r="AR101" s="44" t="n">
        <f aca="false">IF(AL101=0,0,bsd(AQ$28,AQ$27,AM101,$G101,$R101,$O101,$S101,0.1))</f>
        <v>0</v>
      </c>
      <c r="AS101" s="45" t="n">
        <f aca="false">AL101*AP101</f>
        <v>0</v>
      </c>
      <c r="AT101" s="45" t="n">
        <f aca="false">AL101*AQ101</f>
        <v>0</v>
      </c>
      <c r="AU101" s="45" t="n">
        <f aca="false">AL101*AR101</f>
        <v>0</v>
      </c>
      <c r="AW101" s="9" t="n">
        <f aca="false">IF($A101&gt;=AX$25,IF($A101&lt;=AX$26,$T101,0),0)</f>
        <v>0</v>
      </c>
      <c r="AX101" s="9" t="e">
        <f aca="false">AZ101/AW101</f>
        <v>#DIV/0!</v>
      </c>
      <c r="AY101" s="1" t="n">
        <f aca="false">AW101*($B101+F$13)</f>
        <v>0</v>
      </c>
      <c r="AZ101" s="33" t="n">
        <f aca="false">IF(ISNUMBER(((AY101/AW101)+F$15+$C101)*AW101),((AY101/AW101)+F$15+$C101)*AW101,0)</f>
        <v>0</v>
      </c>
      <c r="BA101" s="44" t="n">
        <f aca="false">IF(AW101=0,0,bsd(1,BB$27,AX101,$H101,$R101,$P101,$S101,0.1))</f>
        <v>0</v>
      </c>
      <c r="BB101" s="44" t="n">
        <f aca="false">IF(AW101=0,0,bsd(2,BB$27,AX101,$H101,$R101,$P101,$S101,0.1))</f>
        <v>0</v>
      </c>
      <c r="BC101" s="44" t="n">
        <f aca="false">IF(AW101=0,0,bsd(BB$28,BB$27,AX101,$H101,$R101,$P101,$S101,0.1))</f>
        <v>0</v>
      </c>
      <c r="BD101" s="45" t="n">
        <f aca="false">AW101*BA101</f>
        <v>0</v>
      </c>
      <c r="BE101" s="45" t="n">
        <f aca="false">AW101*BB101</f>
        <v>0</v>
      </c>
      <c r="BF101" s="45" t="n">
        <f aca="false">AW101*BC101</f>
        <v>0</v>
      </c>
      <c r="BH101" s="9" t="n">
        <f aca="false">IF($A101&gt;=BI$25,IF($A101&lt;=BI$26,$T101,0),0)</f>
        <v>0</v>
      </c>
      <c r="BI101" s="9" t="e">
        <f aca="false">BK101/BH101</f>
        <v>#DIV/0!</v>
      </c>
      <c r="BJ101" s="1" t="n">
        <f aca="false">BH101*($B101+H$13)</f>
        <v>0</v>
      </c>
      <c r="BK101" s="33" t="n">
        <f aca="false">IF(ISNUMBER(((BJ101/BH101)+H$15+$C101)*BH101),((BJ101/BH101)+H$15+$C101)*BH101,0)</f>
        <v>0</v>
      </c>
      <c r="BL101" s="44" t="n">
        <f aca="false">IF(BH101=0,0,bsd(1,BM$27,BI101,$I101,$R101,$Q101,$S101,0.1))</f>
        <v>0</v>
      </c>
      <c r="BM101" s="44" t="n">
        <f aca="false">IF(BH101=0,0,bsd(2,BM$27,BI101,$I101,$R101,$Q101,$S101,0.1))</f>
        <v>0</v>
      </c>
      <c r="BN101" s="44" t="n">
        <f aca="false">IF(BH101=0,0,bsd(BM$28,BM$27,BI101,$I101,$R101,$Q101,$S101,0.1))</f>
        <v>0</v>
      </c>
      <c r="BO101" s="45" t="n">
        <f aca="false">BH101*BL101</f>
        <v>0</v>
      </c>
      <c r="BP101" s="45" t="n">
        <f aca="false">BH101*BM101</f>
        <v>0</v>
      </c>
      <c r="BQ101" s="45" t="n">
        <f aca="false">BH101*BN101</f>
        <v>0</v>
      </c>
    </row>
    <row r="102" customFormat="false" ht="12.75" hidden="false" customHeight="false" outlineLevel="0" collapsed="false">
      <c r="A102" s="48" t="n">
        <f aca="false">DATE(YEAR(A101),MONTH(A101)+1,1)</f>
        <v>38961</v>
      </c>
      <c r="B102" s="40" t="n">
        <f aca="false">VLOOKUP(A102,STRADDLE,5,FALSE())</f>
        <v>3.019</v>
      </c>
      <c r="C102" s="40" t="n">
        <v>0</v>
      </c>
      <c r="D102" s="4" t="n">
        <f aca="false">VLOOKUP(A102,STRADDLE,8,FALSE())</f>
        <v>0.2275</v>
      </c>
      <c r="E102" s="131" t="n">
        <f aca="false">IF(ISNUMBER(VLOOKUP(A102,VOLCURVES,HLOOKUP(B$5,VOLCURVES,2,FALSE()),FALSE())),VLOOKUP(A102,VOLCURVES,HLOOKUP(B$5,VOLCURVES,2,FALSE()),FALSE()),1)</f>
        <v>1</v>
      </c>
      <c r="F102" s="41" t="n">
        <f aca="false">IF($B$17=4,$AB102,$B$16)</f>
        <v>3.8</v>
      </c>
      <c r="G102" s="41" t="n">
        <f aca="false">IF($D$17=4,$AM102,$D$16)</f>
        <v>3.5</v>
      </c>
      <c r="H102" s="41" t="n">
        <f aca="false">IF($F$17=4,$AX102,$F$16)</f>
        <v>2.96</v>
      </c>
      <c r="I102" s="41" t="n">
        <f aca="false">IF($H$17=4,$BI102,$H$16)</f>
        <v>2.99</v>
      </c>
      <c r="J102" s="4" t="n">
        <f aca="false">IF($B$19=1,VLOOKUP($A102,SkewTable,HLOOKUP(ROUND(F102-AB102,1),SkewTable,2,FALSE()),FALSE())/100,0)</f>
        <v>0.0451185018386</v>
      </c>
      <c r="K102" s="4" t="e">
        <f aca="false">IF($D$19=1,VLOOKUP($A102,SkewTable,HLOOKUP(ROUND(G102-AM102,1),SkewTable,2,FALSE()),FALSE())/100,0)</f>
        <v>#DIV/0!</v>
      </c>
      <c r="L102" s="4" t="e">
        <f aca="false">IF($F$19=1,VLOOKUP($A102,SkewTable,HLOOKUP(ROUND(H102-AX102,1),SkewTable,2,FALSE()),FALSE())/100,0)</f>
        <v>#DIV/0!</v>
      </c>
      <c r="M102" s="4" t="e">
        <f aca="false">IF($H$19=1,VLOOKUP($A102,SkewTable,HLOOKUP(ROUND(I102-BI102,1),SkewTable,2,FALSE()),FALSE())/100,0)</f>
        <v>#DIV/0!</v>
      </c>
      <c r="N102" s="4" t="n">
        <f aca="false">(($D102+J102)*$E102)+B$18</f>
        <v>0.2726185018386</v>
      </c>
      <c r="O102" s="4" t="e">
        <f aca="false">(($D102+K102)*$E102)+D$18</f>
        <v>#DIV/0!</v>
      </c>
      <c r="P102" s="4" t="e">
        <f aca="false">(($D102+L102)*$E102)+F$18</f>
        <v>#DIV/0!</v>
      </c>
      <c r="Q102" s="4" t="e">
        <f aca="false">(($D102+M102)*$E102)+H$18</f>
        <v>#DIV/0!</v>
      </c>
      <c r="R102" s="136" t="n">
        <f aca="false">IF(B$4=1,VLOOKUP(A102,expiration,2,FALSE()),VLOOKUP(A102,expiration,3,FALSE()))-B$2+$B$1</f>
        <v>-6968</v>
      </c>
      <c r="S102" s="4" t="n">
        <f aca="false">VLOOKUP($A102,STRADDLE,12,FALSE())</f>
        <v>0.068839125521179</v>
      </c>
      <c r="T102" s="1" t="n">
        <v>0</v>
      </c>
      <c r="U102" s="43" t="n">
        <v>0</v>
      </c>
      <c r="X102" s="43"/>
      <c r="Z102" s="9"/>
      <c r="AA102" s="9" t="n">
        <f aca="false">IF($A102&gt;=AB$25,IF($A102&lt;=AB$26,$T102,0),0)</f>
        <v>0</v>
      </c>
      <c r="AB102" s="9" t="n">
        <f aca="false">IF(T102&gt;0,AD102/AA102,0)</f>
        <v>0</v>
      </c>
      <c r="AC102" s="1" t="n">
        <f aca="false">AA102*($B102+B$13)</f>
        <v>0</v>
      </c>
      <c r="AD102" s="33" t="n">
        <f aca="false">IF(ISNUMBER(((AC102/AA102)+B$15+$C102)*AA102),((AC102/AA102)+B$15+$C102)*AA102,0)</f>
        <v>0</v>
      </c>
      <c r="AE102" s="44" t="n">
        <f aca="false">IF(AA102=0,0,bsd(1,AF$27,AB102,$F102,$R102,$N102,$S102,0.1))</f>
        <v>0</v>
      </c>
      <c r="AF102" s="44" t="n">
        <f aca="false">IF(AA102=0,0,bsd(2,AF$27,AB102,$F102,$R102,$N102,$S102,0.1))</f>
        <v>0</v>
      </c>
      <c r="AG102" s="44" t="n">
        <f aca="false">IF(AA102=0,0,bsd(AF$28,AF$27,AB102,$F102,$R102,$N102,$S102,0.1))</f>
        <v>0</v>
      </c>
      <c r="AH102" s="45" t="n">
        <f aca="false">AA102*AE102</f>
        <v>0</v>
      </c>
      <c r="AI102" s="45" t="n">
        <f aca="false">AA102*AF102</f>
        <v>0</v>
      </c>
      <c r="AJ102" s="45" t="n">
        <f aca="false">AA102*AG102</f>
        <v>0</v>
      </c>
      <c r="AL102" s="9" t="n">
        <f aca="false">IF($A102&gt;=AM$25,IF($A102&lt;=AM$26,$T102,0),0)</f>
        <v>0</v>
      </c>
      <c r="AM102" s="9" t="e">
        <f aca="false">AO102/AL102</f>
        <v>#DIV/0!</v>
      </c>
      <c r="AN102" s="1" t="n">
        <f aca="false">AL102*($B102+D$13)</f>
        <v>0</v>
      </c>
      <c r="AO102" s="33" t="n">
        <f aca="false">IF(ISNUMBER(((AN102/AL102)+D$15+$C102)*AL102),((AN102/AL102)+D$15+$C102)*AL102,0)</f>
        <v>0</v>
      </c>
      <c r="AP102" s="44" t="n">
        <f aca="false">IF(AL102=0,0,bsd(1,AQ$27,AM102,$G102,$R102,$O102,$S102,0.1))</f>
        <v>0</v>
      </c>
      <c r="AQ102" s="44" t="n">
        <f aca="false">IF(AL102=0,0,bsd(2,AQ$27,AM102,$G102,$R102,$O102,$S102,0.1))</f>
        <v>0</v>
      </c>
      <c r="AR102" s="44" t="n">
        <f aca="false">IF(AL102=0,0,bsd(AQ$28,AQ$27,AM102,$G102,$R102,$O102,$S102,0.1))</f>
        <v>0</v>
      </c>
      <c r="AS102" s="45" t="n">
        <f aca="false">AL102*AP102</f>
        <v>0</v>
      </c>
      <c r="AT102" s="45" t="n">
        <f aca="false">AL102*AQ102</f>
        <v>0</v>
      </c>
      <c r="AU102" s="45" t="n">
        <f aca="false">AL102*AR102</f>
        <v>0</v>
      </c>
      <c r="AW102" s="9" t="n">
        <f aca="false">IF($A102&gt;=AX$25,IF($A102&lt;=AX$26,$T102,0),0)</f>
        <v>0</v>
      </c>
      <c r="AX102" s="9" t="e">
        <f aca="false">AZ102/AW102</f>
        <v>#DIV/0!</v>
      </c>
      <c r="AY102" s="1" t="n">
        <f aca="false">AW102*($B102+F$13)</f>
        <v>0</v>
      </c>
      <c r="AZ102" s="33" t="n">
        <f aca="false">IF(ISNUMBER(((AY102/AW102)+F$15+$C102)*AW102),((AY102/AW102)+F$15+$C102)*AW102,0)</f>
        <v>0</v>
      </c>
      <c r="BA102" s="44" t="n">
        <f aca="false">IF(AW102=0,0,bsd(1,BB$27,AX102,$H102,$R102,$P102,$S102,0.1))</f>
        <v>0</v>
      </c>
      <c r="BB102" s="44" t="n">
        <f aca="false">IF(AW102=0,0,bsd(2,BB$27,AX102,$H102,$R102,$P102,$S102,0.1))</f>
        <v>0</v>
      </c>
      <c r="BC102" s="44" t="n">
        <f aca="false">IF(AW102=0,0,bsd(BB$28,BB$27,AX102,$H102,$R102,$P102,$S102,0.1))</f>
        <v>0</v>
      </c>
      <c r="BD102" s="45" t="n">
        <f aca="false">AW102*BA102</f>
        <v>0</v>
      </c>
      <c r="BE102" s="45" t="n">
        <f aca="false">AW102*BB102</f>
        <v>0</v>
      </c>
      <c r="BF102" s="45" t="n">
        <f aca="false">AW102*BC102</f>
        <v>0</v>
      </c>
      <c r="BH102" s="9" t="n">
        <f aca="false">IF($A102&gt;=BI$25,IF($A102&lt;=BI$26,$T102,0),0)</f>
        <v>0</v>
      </c>
      <c r="BI102" s="9" t="e">
        <f aca="false">BK102/BH102</f>
        <v>#DIV/0!</v>
      </c>
      <c r="BJ102" s="1" t="n">
        <f aca="false">BH102*($B102+H$13)</f>
        <v>0</v>
      </c>
      <c r="BK102" s="33" t="n">
        <f aca="false">IF(ISNUMBER(((BJ102/BH102)+H$15+$C102)*BH102),((BJ102/BH102)+H$15+$C102)*BH102,0)</f>
        <v>0</v>
      </c>
      <c r="BL102" s="44" t="n">
        <f aca="false">IF(BH102=0,0,bsd(1,BM$27,BI102,$I102,$R102,$Q102,$S102,0.1))</f>
        <v>0</v>
      </c>
      <c r="BM102" s="44" t="n">
        <f aca="false">IF(BH102=0,0,bsd(2,BM$27,BI102,$I102,$R102,$Q102,$S102,0.1))</f>
        <v>0</v>
      </c>
      <c r="BN102" s="44" t="n">
        <f aca="false">IF(BH102=0,0,bsd(BM$28,BM$27,BI102,$I102,$R102,$Q102,$S102,0.1))</f>
        <v>0</v>
      </c>
      <c r="BO102" s="45" t="n">
        <f aca="false">BH102*BL102</f>
        <v>0</v>
      </c>
      <c r="BP102" s="45" t="n">
        <f aca="false">BH102*BM102</f>
        <v>0</v>
      </c>
      <c r="BQ102" s="45" t="n">
        <f aca="false">BH102*BN102</f>
        <v>0</v>
      </c>
    </row>
    <row r="103" customFormat="false" ht="12.75" hidden="false" customHeight="false" outlineLevel="0" collapsed="false">
      <c r="A103" s="48" t="n">
        <f aca="false">DATE(YEAR(A102),MONTH(A102)+1,1)</f>
        <v>38991</v>
      </c>
      <c r="B103" s="40" t="n">
        <f aca="false">VLOOKUP(A103,STRADDLE,5,FALSE())</f>
        <v>3.039</v>
      </c>
      <c r="C103" s="40" t="n">
        <v>0</v>
      </c>
      <c r="D103" s="4" t="n">
        <f aca="false">VLOOKUP(A103,STRADDLE,8,FALSE())</f>
        <v>0.2275</v>
      </c>
      <c r="E103" s="131" t="n">
        <f aca="false">IF(ISNUMBER(VLOOKUP(A103,VOLCURVES,HLOOKUP(B$5,VOLCURVES,2,FALSE()),FALSE())),VLOOKUP(A103,VOLCURVES,HLOOKUP(B$5,VOLCURVES,2,FALSE()),FALSE()),1)</f>
        <v>1</v>
      </c>
      <c r="F103" s="41" t="n">
        <f aca="false">IF($B$17=4,$AB103,$B$16)</f>
        <v>3.8</v>
      </c>
      <c r="G103" s="41" t="n">
        <f aca="false">IF($D$17=4,$AM103,$D$16)</f>
        <v>3.5</v>
      </c>
      <c r="H103" s="41" t="n">
        <f aca="false">IF($F$17=4,$AX103,$F$16)</f>
        <v>2.96</v>
      </c>
      <c r="I103" s="41" t="n">
        <f aca="false">IF($H$17=4,$BI103,$H$16)</f>
        <v>2.99</v>
      </c>
      <c r="J103" s="4" t="n">
        <f aca="false">IF($B$19=1,VLOOKUP($A103,SkewTable,HLOOKUP(ROUND(F103-AB103,1),SkewTable,2,FALSE()),FALSE())/100,0)</f>
        <v>0.0451185018386</v>
      </c>
      <c r="K103" s="4" t="e">
        <f aca="false">IF($D$19=1,VLOOKUP($A103,SkewTable,HLOOKUP(ROUND(G103-AM103,1),SkewTable,2,FALSE()),FALSE())/100,0)</f>
        <v>#DIV/0!</v>
      </c>
      <c r="L103" s="4" t="e">
        <f aca="false">IF($F$19=1,VLOOKUP($A103,SkewTable,HLOOKUP(ROUND(H103-AX103,1),SkewTable,2,FALSE()),FALSE())/100,0)</f>
        <v>#DIV/0!</v>
      </c>
      <c r="M103" s="4" t="e">
        <f aca="false">IF($H$19=1,VLOOKUP($A103,SkewTable,HLOOKUP(ROUND(I103-BI103,1),SkewTable,2,FALSE()),FALSE())/100,0)</f>
        <v>#DIV/0!</v>
      </c>
      <c r="N103" s="4" t="n">
        <f aca="false">(($D103+J103)*$E103)+B$18</f>
        <v>0.2726185018386</v>
      </c>
      <c r="O103" s="4" t="e">
        <f aca="false">(($D103+K103)*$E103)+D$18</f>
        <v>#DIV/0!</v>
      </c>
      <c r="P103" s="4" t="e">
        <f aca="false">(($D103+L103)*$E103)+F$18</f>
        <v>#DIV/0!</v>
      </c>
      <c r="Q103" s="4" t="e">
        <f aca="false">(($D103+M103)*$E103)+H$18</f>
        <v>#DIV/0!</v>
      </c>
      <c r="R103" s="136" t="n">
        <f aca="false">IF(B$4=1,VLOOKUP(A103,expiration,2,FALSE()),VLOOKUP(A103,expiration,3,FALSE()))-B$2+$B$1</f>
        <v>-6939</v>
      </c>
      <c r="S103" s="4" t="n">
        <f aca="false">VLOOKUP($A103,STRADDLE,12,FALSE())</f>
        <v>0.068888818477656</v>
      </c>
      <c r="T103" s="1" t="n">
        <v>0</v>
      </c>
      <c r="U103" s="43" t="n">
        <v>0</v>
      </c>
      <c r="X103" s="43"/>
      <c r="Z103" s="9"/>
      <c r="AA103" s="9" t="n">
        <f aca="false">IF($A103&gt;=AB$25,IF($A103&lt;=AB$26,$T103,0),0)</f>
        <v>0</v>
      </c>
      <c r="AB103" s="9" t="n">
        <f aca="false">IF(T103&gt;0,AD103/AA103,0)</f>
        <v>0</v>
      </c>
      <c r="AC103" s="1" t="n">
        <f aca="false">AA103*($B103+B$13)</f>
        <v>0</v>
      </c>
      <c r="AD103" s="33" t="n">
        <f aca="false">IF(ISNUMBER(((AC103/AA103)+B$15+$C103)*AA103),((AC103/AA103)+B$15+$C103)*AA103,0)</f>
        <v>0</v>
      </c>
      <c r="AE103" s="44" t="n">
        <f aca="false">IF(AA103=0,0,bsd(1,AF$27,AB103,$F103,$R103,$N103,$S103,0.1))</f>
        <v>0</v>
      </c>
      <c r="AF103" s="44" t="n">
        <f aca="false">IF(AA103=0,0,bsd(2,AF$27,AB103,$F103,$R103,$N103,$S103,0.1))</f>
        <v>0</v>
      </c>
      <c r="AG103" s="44" t="n">
        <f aca="false">IF(AA103=0,0,bsd(AF$28,AF$27,AB103,$F103,$R103,$N103,$S103,0.1))</f>
        <v>0</v>
      </c>
      <c r="AH103" s="45" t="n">
        <f aca="false">AA103*AE103</f>
        <v>0</v>
      </c>
      <c r="AI103" s="45" t="n">
        <f aca="false">AA103*AF103</f>
        <v>0</v>
      </c>
      <c r="AJ103" s="45" t="n">
        <f aca="false">AA103*AG103</f>
        <v>0</v>
      </c>
      <c r="AL103" s="9" t="n">
        <f aca="false">IF($A103&gt;=AM$25,IF($A103&lt;=AM$26,$T103,0),0)</f>
        <v>0</v>
      </c>
      <c r="AM103" s="9" t="e">
        <f aca="false">AO103/AL103</f>
        <v>#DIV/0!</v>
      </c>
      <c r="AN103" s="1" t="n">
        <f aca="false">AL103*($B103+D$13)</f>
        <v>0</v>
      </c>
      <c r="AO103" s="33" t="n">
        <f aca="false">IF(ISNUMBER(((AN103/AL103)+D$15+$C103)*AL103),((AN103/AL103)+D$15+$C103)*AL103,0)</f>
        <v>0</v>
      </c>
      <c r="AP103" s="44" t="n">
        <f aca="false">IF(AL103=0,0,bsd(1,AQ$27,AM103,$G103,$R103,$O103,$S103,0.1))</f>
        <v>0</v>
      </c>
      <c r="AQ103" s="44" t="n">
        <f aca="false">IF(AL103=0,0,bsd(2,AQ$27,AM103,$G103,$R103,$O103,$S103,0.1))</f>
        <v>0</v>
      </c>
      <c r="AR103" s="44" t="n">
        <f aca="false">IF(AL103=0,0,bsd(AQ$28,AQ$27,AM103,$G103,$R103,$O103,$S103,0.1))</f>
        <v>0</v>
      </c>
      <c r="AS103" s="45" t="n">
        <f aca="false">AL103*AP103</f>
        <v>0</v>
      </c>
      <c r="AT103" s="45" t="n">
        <f aca="false">AL103*AQ103</f>
        <v>0</v>
      </c>
      <c r="AU103" s="45" t="n">
        <f aca="false">AL103*AR103</f>
        <v>0</v>
      </c>
      <c r="AW103" s="9" t="n">
        <f aca="false">IF($A103&gt;=AX$25,IF($A103&lt;=AX$26,$T103,0),0)</f>
        <v>0</v>
      </c>
      <c r="AX103" s="9" t="e">
        <f aca="false">AZ103/AW103</f>
        <v>#DIV/0!</v>
      </c>
      <c r="AY103" s="1" t="n">
        <f aca="false">AW103*($B103+F$13)</f>
        <v>0</v>
      </c>
      <c r="AZ103" s="33" t="n">
        <f aca="false">IF(ISNUMBER(((AY103/AW103)+F$15+$C103)*AW103),((AY103/AW103)+F$15+$C103)*AW103,0)</f>
        <v>0</v>
      </c>
      <c r="BA103" s="44" t="n">
        <f aca="false">IF(AW103=0,0,bsd(1,BB$27,AX103,$H103,$R103,$P103,$S103,0.1))</f>
        <v>0</v>
      </c>
      <c r="BB103" s="44" t="n">
        <f aca="false">IF(AW103=0,0,bsd(2,BB$27,AX103,$H103,$R103,$P103,$S103,0.1))</f>
        <v>0</v>
      </c>
      <c r="BC103" s="44" t="n">
        <f aca="false">IF(AW103=0,0,bsd(BB$28,BB$27,AX103,$H103,$R103,$P103,$S103,0.1))</f>
        <v>0</v>
      </c>
      <c r="BD103" s="45" t="n">
        <f aca="false">AW103*BA103</f>
        <v>0</v>
      </c>
      <c r="BE103" s="45" t="n">
        <f aca="false">AW103*BB103</f>
        <v>0</v>
      </c>
      <c r="BF103" s="45" t="n">
        <f aca="false">AW103*BC103</f>
        <v>0</v>
      </c>
      <c r="BH103" s="9" t="n">
        <f aca="false">IF($A103&gt;=BI$25,IF($A103&lt;=BI$26,$T103,0),0)</f>
        <v>0</v>
      </c>
      <c r="BI103" s="9" t="e">
        <f aca="false">BK103/BH103</f>
        <v>#DIV/0!</v>
      </c>
      <c r="BJ103" s="1" t="n">
        <f aca="false">BH103*($B103+H$13)</f>
        <v>0</v>
      </c>
      <c r="BK103" s="33" t="n">
        <f aca="false">IF(ISNUMBER(((BJ103/BH103)+H$15+$C103)*BH103),((BJ103/BH103)+H$15+$C103)*BH103,0)</f>
        <v>0</v>
      </c>
      <c r="BL103" s="44" t="n">
        <f aca="false">IF(BH103=0,0,bsd(1,BM$27,BI103,$I103,$R103,$Q103,$S103,0.1))</f>
        <v>0</v>
      </c>
      <c r="BM103" s="44" t="n">
        <f aca="false">IF(BH103=0,0,bsd(2,BM$27,BI103,$I103,$R103,$Q103,$S103,0.1))</f>
        <v>0</v>
      </c>
      <c r="BN103" s="44" t="n">
        <f aca="false">IF(BH103=0,0,bsd(BM$28,BM$27,BI103,$I103,$R103,$Q103,$S103,0.1))</f>
        <v>0</v>
      </c>
      <c r="BO103" s="45" t="n">
        <f aca="false">BH103*BL103</f>
        <v>0</v>
      </c>
      <c r="BP103" s="45" t="n">
        <f aca="false">BH103*BM103</f>
        <v>0</v>
      </c>
      <c r="BQ103" s="45" t="n">
        <f aca="false">BH103*BN103</f>
        <v>0</v>
      </c>
    </row>
    <row r="104" customFormat="false" ht="12.75" hidden="false" customHeight="false" outlineLevel="0" collapsed="false">
      <c r="A104" s="48" t="n">
        <f aca="false">DATE(YEAR(A103),MONTH(A103)+1,1)</f>
        <v>39022</v>
      </c>
      <c r="B104" s="40" t="n">
        <f aca="false">VLOOKUP(A104,STRADDLE,5,FALSE())</f>
        <v>3.116</v>
      </c>
      <c r="C104" s="40" t="n">
        <v>0</v>
      </c>
      <c r="D104" s="4" t="n">
        <f aca="false">VLOOKUP(A104,STRADDLE,8,FALSE())</f>
        <v>0.23</v>
      </c>
      <c r="E104" s="131" t="n">
        <f aca="false">IF(ISNUMBER(VLOOKUP(A104,VOLCURVES,HLOOKUP(B$5,VOLCURVES,2,FALSE()),FALSE())),VLOOKUP(A104,VOLCURVES,HLOOKUP(B$5,VOLCURVES,2,FALSE()),FALSE()),1)</f>
        <v>1</v>
      </c>
      <c r="F104" s="41" t="n">
        <f aca="false">IF($B$17=4,$AB104,$B$16)</f>
        <v>3.8</v>
      </c>
      <c r="G104" s="41" t="n">
        <f aca="false">IF($D$17=4,$AM104,$D$16)</f>
        <v>3.5</v>
      </c>
      <c r="H104" s="41" t="n">
        <f aca="false">IF($F$17=4,$AX104,$F$16)</f>
        <v>2.96</v>
      </c>
      <c r="I104" s="41" t="n">
        <f aca="false">IF($H$17=4,$BI104,$H$16)</f>
        <v>2.99</v>
      </c>
      <c r="J104" s="4" t="n">
        <f aca="false">IF($B$19=1,VLOOKUP($A104,SkewTable,HLOOKUP(ROUND(F104-AB104,1),SkewTable,2,FALSE()),FALSE())/100,0)</f>
        <v>0.0451185018386</v>
      </c>
      <c r="K104" s="4" t="e">
        <f aca="false">IF($D$19=1,VLOOKUP($A104,SkewTable,HLOOKUP(ROUND(G104-AM104,1),SkewTable,2,FALSE()),FALSE())/100,0)</f>
        <v>#DIV/0!</v>
      </c>
      <c r="L104" s="4" t="e">
        <f aca="false">IF($F$19=1,VLOOKUP($A104,SkewTable,HLOOKUP(ROUND(H104-AX104,1),SkewTable,2,FALSE()),FALSE())/100,0)</f>
        <v>#DIV/0!</v>
      </c>
      <c r="M104" s="4" t="e">
        <f aca="false">IF($H$19=1,VLOOKUP($A104,SkewTable,HLOOKUP(ROUND(I104-BI104,1),SkewTable,2,FALSE()),FALSE())/100,0)</f>
        <v>#DIV/0!</v>
      </c>
      <c r="N104" s="4" t="n">
        <f aca="false">(($D104+J104)*$E104)+B$18</f>
        <v>0.2751185018386</v>
      </c>
      <c r="O104" s="4" t="e">
        <f aca="false">(($D104+K104)*$E104)+D$18</f>
        <v>#DIV/0!</v>
      </c>
      <c r="P104" s="4" t="e">
        <f aca="false">(($D104+L104)*$E104)+F$18</f>
        <v>#DIV/0!</v>
      </c>
      <c r="Q104" s="4" t="e">
        <f aca="false">(($D104+M104)*$E104)+H$18</f>
        <v>#DIV/0!</v>
      </c>
      <c r="R104" s="136" t="n">
        <f aca="false">IF(B$4=1,VLOOKUP(A104,expiration,2,FALSE()),VLOOKUP(A104,expiration,3,FALSE()))-B$2+$B$1</f>
        <v>-6909</v>
      </c>
      <c r="S104" s="4" t="n">
        <f aca="false">VLOOKUP($A104,STRADDLE,12,FALSE())</f>
        <v>0.068940167866873</v>
      </c>
      <c r="T104" s="1" t="n">
        <v>0</v>
      </c>
      <c r="U104" s="43" t="n">
        <v>0</v>
      </c>
      <c r="X104" s="43"/>
      <c r="Z104" s="9"/>
      <c r="AA104" s="9" t="n">
        <f aca="false">IF($A104&gt;=AB$25,IF($A104&lt;=AB$26,$T104,0),0)</f>
        <v>0</v>
      </c>
      <c r="AB104" s="9" t="n">
        <f aca="false">IF(T104&gt;0,AD104/AA104,0)</f>
        <v>0</v>
      </c>
      <c r="AC104" s="1" t="n">
        <f aca="false">AA104*($B104+B$13)</f>
        <v>0</v>
      </c>
      <c r="AD104" s="33" t="n">
        <f aca="false">IF(ISNUMBER(((AC104/AA104)+B$15+$C104)*AA104),((AC104/AA104)+B$15+$C104)*AA104,0)</f>
        <v>0</v>
      </c>
      <c r="AE104" s="44" t="n">
        <f aca="false">IF(AA104=0,0,bsd(1,AF$27,AB104,$F104,$R104,$N104,$S104,0.1))</f>
        <v>0</v>
      </c>
      <c r="AF104" s="44" t="n">
        <f aca="false">IF(AA104=0,0,bsd(2,AF$27,AB104,$F104,$R104,$N104,$S104,0.1))</f>
        <v>0</v>
      </c>
      <c r="AG104" s="44" t="n">
        <f aca="false">IF(AA104=0,0,bsd(AF$28,AF$27,AB104,$F104,$R104,$N104,$S104,0.1))</f>
        <v>0</v>
      </c>
      <c r="AH104" s="45" t="n">
        <f aca="false">AA104*AE104</f>
        <v>0</v>
      </c>
      <c r="AI104" s="45" t="n">
        <f aca="false">AA104*AF104</f>
        <v>0</v>
      </c>
      <c r="AJ104" s="45" t="n">
        <f aca="false">AA104*AG104</f>
        <v>0</v>
      </c>
      <c r="AL104" s="9" t="n">
        <f aca="false">IF($A104&gt;=AM$25,IF($A104&lt;=AM$26,$T104,0),0)</f>
        <v>0</v>
      </c>
      <c r="AM104" s="9" t="e">
        <f aca="false">AO104/AL104</f>
        <v>#DIV/0!</v>
      </c>
      <c r="AN104" s="1" t="n">
        <f aca="false">AL104*($B104+D$13)</f>
        <v>0</v>
      </c>
      <c r="AO104" s="33" t="n">
        <f aca="false">IF(ISNUMBER(((AN104/AL104)+D$15+$C104)*AL104),((AN104/AL104)+D$15+$C104)*AL104,0)</f>
        <v>0</v>
      </c>
      <c r="AP104" s="44" t="n">
        <f aca="false">IF(AL104=0,0,bsd(1,AQ$27,AM104,$G104,$R104,$O104,$S104,0.1))</f>
        <v>0</v>
      </c>
      <c r="AQ104" s="44" t="n">
        <f aca="false">IF(AL104=0,0,bsd(2,AQ$27,AM104,$G104,$R104,$O104,$S104,0.1))</f>
        <v>0</v>
      </c>
      <c r="AR104" s="44" t="n">
        <f aca="false">IF(AL104=0,0,bsd(AQ$28,AQ$27,AM104,$G104,$R104,$O104,$S104,0.1))</f>
        <v>0</v>
      </c>
      <c r="AS104" s="45" t="n">
        <f aca="false">AL104*AP104</f>
        <v>0</v>
      </c>
      <c r="AT104" s="45" t="n">
        <f aca="false">AL104*AQ104</f>
        <v>0</v>
      </c>
      <c r="AU104" s="45" t="n">
        <f aca="false">AL104*AR104</f>
        <v>0</v>
      </c>
      <c r="AW104" s="9" t="n">
        <f aca="false">IF($A104&gt;=AX$25,IF($A104&lt;=AX$26,$T104,0),0)</f>
        <v>0</v>
      </c>
      <c r="AX104" s="9" t="e">
        <f aca="false">AZ104/AW104</f>
        <v>#DIV/0!</v>
      </c>
      <c r="AY104" s="1" t="n">
        <f aca="false">AW104*($B104+F$13)</f>
        <v>0</v>
      </c>
      <c r="AZ104" s="33" t="n">
        <f aca="false">IF(ISNUMBER(((AY104/AW104)+F$15+$C104)*AW104),((AY104/AW104)+F$15+$C104)*AW104,0)</f>
        <v>0</v>
      </c>
      <c r="BA104" s="44" t="n">
        <f aca="false">IF(AW104=0,0,bsd(1,BB$27,AX104,$H104,$R104,$P104,$S104,0.1))</f>
        <v>0</v>
      </c>
      <c r="BB104" s="44" t="n">
        <f aca="false">IF(AW104=0,0,bsd(2,BB$27,AX104,$H104,$R104,$P104,$S104,0.1))</f>
        <v>0</v>
      </c>
      <c r="BC104" s="44" t="n">
        <f aca="false">IF(AW104=0,0,bsd(BB$28,BB$27,AX104,$H104,$R104,$P104,$S104,0.1))</f>
        <v>0</v>
      </c>
      <c r="BD104" s="45" t="n">
        <f aca="false">AW104*BA104</f>
        <v>0</v>
      </c>
      <c r="BE104" s="45" t="n">
        <f aca="false">AW104*BB104</f>
        <v>0</v>
      </c>
      <c r="BF104" s="45" t="n">
        <f aca="false">AW104*BC104</f>
        <v>0</v>
      </c>
      <c r="BH104" s="9" t="n">
        <f aca="false">IF($A104&gt;=BI$25,IF($A104&lt;=BI$26,$T104,0),0)</f>
        <v>0</v>
      </c>
      <c r="BI104" s="9" t="e">
        <f aca="false">BK104/BH104</f>
        <v>#DIV/0!</v>
      </c>
      <c r="BJ104" s="1" t="n">
        <f aca="false">BH104*($B104+H$13)</f>
        <v>0</v>
      </c>
      <c r="BK104" s="33" t="n">
        <f aca="false">IF(ISNUMBER(((BJ104/BH104)+H$15+$C104)*BH104),((BJ104/BH104)+H$15+$C104)*BH104,0)</f>
        <v>0</v>
      </c>
      <c r="BL104" s="44" t="n">
        <f aca="false">IF(BH104=0,0,bsd(1,BM$27,BI104,$I104,$R104,$Q104,$S104,0.1))</f>
        <v>0</v>
      </c>
      <c r="BM104" s="44" t="n">
        <f aca="false">IF(BH104=0,0,bsd(2,BM$27,BI104,$I104,$R104,$Q104,$S104,0.1))</f>
        <v>0</v>
      </c>
      <c r="BN104" s="44" t="n">
        <f aca="false">IF(BH104=0,0,bsd(BM$28,BM$27,BI104,$I104,$R104,$Q104,$S104,0.1))</f>
        <v>0</v>
      </c>
      <c r="BO104" s="45" t="n">
        <f aca="false">BH104*BL104</f>
        <v>0</v>
      </c>
      <c r="BP104" s="45" t="n">
        <f aca="false">BH104*BM104</f>
        <v>0</v>
      </c>
      <c r="BQ104" s="45" t="n">
        <f aca="false">BH104*BN104</f>
        <v>0</v>
      </c>
    </row>
    <row r="105" customFormat="false" ht="12.75" hidden="false" customHeight="false" outlineLevel="0" collapsed="false">
      <c r="A105" s="48" t="n">
        <f aca="false">DATE(YEAR(A104),MONTH(A104)+1,1)</f>
        <v>39052</v>
      </c>
      <c r="B105" s="40" t="n">
        <f aca="false">VLOOKUP(A105,STRADDLE,5,FALSE())</f>
        <v>3.183</v>
      </c>
      <c r="C105" s="40" t="n">
        <v>0</v>
      </c>
      <c r="D105" s="4" t="n">
        <f aca="false">VLOOKUP(A105,STRADDLE,8,FALSE())</f>
        <v>0.24</v>
      </c>
      <c r="E105" s="131" t="n">
        <f aca="false">IF(ISNUMBER(VLOOKUP(A105,VOLCURVES,HLOOKUP(B$5,VOLCURVES,2,FALSE()),FALSE())),VLOOKUP(A105,VOLCURVES,HLOOKUP(B$5,VOLCURVES,2,FALSE()),FALSE()),1)</f>
        <v>1</v>
      </c>
      <c r="F105" s="41" t="n">
        <f aca="false">IF($B$17=4,$AB105,$B$16)</f>
        <v>3.8</v>
      </c>
      <c r="G105" s="41" t="n">
        <f aca="false">IF($D$17=4,$AM105,$D$16)</f>
        <v>3.5</v>
      </c>
      <c r="H105" s="41" t="n">
        <f aca="false">IF($F$17=4,$AX105,$F$16)</f>
        <v>2.96</v>
      </c>
      <c r="I105" s="41" t="n">
        <f aca="false">IF($H$17=4,$BI105,$H$16)</f>
        <v>2.99</v>
      </c>
      <c r="J105" s="4" t="n">
        <f aca="false">IF($B$19=1,VLOOKUP($A105,SkewTable,HLOOKUP(ROUND(F105-AB105,1),SkewTable,2,FALSE()),FALSE())/100,0)</f>
        <v>0.0451185018386</v>
      </c>
      <c r="K105" s="4" t="e">
        <f aca="false">IF($D$19=1,VLOOKUP($A105,SkewTable,HLOOKUP(ROUND(G105-AM105,1),SkewTable,2,FALSE()),FALSE())/100,0)</f>
        <v>#DIV/0!</v>
      </c>
      <c r="L105" s="4" t="e">
        <f aca="false">IF($F$19=1,VLOOKUP($A105,SkewTable,HLOOKUP(ROUND(H105-AX105,1),SkewTable,2,FALSE()),FALSE())/100,0)</f>
        <v>#DIV/0!</v>
      </c>
      <c r="M105" s="4" t="e">
        <f aca="false">IF($H$19=1,VLOOKUP($A105,SkewTable,HLOOKUP(ROUND(I105-BI105,1),SkewTable,2,FALSE()),FALSE())/100,0)</f>
        <v>#DIV/0!</v>
      </c>
      <c r="N105" s="4" t="n">
        <f aca="false">(($D105+J105)*$E105)+B$18</f>
        <v>0.2851185018386</v>
      </c>
      <c r="O105" s="4" t="e">
        <f aca="false">(($D105+K105)*$E105)+D$18</f>
        <v>#DIV/0!</v>
      </c>
      <c r="P105" s="4" t="e">
        <f aca="false">(($D105+L105)*$E105)+F$18</f>
        <v>#DIV/0!</v>
      </c>
      <c r="Q105" s="4" t="e">
        <f aca="false">(($D105+M105)*$E105)+H$18</f>
        <v>#DIV/0!</v>
      </c>
      <c r="R105" s="136" t="n">
        <f aca="false">IF(B$4=1,VLOOKUP(A105,expiration,2,FALSE()),VLOOKUP(A105,expiration,3,FALSE()))-B$2+$B$1</f>
        <v>-6877</v>
      </c>
      <c r="S105" s="4" t="n">
        <f aca="false">VLOOKUP($A105,STRADDLE,12,FALSE())</f>
        <v>0.068989860825011</v>
      </c>
      <c r="T105" s="1" t="n">
        <v>0</v>
      </c>
      <c r="U105" s="43" t="n">
        <v>0</v>
      </c>
      <c r="X105" s="43"/>
      <c r="Z105" s="9"/>
      <c r="AA105" s="9" t="n">
        <f aca="false">IF($A105&gt;=AB$25,IF($A105&lt;=AB$26,$T105,0),0)</f>
        <v>0</v>
      </c>
      <c r="AB105" s="9" t="n">
        <f aca="false">IF(T105&gt;0,AD105/AA105,0)</f>
        <v>0</v>
      </c>
      <c r="AC105" s="1" t="n">
        <f aca="false">AA105*($B105+B$13)</f>
        <v>0</v>
      </c>
      <c r="AD105" s="33" t="n">
        <f aca="false">IF(ISNUMBER(((AC105/AA105)+B$15+$C105)*AA105),((AC105/AA105)+B$15+$C105)*AA105,0)</f>
        <v>0</v>
      </c>
      <c r="AE105" s="44" t="n">
        <f aca="false">IF(AA105=0,0,bsd(1,AF$27,AB105,$F105,$R105,$N105,$S105,0.1))</f>
        <v>0</v>
      </c>
      <c r="AF105" s="44" t="n">
        <f aca="false">IF(AA105=0,0,bsd(2,AF$27,AB105,$F105,$R105,$N105,$S105,0.1))</f>
        <v>0</v>
      </c>
      <c r="AG105" s="44" t="n">
        <f aca="false">IF(AA105=0,0,bsd(AF$28,AF$27,AB105,$F105,$R105,$N105,$S105,0.1))</f>
        <v>0</v>
      </c>
      <c r="AH105" s="45" t="n">
        <f aca="false">AA105*AE105</f>
        <v>0</v>
      </c>
      <c r="AI105" s="45" t="n">
        <f aca="false">AA105*AF105</f>
        <v>0</v>
      </c>
      <c r="AJ105" s="45" t="n">
        <f aca="false">AA105*AG105</f>
        <v>0</v>
      </c>
      <c r="AL105" s="9" t="n">
        <f aca="false">IF($A105&gt;=AM$25,IF($A105&lt;=AM$26,$T105,0),0)</f>
        <v>0</v>
      </c>
      <c r="AM105" s="9" t="e">
        <f aca="false">AO105/AL105</f>
        <v>#DIV/0!</v>
      </c>
      <c r="AN105" s="1" t="n">
        <f aca="false">AL105*($B105+D$13)</f>
        <v>0</v>
      </c>
      <c r="AO105" s="33" t="n">
        <f aca="false">IF(ISNUMBER(((AN105/AL105)+D$15+$C105)*AL105),((AN105/AL105)+D$15+$C105)*AL105,0)</f>
        <v>0</v>
      </c>
      <c r="AP105" s="44" t="n">
        <f aca="false">IF(AL105=0,0,bsd(1,AQ$27,AM105,$G105,$R105,$O105,$S105,0.1))</f>
        <v>0</v>
      </c>
      <c r="AQ105" s="44" t="n">
        <f aca="false">IF(AL105=0,0,bsd(2,AQ$27,AM105,$G105,$R105,$O105,$S105,0.1))</f>
        <v>0</v>
      </c>
      <c r="AR105" s="44" t="n">
        <f aca="false">IF(AL105=0,0,bsd(AQ$28,AQ$27,AM105,$G105,$R105,$O105,$S105,0.1))</f>
        <v>0</v>
      </c>
      <c r="AS105" s="45" t="n">
        <f aca="false">AL105*AP105</f>
        <v>0</v>
      </c>
      <c r="AT105" s="45" t="n">
        <f aca="false">AL105*AQ105</f>
        <v>0</v>
      </c>
      <c r="AU105" s="45" t="n">
        <f aca="false">AL105*AR105</f>
        <v>0</v>
      </c>
      <c r="AW105" s="9" t="n">
        <f aca="false">IF($A105&gt;=AX$25,IF($A105&lt;=AX$26,$T105,0),0)</f>
        <v>0</v>
      </c>
      <c r="AX105" s="9" t="e">
        <f aca="false">AZ105/AW105</f>
        <v>#DIV/0!</v>
      </c>
      <c r="AY105" s="1" t="n">
        <f aca="false">AW105*($B105+F$13)</f>
        <v>0</v>
      </c>
      <c r="AZ105" s="33" t="n">
        <f aca="false">IF(ISNUMBER(((AY105/AW105)+F$15+$C105)*AW105),((AY105/AW105)+F$15+$C105)*AW105,0)</f>
        <v>0</v>
      </c>
      <c r="BA105" s="44" t="n">
        <f aca="false">IF(AW105=0,0,bsd(1,BB$27,AX105,$H105,$R105,$P105,$S105,0.1))</f>
        <v>0</v>
      </c>
      <c r="BB105" s="44" t="n">
        <f aca="false">IF(AW105=0,0,bsd(2,BB$27,AX105,$H105,$R105,$P105,$S105,0.1))</f>
        <v>0</v>
      </c>
      <c r="BC105" s="44" t="n">
        <f aca="false">IF(AW105=0,0,bsd(BB$28,BB$27,AX105,$H105,$R105,$P105,$S105,0.1))</f>
        <v>0</v>
      </c>
      <c r="BD105" s="45" t="n">
        <f aca="false">AW105*BA105</f>
        <v>0</v>
      </c>
      <c r="BE105" s="45" t="n">
        <f aca="false">AW105*BB105</f>
        <v>0</v>
      </c>
      <c r="BF105" s="45" t="n">
        <f aca="false">AW105*BC105</f>
        <v>0</v>
      </c>
      <c r="BH105" s="9" t="n">
        <f aca="false">IF($A105&gt;=BI$25,IF($A105&lt;=BI$26,$T105,0),0)</f>
        <v>0</v>
      </c>
      <c r="BI105" s="9" t="e">
        <f aca="false">BK105/BH105</f>
        <v>#DIV/0!</v>
      </c>
      <c r="BJ105" s="1" t="n">
        <f aca="false">BH105*($B105+H$13)</f>
        <v>0</v>
      </c>
      <c r="BK105" s="33" t="n">
        <f aca="false">IF(ISNUMBER(((BJ105/BH105)+H$15+$C105)*BH105),((BJ105/BH105)+H$15+$C105)*BH105,0)</f>
        <v>0</v>
      </c>
      <c r="BL105" s="44" t="n">
        <f aca="false">IF(BH105=0,0,bsd(1,BM$27,BI105,$I105,$R105,$Q105,$S105,0.1))</f>
        <v>0</v>
      </c>
      <c r="BM105" s="44" t="n">
        <f aca="false">IF(BH105=0,0,bsd(2,BM$27,BI105,$I105,$R105,$Q105,$S105,0.1))</f>
        <v>0</v>
      </c>
      <c r="BN105" s="44" t="n">
        <f aca="false">IF(BH105=0,0,bsd(BM$28,BM$27,BI105,$I105,$R105,$Q105,$S105,0.1))</f>
        <v>0</v>
      </c>
      <c r="BO105" s="45" t="n">
        <f aca="false">BH105*BL105</f>
        <v>0</v>
      </c>
      <c r="BP105" s="45" t="n">
        <f aca="false">BH105*BM105</f>
        <v>0</v>
      </c>
      <c r="BQ105" s="45" t="n">
        <f aca="false">BH105*BN105</f>
        <v>0</v>
      </c>
    </row>
    <row r="106" customFormat="false" ht="12.75" hidden="false" customHeight="false" outlineLevel="0" collapsed="false">
      <c r="A106" s="48" t="n">
        <f aca="false">DATE(YEAR(A105),MONTH(A105)+1,1)</f>
        <v>39083</v>
      </c>
      <c r="B106" s="40" t="n">
        <f aca="false">VLOOKUP(A106,STRADDLE,5,FALSE())</f>
        <v>3.565</v>
      </c>
      <c r="C106" s="40" t="n">
        <v>0</v>
      </c>
      <c r="D106" s="4" t="n">
        <f aca="false">VLOOKUP(A106,STRADDLE,8,FALSE())</f>
        <v>0.245</v>
      </c>
      <c r="E106" s="131" t="n">
        <f aca="false">IF(ISNUMBER(VLOOKUP(A106,VOLCURVES,HLOOKUP(B$5,VOLCURVES,2,FALSE()),FALSE())),VLOOKUP(A106,VOLCURVES,HLOOKUP(B$5,VOLCURVES,2,FALSE()),FALSE()),1)</f>
        <v>1</v>
      </c>
      <c r="F106" s="41" t="n">
        <f aca="false">IF($B$17=4,$AB106,$B$16)</f>
        <v>3.8</v>
      </c>
      <c r="G106" s="41" t="n">
        <f aca="false">IF($D$17=4,$AM106,$D$16)</f>
        <v>3.5</v>
      </c>
      <c r="H106" s="41" t="n">
        <f aca="false">IF($F$17=4,$AX106,$F$16)</f>
        <v>2.96</v>
      </c>
      <c r="I106" s="41" t="n">
        <f aca="false">IF($H$17=4,$BI106,$H$16)</f>
        <v>2.99</v>
      </c>
      <c r="J106" s="4" t="n">
        <f aca="false">IF($B$19=1,VLOOKUP($A106,SkewTable,HLOOKUP(ROUND(F106-AB106,1),SkewTable,2,FALSE()),FALSE())/100,0)</f>
        <v>0.0451185018386</v>
      </c>
      <c r="K106" s="4" t="e">
        <f aca="false">IF($D$19=1,VLOOKUP($A106,SkewTable,HLOOKUP(ROUND(G106-AM106,1),SkewTable,2,FALSE()),FALSE())/100,0)</f>
        <v>#DIV/0!</v>
      </c>
      <c r="L106" s="4" t="e">
        <f aca="false">IF($F$19=1,VLOOKUP($A106,SkewTable,HLOOKUP(ROUND(H106-AX106,1),SkewTable,2,FALSE()),FALSE())/100,0)</f>
        <v>#DIV/0!</v>
      </c>
      <c r="M106" s="4" t="e">
        <f aca="false">IF($H$19=1,VLOOKUP($A106,SkewTable,HLOOKUP(ROUND(I106-BI106,1),SkewTable,2,FALSE()),FALSE())/100,0)</f>
        <v>#DIV/0!</v>
      </c>
      <c r="N106" s="4" t="n">
        <f aca="false">(($D106+J106)*$E106)+B$18</f>
        <v>0.2901185018386</v>
      </c>
      <c r="O106" s="4" t="e">
        <f aca="false">(($D106+K106)*$E106)+D$18</f>
        <v>#DIV/0!</v>
      </c>
      <c r="P106" s="4" t="e">
        <f aca="false">(($D106+L106)*$E106)+F$18</f>
        <v>#DIV/0!</v>
      </c>
      <c r="Q106" s="4" t="e">
        <f aca="false">(($D106+M106)*$E106)+H$18</f>
        <v>#DIV/0!</v>
      </c>
      <c r="R106" s="136" t="n">
        <f aca="false">IF(B$4=1,VLOOKUP(A106,expiration,2,FALSE()),VLOOKUP(A106,expiration,3,FALSE()))-B$2+$B$1</f>
        <v>-6848</v>
      </c>
      <c r="S106" s="4" t="n">
        <f aca="false">VLOOKUP($A106,STRADDLE,12,FALSE())</f>
        <v>0.069041210215945</v>
      </c>
      <c r="T106" s="1" t="n">
        <v>0</v>
      </c>
      <c r="U106" s="43" t="n">
        <v>0</v>
      </c>
      <c r="X106" s="43"/>
      <c r="Z106" s="9"/>
      <c r="AA106" s="9" t="n">
        <f aca="false">IF($A106&gt;=AB$25,IF($A106&lt;=AB$26,$T106,0),0)</f>
        <v>0</v>
      </c>
      <c r="AB106" s="9" t="n">
        <f aca="false">IF(T106&gt;0,AD106/AA106,0)</f>
        <v>0</v>
      </c>
      <c r="AC106" s="1" t="n">
        <f aca="false">AA106*($B106+B$13)</f>
        <v>0</v>
      </c>
      <c r="AD106" s="33" t="n">
        <f aca="false">IF(ISNUMBER(((AC106/AA106)+B$15+$C106)*AA106),((AC106/AA106)+B$15+$C106)*AA106,0)</f>
        <v>0</v>
      </c>
      <c r="AE106" s="44" t="n">
        <f aca="false">IF(AA106=0,0,bsd(1,AF$27,AB106,$F106,$R106,$N106,$S106,0.1))</f>
        <v>0</v>
      </c>
      <c r="AF106" s="44" t="n">
        <f aca="false">IF(AA106=0,0,bsd(2,AF$27,AB106,$F106,$R106,$N106,$S106,0.1))</f>
        <v>0</v>
      </c>
      <c r="AG106" s="44" t="n">
        <f aca="false">IF(AA106=0,0,bsd(AF$28,AF$27,AB106,$F106,$R106,$N106,$S106,0.1))</f>
        <v>0</v>
      </c>
      <c r="AH106" s="45" t="n">
        <f aca="false">AA106*AE106</f>
        <v>0</v>
      </c>
      <c r="AI106" s="45" t="n">
        <f aca="false">AA106*AF106</f>
        <v>0</v>
      </c>
      <c r="AJ106" s="45" t="n">
        <f aca="false">AA106*AG106</f>
        <v>0</v>
      </c>
      <c r="AL106" s="9" t="n">
        <f aca="false">IF($A106&gt;=AM$25,IF($A106&lt;=AM$26,$T106,0),0)</f>
        <v>0</v>
      </c>
      <c r="AM106" s="9" t="e">
        <f aca="false">AO106/AL106</f>
        <v>#DIV/0!</v>
      </c>
      <c r="AN106" s="1" t="n">
        <f aca="false">AL106*($B106+D$13)</f>
        <v>0</v>
      </c>
      <c r="AO106" s="33" t="n">
        <f aca="false">IF(ISNUMBER(((AN106/AL106)+D$15+$C106)*AL106),((AN106/AL106)+D$15+$C106)*AL106,0)</f>
        <v>0</v>
      </c>
      <c r="AP106" s="44" t="n">
        <f aca="false">IF(AL106=0,0,bsd(1,AQ$27,AM106,$G106,$R106,$O106,$S106,0.1))</f>
        <v>0</v>
      </c>
      <c r="AQ106" s="44" t="n">
        <f aca="false">IF(AL106=0,0,bsd(2,AQ$27,AM106,$G106,$R106,$O106,$S106,0.1))</f>
        <v>0</v>
      </c>
      <c r="AR106" s="44" t="n">
        <f aca="false">IF(AL106=0,0,bsd(AQ$28,AQ$27,AM106,$G106,$R106,$O106,$S106,0.1))</f>
        <v>0</v>
      </c>
      <c r="AS106" s="45" t="n">
        <f aca="false">AL106*AP106</f>
        <v>0</v>
      </c>
      <c r="AT106" s="45" t="n">
        <f aca="false">AL106*AQ106</f>
        <v>0</v>
      </c>
      <c r="AU106" s="45" t="n">
        <f aca="false">AL106*AR106</f>
        <v>0</v>
      </c>
      <c r="AW106" s="9" t="n">
        <f aca="false">IF($A106&gt;=AX$25,IF($A106&lt;=AX$26,$T106,0),0)</f>
        <v>0</v>
      </c>
      <c r="AX106" s="9" t="e">
        <f aca="false">AZ106/AW106</f>
        <v>#DIV/0!</v>
      </c>
      <c r="AY106" s="1" t="n">
        <f aca="false">AW106*($B106+F$13)</f>
        <v>0</v>
      </c>
      <c r="AZ106" s="33" t="n">
        <f aca="false">IF(ISNUMBER(((AY106/AW106)+F$15+$C106)*AW106),((AY106/AW106)+F$15+$C106)*AW106,0)</f>
        <v>0</v>
      </c>
      <c r="BA106" s="44" t="n">
        <f aca="false">IF(AW106=0,0,bsd(1,BB$27,AX106,$H106,$R106,$P106,$S106,0.1))</f>
        <v>0</v>
      </c>
      <c r="BB106" s="44" t="n">
        <f aca="false">IF(AW106=0,0,bsd(2,BB$27,AX106,$H106,$R106,$P106,$S106,0.1))</f>
        <v>0</v>
      </c>
      <c r="BC106" s="44" t="n">
        <f aca="false">IF(AW106=0,0,bsd(BB$28,BB$27,AX106,$H106,$R106,$P106,$S106,0.1))</f>
        <v>0</v>
      </c>
      <c r="BD106" s="45" t="n">
        <f aca="false">AW106*BA106</f>
        <v>0</v>
      </c>
      <c r="BE106" s="45" t="n">
        <f aca="false">AW106*BB106</f>
        <v>0</v>
      </c>
      <c r="BF106" s="45" t="n">
        <f aca="false">AW106*BC106</f>
        <v>0</v>
      </c>
      <c r="BH106" s="9" t="n">
        <f aca="false">IF($A106&gt;=BI$25,IF($A106&lt;=BI$26,$T106,0),0)</f>
        <v>0</v>
      </c>
      <c r="BI106" s="9" t="e">
        <f aca="false">BK106/BH106</f>
        <v>#DIV/0!</v>
      </c>
      <c r="BJ106" s="1" t="n">
        <f aca="false">BH106*($B106+H$13)</f>
        <v>0</v>
      </c>
      <c r="BK106" s="33" t="n">
        <f aca="false">IF(ISNUMBER(((BJ106/BH106)+H$15+$C106)*BH106),((BJ106/BH106)+H$15+$C106)*BH106,0)</f>
        <v>0</v>
      </c>
      <c r="BL106" s="44" t="n">
        <f aca="false">IF(BH106=0,0,bsd(1,BM$27,BI106,$I106,$R106,$Q106,$S106,0.1))</f>
        <v>0</v>
      </c>
      <c r="BM106" s="44" t="n">
        <f aca="false">IF(BH106=0,0,bsd(2,BM$27,BI106,$I106,$R106,$Q106,$S106,0.1))</f>
        <v>0</v>
      </c>
      <c r="BN106" s="44" t="n">
        <f aca="false">IF(BH106=0,0,bsd(BM$28,BM$27,BI106,$I106,$R106,$Q106,$S106,0.1))</f>
        <v>0</v>
      </c>
      <c r="BO106" s="45" t="n">
        <f aca="false">BH106*BL106</f>
        <v>0</v>
      </c>
      <c r="BP106" s="45" t="n">
        <f aca="false">BH106*BM106</f>
        <v>0</v>
      </c>
      <c r="BQ106" s="45" t="n">
        <f aca="false">BH106*BN106</f>
        <v>0</v>
      </c>
    </row>
    <row r="107" customFormat="false" ht="12.75" hidden="false" customHeight="false" outlineLevel="0" collapsed="false">
      <c r="A107" s="48" t="n">
        <f aca="false">DATE(YEAR(A106),MONTH(A106)+1,1)</f>
        <v>39114</v>
      </c>
      <c r="B107" s="40" t="n">
        <f aca="false">VLOOKUP(A107,STRADDLE,5,FALSE())</f>
        <v>3.419</v>
      </c>
      <c r="C107" s="40" t="n">
        <v>0</v>
      </c>
      <c r="D107" s="4" t="n">
        <f aca="false">VLOOKUP(A107,STRADDLE,8,FALSE())</f>
        <v>0.23</v>
      </c>
      <c r="E107" s="131" t="n">
        <f aca="false">IF(ISNUMBER(VLOOKUP(A107,VOLCURVES,HLOOKUP(B$5,VOLCURVES,2,FALSE()),FALSE())),VLOOKUP(A107,VOLCURVES,HLOOKUP(B$5,VOLCURVES,2,FALSE()),FALSE()),1)</f>
        <v>1</v>
      </c>
      <c r="F107" s="41" t="n">
        <f aca="false">IF($B$17=4,$AB107,$B$16)</f>
        <v>3.8</v>
      </c>
      <c r="G107" s="41" t="n">
        <f aca="false">IF($D$17=4,$AM107,$D$16)</f>
        <v>3.5</v>
      </c>
      <c r="H107" s="41" t="n">
        <f aca="false">IF($F$17=4,$AX107,$F$16)</f>
        <v>2.96</v>
      </c>
      <c r="I107" s="41" t="n">
        <f aca="false">IF($H$17=4,$BI107,$H$16)</f>
        <v>2.99</v>
      </c>
      <c r="J107" s="4" t="n">
        <f aca="false">IF($B$19=1,VLOOKUP($A107,SkewTable,HLOOKUP(ROUND(F107-AB107,1),SkewTable,2,FALSE()),FALSE())/100,0)</f>
        <v>0.0451185018386</v>
      </c>
      <c r="K107" s="4" t="e">
        <f aca="false">IF($D$19=1,VLOOKUP($A107,SkewTable,HLOOKUP(ROUND(G107-AM107,1),SkewTable,2,FALSE()),FALSE())/100,0)</f>
        <v>#DIV/0!</v>
      </c>
      <c r="L107" s="4" t="e">
        <f aca="false">IF($F$19=1,VLOOKUP($A107,SkewTable,HLOOKUP(ROUND(H107-AX107,1),SkewTable,2,FALSE()),FALSE())/100,0)</f>
        <v>#DIV/0!</v>
      </c>
      <c r="M107" s="4" t="e">
        <f aca="false">IF($H$19=1,VLOOKUP($A107,SkewTable,HLOOKUP(ROUND(I107-BI107,1),SkewTable,2,FALSE()),FALSE())/100,0)</f>
        <v>#DIV/0!</v>
      </c>
      <c r="N107" s="4" t="n">
        <f aca="false">(($D107+J107)*$E107)+B$18</f>
        <v>0.2751185018386</v>
      </c>
      <c r="O107" s="4" t="e">
        <f aca="false">(($D107+K107)*$E107)+D$18</f>
        <v>#DIV/0!</v>
      </c>
      <c r="P107" s="4" t="e">
        <f aca="false">(($D107+L107)*$E107)+F$18</f>
        <v>#DIV/0!</v>
      </c>
      <c r="Q107" s="4" t="e">
        <f aca="false">(($D107+M107)*$E107)+H$18</f>
        <v>#DIV/0!</v>
      </c>
      <c r="R107" s="136" t="n">
        <f aca="false">IF(B$4=1,VLOOKUP(A107,expiration,2,FALSE()),VLOOKUP(A107,expiration,3,FALSE()))-B$2+$B$1</f>
        <v>-6815</v>
      </c>
      <c r="S107" s="4" t="n">
        <f aca="false">VLOOKUP($A107,STRADDLE,12,FALSE())</f>
        <v>0.069092559607751</v>
      </c>
      <c r="T107" s="1" t="n">
        <v>0</v>
      </c>
      <c r="U107" s="43" t="n">
        <v>0</v>
      </c>
      <c r="X107" s="43"/>
      <c r="Z107" s="9"/>
      <c r="AA107" s="9" t="n">
        <f aca="false">IF($A107&gt;=AB$25,IF($A107&lt;=AB$26,$T107,0),0)</f>
        <v>0</v>
      </c>
      <c r="AB107" s="9" t="n">
        <f aca="false">IF(T107&gt;0,AD107/AA107,0)</f>
        <v>0</v>
      </c>
      <c r="AC107" s="1" t="n">
        <f aca="false">AA107*($B107+B$13)</f>
        <v>0</v>
      </c>
      <c r="AD107" s="33" t="n">
        <f aca="false">IF(ISNUMBER(((AC107/AA107)+B$15+$C107)*AA107),((AC107/AA107)+B$15+$C107)*AA107,0)</f>
        <v>0</v>
      </c>
      <c r="AE107" s="44" t="n">
        <f aca="false">IF(AA107=0,0,bsd(1,AF$27,AB107,$F107,$R107,$N107,$S107,0.1))</f>
        <v>0</v>
      </c>
      <c r="AF107" s="44" t="n">
        <f aca="false">IF(AA107=0,0,bsd(2,AF$27,AB107,$F107,$R107,$N107,$S107,0.1))</f>
        <v>0</v>
      </c>
      <c r="AG107" s="44" t="n">
        <f aca="false">IF(AA107=0,0,bsd(AF$28,AF$27,AB107,$F107,$R107,$N107,$S107,0.1))</f>
        <v>0</v>
      </c>
      <c r="AH107" s="45" t="n">
        <f aca="false">AA107*AE107</f>
        <v>0</v>
      </c>
      <c r="AI107" s="45" t="n">
        <f aca="false">AA107*AF107</f>
        <v>0</v>
      </c>
      <c r="AJ107" s="45" t="n">
        <f aca="false">AA107*AG107</f>
        <v>0</v>
      </c>
      <c r="AL107" s="9" t="n">
        <f aca="false">IF($A107&gt;=AM$25,IF($A107&lt;=AM$26,$T107,0),0)</f>
        <v>0</v>
      </c>
      <c r="AM107" s="9" t="e">
        <f aca="false">AO107/AL107</f>
        <v>#DIV/0!</v>
      </c>
      <c r="AN107" s="1" t="n">
        <f aca="false">AL107*($B107+D$13)</f>
        <v>0</v>
      </c>
      <c r="AO107" s="33" t="n">
        <f aca="false">IF(ISNUMBER(((AN107/AL107)+D$15+$C107)*AL107),((AN107/AL107)+D$15+$C107)*AL107,0)</f>
        <v>0</v>
      </c>
      <c r="AP107" s="44" t="n">
        <f aca="false">IF(AL107=0,0,bsd(1,AQ$27,AM107,$G107,$R107,$O107,$S107,0.1))</f>
        <v>0</v>
      </c>
      <c r="AQ107" s="44" t="n">
        <f aca="false">IF(AL107=0,0,bsd(2,AQ$27,AM107,$G107,$R107,$O107,$S107,0.1))</f>
        <v>0</v>
      </c>
      <c r="AR107" s="44" t="n">
        <f aca="false">IF(AL107=0,0,bsd(AQ$28,AQ$27,AM107,$G107,$R107,$O107,$S107,0.1))</f>
        <v>0</v>
      </c>
      <c r="AS107" s="45" t="n">
        <f aca="false">AL107*AP107</f>
        <v>0</v>
      </c>
      <c r="AT107" s="45" t="n">
        <f aca="false">AL107*AQ107</f>
        <v>0</v>
      </c>
      <c r="AU107" s="45" t="n">
        <f aca="false">AL107*AR107</f>
        <v>0</v>
      </c>
      <c r="AW107" s="9" t="n">
        <f aca="false">IF($A107&gt;=AX$25,IF($A107&lt;=AX$26,$T107,0),0)</f>
        <v>0</v>
      </c>
      <c r="AX107" s="9" t="e">
        <f aca="false">AZ107/AW107</f>
        <v>#DIV/0!</v>
      </c>
      <c r="AY107" s="1" t="n">
        <f aca="false">AW107*($B107+F$13)</f>
        <v>0</v>
      </c>
      <c r="AZ107" s="33" t="n">
        <f aca="false">IF(ISNUMBER(((AY107/AW107)+F$15+$C107)*AW107),((AY107/AW107)+F$15+$C107)*AW107,0)</f>
        <v>0</v>
      </c>
      <c r="BA107" s="44" t="n">
        <f aca="false">IF(AW107=0,0,bsd(1,BB$27,AX107,$H107,$R107,$P107,$S107,0.1))</f>
        <v>0</v>
      </c>
      <c r="BB107" s="44" t="n">
        <f aca="false">IF(AW107=0,0,bsd(2,BB$27,AX107,$H107,$R107,$P107,$S107,0.1))</f>
        <v>0</v>
      </c>
      <c r="BC107" s="44" t="n">
        <f aca="false">IF(AW107=0,0,bsd(BB$28,BB$27,AX107,$H107,$R107,$P107,$S107,0.1))</f>
        <v>0</v>
      </c>
      <c r="BD107" s="45" t="n">
        <f aca="false">AW107*BA107</f>
        <v>0</v>
      </c>
      <c r="BE107" s="45" t="n">
        <f aca="false">AW107*BB107</f>
        <v>0</v>
      </c>
      <c r="BF107" s="45" t="n">
        <f aca="false">AW107*BC107</f>
        <v>0</v>
      </c>
      <c r="BH107" s="9" t="n">
        <f aca="false">IF($A107&gt;=BI$25,IF($A107&lt;=BI$26,$T107,0),0)</f>
        <v>0</v>
      </c>
      <c r="BI107" s="9" t="e">
        <f aca="false">BK107/BH107</f>
        <v>#DIV/0!</v>
      </c>
      <c r="BJ107" s="1" t="n">
        <f aca="false">BH107*($B107+H$13)</f>
        <v>0</v>
      </c>
      <c r="BK107" s="33" t="n">
        <f aca="false">IF(ISNUMBER(((BJ107/BH107)+H$15+$C107)*BH107),((BJ107/BH107)+H$15+$C107)*BH107,0)</f>
        <v>0</v>
      </c>
      <c r="BL107" s="44" t="n">
        <f aca="false">IF(BH107=0,0,bsd(1,BM$27,BI107,$I107,$R107,$Q107,$S107,0.1))</f>
        <v>0</v>
      </c>
      <c r="BM107" s="44" t="n">
        <f aca="false">IF(BH107=0,0,bsd(2,BM$27,BI107,$I107,$R107,$Q107,$S107,0.1))</f>
        <v>0</v>
      </c>
      <c r="BN107" s="44" t="n">
        <f aca="false">IF(BH107=0,0,bsd(BM$28,BM$27,BI107,$I107,$R107,$Q107,$S107,0.1))</f>
        <v>0</v>
      </c>
      <c r="BO107" s="45" t="n">
        <f aca="false">BH107*BL107</f>
        <v>0</v>
      </c>
      <c r="BP107" s="45" t="n">
        <f aca="false">BH107*BM107</f>
        <v>0</v>
      </c>
      <c r="BQ107" s="45" t="n">
        <f aca="false">BH107*BN107</f>
        <v>0</v>
      </c>
    </row>
    <row r="108" customFormat="false" ht="12.75" hidden="false" customHeight="false" outlineLevel="0" collapsed="false">
      <c r="A108" s="48" t="n">
        <f aca="false">DATE(YEAR(A107),MONTH(A107)+1,1)</f>
        <v>39142</v>
      </c>
      <c r="B108" s="40" t="n">
        <f aca="false">VLOOKUP(A108,STRADDLE,5,FALSE())</f>
        <v>3.248</v>
      </c>
      <c r="C108" s="40" t="n">
        <v>0</v>
      </c>
      <c r="D108" s="4" t="n">
        <f aca="false">VLOOKUP(A108,STRADDLE,8,FALSE())</f>
        <v>0.22</v>
      </c>
      <c r="E108" s="131" t="n">
        <f aca="false">IF(ISNUMBER(VLOOKUP(A108,VOLCURVES,HLOOKUP(B$5,VOLCURVES,2,FALSE()),FALSE())),VLOOKUP(A108,VOLCURVES,HLOOKUP(B$5,VOLCURVES,2,FALSE()),FALSE()),1)</f>
        <v>1</v>
      </c>
      <c r="F108" s="41" t="n">
        <f aca="false">IF($B$17=4,$AB108,$B$16)</f>
        <v>3.8</v>
      </c>
      <c r="G108" s="41" t="n">
        <f aca="false">IF($D$17=4,$AM108,$D$16)</f>
        <v>3.5</v>
      </c>
      <c r="H108" s="41" t="n">
        <f aca="false">IF($F$17=4,$AX108,$F$16)</f>
        <v>2.96</v>
      </c>
      <c r="I108" s="41" t="n">
        <f aca="false">IF($H$17=4,$BI108,$H$16)</f>
        <v>2.99</v>
      </c>
      <c r="J108" s="4" t="n">
        <f aca="false">IF($B$19=1,VLOOKUP($A108,SkewTable,HLOOKUP(ROUND(F108-AB108,1),SkewTable,2,FALSE()),FALSE())/100,0)</f>
        <v>0.0451185018386</v>
      </c>
      <c r="K108" s="4" t="e">
        <f aca="false">IF($D$19=1,VLOOKUP($A108,SkewTable,HLOOKUP(ROUND(G108-AM108,1),SkewTable,2,FALSE()),FALSE())/100,0)</f>
        <v>#DIV/0!</v>
      </c>
      <c r="L108" s="4" t="e">
        <f aca="false">IF($F$19=1,VLOOKUP($A108,SkewTable,HLOOKUP(ROUND(H108-AX108,1),SkewTable,2,FALSE()),FALSE())/100,0)</f>
        <v>#DIV/0!</v>
      </c>
      <c r="M108" s="4" t="e">
        <f aca="false">IF($H$19=1,VLOOKUP($A108,SkewTable,HLOOKUP(ROUND(I108-BI108,1),SkewTable,2,FALSE()),FALSE())/100,0)</f>
        <v>#DIV/0!</v>
      </c>
      <c r="N108" s="4" t="n">
        <f aca="false">(($D108+J108)*$E108)+B$18</f>
        <v>0.2651185018386</v>
      </c>
      <c r="O108" s="4" t="e">
        <f aca="false">(($D108+K108)*$E108)+D$18</f>
        <v>#DIV/0!</v>
      </c>
      <c r="P108" s="4" t="e">
        <f aca="false">(($D108+L108)*$E108)+F$18</f>
        <v>#DIV/0!</v>
      </c>
      <c r="Q108" s="4" t="e">
        <f aca="false">(($D108+M108)*$E108)+H$18</f>
        <v>#DIV/0!</v>
      </c>
      <c r="R108" s="136" t="n">
        <f aca="false">IF(B$4=1,VLOOKUP(A108,expiration,2,FALSE()),VLOOKUP(A108,expiration,3,FALSE()))-B$2+$B$1</f>
        <v>-6787</v>
      </c>
      <c r="S108" s="4" t="n">
        <f aca="false">VLOOKUP($A108,STRADDLE,12,FALSE())</f>
        <v>0.069138939704325</v>
      </c>
      <c r="T108" s="1" t="n">
        <v>0</v>
      </c>
      <c r="U108" s="43" t="n">
        <v>0</v>
      </c>
      <c r="X108" s="43"/>
      <c r="Z108" s="9"/>
      <c r="AA108" s="9" t="n">
        <f aca="false">IF($A108&gt;=AB$25,IF($A108&lt;=AB$26,$T108,0),0)</f>
        <v>0</v>
      </c>
      <c r="AB108" s="9" t="n">
        <f aca="false">IF(T108&gt;0,AD108/AA108,0)</f>
        <v>0</v>
      </c>
      <c r="AC108" s="1" t="n">
        <f aca="false">AA108*($B108+B$13)</f>
        <v>0</v>
      </c>
      <c r="AD108" s="33" t="n">
        <f aca="false">IF(ISNUMBER(((AC108/AA108)+B$15+$C108)*AA108),((AC108/AA108)+B$15+$C108)*AA108,0)</f>
        <v>0</v>
      </c>
      <c r="AE108" s="44" t="n">
        <f aca="false">IF(AA108=0,0,bsd(1,AF$27,AB108,$F108,$R108,$N108,$S108,0.1))</f>
        <v>0</v>
      </c>
      <c r="AF108" s="44" t="n">
        <f aca="false">IF(AA108=0,0,bsd(2,AF$27,AB108,$F108,$R108,$N108,$S108,0.1))</f>
        <v>0</v>
      </c>
      <c r="AG108" s="44" t="n">
        <f aca="false">IF(AA108=0,0,bsd(AF$28,AF$27,AB108,$F108,$R108,$N108,$S108,0.1))</f>
        <v>0</v>
      </c>
      <c r="AH108" s="45" t="n">
        <f aca="false">AA108*AE108</f>
        <v>0</v>
      </c>
      <c r="AI108" s="45" t="n">
        <f aca="false">AA108*AF108</f>
        <v>0</v>
      </c>
      <c r="AJ108" s="45" t="n">
        <f aca="false">AA108*AG108</f>
        <v>0</v>
      </c>
      <c r="AL108" s="9" t="n">
        <f aca="false">IF($A108&gt;=AM$25,IF($A108&lt;=AM$26,$T108,0),0)</f>
        <v>0</v>
      </c>
      <c r="AM108" s="9" t="e">
        <f aca="false">AO108/AL108</f>
        <v>#DIV/0!</v>
      </c>
      <c r="AN108" s="1" t="n">
        <f aca="false">AL108*($B108+D$13)</f>
        <v>0</v>
      </c>
      <c r="AO108" s="33" t="n">
        <f aca="false">IF(ISNUMBER(((AN108/AL108)+D$15+$C108)*AL108),((AN108/AL108)+D$15+$C108)*AL108,0)</f>
        <v>0</v>
      </c>
      <c r="AP108" s="44" t="n">
        <f aca="false">IF(AL108=0,0,bsd(1,AQ$27,AM108,$G108,$R108,$O108,$S108,0.1))</f>
        <v>0</v>
      </c>
      <c r="AQ108" s="44" t="n">
        <f aca="false">IF(AL108=0,0,bsd(2,AQ$27,AM108,$G108,$R108,$O108,$S108,0.1))</f>
        <v>0</v>
      </c>
      <c r="AR108" s="44" t="n">
        <f aca="false">IF(AL108=0,0,bsd(AQ$28,AQ$27,AM108,$G108,$R108,$O108,$S108,0.1))</f>
        <v>0</v>
      </c>
      <c r="AS108" s="45" t="n">
        <f aca="false">AL108*AP108</f>
        <v>0</v>
      </c>
      <c r="AT108" s="45" t="n">
        <f aca="false">AL108*AQ108</f>
        <v>0</v>
      </c>
      <c r="AU108" s="45" t="n">
        <f aca="false">AL108*AR108</f>
        <v>0</v>
      </c>
      <c r="AW108" s="9" t="n">
        <f aca="false">IF($A108&gt;=AX$25,IF($A108&lt;=AX$26,$T108,0),0)</f>
        <v>0</v>
      </c>
      <c r="AX108" s="9" t="e">
        <f aca="false">AZ108/AW108</f>
        <v>#DIV/0!</v>
      </c>
      <c r="AY108" s="1" t="n">
        <f aca="false">AW108*($B108+F$13)</f>
        <v>0</v>
      </c>
      <c r="AZ108" s="33" t="n">
        <f aca="false">IF(ISNUMBER(((AY108/AW108)+F$15+$C108)*AW108),((AY108/AW108)+F$15+$C108)*AW108,0)</f>
        <v>0</v>
      </c>
      <c r="BA108" s="44" t="n">
        <f aca="false">IF(AW108=0,0,bsd(1,BB$27,AX108,$H108,$R108,$P108,$S108,0.1))</f>
        <v>0</v>
      </c>
      <c r="BB108" s="44" t="n">
        <f aca="false">IF(AW108=0,0,bsd(2,BB$27,AX108,$H108,$R108,$P108,$S108,0.1))</f>
        <v>0</v>
      </c>
      <c r="BC108" s="44" t="n">
        <f aca="false">IF(AW108=0,0,bsd(BB$28,BB$27,AX108,$H108,$R108,$P108,$S108,0.1))</f>
        <v>0</v>
      </c>
      <c r="BD108" s="45" t="n">
        <f aca="false">AW108*BA108</f>
        <v>0</v>
      </c>
      <c r="BE108" s="45" t="n">
        <f aca="false">AW108*BB108</f>
        <v>0</v>
      </c>
      <c r="BF108" s="45" t="n">
        <f aca="false">AW108*BC108</f>
        <v>0</v>
      </c>
      <c r="BH108" s="9" t="n">
        <f aca="false">IF($A108&gt;=BI$25,IF($A108&lt;=BI$26,$T108,0),0)</f>
        <v>0</v>
      </c>
      <c r="BI108" s="9" t="e">
        <f aca="false">BK108/BH108</f>
        <v>#DIV/0!</v>
      </c>
      <c r="BJ108" s="1" t="n">
        <f aca="false">BH108*($B108+H$13)</f>
        <v>0</v>
      </c>
      <c r="BK108" s="33" t="n">
        <f aca="false">IF(ISNUMBER(((BJ108/BH108)+H$15+$C108)*BH108),((BJ108/BH108)+H$15+$C108)*BH108,0)</f>
        <v>0</v>
      </c>
      <c r="BL108" s="44" t="n">
        <f aca="false">IF(BH108=0,0,bsd(1,BM$27,BI108,$I108,$R108,$Q108,$S108,0.1))</f>
        <v>0</v>
      </c>
      <c r="BM108" s="44" t="n">
        <f aca="false">IF(BH108=0,0,bsd(2,BM$27,BI108,$I108,$R108,$Q108,$S108,0.1))</f>
        <v>0</v>
      </c>
      <c r="BN108" s="44" t="n">
        <f aca="false">IF(BH108=0,0,bsd(BM$28,BM$27,BI108,$I108,$R108,$Q108,$S108,0.1))</f>
        <v>0</v>
      </c>
      <c r="BO108" s="45" t="n">
        <f aca="false">BH108*BL108</f>
        <v>0</v>
      </c>
      <c r="BP108" s="45" t="n">
        <f aca="false">BH108*BM108</f>
        <v>0</v>
      </c>
      <c r="BQ108" s="45" t="n">
        <f aca="false">BH108*BN108</f>
        <v>0</v>
      </c>
    </row>
    <row r="109" customFormat="false" ht="12.75" hidden="false" customHeight="false" outlineLevel="0" collapsed="false">
      <c r="A109" s="48" t="n">
        <f aca="false">DATE(YEAR(A108),MONTH(A108)+1,1)</f>
        <v>39173</v>
      </c>
      <c r="B109" s="40" t="n">
        <f aca="false">VLOOKUP(A109,STRADDLE,5,FALSE())</f>
        <v>3.07</v>
      </c>
      <c r="C109" s="40" t="n">
        <v>0</v>
      </c>
      <c r="D109" s="4" t="n">
        <f aca="false">VLOOKUP(A109,STRADDLE,8,FALSE())</f>
        <v>0.22</v>
      </c>
      <c r="E109" s="131" t="n">
        <f aca="false">IF(ISNUMBER(VLOOKUP(A109,VOLCURVES,HLOOKUP(B$5,VOLCURVES,2,FALSE()),FALSE())),VLOOKUP(A109,VOLCURVES,HLOOKUP(B$5,VOLCURVES,2,FALSE()),FALSE()),1)</f>
        <v>1</v>
      </c>
      <c r="F109" s="41" t="n">
        <f aca="false">IF($B$17=4,$AB109,$B$16)</f>
        <v>3.8</v>
      </c>
      <c r="G109" s="41" t="n">
        <f aca="false">IF($D$17=4,$AM109,$D$16)</f>
        <v>3.5</v>
      </c>
      <c r="H109" s="41" t="n">
        <f aca="false">IF($F$17=4,$AX109,$F$16)</f>
        <v>2.96</v>
      </c>
      <c r="I109" s="41" t="n">
        <f aca="false">IF($H$17=4,$BI109,$H$16)</f>
        <v>2.99</v>
      </c>
      <c r="J109" s="4" t="n">
        <f aca="false">IF($B$19=1,VLOOKUP($A109,SkewTable,HLOOKUP(ROUND(F109-AB109,1),SkewTable,2,FALSE()),FALSE())/100,0)</f>
        <v>0.0451185018386</v>
      </c>
      <c r="K109" s="4" t="e">
        <f aca="false">IF($D$19=1,VLOOKUP($A109,SkewTable,HLOOKUP(ROUND(G109-AM109,1),SkewTable,2,FALSE()),FALSE())/100,0)</f>
        <v>#DIV/0!</v>
      </c>
      <c r="L109" s="4" t="e">
        <f aca="false">IF($F$19=1,VLOOKUP($A109,SkewTable,HLOOKUP(ROUND(H109-AX109,1),SkewTable,2,FALSE()),FALSE())/100,0)</f>
        <v>#DIV/0!</v>
      </c>
      <c r="M109" s="4" t="e">
        <f aca="false">IF($H$19=1,VLOOKUP($A109,SkewTable,HLOOKUP(ROUND(I109-BI109,1),SkewTable,2,FALSE()),FALSE())/100,0)</f>
        <v>#DIV/0!</v>
      </c>
      <c r="N109" s="4" t="n">
        <f aca="false">(($D109+J109)*$E109)+B$18</f>
        <v>0.2651185018386</v>
      </c>
      <c r="O109" s="4" t="e">
        <f aca="false">(($D109+K109)*$E109)+D$18</f>
        <v>#DIV/0!</v>
      </c>
      <c r="P109" s="4" t="e">
        <f aca="false">(($D109+L109)*$E109)+F$18</f>
        <v>#DIV/0!</v>
      </c>
      <c r="Q109" s="4" t="e">
        <f aca="false">(($D109+M109)*$E109)+H$18</f>
        <v>#DIV/0!</v>
      </c>
      <c r="R109" s="136" t="n">
        <f aca="false">IF(B$4=1,VLOOKUP(A109,expiration,2,FALSE()),VLOOKUP(A109,expiration,3,FALSE()))-B$2+$B$1</f>
        <v>-6757</v>
      </c>
      <c r="S109" s="4" t="n">
        <f aca="false">VLOOKUP($A109,STRADDLE,12,FALSE())</f>
        <v>0.069190289097792</v>
      </c>
      <c r="T109" s="1" t="n">
        <v>0</v>
      </c>
      <c r="U109" s="43" t="n">
        <v>0</v>
      </c>
      <c r="X109" s="43"/>
      <c r="Z109" s="9"/>
      <c r="AA109" s="9" t="n">
        <f aca="false">IF($A109&gt;=AB$25,IF($A109&lt;=AB$26,$T109,0),0)</f>
        <v>0</v>
      </c>
      <c r="AB109" s="9" t="n">
        <f aca="false">IF(T109&gt;0,AD109/AA109,0)</f>
        <v>0</v>
      </c>
      <c r="AC109" s="1" t="n">
        <f aca="false">AA109*($B109+B$13)</f>
        <v>0</v>
      </c>
      <c r="AD109" s="33" t="n">
        <f aca="false">IF(ISNUMBER(((AC109/AA109)+B$15+$C109)*AA109),((AC109/AA109)+B$15+$C109)*AA109,0)</f>
        <v>0</v>
      </c>
      <c r="AE109" s="44" t="n">
        <f aca="false">IF(AA109=0,0,bsd(1,AF$27,AB109,$F109,$R109,$N109,$S109,0.1))</f>
        <v>0</v>
      </c>
      <c r="AF109" s="44" t="n">
        <f aca="false">IF(AA109=0,0,bsd(2,AF$27,AB109,$F109,$R109,$N109,$S109,0.1))</f>
        <v>0</v>
      </c>
      <c r="AG109" s="44" t="n">
        <f aca="false">IF(AA109=0,0,bsd(AF$28,AF$27,AB109,$F109,$R109,$N109,$S109,0.1))</f>
        <v>0</v>
      </c>
      <c r="AH109" s="45" t="n">
        <f aca="false">AA109*AE109</f>
        <v>0</v>
      </c>
      <c r="AI109" s="45" t="n">
        <f aca="false">AA109*AF109</f>
        <v>0</v>
      </c>
      <c r="AJ109" s="45" t="n">
        <f aca="false">AA109*AG109</f>
        <v>0</v>
      </c>
      <c r="AL109" s="9" t="n">
        <f aca="false">IF($A109&gt;=AM$25,IF($A109&lt;=AM$26,$T109,0),0)</f>
        <v>0</v>
      </c>
      <c r="AM109" s="9" t="e">
        <f aca="false">AO109/AL109</f>
        <v>#DIV/0!</v>
      </c>
      <c r="AN109" s="1" t="n">
        <f aca="false">AL109*($B109+D$13)</f>
        <v>0</v>
      </c>
      <c r="AO109" s="33" t="n">
        <f aca="false">IF(ISNUMBER(((AN109/AL109)+D$15+$C109)*AL109),((AN109/AL109)+D$15+$C109)*AL109,0)</f>
        <v>0</v>
      </c>
      <c r="AP109" s="44" t="n">
        <f aca="false">IF(AL109=0,0,bsd(1,AQ$27,AM109,$G109,$R109,$O109,$S109,0.1))</f>
        <v>0</v>
      </c>
      <c r="AQ109" s="44" t="n">
        <f aca="false">IF(AL109=0,0,bsd(2,AQ$27,AM109,$G109,$R109,$O109,$S109,0.1))</f>
        <v>0</v>
      </c>
      <c r="AR109" s="44" t="n">
        <f aca="false">IF(AL109=0,0,bsd(AQ$28,AQ$27,AM109,$G109,$R109,$O109,$S109,0.1))</f>
        <v>0</v>
      </c>
      <c r="AS109" s="45" t="n">
        <f aca="false">AL109*AP109</f>
        <v>0</v>
      </c>
      <c r="AT109" s="45" t="n">
        <f aca="false">AL109*AQ109</f>
        <v>0</v>
      </c>
      <c r="AU109" s="45" t="n">
        <f aca="false">AL109*AR109</f>
        <v>0</v>
      </c>
      <c r="AW109" s="9" t="n">
        <f aca="false">IF($A109&gt;=AX$25,IF($A109&lt;=AX$26,$T109,0),0)</f>
        <v>0</v>
      </c>
      <c r="AX109" s="9" t="e">
        <f aca="false">AZ109/AW109</f>
        <v>#DIV/0!</v>
      </c>
      <c r="AY109" s="1" t="n">
        <f aca="false">AW109*($B109+F$13)</f>
        <v>0</v>
      </c>
      <c r="AZ109" s="33" t="n">
        <f aca="false">IF(ISNUMBER(((AY109/AW109)+F$15+$C109)*AW109),((AY109/AW109)+F$15+$C109)*AW109,0)</f>
        <v>0</v>
      </c>
      <c r="BA109" s="44" t="n">
        <f aca="false">IF(AW109=0,0,bsd(1,BB$27,AX109,$H109,$R109,$P109,$S109,0.1))</f>
        <v>0</v>
      </c>
      <c r="BB109" s="44" t="n">
        <f aca="false">IF(AW109=0,0,bsd(2,BB$27,AX109,$H109,$R109,$P109,$S109,0.1))</f>
        <v>0</v>
      </c>
      <c r="BC109" s="44" t="n">
        <f aca="false">IF(AW109=0,0,bsd(BB$28,BB$27,AX109,$H109,$R109,$P109,$S109,0.1))</f>
        <v>0</v>
      </c>
      <c r="BD109" s="45" t="n">
        <f aca="false">AW109*BA109</f>
        <v>0</v>
      </c>
      <c r="BE109" s="45" t="n">
        <f aca="false">AW109*BB109</f>
        <v>0</v>
      </c>
      <c r="BF109" s="45" t="n">
        <f aca="false">AW109*BC109</f>
        <v>0</v>
      </c>
      <c r="BH109" s="9" t="n">
        <f aca="false">IF($A109&gt;=BI$25,IF($A109&lt;=BI$26,$T109,0),0)</f>
        <v>0</v>
      </c>
      <c r="BI109" s="9" t="e">
        <f aca="false">BK109/BH109</f>
        <v>#DIV/0!</v>
      </c>
      <c r="BJ109" s="1" t="n">
        <f aca="false">BH109*($B109+H$13)</f>
        <v>0</v>
      </c>
      <c r="BK109" s="33" t="n">
        <f aca="false">IF(ISNUMBER(((BJ109/BH109)+H$15+$C109)*BH109),((BJ109/BH109)+H$15+$C109)*BH109,0)</f>
        <v>0</v>
      </c>
      <c r="BL109" s="44" t="n">
        <f aca="false">IF(BH109=0,0,bsd(1,BM$27,BI109,$I109,$R109,$Q109,$S109,0.1))</f>
        <v>0</v>
      </c>
      <c r="BM109" s="44" t="n">
        <f aca="false">IF(BH109=0,0,bsd(2,BM$27,BI109,$I109,$R109,$Q109,$S109,0.1))</f>
        <v>0</v>
      </c>
      <c r="BN109" s="44" t="n">
        <f aca="false">IF(BH109=0,0,bsd(BM$28,BM$27,BI109,$I109,$R109,$Q109,$S109,0.1))</f>
        <v>0</v>
      </c>
      <c r="BO109" s="45" t="n">
        <f aca="false">BH109*BL109</f>
        <v>0</v>
      </c>
      <c r="BP109" s="45" t="n">
        <f aca="false">BH109*BM109</f>
        <v>0</v>
      </c>
      <c r="BQ109" s="45" t="n">
        <f aca="false">BH109*BN109</f>
        <v>0</v>
      </c>
    </row>
    <row r="110" customFormat="false" ht="12.75" hidden="false" customHeight="false" outlineLevel="0" collapsed="false">
      <c r="A110" s="48" t="n">
        <f aca="false">DATE(YEAR(A109),MONTH(A109)+1,1)</f>
        <v>39203</v>
      </c>
      <c r="B110" s="40" t="n">
        <f aca="false">VLOOKUP(A110,STRADDLE,5,FALSE())</f>
        <v>3.024</v>
      </c>
      <c r="C110" s="40" t="n">
        <v>0</v>
      </c>
      <c r="D110" s="4" t="n">
        <f aca="false">VLOOKUP(A110,STRADDLE,8,FALSE())</f>
        <v>0.22</v>
      </c>
      <c r="E110" s="131" t="n">
        <f aca="false">IF(ISNUMBER(VLOOKUP(A110,VOLCURVES,HLOOKUP(B$5,VOLCURVES,2,FALSE()),FALSE())),VLOOKUP(A110,VOLCURVES,HLOOKUP(B$5,VOLCURVES,2,FALSE()),FALSE()),1)</f>
        <v>1</v>
      </c>
      <c r="F110" s="41" t="n">
        <f aca="false">IF($B$17=4,$AB110,$B$16)</f>
        <v>3.8</v>
      </c>
      <c r="G110" s="41" t="n">
        <f aca="false">IF($D$17=4,$AM110,$D$16)</f>
        <v>3.5</v>
      </c>
      <c r="H110" s="41" t="n">
        <f aca="false">IF($F$17=4,$AX110,$F$16)</f>
        <v>2.96</v>
      </c>
      <c r="I110" s="41" t="n">
        <f aca="false">IF($H$17=4,$BI110,$H$16)</f>
        <v>2.99</v>
      </c>
      <c r="J110" s="4" t="n">
        <f aca="false">IF($B$19=1,VLOOKUP($A110,SkewTable,HLOOKUP(ROUND(F110-AB110,1),SkewTable,2,FALSE()),FALSE())/100,0)</f>
        <v>0.0451185018386</v>
      </c>
      <c r="K110" s="4" t="e">
        <f aca="false">IF($D$19=1,VLOOKUP($A110,SkewTable,HLOOKUP(ROUND(G110-AM110,1),SkewTable,2,FALSE()),FALSE())/100,0)</f>
        <v>#DIV/0!</v>
      </c>
      <c r="L110" s="4" t="e">
        <f aca="false">IF($F$19=1,VLOOKUP($A110,SkewTable,HLOOKUP(ROUND(H110-AX110,1),SkewTable,2,FALSE()),FALSE())/100,0)</f>
        <v>#DIV/0!</v>
      </c>
      <c r="M110" s="4" t="e">
        <f aca="false">IF($H$19=1,VLOOKUP($A110,SkewTable,HLOOKUP(ROUND(I110-BI110,1),SkewTable,2,FALSE()),FALSE())/100,0)</f>
        <v>#DIV/0!</v>
      </c>
      <c r="N110" s="4" t="n">
        <f aca="false">(($D110+J110)*$E110)+B$18</f>
        <v>0.2651185018386</v>
      </c>
      <c r="O110" s="4" t="e">
        <f aca="false">(($D110+K110)*$E110)+D$18</f>
        <v>#DIV/0!</v>
      </c>
      <c r="P110" s="4" t="e">
        <f aca="false">(($D110+L110)*$E110)+F$18</f>
        <v>#DIV/0!</v>
      </c>
      <c r="Q110" s="4" t="e">
        <f aca="false">(($D110+M110)*$E110)+H$18</f>
        <v>#DIV/0!</v>
      </c>
      <c r="R110" s="136" t="n">
        <f aca="false">IF(B$4=1,VLOOKUP(A110,expiration,2,FALSE()),VLOOKUP(A110,expiration,3,FALSE()))-B$2+$B$1</f>
        <v>-6728</v>
      </c>
      <c r="S110" s="4" t="n">
        <f aca="false">VLOOKUP($A110,STRADDLE,12,FALSE())</f>
        <v>0.069239982060041</v>
      </c>
      <c r="T110" s="1" t="n">
        <v>0</v>
      </c>
      <c r="U110" s="43" t="n">
        <v>0</v>
      </c>
      <c r="X110" s="43"/>
      <c r="Z110" s="9"/>
      <c r="AA110" s="9" t="n">
        <f aca="false">IF($A110&gt;=AB$25,IF($A110&lt;=AB$26,$T110,0),0)</f>
        <v>0</v>
      </c>
      <c r="AB110" s="9" t="n">
        <f aca="false">IF(T110&gt;0,AD110/AA110,0)</f>
        <v>0</v>
      </c>
      <c r="AC110" s="1" t="n">
        <f aca="false">AA110*($B110+B$13)</f>
        <v>0</v>
      </c>
      <c r="AD110" s="33" t="n">
        <f aca="false">IF(ISNUMBER(((AC110/AA110)+B$15+$C110)*AA110),((AC110/AA110)+B$15+$C110)*AA110,0)</f>
        <v>0</v>
      </c>
      <c r="AE110" s="44" t="n">
        <f aca="false">IF(AA110=0,0,bsd(1,AF$27,AB110,$F110,$R110,$N110,$S110,0.1))</f>
        <v>0</v>
      </c>
      <c r="AF110" s="44" t="n">
        <f aca="false">IF(AA110=0,0,bsd(2,AF$27,AB110,$F110,$R110,$N110,$S110,0.1))</f>
        <v>0</v>
      </c>
      <c r="AG110" s="44" t="n">
        <f aca="false">IF(AA110=0,0,bsd(AF$28,AF$27,AB110,$F110,$R110,$N110,$S110,0.1))</f>
        <v>0</v>
      </c>
      <c r="AH110" s="45" t="n">
        <f aca="false">AA110*AE110</f>
        <v>0</v>
      </c>
      <c r="AI110" s="45" t="n">
        <f aca="false">AA110*AF110</f>
        <v>0</v>
      </c>
      <c r="AJ110" s="45" t="n">
        <f aca="false">AA110*AG110</f>
        <v>0</v>
      </c>
      <c r="AL110" s="9" t="n">
        <f aca="false">IF($A110&gt;=AM$25,IF($A110&lt;=AM$26,$T110,0),0)</f>
        <v>0</v>
      </c>
      <c r="AM110" s="9" t="e">
        <f aca="false">AO110/AL110</f>
        <v>#DIV/0!</v>
      </c>
      <c r="AN110" s="1" t="n">
        <f aca="false">AL110*($B110+D$13)</f>
        <v>0</v>
      </c>
      <c r="AO110" s="33" t="n">
        <f aca="false">IF(ISNUMBER(((AN110/AL110)+D$15+$C110)*AL110),((AN110/AL110)+D$15+$C110)*AL110,0)</f>
        <v>0</v>
      </c>
      <c r="AP110" s="44" t="n">
        <f aca="false">IF(AL110=0,0,bsd(1,AQ$27,AM110,$G110,$R110,$O110,$S110,0.1))</f>
        <v>0</v>
      </c>
      <c r="AQ110" s="44" t="n">
        <f aca="false">IF(AL110=0,0,bsd(2,AQ$27,AM110,$G110,$R110,$O110,$S110,0.1))</f>
        <v>0</v>
      </c>
      <c r="AR110" s="44" t="n">
        <f aca="false">IF(AL110=0,0,bsd(AQ$28,AQ$27,AM110,$G110,$R110,$O110,$S110,0.1))</f>
        <v>0</v>
      </c>
      <c r="AS110" s="45" t="n">
        <f aca="false">AL110*AP110</f>
        <v>0</v>
      </c>
      <c r="AT110" s="45" t="n">
        <f aca="false">AL110*AQ110</f>
        <v>0</v>
      </c>
      <c r="AU110" s="45" t="n">
        <f aca="false">AL110*AR110</f>
        <v>0</v>
      </c>
      <c r="AW110" s="9" t="n">
        <f aca="false">IF($A110&gt;=AX$25,IF($A110&lt;=AX$26,$T110,0),0)</f>
        <v>0</v>
      </c>
      <c r="AX110" s="9" t="e">
        <f aca="false">AZ110/AW110</f>
        <v>#DIV/0!</v>
      </c>
      <c r="AY110" s="1" t="n">
        <f aca="false">AW110*($B110+F$13)</f>
        <v>0</v>
      </c>
      <c r="AZ110" s="33" t="n">
        <f aca="false">IF(ISNUMBER(((AY110/AW110)+F$15+$C110)*AW110),((AY110/AW110)+F$15+$C110)*AW110,0)</f>
        <v>0</v>
      </c>
      <c r="BA110" s="44" t="n">
        <f aca="false">IF(AW110=0,0,bsd(1,BB$27,AX110,$H110,$R110,$P110,$S110,0.1))</f>
        <v>0</v>
      </c>
      <c r="BB110" s="44" t="n">
        <f aca="false">IF(AW110=0,0,bsd(2,BB$27,AX110,$H110,$R110,$P110,$S110,0.1))</f>
        <v>0</v>
      </c>
      <c r="BC110" s="44" t="n">
        <f aca="false">IF(AW110=0,0,bsd(BB$28,BB$27,AX110,$H110,$R110,$P110,$S110,0.1))</f>
        <v>0</v>
      </c>
      <c r="BD110" s="45" t="n">
        <f aca="false">AW110*BA110</f>
        <v>0</v>
      </c>
      <c r="BE110" s="45" t="n">
        <f aca="false">AW110*BB110</f>
        <v>0</v>
      </c>
      <c r="BF110" s="45" t="n">
        <f aca="false">AW110*BC110</f>
        <v>0</v>
      </c>
      <c r="BH110" s="9" t="n">
        <f aca="false">IF($A110&gt;=BI$25,IF($A110&lt;=BI$26,$T110,0),0)</f>
        <v>0</v>
      </c>
      <c r="BI110" s="9" t="e">
        <f aca="false">BK110/BH110</f>
        <v>#DIV/0!</v>
      </c>
      <c r="BJ110" s="1" t="n">
        <f aca="false">BH110*($B110+H$13)</f>
        <v>0</v>
      </c>
      <c r="BK110" s="33" t="n">
        <f aca="false">IF(ISNUMBER(((BJ110/BH110)+H$15+$C110)*BH110),((BJ110/BH110)+H$15+$C110)*BH110,0)</f>
        <v>0</v>
      </c>
      <c r="BL110" s="44" t="n">
        <f aca="false">IF(BH110=0,0,bsd(1,BM$27,BI110,$I110,$R110,$Q110,$S110,0.1))</f>
        <v>0</v>
      </c>
      <c r="BM110" s="44" t="n">
        <f aca="false">IF(BH110=0,0,bsd(2,BM$27,BI110,$I110,$R110,$Q110,$S110,0.1))</f>
        <v>0</v>
      </c>
      <c r="BN110" s="44" t="n">
        <f aca="false">IF(BH110=0,0,bsd(BM$28,BM$27,BI110,$I110,$R110,$Q110,$S110,0.1))</f>
        <v>0</v>
      </c>
      <c r="BO110" s="45" t="n">
        <f aca="false">BH110*BL110</f>
        <v>0</v>
      </c>
      <c r="BP110" s="45" t="n">
        <f aca="false">BH110*BM110</f>
        <v>0</v>
      </c>
      <c r="BQ110" s="45" t="n">
        <f aca="false">BH110*BN110</f>
        <v>0</v>
      </c>
    </row>
    <row r="111" customFormat="false" ht="12.75" hidden="false" customHeight="false" outlineLevel="0" collapsed="false">
      <c r="A111" s="48" t="n">
        <f aca="false">DATE(YEAR(A110),MONTH(A110)+1,1)</f>
        <v>39234</v>
      </c>
      <c r="B111" s="40" t="n">
        <f aca="false">VLOOKUP(A111,STRADDLE,5,FALSE())</f>
        <v>3.036</v>
      </c>
      <c r="C111" s="40" t="n">
        <v>0</v>
      </c>
      <c r="D111" s="4" t="n">
        <f aca="false">VLOOKUP(A111,STRADDLE,8,FALSE())</f>
        <v>0.21</v>
      </c>
      <c r="E111" s="131" t="n">
        <f aca="false">IF(ISNUMBER(VLOOKUP(A111,VOLCURVES,HLOOKUP(B$5,VOLCURVES,2,FALSE()),FALSE())),VLOOKUP(A111,VOLCURVES,HLOOKUP(B$5,VOLCURVES,2,FALSE()),FALSE()),1)</f>
        <v>1</v>
      </c>
      <c r="F111" s="41" t="n">
        <f aca="false">IF($B$17=4,$AB111,$B$16)</f>
        <v>3.8</v>
      </c>
      <c r="G111" s="41" t="n">
        <f aca="false">IF($D$17=4,$AM111,$D$16)</f>
        <v>3.5</v>
      </c>
      <c r="H111" s="41" t="n">
        <f aca="false">IF($F$17=4,$AX111,$F$16)</f>
        <v>2.96</v>
      </c>
      <c r="I111" s="41" t="n">
        <f aca="false">IF($H$17=4,$BI111,$H$16)</f>
        <v>2.99</v>
      </c>
      <c r="J111" s="4" t="n">
        <f aca="false">IF($B$19=1,VLOOKUP($A111,SkewTable,HLOOKUP(ROUND(F111-AB111,1),SkewTable,2,FALSE()),FALSE())/100,0)</f>
        <v>0.0451185018386</v>
      </c>
      <c r="K111" s="4" t="e">
        <f aca="false">IF($D$19=1,VLOOKUP($A111,SkewTable,HLOOKUP(ROUND(G111-AM111,1),SkewTable,2,FALSE()),FALSE())/100,0)</f>
        <v>#DIV/0!</v>
      </c>
      <c r="L111" s="4" t="e">
        <f aca="false">IF($F$19=1,VLOOKUP($A111,SkewTable,HLOOKUP(ROUND(H111-AX111,1),SkewTable,2,FALSE()),FALSE())/100,0)</f>
        <v>#DIV/0!</v>
      </c>
      <c r="M111" s="4" t="e">
        <f aca="false">IF($H$19=1,VLOOKUP($A111,SkewTable,HLOOKUP(ROUND(I111-BI111,1),SkewTable,2,FALSE()),FALSE())/100,0)</f>
        <v>#DIV/0!</v>
      </c>
      <c r="N111" s="4" t="n">
        <f aca="false">(($D111+J111)*$E111)+B$18</f>
        <v>0.2551185018386</v>
      </c>
      <c r="O111" s="4" t="e">
        <f aca="false">(($D111+K111)*$E111)+D$18</f>
        <v>#DIV/0!</v>
      </c>
      <c r="P111" s="4" t="e">
        <f aca="false">(($D111+L111)*$E111)+F$18</f>
        <v>#DIV/0!</v>
      </c>
      <c r="Q111" s="4" t="e">
        <f aca="false">(($D111+M111)*$E111)+H$18</f>
        <v>#DIV/0!</v>
      </c>
      <c r="R111" s="136" t="n">
        <f aca="false">IF(B$4=1,VLOOKUP(A111,expiration,2,FALSE()),VLOOKUP(A111,expiration,3,FALSE()))-B$2+$B$1</f>
        <v>-6695</v>
      </c>
      <c r="S111" s="4" t="n">
        <f aca="false">VLOOKUP($A111,STRADDLE,12,FALSE())</f>
        <v>0.069291331455223</v>
      </c>
      <c r="T111" s="1" t="n">
        <v>0</v>
      </c>
      <c r="U111" s="43" t="n">
        <v>0</v>
      </c>
      <c r="X111" s="43"/>
      <c r="Z111" s="9"/>
      <c r="AA111" s="9" t="n">
        <f aca="false">IF($A111&gt;=AB$25,IF($A111&lt;=AB$26,$T111,0),0)</f>
        <v>0</v>
      </c>
      <c r="AB111" s="9" t="n">
        <f aca="false">IF(T111&gt;0,AD111/AA111,0)</f>
        <v>0</v>
      </c>
      <c r="AC111" s="1" t="n">
        <f aca="false">AA111*($B111+B$13)</f>
        <v>0</v>
      </c>
      <c r="AD111" s="33" t="n">
        <f aca="false">IF(ISNUMBER(((AC111/AA111)+B$15+$C111)*AA111),((AC111/AA111)+B$15+$C111)*AA111,0)</f>
        <v>0</v>
      </c>
      <c r="AE111" s="44" t="n">
        <f aca="false">IF(AA111=0,0,bsd(1,AF$27,AB111,$F111,$R111,$N111,$S111,0.1))</f>
        <v>0</v>
      </c>
      <c r="AF111" s="44" t="n">
        <f aca="false">IF(AA111=0,0,bsd(2,AF$27,AB111,$F111,$R111,$N111,$S111,0.1))</f>
        <v>0</v>
      </c>
      <c r="AG111" s="44" t="n">
        <f aca="false">IF(AA111=0,0,bsd(AF$28,AF$27,AB111,$F111,$R111,$N111,$S111,0.1))</f>
        <v>0</v>
      </c>
      <c r="AH111" s="45" t="n">
        <f aca="false">AA111*AE111</f>
        <v>0</v>
      </c>
      <c r="AI111" s="45" t="n">
        <f aca="false">AA111*AF111</f>
        <v>0</v>
      </c>
      <c r="AJ111" s="45" t="n">
        <f aca="false">AA111*AG111</f>
        <v>0</v>
      </c>
      <c r="AL111" s="9" t="n">
        <f aca="false">IF($A111&gt;=AM$25,IF($A111&lt;=AM$26,$T111,0),0)</f>
        <v>0</v>
      </c>
      <c r="AM111" s="9" t="e">
        <f aca="false">AO111/AL111</f>
        <v>#DIV/0!</v>
      </c>
      <c r="AN111" s="1" t="n">
        <f aca="false">AL111*($B111+D$13)</f>
        <v>0</v>
      </c>
      <c r="AO111" s="33" t="n">
        <f aca="false">IF(ISNUMBER(((AN111/AL111)+D$15+$C111)*AL111),((AN111/AL111)+D$15+$C111)*AL111,0)</f>
        <v>0</v>
      </c>
      <c r="AP111" s="44" t="n">
        <f aca="false">IF(AL111=0,0,bsd(1,AQ$27,AM111,$G111,$R111,$O111,$S111,0.1))</f>
        <v>0</v>
      </c>
      <c r="AQ111" s="44" t="n">
        <f aca="false">IF(AL111=0,0,bsd(2,AQ$27,AM111,$G111,$R111,$O111,$S111,0.1))</f>
        <v>0</v>
      </c>
      <c r="AR111" s="44" t="n">
        <f aca="false">IF(AL111=0,0,bsd(AQ$28,AQ$27,AM111,$G111,$R111,$O111,$S111,0.1))</f>
        <v>0</v>
      </c>
      <c r="AS111" s="45" t="n">
        <f aca="false">AL111*AP111</f>
        <v>0</v>
      </c>
      <c r="AT111" s="45" t="n">
        <f aca="false">AL111*AQ111</f>
        <v>0</v>
      </c>
      <c r="AU111" s="45" t="n">
        <f aca="false">AL111*AR111</f>
        <v>0</v>
      </c>
      <c r="AW111" s="9" t="n">
        <f aca="false">IF($A111&gt;=AX$25,IF($A111&lt;=AX$26,$T111,0),0)</f>
        <v>0</v>
      </c>
      <c r="AX111" s="9" t="e">
        <f aca="false">AZ111/AW111</f>
        <v>#DIV/0!</v>
      </c>
      <c r="AY111" s="1" t="n">
        <f aca="false">AW111*($B111+F$13)</f>
        <v>0</v>
      </c>
      <c r="AZ111" s="33" t="n">
        <f aca="false">IF(ISNUMBER(((AY111/AW111)+F$15+$C111)*AW111),((AY111/AW111)+F$15+$C111)*AW111,0)</f>
        <v>0</v>
      </c>
      <c r="BA111" s="44" t="n">
        <f aca="false">IF(AW111=0,0,bsd(1,BB$27,AX111,$H111,$R111,$P111,$S111,0.1))</f>
        <v>0</v>
      </c>
      <c r="BB111" s="44" t="n">
        <f aca="false">IF(AW111=0,0,bsd(2,BB$27,AX111,$H111,$R111,$P111,$S111,0.1))</f>
        <v>0</v>
      </c>
      <c r="BC111" s="44" t="n">
        <f aca="false">IF(AW111=0,0,bsd(BB$28,BB$27,AX111,$H111,$R111,$P111,$S111,0.1))</f>
        <v>0</v>
      </c>
      <c r="BD111" s="45" t="n">
        <f aca="false">AW111*BA111</f>
        <v>0</v>
      </c>
      <c r="BE111" s="45" t="n">
        <f aca="false">AW111*BB111</f>
        <v>0</v>
      </c>
      <c r="BF111" s="45" t="n">
        <f aca="false">AW111*BC111</f>
        <v>0</v>
      </c>
      <c r="BH111" s="9" t="n">
        <f aca="false">IF($A111&gt;=BI$25,IF($A111&lt;=BI$26,$T111,0),0)</f>
        <v>0</v>
      </c>
      <c r="BI111" s="9" t="e">
        <f aca="false">BK111/BH111</f>
        <v>#DIV/0!</v>
      </c>
      <c r="BJ111" s="1" t="n">
        <f aca="false">BH111*($B111+H$13)</f>
        <v>0</v>
      </c>
      <c r="BK111" s="33" t="n">
        <f aca="false">IF(ISNUMBER(((BJ111/BH111)+H$15+$C111)*BH111),((BJ111/BH111)+H$15+$C111)*BH111,0)</f>
        <v>0</v>
      </c>
      <c r="BL111" s="44" t="n">
        <f aca="false">IF(BH111=0,0,bsd(1,BM$27,BI111,$I111,$R111,$Q111,$S111,0.1))</f>
        <v>0</v>
      </c>
      <c r="BM111" s="44" t="n">
        <f aca="false">IF(BH111=0,0,bsd(2,BM$27,BI111,$I111,$R111,$Q111,$S111,0.1))</f>
        <v>0</v>
      </c>
      <c r="BN111" s="44" t="n">
        <f aca="false">IF(BH111=0,0,bsd(BM$28,BM$27,BI111,$I111,$R111,$Q111,$S111,0.1))</f>
        <v>0</v>
      </c>
      <c r="BO111" s="45" t="n">
        <f aca="false">BH111*BL111</f>
        <v>0</v>
      </c>
      <c r="BP111" s="45" t="n">
        <f aca="false">BH111*BM111</f>
        <v>0</v>
      </c>
      <c r="BQ111" s="45" t="n">
        <f aca="false">BH111*BN111</f>
        <v>0</v>
      </c>
    </row>
    <row r="112" customFormat="false" ht="12.75" hidden="false" customHeight="false" outlineLevel="0" collapsed="false">
      <c r="A112" s="48" t="n">
        <f aca="false">DATE(YEAR(A111),MONTH(A111)+1,1)</f>
        <v>39264</v>
      </c>
      <c r="B112" s="40" t="n">
        <f aca="false">VLOOKUP(A112,STRADDLE,5,FALSE())</f>
        <v>3.044</v>
      </c>
      <c r="C112" s="40" t="n">
        <v>0</v>
      </c>
      <c r="D112" s="4" t="n">
        <f aca="false">VLOOKUP(A112,STRADDLE,8,FALSE())</f>
        <v>0.21</v>
      </c>
      <c r="E112" s="131" t="n">
        <f aca="false">IF(ISNUMBER(VLOOKUP(A112,VOLCURVES,HLOOKUP(B$5,VOLCURVES,2,FALSE()),FALSE())),VLOOKUP(A112,VOLCURVES,HLOOKUP(B$5,VOLCURVES,2,FALSE()),FALSE()),1)</f>
        <v>1</v>
      </c>
      <c r="F112" s="41" t="n">
        <f aca="false">IF($B$17=4,$AB112,$B$16)</f>
        <v>3.8</v>
      </c>
      <c r="G112" s="41" t="n">
        <f aca="false">IF($D$17=4,$AM112,$D$16)</f>
        <v>3.5</v>
      </c>
      <c r="H112" s="41" t="n">
        <f aca="false">IF($F$17=4,$AX112,$F$16)</f>
        <v>2.96</v>
      </c>
      <c r="I112" s="41" t="n">
        <f aca="false">IF($H$17=4,$BI112,$H$16)</f>
        <v>2.99</v>
      </c>
      <c r="J112" s="4" t="n">
        <f aca="false">IF($B$19=1,VLOOKUP($A112,SkewTable,HLOOKUP(ROUND(F112-AB112,1),SkewTable,2,FALSE()),FALSE())/100,0)</f>
        <v>0.0451185018386</v>
      </c>
      <c r="K112" s="4" t="e">
        <f aca="false">IF($D$19=1,VLOOKUP($A112,SkewTable,HLOOKUP(ROUND(G112-AM112,1),SkewTable,2,FALSE()),FALSE())/100,0)</f>
        <v>#DIV/0!</v>
      </c>
      <c r="L112" s="4" t="e">
        <f aca="false">IF($F$19=1,VLOOKUP($A112,SkewTable,HLOOKUP(ROUND(H112-AX112,1),SkewTable,2,FALSE()),FALSE())/100,0)</f>
        <v>#DIV/0!</v>
      </c>
      <c r="M112" s="4" t="e">
        <f aca="false">IF($H$19=1,VLOOKUP($A112,SkewTable,HLOOKUP(ROUND(I112-BI112,1),SkewTable,2,FALSE()),FALSE())/100,0)</f>
        <v>#DIV/0!</v>
      </c>
      <c r="N112" s="4" t="n">
        <f aca="false">(($D112+J112)*$E112)+B$18</f>
        <v>0.2551185018386</v>
      </c>
      <c r="O112" s="4" t="e">
        <f aca="false">(($D112+K112)*$E112)+D$18</f>
        <v>#DIV/0!</v>
      </c>
      <c r="P112" s="4" t="e">
        <f aca="false">(($D112+L112)*$E112)+F$18</f>
        <v>#DIV/0!</v>
      </c>
      <c r="Q112" s="4" t="e">
        <f aca="false">(($D112+M112)*$E112)+H$18</f>
        <v>#DIV/0!</v>
      </c>
      <c r="R112" s="136" t="n">
        <f aca="false">IF(B$4=1,VLOOKUP(A112,expiration,2,FALSE()),VLOOKUP(A112,expiration,3,FALSE()))-B$2+$B$1</f>
        <v>-6666</v>
      </c>
      <c r="S112" s="4" t="n">
        <f aca="false">VLOOKUP($A112,STRADDLE,12,FALSE())</f>
        <v>0.069341024419133</v>
      </c>
      <c r="T112" s="1" t="n">
        <v>0</v>
      </c>
      <c r="U112" s="43" t="n">
        <v>0</v>
      </c>
      <c r="X112" s="43"/>
      <c r="Z112" s="9"/>
      <c r="AA112" s="9" t="n">
        <f aca="false">IF($A112&gt;=AB$25,IF($A112&lt;=AB$26,$T112,0),0)</f>
        <v>0</v>
      </c>
      <c r="AB112" s="9" t="n">
        <f aca="false">IF(T112&gt;0,AD112/AA112,0)</f>
        <v>0</v>
      </c>
      <c r="AC112" s="1" t="n">
        <f aca="false">AA112*($B112+B$13)</f>
        <v>0</v>
      </c>
      <c r="AD112" s="33" t="n">
        <f aca="false">IF(ISNUMBER(((AC112/AA112)+B$15+$C112)*AA112),((AC112/AA112)+B$15+$C112)*AA112,0)</f>
        <v>0</v>
      </c>
      <c r="AE112" s="44" t="n">
        <f aca="false">IF(AA112=0,0,bsd(1,AF$27,AB112,$F112,$R112,$N112,$S112,0.1))</f>
        <v>0</v>
      </c>
      <c r="AF112" s="44" t="n">
        <f aca="false">IF(AA112=0,0,bsd(2,AF$27,AB112,$F112,$R112,$N112,$S112,0.1))</f>
        <v>0</v>
      </c>
      <c r="AG112" s="44" t="n">
        <f aca="false">IF(AA112=0,0,bsd(AF$28,AF$27,AB112,$F112,$R112,$N112,$S112,0.1))</f>
        <v>0</v>
      </c>
      <c r="AH112" s="45" t="n">
        <f aca="false">AA112*AE112</f>
        <v>0</v>
      </c>
      <c r="AI112" s="45" t="n">
        <f aca="false">AA112*AF112</f>
        <v>0</v>
      </c>
      <c r="AJ112" s="45" t="n">
        <f aca="false">AA112*AG112</f>
        <v>0</v>
      </c>
      <c r="AL112" s="9" t="n">
        <f aca="false">IF($A112&gt;=AM$25,IF($A112&lt;=AM$26,$T112,0),0)</f>
        <v>0</v>
      </c>
      <c r="AM112" s="9" t="e">
        <f aca="false">AO112/AL112</f>
        <v>#DIV/0!</v>
      </c>
      <c r="AN112" s="1" t="n">
        <f aca="false">AL112*($B112+D$13)</f>
        <v>0</v>
      </c>
      <c r="AO112" s="33" t="n">
        <f aca="false">IF(ISNUMBER(((AN112/AL112)+D$15+$C112)*AL112),((AN112/AL112)+D$15+$C112)*AL112,0)</f>
        <v>0</v>
      </c>
      <c r="AP112" s="44" t="n">
        <f aca="false">IF(AL112=0,0,bsd(1,AQ$27,AM112,$G112,$R112,$O112,$S112,0.1))</f>
        <v>0</v>
      </c>
      <c r="AQ112" s="44" t="n">
        <f aca="false">IF(AL112=0,0,bsd(2,AQ$27,AM112,$G112,$R112,$O112,$S112,0.1))</f>
        <v>0</v>
      </c>
      <c r="AR112" s="44" t="n">
        <f aca="false">IF(AL112=0,0,bsd(AQ$28,AQ$27,AM112,$G112,$R112,$O112,$S112,0.1))</f>
        <v>0</v>
      </c>
      <c r="AS112" s="45" t="n">
        <f aca="false">AL112*AP112</f>
        <v>0</v>
      </c>
      <c r="AT112" s="45" t="n">
        <f aca="false">AL112*AQ112</f>
        <v>0</v>
      </c>
      <c r="AU112" s="45" t="n">
        <f aca="false">AL112*AR112</f>
        <v>0</v>
      </c>
      <c r="AW112" s="9" t="n">
        <f aca="false">IF($A112&gt;=AX$25,IF($A112&lt;=AX$26,$T112,0),0)</f>
        <v>0</v>
      </c>
      <c r="AX112" s="9" t="e">
        <f aca="false">AZ112/AW112</f>
        <v>#DIV/0!</v>
      </c>
      <c r="AY112" s="1" t="n">
        <f aca="false">AW112*($B112+F$13)</f>
        <v>0</v>
      </c>
      <c r="AZ112" s="33" t="n">
        <f aca="false">IF(ISNUMBER(((AY112/AW112)+F$15+$C112)*AW112),((AY112/AW112)+F$15+$C112)*AW112,0)</f>
        <v>0</v>
      </c>
      <c r="BA112" s="44" t="n">
        <f aca="false">IF(AW112=0,0,bsd(1,BB$27,AX112,$H112,$R112,$P112,$S112,0.1))</f>
        <v>0</v>
      </c>
      <c r="BB112" s="44" t="n">
        <f aca="false">IF(AW112=0,0,bsd(2,BB$27,AX112,$H112,$R112,$P112,$S112,0.1))</f>
        <v>0</v>
      </c>
      <c r="BC112" s="44" t="n">
        <f aca="false">IF(AW112=0,0,bsd(BB$28,BB$27,AX112,$H112,$R112,$P112,$S112,0.1))</f>
        <v>0</v>
      </c>
      <c r="BD112" s="45" t="n">
        <f aca="false">AW112*BA112</f>
        <v>0</v>
      </c>
      <c r="BE112" s="45" t="n">
        <f aca="false">AW112*BB112</f>
        <v>0</v>
      </c>
      <c r="BF112" s="45" t="n">
        <f aca="false">AW112*BC112</f>
        <v>0</v>
      </c>
      <c r="BH112" s="9" t="n">
        <f aca="false">IF($A112&gt;=BI$25,IF($A112&lt;=BI$26,$T112,0),0)</f>
        <v>0</v>
      </c>
      <c r="BI112" s="9" t="e">
        <f aca="false">BK112/BH112</f>
        <v>#DIV/0!</v>
      </c>
      <c r="BJ112" s="1" t="n">
        <f aca="false">BH112*($B112+H$13)</f>
        <v>0</v>
      </c>
      <c r="BK112" s="33" t="n">
        <f aca="false">IF(ISNUMBER(((BJ112/BH112)+H$15+$C112)*BH112),((BJ112/BH112)+H$15+$C112)*BH112,0)</f>
        <v>0</v>
      </c>
      <c r="BL112" s="44" t="n">
        <f aca="false">IF(BH112=0,0,bsd(1,BM$27,BI112,$I112,$R112,$Q112,$S112,0.1))</f>
        <v>0</v>
      </c>
      <c r="BM112" s="44" t="n">
        <f aca="false">IF(BH112=0,0,bsd(2,BM$27,BI112,$I112,$R112,$Q112,$S112,0.1))</f>
        <v>0</v>
      </c>
      <c r="BN112" s="44" t="n">
        <f aca="false">IF(BH112=0,0,bsd(BM$28,BM$27,BI112,$I112,$R112,$Q112,$S112,0.1))</f>
        <v>0</v>
      </c>
      <c r="BO112" s="45" t="n">
        <f aca="false">BH112*BL112</f>
        <v>0</v>
      </c>
      <c r="BP112" s="45" t="n">
        <f aca="false">BH112*BM112</f>
        <v>0</v>
      </c>
      <c r="BQ112" s="45" t="n">
        <f aca="false">BH112*BN112</f>
        <v>0</v>
      </c>
    </row>
    <row r="113" customFormat="false" ht="12.75" hidden="false" customHeight="false" outlineLevel="0" collapsed="false">
      <c r="A113" s="48" t="n">
        <f aca="false">DATE(YEAR(A112),MONTH(A112)+1,1)</f>
        <v>39295</v>
      </c>
      <c r="B113" s="40" t="n">
        <f aca="false">VLOOKUP(A113,STRADDLE,5,FALSE())</f>
        <v>3.051</v>
      </c>
      <c r="C113" s="40" t="n">
        <v>0</v>
      </c>
      <c r="D113" s="4" t="n">
        <f aca="false">VLOOKUP(A113,STRADDLE,8,FALSE())</f>
        <v>0.21</v>
      </c>
      <c r="E113" s="131" t="n">
        <f aca="false">IF(ISNUMBER(VLOOKUP(A113,VOLCURVES,HLOOKUP(B$5,VOLCURVES,2,FALSE()),FALSE())),VLOOKUP(A113,VOLCURVES,HLOOKUP(B$5,VOLCURVES,2,FALSE()),FALSE()),1)</f>
        <v>1</v>
      </c>
      <c r="F113" s="41" t="n">
        <f aca="false">IF($B$17=4,$AB113,$B$16)</f>
        <v>3.8</v>
      </c>
      <c r="G113" s="41" t="n">
        <f aca="false">IF($D$17=4,$AM113,$D$16)</f>
        <v>3.5</v>
      </c>
      <c r="H113" s="41" t="n">
        <f aca="false">IF($F$17=4,$AX113,$F$16)</f>
        <v>2.96</v>
      </c>
      <c r="I113" s="41" t="n">
        <f aca="false">IF($H$17=4,$BI113,$H$16)</f>
        <v>2.99</v>
      </c>
      <c r="J113" s="4" t="n">
        <f aca="false">IF($B$19=1,VLOOKUP($A113,SkewTable,HLOOKUP(ROUND(F113-AB113,1),SkewTable,2,FALSE()),FALSE())/100,0)</f>
        <v>0.0451185018386</v>
      </c>
      <c r="K113" s="4" t="e">
        <f aca="false">IF($D$19=1,VLOOKUP($A113,SkewTable,HLOOKUP(ROUND(G113-AM113,1),SkewTable,2,FALSE()),FALSE())/100,0)</f>
        <v>#DIV/0!</v>
      </c>
      <c r="L113" s="4" t="e">
        <f aca="false">IF($F$19=1,VLOOKUP($A113,SkewTable,HLOOKUP(ROUND(H113-AX113,1),SkewTable,2,FALSE()),FALSE())/100,0)</f>
        <v>#DIV/0!</v>
      </c>
      <c r="M113" s="4" t="e">
        <f aca="false">IF($H$19=1,VLOOKUP($A113,SkewTable,HLOOKUP(ROUND(I113-BI113,1),SkewTable,2,FALSE()),FALSE())/100,0)</f>
        <v>#DIV/0!</v>
      </c>
      <c r="N113" s="4" t="n">
        <f aca="false">(($D113+J113)*$E113)+B$18</f>
        <v>0.2551185018386</v>
      </c>
      <c r="O113" s="4" t="e">
        <f aca="false">(($D113+K113)*$E113)+D$18</f>
        <v>#DIV/0!</v>
      </c>
      <c r="P113" s="4" t="e">
        <f aca="false">(($D113+L113)*$E113)+F$18</f>
        <v>#DIV/0!</v>
      </c>
      <c r="Q113" s="4" t="e">
        <f aca="false">(($D113+M113)*$E113)+H$18</f>
        <v>#DIV/0!</v>
      </c>
      <c r="R113" s="136" t="n">
        <f aca="false">IF(B$4=1,VLOOKUP(A113,expiration,2,FALSE()),VLOOKUP(A113,expiration,3,FALSE()))-B$2+$B$1</f>
        <v>-6636</v>
      </c>
      <c r="S113" s="4" t="n">
        <f aca="false">VLOOKUP($A113,STRADDLE,12,FALSE())</f>
        <v>0.069392373816032</v>
      </c>
      <c r="T113" s="1" t="n">
        <v>0</v>
      </c>
      <c r="U113" s="43" t="n">
        <v>0</v>
      </c>
      <c r="X113" s="43"/>
      <c r="Z113" s="9"/>
      <c r="AA113" s="9" t="n">
        <f aca="false">IF($A113&gt;=AB$25,IF($A113&lt;=AB$26,$T113,0),0)</f>
        <v>0</v>
      </c>
      <c r="AB113" s="9" t="n">
        <f aca="false">IF(T113&gt;0,AD113/AA113,0)</f>
        <v>0</v>
      </c>
      <c r="AC113" s="1" t="n">
        <f aca="false">AA113*($B113+B$13)</f>
        <v>0</v>
      </c>
      <c r="AD113" s="33" t="n">
        <f aca="false">IF(ISNUMBER(((AC113/AA113)+B$15+$C113)*AA113),((AC113/AA113)+B$15+$C113)*AA113,0)</f>
        <v>0</v>
      </c>
      <c r="AE113" s="44" t="n">
        <f aca="false">IF(AA113=0,0,bsd(1,AF$27,AB113,$F113,$R113,$N113,$S113,0.1))</f>
        <v>0</v>
      </c>
      <c r="AF113" s="44" t="n">
        <f aca="false">IF(AA113=0,0,bsd(2,AF$27,AB113,$F113,$R113,$N113,$S113,0.1))</f>
        <v>0</v>
      </c>
      <c r="AG113" s="44" t="n">
        <f aca="false">IF(AA113=0,0,bsd(AF$28,AF$27,AB113,$F113,$R113,$N113,$S113,0.1))</f>
        <v>0</v>
      </c>
      <c r="AH113" s="45" t="n">
        <f aca="false">AA113*AE113</f>
        <v>0</v>
      </c>
      <c r="AI113" s="45" t="n">
        <f aca="false">AA113*AF113</f>
        <v>0</v>
      </c>
      <c r="AJ113" s="45" t="n">
        <f aca="false">AA113*AG113</f>
        <v>0</v>
      </c>
      <c r="AL113" s="9" t="n">
        <f aca="false">IF($A113&gt;=AM$25,IF($A113&lt;=AM$26,$T113,0),0)</f>
        <v>0</v>
      </c>
      <c r="AM113" s="9" t="e">
        <f aca="false">AO113/AL113</f>
        <v>#DIV/0!</v>
      </c>
      <c r="AN113" s="1" t="n">
        <f aca="false">AL113*($B113+D$13)</f>
        <v>0</v>
      </c>
      <c r="AO113" s="33" t="n">
        <f aca="false">IF(ISNUMBER(((AN113/AL113)+D$15+$C113)*AL113),((AN113/AL113)+D$15+$C113)*AL113,0)</f>
        <v>0</v>
      </c>
      <c r="AP113" s="44" t="n">
        <f aca="false">IF(AL113=0,0,bsd(1,AQ$27,AM113,$G113,$R113,$O113,$S113,0.1))</f>
        <v>0</v>
      </c>
      <c r="AQ113" s="44" t="n">
        <f aca="false">IF(AL113=0,0,bsd(2,AQ$27,AM113,$G113,$R113,$O113,$S113,0.1))</f>
        <v>0</v>
      </c>
      <c r="AR113" s="44" t="n">
        <f aca="false">IF(AL113=0,0,bsd(AQ$28,AQ$27,AM113,$G113,$R113,$O113,$S113,0.1))</f>
        <v>0</v>
      </c>
      <c r="AS113" s="45" t="n">
        <f aca="false">AL113*AP113</f>
        <v>0</v>
      </c>
      <c r="AT113" s="45" t="n">
        <f aca="false">AL113*AQ113</f>
        <v>0</v>
      </c>
      <c r="AU113" s="45" t="n">
        <f aca="false">AL113*AR113</f>
        <v>0</v>
      </c>
      <c r="AW113" s="9" t="n">
        <f aca="false">IF($A113&gt;=AX$25,IF($A113&lt;=AX$26,$T113,0),0)</f>
        <v>0</v>
      </c>
      <c r="AX113" s="9" t="e">
        <f aca="false">AZ113/AW113</f>
        <v>#DIV/0!</v>
      </c>
      <c r="AY113" s="1" t="n">
        <f aca="false">AW113*($B113+F$13)</f>
        <v>0</v>
      </c>
      <c r="AZ113" s="33" t="n">
        <f aca="false">IF(ISNUMBER(((AY113/AW113)+F$15+$C113)*AW113),((AY113/AW113)+F$15+$C113)*AW113,0)</f>
        <v>0</v>
      </c>
      <c r="BA113" s="44" t="n">
        <f aca="false">IF(AW113=0,0,bsd(1,BB$27,AX113,$H113,$R113,$P113,$S113,0.1))</f>
        <v>0</v>
      </c>
      <c r="BB113" s="44" t="n">
        <f aca="false">IF(AW113=0,0,bsd(2,BB$27,AX113,$H113,$R113,$P113,$S113,0.1))</f>
        <v>0</v>
      </c>
      <c r="BC113" s="44" t="n">
        <f aca="false">IF(AW113=0,0,bsd(BB$28,BB$27,AX113,$H113,$R113,$P113,$S113,0.1))</f>
        <v>0</v>
      </c>
      <c r="BD113" s="45" t="n">
        <f aca="false">AW113*BA113</f>
        <v>0</v>
      </c>
      <c r="BE113" s="45" t="n">
        <f aca="false">AW113*BB113</f>
        <v>0</v>
      </c>
      <c r="BF113" s="45" t="n">
        <f aca="false">AW113*BC113</f>
        <v>0</v>
      </c>
      <c r="BH113" s="9" t="n">
        <f aca="false">IF($A113&gt;=BI$25,IF($A113&lt;=BI$26,$T113,0),0)</f>
        <v>0</v>
      </c>
      <c r="BI113" s="9" t="e">
        <f aca="false">BK113/BH113</f>
        <v>#DIV/0!</v>
      </c>
      <c r="BJ113" s="1" t="n">
        <f aca="false">BH113*($B113+H$13)</f>
        <v>0</v>
      </c>
      <c r="BK113" s="33" t="n">
        <f aca="false">IF(ISNUMBER(((BJ113/BH113)+H$15+$C113)*BH113),((BJ113/BH113)+H$15+$C113)*BH113,0)</f>
        <v>0</v>
      </c>
      <c r="BL113" s="44" t="n">
        <f aca="false">IF(BH113=0,0,bsd(1,BM$27,BI113,$I113,$R113,$Q113,$S113,0.1))</f>
        <v>0</v>
      </c>
      <c r="BM113" s="44" t="n">
        <f aca="false">IF(BH113=0,0,bsd(2,BM$27,BI113,$I113,$R113,$Q113,$S113,0.1))</f>
        <v>0</v>
      </c>
      <c r="BN113" s="44" t="n">
        <f aca="false">IF(BH113=0,0,bsd(BM$28,BM$27,BI113,$I113,$R113,$Q113,$S113,0.1))</f>
        <v>0</v>
      </c>
      <c r="BO113" s="45" t="n">
        <f aca="false">BH113*BL113</f>
        <v>0</v>
      </c>
      <c r="BP113" s="45" t="n">
        <f aca="false">BH113*BM113</f>
        <v>0</v>
      </c>
      <c r="BQ113" s="45" t="n">
        <f aca="false">BH113*BN113</f>
        <v>0</v>
      </c>
    </row>
    <row r="114" customFormat="false" ht="12.75" hidden="false" customHeight="false" outlineLevel="0" collapsed="false">
      <c r="A114" s="48" t="n">
        <f aca="false">DATE(YEAR(A113),MONTH(A113)+1,1)</f>
        <v>39326</v>
      </c>
      <c r="B114" s="40" t="n">
        <f aca="false">VLOOKUP(A114,STRADDLE,5,FALSE())</f>
        <v>3.037</v>
      </c>
      <c r="C114" s="40" t="n">
        <v>0</v>
      </c>
      <c r="D114" s="4" t="n">
        <f aca="false">VLOOKUP(A114,STRADDLE,8,FALSE())</f>
        <v>0.21</v>
      </c>
      <c r="E114" s="131" t="n">
        <f aca="false">IF(ISNUMBER(VLOOKUP(A114,VOLCURVES,HLOOKUP(B$5,VOLCURVES,2,FALSE()),FALSE())),VLOOKUP(A114,VOLCURVES,HLOOKUP(B$5,VOLCURVES,2,FALSE()),FALSE()),1)</f>
        <v>1</v>
      </c>
      <c r="F114" s="41" t="n">
        <f aca="false">IF($B$17=4,$AB114,$B$16)</f>
        <v>3.8</v>
      </c>
      <c r="G114" s="41" t="n">
        <f aca="false">IF($D$17=4,$AM114,$D$16)</f>
        <v>3.5</v>
      </c>
      <c r="H114" s="41" t="n">
        <f aca="false">IF($F$17=4,$AX114,$F$16)</f>
        <v>2.96</v>
      </c>
      <c r="I114" s="41" t="n">
        <f aca="false">IF($H$17=4,$BI114,$H$16)</f>
        <v>2.99</v>
      </c>
      <c r="J114" s="4" t="n">
        <f aca="false">IF($B$19=1,VLOOKUP($A114,SkewTable,HLOOKUP(ROUND(F114-AB114,1),SkewTable,2,FALSE()),FALSE())/100,0)</f>
        <v>0.0451185018386</v>
      </c>
      <c r="K114" s="4" t="e">
        <f aca="false">IF($D$19=1,VLOOKUP($A114,SkewTable,HLOOKUP(ROUND(G114-AM114,1),SkewTable,2,FALSE()),FALSE())/100,0)</f>
        <v>#DIV/0!</v>
      </c>
      <c r="L114" s="4" t="e">
        <f aca="false">IF($F$19=1,VLOOKUP($A114,SkewTable,HLOOKUP(ROUND(H114-AX114,1),SkewTable,2,FALSE()),FALSE())/100,0)</f>
        <v>#DIV/0!</v>
      </c>
      <c r="M114" s="4" t="e">
        <f aca="false">IF($H$19=1,VLOOKUP($A114,SkewTable,HLOOKUP(ROUND(I114-BI114,1),SkewTable,2,FALSE()),FALSE())/100,0)</f>
        <v>#DIV/0!</v>
      </c>
      <c r="N114" s="4" t="n">
        <f aca="false">(($D114+J114)*$E114)+B$18</f>
        <v>0.2551185018386</v>
      </c>
      <c r="O114" s="4" t="e">
        <f aca="false">(($D114+K114)*$E114)+D$18</f>
        <v>#DIV/0!</v>
      </c>
      <c r="P114" s="4" t="e">
        <f aca="false">(($D114+L114)*$E114)+F$18</f>
        <v>#DIV/0!</v>
      </c>
      <c r="Q114" s="4" t="e">
        <f aca="false">(($D114+M114)*$E114)+H$18</f>
        <v>#DIV/0!</v>
      </c>
      <c r="R114" s="136" t="n">
        <f aca="false">IF(B$4=1,VLOOKUP(A114,expiration,2,FALSE()),VLOOKUP(A114,expiration,3,FALSE()))-B$2+$B$1</f>
        <v>-6603</v>
      </c>
      <c r="S114" s="4" t="n">
        <f aca="false">VLOOKUP($A114,STRADDLE,12,FALSE())</f>
        <v>0.069443723213803</v>
      </c>
      <c r="T114" s="1" t="n">
        <v>0</v>
      </c>
      <c r="U114" s="43" t="n">
        <v>0</v>
      </c>
      <c r="X114" s="43"/>
      <c r="Z114" s="9"/>
      <c r="AA114" s="9" t="n">
        <f aca="false">IF($A114&gt;=AB$25,IF($A114&lt;=AB$26,$T114,0),0)</f>
        <v>0</v>
      </c>
      <c r="AB114" s="9" t="n">
        <f aca="false">IF(T114&gt;0,AD114/AA114,0)</f>
        <v>0</v>
      </c>
      <c r="AC114" s="1" t="n">
        <f aca="false">AA114*($B114+B$13)</f>
        <v>0</v>
      </c>
      <c r="AD114" s="33" t="n">
        <f aca="false">IF(ISNUMBER(((AC114/AA114)+B$15+$C114)*AA114),((AC114/AA114)+B$15+$C114)*AA114,0)</f>
        <v>0</v>
      </c>
      <c r="AE114" s="44" t="n">
        <f aca="false">IF(AA114=0,0,bsd(1,AF$27,AB114,$F114,$R114,$N114,$S114,0.1))</f>
        <v>0</v>
      </c>
      <c r="AF114" s="44" t="n">
        <f aca="false">IF(AA114=0,0,bsd(2,AF$27,AB114,$F114,$R114,$N114,$S114,0.1))</f>
        <v>0</v>
      </c>
      <c r="AG114" s="44" t="n">
        <f aca="false">IF(AA114=0,0,bsd(AF$28,AF$27,AB114,$F114,$R114,$N114,$S114,0.1))</f>
        <v>0</v>
      </c>
      <c r="AH114" s="45" t="n">
        <f aca="false">AA114*AE114</f>
        <v>0</v>
      </c>
      <c r="AI114" s="45" t="n">
        <f aca="false">AA114*AF114</f>
        <v>0</v>
      </c>
      <c r="AJ114" s="45" t="n">
        <f aca="false">AA114*AG114</f>
        <v>0</v>
      </c>
      <c r="AL114" s="9" t="n">
        <f aca="false">IF($A114&gt;=AM$25,IF($A114&lt;=AM$26,$T114,0),0)</f>
        <v>0</v>
      </c>
      <c r="AM114" s="9" t="e">
        <f aca="false">AO114/AL114</f>
        <v>#DIV/0!</v>
      </c>
      <c r="AN114" s="1" t="n">
        <f aca="false">AL114*($B114+D$13)</f>
        <v>0</v>
      </c>
      <c r="AO114" s="33" t="n">
        <f aca="false">IF(ISNUMBER(((AN114/AL114)+D$15+$C114)*AL114),((AN114/AL114)+D$15+$C114)*AL114,0)</f>
        <v>0</v>
      </c>
      <c r="AP114" s="44" t="n">
        <f aca="false">IF(AL114=0,0,bsd(1,AQ$27,AM114,$G114,$R114,$O114,$S114,0.1))</f>
        <v>0</v>
      </c>
      <c r="AQ114" s="44" t="n">
        <f aca="false">IF(AL114=0,0,bsd(2,AQ$27,AM114,$G114,$R114,$O114,$S114,0.1))</f>
        <v>0</v>
      </c>
      <c r="AR114" s="44" t="n">
        <f aca="false">IF(AL114=0,0,bsd(AQ$28,AQ$27,AM114,$G114,$R114,$O114,$S114,0.1))</f>
        <v>0</v>
      </c>
      <c r="AS114" s="45" t="n">
        <f aca="false">AL114*AP114</f>
        <v>0</v>
      </c>
      <c r="AT114" s="45" t="n">
        <f aca="false">AL114*AQ114</f>
        <v>0</v>
      </c>
      <c r="AU114" s="45" t="n">
        <f aca="false">AL114*AR114</f>
        <v>0</v>
      </c>
      <c r="AW114" s="9" t="n">
        <f aca="false">IF($A114&gt;=AX$25,IF($A114&lt;=AX$26,$T114,0),0)</f>
        <v>0</v>
      </c>
      <c r="AX114" s="9" t="e">
        <f aca="false">AZ114/AW114</f>
        <v>#DIV/0!</v>
      </c>
      <c r="AY114" s="1" t="n">
        <f aca="false">AW114*($B114+F$13)</f>
        <v>0</v>
      </c>
      <c r="AZ114" s="33" t="n">
        <f aca="false">IF(ISNUMBER(((AY114/AW114)+F$15+$C114)*AW114),((AY114/AW114)+F$15+$C114)*AW114,0)</f>
        <v>0</v>
      </c>
      <c r="BA114" s="44" t="n">
        <f aca="false">IF(AW114=0,0,bsd(1,BB$27,AX114,$H114,$R114,$P114,$S114,0.1))</f>
        <v>0</v>
      </c>
      <c r="BB114" s="44" t="n">
        <f aca="false">IF(AW114=0,0,bsd(2,BB$27,AX114,$H114,$R114,$P114,$S114,0.1))</f>
        <v>0</v>
      </c>
      <c r="BC114" s="44" t="n">
        <f aca="false">IF(AW114=0,0,bsd(BB$28,BB$27,AX114,$H114,$R114,$P114,$S114,0.1))</f>
        <v>0</v>
      </c>
      <c r="BD114" s="45" t="n">
        <f aca="false">AW114*BA114</f>
        <v>0</v>
      </c>
      <c r="BE114" s="45" t="n">
        <f aca="false">AW114*BB114</f>
        <v>0</v>
      </c>
      <c r="BF114" s="45" t="n">
        <f aca="false">AW114*BC114</f>
        <v>0</v>
      </c>
      <c r="BH114" s="9" t="n">
        <f aca="false">IF($A114&gt;=BI$25,IF($A114&lt;=BI$26,$T114,0),0)</f>
        <v>0</v>
      </c>
      <c r="BI114" s="9" t="e">
        <f aca="false">BK114/BH114</f>
        <v>#DIV/0!</v>
      </c>
      <c r="BJ114" s="1" t="n">
        <f aca="false">BH114*($B114+H$13)</f>
        <v>0</v>
      </c>
      <c r="BK114" s="33" t="n">
        <f aca="false">IF(ISNUMBER(((BJ114/BH114)+H$15+$C114)*BH114),((BJ114/BH114)+H$15+$C114)*BH114,0)</f>
        <v>0</v>
      </c>
      <c r="BL114" s="44" t="n">
        <f aca="false">IF(BH114=0,0,bsd(1,BM$27,BI114,$I114,$R114,$Q114,$S114,0.1))</f>
        <v>0</v>
      </c>
      <c r="BM114" s="44" t="n">
        <f aca="false">IF(BH114=0,0,bsd(2,BM$27,BI114,$I114,$R114,$Q114,$S114,0.1))</f>
        <v>0</v>
      </c>
      <c r="BN114" s="44" t="n">
        <f aca="false">IF(BH114=0,0,bsd(BM$28,BM$27,BI114,$I114,$R114,$Q114,$S114,0.1))</f>
        <v>0</v>
      </c>
      <c r="BO114" s="45" t="n">
        <f aca="false">BH114*BL114</f>
        <v>0</v>
      </c>
      <c r="BP114" s="45" t="n">
        <f aca="false">BH114*BM114</f>
        <v>0</v>
      </c>
      <c r="BQ114" s="45" t="n">
        <f aca="false">BH114*BN114</f>
        <v>0</v>
      </c>
    </row>
    <row r="115" customFormat="false" ht="12.75" hidden="false" customHeight="false" outlineLevel="0" collapsed="false">
      <c r="A115" s="48" t="n">
        <f aca="false">DATE(YEAR(A114),MONTH(A114)+1,1)</f>
        <v>39356</v>
      </c>
      <c r="B115" s="40" t="n">
        <f aca="false">VLOOKUP(A115,STRADDLE,5,FALSE())</f>
        <v>3.056</v>
      </c>
      <c r="C115" s="40" t="n">
        <v>0</v>
      </c>
      <c r="D115" s="4" t="n">
        <f aca="false">VLOOKUP(A115,STRADDLE,8,FALSE())</f>
        <v>0.2</v>
      </c>
      <c r="E115" s="131" t="n">
        <f aca="false">IF(ISNUMBER(VLOOKUP(A115,VOLCURVES,HLOOKUP(B$5,VOLCURVES,2,FALSE()),FALSE())),VLOOKUP(A115,VOLCURVES,HLOOKUP(B$5,VOLCURVES,2,FALSE()),FALSE()),1)</f>
        <v>1</v>
      </c>
      <c r="F115" s="41" t="n">
        <f aca="false">IF($B$17=4,$AB115,$B$16)</f>
        <v>3.8</v>
      </c>
      <c r="G115" s="41" t="n">
        <f aca="false">IF($D$17=4,$AM115,$D$16)</f>
        <v>3.5</v>
      </c>
      <c r="H115" s="41" t="n">
        <f aca="false">IF($F$17=4,$AX115,$F$16)</f>
        <v>2.96</v>
      </c>
      <c r="I115" s="41" t="n">
        <f aca="false">IF($H$17=4,$BI115,$H$16)</f>
        <v>2.99</v>
      </c>
      <c r="J115" s="4" t="n">
        <f aca="false">IF($B$19=1,VLOOKUP($A115,SkewTable,HLOOKUP(ROUND(F115-AB115,1),SkewTable,2,FALSE()),FALSE())/100,0)</f>
        <v>0.0451185018386</v>
      </c>
      <c r="K115" s="4" t="e">
        <f aca="false">IF($D$19=1,VLOOKUP($A115,SkewTable,HLOOKUP(ROUND(G115-AM115,1),SkewTable,2,FALSE()),FALSE())/100,0)</f>
        <v>#DIV/0!</v>
      </c>
      <c r="L115" s="4" t="e">
        <f aca="false">IF($F$19=1,VLOOKUP($A115,SkewTable,HLOOKUP(ROUND(H115-AX115,1),SkewTable,2,FALSE()),FALSE())/100,0)</f>
        <v>#DIV/0!</v>
      </c>
      <c r="M115" s="4" t="e">
        <f aca="false">IF($H$19=1,VLOOKUP($A115,SkewTable,HLOOKUP(ROUND(I115-BI115,1),SkewTable,2,FALSE()),FALSE())/100,0)</f>
        <v>#DIV/0!</v>
      </c>
      <c r="N115" s="4" t="n">
        <f aca="false">(($D115+J115)*$E115)+B$18</f>
        <v>0.2451185018386</v>
      </c>
      <c r="O115" s="4" t="e">
        <f aca="false">(($D115+K115)*$E115)+D$18</f>
        <v>#DIV/0!</v>
      </c>
      <c r="P115" s="4" t="e">
        <f aca="false">(($D115+L115)*$E115)+F$18</f>
        <v>#DIV/0!</v>
      </c>
      <c r="Q115" s="4" t="e">
        <f aca="false">(($D115+M115)*$E115)+H$18</f>
        <v>#DIV/0!</v>
      </c>
      <c r="R115" s="136" t="n">
        <f aca="false">IF(B$4=1,VLOOKUP(A115,expiration,2,FALSE()),VLOOKUP(A115,expiration,3,FALSE()))-B$2+$B$1</f>
        <v>-6575</v>
      </c>
      <c r="S115" s="4" t="n">
        <f aca="false">VLOOKUP($A115,STRADDLE,12,FALSE())</f>
        <v>0.069488464519514</v>
      </c>
      <c r="T115" s="1" t="n">
        <v>0</v>
      </c>
      <c r="U115" s="43" t="n">
        <v>0</v>
      </c>
      <c r="X115" s="43"/>
      <c r="Z115" s="9"/>
      <c r="AA115" s="9" t="n">
        <f aca="false">IF($A115&gt;=AB$25,IF($A115&lt;=AB$26,$T115,0),0)</f>
        <v>0</v>
      </c>
      <c r="AB115" s="9" t="n">
        <f aca="false">IF(T115&gt;0,AD115/AA115,0)</f>
        <v>0</v>
      </c>
      <c r="AC115" s="1" t="n">
        <f aca="false">AA115*($B115+B$13)</f>
        <v>0</v>
      </c>
      <c r="AD115" s="33" t="n">
        <f aca="false">IF(ISNUMBER(((AC115/AA115)+B$15+$C115)*AA115),((AC115/AA115)+B$15+$C115)*AA115,0)</f>
        <v>0</v>
      </c>
      <c r="AE115" s="44" t="n">
        <f aca="false">IF(AA115=0,0,bsd(1,AF$27,AB115,$F115,$R115,$N115,$S115,0.1))</f>
        <v>0</v>
      </c>
      <c r="AF115" s="44" t="n">
        <f aca="false">IF(AA115=0,0,bsd(2,AF$27,AB115,$F115,$R115,$N115,$S115,0.1))</f>
        <v>0</v>
      </c>
      <c r="AG115" s="44" t="n">
        <f aca="false">IF(AA115=0,0,bsd(AF$28,AF$27,AB115,$F115,$R115,$N115,$S115,0.1))</f>
        <v>0</v>
      </c>
      <c r="AH115" s="45" t="n">
        <f aca="false">AA115*AE115</f>
        <v>0</v>
      </c>
      <c r="AI115" s="45" t="n">
        <f aca="false">AA115*AF115</f>
        <v>0</v>
      </c>
      <c r="AJ115" s="45" t="n">
        <f aca="false">AA115*AG115</f>
        <v>0</v>
      </c>
      <c r="AL115" s="9" t="n">
        <f aca="false">IF($A115&gt;=AM$25,IF($A115&lt;=AM$26,$T115,0),0)</f>
        <v>0</v>
      </c>
      <c r="AM115" s="9" t="e">
        <f aca="false">AO115/AL115</f>
        <v>#DIV/0!</v>
      </c>
      <c r="AN115" s="1" t="n">
        <f aca="false">AL115*($B115+D$13)</f>
        <v>0</v>
      </c>
      <c r="AO115" s="33" t="n">
        <f aca="false">IF(ISNUMBER(((AN115/AL115)+D$15+$C115)*AL115),((AN115/AL115)+D$15+$C115)*AL115,0)</f>
        <v>0</v>
      </c>
      <c r="AP115" s="44" t="n">
        <f aca="false">IF(AL115=0,0,bsd(1,AQ$27,AM115,$G115,$R115,$O115,$S115,0.1))</f>
        <v>0</v>
      </c>
      <c r="AQ115" s="44" t="n">
        <f aca="false">IF(AL115=0,0,bsd(2,AQ$27,AM115,$G115,$R115,$O115,$S115,0.1))</f>
        <v>0</v>
      </c>
      <c r="AR115" s="44" t="n">
        <f aca="false">IF(AL115=0,0,bsd(AQ$28,AQ$27,AM115,$G115,$R115,$O115,$S115,0.1))</f>
        <v>0</v>
      </c>
      <c r="AS115" s="45" t="n">
        <f aca="false">AL115*AP115</f>
        <v>0</v>
      </c>
      <c r="AT115" s="45" t="n">
        <f aca="false">AL115*AQ115</f>
        <v>0</v>
      </c>
      <c r="AU115" s="45" t="n">
        <f aca="false">AL115*AR115</f>
        <v>0</v>
      </c>
      <c r="AW115" s="9" t="n">
        <f aca="false">IF($A115&gt;=AX$25,IF($A115&lt;=AX$26,$T115,0),0)</f>
        <v>0</v>
      </c>
      <c r="AX115" s="9" t="e">
        <f aca="false">AZ115/AW115</f>
        <v>#DIV/0!</v>
      </c>
      <c r="AY115" s="1" t="n">
        <f aca="false">AW115*($B115+F$13)</f>
        <v>0</v>
      </c>
      <c r="AZ115" s="33" t="n">
        <f aca="false">IF(ISNUMBER(((AY115/AW115)+F$15+$C115)*AW115),((AY115/AW115)+F$15+$C115)*AW115,0)</f>
        <v>0</v>
      </c>
      <c r="BA115" s="44" t="n">
        <f aca="false">IF(AW115=0,0,bsd(1,BB$27,AX115,$H115,$R115,$P115,$S115,0.1))</f>
        <v>0</v>
      </c>
      <c r="BB115" s="44" t="n">
        <f aca="false">IF(AW115=0,0,bsd(2,BB$27,AX115,$H115,$R115,$P115,$S115,0.1))</f>
        <v>0</v>
      </c>
      <c r="BC115" s="44" t="n">
        <f aca="false">IF(AW115=0,0,bsd(BB$28,BB$27,AX115,$H115,$R115,$P115,$S115,0.1))</f>
        <v>0</v>
      </c>
      <c r="BD115" s="45" t="n">
        <f aca="false">AW115*BA115</f>
        <v>0</v>
      </c>
      <c r="BE115" s="45" t="n">
        <f aca="false">AW115*BB115</f>
        <v>0</v>
      </c>
      <c r="BF115" s="45" t="n">
        <f aca="false">AW115*BC115</f>
        <v>0</v>
      </c>
      <c r="BH115" s="9" t="n">
        <f aca="false">IF($A115&gt;=BI$25,IF($A115&lt;=BI$26,$T115,0),0)</f>
        <v>0</v>
      </c>
      <c r="BI115" s="9" t="e">
        <f aca="false">BK115/BH115</f>
        <v>#DIV/0!</v>
      </c>
      <c r="BJ115" s="1" t="n">
        <f aca="false">BH115*($B115+H$13)</f>
        <v>0</v>
      </c>
      <c r="BK115" s="33" t="n">
        <f aca="false">IF(ISNUMBER(((BJ115/BH115)+H$15+$C115)*BH115),((BJ115/BH115)+H$15+$C115)*BH115,0)</f>
        <v>0</v>
      </c>
      <c r="BL115" s="44" t="n">
        <f aca="false">IF(BH115=0,0,bsd(1,BM$27,BI115,$I115,$R115,$Q115,$S115,0.1))</f>
        <v>0</v>
      </c>
      <c r="BM115" s="44" t="n">
        <f aca="false">IF(BH115=0,0,bsd(2,BM$27,BI115,$I115,$R115,$Q115,$S115,0.1))</f>
        <v>0</v>
      </c>
      <c r="BN115" s="44" t="n">
        <f aca="false">IF(BH115=0,0,bsd(BM$28,BM$27,BI115,$I115,$R115,$Q115,$S115,0.1))</f>
        <v>0</v>
      </c>
      <c r="BO115" s="45" t="n">
        <f aca="false">BH115*BL115</f>
        <v>0</v>
      </c>
      <c r="BP115" s="45" t="n">
        <f aca="false">BH115*BM115</f>
        <v>0</v>
      </c>
      <c r="BQ115" s="45" t="n">
        <f aca="false">BH115*BN115</f>
        <v>0</v>
      </c>
    </row>
    <row r="116" customFormat="false" ht="12.75" hidden="false" customHeight="false" outlineLevel="0" collapsed="false">
      <c r="A116" s="48" t="n">
        <f aca="false">DATE(YEAR(A115),MONTH(A115)+1,1)</f>
        <v>39387</v>
      </c>
      <c r="B116" s="40" t="n">
        <f aca="false">VLOOKUP(A116,STRADDLE,5,FALSE())</f>
        <v>3.128</v>
      </c>
      <c r="C116" s="40" t="n">
        <v>0</v>
      </c>
      <c r="D116" s="4" t="n">
        <f aca="false">VLOOKUP(A116,STRADDLE,8,FALSE())</f>
        <v>0.2</v>
      </c>
      <c r="E116" s="131" t="n">
        <f aca="false">IF(ISNUMBER(VLOOKUP(A116,VOLCURVES,HLOOKUP(B$5,VOLCURVES,2,FALSE()),FALSE())),VLOOKUP(A116,VOLCURVES,HLOOKUP(B$5,VOLCURVES,2,FALSE()),FALSE()),1)</f>
        <v>1</v>
      </c>
      <c r="F116" s="41" t="n">
        <f aca="false">IF($B$17=4,$AB116,$B$16)</f>
        <v>3.8</v>
      </c>
      <c r="G116" s="41" t="n">
        <f aca="false">IF($D$17=4,$AM116,$D$16)</f>
        <v>3.5</v>
      </c>
      <c r="H116" s="41" t="n">
        <f aca="false">IF($F$17=4,$AX116,$F$16)</f>
        <v>2.96</v>
      </c>
      <c r="I116" s="41" t="n">
        <f aca="false">IF($H$17=4,$BI116,$H$16)</f>
        <v>2.99</v>
      </c>
      <c r="J116" s="4" t="n">
        <f aca="false">IF($B$19=1,VLOOKUP($A116,SkewTable,HLOOKUP(ROUND(F116-AB116,1),SkewTable,2,FALSE()),FALSE())/100,0)</f>
        <v>0.0451185018386</v>
      </c>
      <c r="K116" s="4" t="e">
        <f aca="false">IF($D$19=1,VLOOKUP($A116,SkewTable,HLOOKUP(ROUND(G116-AM116,1),SkewTable,2,FALSE()),FALSE())/100,0)</f>
        <v>#DIV/0!</v>
      </c>
      <c r="L116" s="4" t="e">
        <f aca="false">IF($F$19=1,VLOOKUP($A116,SkewTable,HLOOKUP(ROUND(H116-AX116,1),SkewTable,2,FALSE()),FALSE())/100,0)</f>
        <v>#DIV/0!</v>
      </c>
      <c r="M116" s="4" t="e">
        <f aca="false">IF($H$19=1,VLOOKUP($A116,SkewTable,HLOOKUP(ROUND(I116-BI116,1),SkewTable,2,FALSE()),FALSE())/100,0)</f>
        <v>#DIV/0!</v>
      </c>
      <c r="N116" s="4" t="n">
        <f aca="false">(($D116+J116)*$E116)+B$18</f>
        <v>0.2451185018386</v>
      </c>
      <c r="O116" s="4" t="e">
        <f aca="false">(($D116+K116)*$E116)+D$18</f>
        <v>#DIV/0!</v>
      </c>
      <c r="P116" s="4" t="e">
        <f aca="false">(($D116+L116)*$E116)+F$18</f>
        <v>#DIV/0!</v>
      </c>
      <c r="Q116" s="4" t="e">
        <f aca="false">(($D116+M116)*$E116)+H$18</f>
        <v>#DIV/0!</v>
      </c>
      <c r="R116" s="136" t="n">
        <f aca="false">IF(B$4=1,VLOOKUP(A116,expiration,2,FALSE()),VLOOKUP(A116,expiration,3,FALSE()))-B$2+$B$1</f>
        <v>-6542</v>
      </c>
      <c r="S116" s="4" t="n">
        <f aca="false">VLOOKUP($A116,STRADDLE,12,FALSE())</f>
        <v>0.069525859238557</v>
      </c>
      <c r="T116" s="1" t="n">
        <v>0</v>
      </c>
      <c r="U116" s="43" t="n">
        <v>0</v>
      </c>
      <c r="X116" s="43"/>
      <c r="Z116" s="9"/>
      <c r="AA116" s="9" t="n">
        <f aca="false">IF($A116&gt;=AB$25,IF($A116&lt;=AB$26,$T116,0),0)</f>
        <v>0</v>
      </c>
      <c r="AB116" s="9" t="n">
        <f aca="false">IF(T116&gt;0,AD116/AA116,0)</f>
        <v>0</v>
      </c>
      <c r="AC116" s="1" t="n">
        <f aca="false">AA116*($B116+B$13)</f>
        <v>0</v>
      </c>
      <c r="AD116" s="33" t="n">
        <f aca="false">IF(ISNUMBER(((AC116/AA116)+B$15+$C116)*AA116),((AC116/AA116)+B$15+$C116)*AA116,0)</f>
        <v>0</v>
      </c>
      <c r="AE116" s="44" t="n">
        <f aca="false">IF(AA116=0,0,bsd(1,AF$27,AB116,$F116,$R116,$N116,$S116,0.1))</f>
        <v>0</v>
      </c>
      <c r="AF116" s="44" t="n">
        <f aca="false">IF(AA116=0,0,bsd(2,AF$27,AB116,$F116,$R116,$N116,$S116,0.1))</f>
        <v>0</v>
      </c>
      <c r="AG116" s="44" t="n">
        <f aca="false">IF(AA116=0,0,bsd(AF$28,AF$27,AB116,$F116,$R116,$N116,$S116,0.1))</f>
        <v>0</v>
      </c>
      <c r="AH116" s="45" t="n">
        <f aca="false">AA116*AE116</f>
        <v>0</v>
      </c>
      <c r="AI116" s="45" t="n">
        <f aca="false">AA116*AF116</f>
        <v>0</v>
      </c>
      <c r="AJ116" s="45" t="n">
        <f aca="false">AA116*AG116</f>
        <v>0</v>
      </c>
      <c r="AL116" s="9" t="n">
        <f aca="false">IF($A116&gt;=AM$25,IF($A116&lt;=AM$26,$T116,0),0)</f>
        <v>0</v>
      </c>
      <c r="AM116" s="9" t="e">
        <f aca="false">AO116/AL116</f>
        <v>#DIV/0!</v>
      </c>
      <c r="AN116" s="1" t="n">
        <f aca="false">AL116*($B116+D$13)</f>
        <v>0</v>
      </c>
      <c r="AO116" s="33" t="n">
        <f aca="false">IF(ISNUMBER(((AN116/AL116)+D$15+$C116)*AL116),((AN116/AL116)+D$15+$C116)*AL116,0)</f>
        <v>0</v>
      </c>
      <c r="AP116" s="44" t="n">
        <f aca="false">IF(AL116=0,0,bsd(1,AQ$27,AM116,$G116,$R116,$O116,$S116,0.1))</f>
        <v>0</v>
      </c>
      <c r="AQ116" s="44" t="n">
        <f aca="false">IF(AL116=0,0,bsd(2,AQ$27,AM116,$G116,$R116,$O116,$S116,0.1))</f>
        <v>0</v>
      </c>
      <c r="AR116" s="44" t="n">
        <f aca="false">IF(AL116=0,0,bsd(AQ$28,AQ$27,AM116,$G116,$R116,$O116,$S116,0.1))</f>
        <v>0</v>
      </c>
      <c r="AS116" s="45" t="n">
        <f aca="false">AL116*AP116</f>
        <v>0</v>
      </c>
      <c r="AT116" s="45" t="n">
        <f aca="false">AL116*AQ116</f>
        <v>0</v>
      </c>
      <c r="AU116" s="45" t="n">
        <f aca="false">AL116*AR116</f>
        <v>0</v>
      </c>
      <c r="AW116" s="9" t="n">
        <f aca="false">IF($A116&gt;=AX$25,IF($A116&lt;=AX$26,$T116,0),0)</f>
        <v>0</v>
      </c>
      <c r="AX116" s="9" t="e">
        <f aca="false">AZ116/AW116</f>
        <v>#DIV/0!</v>
      </c>
      <c r="AY116" s="1" t="n">
        <f aca="false">AW116*($B116+F$13)</f>
        <v>0</v>
      </c>
      <c r="AZ116" s="33" t="n">
        <f aca="false">IF(ISNUMBER(((AY116/AW116)+F$15+$C116)*AW116),((AY116/AW116)+F$15+$C116)*AW116,0)</f>
        <v>0</v>
      </c>
      <c r="BA116" s="44" t="n">
        <f aca="false">IF(AW116=0,0,bsd(1,BB$27,AX116,$H116,$R116,$P116,$S116,0.1))</f>
        <v>0</v>
      </c>
      <c r="BB116" s="44" t="n">
        <f aca="false">IF(AW116=0,0,bsd(2,BB$27,AX116,$H116,$R116,$P116,$S116,0.1))</f>
        <v>0</v>
      </c>
      <c r="BC116" s="44" t="n">
        <f aca="false">IF(AW116=0,0,bsd(BB$28,BB$27,AX116,$H116,$R116,$P116,$S116,0.1))</f>
        <v>0</v>
      </c>
      <c r="BD116" s="45" t="n">
        <f aca="false">AW116*BA116</f>
        <v>0</v>
      </c>
      <c r="BE116" s="45" t="n">
        <f aca="false">AW116*BB116</f>
        <v>0</v>
      </c>
      <c r="BF116" s="45" t="n">
        <f aca="false">AW116*BC116</f>
        <v>0</v>
      </c>
      <c r="BH116" s="9" t="n">
        <f aca="false">IF($A116&gt;=BI$25,IF($A116&lt;=BI$26,$T116,0),0)</f>
        <v>0</v>
      </c>
      <c r="BI116" s="9" t="e">
        <f aca="false">BK116/BH116</f>
        <v>#DIV/0!</v>
      </c>
      <c r="BJ116" s="1" t="n">
        <f aca="false">BH116*($B116+H$13)</f>
        <v>0</v>
      </c>
      <c r="BK116" s="33" t="n">
        <f aca="false">IF(ISNUMBER(((BJ116/BH116)+H$15+$C116)*BH116),((BJ116/BH116)+H$15+$C116)*BH116,0)</f>
        <v>0</v>
      </c>
      <c r="BL116" s="44" t="n">
        <f aca="false">IF(BH116=0,0,bsd(1,BM$27,BI116,$I116,$R116,$Q116,$S116,0.1))</f>
        <v>0</v>
      </c>
      <c r="BM116" s="44" t="n">
        <f aca="false">IF(BH116=0,0,bsd(2,BM$27,BI116,$I116,$R116,$Q116,$S116,0.1))</f>
        <v>0</v>
      </c>
      <c r="BN116" s="44" t="n">
        <f aca="false">IF(BH116=0,0,bsd(BM$28,BM$27,BI116,$I116,$R116,$Q116,$S116,0.1))</f>
        <v>0</v>
      </c>
      <c r="BO116" s="45" t="n">
        <f aca="false">BH116*BL116</f>
        <v>0</v>
      </c>
      <c r="BP116" s="45" t="n">
        <f aca="false">BH116*BM116</f>
        <v>0</v>
      </c>
      <c r="BQ116" s="45" t="n">
        <f aca="false">BH116*BN116</f>
        <v>0</v>
      </c>
    </row>
    <row r="117" customFormat="false" ht="12.75" hidden="false" customHeight="false" outlineLevel="0" collapsed="false">
      <c r="A117" s="48" t="n">
        <f aca="false">DATE(YEAR(A116),MONTH(A116)+1,1)</f>
        <v>39417</v>
      </c>
      <c r="B117" s="40" t="n">
        <f aca="false">VLOOKUP(A117,STRADDLE,5,FALSE())</f>
        <v>3.192</v>
      </c>
      <c r="C117" s="40" t="n">
        <v>0</v>
      </c>
      <c r="D117" s="4" t="n">
        <f aca="false">VLOOKUP(A117,STRADDLE,8,FALSE())</f>
        <v>0.2</v>
      </c>
      <c r="E117" s="131" t="n">
        <f aca="false">IF(ISNUMBER(VLOOKUP(A117,VOLCURVES,HLOOKUP(B$5,VOLCURVES,2,FALSE()),FALSE())),VLOOKUP(A117,VOLCURVES,HLOOKUP(B$5,VOLCURVES,2,FALSE()),FALSE()),1)</f>
        <v>1</v>
      </c>
      <c r="F117" s="41" t="n">
        <f aca="false">IF($B$17=4,$AB117,$B$16)</f>
        <v>3.8</v>
      </c>
      <c r="G117" s="41" t="n">
        <f aca="false">IF($D$17=4,$AM117,$D$16)</f>
        <v>3.5</v>
      </c>
      <c r="H117" s="41" t="n">
        <f aca="false">IF($F$17=4,$AX117,$F$16)</f>
        <v>2.96</v>
      </c>
      <c r="I117" s="41" t="n">
        <f aca="false">IF($H$17=4,$BI117,$H$16)</f>
        <v>2.99</v>
      </c>
      <c r="J117" s="4" t="n">
        <f aca="false">IF($B$19=1,VLOOKUP($A117,SkewTable,HLOOKUP(ROUND(F117-AB117,1),SkewTable,2,FALSE()),FALSE())/100,0)</f>
        <v>0.0451185018386</v>
      </c>
      <c r="K117" s="4" t="e">
        <f aca="false">IF($D$19=1,VLOOKUP($A117,SkewTable,HLOOKUP(ROUND(G117-AM117,1),SkewTable,2,FALSE()),FALSE())/100,0)</f>
        <v>#DIV/0!</v>
      </c>
      <c r="L117" s="4" t="e">
        <f aca="false">IF($F$19=1,VLOOKUP($A117,SkewTable,HLOOKUP(ROUND(H117-AX117,1),SkewTable,2,FALSE()),FALSE())/100,0)</f>
        <v>#DIV/0!</v>
      </c>
      <c r="M117" s="4" t="e">
        <f aca="false">IF($H$19=1,VLOOKUP($A117,SkewTable,HLOOKUP(ROUND(I117-BI117,1),SkewTable,2,FALSE()),FALSE())/100,0)</f>
        <v>#DIV/0!</v>
      </c>
      <c r="N117" s="4" t="n">
        <f aca="false">(($D117+J117)*$E117)+B$18</f>
        <v>0.2451185018386</v>
      </c>
      <c r="O117" s="4" t="e">
        <f aca="false">(($D117+K117)*$E117)+D$18</f>
        <v>#DIV/0!</v>
      </c>
      <c r="P117" s="4" t="e">
        <f aca="false">(($D117+L117)*$E117)+F$18</f>
        <v>#DIV/0!</v>
      </c>
      <c r="Q117" s="4" t="e">
        <f aca="false">(($D117+M117)*$E117)+H$18</f>
        <v>#DIV/0!</v>
      </c>
      <c r="R117" s="136" t="n">
        <f aca="false">IF(B$4=1,VLOOKUP(A117,expiration,2,FALSE()),VLOOKUP(A117,expiration,3,FALSE()))-B$2+$B$1</f>
        <v>-6512</v>
      </c>
      <c r="S117" s="4" t="n">
        <f aca="false">VLOOKUP($A117,STRADDLE,12,FALSE())</f>
        <v>0.069562047676781</v>
      </c>
      <c r="T117" s="1" t="n">
        <v>0</v>
      </c>
      <c r="U117" s="43" t="n">
        <v>0</v>
      </c>
      <c r="X117" s="43"/>
      <c r="Z117" s="9"/>
      <c r="AA117" s="9" t="n">
        <f aca="false">IF($A117&gt;=AB$25,IF($A117&lt;=AB$26,$T117,0),0)</f>
        <v>0</v>
      </c>
      <c r="AB117" s="9" t="n">
        <f aca="false">IF(T117&gt;0,AD117/AA117,0)</f>
        <v>0</v>
      </c>
      <c r="AC117" s="1" t="n">
        <f aca="false">AA117*($B117+B$13)</f>
        <v>0</v>
      </c>
      <c r="AD117" s="33" t="n">
        <f aca="false">IF(ISNUMBER(((AC117/AA117)+B$15+$C117)*AA117),((AC117/AA117)+B$15+$C117)*AA117,0)</f>
        <v>0</v>
      </c>
      <c r="AE117" s="44" t="n">
        <f aca="false">IF(AA117=0,0,bsd(1,AF$27,AB117,$F117,$R117,$N117,$S117,0.1))</f>
        <v>0</v>
      </c>
      <c r="AF117" s="44" t="n">
        <f aca="false">IF(AA117=0,0,bsd(2,AF$27,AB117,$F117,$R117,$N117,$S117,0.1))</f>
        <v>0</v>
      </c>
      <c r="AG117" s="44" t="n">
        <f aca="false">IF(AA117=0,0,bsd(AF$28,AF$27,AB117,$F117,$R117,$N117,$S117,0.1))</f>
        <v>0</v>
      </c>
      <c r="AH117" s="45" t="n">
        <f aca="false">AA117*AE117</f>
        <v>0</v>
      </c>
      <c r="AI117" s="45" t="n">
        <f aca="false">AA117*AF117</f>
        <v>0</v>
      </c>
      <c r="AJ117" s="45" t="n">
        <f aca="false">AA117*AG117</f>
        <v>0</v>
      </c>
      <c r="AL117" s="9" t="n">
        <f aca="false">IF($A117&gt;=AM$25,IF($A117&lt;=AM$26,$T117,0),0)</f>
        <v>0</v>
      </c>
      <c r="AM117" s="9" t="e">
        <f aca="false">AO117/AL117</f>
        <v>#DIV/0!</v>
      </c>
      <c r="AN117" s="1" t="n">
        <f aca="false">AL117*($B117+D$13)</f>
        <v>0</v>
      </c>
      <c r="AO117" s="33" t="n">
        <f aca="false">IF(ISNUMBER(((AN117/AL117)+D$15+$C117)*AL117),((AN117/AL117)+D$15+$C117)*AL117,0)</f>
        <v>0</v>
      </c>
      <c r="AP117" s="44" t="n">
        <f aca="false">IF(AL117=0,0,bsd(1,AQ$27,AM117,$G117,$R117,$O117,$S117,0.1))</f>
        <v>0</v>
      </c>
      <c r="AQ117" s="44" t="n">
        <f aca="false">IF(AL117=0,0,bsd(2,AQ$27,AM117,$G117,$R117,$O117,$S117,0.1))</f>
        <v>0</v>
      </c>
      <c r="AR117" s="44" t="n">
        <f aca="false">IF(AL117=0,0,bsd(AQ$28,AQ$27,AM117,$G117,$R117,$O117,$S117,0.1))</f>
        <v>0</v>
      </c>
      <c r="AS117" s="45" t="n">
        <f aca="false">AL117*AP117</f>
        <v>0</v>
      </c>
      <c r="AT117" s="45" t="n">
        <f aca="false">AL117*AQ117</f>
        <v>0</v>
      </c>
      <c r="AU117" s="45" t="n">
        <f aca="false">AL117*AR117</f>
        <v>0</v>
      </c>
      <c r="AW117" s="9" t="n">
        <f aca="false">IF($A117&gt;=AX$25,IF($A117&lt;=AX$26,$T117,0),0)</f>
        <v>0</v>
      </c>
      <c r="AX117" s="9" t="e">
        <f aca="false">AZ117/AW117</f>
        <v>#DIV/0!</v>
      </c>
      <c r="AY117" s="1" t="n">
        <f aca="false">AW117*($B117+F$13)</f>
        <v>0</v>
      </c>
      <c r="AZ117" s="33" t="n">
        <f aca="false">IF(ISNUMBER(((AY117/AW117)+F$15+$C117)*AW117),((AY117/AW117)+F$15+$C117)*AW117,0)</f>
        <v>0</v>
      </c>
      <c r="BA117" s="44" t="n">
        <f aca="false">IF(AW117=0,0,bsd(1,BB$27,AX117,$H117,$R117,$P117,$S117,0.1))</f>
        <v>0</v>
      </c>
      <c r="BB117" s="44" t="n">
        <f aca="false">IF(AW117=0,0,bsd(2,BB$27,AX117,$H117,$R117,$P117,$S117,0.1))</f>
        <v>0</v>
      </c>
      <c r="BC117" s="44" t="n">
        <f aca="false">IF(AW117=0,0,bsd(BB$28,BB$27,AX117,$H117,$R117,$P117,$S117,0.1))</f>
        <v>0</v>
      </c>
      <c r="BD117" s="45" t="n">
        <f aca="false">AW117*BA117</f>
        <v>0</v>
      </c>
      <c r="BE117" s="45" t="n">
        <f aca="false">AW117*BB117</f>
        <v>0</v>
      </c>
      <c r="BF117" s="45" t="n">
        <f aca="false">AW117*BC117</f>
        <v>0</v>
      </c>
      <c r="BH117" s="9" t="n">
        <f aca="false">IF($A117&gt;=BI$25,IF($A117&lt;=BI$26,$T117,0),0)</f>
        <v>0</v>
      </c>
      <c r="BI117" s="9" t="e">
        <f aca="false">BK117/BH117</f>
        <v>#DIV/0!</v>
      </c>
      <c r="BJ117" s="1" t="n">
        <f aca="false">BH117*($B117+H$13)</f>
        <v>0</v>
      </c>
      <c r="BK117" s="33" t="n">
        <f aca="false">IF(ISNUMBER(((BJ117/BH117)+H$15+$C117)*BH117),((BJ117/BH117)+H$15+$C117)*BH117,0)</f>
        <v>0</v>
      </c>
      <c r="BL117" s="44" t="n">
        <f aca="false">IF(BH117=0,0,bsd(1,BM$27,BI117,$I117,$R117,$Q117,$S117,0.1))</f>
        <v>0</v>
      </c>
      <c r="BM117" s="44" t="n">
        <f aca="false">IF(BH117=0,0,bsd(2,BM$27,BI117,$I117,$R117,$Q117,$S117,0.1))</f>
        <v>0</v>
      </c>
      <c r="BN117" s="44" t="n">
        <f aca="false">IF(BH117=0,0,bsd(BM$28,BM$27,BI117,$I117,$R117,$Q117,$S117,0.1))</f>
        <v>0</v>
      </c>
      <c r="BO117" s="45" t="n">
        <f aca="false">BH117*BL117</f>
        <v>0</v>
      </c>
      <c r="BP117" s="45" t="n">
        <f aca="false">BH117*BM117</f>
        <v>0</v>
      </c>
      <c r="BQ117" s="45" t="n">
        <f aca="false">BH117*BN117</f>
        <v>0</v>
      </c>
    </row>
    <row r="118" customFormat="false" ht="12.75" hidden="false" customHeight="false" outlineLevel="0" collapsed="false">
      <c r="A118" s="48" t="n">
        <f aca="false">DATE(YEAR(A117),MONTH(A117)+1,1)</f>
        <v>39448</v>
      </c>
      <c r="B118" s="40" t="n">
        <f aca="false">VLOOKUP(A118,STRADDLE,5,FALSE())</f>
        <v>3.587</v>
      </c>
      <c r="C118" s="40" t="n">
        <v>0</v>
      </c>
      <c r="D118" s="4" t="n">
        <f aca="false">VLOOKUP(A118,STRADDLE,8,FALSE())</f>
        <v>0.2</v>
      </c>
      <c r="E118" s="131" t="n">
        <f aca="false">IF(ISNUMBER(VLOOKUP(A118,VOLCURVES,HLOOKUP(B$5,VOLCURVES,2,FALSE()),FALSE())),VLOOKUP(A118,VOLCURVES,HLOOKUP(B$5,VOLCURVES,2,FALSE()),FALSE()),1)</f>
        <v>1</v>
      </c>
      <c r="F118" s="41" t="n">
        <f aca="false">IF($B$17=4,$AB118,$B$16)</f>
        <v>3.8</v>
      </c>
      <c r="G118" s="41" t="n">
        <f aca="false">IF($D$17=4,$AM118,$D$16)</f>
        <v>3.5</v>
      </c>
      <c r="H118" s="41" t="n">
        <f aca="false">IF($F$17=4,$AX118,$F$16)</f>
        <v>2.96</v>
      </c>
      <c r="I118" s="41" t="n">
        <f aca="false">IF($H$17=4,$BI118,$H$16)</f>
        <v>2.99</v>
      </c>
      <c r="J118" s="4" t="n">
        <f aca="false">IF($B$19=1,VLOOKUP($A118,SkewTable,HLOOKUP(ROUND(F118-AB118,1),SkewTable,2,FALSE()),FALSE())/100,0)</f>
        <v>0.0451185018386</v>
      </c>
      <c r="K118" s="4" t="e">
        <f aca="false">IF($D$19=1,VLOOKUP($A118,SkewTable,HLOOKUP(ROUND(G118-AM118,1),SkewTable,2,FALSE()),FALSE())/100,0)</f>
        <v>#DIV/0!</v>
      </c>
      <c r="L118" s="4" t="e">
        <f aca="false">IF($F$19=1,VLOOKUP($A118,SkewTable,HLOOKUP(ROUND(H118-AX118,1),SkewTable,2,FALSE()),FALSE())/100,0)</f>
        <v>#DIV/0!</v>
      </c>
      <c r="M118" s="4" t="e">
        <f aca="false">IF($H$19=1,VLOOKUP($A118,SkewTable,HLOOKUP(ROUND(I118-BI118,1),SkewTable,2,FALSE()),FALSE())/100,0)</f>
        <v>#DIV/0!</v>
      </c>
      <c r="N118" s="4" t="n">
        <f aca="false">(($D118+J118)*$E118)+B$18</f>
        <v>0.2451185018386</v>
      </c>
      <c r="O118" s="4" t="e">
        <f aca="false">(($D118+K118)*$E118)+D$18</f>
        <v>#DIV/0!</v>
      </c>
      <c r="P118" s="4" t="e">
        <f aca="false">(($D118+L118)*$E118)+F$18</f>
        <v>#DIV/0!</v>
      </c>
      <c r="Q118" s="4" t="e">
        <f aca="false">(($D118+M118)*$E118)+H$18</f>
        <v>#DIV/0!</v>
      </c>
      <c r="R118" s="136" t="n">
        <f aca="false">IF(B$4=1,VLOOKUP(A118,expiration,2,FALSE()),VLOOKUP(A118,expiration,3,FALSE()))-B$2+$B$1</f>
        <v>-6483</v>
      </c>
      <c r="S118" s="4" t="n">
        <f aca="false">VLOOKUP($A118,STRADDLE,12,FALSE())</f>
        <v>0.069599442396734</v>
      </c>
      <c r="T118" s="1" t="n">
        <v>0</v>
      </c>
      <c r="U118" s="43" t="n">
        <v>0</v>
      </c>
      <c r="X118" s="43"/>
      <c r="Z118" s="9"/>
      <c r="AA118" s="9" t="n">
        <f aca="false">IF($A118&gt;=AB$25,IF($A118&lt;=AB$26,$T118,0),0)</f>
        <v>0</v>
      </c>
      <c r="AB118" s="9" t="n">
        <f aca="false">IF(T118&gt;0,AD118/AA118,0)</f>
        <v>0</v>
      </c>
      <c r="AC118" s="1" t="n">
        <f aca="false">AA118*($B118+B$13)</f>
        <v>0</v>
      </c>
      <c r="AD118" s="33" t="n">
        <f aca="false">IF(ISNUMBER(((AC118/AA118)+B$15+$C118)*AA118),((AC118/AA118)+B$15+$C118)*AA118,0)</f>
        <v>0</v>
      </c>
      <c r="AE118" s="44" t="n">
        <f aca="false">IF(AA118=0,0,bsd(1,AF$27,AB118,$F118,$R118,$N118,$S118,0.1))</f>
        <v>0</v>
      </c>
      <c r="AF118" s="44" t="n">
        <f aca="false">IF(AA118=0,0,bsd(2,AF$27,AB118,$F118,$R118,$N118,$S118,0.1))</f>
        <v>0</v>
      </c>
      <c r="AG118" s="44" t="n">
        <f aca="false">IF(AA118=0,0,bsd(AF$28,AF$27,AB118,$F118,$R118,$N118,$S118,0.1))</f>
        <v>0</v>
      </c>
      <c r="AH118" s="45" t="n">
        <f aca="false">AA118*AE118</f>
        <v>0</v>
      </c>
      <c r="AI118" s="45" t="n">
        <f aca="false">AA118*AF118</f>
        <v>0</v>
      </c>
      <c r="AJ118" s="45" t="n">
        <f aca="false">AA118*AG118</f>
        <v>0</v>
      </c>
      <c r="AL118" s="9" t="n">
        <f aca="false">IF($A118&gt;=AM$25,IF($A118&lt;=AM$26,$T118,0),0)</f>
        <v>0</v>
      </c>
      <c r="AM118" s="9" t="e">
        <f aca="false">AO118/AL118</f>
        <v>#DIV/0!</v>
      </c>
      <c r="AN118" s="1" t="n">
        <f aca="false">AL118*($B118+D$13)</f>
        <v>0</v>
      </c>
      <c r="AO118" s="33" t="n">
        <f aca="false">IF(ISNUMBER(((AN118/AL118)+D$15+$C118)*AL118),((AN118/AL118)+D$15+$C118)*AL118,0)</f>
        <v>0</v>
      </c>
      <c r="AP118" s="44" t="n">
        <f aca="false">IF(AL118=0,0,bsd(1,AQ$27,AM118,$G118,$R118,$O118,$S118,0.1))</f>
        <v>0</v>
      </c>
      <c r="AQ118" s="44" t="n">
        <f aca="false">IF(AL118=0,0,bsd(2,AQ$27,AM118,$G118,$R118,$O118,$S118,0.1))</f>
        <v>0</v>
      </c>
      <c r="AR118" s="44" t="n">
        <f aca="false">IF(AL118=0,0,bsd(AQ$28,AQ$27,AM118,$G118,$R118,$O118,$S118,0.1))</f>
        <v>0</v>
      </c>
      <c r="AS118" s="45" t="n">
        <f aca="false">AL118*AP118</f>
        <v>0</v>
      </c>
      <c r="AT118" s="45" t="n">
        <f aca="false">AL118*AQ118</f>
        <v>0</v>
      </c>
      <c r="AU118" s="45" t="n">
        <f aca="false">AL118*AR118</f>
        <v>0</v>
      </c>
      <c r="AW118" s="9" t="n">
        <f aca="false">IF($A118&gt;=AX$25,IF($A118&lt;=AX$26,$T118,0),0)</f>
        <v>0</v>
      </c>
      <c r="AX118" s="9" t="e">
        <f aca="false">AZ118/AW118</f>
        <v>#DIV/0!</v>
      </c>
      <c r="AY118" s="1" t="n">
        <f aca="false">AW118*($B118+F$13)</f>
        <v>0</v>
      </c>
      <c r="AZ118" s="33" t="n">
        <f aca="false">IF(ISNUMBER(((AY118/AW118)+F$15+$C118)*AW118),((AY118/AW118)+F$15+$C118)*AW118,0)</f>
        <v>0</v>
      </c>
      <c r="BA118" s="44" t="n">
        <f aca="false">IF(AW118=0,0,bsd(1,BB$27,AX118,$H118,$R118,$P118,$S118,0.1))</f>
        <v>0</v>
      </c>
      <c r="BB118" s="44" t="n">
        <f aca="false">IF(AW118=0,0,bsd(2,BB$27,AX118,$H118,$R118,$P118,$S118,0.1))</f>
        <v>0</v>
      </c>
      <c r="BC118" s="44" t="n">
        <f aca="false">IF(AW118=0,0,bsd(BB$28,BB$27,AX118,$H118,$R118,$P118,$S118,0.1))</f>
        <v>0</v>
      </c>
      <c r="BD118" s="45" t="n">
        <f aca="false">AW118*BA118</f>
        <v>0</v>
      </c>
      <c r="BE118" s="45" t="n">
        <f aca="false">AW118*BB118</f>
        <v>0</v>
      </c>
      <c r="BF118" s="45" t="n">
        <f aca="false">AW118*BC118</f>
        <v>0</v>
      </c>
      <c r="BH118" s="9" t="n">
        <f aca="false">IF($A118&gt;=BI$25,IF($A118&lt;=BI$26,$T118,0),0)</f>
        <v>0</v>
      </c>
      <c r="BI118" s="9" t="e">
        <f aca="false">BK118/BH118</f>
        <v>#DIV/0!</v>
      </c>
      <c r="BJ118" s="1" t="n">
        <f aca="false">BH118*($B118+H$13)</f>
        <v>0</v>
      </c>
      <c r="BK118" s="33" t="n">
        <f aca="false">IF(ISNUMBER(((BJ118/BH118)+H$15+$C118)*BH118),((BJ118/BH118)+H$15+$C118)*BH118,0)</f>
        <v>0</v>
      </c>
      <c r="BL118" s="44" t="n">
        <f aca="false">IF(BH118=0,0,bsd(1,BM$27,BI118,$I118,$R118,$Q118,$S118,0.1))</f>
        <v>0</v>
      </c>
      <c r="BM118" s="44" t="n">
        <f aca="false">IF(BH118=0,0,bsd(2,BM$27,BI118,$I118,$R118,$Q118,$S118,0.1))</f>
        <v>0</v>
      </c>
      <c r="BN118" s="44" t="n">
        <f aca="false">IF(BH118=0,0,bsd(BM$28,BM$27,BI118,$I118,$R118,$Q118,$S118,0.1))</f>
        <v>0</v>
      </c>
      <c r="BO118" s="45" t="n">
        <f aca="false">BH118*BL118</f>
        <v>0</v>
      </c>
      <c r="BP118" s="45" t="n">
        <f aca="false">BH118*BM118</f>
        <v>0</v>
      </c>
      <c r="BQ118" s="45" t="n">
        <f aca="false">BH118*BN118</f>
        <v>0</v>
      </c>
    </row>
    <row r="119" customFormat="false" ht="12.75" hidden="false" customHeight="false" outlineLevel="0" collapsed="false">
      <c r="A119" s="48" t="n">
        <f aca="false">DATE(YEAR(A118),MONTH(A118)+1,1)</f>
        <v>39479</v>
      </c>
      <c r="B119" s="40" t="n">
        <f aca="false">VLOOKUP(A119,STRADDLE,5,FALSE())</f>
        <v>3.445</v>
      </c>
      <c r="C119" s="40" t="n">
        <v>0</v>
      </c>
      <c r="D119" s="4" t="n">
        <f aca="false">VLOOKUP(A119,STRADDLE,8,FALSE())</f>
        <v>0.2</v>
      </c>
      <c r="E119" s="131" t="n">
        <f aca="false">IF(ISNUMBER(VLOOKUP(A119,VOLCURVES,HLOOKUP(B$5,VOLCURVES,2,FALSE()),FALSE())),VLOOKUP(A119,VOLCURVES,HLOOKUP(B$5,VOLCURVES,2,FALSE()),FALSE()),1)</f>
        <v>1</v>
      </c>
      <c r="F119" s="41" t="n">
        <f aca="false">IF($B$17=4,$AB119,$B$16)</f>
        <v>3.8</v>
      </c>
      <c r="G119" s="41" t="n">
        <f aca="false">IF($D$17=4,$AM119,$D$16)</f>
        <v>3.5</v>
      </c>
      <c r="H119" s="41" t="n">
        <f aca="false">IF($F$17=4,$AX119,$F$16)</f>
        <v>2.96</v>
      </c>
      <c r="I119" s="41" t="n">
        <f aca="false">IF($H$17=4,$BI119,$H$16)</f>
        <v>2.99</v>
      </c>
      <c r="J119" s="4" t="n">
        <f aca="false">IF($B$19=1,VLOOKUP($A119,SkewTable,HLOOKUP(ROUND(F119-AB119,1),SkewTable,2,FALSE()),FALSE())/100,0)</f>
        <v>0.0451185018386</v>
      </c>
      <c r="K119" s="4" t="e">
        <f aca="false">IF($D$19=1,VLOOKUP($A119,SkewTable,HLOOKUP(ROUND(G119-AM119,1),SkewTable,2,FALSE()),FALSE())/100,0)</f>
        <v>#DIV/0!</v>
      </c>
      <c r="L119" s="4" t="e">
        <f aca="false">IF($F$19=1,VLOOKUP($A119,SkewTable,HLOOKUP(ROUND(H119-AX119,1),SkewTable,2,FALSE()),FALSE())/100,0)</f>
        <v>#DIV/0!</v>
      </c>
      <c r="M119" s="4" t="e">
        <f aca="false">IF($H$19=1,VLOOKUP($A119,SkewTable,HLOOKUP(ROUND(I119-BI119,1),SkewTable,2,FALSE()),FALSE())/100,0)</f>
        <v>#DIV/0!</v>
      </c>
      <c r="N119" s="4" t="n">
        <f aca="false">(($D119+J119)*$E119)+B$18</f>
        <v>0.2451185018386</v>
      </c>
      <c r="O119" s="4" t="e">
        <f aca="false">(($D119+K119)*$E119)+D$18</f>
        <v>#DIV/0!</v>
      </c>
      <c r="P119" s="4" t="e">
        <f aca="false">(($D119+L119)*$E119)+F$18</f>
        <v>#DIV/0!</v>
      </c>
      <c r="Q119" s="4" t="e">
        <f aca="false">(($D119+M119)*$E119)+H$18</f>
        <v>#DIV/0!</v>
      </c>
      <c r="R119" s="136" t="n">
        <f aca="false">IF(B$4=1,VLOOKUP(A119,expiration,2,FALSE()),VLOOKUP(A119,expiration,3,FALSE()))-B$2+$B$1</f>
        <v>-6450</v>
      </c>
      <c r="S119" s="4" t="n">
        <f aca="false">VLOOKUP($A119,STRADDLE,12,FALSE())</f>
        <v>0.069636837117149</v>
      </c>
      <c r="T119" s="1" t="n">
        <v>0</v>
      </c>
      <c r="U119" s="43" t="n">
        <v>0</v>
      </c>
      <c r="X119" s="43"/>
      <c r="Z119" s="9"/>
      <c r="AA119" s="9" t="n">
        <f aca="false">IF($A119&gt;=AB$25,IF($A119&lt;=AB$26,$T119,0),0)</f>
        <v>0</v>
      </c>
      <c r="AB119" s="9" t="n">
        <f aca="false">IF(T119&gt;0,AD119/AA119,0)</f>
        <v>0</v>
      </c>
      <c r="AC119" s="1" t="n">
        <f aca="false">AA119*($B119+B$13)</f>
        <v>0</v>
      </c>
      <c r="AD119" s="33" t="n">
        <f aca="false">IF(ISNUMBER(((AC119/AA119)+B$15+$C119)*AA119),((AC119/AA119)+B$15+$C119)*AA119,0)</f>
        <v>0</v>
      </c>
      <c r="AE119" s="44" t="n">
        <f aca="false">IF(AA119=0,0,bsd(1,AF$27,AB119,$F119,$R119,$N119,$S119,0.1))</f>
        <v>0</v>
      </c>
      <c r="AF119" s="44" t="n">
        <f aca="false">IF(AA119=0,0,bsd(2,AF$27,AB119,$F119,$R119,$N119,$S119,0.1))</f>
        <v>0</v>
      </c>
      <c r="AG119" s="44" t="n">
        <f aca="false">IF(AA119=0,0,bsd(AF$28,AF$27,AB119,$F119,$R119,$N119,$S119,0.1))</f>
        <v>0</v>
      </c>
      <c r="AH119" s="45" t="n">
        <f aca="false">AA119*AE119</f>
        <v>0</v>
      </c>
      <c r="AI119" s="45" t="n">
        <f aca="false">AA119*AF119</f>
        <v>0</v>
      </c>
      <c r="AJ119" s="45" t="n">
        <f aca="false">AA119*AG119</f>
        <v>0</v>
      </c>
      <c r="AL119" s="9" t="n">
        <f aca="false">IF($A119&gt;=AM$25,IF($A119&lt;=AM$26,$T119,0),0)</f>
        <v>0</v>
      </c>
      <c r="AM119" s="9" t="e">
        <f aca="false">AO119/AL119</f>
        <v>#DIV/0!</v>
      </c>
      <c r="AN119" s="1" t="n">
        <f aca="false">AL119*($B119+D$13)</f>
        <v>0</v>
      </c>
      <c r="AO119" s="33" t="n">
        <f aca="false">IF(ISNUMBER(((AN119/AL119)+D$15+$C119)*AL119),((AN119/AL119)+D$15+$C119)*AL119,0)</f>
        <v>0</v>
      </c>
      <c r="AP119" s="44" t="n">
        <f aca="false">IF(AL119=0,0,bsd(1,AQ$27,AM119,$G119,$R119,$O119,$S119,0.1))</f>
        <v>0</v>
      </c>
      <c r="AQ119" s="44" t="n">
        <f aca="false">IF(AL119=0,0,bsd(2,AQ$27,AM119,$G119,$R119,$O119,$S119,0.1))</f>
        <v>0</v>
      </c>
      <c r="AR119" s="44" t="n">
        <f aca="false">IF(AL119=0,0,bsd(AQ$28,AQ$27,AM119,$G119,$R119,$O119,$S119,0.1))</f>
        <v>0</v>
      </c>
      <c r="AS119" s="45" t="n">
        <f aca="false">AL119*AP119</f>
        <v>0</v>
      </c>
      <c r="AT119" s="45" t="n">
        <f aca="false">AL119*AQ119</f>
        <v>0</v>
      </c>
      <c r="AU119" s="45" t="n">
        <f aca="false">AL119*AR119</f>
        <v>0</v>
      </c>
      <c r="AW119" s="9" t="n">
        <f aca="false">IF($A119&gt;=AX$25,IF($A119&lt;=AX$26,$T119,0),0)</f>
        <v>0</v>
      </c>
      <c r="AX119" s="9" t="e">
        <f aca="false">AZ119/AW119</f>
        <v>#DIV/0!</v>
      </c>
      <c r="AY119" s="1" t="n">
        <f aca="false">AW119*($B119+F$13)</f>
        <v>0</v>
      </c>
      <c r="AZ119" s="33" t="n">
        <f aca="false">IF(ISNUMBER(((AY119/AW119)+F$15+$C119)*AW119),((AY119/AW119)+F$15+$C119)*AW119,0)</f>
        <v>0</v>
      </c>
      <c r="BA119" s="44" t="n">
        <f aca="false">IF(AW119=0,0,bsd(1,BB$27,AX119,$H119,$R119,$P119,$S119,0.1))</f>
        <v>0</v>
      </c>
      <c r="BB119" s="44" t="n">
        <f aca="false">IF(AW119=0,0,bsd(2,BB$27,AX119,$H119,$R119,$P119,$S119,0.1))</f>
        <v>0</v>
      </c>
      <c r="BC119" s="44" t="n">
        <f aca="false">IF(AW119=0,0,bsd(BB$28,BB$27,AX119,$H119,$R119,$P119,$S119,0.1))</f>
        <v>0</v>
      </c>
      <c r="BD119" s="45" t="n">
        <f aca="false">AW119*BA119</f>
        <v>0</v>
      </c>
      <c r="BE119" s="45" t="n">
        <f aca="false">AW119*BB119</f>
        <v>0</v>
      </c>
      <c r="BF119" s="45" t="n">
        <f aca="false">AW119*BC119</f>
        <v>0</v>
      </c>
      <c r="BH119" s="9" t="n">
        <f aca="false">IF($A119&gt;=BI$25,IF($A119&lt;=BI$26,$T119,0),0)</f>
        <v>0</v>
      </c>
      <c r="BI119" s="9" t="e">
        <f aca="false">BK119/BH119</f>
        <v>#DIV/0!</v>
      </c>
      <c r="BJ119" s="1" t="n">
        <f aca="false">BH119*($B119+H$13)</f>
        <v>0</v>
      </c>
      <c r="BK119" s="33" t="n">
        <f aca="false">IF(ISNUMBER(((BJ119/BH119)+H$15+$C119)*BH119),((BJ119/BH119)+H$15+$C119)*BH119,0)</f>
        <v>0</v>
      </c>
      <c r="BL119" s="44" t="n">
        <f aca="false">IF(BH119=0,0,bsd(1,BM$27,BI119,$I119,$R119,$Q119,$S119,0.1))</f>
        <v>0</v>
      </c>
      <c r="BM119" s="44" t="n">
        <f aca="false">IF(BH119=0,0,bsd(2,BM$27,BI119,$I119,$R119,$Q119,$S119,0.1))</f>
        <v>0</v>
      </c>
      <c r="BN119" s="44" t="n">
        <f aca="false">IF(BH119=0,0,bsd(BM$28,BM$27,BI119,$I119,$R119,$Q119,$S119,0.1))</f>
        <v>0</v>
      </c>
      <c r="BO119" s="45" t="n">
        <f aca="false">BH119*BL119</f>
        <v>0</v>
      </c>
      <c r="BP119" s="45" t="n">
        <f aca="false">BH119*BM119</f>
        <v>0</v>
      </c>
      <c r="BQ119" s="45" t="n">
        <f aca="false">BH119*BN119</f>
        <v>0</v>
      </c>
    </row>
    <row r="120" customFormat="false" ht="12.75" hidden="false" customHeight="false" outlineLevel="0" collapsed="false">
      <c r="A120" s="48" t="n">
        <f aca="false">DATE(YEAR(A119),MONTH(A119)+1,1)</f>
        <v>39508</v>
      </c>
      <c r="B120" s="40" t="n">
        <f aca="false">VLOOKUP(A120,STRADDLE,5,FALSE())</f>
        <v>3.277</v>
      </c>
      <c r="C120" s="40" t="n">
        <v>0</v>
      </c>
      <c r="D120" s="4" t="n">
        <f aca="false">VLOOKUP(A120,STRADDLE,8,FALSE())</f>
        <v>0.2</v>
      </c>
      <c r="E120" s="131" t="n">
        <f aca="false">IF(ISNUMBER(VLOOKUP(A120,VOLCURVES,HLOOKUP(B$5,VOLCURVES,2,FALSE()),FALSE())),VLOOKUP(A120,VOLCURVES,HLOOKUP(B$5,VOLCURVES,2,FALSE()),FALSE()),1)</f>
        <v>1</v>
      </c>
      <c r="F120" s="41" t="n">
        <f aca="false">IF($B$17=4,$AB120,$B$16)</f>
        <v>3.8</v>
      </c>
      <c r="G120" s="41" t="n">
        <f aca="false">IF($D$17=4,$AM120,$D$16)</f>
        <v>3.5</v>
      </c>
      <c r="H120" s="41" t="n">
        <f aca="false">IF($F$17=4,$AX120,$F$16)</f>
        <v>2.96</v>
      </c>
      <c r="I120" s="41" t="n">
        <f aca="false">IF($H$17=4,$BI120,$H$16)</f>
        <v>2.99</v>
      </c>
      <c r="J120" s="4" t="n">
        <f aca="false">IF($B$19=1,VLOOKUP($A120,SkewTable,HLOOKUP(ROUND(F120-AB120,1),SkewTable,2,FALSE()),FALSE())/100,0)</f>
        <v>0.0451185018386</v>
      </c>
      <c r="K120" s="4" t="e">
        <f aca="false">IF($D$19=1,VLOOKUP($A120,SkewTable,HLOOKUP(ROUND(G120-AM120,1),SkewTable,2,FALSE()),FALSE())/100,0)</f>
        <v>#DIV/0!</v>
      </c>
      <c r="L120" s="4" t="e">
        <f aca="false">IF($F$19=1,VLOOKUP($A120,SkewTable,HLOOKUP(ROUND(H120-AX120,1),SkewTable,2,FALSE()),FALSE())/100,0)</f>
        <v>#DIV/0!</v>
      </c>
      <c r="M120" s="4" t="e">
        <f aca="false">IF($H$19=1,VLOOKUP($A120,SkewTable,HLOOKUP(ROUND(I120-BI120,1),SkewTable,2,FALSE()),FALSE())/100,0)</f>
        <v>#DIV/0!</v>
      </c>
      <c r="N120" s="4" t="n">
        <f aca="false">(($D120+J120)*$E120)+B$18</f>
        <v>0.2451185018386</v>
      </c>
      <c r="O120" s="4" t="e">
        <f aca="false">(($D120+K120)*$E120)+D$18</f>
        <v>#DIV/0!</v>
      </c>
      <c r="P120" s="4" t="e">
        <f aca="false">(($D120+L120)*$E120)+F$18</f>
        <v>#DIV/0!</v>
      </c>
      <c r="Q120" s="4" t="e">
        <f aca="false">(($D120+M120)*$E120)+H$18</f>
        <v>#DIV/0!</v>
      </c>
      <c r="R120" s="136" t="n">
        <f aca="false">IF(B$4=1,VLOOKUP(A120,expiration,2,FALSE()),VLOOKUP(A120,expiration,3,FALSE()))-B$2+$B$1</f>
        <v>-6421</v>
      </c>
      <c r="S120" s="4" t="n">
        <f aca="false">VLOOKUP($A120,STRADDLE,12,FALSE())</f>
        <v>0.069671819275376</v>
      </c>
      <c r="T120" s="1" t="n">
        <v>0</v>
      </c>
      <c r="U120" s="43" t="n">
        <v>0</v>
      </c>
      <c r="X120" s="43"/>
      <c r="Z120" s="9"/>
      <c r="AA120" s="9" t="n">
        <f aca="false">IF($A120&gt;=AB$25,IF($A120&lt;=AB$26,$T120,0),0)</f>
        <v>0</v>
      </c>
      <c r="AB120" s="9" t="n">
        <f aca="false">IF(T120&gt;0,AD120/AA120,0)</f>
        <v>0</v>
      </c>
      <c r="AC120" s="1" t="n">
        <f aca="false">AA120*($B120+B$13)</f>
        <v>0</v>
      </c>
      <c r="AD120" s="33" t="n">
        <f aca="false">IF(ISNUMBER(((AC120/AA120)+B$15+$C120)*AA120),((AC120/AA120)+B$15+$C120)*AA120,0)</f>
        <v>0</v>
      </c>
      <c r="AE120" s="44" t="n">
        <f aca="false">IF(AA120=0,0,bsd(1,AF$27,AB120,$F120,$R120,$N120,$S120,0.1))</f>
        <v>0</v>
      </c>
      <c r="AF120" s="44" t="n">
        <f aca="false">IF(AA120=0,0,bsd(2,AF$27,AB120,$F120,$R120,$N120,$S120,0.1))</f>
        <v>0</v>
      </c>
      <c r="AG120" s="44" t="n">
        <f aca="false">IF(AA120=0,0,bsd(AF$28,AF$27,AB120,$F120,$R120,$N120,$S120,0.1))</f>
        <v>0</v>
      </c>
      <c r="AH120" s="45" t="n">
        <f aca="false">AA120*AE120</f>
        <v>0</v>
      </c>
      <c r="AI120" s="45" t="n">
        <f aca="false">AA120*AF120</f>
        <v>0</v>
      </c>
      <c r="AJ120" s="45" t="n">
        <f aca="false">AA120*AG120</f>
        <v>0</v>
      </c>
      <c r="AL120" s="9" t="n">
        <f aca="false">IF($A120&gt;=AM$25,IF($A120&lt;=AM$26,$T120,0),0)</f>
        <v>0</v>
      </c>
      <c r="AM120" s="9" t="e">
        <f aca="false">AO120/AL120</f>
        <v>#DIV/0!</v>
      </c>
      <c r="AN120" s="1" t="n">
        <f aca="false">AL120*($B120+D$13)</f>
        <v>0</v>
      </c>
      <c r="AO120" s="33" t="n">
        <f aca="false">IF(ISNUMBER(((AN120/AL120)+D$15+$C120)*AL120),((AN120/AL120)+D$15+$C120)*AL120,0)</f>
        <v>0</v>
      </c>
      <c r="AP120" s="44" t="n">
        <f aca="false">IF(AL120=0,0,bsd(1,AQ$27,AM120,$G120,$R120,$O120,$S120,0.1))</f>
        <v>0</v>
      </c>
      <c r="AQ120" s="44" t="n">
        <f aca="false">IF(AL120=0,0,bsd(2,AQ$27,AM120,$G120,$R120,$O120,$S120,0.1))</f>
        <v>0</v>
      </c>
      <c r="AR120" s="44" t="n">
        <f aca="false">IF(AL120=0,0,bsd(AQ$28,AQ$27,AM120,$G120,$R120,$O120,$S120,0.1))</f>
        <v>0</v>
      </c>
      <c r="AS120" s="45" t="n">
        <f aca="false">AL120*AP120</f>
        <v>0</v>
      </c>
      <c r="AT120" s="45" t="n">
        <f aca="false">AL120*AQ120</f>
        <v>0</v>
      </c>
      <c r="AU120" s="45" t="n">
        <f aca="false">AL120*AR120</f>
        <v>0</v>
      </c>
      <c r="AW120" s="9" t="n">
        <f aca="false">IF($A120&gt;=AX$25,IF($A120&lt;=AX$26,$T120,0),0)</f>
        <v>0</v>
      </c>
      <c r="AX120" s="9" t="e">
        <f aca="false">AZ120/AW120</f>
        <v>#DIV/0!</v>
      </c>
      <c r="AY120" s="1" t="n">
        <f aca="false">AW120*($B120+F$13)</f>
        <v>0</v>
      </c>
      <c r="AZ120" s="33" t="n">
        <f aca="false">IF(ISNUMBER(((AY120/AW120)+F$15+$C120)*AW120),((AY120/AW120)+F$15+$C120)*AW120,0)</f>
        <v>0</v>
      </c>
      <c r="BA120" s="44" t="n">
        <f aca="false">IF(AW120=0,0,bsd(1,BB$27,AX120,$H120,$R120,$P120,$S120,0.1))</f>
        <v>0</v>
      </c>
      <c r="BB120" s="44" t="n">
        <f aca="false">IF(AW120=0,0,bsd(2,BB$27,AX120,$H120,$R120,$P120,$S120,0.1))</f>
        <v>0</v>
      </c>
      <c r="BC120" s="44" t="n">
        <f aca="false">IF(AW120=0,0,bsd(BB$28,BB$27,AX120,$H120,$R120,$P120,$S120,0.1))</f>
        <v>0</v>
      </c>
      <c r="BD120" s="45" t="n">
        <f aca="false">AW120*BA120</f>
        <v>0</v>
      </c>
      <c r="BE120" s="45" t="n">
        <f aca="false">AW120*BB120</f>
        <v>0</v>
      </c>
      <c r="BF120" s="45" t="n">
        <f aca="false">AW120*BC120</f>
        <v>0</v>
      </c>
      <c r="BH120" s="9" t="n">
        <f aca="false">IF($A120&gt;=BI$25,IF($A120&lt;=BI$26,$T120,0),0)</f>
        <v>0</v>
      </c>
      <c r="BI120" s="9" t="e">
        <f aca="false">BK120/BH120</f>
        <v>#DIV/0!</v>
      </c>
      <c r="BJ120" s="1" t="n">
        <f aca="false">BH120*($B120+H$13)</f>
        <v>0</v>
      </c>
      <c r="BK120" s="33" t="n">
        <f aca="false">IF(ISNUMBER(((BJ120/BH120)+H$15+$C120)*BH120),((BJ120/BH120)+H$15+$C120)*BH120,0)</f>
        <v>0</v>
      </c>
      <c r="BL120" s="44" t="n">
        <f aca="false">IF(BH120=0,0,bsd(1,BM$27,BI120,$I120,$R120,$Q120,$S120,0.1))</f>
        <v>0</v>
      </c>
      <c r="BM120" s="44" t="n">
        <f aca="false">IF(BH120=0,0,bsd(2,BM$27,BI120,$I120,$R120,$Q120,$S120,0.1))</f>
        <v>0</v>
      </c>
      <c r="BN120" s="44" t="n">
        <f aca="false">IF(BH120=0,0,bsd(BM$28,BM$27,BI120,$I120,$R120,$Q120,$S120,0.1))</f>
        <v>0</v>
      </c>
      <c r="BO120" s="45" t="n">
        <f aca="false">BH120*BL120</f>
        <v>0</v>
      </c>
      <c r="BP120" s="45" t="n">
        <f aca="false">BH120*BM120</f>
        <v>0</v>
      </c>
      <c r="BQ120" s="45" t="n">
        <f aca="false">BH120*BN120</f>
        <v>0</v>
      </c>
    </row>
    <row r="121" customFormat="false" ht="12.75" hidden="false" customHeight="false" outlineLevel="0" collapsed="false">
      <c r="A121" s="48" t="n">
        <f aca="false">DATE(YEAR(A120),MONTH(A120)+1,1)</f>
        <v>39539</v>
      </c>
      <c r="B121" s="40" t="n">
        <f aca="false">VLOOKUP(A121,STRADDLE,5,FALSE())</f>
        <v>3.102</v>
      </c>
      <c r="C121" s="40" t="n">
        <v>0</v>
      </c>
      <c r="D121" s="4" t="n">
        <f aca="false">VLOOKUP(A121,STRADDLE,8,FALSE())</f>
        <v>0.2</v>
      </c>
      <c r="E121" s="131" t="n">
        <f aca="false">IF(ISNUMBER(VLOOKUP(A121,VOLCURVES,HLOOKUP(B$5,VOLCURVES,2,FALSE()),FALSE())),VLOOKUP(A121,VOLCURVES,HLOOKUP(B$5,VOLCURVES,2,FALSE()),FALSE()),1)</f>
        <v>1</v>
      </c>
      <c r="F121" s="41" t="n">
        <f aca="false">IF($B$17=4,$AB121,$B$16)</f>
        <v>3.8</v>
      </c>
      <c r="G121" s="41" t="n">
        <f aca="false">IF($D$17=4,$AM121,$D$16)</f>
        <v>3.5</v>
      </c>
      <c r="H121" s="41" t="n">
        <f aca="false">IF($F$17=4,$AX121,$F$16)</f>
        <v>2.96</v>
      </c>
      <c r="I121" s="41" t="n">
        <f aca="false">IF($H$17=4,$BI121,$H$16)</f>
        <v>2.99</v>
      </c>
      <c r="J121" s="4" t="n">
        <f aca="false">IF($B$19=1,VLOOKUP($A121,SkewTable,HLOOKUP(ROUND(F121-AB121,1),SkewTable,2,FALSE()),FALSE())/100,0)</f>
        <v>0.0451185018386</v>
      </c>
      <c r="K121" s="4" t="e">
        <f aca="false">IF($D$19=1,VLOOKUP($A121,SkewTable,HLOOKUP(ROUND(G121-AM121,1),SkewTable,2,FALSE()),FALSE())/100,0)</f>
        <v>#DIV/0!</v>
      </c>
      <c r="L121" s="4" t="e">
        <f aca="false">IF($F$19=1,VLOOKUP($A121,SkewTable,HLOOKUP(ROUND(H121-AX121,1),SkewTable,2,FALSE()),FALSE())/100,0)</f>
        <v>#DIV/0!</v>
      </c>
      <c r="M121" s="4" t="e">
        <f aca="false">IF($H$19=1,VLOOKUP($A121,SkewTable,HLOOKUP(ROUND(I121-BI121,1),SkewTable,2,FALSE()),FALSE())/100,0)</f>
        <v>#DIV/0!</v>
      </c>
      <c r="N121" s="4" t="n">
        <f aca="false">(($D121+J121)*$E121)+B$18</f>
        <v>0.2451185018386</v>
      </c>
      <c r="O121" s="4" t="e">
        <f aca="false">(($D121+K121)*$E121)+D$18</f>
        <v>#DIV/0!</v>
      </c>
      <c r="P121" s="4" t="e">
        <f aca="false">(($D121+L121)*$E121)+F$18</f>
        <v>#DIV/0!</v>
      </c>
      <c r="Q121" s="4" t="e">
        <f aca="false">(($D121+M121)*$E121)+H$18</f>
        <v>#DIV/0!</v>
      </c>
      <c r="R121" s="136" t="n">
        <f aca="false">IF(B$4=1,VLOOKUP(A121,expiration,2,FALSE()),VLOOKUP(A121,expiration,3,FALSE()))-B$2+$B$1</f>
        <v>-6392</v>
      </c>
      <c r="S121" s="4" t="n">
        <f aca="false">VLOOKUP($A121,STRADDLE,12,FALSE())</f>
        <v>0.069709213996687</v>
      </c>
      <c r="T121" s="1" t="n">
        <v>0</v>
      </c>
      <c r="U121" s="43" t="n">
        <v>0</v>
      </c>
      <c r="X121" s="43"/>
      <c r="Z121" s="9"/>
      <c r="AA121" s="9" t="n">
        <f aca="false">IF($A121&gt;=AB$25,IF($A121&lt;=AB$26,$T121,0),0)</f>
        <v>0</v>
      </c>
      <c r="AB121" s="9" t="n">
        <f aca="false">IF(T121&gt;0,AD121/AA121,0)</f>
        <v>0</v>
      </c>
      <c r="AC121" s="1" t="n">
        <f aca="false">AA121*($B121+B$13)</f>
        <v>0</v>
      </c>
      <c r="AD121" s="33" t="n">
        <f aca="false">IF(ISNUMBER(((AC121/AA121)+B$15+$C121)*AA121),((AC121/AA121)+B$15+$C121)*AA121,0)</f>
        <v>0</v>
      </c>
      <c r="AE121" s="44" t="n">
        <f aca="false">IF(AA121=0,0,bsd(1,AF$27,AB121,$F121,$R121,$N121,$S121,0.1))</f>
        <v>0</v>
      </c>
      <c r="AF121" s="44" t="n">
        <f aca="false">IF(AA121=0,0,bsd(2,AF$27,AB121,$F121,$R121,$N121,$S121,0.1))</f>
        <v>0</v>
      </c>
      <c r="AG121" s="44" t="n">
        <f aca="false">IF(AA121=0,0,bsd(AF$28,AF$27,AB121,$F121,$R121,$N121,$S121,0.1))</f>
        <v>0</v>
      </c>
      <c r="AH121" s="45" t="n">
        <f aca="false">AA121*AE121</f>
        <v>0</v>
      </c>
      <c r="AI121" s="45" t="n">
        <f aca="false">AA121*AF121</f>
        <v>0</v>
      </c>
      <c r="AJ121" s="45" t="n">
        <f aca="false">AA121*AG121</f>
        <v>0</v>
      </c>
      <c r="AL121" s="9" t="n">
        <f aca="false">IF($A121&gt;=AM$25,IF($A121&lt;=AM$26,$T121,0),0)</f>
        <v>0</v>
      </c>
      <c r="AM121" s="9" t="e">
        <f aca="false">AO121/AL121</f>
        <v>#DIV/0!</v>
      </c>
      <c r="AN121" s="1" t="n">
        <f aca="false">AL121*($B121+D$13)</f>
        <v>0</v>
      </c>
      <c r="AO121" s="33" t="n">
        <f aca="false">IF(ISNUMBER(((AN121/AL121)+D$15+$C121)*AL121),((AN121/AL121)+D$15+$C121)*AL121,0)</f>
        <v>0</v>
      </c>
      <c r="AP121" s="44" t="n">
        <f aca="false">IF(AL121=0,0,bsd(1,AQ$27,AM121,$G121,$R121,$O121,$S121,0.1))</f>
        <v>0</v>
      </c>
      <c r="AQ121" s="44" t="n">
        <f aca="false">IF(AL121=0,0,bsd(2,AQ$27,AM121,$G121,$R121,$O121,$S121,0.1))</f>
        <v>0</v>
      </c>
      <c r="AR121" s="44" t="n">
        <f aca="false">IF(AL121=0,0,bsd(AQ$28,AQ$27,AM121,$G121,$R121,$O121,$S121,0.1))</f>
        <v>0</v>
      </c>
      <c r="AS121" s="45" t="n">
        <f aca="false">AL121*AP121</f>
        <v>0</v>
      </c>
      <c r="AT121" s="45" t="n">
        <f aca="false">AL121*AQ121</f>
        <v>0</v>
      </c>
      <c r="AU121" s="45" t="n">
        <f aca="false">AL121*AR121</f>
        <v>0</v>
      </c>
      <c r="AW121" s="9" t="n">
        <f aca="false">IF($A121&gt;=AX$25,IF($A121&lt;=AX$26,$T121,0),0)</f>
        <v>0</v>
      </c>
      <c r="AX121" s="9" t="e">
        <f aca="false">AZ121/AW121</f>
        <v>#DIV/0!</v>
      </c>
      <c r="AY121" s="1" t="n">
        <f aca="false">AW121*($B121+F$13)</f>
        <v>0</v>
      </c>
      <c r="AZ121" s="33" t="n">
        <f aca="false">IF(ISNUMBER(((AY121/AW121)+F$15+$C121)*AW121),((AY121/AW121)+F$15+$C121)*AW121,0)</f>
        <v>0</v>
      </c>
      <c r="BA121" s="44" t="n">
        <f aca="false">IF(AW121=0,0,bsd(1,BB$27,AX121,$H121,$R121,$P121,$S121,0.1))</f>
        <v>0</v>
      </c>
      <c r="BB121" s="44" t="n">
        <f aca="false">IF(AW121=0,0,bsd(2,BB$27,AX121,$H121,$R121,$P121,$S121,0.1))</f>
        <v>0</v>
      </c>
      <c r="BC121" s="44" t="n">
        <f aca="false">IF(AW121=0,0,bsd(BB$28,BB$27,AX121,$H121,$R121,$P121,$S121,0.1))</f>
        <v>0</v>
      </c>
      <c r="BD121" s="45" t="n">
        <f aca="false">AW121*BA121</f>
        <v>0</v>
      </c>
      <c r="BE121" s="45" t="n">
        <f aca="false">AW121*BB121</f>
        <v>0</v>
      </c>
      <c r="BF121" s="45" t="n">
        <f aca="false">AW121*BC121</f>
        <v>0</v>
      </c>
      <c r="BH121" s="9" t="n">
        <f aca="false">IF($A121&gt;=BI$25,IF($A121&lt;=BI$26,$T121,0),0)</f>
        <v>0</v>
      </c>
      <c r="BI121" s="9" t="e">
        <f aca="false">BK121/BH121</f>
        <v>#DIV/0!</v>
      </c>
      <c r="BJ121" s="1" t="n">
        <f aca="false">BH121*($B121+H$13)</f>
        <v>0</v>
      </c>
      <c r="BK121" s="33" t="n">
        <f aca="false">IF(ISNUMBER(((BJ121/BH121)+H$15+$C121)*BH121),((BJ121/BH121)+H$15+$C121)*BH121,0)</f>
        <v>0</v>
      </c>
      <c r="BL121" s="44" t="n">
        <f aca="false">IF(BH121=0,0,bsd(1,BM$27,BI121,$I121,$R121,$Q121,$S121,0.1))</f>
        <v>0</v>
      </c>
      <c r="BM121" s="44" t="n">
        <f aca="false">IF(BH121=0,0,bsd(2,BM$27,BI121,$I121,$R121,$Q121,$S121,0.1))</f>
        <v>0</v>
      </c>
      <c r="BN121" s="44" t="n">
        <f aca="false">IF(BH121=0,0,bsd(BM$28,BM$27,BI121,$I121,$R121,$Q121,$S121,0.1))</f>
        <v>0</v>
      </c>
      <c r="BO121" s="45" t="n">
        <f aca="false">BH121*BL121</f>
        <v>0</v>
      </c>
      <c r="BP121" s="45" t="n">
        <f aca="false">BH121*BM121</f>
        <v>0</v>
      </c>
      <c r="BQ121" s="45" t="n">
        <f aca="false">BH121*BN121</f>
        <v>0</v>
      </c>
    </row>
    <row r="122" customFormat="false" ht="12.75" hidden="false" customHeight="false" outlineLevel="0" collapsed="false">
      <c r="A122" s="48" t="n">
        <f aca="false">DATE(YEAR(A121),MONTH(A121)+1,1)</f>
        <v>39569</v>
      </c>
      <c r="B122" s="40" t="n">
        <f aca="false">VLOOKUP(A122,STRADDLE,5,FALSE())</f>
        <v>3.057</v>
      </c>
      <c r="C122" s="40" t="n">
        <v>0</v>
      </c>
      <c r="D122" s="4" t="n">
        <f aca="false">VLOOKUP(A122,STRADDLE,8,FALSE())</f>
        <v>0.2</v>
      </c>
      <c r="E122" s="131" t="n">
        <f aca="false">IF(ISNUMBER(VLOOKUP(A122,VOLCURVES,HLOOKUP(B$5,VOLCURVES,2,FALSE()),FALSE())),VLOOKUP(A122,VOLCURVES,HLOOKUP(B$5,VOLCURVES,2,FALSE()),FALSE()),1)</f>
        <v>1</v>
      </c>
      <c r="F122" s="41" t="n">
        <f aca="false">IF($B$17=4,$AB122,$B$16)</f>
        <v>3.8</v>
      </c>
      <c r="G122" s="41" t="n">
        <f aca="false">IF($D$17=4,$AM122,$D$16)</f>
        <v>3.5</v>
      </c>
      <c r="H122" s="41" t="n">
        <f aca="false">IF($F$17=4,$AX122,$F$16)</f>
        <v>2.96</v>
      </c>
      <c r="I122" s="41" t="n">
        <f aca="false">IF($H$17=4,$BI122,$H$16)</f>
        <v>2.99</v>
      </c>
      <c r="J122" s="4" t="n">
        <f aca="false">IF($B$19=1,VLOOKUP($A122,SkewTable,HLOOKUP(ROUND(F122-AB122,1),SkewTable,2,FALSE()),FALSE())/100,0)</f>
        <v>0.0451185018386</v>
      </c>
      <c r="K122" s="4" t="e">
        <f aca="false">IF($D$19=1,VLOOKUP($A122,SkewTable,HLOOKUP(ROUND(G122-AM122,1),SkewTable,2,FALSE()),FALSE())/100,0)</f>
        <v>#DIV/0!</v>
      </c>
      <c r="L122" s="4" t="e">
        <f aca="false">IF($F$19=1,VLOOKUP($A122,SkewTable,HLOOKUP(ROUND(H122-AX122,1),SkewTable,2,FALSE()),FALSE())/100,0)</f>
        <v>#DIV/0!</v>
      </c>
      <c r="M122" s="4" t="e">
        <f aca="false">IF($H$19=1,VLOOKUP($A122,SkewTable,HLOOKUP(ROUND(I122-BI122,1),SkewTable,2,FALSE()),FALSE())/100,0)</f>
        <v>#DIV/0!</v>
      </c>
      <c r="N122" s="4" t="n">
        <f aca="false">(($D122+J122)*$E122)+B$18</f>
        <v>0.2451185018386</v>
      </c>
      <c r="O122" s="4" t="e">
        <f aca="false">(($D122+K122)*$E122)+D$18</f>
        <v>#DIV/0!</v>
      </c>
      <c r="P122" s="4" t="e">
        <f aca="false">(($D122+L122)*$E122)+F$18</f>
        <v>#DIV/0!</v>
      </c>
      <c r="Q122" s="4" t="e">
        <f aca="false">(($D122+M122)*$E122)+H$18</f>
        <v>#DIV/0!</v>
      </c>
      <c r="R122" s="136" t="n">
        <f aca="false">IF(B$4=1,VLOOKUP(A122,expiration,2,FALSE()),VLOOKUP(A122,expiration,3,FALSE()))-B$2+$B$1</f>
        <v>-6360</v>
      </c>
      <c r="S122" s="4" t="n">
        <f aca="false">VLOOKUP($A122,STRADDLE,12,FALSE())</f>
        <v>0.069745402437105</v>
      </c>
      <c r="T122" s="1" t="n">
        <v>0</v>
      </c>
      <c r="U122" s="43" t="n">
        <v>0</v>
      </c>
      <c r="X122" s="43"/>
      <c r="Z122" s="9"/>
      <c r="AA122" s="9" t="n">
        <f aca="false">IF($A122&gt;=AB$25,IF($A122&lt;=AB$26,$T122,0),0)</f>
        <v>0</v>
      </c>
      <c r="AB122" s="9" t="n">
        <f aca="false">IF(T122&gt;0,AD122/AA122,0)</f>
        <v>0</v>
      </c>
      <c r="AC122" s="1" t="n">
        <f aca="false">AA122*($B122+B$13)</f>
        <v>0</v>
      </c>
      <c r="AD122" s="33" t="n">
        <f aca="false">IF(ISNUMBER(((AC122/AA122)+B$15+$C122)*AA122),((AC122/AA122)+B$15+$C122)*AA122,0)</f>
        <v>0</v>
      </c>
      <c r="AE122" s="44" t="n">
        <f aca="false">IF(AA122=0,0,bsd(1,AF$27,AB122,$F122,$R122,$N122,$S122,0.1))</f>
        <v>0</v>
      </c>
      <c r="AF122" s="44" t="n">
        <f aca="false">IF(AA122=0,0,bsd(2,AF$27,AB122,$F122,$R122,$N122,$S122,0.1))</f>
        <v>0</v>
      </c>
      <c r="AG122" s="44" t="n">
        <f aca="false">IF(AA122=0,0,bsd(AF$28,AF$27,AB122,$F122,$R122,$N122,$S122,0.1))</f>
        <v>0</v>
      </c>
      <c r="AH122" s="45" t="n">
        <f aca="false">AA122*AE122</f>
        <v>0</v>
      </c>
      <c r="AI122" s="45" t="n">
        <f aca="false">AA122*AF122</f>
        <v>0</v>
      </c>
      <c r="AJ122" s="45" t="n">
        <f aca="false">AA122*AG122</f>
        <v>0</v>
      </c>
      <c r="AL122" s="9" t="n">
        <f aca="false">IF($A122&gt;=AM$25,IF($A122&lt;=AM$26,$T122,0),0)</f>
        <v>0</v>
      </c>
      <c r="AM122" s="9" t="e">
        <f aca="false">AO122/AL122</f>
        <v>#DIV/0!</v>
      </c>
      <c r="AN122" s="1" t="n">
        <f aca="false">AL122*($B122+D$13)</f>
        <v>0</v>
      </c>
      <c r="AO122" s="33" t="n">
        <f aca="false">IF(ISNUMBER(((AN122/AL122)+D$15+$C122)*AL122),((AN122/AL122)+D$15+$C122)*AL122,0)</f>
        <v>0</v>
      </c>
      <c r="AP122" s="44" t="n">
        <f aca="false">IF(AL122=0,0,bsd(1,AQ$27,AM122,$G122,$R122,$O122,$S122,0.1))</f>
        <v>0</v>
      </c>
      <c r="AQ122" s="44" t="n">
        <f aca="false">IF(AL122=0,0,bsd(2,AQ$27,AM122,$G122,$R122,$O122,$S122,0.1))</f>
        <v>0</v>
      </c>
      <c r="AR122" s="44" t="n">
        <f aca="false">IF(AL122=0,0,bsd(AQ$28,AQ$27,AM122,$G122,$R122,$O122,$S122,0.1))</f>
        <v>0</v>
      </c>
      <c r="AS122" s="45" t="n">
        <f aca="false">AL122*AP122</f>
        <v>0</v>
      </c>
      <c r="AT122" s="45" t="n">
        <f aca="false">AL122*AQ122</f>
        <v>0</v>
      </c>
      <c r="AU122" s="45" t="n">
        <f aca="false">AL122*AR122</f>
        <v>0</v>
      </c>
      <c r="AW122" s="9" t="n">
        <f aca="false">IF($A122&gt;=AX$25,IF($A122&lt;=AX$26,$T122,0),0)</f>
        <v>0</v>
      </c>
      <c r="AX122" s="9" t="e">
        <f aca="false">AZ122/AW122</f>
        <v>#DIV/0!</v>
      </c>
      <c r="AY122" s="1" t="n">
        <f aca="false">AW122*($B122+F$13)</f>
        <v>0</v>
      </c>
      <c r="AZ122" s="33" t="n">
        <f aca="false">IF(ISNUMBER(((AY122/AW122)+F$15+$C122)*AW122),((AY122/AW122)+F$15+$C122)*AW122,0)</f>
        <v>0</v>
      </c>
      <c r="BA122" s="44" t="n">
        <f aca="false">IF(AW122=0,0,bsd(1,BB$27,AX122,$H122,$R122,$P122,$S122,0.1))</f>
        <v>0</v>
      </c>
      <c r="BB122" s="44" t="n">
        <f aca="false">IF(AW122=0,0,bsd(2,BB$27,AX122,$H122,$R122,$P122,$S122,0.1))</f>
        <v>0</v>
      </c>
      <c r="BC122" s="44" t="n">
        <f aca="false">IF(AW122=0,0,bsd(BB$28,BB$27,AX122,$H122,$R122,$P122,$S122,0.1))</f>
        <v>0</v>
      </c>
      <c r="BD122" s="45" t="n">
        <f aca="false">AW122*BA122</f>
        <v>0</v>
      </c>
      <c r="BE122" s="45" t="n">
        <f aca="false">AW122*BB122</f>
        <v>0</v>
      </c>
      <c r="BF122" s="45" t="n">
        <f aca="false">AW122*BC122</f>
        <v>0</v>
      </c>
      <c r="BH122" s="9" t="n">
        <f aca="false">IF($A122&gt;=BI$25,IF($A122&lt;=BI$26,$T122,0),0)</f>
        <v>0</v>
      </c>
      <c r="BI122" s="9" t="e">
        <f aca="false">BK122/BH122</f>
        <v>#DIV/0!</v>
      </c>
      <c r="BJ122" s="1" t="n">
        <f aca="false">BH122*($B122+H$13)</f>
        <v>0</v>
      </c>
      <c r="BK122" s="33" t="n">
        <f aca="false">IF(ISNUMBER(((BJ122/BH122)+H$15+$C122)*BH122),((BJ122/BH122)+H$15+$C122)*BH122,0)</f>
        <v>0</v>
      </c>
      <c r="BL122" s="44" t="n">
        <f aca="false">IF(BH122=0,0,bsd(1,BM$27,BI122,$I122,$R122,$Q122,$S122,0.1))</f>
        <v>0</v>
      </c>
      <c r="BM122" s="44" t="n">
        <f aca="false">IF(BH122=0,0,bsd(2,BM$27,BI122,$I122,$R122,$Q122,$S122,0.1))</f>
        <v>0</v>
      </c>
      <c r="BN122" s="44" t="n">
        <f aca="false">IF(BH122=0,0,bsd(BM$28,BM$27,BI122,$I122,$R122,$Q122,$S122,0.1))</f>
        <v>0</v>
      </c>
      <c r="BO122" s="45" t="n">
        <f aca="false">BH122*BL122</f>
        <v>0</v>
      </c>
      <c r="BP122" s="45" t="n">
        <f aca="false">BH122*BM122</f>
        <v>0</v>
      </c>
      <c r="BQ122" s="45" t="n">
        <f aca="false">BH122*BN122</f>
        <v>0</v>
      </c>
    </row>
    <row r="123" customFormat="false" ht="12.75" hidden="false" customHeight="false" outlineLevel="0" collapsed="false">
      <c r="A123" s="48" t="n">
        <f aca="false">DATE(YEAR(A122),MONTH(A122)+1,1)</f>
        <v>39600</v>
      </c>
      <c r="B123" s="40" t="n">
        <f aca="false">VLOOKUP(A123,STRADDLE,5,FALSE())</f>
        <v>3.07</v>
      </c>
      <c r="C123" s="40" t="n">
        <v>0</v>
      </c>
      <c r="D123" s="4" t="n">
        <f aca="false">VLOOKUP(A123,STRADDLE,8,FALSE())</f>
        <v>0.2</v>
      </c>
      <c r="E123" s="131" t="n">
        <f aca="false">IF(ISNUMBER(VLOOKUP(A123,VOLCURVES,HLOOKUP(B$5,VOLCURVES,2,FALSE()),FALSE())),VLOOKUP(A123,VOLCURVES,HLOOKUP(B$5,VOLCURVES,2,FALSE()),FALSE()),1)</f>
        <v>1</v>
      </c>
      <c r="F123" s="41" t="n">
        <f aca="false">IF($B$17=4,$AB123,$B$16)</f>
        <v>3.8</v>
      </c>
      <c r="G123" s="41" t="n">
        <f aca="false">IF($D$17=4,$AM123,$D$16)</f>
        <v>3.5</v>
      </c>
      <c r="H123" s="41" t="n">
        <f aca="false">IF($F$17=4,$AX123,$F$16)</f>
        <v>2.96</v>
      </c>
      <c r="I123" s="41" t="n">
        <f aca="false">IF($H$17=4,$BI123,$H$16)</f>
        <v>2.99</v>
      </c>
      <c r="J123" s="4" t="n">
        <f aca="false">IF($B$19=1,VLOOKUP($A123,SkewTable,HLOOKUP(ROUND(F123-AB123,1),SkewTable,2,FALSE()),FALSE())/100,0)</f>
        <v>0.0451185018386</v>
      </c>
      <c r="K123" s="4" t="e">
        <f aca="false">IF($D$19=1,VLOOKUP($A123,SkewTable,HLOOKUP(ROUND(G123-AM123,1),SkewTable,2,FALSE()),FALSE())/100,0)</f>
        <v>#DIV/0!</v>
      </c>
      <c r="L123" s="4" t="e">
        <f aca="false">IF($F$19=1,VLOOKUP($A123,SkewTable,HLOOKUP(ROUND(H123-AX123,1),SkewTable,2,FALSE()),FALSE())/100,0)</f>
        <v>#DIV/0!</v>
      </c>
      <c r="M123" s="4" t="e">
        <f aca="false">IF($H$19=1,VLOOKUP($A123,SkewTable,HLOOKUP(ROUND(I123-BI123,1),SkewTable,2,FALSE()),FALSE())/100,0)</f>
        <v>#DIV/0!</v>
      </c>
      <c r="N123" s="4" t="n">
        <f aca="false">(($D123+J123)*$E123)+B$18</f>
        <v>0.2451185018386</v>
      </c>
      <c r="O123" s="4" t="e">
        <f aca="false">(($D123+K123)*$E123)+D$18</f>
        <v>#DIV/0!</v>
      </c>
      <c r="P123" s="4" t="e">
        <f aca="false">(($D123+L123)*$E123)+F$18</f>
        <v>#DIV/0!</v>
      </c>
      <c r="Q123" s="4" t="e">
        <f aca="false">(($D123+M123)*$E123)+H$18</f>
        <v>#DIV/0!</v>
      </c>
      <c r="R123" s="136" t="n">
        <f aca="false">IF(B$4=1,VLOOKUP(A123,expiration,2,FALSE()),VLOOKUP(A123,expiration,3,FALSE()))-B$2+$B$1</f>
        <v>-6330</v>
      </c>
      <c r="S123" s="4" t="n">
        <f aca="false">VLOOKUP($A123,STRADDLE,12,FALSE())</f>
        <v>0.069782797159325</v>
      </c>
      <c r="T123" s="1" t="n">
        <v>0</v>
      </c>
      <c r="U123" s="43" t="n">
        <v>0</v>
      </c>
      <c r="X123" s="43"/>
      <c r="Z123" s="9"/>
      <c r="AA123" s="9" t="n">
        <f aca="false">IF($A123&gt;=AB$25,IF($A123&lt;=AB$26,$T123,0),0)</f>
        <v>0</v>
      </c>
      <c r="AB123" s="9" t="n">
        <f aca="false">IF(T123&gt;0,AD123/AA123,0)</f>
        <v>0</v>
      </c>
      <c r="AC123" s="1" t="n">
        <f aca="false">AA123*($B123+B$13)</f>
        <v>0</v>
      </c>
      <c r="AD123" s="33" t="n">
        <f aca="false">IF(ISNUMBER(((AC123/AA123)+B$15+$C123)*AA123),((AC123/AA123)+B$15+$C123)*AA123,0)</f>
        <v>0</v>
      </c>
      <c r="AE123" s="44" t="n">
        <f aca="false">IF(AA123=0,0,bsd(1,AF$27,AB123,$F123,$R123,$N123,$S123,0.1))</f>
        <v>0</v>
      </c>
      <c r="AF123" s="44" t="n">
        <f aca="false">IF(AA123=0,0,bsd(2,AF$27,AB123,$F123,$R123,$N123,$S123,0.1))</f>
        <v>0</v>
      </c>
      <c r="AG123" s="44" t="n">
        <f aca="false">IF(AA123=0,0,bsd(AF$28,AF$27,AB123,$F123,$R123,$N123,$S123,0.1))</f>
        <v>0</v>
      </c>
      <c r="AH123" s="45" t="n">
        <f aca="false">AA123*AE123</f>
        <v>0</v>
      </c>
      <c r="AI123" s="45" t="n">
        <f aca="false">AA123*AF123</f>
        <v>0</v>
      </c>
      <c r="AJ123" s="45" t="n">
        <f aca="false">AA123*AG123</f>
        <v>0</v>
      </c>
      <c r="AL123" s="9" t="n">
        <f aca="false">IF($A123&gt;=AM$25,IF($A123&lt;=AM$26,$T123,0),0)</f>
        <v>0</v>
      </c>
      <c r="AM123" s="9" t="e">
        <f aca="false">AO123/AL123</f>
        <v>#DIV/0!</v>
      </c>
      <c r="AN123" s="1" t="n">
        <f aca="false">AL123*($B123+D$13)</f>
        <v>0</v>
      </c>
      <c r="AO123" s="33" t="n">
        <f aca="false">IF(ISNUMBER(((AN123/AL123)+D$15+$C123)*AL123),((AN123/AL123)+D$15+$C123)*AL123,0)</f>
        <v>0</v>
      </c>
      <c r="AP123" s="44" t="n">
        <f aca="false">IF(AL123=0,0,bsd(1,AQ$27,AM123,$G123,$R123,$O123,$S123,0.1))</f>
        <v>0</v>
      </c>
      <c r="AQ123" s="44" t="n">
        <f aca="false">IF(AL123=0,0,bsd(2,AQ$27,AM123,$G123,$R123,$O123,$S123,0.1))</f>
        <v>0</v>
      </c>
      <c r="AR123" s="44" t="n">
        <f aca="false">IF(AL123=0,0,bsd(AQ$28,AQ$27,AM123,$G123,$R123,$O123,$S123,0.1))</f>
        <v>0</v>
      </c>
      <c r="AS123" s="45" t="n">
        <f aca="false">AL123*AP123</f>
        <v>0</v>
      </c>
      <c r="AT123" s="45" t="n">
        <f aca="false">AL123*AQ123</f>
        <v>0</v>
      </c>
      <c r="AU123" s="45" t="n">
        <f aca="false">AL123*AR123</f>
        <v>0</v>
      </c>
      <c r="AW123" s="9" t="n">
        <f aca="false">IF($A123&gt;=AX$25,IF($A123&lt;=AX$26,$T123,0),0)</f>
        <v>0</v>
      </c>
      <c r="AX123" s="9" t="e">
        <f aca="false">AZ123/AW123</f>
        <v>#DIV/0!</v>
      </c>
      <c r="AY123" s="1" t="n">
        <f aca="false">AW123*($B123+F$13)</f>
        <v>0</v>
      </c>
      <c r="AZ123" s="33" t="n">
        <f aca="false">IF(ISNUMBER(((AY123/AW123)+F$15+$C123)*AW123),((AY123/AW123)+F$15+$C123)*AW123,0)</f>
        <v>0</v>
      </c>
      <c r="BA123" s="44" t="n">
        <f aca="false">IF(AW123=0,0,bsd(1,BB$27,AX123,$H123,$R123,$P123,$S123,0.1))</f>
        <v>0</v>
      </c>
      <c r="BB123" s="44" t="n">
        <f aca="false">IF(AW123=0,0,bsd(2,BB$27,AX123,$H123,$R123,$P123,$S123,0.1))</f>
        <v>0</v>
      </c>
      <c r="BC123" s="44" t="n">
        <f aca="false">IF(AW123=0,0,bsd(BB$28,BB$27,AX123,$H123,$R123,$P123,$S123,0.1))</f>
        <v>0</v>
      </c>
      <c r="BD123" s="45" t="n">
        <f aca="false">AW123*BA123</f>
        <v>0</v>
      </c>
      <c r="BE123" s="45" t="n">
        <f aca="false">AW123*BB123</f>
        <v>0</v>
      </c>
      <c r="BF123" s="45" t="n">
        <f aca="false">AW123*BC123</f>
        <v>0</v>
      </c>
      <c r="BH123" s="9" t="n">
        <f aca="false">IF($A123&gt;=BI$25,IF($A123&lt;=BI$26,$T123,0),0)</f>
        <v>0</v>
      </c>
      <c r="BI123" s="9" t="e">
        <f aca="false">BK123/BH123</f>
        <v>#DIV/0!</v>
      </c>
      <c r="BJ123" s="1" t="n">
        <f aca="false">BH123*($B123+H$13)</f>
        <v>0</v>
      </c>
      <c r="BK123" s="33" t="n">
        <f aca="false">IF(ISNUMBER(((BJ123/BH123)+H$15+$C123)*BH123),((BJ123/BH123)+H$15+$C123)*BH123,0)</f>
        <v>0</v>
      </c>
      <c r="BL123" s="44" t="n">
        <f aca="false">IF(BH123=0,0,bsd(1,BM$27,BI123,$I123,$R123,$Q123,$S123,0.1))</f>
        <v>0</v>
      </c>
      <c r="BM123" s="44" t="n">
        <f aca="false">IF(BH123=0,0,bsd(2,BM$27,BI123,$I123,$R123,$Q123,$S123,0.1))</f>
        <v>0</v>
      </c>
      <c r="BN123" s="44" t="n">
        <f aca="false">IF(BH123=0,0,bsd(BM$28,BM$27,BI123,$I123,$R123,$Q123,$S123,0.1))</f>
        <v>0</v>
      </c>
      <c r="BO123" s="45" t="n">
        <f aca="false">BH123*BL123</f>
        <v>0</v>
      </c>
      <c r="BP123" s="45" t="n">
        <f aca="false">BH123*BM123</f>
        <v>0</v>
      </c>
      <c r="BQ123" s="45" t="n">
        <f aca="false">BH123*BN123</f>
        <v>0</v>
      </c>
    </row>
    <row r="124" customFormat="false" ht="12.75" hidden="false" customHeight="false" outlineLevel="0" collapsed="false">
      <c r="A124" s="48" t="n">
        <f aca="false">DATE(YEAR(A123),MONTH(A123)+1,1)</f>
        <v>39630</v>
      </c>
      <c r="B124" s="40" t="n">
        <f aca="false">VLOOKUP(A124,STRADDLE,5,FALSE())</f>
        <v>3.078</v>
      </c>
      <c r="C124" s="40" t="n">
        <v>0</v>
      </c>
      <c r="D124" s="4" t="n">
        <f aca="false">VLOOKUP(A124,STRADDLE,8,FALSE())</f>
        <v>0.18</v>
      </c>
      <c r="E124" s="131" t="n">
        <f aca="false">IF(ISNUMBER(VLOOKUP(A124,VOLCURVES,HLOOKUP(B$5,VOLCURVES,2,FALSE()),FALSE())),VLOOKUP(A124,VOLCURVES,HLOOKUP(B$5,VOLCURVES,2,FALSE()),FALSE()),1)</f>
        <v>1</v>
      </c>
      <c r="F124" s="41" t="n">
        <f aca="false">IF($B$17=4,$AB124,$B$16)</f>
        <v>3.8</v>
      </c>
      <c r="G124" s="41" t="n">
        <f aca="false">IF($D$17=4,$AM124,$D$16)</f>
        <v>3.5</v>
      </c>
      <c r="H124" s="41" t="n">
        <f aca="false">IF($F$17=4,$AX124,$F$16)</f>
        <v>2.96</v>
      </c>
      <c r="I124" s="41" t="n">
        <f aca="false">IF($H$17=4,$BI124,$H$16)</f>
        <v>2.99</v>
      </c>
      <c r="J124" s="4" t="n">
        <f aca="false">IF($B$19=1,VLOOKUP($A124,SkewTable,HLOOKUP(ROUND(F124-AB124,1),SkewTable,2,FALSE()),FALSE())/100,0)</f>
        <v>0.0451185018386</v>
      </c>
      <c r="K124" s="4" t="e">
        <f aca="false">IF($D$19=1,VLOOKUP($A124,SkewTable,HLOOKUP(ROUND(G124-AM124,1),SkewTable,2,FALSE()),FALSE())/100,0)</f>
        <v>#DIV/0!</v>
      </c>
      <c r="L124" s="4" t="e">
        <f aca="false">IF($F$19=1,VLOOKUP($A124,SkewTable,HLOOKUP(ROUND(H124-AX124,1),SkewTable,2,FALSE()),FALSE())/100,0)</f>
        <v>#DIV/0!</v>
      </c>
      <c r="M124" s="4" t="e">
        <f aca="false">IF($H$19=1,VLOOKUP($A124,SkewTable,HLOOKUP(ROUND(I124-BI124,1),SkewTable,2,FALSE()),FALSE())/100,0)</f>
        <v>#DIV/0!</v>
      </c>
      <c r="N124" s="4" t="n">
        <f aca="false">(($D124+J124)*$E124)+B$18</f>
        <v>0.2251185018386</v>
      </c>
      <c r="O124" s="4" t="e">
        <f aca="false">(($D124+K124)*$E124)+D$18</f>
        <v>#DIV/0!</v>
      </c>
      <c r="P124" s="4" t="e">
        <f aca="false">(($D124+L124)*$E124)+F$18</f>
        <v>#DIV/0!</v>
      </c>
      <c r="Q124" s="4" t="e">
        <f aca="false">(($D124+M124)*$E124)+H$18</f>
        <v>#DIV/0!</v>
      </c>
      <c r="R124" s="136" t="n">
        <f aca="false">IF(B$4=1,VLOOKUP(A124,expiration,2,FALSE()),VLOOKUP(A124,expiration,3,FALSE()))-B$2+$B$1</f>
        <v>-6301</v>
      </c>
      <c r="S124" s="4" t="n">
        <f aca="false">VLOOKUP($A124,STRADDLE,12,FALSE())</f>
        <v>0.069818985600624</v>
      </c>
      <c r="T124" s="1" t="n">
        <v>0</v>
      </c>
      <c r="U124" s="43" t="n">
        <v>0</v>
      </c>
      <c r="X124" s="43"/>
      <c r="Z124" s="9"/>
      <c r="AA124" s="9" t="n">
        <f aca="false">IF($A124&gt;=AB$25,IF($A124&lt;=AB$26,$T124,0),0)</f>
        <v>0</v>
      </c>
      <c r="AB124" s="9" t="n">
        <f aca="false">IF(T124&gt;0,AD124/AA124,0)</f>
        <v>0</v>
      </c>
      <c r="AC124" s="1" t="n">
        <f aca="false">AA124*($B124+B$13)</f>
        <v>0</v>
      </c>
      <c r="AD124" s="33" t="n">
        <f aca="false">IF(ISNUMBER(((AC124/AA124)+B$15+$C124)*AA124),((AC124/AA124)+B$15+$C124)*AA124,0)</f>
        <v>0</v>
      </c>
      <c r="AE124" s="44" t="n">
        <f aca="false">IF(AA124=0,0,bsd(1,AF$27,AB124,$F124,$R124,$N124,$S124,0.1))</f>
        <v>0</v>
      </c>
      <c r="AF124" s="44" t="n">
        <f aca="false">IF(AA124=0,0,bsd(2,AF$27,AB124,$F124,$R124,$N124,$S124,0.1))</f>
        <v>0</v>
      </c>
      <c r="AG124" s="44" t="n">
        <f aca="false">IF(AA124=0,0,bsd(AF$28,AF$27,AB124,$F124,$R124,$N124,$S124,0.1))</f>
        <v>0</v>
      </c>
      <c r="AH124" s="45" t="n">
        <f aca="false">AA124*AE124</f>
        <v>0</v>
      </c>
      <c r="AI124" s="45" t="n">
        <f aca="false">AA124*AF124</f>
        <v>0</v>
      </c>
      <c r="AJ124" s="45" t="n">
        <f aca="false">AA124*AG124</f>
        <v>0</v>
      </c>
      <c r="AL124" s="9" t="n">
        <f aca="false">IF($A124&gt;=AM$25,IF($A124&lt;=AM$26,$T124,0),0)</f>
        <v>0</v>
      </c>
      <c r="AM124" s="9" t="e">
        <f aca="false">AO124/AL124</f>
        <v>#DIV/0!</v>
      </c>
      <c r="AN124" s="1" t="n">
        <f aca="false">AL124*($B124+D$13)</f>
        <v>0</v>
      </c>
      <c r="AO124" s="33" t="n">
        <f aca="false">IF(ISNUMBER(((AN124/AL124)+D$15+$C124)*AL124),((AN124/AL124)+D$15+$C124)*AL124,0)</f>
        <v>0</v>
      </c>
      <c r="AP124" s="44" t="n">
        <f aca="false">IF(AL124=0,0,bsd(1,AQ$27,AM124,$G124,$R124,$O124,$S124,0.1))</f>
        <v>0</v>
      </c>
      <c r="AQ124" s="44" t="n">
        <f aca="false">IF(AL124=0,0,bsd(2,AQ$27,AM124,$G124,$R124,$O124,$S124,0.1))</f>
        <v>0</v>
      </c>
      <c r="AR124" s="44" t="n">
        <f aca="false">IF(AL124=0,0,bsd(AQ$28,AQ$27,AM124,$G124,$R124,$O124,$S124,0.1))</f>
        <v>0</v>
      </c>
      <c r="AS124" s="45" t="n">
        <f aca="false">AL124*AP124</f>
        <v>0</v>
      </c>
      <c r="AT124" s="45" t="n">
        <f aca="false">AL124*AQ124</f>
        <v>0</v>
      </c>
      <c r="AU124" s="45" t="n">
        <f aca="false">AL124*AR124</f>
        <v>0</v>
      </c>
      <c r="AW124" s="9" t="n">
        <f aca="false">IF($A124&gt;=AX$25,IF($A124&lt;=AX$26,$T124,0),0)</f>
        <v>0</v>
      </c>
      <c r="AX124" s="9" t="e">
        <f aca="false">AZ124/AW124</f>
        <v>#DIV/0!</v>
      </c>
      <c r="AY124" s="1" t="n">
        <f aca="false">AW124*($B124+F$13)</f>
        <v>0</v>
      </c>
      <c r="AZ124" s="33" t="n">
        <f aca="false">IF(ISNUMBER(((AY124/AW124)+F$15+$C124)*AW124),((AY124/AW124)+F$15+$C124)*AW124,0)</f>
        <v>0</v>
      </c>
      <c r="BA124" s="44" t="n">
        <f aca="false">IF(AW124=0,0,bsd(1,BB$27,AX124,$H124,$R124,$P124,$S124,0.1))</f>
        <v>0</v>
      </c>
      <c r="BB124" s="44" t="n">
        <f aca="false">IF(AW124=0,0,bsd(2,BB$27,AX124,$H124,$R124,$P124,$S124,0.1))</f>
        <v>0</v>
      </c>
      <c r="BC124" s="44" t="n">
        <f aca="false">IF(AW124=0,0,bsd(BB$28,BB$27,AX124,$H124,$R124,$P124,$S124,0.1))</f>
        <v>0</v>
      </c>
      <c r="BD124" s="45" t="n">
        <f aca="false">AW124*BA124</f>
        <v>0</v>
      </c>
      <c r="BE124" s="45" t="n">
        <f aca="false">AW124*BB124</f>
        <v>0</v>
      </c>
      <c r="BF124" s="45" t="n">
        <f aca="false">AW124*BC124</f>
        <v>0</v>
      </c>
      <c r="BH124" s="9" t="n">
        <f aca="false">IF($A124&gt;=BI$25,IF($A124&lt;=BI$26,$T124,0),0)</f>
        <v>0</v>
      </c>
      <c r="BI124" s="9" t="e">
        <f aca="false">BK124/BH124</f>
        <v>#DIV/0!</v>
      </c>
      <c r="BJ124" s="1" t="n">
        <f aca="false">BH124*($B124+H$13)</f>
        <v>0</v>
      </c>
      <c r="BK124" s="33" t="n">
        <f aca="false">IF(ISNUMBER(((BJ124/BH124)+H$15+$C124)*BH124),((BJ124/BH124)+H$15+$C124)*BH124,0)</f>
        <v>0</v>
      </c>
      <c r="BL124" s="44" t="n">
        <f aca="false">IF(BH124=0,0,bsd(1,BM$27,BI124,$I124,$R124,$Q124,$S124,0.1))</f>
        <v>0</v>
      </c>
      <c r="BM124" s="44" t="n">
        <f aca="false">IF(BH124=0,0,bsd(2,BM$27,BI124,$I124,$R124,$Q124,$S124,0.1))</f>
        <v>0</v>
      </c>
      <c r="BN124" s="44" t="n">
        <f aca="false">IF(BH124=0,0,bsd(BM$28,BM$27,BI124,$I124,$R124,$Q124,$S124,0.1))</f>
        <v>0</v>
      </c>
      <c r="BO124" s="45" t="n">
        <f aca="false">BH124*BL124</f>
        <v>0</v>
      </c>
      <c r="BP124" s="45" t="n">
        <f aca="false">BH124*BM124</f>
        <v>0</v>
      </c>
      <c r="BQ124" s="45" t="n">
        <f aca="false">BH124*BN124</f>
        <v>0</v>
      </c>
    </row>
    <row r="125" customFormat="false" ht="12.75" hidden="false" customHeight="false" outlineLevel="0" collapsed="false">
      <c r="A125" s="48" t="n">
        <f aca="false">DATE(YEAR(A124),MONTH(A124)+1,1)</f>
        <v>39661</v>
      </c>
      <c r="B125" s="40" t="n">
        <f aca="false">VLOOKUP(A125,STRADDLE,5,FALSE())</f>
        <v>3.085</v>
      </c>
      <c r="C125" s="40" t="n">
        <v>0</v>
      </c>
      <c r="D125" s="4" t="n">
        <f aca="false">VLOOKUP(A125,STRADDLE,8,FALSE())</f>
        <v>0.18</v>
      </c>
      <c r="E125" s="131" t="n">
        <f aca="false">IF(ISNUMBER(VLOOKUP(A125,VOLCURVES,HLOOKUP(B$5,VOLCURVES,2,FALSE()),FALSE())),VLOOKUP(A125,VOLCURVES,HLOOKUP(B$5,VOLCURVES,2,FALSE()),FALSE()),1)</f>
        <v>1</v>
      </c>
      <c r="F125" s="41" t="n">
        <f aca="false">IF($B$17=4,$AB125,$B$16)</f>
        <v>3.8</v>
      </c>
      <c r="G125" s="41" t="n">
        <f aca="false">IF($D$17=4,$AM125,$D$16)</f>
        <v>3.5</v>
      </c>
      <c r="H125" s="41" t="n">
        <f aca="false">IF($F$17=4,$AX125,$F$16)</f>
        <v>2.96</v>
      </c>
      <c r="I125" s="41" t="n">
        <f aca="false">IF($H$17=4,$BI125,$H$16)</f>
        <v>2.99</v>
      </c>
      <c r="J125" s="4" t="n">
        <f aca="false">IF($B$19=1,VLOOKUP($A125,SkewTable,HLOOKUP(ROUND(F125-AB125,1),SkewTable,2,FALSE()),FALSE())/100,0)</f>
        <v>0.0451185018386</v>
      </c>
      <c r="K125" s="4" t="e">
        <f aca="false">IF($D$19=1,VLOOKUP($A125,SkewTable,HLOOKUP(ROUND(G125-AM125,1),SkewTable,2,FALSE()),FALSE())/100,0)</f>
        <v>#DIV/0!</v>
      </c>
      <c r="L125" s="4" t="e">
        <f aca="false">IF($F$19=1,VLOOKUP($A125,SkewTable,HLOOKUP(ROUND(H125-AX125,1),SkewTable,2,FALSE()),FALSE())/100,0)</f>
        <v>#DIV/0!</v>
      </c>
      <c r="M125" s="4" t="e">
        <f aca="false">IF($H$19=1,VLOOKUP($A125,SkewTable,HLOOKUP(ROUND(I125-BI125,1),SkewTable,2,FALSE()),FALSE())/100,0)</f>
        <v>#DIV/0!</v>
      </c>
      <c r="N125" s="4" t="n">
        <f aca="false">(($D125+J125)*$E125)+B$18</f>
        <v>0.2251185018386</v>
      </c>
      <c r="O125" s="4" t="e">
        <f aca="false">(($D125+K125)*$E125)+D$18</f>
        <v>#DIV/0!</v>
      </c>
      <c r="P125" s="4" t="e">
        <f aca="false">(($D125+L125)*$E125)+F$18</f>
        <v>#DIV/0!</v>
      </c>
      <c r="Q125" s="4" t="e">
        <f aca="false">(($D125+M125)*$E125)+H$18</f>
        <v>#DIV/0!</v>
      </c>
      <c r="R125" s="136" t="n">
        <f aca="false">IF(B$4=1,VLOOKUP(A125,expiration,2,FALSE()),VLOOKUP(A125,expiration,3,FALSE()))-B$2+$B$1</f>
        <v>-6268</v>
      </c>
      <c r="S125" s="4" t="n">
        <f aca="false">VLOOKUP($A125,STRADDLE,12,FALSE())</f>
        <v>0.069856380323754</v>
      </c>
      <c r="T125" s="1" t="n">
        <v>0</v>
      </c>
      <c r="U125" s="43" t="n">
        <v>0</v>
      </c>
      <c r="X125" s="43"/>
      <c r="Z125" s="9"/>
      <c r="AA125" s="9" t="n">
        <f aca="false">IF($A125&gt;=AB$25,IF($A125&lt;=AB$26,$T125,0),0)</f>
        <v>0</v>
      </c>
      <c r="AB125" s="9" t="n">
        <f aca="false">IF(T125&gt;0,AD125/AA125,0)</f>
        <v>0</v>
      </c>
      <c r="AC125" s="1" t="n">
        <f aca="false">AA125*($B125+B$13)</f>
        <v>0</v>
      </c>
      <c r="AD125" s="33" t="n">
        <f aca="false">IF(ISNUMBER(((AC125/AA125)+B$15+$C125)*AA125),((AC125/AA125)+B$15+$C125)*AA125,0)</f>
        <v>0</v>
      </c>
      <c r="AE125" s="44" t="n">
        <f aca="false">IF(AA125=0,0,bsd(1,AF$27,AB125,$F125,$R125,$N125,$S125,0.1))</f>
        <v>0</v>
      </c>
      <c r="AF125" s="44" t="n">
        <f aca="false">IF(AA125=0,0,bsd(2,AF$27,AB125,$F125,$R125,$N125,$S125,0.1))</f>
        <v>0</v>
      </c>
      <c r="AG125" s="44" t="n">
        <f aca="false">IF(AA125=0,0,bsd(AF$28,AF$27,AB125,$F125,$R125,$N125,$S125,0.1))</f>
        <v>0</v>
      </c>
      <c r="AH125" s="45" t="n">
        <f aca="false">AA125*AE125</f>
        <v>0</v>
      </c>
      <c r="AI125" s="45" t="n">
        <f aca="false">AA125*AF125</f>
        <v>0</v>
      </c>
      <c r="AJ125" s="45" t="n">
        <f aca="false">AA125*AG125</f>
        <v>0</v>
      </c>
      <c r="AL125" s="9" t="n">
        <f aca="false">IF($A125&gt;=AM$25,IF($A125&lt;=AM$26,$T125,0),0)</f>
        <v>0</v>
      </c>
      <c r="AM125" s="9" t="e">
        <f aca="false">AO125/AL125</f>
        <v>#DIV/0!</v>
      </c>
      <c r="AN125" s="1" t="n">
        <f aca="false">AL125*($B125+D$13)</f>
        <v>0</v>
      </c>
      <c r="AO125" s="33" t="n">
        <f aca="false">IF(ISNUMBER(((AN125/AL125)+D$15+$C125)*AL125),((AN125/AL125)+D$15+$C125)*AL125,0)</f>
        <v>0</v>
      </c>
      <c r="AP125" s="44" t="n">
        <f aca="false">IF(AL125=0,0,bsd(1,AQ$27,AM125,$G125,$R125,$O125,$S125,0.1))</f>
        <v>0</v>
      </c>
      <c r="AQ125" s="44" t="n">
        <f aca="false">IF(AL125=0,0,bsd(2,AQ$27,AM125,$G125,$R125,$O125,$S125,0.1))</f>
        <v>0</v>
      </c>
      <c r="AR125" s="44" t="n">
        <f aca="false">IF(AL125=0,0,bsd(AQ$28,AQ$27,AM125,$G125,$R125,$O125,$S125,0.1))</f>
        <v>0</v>
      </c>
      <c r="AS125" s="45" t="n">
        <f aca="false">AL125*AP125</f>
        <v>0</v>
      </c>
      <c r="AT125" s="45" t="n">
        <f aca="false">AL125*AQ125</f>
        <v>0</v>
      </c>
      <c r="AU125" s="45" t="n">
        <f aca="false">AL125*AR125</f>
        <v>0</v>
      </c>
      <c r="AW125" s="9" t="n">
        <f aca="false">IF($A125&gt;=AX$25,IF($A125&lt;=AX$26,$T125,0),0)</f>
        <v>0</v>
      </c>
      <c r="AX125" s="9" t="e">
        <f aca="false">AZ125/AW125</f>
        <v>#DIV/0!</v>
      </c>
      <c r="AY125" s="1" t="n">
        <f aca="false">AW125*($B125+F$13)</f>
        <v>0</v>
      </c>
      <c r="AZ125" s="33" t="n">
        <f aca="false">IF(ISNUMBER(((AY125/AW125)+F$15+$C125)*AW125),((AY125/AW125)+F$15+$C125)*AW125,0)</f>
        <v>0</v>
      </c>
      <c r="BA125" s="44" t="n">
        <f aca="false">IF(AW125=0,0,bsd(1,BB$27,AX125,$H125,$R125,$P125,$S125,0.1))</f>
        <v>0</v>
      </c>
      <c r="BB125" s="44" t="n">
        <f aca="false">IF(AW125=0,0,bsd(2,BB$27,AX125,$H125,$R125,$P125,$S125,0.1))</f>
        <v>0</v>
      </c>
      <c r="BC125" s="44" t="n">
        <f aca="false">IF(AW125=0,0,bsd(BB$28,BB$27,AX125,$H125,$R125,$P125,$S125,0.1))</f>
        <v>0</v>
      </c>
      <c r="BD125" s="45" t="n">
        <f aca="false">AW125*BA125</f>
        <v>0</v>
      </c>
      <c r="BE125" s="45" t="n">
        <f aca="false">AW125*BB125</f>
        <v>0</v>
      </c>
      <c r="BF125" s="45" t="n">
        <f aca="false">AW125*BC125</f>
        <v>0</v>
      </c>
      <c r="BH125" s="9" t="n">
        <f aca="false">IF($A125&gt;=BI$25,IF($A125&lt;=BI$26,$T125,0),0)</f>
        <v>0</v>
      </c>
      <c r="BI125" s="9" t="e">
        <f aca="false">BK125/BH125</f>
        <v>#DIV/0!</v>
      </c>
      <c r="BJ125" s="1" t="n">
        <f aca="false">BH125*($B125+H$13)</f>
        <v>0</v>
      </c>
      <c r="BK125" s="33" t="n">
        <f aca="false">IF(ISNUMBER(((BJ125/BH125)+H$15+$C125)*BH125),((BJ125/BH125)+H$15+$C125)*BH125,0)</f>
        <v>0</v>
      </c>
      <c r="BL125" s="44" t="n">
        <f aca="false">IF(BH125=0,0,bsd(1,BM$27,BI125,$I125,$R125,$Q125,$S125,0.1))</f>
        <v>0</v>
      </c>
      <c r="BM125" s="44" t="n">
        <f aca="false">IF(BH125=0,0,bsd(2,BM$27,BI125,$I125,$R125,$Q125,$S125,0.1))</f>
        <v>0</v>
      </c>
      <c r="BN125" s="44" t="n">
        <f aca="false">IF(BH125=0,0,bsd(BM$28,BM$27,BI125,$I125,$R125,$Q125,$S125,0.1))</f>
        <v>0</v>
      </c>
      <c r="BO125" s="45" t="n">
        <f aca="false">BH125*BL125</f>
        <v>0</v>
      </c>
      <c r="BP125" s="45" t="n">
        <f aca="false">BH125*BM125</f>
        <v>0</v>
      </c>
      <c r="BQ125" s="45" t="n">
        <f aca="false">BH125*BN125</f>
        <v>0</v>
      </c>
    </row>
    <row r="126" customFormat="false" ht="12.75" hidden="false" customHeight="false" outlineLevel="0" collapsed="false">
      <c r="A126" s="48" t="n">
        <f aca="false">DATE(YEAR(A125),MONTH(A125)+1,1)</f>
        <v>39692</v>
      </c>
      <c r="B126" s="40" t="n">
        <f aca="false">VLOOKUP(A126,STRADDLE,5,FALSE())</f>
        <v>3.07</v>
      </c>
      <c r="C126" s="40" t="n">
        <v>0</v>
      </c>
      <c r="D126" s="4" t="n">
        <f aca="false">VLOOKUP(A126,STRADDLE,8,FALSE())</f>
        <v>0.18</v>
      </c>
      <c r="E126" s="131" t="n">
        <f aca="false">IF(ISNUMBER(VLOOKUP(A126,VOLCURVES,HLOOKUP(B$5,VOLCURVES,2,FALSE()),FALSE())),VLOOKUP(A126,VOLCURVES,HLOOKUP(B$5,VOLCURVES,2,FALSE()),FALSE()),1)</f>
        <v>1</v>
      </c>
      <c r="F126" s="41" t="n">
        <f aca="false">IF($B$17=4,$AB126,$B$16)</f>
        <v>3.8</v>
      </c>
      <c r="G126" s="41" t="n">
        <f aca="false">IF($D$17=4,$AM126,$D$16)</f>
        <v>3.5</v>
      </c>
      <c r="H126" s="41" t="n">
        <f aca="false">IF($F$17=4,$AX126,$F$16)</f>
        <v>2.96</v>
      </c>
      <c r="I126" s="41" t="n">
        <f aca="false">IF($H$17=4,$BI126,$H$16)</f>
        <v>2.99</v>
      </c>
      <c r="J126" s="4" t="n">
        <f aca="false">IF($B$19=1,VLOOKUP($A126,SkewTable,HLOOKUP(ROUND(F126-AB126,1),SkewTable,2,FALSE()),FALSE())/100,0)</f>
        <v>0.0451185018386</v>
      </c>
      <c r="K126" s="4" t="e">
        <f aca="false">IF($D$19=1,VLOOKUP($A126,SkewTable,HLOOKUP(ROUND(G126-AM126,1),SkewTable,2,FALSE()),FALSE())/100,0)</f>
        <v>#DIV/0!</v>
      </c>
      <c r="L126" s="4" t="e">
        <f aca="false">IF($F$19=1,VLOOKUP($A126,SkewTable,HLOOKUP(ROUND(H126-AX126,1),SkewTable,2,FALSE()),FALSE())/100,0)</f>
        <v>#DIV/0!</v>
      </c>
      <c r="M126" s="4" t="e">
        <f aca="false">IF($H$19=1,VLOOKUP($A126,SkewTable,HLOOKUP(ROUND(I126-BI126,1),SkewTable,2,FALSE()),FALSE())/100,0)</f>
        <v>#DIV/0!</v>
      </c>
      <c r="N126" s="4" t="n">
        <f aca="false">(($D126+J126)*$E126)+B$18</f>
        <v>0.2251185018386</v>
      </c>
      <c r="O126" s="4" t="e">
        <f aca="false">(($D126+K126)*$E126)+D$18</f>
        <v>#DIV/0!</v>
      </c>
      <c r="P126" s="4" t="e">
        <f aca="false">(($D126+L126)*$E126)+F$18</f>
        <v>#DIV/0!</v>
      </c>
      <c r="Q126" s="4" t="e">
        <f aca="false">(($D126+M126)*$E126)+H$18</f>
        <v>#DIV/0!</v>
      </c>
      <c r="R126" s="136" t="n">
        <f aca="false">IF(B$4=1,VLOOKUP(A126,expiration,2,FALSE()),VLOOKUP(A126,expiration,3,FALSE()))-B$2+$B$1</f>
        <v>-6239</v>
      </c>
      <c r="S126" s="4" t="n">
        <f aca="false">VLOOKUP($A126,STRADDLE,12,FALSE())</f>
        <v>0.069893775047348</v>
      </c>
      <c r="T126" s="1" t="n">
        <v>0</v>
      </c>
      <c r="U126" s="43" t="n">
        <v>0</v>
      </c>
      <c r="X126" s="43"/>
      <c r="Z126" s="9"/>
      <c r="AA126" s="9" t="n">
        <f aca="false">IF($A126&gt;=AB$25,IF($A126&lt;=AB$26,$T126,0),0)</f>
        <v>0</v>
      </c>
      <c r="AB126" s="9" t="n">
        <f aca="false">IF(T126&gt;0,AD126/AA126,0)</f>
        <v>0</v>
      </c>
      <c r="AC126" s="1" t="n">
        <f aca="false">AA126*($B126+B$13)</f>
        <v>0</v>
      </c>
      <c r="AD126" s="33" t="n">
        <f aca="false">IF(ISNUMBER(((AC126/AA126)+B$15+$C126)*AA126),((AC126/AA126)+B$15+$C126)*AA126,0)</f>
        <v>0</v>
      </c>
      <c r="AE126" s="44" t="n">
        <f aca="false">IF(AA126=0,0,bsd(1,AF$27,AB126,$F126,$R126,$N126,$S126,0.1))</f>
        <v>0</v>
      </c>
      <c r="AF126" s="44" t="n">
        <f aca="false">IF(AA126=0,0,bsd(2,AF$27,AB126,$F126,$R126,$N126,$S126,0.1))</f>
        <v>0</v>
      </c>
      <c r="AG126" s="44" t="n">
        <f aca="false">IF(AA126=0,0,bsd(AF$28,AF$27,AB126,$F126,$R126,$N126,$S126,0.1))</f>
        <v>0</v>
      </c>
      <c r="AH126" s="45" t="n">
        <f aca="false">AA126*AE126</f>
        <v>0</v>
      </c>
      <c r="AI126" s="45" t="n">
        <f aca="false">AA126*AF126</f>
        <v>0</v>
      </c>
      <c r="AJ126" s="45" t="n">
        <f aca="false">AA126*AG126</f>
        <v>0</v>
      </c>
      <c r="AL126" s="9" t="n">
        <f aca="false">IF($A126&gt;=AM$25,IF($A126&lt;=AM$26,$T126,0),0)</f>
        <v>0</v>
      </c>
      <c r="AM126" s="9" t="e">
        <f aca="false">AO126/AL126</f>
        <v>#DIV/0!</v>
      </c>
      <c r="AN126" s="1" t="n">
        <f aca="false">AL126*($B126+D$13)</f>
        <v>0</v>
      </c>
      <c r="AO126" s="33" t="n">
        <f aca="false">IF(ISNUMBER(((AN126/AL126)+D$15+$C126)*AL126),((AN126/AL126)+D$15+$C126)*AL126,0)</f>
        <v>0</v>
      </c>
      <c r="AP126" s="44" t="n">
        <f aca="false">IF(AL126=0,0,bsd(1,AQ$27,AM126,$G126,$R126,$O126,$S126,0.1))</f>
        <v>0</v>
      </c>
      <c r="AQ126" s="44" t="n">
        <f aca="false">IF(AL126=0,0,bsd(2,AQ$27,AM126,$G126,$R126,$O126,$S126,0.1))</f>
        <v>0</v>
      </c>
      <c r="AR126" s="44" t="n">
        <f aca="false">IF(AL126=0,0,bsd(AQ$28,AQ$27,AM126,$G126,$R126,$O126,$S126,0.1))</f>
        <v>0</v>
      </c>
      <c r="AS126" s="45" t="n">
        <f aca="false">AL126*AP126</f>
        <v>0</v>
      </c>
      <c r="AT126" s="45" t="n">
        <f aca="false">AL126*AQ126</f>
        <v>0</v>
      </c>
      <c r="AU126" s="45" t="n">
        <f aca="false">AL126*AR126</f>
        <v>0</v>
      </c>
      <c r="AW126" s="9" t="n">
        <f aca="false">IF($A126&gt;=AX$25,IF($A126&lt;=AX$26,$T126,0),0)</f>
        <v>0</v>
      </c>
      <c r="AX126" s="9" t="e">
        <f aca="false">AZ126/AW126</f>
        <v>#DIV/0!</v>
      </c>
      <c r="AY126" s="1" t="n">
        <f aca="false">AW126*($B126+F$13)</f>
        <v>0</v>
      </c>
      <c r="AZ126" s="33" t="n">
        <f aca="false">IF(ISNUMBER(((AY126/AW126)+F$15+$C126)*AW126),((AY126/AW126)+F$15+$C126)*AW126,0)</f>
        <v>0</v>
      </c>
      <c r="BA126" s="44" t="n">
        <f aca="false">IF(AW126=0,0,bsd(1,BB$27,AX126,$H126,$R126,$P126,$S126,0.1))</f>
        <v>0</v>
      </c>
      <c r="BB126" s="44" t="n">
        <f aca="false">IF(AW126=0,0,bsd(2,BB$27,AX126,$H126,$R126,$P126,$S126,0.1))</f>
        <v>0</v>
      </c>
      <c r="BC126" s="44" t="n">
        <f aca="false">IF(AW126=0,0,bsd(BB$28,BB$27,AX126,$H126,$R126,$P126,$S126,0.1))</f>
        <v>0</v>
      </c>
      <c r="BD126" s="45" t="n">
        <f aca="false">AW126*BA126</f>
        <v>0</v>
      </c>
      <c r="BE126" s="45" t="n">
        <f aca="false">AW126*BB126</f>
        <v>0</v>
      </c>
      <c r="BF126" s="45" t="n">
        <f aca="false">AW126*BC126</f>
        <v>0</v>
      </c>
      <c r="BH126" s="9" t="n">
        <f aca="false">IF($A126&gt;=BI$25,IF($A126&lt;=BI$26,$T126,0),0)</f>
        <v>0</v>
      </c>
      <c r="BI126" s="9" t="e">
        <f aca="false">BK126/BH126</f>
        <v>#DIV/0!</v>
      </c>
      <c r="BJ126" s="1" t="n">
        <f aca="false">BH126*($B126+H$13)</f>
        <v>0</v>
      </c>
      <c r="BK126" s="33" t="n">
        <f aca="false">IF(ISNUMBER(((BJ126/BH126)+H$15+$C126)*BH126),((BJ126/BH126)+H$15+$C126)*BH126,0)</f>
        <v>0</v>
      </c>
      <c r="BL126" s="44" t="n">
        <f aca="false">IF(BH126=0,0,bsd(1,BM$27,BI126,$I126,$R126,$Q126,$S126,0.1))</f>
        <v>0</v>
      </c>
      <c r="BM126" s="44" t="n">
        <f aca="false">IF(BH126=0,0,bsd(2,BM$27,BI126,$I126,$R126,$Q126,$S126,0.1))</f>
        <v>0</v>
      </c>
      <c r="BN126" s="44" t="n">
        <f aca="false">IF(BH126=0,0,bsd(BM$28,BM$27,BI126,$I126,$R126,$Q126,$S126,0.1))</f>
        <v>0</v>
      </c>
      <c r="BO126" s="45" t="n">
        <f aca="false">BH126*BL126</f>
        <v>0</v>
      </c>
      <c r="BP126" s="45" t="n">
        <f aca="false">BH126*BM126</f>
        <v>0</v>
      </c>
      <c r="BQ126" s="45" t="n">
        <f aca="false">BH126*BN126</f>
        <v>0</v>
      </c>
    </row>
    <row r="127" customFormat="false" ht="12.75" hidden="false" customHeight="false" outlineLevel="0" collapsed="false">
      <c r="A127" s="48" t="n">
        <f aca="false">DATE(YEAR(A126),MONTH(A126)+1,1)</f>
        <v>39722</v>
      </c>
      <c r="B127" s="40" t="n">
        <f aca="false">VLOOKUP(A127,STRADDLE,5,FALSE())</f>
        <v>3.088</v>
      </c>
      <c r="C127" s="40" t="n">
        <v>0</v>
      </c>
      <c r="D127" s="4" t="n">
        <f aca="false">VLOOKUP(A127,STRADDLE,8,FALSE())</f>
        <v>0.18</v>
      </c>
      <c r="E127" s="131" t="n">
        <f aca="false">IF(ISNUMBER(VLOOKUP(A127,VOLCURVES,HLOOKUP(B$5,VOLCURVES,2,FALSE()),FALSE())),VLOOKUP(A127,VOLCURVES,HLOOKUP(B$5,VOLCURVES,2,FALSE()),FALSE()),1)</f>
        <v>1</v>
      </c>
      <c r="F127" s="41" t="n">
        <f aca="false">IF($B$17=4,$AB127,$B$16)</f>
        <v>3.8</v>
      </c>
      <c r="G127" s="41" t="n">
        <f aca="false">IF($D$17=4,$AM127,$D$16)</f>
        <v>3.5</v>
      </c>
      <c r="H127" s="41" t="n">
        <f aca="false">IF($F$17=4,$AX127,$F$16)</f>
        <v>2.96</v>
      </c>
      <c r="I127" s="41" t="n">
        <f aca="false">IF($H$17=4,$BI127,$H$16)</f>
        <v>2.99</v>
      </c>
      <c r="J127" s="4" t="n">
        <f aca="false">IF($B$19=1,VLOOKUP($A127,SkewTable,HLOOKUP(ROUND(F127-AB127,1),SkewTable,2,FALSE()),FALSE())/100,0)</f>
        <v>0.0451185018386</v>
      </c>
      <c r="K127" s="4" t="e">
        <f aca="false">IF($D$19=1,VLOOKUP($A127,SkewTable,HLOOKUP(ROUND(G127-AM127,1),SkewTable,2,FALSE()),FALSE())/100,0)</f>
        <v>#DIV/0!</v>
      </c>
      <c r="L127" s="4" t="e">
        <f aca="false">IF($F$19=1,VLOOKUP($A127,SkewTable,HLOOKUP(ROUND(H127-AX127,1),SkewTable,2,FALSE()),FALSE())/100,0)</f>
        <v>#DIV/0!</v>
      </c>
      <c r="M127" s="4" t="e">
        <f aca="false">IF($H$19=1,VLOOKUP($A127,SkewTable,HLOOKUP(ROUND(I127-BI127,1),SkewTable,2,FALSE()),FALSE())/100,0)</f>
        <v>#DIV/0!</v>
      </c>
      <c r="N127" s="4" t="n">
        <f aca="false">(($D127+J127)*$E127)+B$18</f>
        <v>0.2251185018386</v>
      </c>
      <c r="O127" s="4" t="e">
        <f aca="false">(($D127+K127)*$E127)+D$18</f>
        <v>#DIV/0!</v>
      </c>
      <c r="P127" s="4" t="e">
        <f aca="false">(($D127+L127)*$E127)+F$18</f>
        <v>#DIV/0!</v>
      </c>
      <c r="Q127" s="4" t="e">
        <f aca="false">(($D127+M127)*$E127)+H$18</f>
        <v>#DIV/0!</v>
      </c>
      <c r="R127" s="136" t="n">
        <f aca="false">IF(B$4=1,VLOOKUP(A127,expiration,2,FALSE()),VLOOKUP(A127,expiration,3,FALSE()))-B$2+$B$1</f>
        <v>-6209</v>
      </c>
      <c r="S127" s="4" t="n">
        <f aca="false">VLOOKUP($A127,STRADDLE,12,FALSE())</f>
        <v>0.069929963489975</v>
      </c>
      <c r="T127" s="1" t="n">
        <v>0</v>
      </c>
      <c r="U127" s="43" t="n">
        <v>0</v>
      </c>
      <c r="X127" s="43"/>
      <c r="Z127" s="9"/>
      <c r="AA127" s="9" t="n">
        <f aca="false">IF($A127&gt;=AB$25,IF($A127&lt;=AB$26,$T127,0),0)</f>
        <v>0</v>
      </c>
      <c r="AB127" s="9" t="n">
        <f aca="false">IF(T127&gt;0,AD127/AA127,0)</f>
        <v>0</v>
      </c>
      <c r="AC127" s="1" t="n">
        <f aca="false">AA127*($B127+B$13)</f>
        <v>0</v>
      </c>
      <c r="AD127" s="33" t="n">
        <f aca="false">IF(ISNUMBER(((AC127/AA127)+B$15+$C127)*AA127),((AC127/AA127)+B$15+$C127)*AA127,0)</f>
        <v>0</v>
      </c>
      <c r="AE127" s="44" t="n">
        <f aca="false">IF(AA127=0,0,bsd(1,AF$27,AB127,$F127,$R127,$N127,$S127,0.1))</f>
        <v>0</v>
      </c>
      <c r="AF127" s="44" t="n">
        <f aca="false">IF(AA127=0,0,bsd(2,AF$27,AB127,$F127,$R127,$N127,$S127,0.1))</f>
        <v>0</v>
      </c>
      <c r="AG127" s="44" t="n">
        <f aca="false">IF(AA127=0,0,bsd(AF$28,AF$27,AB127,$F127,$R127,$N127,$S127,0.1))</f>
        <v>0</v>
      </c>
      <c r="AH127" s="45" t="n">
        <f aca="false">AA127*AE127</f>
        <v>0</v>
      </c>
      <c r="AI127" s="45" t="n">
        <f aca="false">AA127*AF127</f>
        <v>0</v>
      </c>
      <c r="AJ127" s="45" t="n">
        <f aca="false">AA127*AG127</f>
        <v>0</v>
      </c>
      <c r="AL127" s="9" t="n">
        <f aca="false">IF($A127&gt;=AM$25,IF($A127&lt;=AM$26,$T127,0),0)</f>
        <v>0</v>
      </c>
      <c r="AM127" s="9" t="e">
        <f aca="false">AO127/AL127</f>
        <v>#DIV/0!</v>
      </c>
      <c r="AN127" s="1" t="n">
        <f aca="false">AL127*($B127+D$13)</f>
        <v>0</v>
      </c>
      <c r="AO127" s="33" t="n">
        <f aca="false">IF(ISNUMBER(((AN127/AL127)+D$15+$C127)*AL127),((AN127/AL127)+D$15+$C127)*AL127,0)</f>
        <v>0</v>
      </c>
      <c r="AP127" s="44" t="n">
        <f aca="false">IF(AL127=0,0,bsd(1,AQ$27,AM127,$G127,$R127,$O127,$S127,0.1))</f>
        <v>0</v>
      </c>
      <c r="AQ127" s="44" t="n">
        <f aca="false">IF(AL127=0,0,bsd(2,AQ$27,AM127,$G127,$R127,$O127,$S127,0.1))</f>
        <v>0</v>
      </c>
      <c r="AR127" s="44" t="n">
        <f aca="false">IF(AL127=0,0,bsd(AQ$28,AQ$27,AM127,$G127,$R127,$O127,$S127,0.1))</f>
        <v>0</v>
      </c>
      <c r="AS127" s="45" t="n">
        <f aca="false">AL127*AP127</f>
        <v>0</v>
      </c>
      <c r="AT127" s="45" t="n">
        <f aca="false">AL127*AQ127</f>
        <v>0</v>
      </c>
      <c r="AU127" s="45" t="n">
        <f aca="false">AL127*AR127</f>
        <v>0</v>
      </c>
      <c r="AW127" s="9" t="n">
        <f aca="false">IF($A127&gt;=AX$25,IF($A127&lt;=AX$26,$T127,0),0)</f>
        <v>0</v>
      </c>
      <c r="AX127" s="9" t="e">
        <f aca="false">AZ127/AW127</f>
        <v>#DIV/0!</v>
      </c>
      <c r="AY127" s="1" t="n">
        <f aca="false">AW127*($B127+F$13)</f>
        <v>0</v>
      </c>
      <c r="AZ127" s="33" t="n">
        <f aca="false">IF(ISNUMBER(((AY127/AW127)+F$15+$C127)*AW127),((AY127/AW127)+F$15+$C127)*AW127,0)</f>
        <v>0</v>
      </c>
      <c r="BA127" s="44" t="n">
        <f aca="false">IF(AW127=0,0,bsd(1,BB$27,AX127,$H127,$R127,$P127,$S127,0.1))</f>
        <v>0</v>
      </c>
      <c r="BB127" s="44" t="n">
        <f aca="false">IF(AW127=0,0,bsd(2,BB$27,AX127,$H127,$R127,$P127,$S127,0.1))</f>
        <v>0</v>
      </c>
      <c r="BC127" s="44" t="n">
        <f aca="false">IF(AW127=0,0,bsd(BB$28,BB$27,AX127,$H127,$R127,$P127,$S127,0.1))</f>
        <v>0</v>
      </c>
      <c r="BD127" s="45" t="n">
        <f aca="false">AW127*BA127</f>
        <v>0</v>
      </c>
      <c r="BE127" s="45" t="n">
        <f aca="false">AW127*BB127</f>
        <v>0</v>
      </c>
      <c r="BF127" s="45" t="n">
        <f aca="false">AW127*BC127</f>
        <v>0</v>
      </c>
      <c r="BH127" s="9" t="n">
        <f aca="false">IF($A127&gt;=BI$25,IF($A127&lt;=BI$26,$T127,0),0)</f>
        <v>0</v>
      </c>
      <c r="BI127" s="9" t="e">
        <f aca="false">BK127/BH127</f>
        <v>#DIV/0!</v>
      </c>
      <c r="BJ127" s="1" t="n">
        <f aca="false">BH127*($B127+H$13)</f>
        <v>0</v>
      </c>
      <c r="BK127" s="33" t="n">
        <f aca="false">IF(ISNUMBER(((BJ127/BH127)+H$15+$C127)*BH127),((BJ127/BH127)+H$15+$C127)*BH127,0)</f>
        <v>0</v>
      </c>
      <c r="BL127" s="44" t="n">
        <f aca="false">IF(BH127=0,0,bsd(1,BM$27,BI127,$I127,$R127,$Q127,$S127,0.1))</f>
        <v>0</v>
      </c>
      <c r="BM127" s="44" t="n">
        <f aca="false">IF(BH127=0,0,bsd(2,BM$27,BI127,$I127,$R127,$Q127,$S127,0.1))</f>
        <v>0</v>
      </c>
      <c r="BN127" s="44" t="n">
        <f aca="false">IF(BH127=0,0,bsd(BM$28,BM$27,BI127,$I127,$R127,$Q127,$S127,0.1))</f>
        <v>0</v>
      </c>
      <c r="BO127" s="45" t="n">
        <f aca="false">BH127*BL127</f>
        <v>0</v>
      </c>
      <c r="BP127" s="45" t="n">
        <f aca="false">BH127*BM127</f>
        <v>0</v>
      </c>
      <c r="BQ127" s="45" t="n">
        <f aca="false">BH127*BN127</f>
        <v>0</v>
      </c>
    </row>
    <row r="128" customFormat="false" ht="12.75" hidden="false" customHeight="false" outlineLevel="0" collapsed="false">
      <c r="A128" s="48" t="n">
        <f aca="false">DATE(YEAR(A127),MONTH(A127)+1,1)</f>
        <v>39753</v>
      </c>
      <c r="B128" s="40" t="n">
        <f aca="false">VLOOKUP(A128,STRADDLE,5,FALSE())</f>
        <v>3.155</v>
      </c>
      <c r="C128" s="40" t="n">
        <v>0</v>
      </c>
      <c r="D128" s="4" t="n">
        <f aca="false">VLOOKUP(A128,STRADDLE,8,FALSE())</f>
        <v>0.18</v>
      </c>
      <c r="E128" s="131" t="n">
        <f aca="false">IF(ISNUMBER(VLOOKUP(A128,VOLCURVES,HLOOKUP(B$5,VOLCURVES,2,FALSE()),FALSE())),VLOOKUP(A128,VOLCURVES,HLOOKUP(B$5,VOLCURVES,2,FALSE()),FALSE()),1)</f>
        <v>1</v>
      </c>
      <c r="F128" s="41" t="n">
        <f aca="false">IF($B$17=4,$AB128,$B$16)</f>
        <v>3.8</v>
      </c>
      <c r="G128" s="41" t="n">
        <f aca="false">IF($D$17=4,$AM128,$D$16)</f>
        <v>3.5</v>
      </c>
      <c r="H128" s="41" t="n">
        <f aca="false">IF($F$17=4,$AX128,$F$16)</f>
        <v>2.96</v>
      </c>
      <c r="I128" s="41" t="n">
        <f aca="false">IF($H$17=4,$BI128,$H$16)</f>
        <v>2.99</v>
      </c>
      <c r="J128" s="4" t="n">
        <f aca="false">IF($B$19=1,VLOOKUP($A128,SkewTable,HLOOKUP(ROUND(F128-AB128,1),SkewTable,2,FALSE()),FALSE())/100,0)</f>
        <v>0.0451185018386</v>
      </c>
      <c r="K128" s="4" t="e">
        <f aca="false">IF($D$19=1,VLOOKUP($A128,SkewTable,HLOOKUP(ROUND(G128-AM128,1),SkewTable,2,FALSE()),FALSE())/100,0)</f>
        <v>#DIV/0!</v>
      </c>
      <c r="L128" s="4" t="e">
        <f aca="false">IF($F$19=1,VLOOKUP($A128,SkewTable,HLOOKUP(ROUND(H128-AX128,1),SkewTable,2,FALSE()),FALSE())/100,0)</f>
        <v>#DIV/0!</v>
      </c>
      <c r="M128" s="4" t="e">
        <f aca="false">IF($H$19=1,VLOOKUP($A128,SkewTable,HLOOKUP(ROUND(I128-BI128,1),SkewTable,2,FALSE()),FALSE())/100,0)</f>
        <v>#DIV/0!</v>
      </c>
      <c r="N128" s="4" t="n">
        <f aca="false">(($D128+J128)*$E128)+B$18</f>
        <v>0.2251185018386</v>
      </c>
      <c r="O128" s="4" t="e">
        <f aca="false">(($D128+K128)*$E128)+D$18</f>
        <v>#DIV/0!</v>
      </c>
      <c r="P128" s="4" t="e">
        <f aca="false">(($D128+L128)*$E128)+F$18</f>
        <v>#DIV/0!</v>
      </c>
      <c r="Q128" s="4" t="e">
        <f aca="false">(($D128+M128)*$E128)+H$18</f>
        <v>#DIV/0!</v>
      </c>
      <c r="R128" s="136" t="n">
        <f aca="false">IF(B$4=1,VLOOKUP(A128,expiration,2,FALSE()),VLOOKUP(A128,expiration,3,FALSE()))-B$2+$B$1</f>
        <v>-6176</v>
      </c>
      <c r="S128" s="4" t="n">
        <f aca="false">VLOOKUP($A128,STRADDLE,12,FALSE())</f>
        <v>0.069967358214477</v>
      </c>
      <c r="T128" s="1" t="n">
        <v>0</v>
      </c>
      <c r="U128" s="43" t="n">
        <v>0</v>
      </c>
      <c r="X128" s="43"/>
      <c r="Z128" s="9"/>
      <c r="AA128" s="9" t="n">
        <f aca="false">IF($A128&gt;=AB$25,IF($A128&lt;=AB$26,$T128,0),0)</f>
        <v>0</v>
      </c>
      <c r="AB128" s="9" t="n">
        <f aca="false">IF(T128&gt;0,AD128/AA128,0)</f>
        <v>0</v>
      </c>
      <c r="AC128" s="1" t="n">
        <f aca="false">AA128*($B128+B$13)</f>
        <v>0</v>
      </c>
      <c r="AD128" s="33" t="n">
        <f aca="false">IF(ISNUMBER(((AC128/AA128)+B$15+$C128)*AA128),((AC128/AA128)+B$15+$C128)*AA128,0)</f>
        <v>0</v>
      </c>
      <c r="AE128" s="44" t="n">
        <f aca="false">IF(AA128=0,0,bsd(1,AF$27,AB128,$F128,$R128,$N128,$S128,0.1))</f>
        <v>0</v>
      </c>
      <c r="AF128" s="44" t="n">
        <f aca="false">IF(AA128=0,0,bsd(2,AF$27,AB128,$F128,$R128,$N128,$S128,0.1))</f>
        <v>0</v>
      </c>
      <c r="AG128" s="44" t="n">
        <f aca="false">IF(AA128=0,0,bsd(AF$28,AF$27,AB128,$F128,$R128,$N128,$S128,0.1))</f>
        <v>0</v>
      </c>
      <c r="AH128" s="45" t="n">
        <f aca="false">AA128*AE128</f>
        <v>0</v>
      </c>
      <c r="AI128" s="45" t="n">
        <f aca="false">AA128*AF128</f>
        <v>0</v>
      </c>
      <c r="AJ128" s="45" t="n">
        <f aca="false">AA128*AG128</f>
        <v>0</v>
      </c>
      <c r="AL128" s="9" t="n">
        <f aca="false">IF($A128&gt;=AM$25,IF($A128&lt;=AM$26,$T128,0),0)</f>
        <v>0</v>
      </c>
      <c r="AM128" s="9" t="e">
        <f aca="false">AO128/AL128</f>
        <v>#DIV/0!</v>
      </c>
      <c r="AN128" s="1" t="n">
        <f aca="false">AL128*($B128+D$13)</f>
        <v>0</v>
      </c>
      <c r="AO128" s="33" t="n">
        <f aca="false">IF(ISNUMBER(((AN128/AL128)+D$15+$C128)*AL128),((AN128/AL128)+D$15+$C128)*AL128,0)</f>
        <v>0</v>
      </c>
      <c r="AP128" s="44" t="n">
        <f aca="false">IF(AL128=0,0,bsd(1,AQ$27,AM128,$G128,$R128,$O128,$S128,0.1))</f>
        <v>0</v>
      </c>
      <c r="AQ128" s="44" t="n">
        <f aca="false">IF(AL128=0,0,bsd(2,AQ$27,AM128,$G128,$R128,$O128,$S128,0.1))</f>
        <v>0</v>
      </c>
      <c r="AR128" s="44" t="n">
        <f aca="false">IF(AL128=0,0,bsd(AQ$28,AQ$27,AM128,$G128,$R128,$O128,$S128,0.1))</f>
        <v>0</v>
      </c>
      <c r="AS128" s="45" t="n">
        <f aca="false">AL128*AP128</f>
        <v>0</v>
      </c>
      <c r="AT128" s="45" t="n">
        <f aca="false">AL128*AQ128</f>
        <v>0</v>
      </c>
      <c r="AU128" s="45" t="n">
        <f aca="false">AL128*AR128</f>
        <v>0</v>
      </c>
      <c r="AW128" s="9" t="n">
        <f aca="false">IF($A128&gt;=AX$25,IF($A128&lt;=AX$26,$T128,0),0)</f>
        <v>0</v>
      </c>
      <c r="AX128" s="9" t="e">
        <f aca="false">AZ128/AW128</f>
        <v>#DIV/0!</v>
      </c>
      <c r="AY128" s="1" t="n">
        <f aca="false">AW128*($B128+F$13)</f>
        <v>0</v>
      </c>
      <c r="AZ128" s="33" t="n">
        <f aca="false">IF(ISNUMBER(((AY128/AW128)+F$15+$C128)*AW128),((AY128/AW128)+F$15+$C128)*AW128,0)</f>
        <v>0</v>
      </c>
      <c r="BA128" s="44" t="n">
        <f aca="false">IF(AW128=0,0,bsd(1,BB$27,AX128,$H128,$R128,$P128,$S128,0.1))</f>
        <v>0</v>
      </c>
      <c r="BB128" s="44" t="n">
        <f aca="false">IF(AW128=0,0,bsd(2,BB$27,AX128,$H128,$R128,$P128,$S128,0.1))</f>
        <v>0</v>
      </c>
      <c r="BC128" s="44" t="n">
        <f aca="false">IF(AW128=0,0,bsd(BB$28,BB$27,AX128,$H128,$R128,$P128,$S128,0.1))</f>
        <v>0</v>
      </c>
      <c r="BD128" s="45" t="n">
        <f aca="false">AW128*BA128</f>
        <v>0</v>
      </c>
      <c r="BE128" s="45" t="n">
        <f aca="false">AW128*BB128</f>
        <v>0</v>
      </c>
      <c r="BF128" s="45" t="n">
        <f aca="false">AW128*BC128</f>
        <v>0</v>
      </c>
      <c r="BH128" s="9" t="n">
        <f aca="false">IF($A128&gt;=BI$25,IF($A128&lt;=BI$26,$T128,0),0)</f>
        <v>0</v>
      </c>
      <c r="BI128" s="9" t="e">
        <f aca="false">BK128/BH128</f>
        <v>#DIV/0!</v>
      </c>
      <c r="BJ128" s="1" t="n">
        <f aca="false">BH128*($B128+H$13)</f>
        <v>0</v>
      </c>
      <c r="BK128" s="33" t="n">
        <f aca="false">IF(ISNUMBER(((BJ128/BH128)+H$15+$C128)*BH128),((BJ128/BH128)+H$15+$C128)*BH128,0)</f>
        <v>0</v>
      </c>
      <c r="BL128" s="44" t="n">
        <f aca="false">IF(BH128=0,0,bsd(1,BM$27,BI128,$I128,$R128,$Q128,$S128,0.1))</f>
        <v>0</v>
      </c>
      <c r="BM128" s="44" t="n">
        <f aca="false">IF(BH128=0,0,bsd(2,BM$27,BI128,$I128,$R128,$Q128,$S128,0.1))</f>
        <v>0</v>
      </c>
      <c r="BN128" s="44" t="n">
        <f aca="false">IF(BH128=0,0,bsd(BM$28,BM$27,BI128,$I128,$R128,$Q128,$S128,0.1))</f>
        <v>0</v>
      </c>
      <c r="BO128" s="45" t="n">
        <f aca="false">BH128*BL128</f>
        <v>0</v>
      </c>
      <c r="BP128" s="45" t="n">
        <f aca="false">BH128*BM128</f>
        <v>0</v>
      </c>
      <c r="BQ128" s="45" t="n">
        <f aca="false">BH128*BN128</f>
        <v>0</v>
      </c>
    </row>
    <row r="129" customFormat="false" ht="12.75" hidden="false" customHeight="false" outlineLevel="0" collapsed="false">
      <c r="A129" s="48" t="n">
        <f aca="false">DATE(YEAR(A128),MONTH(A128)+1,1)</f>
        <v>39783</v>
      </c>
      <c r="B129" s="40" t="n">
        <f aca="false">VLOOKUP(A129,STRADDLE,5,FALSE())</f>
        <v>3.216</v>
      </c>
      <c r="C129" s="40" t="n">
        <v>0</v>
      </c>
      <c r="D129" s="4" t="n">
        <f aca="false">VLOOKUP(A129,STRADDLE,8,FALSE())</f>
        <v>0.18</v>
      </c>
      <c r="E129" s="131" t="n">
        <f aca="false">IF(ISNUMBER(VLOOKUP(A129,VOLCURVES,HLOOKUP(B$5,VOLCURVES,2,FALSE()),FALSE())),VLOOKUP(A129,VOLCURVES,HLOOKUP(B$5,VOLCURVES,2,FALSE()),FALSE()),1)</f>
        <v>1</v>
      </c>
      <c r="F129" s="41" t="n">
        <f aca="false">IF($B$17=4,$AB129,$B$16)</f>
        <v>3.8</v>
      </c>
      <c r="G129" s="41" t="n">
        <f aca="false">IF($D$17=4,$AM129,$D$16)</f>
        <v>3.5</v>
      </c>
      <c r="H129" s="41" t="n">
        <f aca="false">IF($F$17=4,$AX129,$F$16)</f>
        <v>2.96</v>
      </c>
      <c r="I129" s="41" t="n">
        <f aca="false">IF($H$17=4,$BI129,$H$16)</f>
        <v>2.99</v>
      </c>
      <c r="J129" s="4" t="n">
        <f aca="false">IF($B$19=1,VLOOKUP($A129,SkewTable,HLOOKUP(ROUND(F129-AB129,1),SkewTable,2,FALSE()),FALSE())/100,0)</f>
        <v>0.0451185018386</v>
      </c>
      <c r="K129" s="4" t="e">
        <f aca="false">IF($D$19=1,VLOOKUP($A129,SkewTable,HLOOKUP(ROUND(G129-AM129,1),SkewTable,2,FALSE()),FALSE())/100,0)</f>
        <v>#DIV/0!</v>
      </c>
      <c r="L129" s="4" t="e">
        <f aca="false">IF($F$19=1,VLOOKUP($A129,SkewTable,HLOOKUP(ROUND(H129-AX129,1),SkewTable,2,FALSE()),FALSE())/100,0)</f>
        <v>#DIV/0!</v>
      </c>
      <c r="M129" s="4" t="e">
        <f aca="false">IF($H$19=1,VLOOKUP($A129,SkewTable,HLOOKUP(ROUND(I129-BI129,1),SkewTable,2,FALSE()),FALSE())/100,0)</f>
        <v>#DIV/0!</v>
      </c>
      <c r="N129" s="4" t="n">
        <f aca="false">(($D129+J129)*$E129)+B$18</f>
        <v>0.2251185018386</v>
      </c>
      <c r="O129" s="4" t="e">
        <f aca="false">(($D129+K129)*$E129)+D$18</f>
        <v>#DIV/0!</v>
      </c>
      <c r="P129" s="4" t="e">
        <f aca="false">(($D129+L129)*$E129)+F$18</f>
        <v>#DIV/0!</v>
      </c>
      <c r="Q129" s="4" t="e">
        <f aca="false">(($D129+M129)*$E129)+H$18</f>
        <v>#DIV/0!</v>
      </c>
      <c r="R129" s="136" t="n">
        <f aca="false">IF(B$4=1,VLOOKUP(A129,expiration,2,FALSE()),VLOOKUP(A129,expiration,3,FALSE()))-B$2+$B$1</f>
        <v>-6149</v>
      </c>
      <c r="S129" s="4" t="n">
        <f aca="false">VLOOKUP($A129,STRADDLE,12,FALSE())</f>
        <v>0.070003546657985</v>
      </c>
      <c r="T129" s="1" t="n">
        <v>0</v>
      </c>
      <c r="U129" s="43" t="n">
        <v>0</v>
      </c>
      <c r="X129" s="43"/>
      <c r="Z129" s="9"/>
      <c r="AA129" s="9" t="n">
        <f aca="false">IF($A129&gt;=AB$25,IF($A129&lt;=AB$26,$T129,0),0)</f>
        <v>0</v>
      </c>
      <c r="AB129" s="9" t="n">
        <f aca="false">IF(T129&gt;0,AD129/AA129,0)</f>
        <v>0</v>
      </c>
      <c r="AC129" s="1" t="n">
        <f aca="false">AA129*($B129+B$13)</f>
        <v>0</v>
      </c>
      <c r="AD129" s="33" t="n">
        <f aca="false">IF(ISNUMBER(((AC129/AA129)+B$15+$C129)*AA129),((AC129/AA129)+B$15+$C129)*AA129,0)</f>
        <v>0</v>
      </c>
      <c r="AE129" s="44" t="n">
        <f aca="false">IF(AA129=0,0,bsd(1,AF$27,AB129,$F129,$R129,$N129,$S129,0.1))</f>
        <v>0</v>
      </c>
      <c r="AF129" s="44" t="n">
        <f aca="false">IF(AA129=0,0,bsd(2,AF$27,AB129,$F129,$R129,$N129,$S129,0.1))</f>
        <v>0</v>
      </c>
      <c r="AG129" s="44" t="n">
        <f aca="false">IF(AA129=0,0,bsd(AF$28,AF$27,AB129,$F129,$R129,$N129,$S129,0.1))</f>
        <v>0</v>
      </c>
      <c r="AH129" s="45" t="n">
        <f aca="false">AA129*AE129</f>
        <v>0</v>
      </c>
      <c r="AI129" s="45" t="n">
        <f aca="false">AA129*AF129</f>
        <v>0</v>
      </c>
      <c r="AJ129" s="45" t="n">
        <f aca="false">AA129*AG129</f>
        <v>0</v>
      </c>
      <c r="AL129" s="9" t="n">
        <f aca="false">IF($A129&gt;=AM$25,IF($A129&lt;=AM$26,$T129,0),0)</f>
        <v>0</v>
      </c>
      <c r="AM129" s="9" t="e">
        <f aca="false">AO129/AL129</f>
        <v>#DIV/0!</v>
      </c>
      <c r="AN129" s="1" t="n">
        <f aca="false">AL129*($B129+D$13)</f>
        <v>0</v>
      </c>
      <c r="AO129" s="33" t="n">
        <f aca="false">IF(ISNUMBER(((AN129/AL129)+D$15+$C129)*AL129),((AN129/AL129)+D$15+$C129)*AL129,0)</f>
        <v>0</v>
      </c>
      <c r="AP129" s="44" t="n">
        <f aca="false">IF(AL129=0,0,bsd(1,AQ$27,AM129,$G129,$R129,$O129,$S129,0.1))</f>
        <v>0</v>
      </c>
      <c r="AQ129" s="44" t="n">
        <f aca="false">IF(AL129=0,0,bsd(2,AQ$27,AM129,$G129,$R129,$O129,$S129,0.1))</f>
        <v>0</v>
      </c>
      <c r="AR129" s="44" t="n">
        <f aca="false">IF(AL129=0,0,bsd(AQ$28,AQ$27,AM129,$G129,$R129,$O129,$S129,0.1))</f>
        <v>0</v>
      </c>
      <c r="AS129" s="45" t="n">
        <f aca="false">AL129*AP129</f>
        <v>0</v>
      </c>
      <c r="AT129" s="45" t="n">
        <f aca="false">AL129*AQ129</f>
        <v>0</v>
      </c>
      <c r="AU129" s="45" t="n">
        <f aca="false">AL129*AR129</f>
        <v>0</v>
      </c>
      <c r="AW129" s="9" t="n">
        <f aca="false">IF($A129&gt;=AX$25,IF($A129&lt;=AX$26,$T129,0),0)</f>
        <v>0</v>
      </c>
      <c r="AX129" s="9" t="e">
        <f aca="false">AZ129/AW129</f>
        <v>#DIV/0!</v>
      </c>
      <c r="AY129" s="1" t="n">
        <f aca="false">AW129*($B129+F$13)</f>
        <v>0</v>
      </c>
      <c r="AZ129" s="33" t="n">
        <f aca="false">IF(ISNUMBER(((AY129/AW129)+F$15+$C129)*AW129),((AY129/AW129)+F$15+$C129)*AW129,0)</f>
        <v>0</v>
      </c>
      <c r="BA129" s="44" t="n">
        <f aca="false">IF(AW129=0,0,bsd(1,BB$27,AX129,$H129,$R129,$P129,$S129,0.1))</f>
        <v>0</v>
      </c>
      <c r="BB129" s="44" t="n">
        <f aca="false">IF(AW129=0,0,bsd(2,BB$27,AX129,$H129,$R129,$P129,$S129,0.1))</f>
        <v>0</v>
      </c>
      <c r="BC129" s="44" t="n">
        <f aca="false">IF(AW129=0,0,bsd(BB$28,BB$27,AX129,$H129,$R129,$P129,$S129,0.1))</f>
        <v>0</v>
      </c>
      <c r="BD129" s="45" t="n">
        <f aca="false">AW129*BA129</f>
        <v>0</v>
      </c>
      <c r="BE129" s="45" t="n">
        <f aca="false">AW129*BB129</f>
        <v>0</v>
      </c>
      <c r="BF129" s="45" t="n">
        <f aca="false">AW129*BC129</f>
        <v>0</v>
      </c>
      <c r="BH129" s="9" t="n">
        <f aca="false">IF($A129&gt;=BI$25,IF($A129&lt;=BI$26,$T129,0),0)</f>
        <v>0</v>
      </c>
      <c r="BI129" s="9" t="e">
        <f aca="false">BK129/BH129</f>
        <v>#DIV/0!</v>
      </c>
      <c r="BJ129" s="1" t="n">
        <f aca="false">BH129*($B129+H$13)</f>
        <v>0</v>
      </c>
      <c r="BK129" s="33" t="n">
        <f aca="false">IF(ISNUMBER(((BJ129/BH129)+H$15+$C129)*BH129),((BJ129/BH129)+H$15+$C129)*BH129,0)</f>
        <v>0</v>
      </c>
      <c r="BL129" s="44" t="n">
        <f aca="false">IF(BH129=0,0,bsd(1,BM$27,BI129,$I129,$R129,$Q129,$S129,0.1))</f>
        <v>0</v>
      </c>
      <c r="BM129" s="44" t="n">
        <f aca="false">IF(BH129=0,0,bsd(2,BM$27,BI129,$I129,$R129,$Q129,$S129,0.1))</f>
        <v>0</v>
      </c>
      <c r="BN129" s="44" t="n">
        <f aca="false">IF(BH129=0,0,bsd(BM$28,BM$27,BI129,$I129,$R129,$Q129,$S129,0.1))</f>
        <v>0</v>
      </c>
      <c r="BO129" s="45" t="n">
        <f aca="false">BH129*BL129</f>
        <v>0</v>
      </c>
      <c r="BP129" s="45" t="n">
        <f aca="false">BH129*BM129</f>
        <v>0</v>
      </c>
      <c r="BQ129" s="45" t="n">
        <f aca="false">BH129*BN129</f>
        <v>0</v>
      </c>
    </row>
    <row r="130" customFormat="false" ht="12.75" hidden="false" customHeight="false" outlineLevel="0" collapsed="false">
      <c r="A130" s="48" t="n">
        <f aca="false">DATE(YEAR(A129),MONTH(A129)+1,1)</f>
        <v>39814</v>
      </c>
      <c r="B130" s="40" t="n">
        <f aca="false">VLOOKUP(A130,STRADDLE,5,FALSE())</f>
        <v>3.619</v>
      </c>
      <c r="C130" s="40" t="n">
        <v>0</v>
      </c>
      <c r="D130" s="4" t="n">
        <f aca="false">VLOOKUP(A130,STRADDLE,8,FALSE())</f>
        <v>0.18</v>
      </c>
      <c r="E130" s="131" t="n">
        <f aca="false">IF(ISNUMBER(VLOOKUP(A130,VOLCURVES,HLOOKUP(B$5,VOLCURVES,2,FALSE()),FALSE())),VLOOKUP(A130,VOLCURVES,HLOOKUP(B$5,VOLCURVES,2,FALSE()),FALSE()),1)</f>
        <v>1</v>
      </c>
      <c r="F130" s="41" t="n">
        <f aca="false">IF($B$17=4,$AB130,$B$16)</f>
        <v>3.8</v>
      </c>
      <c r="G130" s="41" t="n">
        <f aca="false">IF($D$17=4,$AM130,$D$16)</f>
        <v>3.5</v>
      </c>
      <c r="H130" s="41" t="n">
        <f aca="false">IF($F$17=4,$AX130,$F$16)</f>
        <v>2.96</v>
      </c>
      <c r="I130" s="41" t="n">
        <f aca="false">IF($H$17=4,$BI130,$H$16)</f>
        <v>2.99</v>
      </c>
      <c r="J130" s="4" t="n">
        <f aca="false">IF($B$19=1,VLOOKUP($A130,SkewTable,HLOOKUP(ROUND(F130-AB130,1),SkewTable,2,FALSE()),FALSE())/100,0)</f>
        <v>0.0451185018386</v>
      </c>
      <c r="K130" s="4" t="e">
        <f aca="false">IF($D$19=1,VLOOKUP($A130,SkewTable,HLOOKUP(ROUND(G130-AM130,1),SkewTable,2,FALSE()),FALSE())/100,0)</f>
        <v>#DIV/0!</v>
      </c>
      <c r="L130" s="4" t="e">
        <f aca="false">IF($F$19=1,VLOOKUP($A130,SkewTable,HLOOKUP(ROUND(H130-AX130,1),SkewTable,2,FALSE()),FALSE())/100,0)</f>
        <v>#DIV/0!</v>
      </c>
      <c r="M130" s="4" t="e">
        <f aca="false">IF($H$19=1,VLOOKUP($A130,SkewTable,HLOOKUP(ROUND(I130-BI130,1),SkewTable,2,FALSE()),FALSE())/100,0)</f>
        <v>#DIV/0!</v>
      </c>
      <c r="N130" s="4" t="n">
        <f aca="false">(($D130+J130)*$E130)+B$18</f>
        <v>0.2251185018386</v>
      </c>
      <c r="O130" s="4" t="e">
        <f aca="false">(($D130+K130)*$E130)+D$18</f>
        <v>#DIV/0!</v>
      </c>
      <c r="P130" s="4" t="e">
        <f aca="false">(($D130+L130)*$E130)+F$18</f>
        <v>#DIV/0!</v>
      </c>
      <c r="Q130" s="4" t="e">
        <f aca="false">(($D130+M130)*$E130)+H$18</f>
        <v>#DIV/0!</v>
      </c>
      <c r="R130" s="136" t="n">
        <f aca="false">IF(B$4=1,VLOOKUP(A130,expiration,2,FALSE()),VLOOKUP(A130,expiration,3,FALSE()))-B$2+$B$1</f>
        <v>-6115</v>
      </c>
      <c r="S130" s="4" t="n">
        <f aca="false">VLOOKUP($A130,STRADDLE,12,FALSE())</f>
        <v>0.070040941383398</v>
      </c>
      <c r="T130" s="1" t="n">
        <v>0</v>
      </c>
      <c r="U130" s="43" t="n">
        <v>0</v>
      </c>
      <c r="X130" s="43"/>
      <c r="Z130" s="9"/>
      <c r="AA130" s="9" t="n">
        <f aca="false">IF($A130&gt;=AB$25,IF($A130&lt;=AB$26,$T130,0),0)</f>
        <v>0</v>
      </c>
      <c r="AB130" s="9" t="n">
        <f aca="false">IF(T130&gt;0,AD130/AA130,0)</f>
        <v>0</v>
      </c>
      <c r="AC130" s="1" t="n">
        <f aca="false">AA130*($B130+B$13)</f>
        <v>0</v>
      </c>
      <c r="AD130" s="33" t="n">
        <f aca="false">IF(ISNUMBER(((AC130/AA130)+B$15+$C130)*AA130),((AC130/AA130)+B$15+$C130)*AA130,0)</f>
        <v>0</v>
      </c>
      <c r="AE130" s="44" t="n">
        <f aca="false">IF(AA130=0,0,bsd(1,AF$27,AB130,$F130,$R130,$N130,$S130,0.1))</f>
        <v>0</v>
      </c>
      <c r="AF130" s="44" t="n">
        <f aca="false">IF(AA130=0,0,bsd(2,AF$27,AB130,$F130,$R130,$N130,$S130,0.1))</f>
        <v>0</v>
      </c>
      <c r="AG130" s="44" t="n">
        <f aca="false">IF(AA130=0,0,bsd(AF$28,AF$27,AB130,$F130,$R130,$N130,$S130,0.1))</f>
        <v>0</v>
      </c>
      <c r="AH130" s="45" t="n">
        <f aca="false">AA130*AE130</f>
        <v>0</v>
      </c>
      <c r="AI130" s="45" t="n">
        <f aca="false">AA130*AF130</f>
        <v>0</v>
      </c>
      <c r="AJ130" s="45" t="n">
        <f aca="false">AA130*AG130</f>
        <v>0</v>
      </c>
      <c r="AL130" s="9" t="n">
        <f aca="false">IF($A130&gt;=AM$25,IF($A130&lt;=AM$26,$T130,0),0)</f>
        <v>0</v>
      </c>
      <c r="AM130" s="9" t="e">
        <f aca="false">AO130/AL130</f>
        <v>#DIV/0!</v>
      </c>
      <c r="AN130" s="1" t="n">
        <f aca="false">AL130*($B130+D$13)</f>
        <v>0</v>
      </c>
      <c r="AO130" s="33" t="n">
        <f aca="false">IF(ISNUMBER(((AN130/AL130)+D$15+$C130)*AL130),((AN130/AL130)+D$15+$C130)*AL130,0)</f>
        <v>0</v>
      </c>
      <c r="AP130" s="44" t="n">
        <f aca="false">IF(AL130=0,0,bsd(1,AQ$27,AM130,$G130,$R130,$O130,$S130,0.1))</f>
        <v>0</v>
      </c>
      <c r="AQ130" s="44" t="n">
        <f aca="false">IF(AL130=0,0,bsd(2,AQ$27,AM130,$G130,$R130,$O130,$S130,0.1))</f>
        <v>0</v>
      </c>
      <c r="AR130" s="44" t="n">
        <f aca="false">IF(AL130=0,0,bsd(AQ$28,AQ$27,AM130,$G130,$R130,$O130,$S130,0.1))</f>
        <v>0</v>
      </c>
      <c r="AS130" s="45" t="n">
        <f aca="false">AL130*AP130</f>
        <v>0</v>
      </c>
      <c r="AT130" s="45" t="n">
        <f aca="false">AL130*AQ130</f>
        <v>0</v>
      </c>
      <c r="AU130" s="45" t="n">
        <f aca="false">AL130*AR130</f>
        <v>0</v>
      </c>
      <c r="AW130" s="9" t="n">
        <f aca="false">IF($A130&gt;=AX$25,IF($A130&lt;=AX$26,$T130,0),0)</f>
        <v>0</v>
      </c>
      <c r="AX130" s="9" t="e">
        <f aca="false">AZ130/AW130</f>
        <v>#DIV/0!</v>
      </c>
      <c r="AY130" s="1" t="n">
        <f aca="false">AW130*($B130+F$13)</f>
        <v>0</v>
      </c>
      <c r="AZ130" s="33" t="n">
        <f aca="false">IF(ISNUMBER(((AY130/AW130)+F$15+$C130)*AW130),((AY130/AW130)+F$15+$C130)*AW130,0)</f>
        <v>0</v>
      </c>
      <c r="BA130" s="44" t="n">
        <f aca="false">IF(AW130=0,0,bsd(1,BB$27,AX130,$H130,$R130,$P130,$S130,0.1))</f>
        <v>0</v>
      </c>
      <c r="BB130" s="44" t="n">
        <f aca="false">IF(AW130=0,0,bsd(2,BB$27,AX130,$H130,$R130,$P130,$S130,0.1))</f>
        <v>0</v>
      </c>
      <c r="BC130" s="44" t="n">
        <f aca="false">IF(AW130=0,0,bsd(BB$28,BB$27,AX130,$H130,$R130,$P130,$S130,0.1))</f>
        <v>0</v>
      </c>
      <c r="BD130" s="45" t="n">
        <f aca="false">AW130*BA130</f>
        <v>0</v>
      </c>
      <c r="BE130" s="45" t="n">
        <f aca="false">AW130*BB130</f>
        <v>0</v>
      </c>
      <c r="BF130" s="45" t="n">
        <f aca="false">AW130*BC130</f>
        <v>0</v>
      </c>
      <c r="BH130" s="9" t="n">
        <f aca="false">IF($A130&gt;=BI$25,IF($A130&lt;=BI$26,$T130,0),0)</f>
        <v>0</v>
      </c>
      <c r="BI130" s="9" t="e">
        <f aca="false">BK130/BH130</f>
        <v>#DIV/0!</v>
      </c>
      <c r="BJ130" s="1" t="n">
        <f aca="false">BH130*($B130+H$13)</f>
        <v>0</v>
      </c>
      <c r="BK130" s="33" t="n">
        <f aca="false">IF(ISNUMBER(((BJ130/BH130)+H$15+$C130)*BH130),((BJ130/BH130)+H$15+$C130)*BH130,0)</f>
        <v>0</v>
      </c>
      <c r="BL130" s="44" t="n">
        <f aca="false">IF(BH130=0,0,bsd(1,BM$27,BI130,$I130,$R130,$Q130,$S130,0.1))</f>
        <v>0</v>
      </c>
      <c r="BM130" s="44" t="n">
        <f aca="false">IF(BH130=0,0,bsd(2,BM$27,BI130,$I130,$R130,$Q130,$S130,0.1))</f>
        <v>0</v>
      </c>
      <c r="BN130" s="44" t="n">
        <f aca="false">IF(BH130=0,0,bsd(BM$28,BM$27,BI130,$I130,$R130,$Q130,$S130,0.1))</f>
        <v>0</v>
      </c>
      <c r="BO130" s="45" t="n">
        <f aca="false">BH130*BL130</f>
        <v>0</v>
      </c>
      <c r="BP130" s="45" t="n">
        <f aca="false">BH130*BM130</f>
        <v>0</v>
      </c>
      <c r="BQ130" s="45" t="n">
        <f aca="false">BH130*BN130</f>
        <v>0</v>
      </c>
    </row>
    <row r="131" customFormat="false" ht="12.75" hidden="false" customHeight="false" outlineLevel="0" collapsed="false">
      <c r="A131" s="48" t="n">
        <f aca="false">DATE(YEAR(A130),MONTH(A130)+1,1)</f>
        <v>39845</v>
      </c>
      <c r="B131" s="40" t="n">
        <f aca="false">VLOOKUP(A131,STRADDLE,5,FALSE())</f>
        <v>3.481</v>
      </c>
      <c r="C131" s="40" t="n">
        <v>0</v>
      </c>
      <c r="D131" s="4" t="n">
        <f aca="false">VLOOKUP(A131,STRADDLE,8,FALSE())</f>
        <v>0.18</v>
      </c>
      <c r="E131" s="131" t="n">
        <f aca="false">IF(ISNUMBER(VLOOKUP(A131,VOLCURVES,HLOOKUP(B$5,VOLCURVES,2,FALSE()),FALSE())),VLOOKUP(A131,VOLCURVES,HLOOKUP(B$5,VOLCURVES,2,FALSE()),FALSE()),1)</f>
        <v>1</v>
      </c>
      <c r="F131" s="41" t="n">
        <f aca="false">IF($B$17=4,$AB131,$B$16)</f>
        <v>3.8</v>
      </c>
      <c r="G131" s="41" t="n">
        <f aca="false">IF($D$17=4,$AM131,$D$16)</f>
        <v>3.5</v>
      </c>
      <c r="H131" s="41" t="n">
        <f aca="false">IF($F$17=4,$AX131,$F$16)</f>
        <v>2.96</v>
      </c>
      <c r="I131" s="41" t="n">
        <f aca="false">IF($H$17=4,$BI131,$H$16)</f>
        <v>2.99</v>
      </c>
      <c r="J131" s="4" t="n">
        <f aca="false">IF($B$19=1,VLOOKUP($A131,SkewTable,HLOOKUP(ROUND(F131-AB131,1),SkewTable,2,FALSE()),FALSE())/100,0)</f>
        <v>0.0451185018386</v>
      </c>
      <c r="K131" s="4" t="e">
        <f aca="false">IF($D$19=1,VLOOKUP($A131,SkewTable,HLOOKUP(ROUND(G131-AM131,1),SkewTable,2,FALSE()),FALSE())/100,0)</f>
        <v>#DIV/0!</v>
      </c>
      <c r="L131" s="4" t="e">
        <f aca="false">IF($F$19=1,VLOOKUP($A131,SkewTable,HLOOKUP(ROUND(H131-AX131,1),SkewTable,2,FALSE()),FALSE())/100,0)</f>
        <v>#DIV/0!</v>
      </c>
      <c r="M131" s="4" t="e">
        <f aca="false">IF($H$19=1,VLOOKUP($A131,SkewTable,HLOOKUP(ROUND(I131-BI131,1),SkewTable,2,FALSE()),FALSE())/100,0)</f>
        <v>#DIV/0!</v>
      </c>
      <c r="N131" s="4" t="n">
        <f aca="false">(($D131+J131)*$E131)+B$18</f>
        <v>0.2251185018386</v>
      </c>
      <c r="O131" s="4" t="e">
        <f aca="false">(($D131+K131)*$E131)+D$18</f>
        <v>#DIV/0!</v>
      </c>
      <c r="P131" s="4" t="e">
        <f aca="false">(($D131+L131)*$E131)+F$18</f>
        <v>#DIV/0!</v>
      </c>
      <c r="Q131" s="4" t="e">
        <f aca="false">(($D131+M131)*$E131)+H$18</f>
        <v>#DIV/0!</v>
      </c>
      <c r="R131" s="136" t="n">
        <f aca="false">IF(B$4=1,VLOOKUP(A131,expiration,2,FALSE()),VLOOKUP(A131,expiration,3,FALSE()))-B$2+$B$1</f>
        <v>-6085</v>
      </c>
      <c r="S131" s="4" t="n">
        <f aca="false">VLOOKUP($A131,STRADDLE,12,FALSE())</f>
        <v>0.070078336109273</v>
      </c>
      <c r="T131" s="1" t="n">
        <v>0</v>
      </c>
      <c r="U131" s="43" t="n">
        <v>0</v>
      </c>
      <c r="X131" s="43"/>
      <c r="Z131" s="9"/>
      <c r="AA131" s="9" t="n">
        <f aca="false">IF($A131&gt;=AB$25,IF($A131&lt;=AB$26,$T131,0),0)</f>
        <v>0</v>
      </c>
      <c r="AB131" s="9" t="n">
        <f aca="false">IF(T131&gt;0,AD131/AA131,0)</f>
        <v>0</v>
      </c>
      <c r="AC131" s="1" t="n">
        <f aca="false">AA131*($B131+B$13)</f>
        <v>0</v>
      </c>
      <c r="AD131" s="33" t="n">
        <f aca="false">IF(ISNUMBER(((AC131/AA131)+B$15+$C131)*AA131),((AC131/AA131)+B$15+$C131)*AA131,0)</f>
        <v>0</v>
      </c>
      <c r="AE131" s="44" t="n">
        <f aca="false">IF(AA131=0,0,bsd(1,AF$27,AB131,$F131,$R131,$N131,$S131,0.1))</f>
        <v>0</v>
      </c>
      <c r="AF131" s="44" t="n">
        <f aca="false">IF(AA131=0,0,bsd(2,AF$27,AB131,$F131,$R131,$N131,$S131,0.1))</f>
        <v>0</v>
      </c>
      <c r="AG131" s="44" t="n">
        <f aca="false">IF(AA131=0,0,bsd(AF$28,AF$27,AB131,$F131,$R131,$N131,$S131,0.1))</f>
        <v>0</v>
      </c>
      <c r="AH131" s="45" t="n">
        <f aca="false">AA131*AE131</f>
        <v>0</v>
      </c>
      <c r="AI131" s="45" t="n">
        <f aca="false">AA131*AF131</f>
        <v>0</v>
      </c>
      <c r="AJ131" s="45" t="n">
        <f aca="false">AA131*AG131</f>
        <v>0</v>
      </c>
      <c r="AL131" s="9" t="n">
        <f aca="false">IF($A131&gt;=AM$25,IF($A131&lt;=AM$26,$T131,0),0)</f>
        <v>0</v>
      </c>
      <c r="AM131" s="9" t="e">
        <f aca="false">AO131/AL131</f>
        <v>#DIV/0!</v>
      </c>
      <c r="AN131" s="1" t="n">
        <f aca="false">AL131*($B131+D$13)</f>
        <v>0</v>
      </c>
      <c r="AO131" s="33" t="n">
        <f aca="false">IF(ISNUMBER(((AN131/AL131)+D$15+$C131)*AL131),((AN131/AL131)+D$15+$C131)*AL131,0)</f>
        <v>0</v>
      </c>
      <c r="AP131" s="44" t="n">
        <f aca="false">IF(AL131=0,0,bsd(1,AQ$27,AM131,$G131,$R131,$O131,$S131,0.1))</f>
        <v>0</v>
      </c>
      <c r="AQ131" s="44" t="n">
        <f aca="false">IF(AL131=0,0,bsd(2,AQ$27,AM131,$G131,$R131,$O131,$S131,0.1))</f>
        <v>0</v>
      </c>
      <c r="AR131" s="44" t="n">
        <f aca="false">IF(AL131=0,0,bsd(AQ$28,AQ$27,AM131,$G131,$R131,$O131,$S131,0.1))</f>
        <v>0</v>
      </c>
      <c r="AS131" s="45" t="n">
        <f aca="false">AL131*AP131</f>
        <v>0</v>
      </c>
      <c r="AT131" s="45" t="n">
        <f aca="false">AL131*AQ131</f>
        <v>0</v>
      </c>
      <c r="AU131" s="45" t="n">
        <f aca="false">AL131*AR131</f>
        <v>0</v>
      </c>
      <c r="AW131" s="9" t="n">
        <f aca="false">IF($A131&gt;=AX$25,IF($A131&lt;=AX$26,$T131,0),0)</f>
        <v>0</v>
      </c>
      <c r="AX131" s="9" t="e">
        <f aca="false">AZ131/AW131</f>
        <v>#DIV/0!</v>
      </c>
      <c r="AY131" s="1" t="n">
        <f aca="false">AW131*($B131+F$13)</f>
        <v>0</v>
      </c>
      <c r="AZ131" s="33" t="n">
        <f aca="false">IF(ISNUMBER(((AY131/AW131)+F$15+$C131)*AW131),((AY131/AW131)+F$15+$C131)*AW131,0)</f>
        <v>0</v>
      </c>
      <c r="BA131" s="44" t="n">
        <f aca="false">IF(AW131=0,0,bsd(1,BB$27,AX131,$H131,$R131,$P131,$S131,0.1))</f>
        <v>0</v>
      </c>
      <c r="BB131" s="44" t="n">
        <f aca="false">IF(AW131=0,0,bsd(2,BB$27,AX131,$H131,$R131,$P131,$S131,0.1))</f>
        <v>0</v>
      </c>
      <c r="BC131" s="44" t="n">
        <f aca="false">IF(AW131=0,0,bsd(BB$28,BB$27,AX131,$H131,$R131,$P131,$S131,0.1))</f>
        <v>0</v>
      </c>
      <c r="BD131" s="45" t="n">
        <f aca="false">AW131*BA131</f>
        <v>0</v>
      </c>
      <c r="BE131" s="45" t="n">
        <f aca="false">AW131*BB131</f>
        <v>0</v>
      </c>
      <c r="BF131" s="45" t="n">
        <f aca="false">AW131*BC131</f>
        <v>0</v>
      </c>
      <c r="BH131" s="9" t="n">
        <f aca="false">IF($A131&gt;=BI$25,IF($A131&lt;=BI$26,$T131,0),0)</f>
        <v>0</v>
      </c>
      <c r="BI131" s="9" t="e">
        <f aca="false">BK131/BH131</f>
        <v>#DIV/0!</v>
      </c>
      <c r="BJ131" s="1" t="n">
        <f aca="false">BH131*($B131+H$13)</f>
        <v>0</v>
      </c>
      <c r="BK131" s="33" t="n">
        <f aca="false">IF(ISNUMBER(((BJ131/BH131)+H$15+$C131)*BH131),((BJ131/BH131)+H$15+$C131)*BH131,0)</f>
        <v>0</v>
      </c>
      <c r="BL131" s="44" t="n">
        <f aca="false">IF(BH131=0,0,bsd(1,BM$27,BI131,$I131,$R131,$Q131,$S131,0.1))</f>
        <v>0</v>
      </c>
      <c r="BM131" s="44" t="n">
        <f aca="false">IF(BH131=0,0,bsd(2,BM$27,BI131,$I131,$R131,$Q131,$S131,0.1))</f>
        <v>0</v>
      </c>
      <c r="BN131" s="44" t="n">
        <f aca="false">IF(BH131=0,0,bsd(BM$28,BM$27,BI131,$I131,$R131,$Q131,$S131,0.1))</f>
        <v>0</v>
      </c>
      <c r="BO131" s="45" t="n">
        <f aca="false">BH131*BL131</f>
        <v>0</v>
      </c>
      <c r="BP131" s="45" t="n">
        <f aca="false">BH131*BM131</f>
        <v>0</v>
      </c>
      <c r="BQ131" s="45" t="n">
        <f aca="false">BH131*BN131</f>
        <v>0</v>
      </c>
    </row>
    <row r="132" customFormat="false" ht="12.75" hidden="false" customHeight="false" outlineLevel="0" collapsed="false">
      <c r="A132" s="48" t="n">
        <f aca="false">DATE(YEAR(A131),MONTH(A131)+1,1)</f>
        <v>39873</v>
      </c>
      <c r="B132" s="40" t="n">
        <f aca="false">VLOOKUP(A132,STRADDLE,5,FALSE())</f>
        <v>3.316</v>
      </c>
      <c r="C132" s="40" t="n">
        <v>0</v>
      </c>
      <c r="D132" s="4" t="n">
        <f aca="false">VLOOKUP(A132,STRADDLE,8,FALSE())</f>
        <v>0.17</v>
      </c>
      <c r="E132" s="131" t="n">
        <f aca="false">IF(ISNUMBER(VLOOKUP(A132,VOLCURVES,HLOOKUP(B$5,VOLCURVES,2,FALSE()),FALSE())),VLOOKUP(A132,VOLCURVES,HLOOKUP(B$5,VOLCURVES,2,FALSE()),FALSE()),1)</f>
        <v>1</v>
      </c>
      <c r="F132" s="41" t="n">
        <f aca="false">IF($B$17=4,$AB132,$B$16)</f>
        <v>3.8</v>
      </c>
      <c r="G132" s="41" t="n">
        <f aca="false">IF($D$17=4,$AM132,$D$16)</f>
        <v>3.5</v>
      </c>
      <c r="H132" s="41" t="n">
        <f aca="false">IF($F$17=4,$AX132,$F$16)</f>
        <v>2.96</v>
      </c>
      <c r="I132" s="41" t="n">
        <f aca="false">IF($H$17=4,$BI132,$H$16)</f>
        <v>2.99</v>
      </c>
      <c r="J132" s="4" t="n">
        <f aca="false">IF($B$19=1,VLOOKUP($A132,SkewTable,HLOOKUP(ROUND(F132-AB132,1),SkewTable,2,FALSE()),FALSE())/100,0)</f>
        <v>0.0451185018386</v>
      </c>
      <c r="K132" s="4" t="e">
        <f aca="false">IF($D$19=1,VLOOKUP($A132,SkewTable,HLOOKUP(ROUND(G132-AM132,1),SkewTable,2,FALSE()),FALSE())/100,0)</f>
        <v>#DIV/0!</v>
      </c>
      <c r="L132" s="4" t="e">
        <f aca="false">IF($F$19=1,VLOOKUP($A132,SkewTable,HLOOKUP(ROUND(H132-AX132,1),SkewTable,2,FALSE()),FALSE())/100,0)</f>
        <v>#DIV/0!</v>
      </c>
      <c r="M132" s="4" t="e">
        <f aca="false">IF($H$19=1,VLOOKUP($A132,SkewTable,HLOOKUP(ROUND(I132-BI132,1),SkewTable,2,FALSE()),FALSE())/100,0)</f>
        <v>#DIV/0!</v>
      </c>
      <c r="N132" s="4" t="n">
        <f aca="false">(($D132+J132)*$E132)+B$18</f>
        <v>0.2151185018386</v>
      </c>
      <c r="O132" s="4" t="e">
        <f aca="false">(($D132+K132)*$E132)+D$18</f>
        <v>#DIV/0!</v>
      </c>
      <c r="P132" s="4" t="e">
        <f aca="false">(($D132+L132)*$E132)+F$18</f>
        <v>#DIV/0!</v>
      </c>
      <c r="Q132" s="4" t="e">
        <f aca="false">(($D132+M132)*$E132)+H$18</f>
        <v>#DIV/0!</v>
      </c>
      <c r="R132" s="136" t="n">
        <f aca="false">IF(B$4=1,VLOOKUP(A132,expiration,2,FALSE()),VLOOKUP(A132,expiration,3,FALSE()))-B$2+$B$1</f>
        <v>-6057</v>
      </c>
      <c r="S132" s="4" t="n">
        <f aca="false">VLOOKUP($A132,STRADDLE,12,FALSE())</f>
        <v>0.070112111991106</v>
      </c>
      <c r="T132" s="1" t="n">
        <v>0</v>
      </c>
      <c r="U132" s="43" t="n">
        <v>0</v>
      </c>
      <c r="X132" s="43"/>
      <c r="Z132" s="9"/>
      <c r="AA132" s="9" t="n">
        <f aca="false">IF($A132&gt;=AB$25,IF($A132&lt;=AB$26,$T132,0),0)</f>
        <v>0</v>
      </c>
      <c r="AB132" s="9" t="n">
        <f aca="false">IF(T132&gt;0,AD132/AA132,0)</f>
        <v>0</v>
      </c>
      <c r="AC132" s="1" t="n">
        <f aca="false">AA132*($B132+B$13)</f>
        <v>0</v>
      </c>
      <c r="AD132" s="33" t="n">
        <f aca="false">IF(ISNUMBER(((AC132/AA132)+B$15+$C132)*AA132),((AC132/AA132)+B$15+$C132)*AA132,0)</f>
        <v>0</v>
      </c>
      <c r="AE132" s="44" t="n">
        <f aca="false">IF(AA132=0,0,bsd(1,AF$27,AB132,$F132,$R132,$N132,$S132,0.1))</f>
        <v>0</v>
      </c>
      <c r="AF132" s="44" t="n">
        <f aca="false">IF(AA132=0,0,bsd(2,AF$27,AB132,$F132,$R132,$N132,$S132,0.1))</f>
        <v>0</v>
      </c>
      <c r="AG132" s="44" t="n">
        <f aca="false">IF(AA132=0,0,bsd(AF$28,AF$27,AB132,$F132,$R132,$N132,$S132,0.1))</f>
        <v>0</v>
      </c>
      <c r="AH132" s="45" t="n">
        <f aca="false">AA132*AE132</f>
        <v>0</v>
      </c>
      <c r="AI132" s="45" t="n">
        <f aca="false">AA132*AF132</f>
        <v>0</v>
      </c>
      <c r="AJ132" s="45" t="n">
        <f aca="false">AA132*AG132</f>
        <v>0</v>
      </c>
      <c r="AL132" s="9" t="n">
        <f aca="false">IF($A132&gt;=AM$25,IF($A132&lt;=AM$26,$T132,0),0)</f>
        <v>0</v>
      </c>
      <c r="AM132" s="9" t="e">
        <f aca="false">AO132/AL132</f>
        <v>#DIV/0!</v>
      </c>
      <c r="AN132" s="1" t="n">
        <f aca="false">AL132*($B132+D$13)</f>
        <v>0</v>
      </c>
      <c r="AO132" s="33" t="n">
        <f aca="false">IF(ISNUMBER(((AN132/AL132)+D$15+$C132)*AL132),((AN132/AL132)+D$15+$C132)*AL132,0)</f>
        <v>0</v>
      </c>
      <c r="AP132" s="44" t="n">
        <f aca="false">IF(AL132=0,0,bsd(1,AQ$27,AM132,$G132,$R132,$O132,$S132,0.1))</f>
        <v>0</v>
      </c>
      <c r="AQ132" s="44" t="n">
        <f aca="false">IF(AL132=0,0,bsd(2,AQ$27,AM132,$G132,$R132,$O132,$S132,0.1))</f>
        <v>0</v>
      </c>
      <c r="AR132" s="44" t="n">
        <f aca="false">IF(AL132=0,0,bsd(AQ$28,AQ$27,AM132,$G132,$R132,$O132,$S132,0.1))</f>
        <v>0</v>
      </c>
      <c r="AS132" s="45" t="n">
        <f aca="false">AL132*AP132</f>
        <v>0</v>
      </c>
      <c r="AT132" s="45" t="n">
        <f aca="false">AL132*AQ132</f>
        <v>0</v>
      </c>
      <c r="AU132" s="45" t="n">
        <f aca="false">AL132*AR132</f>
        <v>0</v>
      </c>
      <c r="AW132" s="9" t="n">
        <f aca="false">IF($A132&gt;=AX$25,IF($A132&lt;=AX$26,$T132,0),0)</f>
        <v>0</v>
      </c>
      <c r="AX132" s="9" t="e">
        <f aca="false">AZ132/AW132</f>
        <v>#DIV/0!</v>
      </c>
      <c r="AY132" s="1" t="n">
        <f aca="false">AW132*($B132+F$13)</f>
        <v>0</v>
      </c>
      <c r="AZ132" s="33" t="n">
        <f aca="false">IF(ISNUMBER(((AY132/AW132)+F$15+$C132)*AW132),((AY132/AW132)+F$15+$C132)*AW132,0)</f>
        <v>0</v>
      </c>
      <c r="BA132" s="44" t="n">
        <f aca="false">IF(AW132=0,0,bsd(1,BB$27,AX132,$H132,$R132,$P132,$S132,0.1))</f>
        <v>0</v>
      </c>
      <c r="BB132" s="44" t="n">
        <f aca="false">IF(AW132=0,0,bsd(2,BB$27,AX132,$H132,$R132,$P132,$S132,0.1))</f>
        <v>0</v>
      </c>
      <c r="BC132" s="44" t="n">
        <f aca="false">IF(AW132=0,0,bsd(BB$28,BB$27,AX132,$H132,$R132,$P132,$S132,0.1))</f>
        <v>0</v>
      </c>
      <c r="BD132" s="45" t="n">
        <f aca="false">AW132*BA132</f>
        <v>0</v>
      </c>
      <c r="BE132" s="45" t="n">
        <f aca="false">AW132*BB132</f>
        <v>0</v>
      </c>
      <c r="BF132" s="45" t="n">
        <f aca="false">AW132*BC132</f>
        <v>0</v>
      </c>
      <c r="BH132" s="9" t="n">
        <f aca="false">IF($A132&gt;=BI$25,IF($A132&lt;=BI$26,$T132,0),0)</f>
        <v>0</v>
      </c>
      <c r="BI132" s="9" t="e">
        <f aca="false">BK132/BH132</f>
        <v>#DIV/0!</v>
      </c>
      <c r="BJ132" s="1" t="n">
        <f aca="false">BH132*($B132+H$13)</f>
        <v>0</v>
      </c>
      <c r="BK132" s="33" t="n">
        <f aca="false">IF(ISNUMBER(((BJ132/BH132)+H$15+$C132)*BH132),((BJ132/BH132)+H$15+$C132)*BH132,0)</f>
        <v>0</v>
      </c>
      <c r="BL132" s="44" t="n">
        <f aca="false">IF(BH132=0,0,bsd(1,BM$27,BI132,$I132,$R132,$Q132,$S132,0.1))</f>
        <v>0</v>
      </c>
      <c r="BM132" s="44" t="n">
        <f aca="false">IF(BH132=0,0,bsd(2,BM$27,BI132,$I132,$R132,$Q132,$S132,0.1))</f>
        <v>0</v>
      </c>
      <c r="BN132" s="44" t="n">
        <f aca="false">IF(BH132=0,0,bsd(BM$28,BM$27,BI132,$I132,$R132,$Q132,$S132,0.1))</f>
        <v>0</v>
      </c>
      <c r="BO132" s="45" t="n">
        <f aca="false">BH132*BL132</f>
        <v>0</v>
      </c>
      <c r="BP132" s="45" t="n">
        <f aca="false">BH132*BM132</f>
        <v>0</v>
      </c>
      <c r="BQ132" s="45" t="n">
        <f aca="false">BH132*BN132</f>
        <v>0</v>
      </c>
    </row>
    <row r="133" customFormat="false" ht="12.75" hidden="false" customHeight="false" outlineLevel="0" collapsed="false">
      <c r="A133" s="48" t="n">
        <f aca="false">DATE(YEAR(A132),MONTH(A132)+1,1)</f>
        <v>39904</v>
      </c>
      <c r="B133" s="40" t="n">
        <f aca="false">VLOOKUP(A133,STRADDLE,5,FALSE())</f>
        <v>3.144</v>
      </c>
      <c r="C133" s="40" t="n">
        <v>0</v>
      </c>
      <c r="D133" s="4" t="n">
        <f aca="false">VLOOKUP(A133,STRADDLE,8,FALSE())</f>
        <v>0.17</v>
      </c>
      <c r="E133" s="131" t="n">
        <f aca="false">IF(ISNUMBER(VLOOKUP(A133,VOLCURVES,HLOOKUP(B$5,VOLCURVES,2,FALSE()),FALSE())),VLOOKUP(A133,VOLCURVES,HLOOKUP(B$5,VOLCURVES,2,FALSE()),FALSE()),1)</f>
        <v>1</v>
      </c>
      <c r="F133" s="41" t="n">
        <f aca="false">IF($B$17=4,$AB133,$B$16)</f>
        <v>3.8</v>
      </c>
      <c r="G133" s="41" t="n">
        <f aca="false">IF($D$17=4,$AM133,$D$16)</f>
        <v>3.5</v>
      </c>
      <c r="H133" s="41" t="n">
        <f aca="false">IF($F$17=4,$AX133,$F$16)</f>
        <v>2.96</v>
      </c>
      <c r="I133" s="41" t="n">
        <f aca="false">IF($H$17=4,$BI133,$H$16)</f>
        <v>2.99</v>
      </c>
      <c r="J133" s="4" t="n">
        <f aca="false">IF($B$19=1,VLOOKUP($A133,SkewTable,HLOOKUP(ROUND(F133-AB133,1),SkewTable,2,FALSE()),FALSE())/100,0)</f>
        <v>0.0451185018386</v>
      </c>
      <c r="K133" s="4" t="e">
        <f aca="false">IF($D$19=1,VLOOKUP($A133,SkewTable,HLOOKUP(ROUND(G133-AM133,1),SkewTable,2,FALSE()),FALSE())/100,0)</f>
        <v>#DIV/0!</v>
      </c>
      <c r="L133" s="4" t="e">
        <f aca="false">IF($F$19=1,VLOOKUP($A133,SkewTable,HLOOKUP(ROUND(H133-AX133,1),SkewTable,2,FALSE()),FALSE())/100,0)</f>
        <v>#DIV/0!</v>
      </c>
      <c r="M133" s="4" t="e">
        <f aca="false">IF($H$19=1,VLOOKUP($A133,SkewTable,HLOOKUP(ROUND(I133-BI133,1),SkewTable,2,FALSE()),FALSE())/100,0)</f>
        <v>#DIV/0!</v>
      </c>
      <c r="N133" s="4" t="n">
        <f aca="false">(($D133+J133)*$E133)+B$18</f>
        <v>0.2151185018386</v>
      </c>
      <c r="O133" s="4" t="e">
        <f aca="false">(($D133+K133)*$E133)+D$18</f>
        <v>#DIV/0!</v>
      </c>
      <c r="P133" s="4" t="e">
        <f aca="false">(($D133+L133)*$E133)+F$18</f>
        <v>#DIV/0!</v>
      </c>
      <c r="Q133" s="4" t="e">
        <f aca="false">(($D133+M133)*$E133)+H$18</f>
        <v>#DIV/0!</v>
      </c>
      <c r="R133" s="136" t="n">
        <f aca="false">IF(B$4=1,VLOOKUP(A133,expiration,2,FALSE()),VLOOKUP(A133,expiration,3,FALSE()))-B$2+$B$1</f>
        <v>-6027</v>
      </c>
      <c r="S133" s="4" t="n">
        <f aca="false">VLOOKUP($A133,STRADDLE,12,FALSE())</f>
        <v>0.070149506717861</v>
      </c>
      <c r="T133" s="1" t="n">
        <v>0</v>
      </c>
      <c r="U133" s="43" t="n">
        <v>0</v>
      </c>
      <c r="X133" s="43"/>
      <c r="Z133" s="9"/>
      <c r="AA133" s="9" t="n">
        <f aca="false">IF($A133&gt;=AB$25,IF($A133&lt;=AB$26,$T133,0),0)</f>
        <v>0</v>
      </c>
      <c r="AB133" s="9" t="n">
        <f aca="false">IF(T133&gt;0,AD133/AA133,0)</f>
        <v>0</v>
      </c>
      <c r="AC133" s="1" t="n">
        <f aca="false">AA133*($B133+B$13)</f>
        <v>0</v>
      </c>
      <c r="AD133" s="33" t="n">
        <f aca="false">IF(ISNUMBER(((AC133/AA133)+B$15+$C133)*AA133),((AC133/AA133)+B$15+$C133)*AA133,0)</f>
        <v>0</v>
      </c>
      <c r="AE133" s="44" t="n">
        <f aca="false">IF(AA133=0,0,bsd(1,AF$27,AB133,$F133,$R133,$N133,$S133,0.1))</f>
        <v>0</v>
      </c>
      <c r="AF133" s="44" t="n">
        <f aca="false">IF(AA133=0,0,bsd(2,AF$27,AB133,$F133,$R133,$N133,$S133,0.1))</f>
        <v>0</v>
      </c>
      <c r="AG133" s="44" t="n">
        <f aca="false">IF(AA133=0,0,bsd(AF$28,AF$27,AB133,$F133,$R133,$N133,$S133,0.1))</f>
        <v>0</v>
      </c>
      <c r="AH133" s="45" t="n">
        <f aca="false">AA133*AE133</f>
        <v>0</v>
      </c>
      <c r="AI133" s="45" t="n">
        <f aca="false">AA133*AF133</f>
        <v>0</v>
      </c>
      <c r="AJ133" s="45" t="n">
        <f aca="false">AA133*AG133</f>
        <v>0</v>
      </c>
      <c r="AL133" s="9" t="n">
        <f aca="false">IF($A133&gt;=AM$25,IF($A133&lt;=AM$26,$T133,0),0)</f>
        <v>0</v>
      </c>
      <c r="AM133" s="9" t="e">
        <f aca="false">AO133/AL133</f>
        <v>#DIV/0!</v>
      </c>
      <c r="AN133" s="1" t="n">
        <f aca="false">AL133*($B133+D$13)</f>
        <v>0</v>
      </c>
      <c r="AO133" s="33" t="n">
        <f aca="false">IF(ISNUMBER(((AN133/AL133)+D$15+$C133)*AL133),((AN133/AL133)+D$15+$C133)*AL133,0)</f>
        <v>0</v>
      </c>
      <c r="AP133" s="44" t="n">
        <f aca="false">IF(AL133=0,0,bsd(1,AQ$27,AM133,$G133,$R133,$O133,$S133,0.1))</f>
        <v>0</v>
      </c>
      <c r="AQ133" s="44" t="n">
        <f aca="false">IF(AL133=0,0,bsd(2,AQ$27,AM133,$G133,$R133,$O133,$S133,0.1))</f>
        <v>0</v>
      </c>
      <c r="AR133" s="44" t="n">
        <f aca="false">IF(AL133=0,0,bsd(AQ$28,AQ$27,AM133,$G133,$R133,$O133,$S133,0.1))</f>
        <v>0</v>
      </c>
      <c r="AS133" s="45" t="n">
        <f aca="false">AL133*AP133</f>
        <v>0</v>
      </c>
      <c r="AT133" s="45" t="n">
        <f aca="false">AL133*AQ133</f>
        <v>0</v>
      </c>
      <c r="AU133" s="45" t="n">
        <f aca="false">AL133*AR133</f>
        <v>0</v>
      </c>
      <c r="AW133" s="9" t="n">
        <f aca="false">IF($A133&gt;=AX$25,IF($A133&lt;=AX$26,$T133,0),0)</f>
        <v>0</v>
      </c>
      <c r="AX133" s="9" t="e">
        <f aca="false">AZ133/AW133</f>
        <v>#DIV/0!</v>
      </c>
      <c r="AY133" s="1" t="n">
        <f aca="false">AW133*($B133+F$13)</f>
        <v>0</v>
      </c>
      <c r="AZ133" s="33" t="n">
        <f aca="false">IF(ISNUMBER(((AY133/AW133)+F$15+$C133)*AW133),((AY133/AW133)+F$15+$C133)*AW133,0)</f>
        <v>0</v>
      </c>
      <c r="BA133" s="44" t="n">
        <f aca="false">IF(AW133=0,0,bsd(1,BB$27,AX133,$H133,$R133,$P133,$S133,0.1))</f>
        <v>0</v>
      </c>
      <c r="BB133" s="44" t="n">
        <f aca="false">IF(AW133=0,0,bsd(2,BB$27,AX133,$H133,$R133,$P133,$S133,0.1))</f>
        <v>0</v>
      </c>
      <c r="BC133" s="44" t="n">
        <f aca="false">IF(AW133=0,0,bsd(BB$28,BB$27,AX133,$H133,$R133,$P133,$S133,0.1))</f>
        <v>0</v>
      </c>
      <c r="BD133" s="45" t="n">
        <f aca="false">AW133*BA133</f>
        <v>0</v>
      </c>
      <c r="BE133" s="45" t="n">
        <f aca="false">AW133*BB133</f>
        <v>0</v>
      </c>
      <c r="BF133" s="45" t="n">
        <f aca="false">AW133*BC133</f>
        <v>0</v>
      </c>
      <c r="BH133" s="9" t="n">
        <f aca="false">IF($A133&gt;=BI$25,IF($A133&lt;=BI$26,$T133,0),0)</f>
        <v>0</v>
      </c>
      <c r="BI133" s="9" t="e">
        <f aca="false">BK133/BH133</f>
        <v>#DIV/0!</v>
      </c>
      <c r="BJ133" s="1" t="n">
        <f aca="false">BH133*($B133+H$13)</f>
        <v>0</v>
      </c>
      <c r="BK133" s="33" t="n">
        <f aca="false">IF(ISNUMBER(((BJ133/BH133)+H$15+$C133)*BH133),((BJ133/BH133)+H$15+$C133)*BH133,0)</f>
        <v>0</v>
      </c>
      <c r="BL133" s="44" t="n">
        <f aca="false">IF(BH133=0,0,bsd(1,BM$27,BI133,$I133,$R133,$Q133,$S133,0.1))</f>
        <v>0</v>
      </c>
      <c r="BM133" s="44" t="n">
        <f aca="false">IF(BH133=0,0,bsd(2,BM$27,BI133,$I133,$R133,$Q133,$S133,0.1))</f>
        <v>0</v>
      </c>
      <c r="BN133" s="44" t="n">
        <f aca="false">IF(BH133=0,0,bsd(BM$28,BM$27,BI133,$I133,$R133,$Q133,$S133,0.1))</f>
        <v>0</v>
      </c>
      <c r="BO133" s="45" t="n">
        <f aca="false">BH133*BL133</f>
        <v>0</v>
      </c>
      <c r="BP133" s="45" t="n">
        <f aca="false">BH133*BM133</f>
        <v>0</v>
      </c>
      <c r="BQ133" s="45" t="n">
        <f aca="false">BH133*BN133</f>
        <v>0</v>
      </c>
    </row>
    <row r="134" customFormat="false" ht="12.75" hidden="false" customHeight="false" outlineLevel="0" collapsed="false">
      <c r="A134" s="48" t="n">
        <f aca="false">DATE(YEAR(A133),MONTH(A133)+1,1)</f>
        <v>39934</v>
      </c>
      <c r="B134" s="40" t="n">
        <f aca="false">VLOOKUP(A134,STRADDLE,5,FALSE())</f>
        <v>3.1</v>
      </c>
      <c r="C134" s="40" t="n">
        <v>0</v>
      </c>
      <c r="D134" s="4" t="n">
        <f aca="false">VLOOKUP(A134,STRADDLE,8,FALSE())</f>
        <v>0.17</v>
      </c>
      <c r="E134" s="131" t="n">
        <f aca="false">IF(ISNUMBER(VLOOKUP(A134,VOLCURVES,HLOOKUP(B$5,VOLCURVES,2,FALSE()),FALSE())),VLOOKUP(A134,VOLCURVES,HLOOKUP(B$5,VOLCURVES,2,FALSE()),FALSE()),1)</f>
        <v>1</v>
      </c>
      <c r="F134" s="41" t="n">
        <f aca="false">IF($B$17=4,$AB134,$B$16)</f>
        <v>3.8</v>
      </c>
      <c r="G134" s="41" t="n">
        <f aca="false">IF($D$17=4,$AM134,$D$16)</f>
        <v>3.5</v>
      </c>
      <c r="H134" s="41" t="n">
        <f aca="false">IF($F$17=4,$AX134,$F$16)</f>
        <v>2.96</v>
      </c>
      <c r="I134" s="41" t="n">
        <f aca="false">IF($H$17=4,$BI134,$H$16)</f>
        <v>2.99</v>
      </c>
      <c r="J134" s="4" t="n">
        <f aca="false">IF($B$19=1,VLOOKUP($A134,SkewTable,HLOOKUP(ROUND(F134-AB134,1),SkewTable,2,FALSE()),FALSE())/100,0)</f>
        <v>0.0451185018386</v>
      </c>
      <c r="K134" s="4" t="e">
        <f aca="false">IF($D$19=1,VLOOKUP($A134,SkewTable,HLOOKUP(ROUND(G134-AM134,1),SkewTable,2,FALSE()),FALSE())/100,0)</f>
        <v>#DIV/0!</v>
      </c>
      <c r="L134" s="4" t="e">
        <f aca="false">IF($F$19=1,VLOOKUP($A134,SkewTable,HLOOKUP(ROUND(H134-AX134,1),SkewTable,2,FALSE()),FALSE())/100,0)</f>
        <v>#DIV/0!</v>
      </c>
      <c r="M134" s="4" t="e">
        <f aca="false">IF($H$19=1,VLOOKUP($A134,SkewTable,HLOOKUP(ROUND(I134-BI134,1),SkewTable,2,FALSE()),FALSE())/100,0)</f>
        <v>#DIV/0!</v>
      </c>
      <c r="N134" s="4" t="n">
        <f aca="false">(($D134+J134)*$E134)+B$18</f>
        <v>0.2151185018386</v>
      </c>
      <c r="O134" s="4" t="e">
        <f aca="false">(($D134+K134)*$E134)+D$18</f>
        <v>#DIV/0!</v>
      </c>
      <c r="P134" s="4" t="e">
        <f aca="false">(($D134+L134)*$E134)+F$18</f>
        <v>#DIV/0!</v>
      </c>
      <c r="Q134" s="4" t="e">
        <f aca="false">(($D134+M134)*$E134)+H$18</f>
        <v>#DIV/0!</v>
      </c>
      <c r="R134" s="136" t="n">
        <f aca="false">IF(B$4=1,VLOOKUP(A134,expiration,2,FALSE()),VLOOKUP(A134,expiration,3,FALSE()))-B$2+$B$1</f>
        <v>-5995</v>
      </c>
      <c r="S134" s="4" t="n">
        <f aca="false">VLOOKUP($A134,STRADDLE,12,FALSE())</f>
        <v>0.070185695163548</v>
      </c>
      <c r="T134" s="1" t="n">
        <v>0</v>
      </c>
      <c r="U134" s="43" t="n">
        <v>0</v>
      </c>
      <c r="X134" s="43"/>
      <c r="Z134" s="9"/>
      <c r="AA134" s="9" t="n">
        <f aca="false">IF($A134&gt;=AB$25,IF($A134&lt;=AB$26,$T134,0),0)</f>
        <v>0</v>
      </c>
      <c r="AB134" s="9" t="n">
        <f aca="false">IF(T134&gt;0,AD134/AA134,0)</f>
        <v>0</v>
      </c>
      <c r="AC134" s="1" t="n">
        <f aca="false">AA134*($B134+B$13)</f>
        <v>0</v>
      </c>
      <c r="AD134" s="33" t="n">
        <f aca="false">IF(ISNUMBER(((AC134/AA134)+B$15+$C134)*AA134),((AC134/AA134)+B$15+$C134)*AA134,0)</f>
        <v>0</v>
      </c>
      <c r="AE134" s="44" t="n">
        <f aca="false">IF(AA134=0,0,bsd(1,AF$27,AB134,$F134,$R134,$N134,$S134,0.1))</f>
        <v>0</v>
      </c>
      <c r="AF134" s="44" t="n">
        <f aca="false">IF(AA134=0,0,bsd(2,AF$27,AB134,$F134,$R134,$N134,$S134,0.1))</f>
        <v>0</v>
      </c>
      <c r="AG134" s="44" t="n">
        <f aca="false">IF(AA134=0,0,bsd(AF$28,AF$27,AB134,$F134,$R134,$N134,$S134,0.1))</f>
        <v>0</v>
      </c>
      <c r="AH134" s="45" t="n">
        <f aca="false">AA134*AE134</f>
        <v>0</v>
      </c>
      <c r="AI134" s="45" t="n">
        <f aca="false">AA134*AF134</f>
        <v>0</v>
      </c>
      <c r="AJ134" s="45" t="n">
        <f aca="false">AA134*AG134</f>
        <v>0</v>
      </c>
      <c r="AL134" s="9" t="n">
        <f aca="false">IF($A134&gt;=AM$25,IF($A134&lt;=AM$26,$T134,0),0)</f>
        <v>0</v>
      </c>
      <c r="AM134" s="9" t="e">
        <f aca="false">AO134/AL134</f>
        <v>#DIV/0!</v>
      </c>
      <c r="AN134" s="1" t="n">
        <f aca="false">AL134*($B134+D$13)</f>
        <v>0</v>
      </c>
      <c r="AO134" s="33" t="n">
        <f aca="false">IF(ISNUMBER(((AN134/AL134)+D$15+$C134)*AL134),((AN134/AL134)+D$15+$C134)*AL134,0)</f>
        <v>0</v>
      </c>
      <c r="AP134" s="44" t="n">
        <f aca="false">IF(AL134=0,0,bsd(1,AQ$27,AM134,$G134,$R134,$O134,$S134,0.1))</f>
        <v>0</v>
      </c>
      <c r="AQ134" s="44" t="n">
        <f aca="false">IF(AL134=0,0,bsd(2,AQ$27,AM134,$G134,$R134,$O134,$S134,0.1))</f>
        <v>0</v>
      </c>
      <c r="AR134" s="44" t="n">
        <f aca="false">IF(AL134=0,0,bsd(AQ$28,AQ$27,AM134,$G134,$R134,$O134,$S134,0.1))</f>
        <v>0</v>
      </c>
      <c r="AS134" s="45" t="n">
        <f aca="false">AL134*AP134</f>
        <v>0</v>
      </c>
      <c r="AT134" s="45" t="n">
        <f aca="false">AL134*AQ134</f>
        <v>0</v>
      </c>
      <c r="AU134" s="45" t="n">
        <f aca="false">AL134*AR134</f>
        <v>0</v>
      </c>
      <c r="AW134" s="9" t="n">
        <f aca="false">IF($A134&gt;=AX$25,IF($A134&lt;=AX$26,$T134,0),0)</f>
        <v>0</v>
      </c>
      <c r="AX134" s="9" t="e">
        <f aca="false">AZ134/AW134</f>
        <v>#DIV/0!</v>
      </c>
      <c r="AY134" s="1" t="n">
        <f aca="false">AW134*($B134+F$13)</f>
        <v>0</v>
      </c>
      <c r="AZ134" s="33" t="n">
        <f aca="false">IF(ISNUMBER(((AY134/AW134)+F$15+$C134)*AW134),((AY134/AW134)+F$15+$C134)*AW134,0)</f>
        <v>0</v>
      </c>
      <c r="BA134" s="44" t="n">
        <f aca="false">IF(AW134=0,0,bsd(1,BB$27,AX134,$H134,$R134,$P134,$S134,0.1))</f>
        <v>0</v>
      </c>
      <c r="BB134" s="44" t="n">
        <f aca="false">IF(AW134=0,0,bsd(2,BB$27,AX134,$H134,$R134,$P134,$S134,0.1))</f>
        <v>0</v>
      </c>
      <c r="BC134" s="44" t="n">
        <f aca="false">IF(AW134=0,0,bsd(BB$28,BB$27,AX134,$H134,$R134,$P134,$S134,0.1))</f>
        <v>0</v>
      </c>
      <c r="BD134" s="45" t="n">
        <f aca="false">AW134*BA134</f>
        <v>0</v>
      </c>
      <c r="BE134" s="45" t="n">
        <f aca="false">AW134*BB134</f>
        <v>0</v>
      </c>
      <c r="BF134" s="45" t="n">
        <f aca="false">AW134*BC134</f>
        <v>0</v>
      </c>
      <c r="BH134" s="9" t="n">
        <f aca="false">IF($A134&gt;=BI$25,IF($A134&lt;=BI$26,$T134,0),0)</f>
        <v>0</v>
      </c>
      <c r="BI134" s="9" t="e">
        <f aca="false">BK134/BH134</f>
        <v>#DIV/0!</v>
      </c>
      <c r="BJ134" s="1" t="n">
        <f aca="false">BH134*($B134+H$13)</f>
        <v>0</v>
      </c>
      <c r="BK134" s="33" t="n">
        <f aca="false">IF(ISNUMBER(((BJ134/BH134)+H$15+$C134)*BH134),((BJ134/BH134)+H$15+$C134)*BH134,0)</f>
        <v>0</v>
      </c>
      <c r="BL134" s="44" t="n">
        <f aca="false">IF(BH134=0,0,bsd(1,BM$27,BI134,$I134,$R134,$Q134,$S134,0.1))</f>
        <v>0</v>
      </c>
      <c r="BM134" s="44" t="n">
        <f aca="false">IF(BH134=0,0,bsd(2,BM$27,BI134,$I134,$R134,$Q134,$S134,0.1))</f>
        <v>0</v>
      </c>
      <c r="BN134" s="44" t="n">
        <f aca="false">IF(BH134=0,0,bsd(BM$28,BM$27,BI134,$I134,$R134,$Q134,$S134,0.1))</f>
        <v>0</v>
      </c>
      <c r="BO134" s="45" t="n">
        <f aca="false">BH134*BL134</f>
        <v>0</v>
      </c>
      <c r="BP134" s="45" t="n">
        <f aca="false">BH134*BM134</f>
        <v>0</v>
      </c>
      <c r="BQ134" s="45" t="n">
        <f aca="false">BH134*BN134</f>
        <v>0</v>
      </c>
    </row>
    <row r="135" customFormat="false" ht="12.75" hidden="false" customHeight="false" outlineLevel="0" collapsed="false">
      <c r="A135" s="48" t="n">
        <f aca="false">DATE(YEAR(A134),MONTH(A134)+1,1)</f>
        <v>39965</v>
      </c>
      <c r="B135" s="40" t="n">
        <f aca="false">VLOOKUP(A135,STRADDLE,5,FALSE())</f>
        <v>3.114</v>
      </c>
      <c r="C135" s="40" t="n">
        <v>0</v>
      </c>
      <c r="D135" s="4" t="n">
        <f aca="false">VLOOKUP(A135,STRADDLE,8,FALSE())</f>
        <v>0.17</v>
      </c>
      <c r="E135" s="131" t="n">
        <f aca="false">IF(ISNUMBER(VLOOKUP(A135,VOLCURVES,HLOOKUP(B$5,VOLCURVES,2,FALSE()),FALSE())),VLOOKUP(A135,VOLCURVES,HLOOKUP(B$5,VOLCURVES,2,FALSE()),FALSE()),1)</f>
        <v>1</v>
      </c>
      <c r="F135" s="41" t="n">
        <f aca="false">IF($B$17=4,$AB135,$B$16)</f>
        <v>3.8</v>
      </c>
      <c r="G135" s="41" t="n">
        <f aca="false">IF($D$17=4,$AM135,$D$16)</f>
        <v>3.5</v>
      </c>
      <c r="H135" s="41" t="n">
        <f aca="false">IF($F$17=4,$AX135,$F$16)</f>
        <v>2.96</v>
      </c>
      <c r="I135" s="41" t="n">
        <f aca="false">IF($H$17=4,$BI135,$H$16)</f>
        <v>2.99</v>
      </c>
      <c r="J135" s="4" t="n">
        <f aca="false">IF($B$19=1,VLOOKUP($A135,SkewTable,HLOOKUP(ROUND(F135-AB135,1),SkewTable,2,FALSE()),FALSE())/100,0)</f>
        <v>0.0451185018386</v>
      </c>
      <c r="K135" s="4" t="e">
        <f aca="false">IF($D$19=1,VLOOKUP($A135,SkewTable,HLOOKUP(ROUND(G135-AM135,1),SkewTable,2,FALSE()),FALSE())/100,0)</f>
        <v>#DIV/0!</v>
      </c>
      <c r="L135" s="4" t="e">
        <f aca="false">IF($F$19=1,VLOOKUP($A135,SkewTable,HLOOKUP(ROUND(H135-AX135,1),SkewTable,2,FALSE()),FALSE())/100,0)</f>
        <v>#DIV/0!</v>
      </c>
      <c r="M135" s="4" t="e">
        <f aca="false">IF($H$19=1,VLOOKUP($A135,SkewTable,HLOOKUP(ROUND(I135-BI135,1),SkewTable,2,FALSE()),FALSE())/100,0)</f>
        <v>#DIV/0!</v>
      </c>
      <c r="N135" s="4" t="n">
        <f aca="false">(($D135+J135)*$E135)+B$18</f>
        <v>0.2151185018386</v>
      </c>
      <c r="O135" s="4" t="e">
        <f aca="false">(($D135+K135)*$E135)+D$18</f>
        <v>#DIV/0!</v>
      </c>
      <c r="P135" s="4" t="e">
        <f aca="false">(($D135+L135)*$E135)+F$18</f>
        <v>#DIV/0!</v>
      </c>
      <c r="Q135" s="4" t="e">
        <f aca="false">(($D135+M135)*$E135)+H$18</f>
        <v>#DIV/0!</v>
      </c>
      <c r="R135" s="136" t="n">
        <f aca="false">IF(B$4=1,VLOOKUP(A135,expiration,2,FALSE()),VLOOKUP(A135,expiration,3,FALSE()))-B$2+$B$1</f>
        <v>-5966</v>
      </c>
      <c r="S135" s="4" t="n">
        <f aca="false">VLOOKUP($A135,STRADDLE,12,FALSE())</f>
        <v>0.070223089891212</v>
      </c>
      <c r="T135" s="1" t="n">
        <v>0</v>
      </c>
      <c r="U135" s="43" t="n">
        <v>0</v>
      </c>
      <c r="X135" s="43"/>
      <c r="Z135" s="9"/>
      <c r="AA135" s="9" t="n">
        <f aca="false">IF($A135&gt;=AB$25,IF($A135&lt;=AB$26,$T135,0),0)</f>
        <v>0</v>
      </c>
      <c r="AB135" s="9" t="n">
        <f aca="false">IF(T135&gt;0,AD135/AA135,0)</f>
        <v>0</v>
      </c>
      <c r="AC135" s="1" t="n">
        <f aca="false">AA135*($B135+B$13)</f>
        <v>0</v>
      </c>
      <c r="AD135" s="33" t="n">
        <f aca="false">IF(ISNUMBER(((AC135/AA135)+B$15+$C135)*AA135),((AC135/AA135)+B$15+$C135)*AA135,0)</f>
        <v>0</v>
      </c>
      <c r="AE135" s="44" t="n">
        <f aca="false">IF(AA135=0,0,bsd(1,AF$27,AB135,$F135,$R135,$N135,$S135,0.1))</f>
        <v>0</v>
      </c>
      <c r="AF135" s="44" t="n">
        <f aca="false">IF(AA135=0,0,bsd(2,AF$27,AB135,$F135,$R135,$N135,$S135,0.1))</f>
        <v>0</v>
      </c>
      <c r="AG135" s="44" t="n">
        <f aca="false">IF(AA135=0,0,bsd(AF$28,AF$27,AB135,$F135,$R135,$N135,$S135,0.1))</f>
        <v>0</v>
      </c>
      <c r="AH135" s="45" t="n">
        <f aca="false">AA135*AE135</f>
        <v>0</v>
      </c>
      <c r="AI135" s="45" t="n">
        <f aca="false">AA135*AF135</f>
        <v>0</v>
      </c>
      <c r="AJ135" s="45" t="n">
        <f aca="false">AA135*AG135</f>
        <v>0</v>
      </c>
      <c r="AL135" s="9" t="n">
        <f aca="false">IF($A135&gt;=AM$25,IF($A135&lt;=AM$26,$T135,0),0)</f>
        <v>0</v>
      </c>
      <c r="AM135" s="9" t="e">
        <f aca="false">AO135/AL135</f>
        <v>#DIV/0!</v>
      </c>
      <c r="AN135" s="1" t="n">
        <f aca="false">AL135*($B135+D$13)</f>
        <v>0</v>
      </c>
      <c r="AO135" s="33" t="n">
        <f aca="false">IF(ISNUMBER(((AN135/AL135)+D$15+$C135)*AL135),((AN135/AL135)+D$15+$C135)*AL135,0)</f>
        <v>0</v>
      </c>
      <c r="AP135" s="44" t="n">
        <f aca="false">IF(AL135=0,0,bsd(1,AQ$27,AM135,$G135,$R135,$O135,$S135,0.1))</f>
        <v>0</v>
      </c>
      <c r="AQ135" s="44" t="n">
        <f aca="false">IF(AL135=0,0,bsd(2,AQ$27,AM135,$G135,$R135,$O135,$S135,0.1))</f>
        <v>0</v>
      </c>
      <c r="AR135" s="44" t="n">
        <f aca="false">IF(AL135=0,0,bsd(AQ$28,AQ$27,AM135,$G135,$R135,$O135,$S135,0.1))</f>
        <v>0</v>
      </c>
      <c r="AS135" s="45" t="n">
        <f aca="false">AL135*AP135</f>
        <v>0</v>
      </c>
      <c r="AT135" s="45" t="n">
        <f aca="false">AL135*AQ135</f>
        <v>0</v>
      </c>
      <c r="AU135" s="45" t="n">
        <f aca="false">AL135*AR135</f>
        <v>0</v>
      </c>
      <c r="AW135" s="9" t="n">
        <f aca="false">IF($A135&gt;=AX$25,IF($A135&lt;=AX$26,$T135,0),0)</f>
        <v>0</v>
      </c>
      <c r="AX135" s="9" t="e">
        <f aca="false">AZ135/AW135</f>
        <v>#DIV/0!</v>
      </c>
      <c r="AY135" s="1" t="n">
        <f aca="false">AW135*($B135+F$13)</f>
        <v>0</v>
      </c>
      <c r="AZ135" s="33" t="n">
        <f aca="false">IF(ISNUMBER(((AY135/AW135)+F$15+$C135)*AW135),((AY135/AW135)+F$15+$C135)*AW135,0)</f>
        <v>0</v>
      </c>
      <c r="BA135" s="44" t="n">
        <f aca="false">IF(AW135=0,0,bsd(1,BB$27,AX135,$H135,$R135,$P135,$S135,0.1))</f>
        <v>0</v>
      </c>
      <c r="BB135" s="44" t="n">
        <f aca="false">IF(AW135=0,0,bsd(2,BB$27,AX135,$H135,$R135,$P135,$S135,0.1))</f>
        <v>0</v>
      </c>
      <c r="BC135" s="44" t="n">
        <f aca="false">IF(AW135=0,0,bsd(BB$28,BB$27,AX135,$H135,$R135,$P135,$S135,0.1))</f>
        <v>0</v>
      </c>
      <c r="BD135" s="45" t="n">
        <f aca="false">AW135*BA135</f>
        <v>0</v>
      </c>
      <c r="BE135" s="45" t="n">
        <f aca="false">AW135*BB135</f>
        <v>0</v>
      </c>
      <c r="BF135" s="45" t="n">
        <f aca="false">AW135*BC135</f>
        <v>0</v>
      </c>
      <c r="BH135" s="9" t="n">
        <f aca="false">IF($A135&gt;=BI$25,IF($A135&lt;=BI$26,$T135,0),0)</f>
        <v>0</v>
      </c>
      <c r="BI135" s="9" t="e">
        <f aca="false">BK135/BH135</f>
        <v>#DIV/0!</v>
      </c>
      <c r="BJ135" s="1" t="n">
        <f aca="false">BH135*($B135+H$13)</f>
        <v>0</v>
      </c>
      <c r="BK135" s="33" t="n">
        <f aca="false">IF(ISNUMBER(((BJ135/BH135)+H$15+$C135)*BH135),((BJ135/BH135)+H$15+$C135)*BH135,0)</f>
        <v>0</v>
      </c>
      <c r="BL135" s="44" t="n">
        <f aca="false">IF(BH135=0,0,bsd(1,BM$27,BI135,$I135,$R135,$Q135,$S135,0.1))</f>
        <v>0</v>
      </c>
      <c r="BM135" s="44" t="n">
        <f aca="false">IF(BH135=0,0,bsd(2,BM$27,BI135,$I135,$R135,$Q135,$S135,0.1))</f>
        <v>0</v>
      </c>
      <c r="BN135" s="44" t="n">
        <f aca="false">IF(BH135=0,0,bsd(BM$28,BM$27,BI135,$I135,$R135,$Q135,$S135,0.1))</f>
        <v>0</v>
      </c>
      <c r="BO135" s="45" t="n">
        <f aca="false">BH135*BL135</f>
        <v>0</v>
      </c>
      <c r="BP135" s="45" t="n">
        <f aca="false">BH135*BM135</f>
        <v>0</v>
      </c>
      <c r="BQ135" s="45" t="n">
        <f aca="false">BH135*BN135</f>
        <v>0</v>
      </c>
    </row>
    <row r="136" customFormat="false" ht="12.75" hidden="false" customHeight="false" outlineLevel="0" collapsed="false">
      <c r="A136" s="48" t="n">
        <f aca="false">DATE(YEAR(A135),MONTH(A135)+1,1)</f>
        <v>39995</v>
      </c>
      <c r="B136" s="40" t="n">
        <f aca="false">VLOOKUP(A136,STRADDLE,5,FALSE())</f>
        <v>3.122</v>
      </c>
      <c r="C136" s="40" t="n">
        <v>0</v>
      </c>
      <c r="D136" s="4" t="n">
        <f aca="false">VLOOKUP(A136,STRADDLE,8,FALSE())</f>
        <v>0.17</v>
      </c>
      <c r="E136" s="131" t="n">
        <f aca="false">IF(ISNUMBER(VLOOKUP(A136,VOLCURVES,HLOOKUP(B$5,VOLCURVES,2,FALSE()),FALSE())),VLOOKUP(A136,VOLCURVES,HLOOKUP(B$5,VOLCURVES,2,FALSE()),FALSE()),1)</f>
        <v>1</v>
      </c>
      <c r="F136" s="41" t="n">
        <f aca="false">IF($B$17=4,$AB136,$B$16)</f>
        <v>3.8</v>
      </c>
      <c r="G136" s="41" t="n">
        <f aca="false">IF($D$17=4,$AM136,$D$16)</f>
        <v>3.5</v>
      </c>
      <c r="H136" s="41" t="n">
        <f aca="false">IF($F$17=4,$AX136,$F$16)</f>
        <v>2.96</v>
      </c>
      <c r="I136" s="41" t="n">
        <f aca="false">IF($H$17=4,$BI136,$H$16)</f>
        <v>2.99</v>
      </c>
      <c r="J136" s="4" t="n">
        <f aca="false">IF($B$19=1,VLOOKUP($A136,SkewTable,HLOOKUP(ROUND(F136-AB136,1),SkewTable,2,FALSE()),FALSE())/100,0)</f>
        <v>0.0451185018386</v>
      </c>
      <c r="K136" s="4" t="e">
        <f aca="false">IF($D$19=1,VLOOKUP($A136,SkewTable,HLOOKUP(ROUND(G136-AM136,1),SkewTable,2,FALSE()),FALSE())/100,0)</f>
        <v>#DIV/0!</v>
      </c>
      <c r="L136" s="4" t="e">
        <f aca="false">IF($F$19=1,VLOOKUP($A136,SkewTable,HLOOKUP(ROUND(H136-AX136,1),SkewTable,2,FALSE()),FALSE())/100,0)</f>
        <v>#DIV/0!</v>
      </c>
      <c r="M136" s="4" t="e">
        <f aca="false">IF($H$19=1,VLOOKUP($A136,SkewTable,HLOOKUP(ROUND(I136-BI136,1),SkewTable,2,FALSE()),FALSE())/100,0)</f>
        <v>#DIV/0!</v>
      </c>
      <c r="N136" s="4" t="n">
        <f aca="false">(($D136+J136)*$E136)+B$18</f>
        <v>0.2151185018386</v>
      </c>
      <c r="O136" s="4" t="e">
        <f aca="false">(($D136+K136)*$E136)+D$18</f>
        <v>#DIV/0!</v>
      </c>
      <c r="P136" s="4" t="e">
        <f aca="false">(($D136+L136)*$E136)+F$18</f>
        <v>#DIV/0!</v>
      </c>
      <c r="Q136" s="4" t="e">
        <f aca="false">(($D136+M136)*$E136)+H$18</f>
        <v>#DIV/0!</v>
      </c>
      <c r="R136" s="136" t="n">
        <f aca="false">IF(B$4=1,VLOOKUP(A136,expiration,2,FALSE()),VLOOKUP(A136,expiration,3,FALSE()))-B$2+$B$1</f>
        <v>-5936</v>
      </c>
      <c r="S136" s="4" t="n">
        <f aca="false">VLOOKUP($A136,STRADDLE,12,FALSE())</f>
        <v>0.07025927833778</v>
      </c>
      <c r="T136" s="1" t="n">
        <v>0</v>
      </c>
      <c r="U136" s="43" t="n">
        <v>0</v>
      </c>
      <c r="X136" s="43"/>
      <c r="Z136" s="9"/>
      <c r="AA136" s="9" t="n">
        <f aca="false">IF($A136&gt;=AB$25,IF($A136&lt;=AB$26,$T136,0),0)</f>
        <v>0</v>
      </c>
      <c r="AB136" s="9" t="n">
        <f aca="false">IF(T136&gt;0,AD136/AA136,0)</f>
        <v>0</v>
      </c>
      <c r="AC136" s="1" t="n">
        <f aca="false">AA136*($B136+B$13)</f>
        <v>0</v>
      </c>
      <c r="AD136" s="33" t="n">
        <f aca="false">IF(ISNUMBER(((AC136/AA136)+B$15+$C136)*AA136),((AC136/AA136)+B$15+$C136)*AA136,0)</f>
        <v>0</v>
      </c>
      <c r="AE136" s="44" t="n">
        <f aca="false">IF(AA136=0,0,bsd(1,AF$27,AB136,$F136,$R136,$N136,$S136,0.1))</f>
        <v>0</v>
      </c>
      <c r="AF136" s="44" t="n">
        <f aca="false">IF(AA136=0,0,bsd(2,AF$27,AB136,$F136,$R136,$N136,$S136,0.1))</f>
        <v>0</v>
      </c>
      <c r="AG136" s="44" t="n">
        <f aca="false">IF(AA136=0,0,bsd(AF$28,AF$27,AB136,$F136,$R136,$N136,$S136,0.1))</f>
        <v>0</v>
      </c>
      <c r="AH136" s="45" t="n">
        <f aca="false">AA136*AE136</f>
        <v>0</v>
      </c>
      <c r="AI136" s="45" t="n">
        <f aca="false">AA136*AF136</f>
        <v>0</v>
      </c>
      <c r="AJ136" s="45" t="n">
        <f aca="false">AA136*AG136</f>
        <v>0</v>
      </c>
      <c r="AL136" s="9" t="n">
        <f aca="false">IF($A136&gt;=AM$25,IF($A136&lt;=AM$26,$T136,0),0)</f>
        <v>0</v>
      </c>
      <c r="AM136" s="9" t="e">
        <f aca="false">AO136/AL136</f>
        <v>#DIV/0!</v>
      </c>
      <c r="AN136" s="1" t="n">
        <f aca="false">AL136*($B136+D$13)</f>
        <v>0</v>
      </c>
      <c r="AO136" s="33" t="n">
        <f aca="false">IF(ISNUMBER(((AN136/AL136)+D$15+$C136)*AL136),((AN136/AL136)+D$15+$C136)*AL136,0)</f>
        <v>0</v>
      </c>
      <c r="AP136" s="44" t="n">
        <f aca="false">IF(AL136=0,0,bsd(1,AQ$27,AM136,$G136,$R136,$O136,$S136,0.1))</f>
        <v>0</v>
      </c>
      <c r="AQ136" s="44" t="n">
        <f aca="false">IF(AL136=0,0,bsd(2,AQ$27,AM136,$G136,$R136,$O136,$S136,0.1))</f>
        <v>0</v>
      </c>
      <c r="AR136" s="44" t="n">
        <f aca="false">IF(AL136=0,0,bsd(AQ$28,AQ$27,AM136,$G136,$R136,$O136,$S136,0.1))</f>
        <v>0</v>
      </c>
      <c r="AS136" s="45" t="n">
        <f aca="false">AL136*AP136</f>
        <v>0</v>
      </c>
      <c r="AT136" s="45" t="n">
        <f aca="false">AL136*AQ136</f>
        <v>0</v>
      </c>
      <c r="AU136" s="45" t="n">
        <f aca="false">AL136*AR136</f>
        <v>0</v>
      </c>
      <c r="AW136" s="9" t="n">
        <f aca="false">IF($A136&gt;=AX$25,IF($A136&lt;=AX$26,$T136,0),0)</f>
        <v>0</v>
      </c>
      <c r="AX136" s="9" t="e">
        <f aca="false">AZ136/AW136</f>
        <v>#DIV/0!</v>
      </c>
      <c r="AY136" s="1" t="n">
        <f aca="false">AW136*($B136+F$13)</f>
        <v>0</v>
      </c>
      <c r="AZ136" s="33" t="n">
        <f aca="false">IF(ISNUMBER(((AY136/AW136)+F$15+$C136)*AW136),((AY136/AW136)+F$15+$C136)*AW136,0)</f>
        <v>0</v>
      </c>
      <c r="BA136" s="44" t="n">
        <f aca="false">IF(AW136=0,0,bsd(1,BB$27,AX136,$H136,$R136,$P136,$S136,0.1))</f>
        <v>0</v>
      </c>
      <c r="BB136" s="44" t="n">
        <f aca="false">IF(AW136=0,0,bsd(2,BB$27,AX136,$H136,$R136,$P136,$S136,0.1))</f>
        <v>0</v>
      </c>
      <c r="BC136" s="44" t="n">
        <f aca="false">IF(AW136=0,0,bsd(BB$28,BB$27,AX136,$H136,$R136,$P136,$S136,0.1))</f>
        <v>0</v>
      </c>
      <c r="BD136" s="45" t="n">
        <f aca="false">AW136*BA136</f>
        <v>0</v>
      </c>
      <c r="BE136" s="45" t="n">
        <f aca="false">AW136*BB136</f>
        <v>0</v>
      </c>
      <c r="BF136" s="45" t="n">
        <f aca="false">AW136*BC136</f>
        <v>0</v>
      </c>
      <c r="BH136" s="9" t="n">
        <f aca="false">IF($A136&gt;=BI$25,IF($A136&lt;=BI$26,$T136,0),0)</f>
        <v>0</v>
      </c>
      <c r="BI136" s="9" t="e">
        <f aca="false">BK136/BH136</f>
        <v>#DIV/0!</v>
      </c>
      <c r="BJ136" s="1" t="n">
        <f aca="false">BH136*($B136+H$13)</f>
        <v>0</v>
      </c>
      <c r="BK136" s="33" t="n">
        <f aca="false">IF(ISNUMBER(((BJ136/BH136)+H$15+$C136)*BH136),((BJ136/BH136)+H$15+$C136)*BH136,0)</f>
        <v>0</v>
      </c>
      <c r="BL136" s="44" t="n">
        <f aca="false">IF(BH136=0,0,bsd(1,BM$27,BI136,$I136,$R136,$Q136,$S136,0.1))</f>
        <v>0</v>
      </c>
      <c r="BM136" s="44" t="n">
        <f aca="false">IF(BH136=0,0,bsd(2,BM$27,BI136,$I136,$R136,$Q136,$S136,0.1))</f>
        <v>0</v>
      </c>
      <c r="BN136" s="44" t="n">
        <f aca="false">IF(BH136=0,0,bsd(BM$28,BM$27,BI136,$I136,$R136,$Q136,$S136,0.1))</f>
        <v>0</v>
      </c>
      <c r="BO136" s="45" t="n">
        <f aca="false">BH136*BL136</f>
        <v>0</v>
      </c>
      <c r="BP136" s="45" t="n">
        <f aca="false">BH136*BM136</f>
        <v>0</v>
      </c>
      <c r="BQ136" s="45" t="n">
        <f aca="false">BH136*BN136</f>
        <v>0</v>
      </c>
    </row>
    <row r="137" customFormat="false" ht="12.75" hidden="false" customHeight="false" outlineLevel="0" collapsed="false">
      <c r="A137" s="48" t="n">
        <f aca="false">DATE(YEAR(A136),MONTH(A136)+1,1)</f>
        <v>40026</v>
      </c>
      <c r="B137" s="40" t="n">
        <f aca="false">VLOOKUP(A137,STRADDLE,5,FALSE())</f>
        <v>3.129</v>
      </c>
      <c r="C137" s="40" t="n">
        <v>0</v>
      </c>
      <c r="D137" s="4" t="n">
        <f aca="false">VLOOKUP(A137,STRADDLE,8,FALSE())</f>
        <v>0.17</v>
      </c>
      <c r="E137" s="131" t="n">
        <f aca="false">IF(ISNUMBER(VLOOKUP(A137,VOLCURVES,HLOOKUP(B$5,VOLCURVES,2,FALSE()),FALSE())),VLOOKUP(A137,VOLCURVES,HLOOKUP(B$5,VOLCURVES,2,FALSE()),FALSE()),1)</f>
        <v>1</v>
      </c>
      <c r="F137" s="41" t="n">
        <f aca="false">IF($B$17=4,$AB137,$B$16)</f>
        <v>3.8</v>
      </c>
      <c r="G137" s="41" t="n">
        <f aca="false">IF($D$17=4,$AM137,$D$16)</f>
        <v>3.5</v>
      </c>
      <c r="H137" s="41" t="n">
        <f aca="false">IF($F$17=4,$AX137,$F$16)</f>
        <v>2.96</v>
      </c>
      <c r="I137" s="41" t="n">
        <f aca="false">IF($H$17=4,$BI137,$H$16)</f>
        <v>2.99</v>
      </c>
      <c r="J137" s="4" t="n">
        <f aca="false">IF($B$19=1,VLOOKUP($A137,SkewTable,HLOOKUP(ROUND(F137-AB137,1),SkewTable,2,FALSE()),FALSE())/100,0)</f>
        <v>0.0451185018386</v>
      </c>
      <c r="K137" s="4" t="e">
        <f aca="false">IF($D$19=1,VLOOKUP($A137,SkewTable,HLOOKUP(ROUND(G137-AM137,1),SkewTable,2,FALSE()),FALSE())/100,0)</f>
        <v>#DIV/0!</v>
      </c>
      <c r="L137" s="4" t="e">
        <f aca="false">IF($F$19=1,VLOOKUP($A137,SkewTable,HLOOKUP(ROUND(H137-AX137,1),SkewTable,2,FALSE()),FALSE())/100,0)</f>
        <v>#DIV/0!</v>
      </c>
      <c r="M137" s="4" t="e">
        <f aca="false">IF($H$19=1,VLOOKUP($A137,SkewTable,HLOOKUP(ROUND(I137-BI137,1),SkewTable,2,FALSE()),FALSE())/100,0)</f>
        <v>#DIV/0!</v>
      </c>
      <c r="N137" s="4" t="n">
        <f aca="false">(($D137+J137)*$E137)+B$18</f>
        <v>0.2151185018386</v>
      </c>
      <c r="O137" s="4" t="e">
        <f aca="false">(($D137+K137)*$E137)+D$18</f>
        <v>#DIV/0!</v>
      </c>
      <c r="P137" s="4" t="e">
        <f aca="false">(($D137+L137)*$E137)+F$18</f>
        <v>#DIV/0!</v>
      </c>
      <c r="Q137" s="4" t="e">
        <f aca="false">(($D137+M137)*$E137)+H$18</f>
        <v>#DIV/0!</v>
      </c>
      <c r="R137" s="136" t="n">
        <f aca="false">IF(B$4=1,VLOOKUP(A137,expiration,2,FALSE()),VLOOKUP(A137,expiration,3,FALSE()))-B$2+$B$1</f>
        <v>-5903</v>
      </c>
      <c r="S137" s="4" t="n">
        <f aca="false">VLOOKUP($A137,STRADDLE,12,FALSE())</f>
        <v>0.070296673066354</v>
      </c>
      <c r="T137" s="1" t="n">
        <v>0</v>
      </c>
      <c r="U137" s="43" t="n">
        <v>0</v>
      </c>
      <c r="X137" s="43"/>
      <c r="Z137" s="9"/>
      <c r="AA137" s="9" t="n">
        <f aca="false">IF($A137&gt;=AB$25,IF($A137&lt;=AB$26,$T137,0),0)</f>
        <v>0</v>
      </c>
      <c r="AB137" s="9" t="n">
        <f aca="false">IF(T137&gt;0,AD137/AA137,0)</f>
        <v>0</v>
      </c>
      <c r="AC137" s="1" t="n">
        <f aca="false">AA137*($B137+B$13)</f>
        <v>0</v>
      </c>
      <c r="AD137" s="33" t="n">
        <f aca="false">IF(ISNUMBER(((AC137/AA137)+B$15+$C137)*AA137),((AC137/AA137)+B$15+$C137)*AA137,0)</f>
        <v>0</v>
      </c>
      <c r="AE137" s="44" t="n">
        <f aca="false">IF(AA137=0,0,bsd(1,AF$27,AB137,$F137,$R137,$N137,$S137,0.1))</f>
        <v>0</v>
      </c>
      <c r="AF137" s="44" t="n">
        <f aca="false">IF(AA137=0,0,bsd(2,AF$27,AB137,$F137,$R137,$N137,$S137,0.1))</f>
        <v>0</v>
      </c>
      <c r="AG137" s="44" t="n">
        <f aca="false">IF(AA137=0,0,bsd(AF$28,AF$27,AB137,$F137,$R137,$N137,$S137,0.1))</f>
        <v>0</v>
      </c>
      <c r="AH137" s="45" t="n">
        <f aca="false">AA137*AE137</f>
        <v>0</v>
      </c>
      <c r="AI137" s="45" t="n">
        <f aca="false">AA137*AF137</f>
        <v>0</v>
      </c>
      <c r="AJ137" s="45" t="n">
        <f aca="false">AA137*AG137</f>
        <v>0</v>
      </c>
      <c r="AL137" s="9" t="n">
        <f aca="false">IF($A137&gt;=AM$25,IF($A137&lt;=AM$26,$T137,0),0)</f>
        <v>0</v>
      </c>
      <c r="AM137" s="9" t="e">
        <f aca="false">AO137/AL137</f>
        <v>#DIV/0!</v>
      </c>
      <c r="AN137" s="1" t="n">
        <f aca="false">AL137*($B137+D$13)</f>
        <v>0</v>
      </c>
      <c r="AO137" s="33" t="n">
        <f aca="false">IF(ISNUMBER(((AN137/AL137)+D$15+$C137)*AL137),((AN137/AL137)+D$15+$C137)*AL137,0)</f>
        <v>0</v>
      </c>
      <c r="AP137" s="44" t="n">
        <f aca="false">IF(AL137=0,0,bsd(1,AQ$27,AM137,$G137,$R137,$O137,$S137,0.1))</f>
        <v>0</v>
      </c>
      <c r="AQ137" s="44" t="n">
        <f aca="false">IF(AL137=0,0,bsd(2,AQ$27,AM137,$G137,$R137,$O137,$S137,0.1))</f>
        <v>0</v>
      </c>
      <c r="AR137" s="44" t="n">
        <f aca="false">IF(AL137=0,0,bsd(AQ$28,AQ$27,AM137,$G137,$R137,$O137,$S137,0.1))</f>
        <v>0</v>
      </c>
      <c r="AS137" s="45" t="n">
        <f aca="false">AL137*AP137</f>
        <v>0</v>
      </c>
      <c r="AT137" s="45" t="n">
        <f aca="false">AL137*AQ137</f>
        <v>0</v>
      </c>
      <c r="AU137" s="45" t="n">
        <f aca="false">AL137*AR137</f>
        <v>0</v>
      </c>
      <c r="AW137" s="9" t="n">
        <f aca="false">IF($A137&gt;=AX$25,IF($A137&lt;=AX$26,$T137,0),0)</f>
        <v>0</v>
      </c>
      <c r="AX137" s="9" t="e">
        <f aca="false">AZ137/AW137</f>
        <v>#DIV/0!</v>
      </c>
      <c r="AY137" s="1" t="n">
        <f aca="false">AW137*($B137+F$13)</f>
        <v>0</v>
      </c>
      <c r="AZ137" s="33" t="n">
        <f aca="false">IF(ISNUMBER(((AY137/AW137)+F$15+$C137)*AW137),((AY137/AW137)+F$15+$C137)*AW137,0)</f>
        <v>0</v>
      </c>
      <c r="BA137" s="44" t="n">
        <f aca="false">IF(AW137=0,0,bsd(1,BB$27,AX137,$H137,$R137,$P137,$S137,0.1))</f>
        <v>0</v>
      </c>
      <c r="BB137" s="44" t="n">
        <f aca="false">IF(AW137=0,0,bsd(2,BB$27,AX137,$H137,$R137,$P137,$S137,0.1))</f>
        <v>0</v>
      </c>
      <c r="BC137" s="44" t="n">
        <f aca="false">IF(AW137=0,0,bsd(BB$28,BB$27,AX137,$H137,$R137,$P137,$S137,0.1))</f>
        <v>0</v>
      </c>
      <c r="BD137" s="45" t="n">
        <f aca="false">AW137*BA137</f>
        <v>0</v>
      </c>
      <c r="BE137" s="45" t="n">
        <f aca="false">AW137*BB137</f>
        <v>0</v>
      </c>
      <c r="BF137" s="45" t="n">
        <f aca="false">AW137*BC137</f>
        <v>0</v>
      </c>
      <c r="BH137" s="9" t="n">
        <f aca="false">IF($A137&gt;=BI$25,IF($A137&lt;=BI$26,$T137,0),0)</f>
        <v>0</v>
      </c>
      <c r="BI137" s="9" t="e">
        <f aca="false">BK137/BH137</f>
        <v>#DIV/0!</v>
      </c>
      <c r="BJ137" s="1" t="n">
        <f aca="false">BH137*($B137+H$13)</f>
        <v>0</v>
      </c>
      <c r="BK137" s="33" t="n">
        <f aca="false">IF(ISNUMBER(((BJ137/BH137)+H$15+$C137)*BH137),((BJ137/BH137)+H$15+$C137)*BH137,0)</f>
        <v>0</v>
      </c>
      <c r="BL137" s="44" t="n">
        <f aca="false">IF(BH137=0,0,bsd(1,BM$27,BI137,$I137,$R137,$Q137,$S137,0.1))</f>
        <v>0</v>
      </c>
      <c r="BM137" s="44" t="n">
        <f aca="false">IF(BH137=0,0,bsd(2,BM$27,BI137,$I137,$R137,$Q137,$S137,0.1))</f>
        <v>0</v>
      </c>
      <c r="BN137" s="44" t="n">
        <f aca="false">IF(BH137=0,0,bsd(BM$28,BM$27,BI137,$I137,$R137,$Q137,$S137,0.1))</f>
        <v>0</v>
      </c>
      <c r="BO137" s="45" t="n">
        <f aca="false">BH137*BL137</f>
        <v>0</v>
      </c>
      <c r="BP137" s="45" t="n">
        <f aca="false">BH137*BM137</f>
        <v>0</v>
      </c>
      <c r="BQ137" s="45" t="n">
        <f aca="false">BH137*BN137</f>
        <v>0</v>
      </c>
    </row>
    <row r="138" customFormat="false" ht="12.75" hidden="false" customHeight="false" outlineLevel="0" collapsed="false">
      <c r="A138" s="48" t="n">
        <f aca="false">DATE(YEAR(A137),MONTH(A137)+1,1)</f>
        <v>40057</v>
      </c>
      <c r="B138" s="40" t="n">
        <f aca="false">VLOOKUP(A138,STRADDLE,5,FALSE())</f>
        <v>3.113</v>
      </c>
      <c r="C138" s="40" t="n">
        <v>0</v>
      </c>
      <c r="D138" s="4" t="n">
        <f aca="false">VLOOKUP(A138,STRADDLE,8,FALSE())</f>
        <v>0.17</v>
      </c>
      <c r="E138" s="131" t="n">
        <f aca="false">IF(ISNUMBER(VLOOKUP(A138,VOLCURVES,HLOOKUP(B$5,VOLCURVES,2,FALSE()),FALSE())),VLOOKUP(A138,VOLCURVES,HLOOKUP(B$5,VOLCURVES,2,FALSE()),FALSE()),1)</f>
        <v>1</v>
      </c>
      <c r="F138" s="41" t="n">
        <f aca="false">IF($B$17=4,$AB138,$B$16)</f>
        <v>3.8</v>
      </c>
      <c r="G138" s="41" t="n">
        <f aca="false">IF($D$17=4,$AM138,$D$16)</f>
        <v>3.5</v>
      </c>
      <c r="H138" s="41" t="n">
        <f aca="false">IF($F$17=4,$AX138,$F$16)</f>
        <v>2.96</v>
      </c>
      <c r="I138" s="41" t="n">
        <f aca="false">IF($H$17=4,$BI138,$H$16)</f>
        <v>2.99</v>
      </c>
      <c r="J138" s="4" t="n">
        <f aca="false">IF($B$19=1,VLOOKUP($A138,SkewTable,HLOOKUP(ROUND(F138-AB138,1),SkewTable,2,FALSE()),FALSE())/100,0)</f>
        <v>0.0451185018386</v>
      </c>
      <c r="K138" s="4" t="e">
        <f aca="false">IF($D$19=1,VLOOKUP($A138,SkewTable,HLOOKUP(ROUND(G138-AM138,1),SkewTable,2,FALSE()),FALSE())/100,0)</f>
        <v>#DIV/0!</v>
      </c>
      <c r="L138" s="4" t="e">
        <f aca="false">IF($F$19=1,VLOOKUP($A138,SkewTable,HLOOKUP(ROUND(H138-AX138,1),SkewTable,2,FALSE()),FALSE())/100,0)</f>
        <v>#DIV/0!</v>
      </c>
      <c r="M138" s="4" t="e">
        <f aca="false">IF($H$19=1,VLOOKUP($A138,SkewTable,HLOOKUP(ROUND(I138-BI138,1),SkewTable,2,FALSE()),FALSE())/100,0)</f>
        <v>#DIV/0!</v>
      </c>
      <c r="N138" s="4" t="n">
        <f aca="false">(($D138+J138)*$E138)+B$18</f>
        <v>0.2151185018386</v>
      </c>
      <c r="O138" s="4" t="e">
        <f aca="false">(($D138+K138)*$E138)+D$18</f>
        <v>#DIV/0!</v>
      </c>
      <c r="P138" s="4" t="e">
        <f aca="false">(($D138+L138)*$E138)+F$18</f>
        <v>#DIV/0!</v>
      </c>
      <c r="Q138" s="4" t="e">
        <f aca="false">(($D138+M138)*$E138)+H$18</f>
        <v>#DIV/0!</v>
      </c>
      <c r="R138" s="136" t="n">
        <f aca="false">IF(B$4=1,VLOOKUP(A138,expiration,2,FALSE()),VLOOKUP(A138,expiration,3,FALSE()))-B$2+$B$1</f>
        <v>-5874</v>
      </c>
      <c r="S138" s="4" t="n">
        <f aca="false">VLOOKUP($A138,STRADDLE,12,FALSE())</f>
        <v>0.070334067795391</v>
      </c>
      <c r="T138" s="1" t="n">
        <v>0</v>
      </c>
      <c r="U138" s="43" t="n">
        <v>0</v>
      </c>
      <c r="X138" s="43"/>
      <c r="Z138" s="9"/>
      <c r="AA138" s="9" t="n">
        <f aca="false">IF($A138&gt;=AB$25,IF($A138&lt;=AB$26,$T138,0),0)</f>
        <v>0</v>
      </c>
      <c r="AB138" s="9" t="n">
        <f aca="false">IF(T138&gt;0,AD138/AA138,0)</f>
        <v>0</v>
      </c>
      <c r="AC138" s="1" t="n">
        <f aca="false">AA138*($B138+B$13)</f>
        <v>0</v>
      </c>
      <c r="AD138" s="33" t="n">
        <f aca="false">IF(ISNUMBER(((AC138/AA138)+B$15+$C138)*AA138),((AC138/AA138)+B$15+$C138)*AA138,0)</f>
        <v>0</v>
      </c>
      <c r="AE138" s="44" t="n">
        <f aca="false">IF(AA138=0,0,bsd(1,AF$27,AB138,$F138,$R138,$N138,$S138,0.1))</f>
        <v>0</v>
      </c>
      <c r="AF138" s="44" t="n">
        <f aca="false">IF(AA138=0,0,bsd(2,AF$27,AB138,$F138,$R138,$N138,$S138,0.1))</f>
        <v>0</v>
      </c>
      <c r="AG138" s="44" t="n">
        <f aca="false">IF(AA138=0,0,bsd(AF$28,AF$27,AB138,$F138,$R138,$N138,$S138,0.1))</f>
        <v>0</v>
      </c>
      <c r="AH138" s="45" t="n">
        <f aca="false">AA138*AE138</f>
        <v>0</v>
      </c>
      <c r="AI138" s="45" t="n">
        <f aca="false">AA138*AF138</f>
        <v>0</v>
      </c>
      <c r="AJ138" s="45" t="n">
        <f aca="false">AA138*AG138</f>
        <v>0</v>
      </c>
      <c r="AL138" s="9" t="n">
        <f aca="false">IF($A138&gt;=AM$25,IF($A138&lt;=AM$26,$T138,0),0)</f>
        <v>0</v>
      </c>
      <c r="AM138" s="9" t="e">
        <f aca="false">AO138/AL138</f>
        <v>#DIV/0!</v>
      </c>
      <c r="AN138" s="1" t="n">
        <f aca="false">AL138*($B138+D$13)</f>
        <v>0</v>
      </c>
      <c r="AO138" s="33" t="n">
        <f aca="false">IF(ISNUMBER(((AN138/AL138)+D$15+$C138)*AL138),((AN138/AL138)+D$15+$C138)*AL138,0)</f>
        <v>0</v>
      </c>
      <c r="AP138" s="44" t="n">
        <f aca="false">IF(AL138=0,0,bsd(1,AQ$27,AM138,$G138,$R138,$O138,$S138,0.1))</f>
        <v>0</v>
      </c>
      <c r="AQ138" s="44" t="n">
        <f aca="false">IF(AL138=0,0,bsd(2,AQ$27,AM138,$G138,$R138,$O138,$S138,0.1))</f>
        <v>0</v>
      </c>
      <c r="AR138" s="44" t="n">
        <f aca="false">IF(AL138=0,0,bsd(AQ$28,AQ$27,AM138,$G138,$R138,$O138,$S138,0.1))</f>
        <v>0</v>
      </c>
      <c r="AS138" s="45" t="n">
        <f aca="false">AL138*AP138</f>
        <v>0</v>
      </c>
      <c r="AT138" s="45" t="n">
        <f aca="false">AL138*AQ138</f>
        <v>0</v>
      </c>
      <c r="AU138" s="45" t="n">
        <f aca="false">AL138*AR138</f>
        <v>0</v>
      </c>
      <c r="AW138" s="9" t="n">
        <f aca="false">IF($A138&gt;=AX$25,IF($A138&lt;=AX$26,$T138,0),0)</f>
        <v>0</v>
      </c>
      <c r="AX138" s="9" t="e">
        <f aca="false">AZ138/AW138</f>
        <v>#DIV/0!</v>
      </c>
      <c r="AY138" s="1" t="n">
        <f aca="false">AW138*($B138+F$13)</f>
        <v>0</v>
      </c>
      <c r="AZ138" s="33" t="n">
        <f aca="false">IF(ISNUMBER(((AY138/AW138)+F$15+$C138)*AW138),((AY138/AW138)+F$15+$C138)*AW138,0)</f>
        <v>0</v>
      </c>
      <c r="BA138" s="44" t="n">
        <f aca="false">IF(AW138=0,0,bsd(1,BB$27,AX138,$H138,$R138,$P138,$S138,0.1))</f>
        <v>0</v>
      </c>
      <c r="BB138" s="44" t="n">
        <f aca="false">IF(AW138=0,0,bsd(2,BB$27,AX138,$H138,$R138,$P138,$S138,0.1))</f>
        <v>0</v>
      </c>
      <c r="BC138" s="44" t="n">
        <f aca="false">IF(AW138=0,0,bsd(BB$28,BB$27,AX138,$H138,$R138,$P138,$S138,0.1))</f>
        <v>0</v>
      </c>
      <c r="BD138" s="45" t="n">
        <f aca="false">AW138*BA138</f>
        <v>0</v>
      </c>
      <c r="BE138" s="45" t="n">
        <f aca="false">AW138*BB138</f>
        <v>0</v>
      </c>
      <c r="BF138" s="45" t="n">
        <f aca="false">AW138*BC138</f>
        <v>0</v>
      </c>
      <c r="BH138" s="9" t="n">
        <f aca="false">IF($A138&gt;=BI$25,IF($A138&lt;=BI$26,$T138,0),0)</f>
        <v>0</v>
      </c>
      <c r="BI138" s="9" t="e">
        <f aca="false">BK138/BH138</f>
        <v>#DIV/0!</v>
      </c>
      <c r="BJ138" s="1" t="n">
        <f aca="false">BH138*($B138+H$13)</f>
        <v>0</v>
      </c>
      <c r="BK138" s="33" t="n">
        <f aca="false">IF(ISNUMBER(((BJ138/BH138)+H$15+$C138)*BH138),((BJ138/BH138)+H$15+$C138)*BH138,0)</f>
        <v>0</v>
      </c>
      <c r="BL138" s="44" t="n">
        <f aca="false">IF(BH138=0,0,bsd(1,BM$27,BI138,$I138,$R138,$Q138,$S138,0.1))</f>
        <v>0</v>
      </c>
      <c r="BM138" s="44" t="n">
        <f aca="false">IF(BH138=0,0,bsd(2,BM$27,BI138,$I138,$R138,$Q138,$S138,0.1))</f>
        <v>0</v>
      </c>
      <c r="BN138" s="44" t="n">
        <f aca="false">IF(BH138=0,0,bsd(BM$28,BM$27,BI138,$I138,$R138,$Q138,$S138,0.1))</f>
        <v>0</v>
      </c>
      <c r="BO138" s="45" t="n">
        <f aca="false">BH138*BL138</f>
        <v>0</v>
      </c>
      <c r="BP138" s="45" t="n">
        <f aca="false">BH138*BM138</f>
        <v>0</v>
      </c>
      <c r="BQ138" s="45" t="n">
        <f aca="false">BH138*BN138</f>
        <v>0</v>
      </c>
    </row>
    <row r="139" customFormat="false" ht="12.75" hidden="false" customHeight="false" outlineLevel="0" collapsed="false">
      <c r="A139" s="48" t="n">
        <f aca="false">DATE(YEAR(A138),MONTH(A138)+1,1)</f>
        <v>40087</v>
      </c>
      <c r="B139" s="40" t="n">
        <f aca="false">VLOOKUP(A139,STRADDLE,5,FALSE())</f>
        <v>3.13</v>
      </c>
      <c r="C139" s="40" t="n">
        <v>0</v>
      </c>
      <c r="D139" s="4" t="n">
        <f aca="false">VLOOKUP(A139,STRADDLE,8,FALSE())</f>
        <v>0.17</v>
      </c>
      <c r="E139" s="131" t="n">
        <f aca="false">IF(ISNUMBER(VLOOKUP(A139,VOLCURVES,HLOOKUP(B$5,VOLCURVES,2,FALSE()),FALSE())),VLOOKUP(A139,VOLCURVES,HLOOKUP(B$5,VOLCURVES,2,FALSE()),FALSE()),1)</f>
        <v>1</v>
      </c>
      <c r="F139" s="41" t="n">
        <f aca="false">IF($B$17=4,$AB139,$B$16)</f>
        <v>3.8</v>
      </c>
      <c r="G139" s="41" t="n">
        <f aca="false">IF($D$17=4,$AM139,$D$16)</f>
        <v>3.5</v>
      </c>
      <c r="H139" s="41" t="n">
        <f aca="false">IF($F$17=4,$AX139,$F$16)</f>
        <v>2.96</v>
      </c>
      <c r="I139" s="41" t="n">
        <f aca="false">IF($H$17=4,$BI139,$H$16)</f>
        <v>2.99</v>
      </c>
      <c r="J139" s="4" t="n">
        <f aca="false">IF($B$19=1,VLOOKUP($A139,SkewTable,HLOOKUP(ROUND(F139-AB139,1),SkewTable,2,FALSE()),FALSE())/100,0)</f>
        <v>0.0451185018386</v>
      </c>
      <c r="K139" s="4" t="e">
        <f aca="false">IF($D$19=1,VLOOKUP($A139,SkewTable,HLOOKUP(ROUND(G139-AM139,1),SkewTable,2,FALSE()),FALSE())/100,0)</f>
        <v>#DIV/0!</v>
      </c>
      <c r="L139" s="4" t="e">
        <f aca="false">IF($F$19=1,VLOOKUP($A139,SkewTable,HLOOKUP(ROUND(H139-AX139,1),SkewTable,2,FALSE()),FALSE())/100,0)</f>
        <v>#DIV/0!</v>
      </c>
      <c r="M139" s="4" t="e">
        <f aca="false">IF($H$19=1,VLOOKUP($A139,SkewTable,HLOOKUP(ROUND(I139-BI139,1),SkewTable,2,FALSE()),FALSE())/100,0)</f>
        <v>#DIV/0!</v>
      </c>
      <c r="N139" s="4" t="n">
        <f aca="false">(($D139+J139)*$E139)+B$18</f>
        <v>0.2151185018386</v>
      </c>
      <c r="O139" s="4" t="e">
        <f aca="false">(($D139+K139)*$E139)+D$18</f>
        <v>#DIV/0!</v>
      </c>
      <c r="P139" s="4" t="e">
        <f aca="false">(($D139+L139)*$E139)+F$18</f>
        <v>#DIV/0!</v>
      </c>
      <c r="Q139" s="4" t="e">
        <f aca="false">(($D139+M139)*$E139)+H$18</f>
        <v>#DIV/0!</v>
      </c>
      <c r="R139" s="136" t="n">
        <f aca="false">IF(B$4=1,VLOOKUP(A139,expiration,2,FALSE()),VLOOKUP(A139,expiration,3,FALSE()))-B$2+$B$1</f>
        <v>-5842</v>
      </c>
      <c r="S139" s="4" t="n">
        <f aca="false">VLOOKUP($A139,STRADDLE,12,FALSE())</f>
        <v>0.070370256243286</v>
      </c>
      <c r="T139" s="1" t="n">
        <v>0</v>
      </c>
      <c r="U139" s="43" t="n">
        <v>0</v>
      </c>
      <c r="X139" s="43"/>
      <c r="Z139" s="9"/>
      <c r="AA139" s="9" t="n">
        <f aca="false">IF($A139&gt;=AB$25,IF($A139&lt;=AB$26,$T139,0),0)</f>
        <v>0</v>
      </c>
      <c r="AB139" s="9" t="n">
        <f aca="false">IF(T139&gt;0,AD139/AA139,0)</f>
        <v>0</v>
      </c>
      <c r="AC139" s="1" t="n">
        <f aca="false">AA139*($B139+B$13)</f>
        <v>0</v>
      </c>
      <c r="AD139" s="33" t="n">
        <f aca="false">IF(ISNUMBER(((AC139/AA139)+B$15+$C139)*AA139),((AC139/AA139)+B$15+$C139)*AA139,0)</f>
        <v>0</v>
      </c>
      <c r="AE139" s="44" t="n">
        <f aca="false">IF(AA139=0,0,bsd(1,AF$27,AB139,$F139,$R139,$N139,$S139,0.1))</f>
        <v>0</v>
      </c>
      <c r="AF139" s="44" t="n">
        <f aca="false">IF(AA139=0,0,bsd(2,AF$27,AB139,$F139,$R139,$N139,$S139,0.1))</f>
        <v>0</v>
      </c>
      <c r="AG139" s="44" t="n">
        <f aca="false">IF(AA139=0,0,bsd(AF$28,AF$27,AB139,$F139,$R139,$N139,$S139,0.1))</f>
        <v>0</v>
      </c>
      <c r="AH139" s="45" t="n">
        <f aca="false">AA139*AE139</f>
        <v>0</v>
      </c>
      <c r="AI139" s="45" t="n">
        <f aca="false">AA139*AF139</f>
        <v>0</v>
      </c>
      <c r="AJ139" s="45" t="n">
        <f aca="false">AA139*AG139</f>
        <v>0</v>
      </c>
      <c r="AL139" s="9" t="n">
        <f aca="false">IF($A139&gt;=AM$25,IF($A139&lt;=AM$26,$T139,0),0)</f>
        <v>0</v>
      </c>
      <c r="AM139" s="9" t="e">
        <f aca="false">AO139/AL139</f>
        <v>#DIV/0!</v>
      </c>
      <c r="AN139" s="1" t="n">
        <f aca="false">AL139*($B139+D$13)</f>
        <v>0</v>
      </c>
      <c r="AO139" s="33" t="n">
        <f aca="false">IF(ISNUMBER(((AN139/AL139)+D$15+$C139)*AL139),((AN139/AL139)+D$15+$C139)*AL139,0)</f>
        <v>0</v>
      </c>
      <c r="AP139" s="44" t="n">
        <f aca="false">IF(AL139=0,0,bsd(1,AQ$27,AM139,$G139,$R139,$O139,$S139,0.1))</f>
        <v>0</v>
      </c>
      <c r="AQ139" s="44" t="n">
        <f aca="false">IF(AL139=0,0,bsd(2,AQ$27,AM139,$G139,$R139,$O139,$S139,0.1))</f>
        <v>0</v>
      </c>
      <c r="AR139" s="44" t="n">
        <f aca="false">IF(AL139=0,0,bsd(AQ$28,AQ$27,AM139,$G139,$R139,$O139,$S139,0.1))</f>
        <v>0</v>
      </c>
      <c r="AS139" s="45" t="n">
        <f aca="false">AL139*AP139</f>
        <v>0</v>
      </c>
      <c r="AT139" s="45" t="n">
        <f aca="false">AL139*AQ139</f>
        <v>0</v>
      </c>
      <c r="AU139" s="45" t="n">
        <f aca="false">AL139*AR139</f>
        <v>0</v>
      </c>
      <c r="AW139" s="9" t="n">
        <f aca="false">IF($A139&gt;=AX$25,IF($A139&lt;=AX$26,$T139,0),0)</f>
        <v>0</v>
      </c>
      <c r="AX139" s="9" t="e">
        <f aca="false">AZ139/AW139</f>
        <v>#DIV/0!</v>
      </c>
      <c r="AY139" s="1" t="n">
        <f aca="false">AW139*($B139+F$13)</f>
        <v>0</v>
      </c>
      <c r="AZ139" s="33" t="n">
        <f aca="false">IF(ISNUMBER(((AY139/AW139)+F$15+$C139)*AW139),((AY139/AW139)+F$15+$C139)*AW139,0)</f>
        <v>0</v>
      </c>
      <c r="BA139" s="44" t="n">
        <f aca="false">IF(AW139=0,0,bsd(1,BB$27,AX139,$H139,$R139,$P139,$S139,0.1))</f>
        <v>0</v>
      </c>
      <c r="BB139" s="44" t="n">
        <f aca="false">IF(AW139=0,0,bsd(2,BB$27,AX139,$H139,$R139,$P139,$S139,0.1))</f>
        <v>0</v>
      </c>
      <c r="BC139" s="44" t="n">
        <f aca="false">IF(AW139=0,0,bsd(BB$28,BB$27,AX139,$H139,$R139,$P139,$S139,0.1))</f>
        <v>0</v>
      </c>
      <c r="BD139" s="45" t="n">
        <f aca="false">AW139*BA139</f>
        <v>0</v>
      </c>
      <c r="BE139" s="45" t="n">
        <f aca="false">AW139*BB139</f>
        <v>0</v>
      </c>
      <c r="BF139" s="45" t="n">
        <f aca="false">AW139*BC139</f>
        <v>0</v>
      </c>
      <c r="BH139" s="9" t="n">
        <f aca="false">IF($A139&gt;=BI$25,IF($A139&lt;=BI$26,$T139,0),0)</f>
        <v>0</v>
      </c>
      <c r="BI139" s="9" t="e">
        <f aca="false">BK139/BH139</f>
        <v>#DIV/0!</v>
      </c>
      <c r="BJ139" s="1" t="n">
        <f aca="false">BH139*($B139+H$13)</f>
        <v>0</v>
      </c>
      <c r="BK139" s="33" t="n">
        <f aca="false">IF(ISNUMBER(((BJ139/BH139)+H$15+$C139)*BH139),((BJ139/BH139)+H$15+$C139)*BH139,0)</f>
        <v>0</v>
      </c>
      <c r="BL139" s="44" t="n">
        <f aca="false">IF(BH139=0,0,bsd(1,BM$27,BI139,$I139,$R139,$Q139,$S139,0.1))</f>
        <v>0</v>
      </c>
      <c r="BM139" s="44" t="n">
        <f aca="false">IF(BH139=0,0,bsd(2,BM$27,BI139,$I139,$R139,$Q139,$S139,0.1))</f>
        <v>0</v>
      </c>
      <c r="BN139" s="44" t="n">
        <f aca="false">IF(BH139=0,0,bsd(BM$28,BM$27,BI139,$I139,$R139,$Q139,$S139,0.1))</f>
        <v>0</v>
      </c>
      <c r="BO139" s="45" t="n">
        <f aca="false">BH139*BL139</f>
        <v>0</v>
      </c>
      <c r="BP139" s="45" t="n">
        <f aca="false">BH139*BM139</f>
        <v>0</v>
      </c>
      <c r="BQ139" s="45" t="n">
        <f aca="false">BH139*BN139</f>
        <v>0</v>
      </c>
    </row>
    <row r="140" customFormat="false" ht="12.75" hidden="false" customHeight="false" outlineLevel="0" collapsed="false">
      <c r="A140" s="48" t="n">
        <f aca="false">DATE(YEAR(A139),MONTH(A139)+1,1)</f>
        <v>40118</v>
      </c>
      <c r="B140" s="40" t="n">
        <f aca="false">VLOOKUP(A140,STRADDLE,5,FALSE())</f>
        <v>3.192</v>
      </c>
      <c r="C140" s="40" t="n">
        <v>0</v>
      </c>
      <c r="D140" s="4" t="n">
        <f aca="false">VLOOKUP(A140,STRADDLE,8,FALSE())</f>
        <v>0.17</v>
      </c>
      <c r="E140" s="131" t="n">
        <f aca="false">IF(ISNUMBER(VLOOKUP(A140,VOLCURVES,HLOOKUP(B$5,VOLCURVES,2,FALSE()),FALSE())),VLOOKUP(A140,VOLCURVES,HLOOKUP(B$5,VOLCURVES,2,FALSE()),FALSE()),1)</f>
        <v>1</v>
      </c>
      <c r="F140" s="41" t="n">
        <f aca="false">IF($B$17=4,$AB140,$B$16)</f>
        <v>3.8</v>
      </c>
      <c r="G140" s="41" t="n">
        <f aca="false">IF($D$17=4,$AM140,$D$16)</f>
        <v>3.5</v>
      </c>
      <c r="H140" s="41" t="n">
        <f aca="false">IF($F$17=4,$AX140,$F$16)</f>
        <v>2.96</v>
      </c>
      <c r="I140" s="41" t="n">
        <f aca="false">IF($H$17=4,$BI140,$H$16)</f>
        <v>2.99</v>
      </c>
      <c r="J140" s="4" t="n">
        <f aca="false">IF($B$19=1,VLOOKUP($A140,SkewTable,HLOOKUP(ROUND(F140-AB140,1),SkewTable,2,FALSE()),FALSE())/100,0)</f>
        <v>0.0451185018386</v>
      </c>
      <c r="K140" s="4" t="e">
        <f aca="false">IF($D$19=1,VLOOKUP($A140,SkewTable,HLOOKUP(ROUND(G140-AM140,1),SkewTable,2,FALSE()),FALSE())/100,0)</f>
        <v>#DIV/0!</v>
      </c>
      <c r="L140" s="4" t="e">
        <f aca="false">IF($F$19=1,VLOOKUP($A140,SkewTable,HLOOKUP(ROUND(H140-AX140,1),SkewTable,2,FALSE()),FALSE())/100,0)</f>
        <v>#DIV/0!</v>
      </c>
      <c r="M140" s="4" t="e">
        <f aca="false">IF($H$19=1,VLOOKUP($A140,SkewTable,HLOOKUP(ROUND(I140-BI140,1),SkewTable,2,FALSE()),FALSE())/100,0)</f>
        <v>#DIV/0!</v>
      </c>
      <c r="N140" s="4" t="n">
        <f aca="false">(($D140+J140)*$E140)+B$18</f>
        <v>0.2151185018386</v>
      </c>
      <c r="O140" s="4" t="e">
        <f aca="false">(($D140+K140)*$E140)+D$18</f>
        <v>#DIV/0!</v>
      </c>
      <c r="P140" s="4" t="e">
        <f aca="false">(($D140+L140)*$E140)+F$18</f>
        <v>#DIV/0!</v>
      </c>
      <c r="Q140" s="4" t="e">
        <f aca="false">(($D140+M140)*$E140)+H$18</f>
        <v>#DIV/0!</v>
      </c>
      <c r="R140" s="136" t="n">
        <f aca="false">IF(B$4=1,VLOOKUP(A140,expiration,2,FALSE()),VLOOKUP(A140,expiration,3,FALSE()))-B$2+$B$1</f>
        <v>-5812</v>
      </c>
      <c r="S140" s="4" t="n">
        <f aca="false">VLOOKUP($A140,STRADDLE,12,FALSE())</f>
        <v>0.070407650973233</v>
      </c>
      <c r="T140" s="1" t="n">
        <v>0</v>
      </c>
      <c r="U140" s="43" t="n">
        <v>0</v>
      </c>
      <c r="X140" s="43"/>
      <c r="Z140" s="9"/>
      <c r="AA140" s="9" t="n">
        <f aca="false">IF($A140&gt;=AB$25,IF($A140&lt;=AB$26,$T140,0),0)</f>
        <v>0</v>
      </c>
      <c r="AB140" s="9" t="n">
        <f aca="false">IF(T140&gt;0,AD140/AA140,0)</f>
        <v>0</v>
      </c>
      <c r="AC140" s="1" t="n">
        <f aca="false">AA140*($B140+B$13)</f>
        <v>0</v>
      </c>
      <c r="AD140" s="33" t="n">
        <f aca="false">IF(ISNUMBER(((AC140/AA140)+B$15+$C140)*AA140),((AC140/AA140)+B$15+$C140)*AA140,0)</f>
        <v>0</v>
      </c>
      <c r="AE140" s="44" t="n">
        <f aca="false">IF(AA140=0,0,bsd(1,AF$27,AB140,$F140,$R140,$N140,$S140,0.1))</f>
        <v>0</v>
      </c>
      <c r="AF140" s="44" t="n">
        <f aca="false">IF(AA140=0,0,bsd(2,AF$27,AB140,$F140,$R140,$N140,$S140,0.1))</f>
        <v>0</v>
      </c>
      <c r="AG140" s="44" t="n">
        <f aca="false">IF(AA140=0,0,bsd(AF$28,AF$27,AB140,$F140,$R140,$N140,$S140,0.1))</f>
        <v>0</v>
      </c>
      <c r="AH140" s="45" t="n">
        <f aca="false">AA140*AE140</f>
        <v>0</v>
      </c>
      <c r="AI140" s="45" t="n">
        <f aca="false">AA140*AF140</f>
        <v>0</v>
      </c>
      <c r="AJ140" s="45" t="n">
        <f aca="false">AA140*AG140</f>
        <v>0</v>
      </c>
      <c r="AL140" s="9" t="n">
        <f aca="false">IF($A140&gt;=AM$25,IF($A140&lt;=AM$26,$T140,0),0)</f>
        <v>0</v>
      </c>
      <c r="AM140" s="9" t="e">
        <f aca="false">AO140/AL140</f>
        <v>#DIV/0!</v>
      </c>
      <c r="AN140" s="1" t="n">
        <f aca="false">AL140*($B140+D$13)</f>
        <v>0</v>
      </c>
      <c r="AO140" s="33" t="n">
        <f aca="false">IF(ISNUMBER(((AN140/AL140)+D$15+$C140)*AL140),((AN140/AL140)+D$15+$C140)*AL140,0)</f>
        <v>0</v>
      </c>
      <c r="AP140" s="44" t="n">
        <f aca="false">IF(AL140=0,0,bsd(1,AQ$27,AM140,$G140,$R140,$O140,$S140,0.1))</f>
        <v>0</v>
      </c>
      <c r="AQ140" s="44" t="n">
        <f aca="false">IF(AL140=0,0,bsd(2,AQ$27,AM140,$G140,$R140,$O140,$S140,0.1))</f>
        <v>0</v>
      </c>
      <c r="AR140" s="44" t="n">
        <f aca="false">IF(AL140=0,0,bsd(AQ$28,AQ$27,AM140,$G140,$R140,$O140,$S140,0.1))</f>
        <v>0</v>
      </c>
      <c r="AS140" s="45" t="n">
        <f aca="false">AL140*AP140</f>
        <v>0</v>
      </c>
      <c r="AT140" s="45" t="n">
        <f aca="false">AL140*AQ140</f>
        <v>0</v>
      </c>
      <c r="AU140" s="45" t="n">
        <f aca="false">AL140*AR140</f>
        <v>0</v>
      </c>
      <c r="AW140" s="9" t="n">
        <f aca="false">IF($A140&gt;=AX$25,IF($A140&lt;=AX$26,$T140,0),0)</f>
        <v>0</v>
      </c>
      <c r="AX140" s="9" t="e">
        <f aca="false">AZ140/AW140</f>
        <v>#DIV/0!</v>
      </c>
      <c r="AY140" s="1" t="n">
        <f aca="false">AW140*($B140+F$13)</f>
        <v>0</v>
      </c>
      <c r="AZ140" s="33" t="n">
        <f aca="false">IF(ISNUMBER(((AY140/AW140)+F$15+$C140)*AW140),((AY140/AW140)+F$15+$C140)*AW140,0)</f>
        <v>0</v>
      </c>
      <c r="BA140" s="44" t="n">
        <f aca="false">IF(AW140=0,0,bsd(1,BB$27,AX140,$H140,$R140,$P140,$S140,0.1))</f>
        <v>0</v>
      </c>
      <c r="BB140" s="44" t="n">
        <f aca="false">IF(AW140=0,0,bsd(2,BB$27,AX140,$H140,$R140,$P140,$S140,0.1))</f>
        <v>0</v>
      </c>
      <c r="BC140" s="44" t="n">
        <f aca="false">IF(AW140=0,0,bsd(BB$28,BB$27,AX140,$H140,$R140,$P140,$S140,0.1))</f>
        <v>0</v>
      </c>
      <c r="BD140" s="45" t="n">
        <f aca="false">AW140*BA140</f>
        <v>0</v>
      </c>
      <c r="BE140" s="45" t="n">
        <f aca="false">AW140*BB140</f>
        <v>0</v>
      </c>
      <c r="BF140" s="45" t="n">
        <f aca="false">AW140*BC140</f>
        <v>0</v>
      </c>
      <c r="BH140" s="9" t="n">
        <f aca="false">IF($A140&gt;=BI$25,IF($A140&lt;=BI$26,$T140,0),0)</f>
        <v>0</v>
      </c>
      <c r="BI140" s="9" t="e">
        <f aca="false">BK140/BH140</f>
        <v>#DIV/0!</v>
      </c>
      <c r="BJ140" s="1" t="n">
        <f aca="false">BH140*($B140+H$13)</f>
        <v>0</v>
      </c>
      <c r="BK140" s="33" t="n">
        <f aca="false">IF(ISNUMBER(((BJ140/BH140)+H$15+$C140)*BH140),((BJ140/BH140)+H$15+$C140)*BH140,0)</f>
        <v>0</v>
      </c>
      <c r="BL140" s="44" t="n">
        <f aca="false">IF(BH140=0,0,bsd(1,BM$27,BI140,$I140,$R140,$Q140,$S140,0.1))</f>
        <v>0</v>
      </c>
      <c r="BM140" s="44" t="n">
        <f aca="false">IF(BH140=0,0,bsd(2,BM$27,BI140,$I140,$R140,$Q140,$S140,0.1))</f>
        <v>0</v>
      </c>
      <c r="BN140" s="44" t="n">
        <f aca="false">IF(BH140=0,0,bsd(BM$28,BM$27,BI140,$I140,$R140,$Q140,$S140,0.1))</f>
        <v>0</v>
      </c>
      <c r="BO140" s="45" t="n">
        <f aca="false">BH140*BL140</f>
        <v>0</v>
      </c>
      <c r="BP140" s="45" t="n">
        <f aca="false">BH140*BM140</f>
        <v>0</v>
      </c>
      <c r="BQ140" s="45" t="n">
        <f aca="false">BH140*BN140</f>
        <v>0</v>
      </c>
    </row>
    <row r="141" customFormat="false" ht="12.75" hidden="false" customHeight="false" outlineLevel="0" collapsed="false">
      <c r="A141" s="48" t="n">
        <f aca="false">DATE(YEAR(A140),MONTH(A140)+1,1)</f>
        <v>40148</v>
      </c>
      <c r="B141" s="40" t="n">
        <f aca="false">VLOOKUP(A141,STRADDLE,5,FALSE())</f>
        <v>3.25</v>
      </c>
      <c r="C141" s="40" t="n">
        <v>0</v>
      </c>
      <c r="D141" s="4" t="n">
        <f aca="false">VLOOKUP(A141,STRADDLE,8,FALSE())</f>
        <v>0.17</v>
      </c>
      <c r="E141" s="131" t="n">
        <f aca="false">IF(ISNUMBER(VLOOKUP(A141,VOLCURVES,HLOOKUP(B$5,VOLCURVES,2,FALSE()),FALSE())),VLOOKUP(A141,VOLCURVES,HLOOKUP(B$5,VOLCURVES,2,FALSE()),FALSE()),1)</f>
        <v>1</v>
      </c>
      <c r="F141" s="41" t="n">
        <f aca="false">IF($B$17=4,$AB141,$B$16)</f>
        <v>3.8</v>
      </c>
      <c r="G141" s="41" t="n">
        <f aca="false">IF($D$17=4,$AM141,$D$16)</f>
        <v>3.5</v>
      </c>
      <c r="H141" s="41" t="n">
        <f aca="false">IF($F$17=4,$AX141,$F$16)</f>
        <v>2.96</v>
      </c>
      <c r="I141" s="41" t="n">
        <f aca="false">IF($H$17=4,$BI141,$H$16)</f>
        <v>2.99</v>
      </c>
      <c r="J141" s="4" t="n">
        <f aca="false">IF($B$19=1,VLOOKUP($A141,SkewTable,HLOOKUP(ROUND(F141-AB141,1),SkewTable,2,FALSE()),FALSE())/100,0)</f>
        <v>0.0451185018386</v>
      </c>
      <c r="K141" s="4" t="e">
        <f aca="false">IF($D$19=1,VLOOKUP($A141,SkewTable,HLOOKUP(ROUND(G141-AM141,1),SkewTable,2,FALSE()),FALSE())/100,0)</f>
        <v>#DIV/0!</v>
      </c>
      <c r="L141" s="4" t="e">
        <f aca="false">IF($F$19=1,VLOOKUP($A141,SkewTable,HLOOKUP(ROUND(H141-AX141,1),SkewTable,2,FALSE()),FALSE())/100,0)</f>
        <v>#DIV/0!</v>
      </c>
      <c r="M141" s="4" t="e">
        <f aca="false">IF($H$19=1,VLOOKUP($A141,SkewTable,HLOOKUP(ROUND(I141-BI141,1),SkewTable,2,FALSE()),FALSE())/100,0)</f>
        <v>#DIV/0!</v>
      </c>
      <c r="N141" s="4" t="n">
        <f aca="false">(($D141+J141)*$E141)+B$18</f>
        <v>0.2151185018386</v>
      </c>
      <c r="O141" s="4" t="e">
        <f aca="false">(($D141+K141)*$E141)+D$18</f>
        <v>#DIV/0!</v>
      </c>
      <c r="P141" s="4" t="e">
        <f aca="false">(($D141+L141)*$E141)+F$18</f>
        <v>#DIV/0!</v>
      </c>
      <c r="Q141" s="4" t="e">
        <f aca="false">(($D141+M141)*$E141)+H$18</f>
        <v>#DIV/0!</v>
      </c>
      <c r="R141" s="136" t="n">
        <f aca="false">IF(B$4=1,VLOOKUP(A141,expiration,2,FALSE()),VLOOKUP(A141,expiration,3,FALSE()))-B$2+$B$1</f>
        <v>-5784</v>
      </c>
      <c r="S141" s="4" t="n">
        <f aca="false">VLOOKUP($A141,STRADDLE,12,FALSE())</f>
        <v>0.070443839422008</v>
      </c>
      <c r="T141" s="1" t="n">
        <v>0</v>
      </c>
      <c r="U141" s="43" t="n">
        <v>0</v>
      </c>
      <c r="X141" s="43"/>
      <c r="Z141" s="9"/>
      <c r="AA141" s="9" t="n">
        <f aca="false">IF($A141&gt;=AB$25,IF($A141&lt;=AB$26,$T141,0),0)</f>
        <v>0</v>
      </c>
      <c r="AB141" s="9" t="n">
        <f aca="false">IF(T141&gt;0,AD141/AA141,0)</f>
        <v>0</v>
      </c>
      <c r="AC141" s="1" t="n">
        <f aca="false">AA141*($B141+B$13)</f>
        <v>0</v>
      </c>
      <c r="AD141" s="33" t="n">
        <f aca="false">IF(ISNUMBER(((AC141/AA141)+B$15+$C141)*AA141),((AC141/AA141)+B$15+$C141)*AA141,0)</f>
        <v>0</v>
      </c>
      <c r="AE141" s="44" t="n">
        <f aca="false">IF(AA141=0,0,bsd(1,AF$27,AB141,$F141,$R141,$N141,$S141,0.1))</f>
        <v>0</v>
      </c>
      <c r="AF141" s="44" t="n">
        <f aca="false">IF(AA141=0,0,bsd(2,AF$27,AB141,$F141,$R141,$N141,$S141,0.1))</f>
        <v>0</v>
      </c>
      <c r="AG141" s="44" t="n">
        <f aca="false">IF(AA141=0,0,bsd(AF$28,AF$27,AB141,$F141,$R141,$N141,$S141,0.1))</f>
        <v>0</v>
      </c>
      <c r="AH141" s="45" t="n">
        <f aca="false">AA141*AE141</f>
        <v>0</v>
      </c>
      <c r="AI141" s="45" t="n">
        <f aca="false">AA141*AF141</f>
        <v>0</v>
      </c>
      <c r="AJ141" s="45" t="n">
        <f aca="false">AA141*AG141</f>
        <v>0</v>
      </c>
      <c r="AL141" s="9" t="n">
        <f aca="false">IF($A141&gt;=AM$25,IF($A141&lt;=AM$26,$T141,0),0)</f>
        <v>0</v>
      </c>
      <c r="AM141" s="9" t="e">
        <f aca="false">AO141/AL141</f>
        <v>#DIV/0!</v>
      </c>
      <c r="AN141" s="1" t="n">
        <f aca="false">AL141*($B141+D$13)</f>
        <v>0</v>
      </c>
      <c r="AO141" s="33" t="n">
        <f aca="false">IF(ISNUMBER(((AN141/AL141)+D$15+$C141)*AL141),((AN141/AL141)+D$15+$C141)*AL141,0)</f>
        <v>0</v>
      </c>
      <c r="AP141" s="44" t="n">
        <f aca="false">IF(AL141=0,0,bsd(1,AQ$27,AM141,$G141,$R141,$O141,$S141,0.1))</f>
        <v>0</v>
      </c>
      <c r="AQ141" s="44" t="n">
        <f aca="false">IF(AL141=0,0,bsd(2,AQ$27,AM141,$G141,$R141,$O141,$S141,0.1))</f>
        <v>0</v>
      </c>
      <c r="AR141" s="44" t="n">
        <f aca="false">IF(AL141=0,0,bsd(AQ$28,AQ$27,AM141,$G141,$R141,$O141,$S141,0.1))</f>
        <v>0</v>
      </c>
      <c r="AS141" s="45" t="n">
        <f aca="false">AL141*AP141</f>
        <v>0</v>
      </c>
      <c r="AT141" s="45" t="n">
        <f aca="false">AL141*AQ141</f>
        <v>0</v>
      </c>
      <c r="AU141" s="45" t="n">
        <f aca="false">AL141*AR141</f>
        <v>0</v>
      </c>
      <c r="AW141" s="9" t="n">
        <f aca="false">IF($A141&gt;=AX$25,IF($A141&lt;=AX$26,$T141,0),0)</f>
        <v>0</v>
      </c>
      <c r="AX141" s="9" t="e">
        <f aca="false">AZ141/AW141</f>
        <v>#DIV/0!</v>
      </c>
      <c r="AY141" s="1" t="n">
        <f aca="false">AW141*($B141+F$13)</f>
        <v>0</v>
      </c>
      <c r="AZ141" s="33" t="n">
        <f aca="false">IF(ISNUMBER(((AY141/AW141)+F$15+$C141)*AW141),((AY141/AW141)+F$15+$C141)*AW141,0)</f>
        <v>0</v>
      </c>
      <c r="BA141" s="44" t="n">
        <f aca="false">IF(AW141=0,0,bsd(1,BB$27,AX141,$H141,$R141,$P141,$S141,0.1))</f>
        <v>0</v>
      </c>
      <c r="BB141" s="44" t="n">
        <f aca="false">IF(AW141=0,0,bsd(2,BB$27,AX141,$H141,$R141,$P141,$S141,0.1))</f>
        <v>0</v>
      </c>
      <c r="BC141" s="44" t="n">
        <f aca="false">IF(AW141=0,0,bsd(BB$28,BB$27,AX141,$H141,$R141,$P141,$S141,0.1))</f>
        <v>0</v>
      </c>
      <c r="BD141" s="45" t="n">
        <f aca="false">AW141*BA141</f>
        <v>0</v>
      </c>
      <c r="BE141" s="45" t="n">
        <f aca="false">AW141*BB141</f>
        <v>0</v>
      </c>
      <c r="BF141" s="45" t="n">
        <f aca="false">AW141*BC141</f>
        <v>0</v>
      </c>
      <c r="BH141" s="9" t="n">
        <f aca="false">IF($A141&gt;=BI$25,IF($A141&lt;=BI$26,$T141,0),0)</f>
        <v>0</v>
      </c>
      <c r="BI141" s="9" t="e">
        <f aca="false">BK141/BH141</f>
        <v>#DIV/0!</v>
      </c>
      <c r="BJ141" s="1" t="n">
        <f aca="false">BH141*($B141+H$13)</f>
        <v>0</v>
      </c>
      <c r="BK141" s="33" t="n">
        <f aca="false">IF(ISNUMBER(((BJ141/BH141)+H$15+$C141)*BH141),((BJ141/BH141)+H$15+$C141)*BH141,0)</f>
        <v>0</v>
      </c>
      <c r="BL141" s="44" t="n">
        <f aca="false">IF(BH141=0,0,bsd(1,BM$27,BI141,$I141,$R141,$Q141,$S141,0.1))</f>
        <v>0</v>
      </c>
      <c r="BM141" s="44" t="n">
        <f aca="false">IF(BH141=0,0,bsd(2,BM$27,BI141,$I141,$R141,$Q141,$S141,0.1))</f>
        <v>0</v>
      </c>
      <c r="BN141" s="44" t="n">
        <f aca="false">IF(BH141=0,0,bsd(BM$28,BM$27,BI141,$I141,$R141,$Q141,$S141,0.1))</f>
        <v>0</v>
      </c>
      <c r="BO141" s="45" t="n">
        <f aca="false">BH141*BL141</f>
        <v>0</v>
      </c>
      <c r="BP141" s="45" t="n">
        <f aca="false">BH141*BM141</f>
        <v>0</v>
      </c>
      <c r="BQ141" s="45" t="n">
        <f aca="false">BH141*BN141</f>
        <v>0</v>
      </c>
    </row>
    <row r="142" customFormat="false" ht="12.75" hidden="false" customHeight="false" outlineLevel="0" collapsed="false">
      <c r="A142" s="48" t="n">
        <f aca="false">DATE(YEAR(A141),MONTH(A141)+1,1)</f>
        <v>40179</v>
      </c>
      <c r="B142" s="40" t="n">
        <f aca="false">VLOOKUP(A142,STRADDLE,5,FALSE())</f>
        <v>3.661</v>
      </c>
      <c r="C142" s="40" t="n">
        <v>0</v>
      </c>
      <c r="D142" s="4" t="n">
        <f aca="false">VLOOKUP(A142,STRADDLE,8,FALSE())</f>
        <v>0.17</v>
      </c>
      <c r="E142" s="131" t="n">
        <f aca="false">IF(ISNUMBER(VLOOKUP(A142,VOLCURVES,HLOOKUP(B$5,VOLCURVES,2,FALSE()),FALSE())),VLOOKUP(A142,VOLCURVES,HLOOKUP(B$5,VOLCURVES,2,FALSE()),FALSE()),1)</f>
        <v>1</v>
      </c>
      <c r="F142" s="41" t="n">
        <f aca="false">IF($B$17=4,$AB142,$B$16)</f>
        <v>3.8</v>
      </c>
      <c r="G142" s="41" t="n">
        <f aca="false">IF($D$17=4,$AM142,$D$16)</f>
        <v>3.5</v>
      </c>
      <c r="H142" s="41" t="n">
        <f aca="false">IF($F$17=4,$AX142,$F$16)</f>
        <v>2.96</v>
      </c>
      <c r="I142" s="41" t="n">
        <f aca="false">IF($H$17=4,$BI142,$H$16)</f>
        <v>2.99</v>
      </c>
      <c r="J142" s="4" t="n">
        <f aca="false">IF($B$19=1,VLOOKUP($A142,SkewTable,HLOOKUP(ROUND(F142-AB142,1),SkewTable,2,FALSE()),FALSE())/100,0)</f>
        <v>0.0451185018386</v>
      </c>
      <c r="K142" s="4" t="e">
        <f aca="false">IF($D$19=1,VLOOKUP($A142,SkewTable,HLOOKUP(ROUND(G142-AM142,1),SkewTable,2,FALSE()),FALSE())/100,0)</f>
        <v>#DIV/0!</v>
      </c>
      <c r="L142" s="4" t="e">
        <f aca="false">IF($F$19=1,VLOOKUP($A142,SkewTable,HLOOKUP(ROUND(H142-AX142,1),SkewTable,2,FALSE()),FALSE())/100,0)</f>
        <v>#DIV/0!</v>
      </c>
      <c r="M142" s="4" t="e">
        <f aca="false">IF($H$19=1,VLOOKUP($A142,SkewTable,HLOOKUP(ROUND(I142-BI142,1),SkewTable,2,FALSE()),FALSE())/100,0)</f>
        <v>#DIV/0!</v>
      </c>
      <c r="N142" s="4" t="n">
        <f aca="false">(($D142+J142)*$E142)+B$18</f>
        <v>0.2151185018386</v>
      </c>
      <c r="O142" s="4" t="e">
        <f aca="false">(($D142+K142)*$E142)+D$18</f>
        <v>#DIV/0!</v>
      </c>
      <c r="P142" s="4" t="e">
        <f aca="false">(($D142+L142)*$E142)+F$18</f>
        <v>#DIV/0!</v>
      </c>
      <c r="Q142" s="4" t="e">
        <f aca="false">(($D142+M142)*$E142)+H$18</f>
        <v>#DIV/0!</v>
      </c>
      <c r="R142" s="136" t="n">
        <f aca="false">IF(B$4=1,VLOOKUP(A142,expiration,2,FALSE()),VLOOKUP(A142,expiration,3,FALSE()))-B$2+$B$1</f>
        <v>-5750</v>
      </c>
      <c r="S142" s="4" t="n">
        <f aca="false">VLOOKUP($A142,STRADDLE,12,FALSE())</f>
        <v>0.070481234152864</v>
      </c>
      <c r="T142" s="1" t="n">
        <v>0</v>
      </c>
      <c r="U142" s="43" t="n">
        <v>0</v>
      </c>
      <c r="X142" s="43"/>
      <c r="Z142" s="9"/>
      <c r="AA142" s="9" t="n">
        <f aca="false">IF($A142&gt;=AB$25,IF($A142&lt;=AB$26,$T142,0),0)</f>
        <v>0</v>
      </c>
      <c r="AB142" s="9" t="n">
        <f aca="false">IF(T142&gt;0,AD142/AA142,0)</f>
        <v>0</v>
      </c>
      <c r="AC142" s="1" t="n">
        <f aca="false">AA142*($B142+B$13)</f>
        <v>0</v>
      </c>
      <c r="AD142" s="33" t="n">
        <f aca="false">IF(ISNUMBER(((AC142/AA142)+B$15+$C142)*AA142),((AC142/AA142)+B$15+$C142)*AA142,0)</f>
        <v>0</v>
      </c>
      <c r="AE142" s="44" t="n">
        <f aca="false">IF(AA142=0,0,bsd(1,AF$27,AB142,$F142,$R142,$N142,$S142,0.1))</f>
        <v>0</v>
      </c>
      <c r="AF142" s="44" t="n">
        <f aca="false">IF(AA142=0,0,bsd(2,AF$27,AB142,$F142,$R142,$N142,$S142,0.1))</f>
        <v>0</v>
      </c>
      <c r="AG142" s="44" t="n">
        <f aca="false">IF(AA142=0,0,bsd(AF$28,AF$27,AB142,$F142,$R142,$N142,$S142,0.1))</f>
        <v>0</v>
      </c>
      <c r="AH142" s="45" t="n">
        <f aca="false">AA142*AE142</f>
        <v>0</v>
      </c>
      <c r="AI142" s="45" t="n">
        <f aca="false">AA142*AF142</f>
        <v>0</v>
      </c>
      <c r="AJ142" s="45" t="n">
        <f aca="false">AA142*AG142</f>
        <v>0</v>
      </c>
      <c r="AL142" s="9" t="n">
        <f aca="false">IF($A142&gt;=AM$25,IF($A142&lt;=AM$26,$T142,0),0)</f>
        <v>0</v>
      </c>
      <c r="AM142" s="9" t="e">
        <f aca="false">AO142/AL142</f>
        <v>#DIV/0!</v>
      </c>
      <c r="AN142" s="1" t="n">
        <f aca="false">AL142*($B142+D$13)</f>
        <v>0</v>
      </c>
      <c r="AO142" s="33" t="n">
        <f aca="false">IF(ISNUMBER(((AN142/AL142)+D$15+$C142)*AL142),((AN142/AL142)+D$15+$C142)*AL142,0)</f>
        <v>0</v>
      </c>
      <c r="AP142" s="44" t="n">
        <f aca="false">IF(AL142=0,0,bsd(1,AQ$27,AM142,$G142,$R142,$O142,$S142,0.1))</f>
        <v>0</v>
      </c>
      <c r="AQ142" s="44" t="n">
        <f aca="false">IF(AL142=0,0,bsd(2,AQ$27,AM142,$G142,$R142,$O142,$S142,0.1))</f>
        <v>0</v>
      </c>
      <c r="AR142" s="44" t="n">
        <f aca="false">IF(AL142=0,0,bsd(AQ$28,AQ$27,AM142,$G142,$R142,$O142,$S142,0.1))</f>
        <v>0</v>
      </c>
      <c r="AS142" s="45" t="n">
        <f aca="false">AL142*AP142</f>
        <v>0</v>
      </c>
      <c r="AT142" s="45" t="n">
        <f aca="false">AL142*AQ142</f>
        <v>0</v>
      </c>
      <c r="AU142" s="45" t="n">
        <f aca="false">AL142*AR142</f>
        <v>0</v>
      </c>
      <c r="AW142" s="9" t="n">
        <f aca="false">IF($A142&gt;=AX$25,IF($A142&lt;=AX$26,$T142,0),0)</f>
        <v>0</v>
      </c>
      <c r="AX142" s="9" t="e">
        <f aca="false">AZ142/AW142</f>
        <v>#DIV/0!</v>
      </c>
      <c r="AY142" s="1" t="n">
        <f aca="false">AW142*($B142+F$13)</f>
        <v>0</v>
      </c>
      <c r="AZ142" s="33" t="n">
        <f aca="false">IF(ISNUMBER(((AY142/AW142)+F$15+$C142)*AW142),((AY142/AW142)+F$15+$C142)*AW142,0)</f>
        <v>0</v>
      </c>
      <c r="BA142" s="44" t="n">
        <f aca="false">IF(AW142=0,0,bsd(1,BB$27,AX142,$H142,$R142,$P142,$S142,0.1))</f>
        <v>0</v>
      </c>
      <c r="BB142" s="44" t="n">
        <f aca="false">IF(AW142=0,0,bsd(2,BB$27,AX142,$H142,$R142,$P142,$S142,0.1))</f>
        <v>0</v>
      </c>
      <c r="BC142" s="44" t="n">
        <f aca="false">IF(AW142=0,0,bsd(BB$28,BB$27,AX142,$H142,$R142,$P142,$S142,0.1))</f>
        <v>0</v>
      </c>
      <c r="BD142" s="45" t="n">
        <f aca="false">AW142*BA142</f>
        <v>0</v>
      </c>
      <c r="BE142" s="45" t="n">
        <f aca="false">AW142*BB142</f>
        <v>0</v>
      </c>
      <c r="BF142" s="45" t="n">
        <f aca="false">AW142*BC142</f>
        <v>0</v>
      </c>
      <c r="BH142" s="9" t="n">
        <f aca="false">IF($A142&gt;=BI$25,IF($A142&lt;=BI$26,$T142,0),0)</f>
        <v>0</v>
      </c>
      <c r="BI142" s="9" t="e">
        <f aca="false">BK142/BH142</f>
        <v>#DIV/0!</v>
      </c>
      <c r="BJ142" s="1" t="n">
        <f aca="false">BH142*($B142+H$13)</f>
        <v>0</v>
      </c>
      <c r="BK142" s="33" t="n">
        <f aca="false">IF(ISNUMBER(((BJ142/BH142)+H$15+$C142)*BH142),((BJ142/BH142)+H$15+$C142)*BH142,0)</f>
        <v>0</v>
      </c>
      <c r="BL142" s="44" t="n">
        <f aca="false">IF(BH142=0,0,bsd(1,BM$27,BI142,$I142,$R142,$Q142,$S142,0.1))</f>
        <v>0</v>
      </c>
      <c r="BM142" s="44" t="n">
        <f aca="false">IF(BH142=0,0,bsd(2,BM$27,BI142,$I142,$R142,$Q142,$S142,0.1))</f>
        <v>0</v>
      </c>
      <c r="BN142" s="44" t="n">
        <f aca="false">IF(BH142=0,0,bsd(BM$28,BM$27,BI142,$I142,$R142,$Q142,$S142,0.1))</f>
        <v>0</v>
      </c>
      <c r="BO142" s="45" t="n">
        <f aca="false">BH142*BL142</f>
        <v>0</v>
      </c>
      <c r="BP142" s="45" t="n">
        <f aca="false">BH142*BM142</f>
        <v>0</v>
      </c>
      <c r="BQ142" s="45" t="n">
        <f aca="false">BH142*BN142</f>
        <v>0</v>
      </c>
    </row>
    <row r="143" customFormat="false" ht="12.75" hidden="false" customHeight="false" outlineLevel="0" collapsed="false">
      <c r="A143" s="48" t="n">
        <f aca="false">DATE(YEAR(A142),MONTH(A142)+1,1)</f>
        <v>40210</v>
      </c>
      <c r="B143" s="40" t="n">
        <f aca="false">VLOOKUP(A143,STRADDLE,5,FALSE())</f>
        <v>3.527</v>
      </c>
      <c r="C143" s="40" t="n">
        <v>0</v>
      </c>
      <c r="D143" s="4" t="n">
        <f aca="false">VLOOKUP(A143,STRADDLE,8,FALSE())</f>
        <v>0.17</v>
      </c>
      <c r="E143" s="131" t="n">
        <f aca="false">IF(ISNUMBER(VLOOKUP(A143,VOLCURVES,HLOOKUP(B$5,VOLCURVES,2,FALSE()),FALSE())),VLOOKUP(A143,VOLCURVES,HLOOKUP(B$5,VOLCURVES,2,FALSE()),FALSE()),1)</f>
        <v>1</v>
      </c>
      <c r="F143" s="41" t="n">
        <f aca="false">IF($B$17=4,$AB143,$B$16)</f>
        <v>3.8</v>
      </c>
      <c r="G143" s="41" t="n">
        <f aca="false">IF($D$17=4,$AM143,$D$16)</f>
        <v>3.5</v>
      </c>
      <c r="H143" s="41" t="n">
        <f aca="false">IF($F$17=4,$AX143,$F$16)</f>
        <v>2.96</v>
      </c>
      <c r="I143" s="41" t="n">
        <f aca="false">IF($H$17=4,$BI143,$H$16)</f>
        <v>2.99</v>
      </c>
      <c r="J143" s="4" t="n">
        <f aca="false">IF($B$19=1,VLOOKUP($A143,SkewTable,HLOOKUP(ROUND(F143-AB143,1),SkewTable,2,FALSE()),FALSE())/100,0)</f>
        <v>0.0451185018386</v>
      </c>
      <c r="K143" s="4" t="e">
        <f aca="false">IF($D$19=1,VLOOKUP($A143,SkewTable,HLOOKUP(ROUND(G143-AM143,1),SkewTable,2,FALSE()),FALSE())/100,0)</f>
        <v>#DIV/0!</v>
      </c>
      <c r="L143" s="4" t="e">
        <f aca="false">IF($F$19=1,VLOOKUP($A143,SkewTable,HLOOKUP(ROUND(H143-AX143,1),SkewTable,2,FALSE()),FALSE())/100,0)</f>
        <v>#DIV/0!</v>
      </c>
      <c r="M143" s="4" t="e">
        <f aca="false">IF($H$19=1,VLOOKUP($A143,SkewTable,HLOOKUP(ROUND(I143-BI143,1),SkewTable,2,FALSE()),FALSE())/100,0)</f>
        <v>#DIV/0!</v>
      </c>
      <c r="N143" s="4" t="n">
        <f aca="false">(($D143+J143)*$E143)+B$18</f>
        <v>0.2151185018386</v>
      </c>
      <c r="O143" s="4" t="e">
        <f aca="false">(($D143+K143)*$E143)+D$18</f>
        <v>#DIV/0!</v>
      </c>
      <c r="P143" s="4" t="e">
        <f aca="false">(($D143+L143)*$E143)+F$18</f>
        <v>#DIV/0!</v>
      </c>
      <c r="Q143" s="4" t="e">
        <f aca="false">(($D143+M143)*$E143)+H$18</f>
        <v>#DIV/0!</v>
      </c>
      <c r="R143" s="136" t="n">
        <f aca="false">IF(B$4=1,VLOOKUP(A143,expiration,2,FALSE()),VLOOKUP(A143,expiration,3,FALSE()))-B$2+$B$1</f>
        <v>-5721</v>
      </c>
      <c r="S143" s="4" t="n">
        <f aca="false">VLOOKUP($A143,STRADDLE,12,FALSE())</f>
        <v>0.070518628884183</v>
      </c>
      <c r="T143" s="1" t="n">
        <v>0</v>
      </c>
      <c r="U143" s="43" t="n">
        <v>0</v>
      </c>
      <c r="X143" s="43"/>
      <c r="Z143" s="9"/>
      <c r="AA143" s="9" t="n">
        <f aca="false">IF($A143&gt;=AB$25,IF($A143&lt;=AB$26,$T143,0),0)</f>
        <v>0</v>
      </c>
      <c r="AB143" s="9" t="n">
        <f aca="false">IF(T143&gt;0,AD143/AA143,0)</f>
        <v>0</v>
      </c>
      <c r="AC143" s="1" t="n">
        <f aca="false">AA143*($B143+B$13)</f>
        <v>0</v>
      </c>
      <c r="AD143" s="33" t="n">
        <f aca="false">IF(ISNUMBER(((AC143/AA143)+B$15+$C143)*AA143),((AC143/AA143)+B$15+$C143)*AA143,0)</f>
        <v>0</v>
      </c>
      <c r="AE143" s="44" t="n">
        <f aca="false">IF(AA143=0,0,bsd(1,AF$27,AB143,$F143,$R143,$N143,$S143,0.1))</f>
        <v>0</v>
      </c>
      <c r="AF143" s="44" t="n">
        <f aca="false">IF(AA143=0,0,bsd(2,AF$27,AB143,$F143,$R143,$N143,$S143,0.1))</f>
        <v>0</v>
      </c>
      <c r="AG143" s="44" t="n">
        <f aca="false">IF(AA143=0,0,bsd(AF$28,AF$27,AB143,$F143,$R143,$N143,$S143,0.1))</f>
        <v>0</v>
      </c>
      <c r="AH143" s="45" t="n">
        <f aca="false">AA143*AE143</f>
        <v>0</v>
      </c>
      <c r="AI143" s="45" t="n">
        <f aca="false">AA143*AF143</f>
        <v>0</v>
      </c>
      <c r="AJ143" s="45" t="n">
        <f aca="false">AA143*AG143</f>
        <v>0</v>
      </c>
      <c r="AL143" s="9" t="n">
        <f aca="false">IF($A143&gt;=AM$25,IF($A143&lt;=AM$26,$T143,0),0)</f>
        <v>0</v>
      </c>
      <c r="AM143" s="9" t="e">
        <f aca="false">AO143/AL143</f>
        <v>#DIV/0!</v>
      </c>
      <c r="AN143" s="1" t="n">
        <f aca="false">AL143*($B143+D$13)</f>
        <v>0</v>
      </c>
      <c r="AO143" s="33" t="n">
        <f aca="false">IF(ISNUMBER(((AN143/AL143)+D$15+$C143)*AL143),((AN143/AL143)+D$15+$C143)*AL143,0)</f>
        <v>0</v>
      </c>
      <c r="AP143" s="44" t="n">
        <f aca="false">IF(AL143=0,0,bsd(1,AQ$27,AM143,$G143,$R143,$O143,$S143,0.1))</f>
        <v>0</v>
      </c>
      <c r="AQ143" s="44" t="n">
        <f aca="false">IF(AL143=0,0,bsd(2,AQ$27,AM143,$G143,$R143,$O143,$S143,0.1))</f>
        <v>0</v>
      </c>
      <c r="AR143" s="44" t="n">
        <f aca="false">IF(AL143=0,0,bsd(AQ$28,AQ$27,AM143,$G143,$R143,$O143,$S143,0.1))</f>
        <v>0</v>
      </c>
      <c r="AS143" s="45" t="n">
        <f aca="false">AL143*AP143</f>
        <v>0</v>
      </c>
      <c r="AT143" s="45" t="n">
        <f aca="false">AL143*AQ143</f>
        <v>0</v>
      </c>
      <c r="AU143" s="45" t="n">
        <f aca="false">AL143*AR143</f>
        <v>0</v>
      </c>
      <c r="AW143" s="9" t="n">
        <f aca="false">IF($A143&gt;=AX$25,IF($A143&lt;=AX$26,$T143,0),0)</f>
        <v>0</v>
      </c>
      <c r="AX143" s="9" t="e">
        <f aca="false">AZ143/AW143</f>
        <v>#DIV/0!</v>
      </c>
      <c r="AY143" s="1" t="n">
        <f aca="false">AW143*($B143+F$13)</f>
        <v>0</v>
      </c>
      <c r="AZ143" s="33" t="n">
        <f aca="false">IF(ISNUMBER(((AY143/AW143)+F$15+$C143)*AW143),((AY143/AW143)+F$15+$C143)*AW143,0)</f>
        <v>0</v>
      </c>
      <c r="BA143" s="44" t="n">
        <f aca="false">IF(AW143=0,0,bsd(1,BB$27,AX143,$H143,$R143,$P143,$S143,0.1))</f>
        <v>0</v>
      </c>
      <c r="BB143" s="44" t="n">
        <f aca="false">IF(AW143=0,0,bsd(2,BB$27,AX143,$H143,$R143,$P143,$S143,0.1))</f>
        <v>0</v>
      </c>
      <c r="BC143" s="44" t="n">
        <f aca="false">IF(AW143=0,0,bsd(BB$28,BB$27,AX143,$H143,$R143,$P143,$S143,0.1))</f>
        <v>0</v>
      </c>
      <c r="BD143" s="45" t="n">
        <f aca="false">AW143*BA143</f>
        <v>0</v>
      </c>
      <c r="BE143" s="45" t="n">
        <f aca="false">AW143*BB143</f>
        <v>0</v>
      </c>
      <c r="BF143" s="45" t="n">
        <f aca="false">AW143*BC143</f>
        <v>0</v>
      </c>
      <c r="BH143" s="9" t="n">
        <f aca="false">IF($A143&gt;=BI$25,IF($A143&lt;=BI$26,$T143,0),0)</f>
        <v>0</v>
      </c>
      <c r="BI143" s="9" t="e">
        <f aca="false">BK143/BH143</f>
        <v>#DIV/0!</v>
      </c>
      <c r="BJ143" s="1" t="n">
        <f aca="false">BH143*($B143+H$13)</f>
        <v>0</v>
      </c>
      <c r="BK143" s="33" t="n">
        <f aca="false">IF(ISNUMBER(((BJ143/BH143)+H$15+$C143)*BH143),((BJ143/BH143)+H$15+$C143)*BH143,0)</f>
        <v>0</v>
      </c>
      <c r="BL143" s="44" t="n">
        <f aca="false">IF(BH143=0,0,bsd(1,BM$27,BI143,$I143,$R143,$Q143,$S143,0.1))</f>
        <v>0</v>
      </c>
      <c r="BM143" s="44" t="n">
        <f aca="false">IF(BH143=0,0,bsd(2,BM$27,BI143,$I143,$R143,$Q143,$S143,0.1))</f>
        <v>0</v>
      </c>
      <c r="BN143" s="44" t="n">
        <f aca="false">IF(BH143=0,0,bsd(BM$28,BM$27,BI143,$I143,$R143,$Q143,$S143,0.1))</f>
        <v>0</v>
      </c>
      <c r="BO143" s="45" t="n">
        <f aca="false">BH143*BL143</f>
        <v>0</v>
      </c>
      <c r="BP143" s="45" t="n">
        <f aca="false">BH143*BM143</f>
        <v>0</v>
      </c>
      <c r="BQ143" s="45" t="n">
        <f aca="false">BH143*BN143</f>
        <v>0</v>
      </c>
    </row>
    <row r="144" customFormat="false" ht="12.75" hidden="false" customHeight="false" outlineLevel="0" collapsed="false">
      <c r="A144" s="48" t="n">
        <f aca="false">DATE(YEAR(A143),MONTH(A143)+1,1)</f>
        <v>40238</v>
      </c>
      <c r="B144" s="40" t="n">
        <f aca="false">VLOOKUP(A144,STRADDLE,5,FALSE())</f>
        <v>3.365</v>
      </c>
      <c r="C144" s="40" t="n">
        <v>0</v>
      </c>
      <c r="D144" s="4" t="n">
        <f aca="false">VLOOKUP(A144,STRADDLE,8,FALSE())</f>
        <v>0.16</v>
      </c>
      <c r="E144" s="131" t="n">
        <f aca="false">IF(ISNUMBER(VLOOKUP(A144,VOLCURVES,HLOOKUP(B$5,VOLCURVES,2,FALSE()),FALSE())),VLOOKUP(A144,VOLCURVES,HLOOKUP(B$5,VOLCURVES,2,FALSE()),FALSE()),1)</f>
        <v>1</v>
      </c>
      <c r="F144" s="41" t="n">
        <f aca="false">IF($B$17=4,$AB144,$B$16)</f>
        <v>3.8</v>
      </c>
      <c r="G144" s="41" t="n">
        <f aca="false">IF($D$17=4,$AM144,$D$16)</f>
        <v>3.5</v>
      </c>
      <c r="H144" s="41" t="n">
        <f aca="false">IF($F$17=4,$AX144,$F$16)</f>
        <v>2.96</v>
      </c>
      <c r="I144" s="41" t="n">
        <f aca="false">IF($H$17=4,$BI144,$H$16)</f>
        <v>2.99</v>
      </c>
      <c r="J144" s="4" t="n">
        <f aca="false">IF($B$19=1,VLOOKUP($A144,SkewTable,HLOOKUP(ROUND(F144-AB144,1),SkewTable,2,FALSE()),FALSE())/100,0)</f>
        <v>0.0451185018386</v>
      </c>
      <c r="K144" s="4" t="e">
        <f aca="false">IF($D$19=1,VLOOKUP($A144,SkewTable,HLOOKUP(ROUND(G144-AM144,1),SkewTable,2,FALSE()),FALSE())/100,0)</f>
        <v>#DIV/0!</v>
      </c>
      <c r="L144" s="4" t="e">
        <f aca="false">IF($F$19=1,VLOOKUP($A144,SkewTable,HLOOKUP(ROUND(H144-AX144,1),SkewTable,2,FALSE()),FALSE())/100,0)</f>
        <v>#DIV/0!</v>
      </c>
      <c r="M144" s="4" t="e">
        <f aca="false">IF($H$19=1,VLOOKUP($A144,SkewTable,HLOOKUP(ROUND(I144-BI144,1),SkewTable,2,FALSE()),FALSE())/100,0)</f>
        <v>#DIV/0!</v>
      </c>
      <c r="N144" s="4" t="n">
        <f aca="false">(($D144+J144)*$E144)+B$18</f>
        <v>0.2051185018386</v>
      </c>
      <c r="O144" s="4" t="e">
        <f aca="false">(($D144+K144)*$E144)+D$18</f>
        <v>#DIV/0!</v>
      </c>
      <c r="P144" s="4" t="e">
        <f aca="false">(($D144+L144)*$E144)+F$18</f>
        <v>#DIV/0!</v>
      </c>
      <c r="Q144" s="4" t="e">
        <f aca="false">(($D144+M144)*$E144)+H$18</f>
        <v>#DIV/0!</v>
      </c>
      <c r="R144" s="136" t="n">
        <f aca="false">IF(B$4=1,VLOOKUP(A144,expiration,2,FALSE()),VLOOKUP(A144,expiration,3,FALSE()))-B$2+$B$1</f>
        <v>-5693</v>
      </c>
      <c r="S144" s="4" t="n">
        <f aca="false">VLOOKUP($A144,STRADDLE,12,FALSE())</f>
        <v>0.070552404770932</v>
      </c>
      <c r="T144" s="1" t="n">
        <v>0</v>
      </c>
      <c r="U144" s="43" t="n">
        <v>0</v>
      </c>
      <c r="X144" s="43"/>
      <c r="Z144" s="9"/>
      <c r="AA144" s="9" t="n">
        <f aca="false">IF($A144&gt;=AB$25,IF($A144&lt;=AB$26,$T144,0),0)</f>
        <v>0</v>
      </c>
      <c r="AB144" s="9" t="n">
        <f aca="false">IF(T144&gt;0,AD144/AA144,0)</f>
        <v>0</v>
      </c>
      <c r="AC144" s="1" t="n">
        <f aca="false">AA144*($B144+B$13)</f>
        <v>0</v>
      </c>
      <c r="AD144" s="33" t="n">
        <f aca="false">IF(ISNUMBER(((AC144/AA144)+B$15+$C144)*AA144),((AC144/AA144)+B$15+$C144)*AA144,0)</f>
        <v>0</v>
      </c>
      <c r="AE144" s="44" t="n">
        <f aca="false">IF(AA144=0,0,bsd(1,AF$27,AB144,$F144,$R144,$N144,$S144,0.1))</f>
        <v>0</v>
      </c>
      <c r="AF144" s="44" t="n">
        <f aca="false">IF(AA144=0,0,bsd(2,AF$27,AB144,$F144,$R144,$N144,$S144,0.1))</f>
        <v>0</v>
      </c>
      <c r="AG144" s="44" t="n">
        <f aca="false">IF(AA144=0,0,bsd(AF$28,AF$27,AB144,$F144,$R144,$N144,$S144,0.1))</f>
        <v>0</v>
      </c>
      <c r="AH144" s="45" t="n">
        <f aca="false">AA144*AE144</f>
        <v>0</v>
      </c>
      <c r="AI144" s="45" t="n">
        <f aca="false">AA144*AF144</f>
        <v>0</v>
      </c>
      <c r="AJ144" s="45" t="n">
        <f aca="false">AA144*AG144</f>
        <v>0</v>
      </c>
      <c r="AL144" s="9" t="n">
        <f aca="false">IF($A144&gt;=AM$25,IF($A144&lt;=AM$26,$T144,0),0)</f>
        <v>0</v>
      </c>
      <c r="AM144" s="9" t="e">
        <f aca="false">AO144/AL144</f>
        <v>#DIV/0!</v>
      </c>
      <c r="AN144" s="1" t="n">
        <f aca="false">AL144*($B144+D$13)</f>
        <v>0</v>
      </c>
      <c r="AO144" s="33" t="n">
        <f aca="false">IF(ISNUMBER(((AN144/AL144)+D$15+$C144)*AL144),((AN144/AL144)+D$15+$C144)*AL144,0)</f>
        <v>0</v>
      </c>
      <c r="AP144" s="44" t="n">
        <f aca="false">IF(AL144=0,0,bsd(1,AQ$27,AM144,$G144,$R144,$O144,$S144,0.1))</f>
        <v>0</v>
      </c>
      <c r="AQ144" s="44" t="n">
        <f aca="false">IF(AL144=0,0,bsd(2,AQ$27,AM144,$G144,$R144,$O144,$S144,0.1))</f>
        <v>0</v>
      </c>
      <c r="AR144" s="44" t="n">
        <f aca="false">IF(AL144=0,0,bsd(AQ$28,AQ$27,AM144,$G144,$R144,$O144,$S144,0.1))</f>
        <v>0</v>
      </c>
      <c r="AS144" s="45" t="n">
        <f aca="false">AL144*AP144</f>
        <v>0</v>
      </c>
      <c r="AT144" s="45" t="n">
        <f aca="false">AL144*AQ144</f>
        <v>0</v>
      </c>
      <c r="AU144" s="45" t="n">
        <f aca="false">AL144*AR144</f>
        <v>0</v>
      </c>
      <c r="AW144" s="9" t="n">
        <f aca="false">IF($A144&gt;=AX$25,IF($A144&lt;=AX$26,$T144,0),0)</f>
        <v>0</v>
      </c>
      <c r="AX144" s="9" t="e">
        <f aca="false">AZ144/AW144</f>
        <v>#DIV/0!</v>
      </c>
      <c r="AY144" s="1" t="n">
        <f aca="false">AW144*($B144+F$13)</f>
        <v>0</v>
      </c>
      <c r="AZ144" s="33" t="n">
        <f aca="false">IF(ISNUMBER(((AY144/AW144)+F$15+$C144)*AW144),((AY144/AW144)+F$15+$C144)*AW144,0)</f>
        <v>0</v>
      </c>
      <c r="BA144" s="44" t="n">
        <f aca="false">IF(AW144=0,0,bsd(1,BB$27,AX144,$H144,$R144,$P144,$S144,0.1))</f>
        <v>0</v>
      </c>
      <c r="BB144" s="44" t="n">
        <f aca="false">IF(AW144=0,0,bsd(2,BB$27,AX144,$H144,$R144,$P144,$S144,0.1))</f>
        <v>0</v>
      </c>
      <c r="BC144" s="44" t="n">
        <f aca="false">IF(AW144=0,0,bsd(BB$28,BB$27,AX144,$H144,$R144,$P144,$S144,0.1))</f>
        <v>0</v>
      </c>
      <c r="BD144" s="45" t="n">
        <f aca="false">AW144*BA144</f>
        <v>0</v>
      </c>
      <c r="BE144" s="45" t="n">
        <f aca="false">AW144*BB144</f>
        <v>0</v>
      </c>
      <c r="BF144" s="45" t="n">
        <f aca="false">AW144*BC144</f>
        <v>0</v>
      </c>
      <c r="BH144" s="9" t="n">
        <f aca="false">IF($A144&gt;=BI$25,IF($A144&lt;=BI$26,$T144,0),0)</f>
        <v>0</v>
      </c>
      <c r="BI144" s="9" t="e">
        <f aca="false">BK144/BH144</f>
        <v>#DIV/0!</v>
      </c>
      <c r="BJ144" s="1" t="n">
        <f aca="false">BH144*($B144+H$13)</f>
        <v>0</v>
      </c>
      <c r="BK144" s="33" t="n">
        <f aca="false">IF(ISNUMBER(((BJ144/BH144)+H$15+$C144)*BH144),((BJ144/BH144)+H$15+$C144)*BH144,0)</f>
        <v>0</v>
      </c>
      <c r="BL144" s="44" t="n">
        <f aca="false">IF(BH144=0,0,bsd(1,BM$27,BI144,$I144,$R144,$Q144,$S144,0.1))</f>
        <v>0</v>
      </c>
      <c r="BM144" s="44" t="n">
        <f aca="false">IF(BH144=0,0,bsd(2,BM$27,BI144,$I144,$R144,$Q144,$S144,0.1))</f>
        <v>0</v>
      </c>
      <c r="BN144" s="44" t="n">
        <f aca="false">IF(BH144=0,0,bsd(BM$28,BM$27,BI144,$I144,$R144,$Q144,$S144,0.1))</f>
        <v>0</v>
      </c>
      <c r="BO144" s="45" t="n">
        <f aca="false">BH144*BL144</f>
        <v>0</v>
      </c>
      <c r="BP144" s="45" t="n">
        <f aca="false">BH144*BM144</f>
        <v>0</v>
      </c>
      <c r="BQ144" s="45" t="n">
        <f aca="false">BH144*BN144</f>
        <v>0</v>
      </c>
    </row>
    <row r="145" customFormat="false" ht="12.75" hidden="false" customHeight="false" outlineLevel="0" collapsed="false">
      <c r="A145" s="48" t="n">
        <f aca="false">DATE(YEAR(A144),MONTH(A144)+1,1)</f>
        <v>40269</v>
      </c>
      <c r="B145" s="40" t="n">
        <f aca="false">VLOOKUP(A145,STRADDLE,5,FALSE())</f>
        <v>3.196</v>
      </c>
      <c r="C145" s="40" t="n">
        <v>0</v>
      </c>
      <c r="D145" s="4" t="n">
        <f aca="false">VLOOKUP(A145,STRADDLE,8,FALSE())</f>
        <v>0.16</v>
      </c>
      <c r="E145" s="131" t="n">
        <f aca="false">IF(ISNUMBER(VLOOKUP(A145,VOLCURVES,HLOOKUP(B$5,VOLCURVES,2,FALSE()),FALSE())),VLOOKUP(A145,VOLCURVES,HLOOKUP(B$5,VOLCURVES,2,FALSE()),FALSE()),1)</f>
        <v>1</v>
      </c>
      <c r="F145" s="41" t="n">
        <f aca="false">IF($B$17=4,$AB145,$B$16)</f>
        <v>3.8</v>
      </c>
      <c r="G145" s="41" t="n">
        <f aca="false">IF($D$17=4,$AM145,$D$16)</f>
        <v>3.5</v>
      </c>
      <c r="H145" s="41" t="n">
        <f aca="false">IF($F$17=4,$AX145,$F$16)</f>
        <v>2.96</v>
      </c>
      <c r="I145" s="41" t="n">
        <f aca="false">IF($H$17=4,$BI145,$H$16)</f>
        <v>2.99</v>
      </c>
      <c r="J145" s="4" t="n">
        <f aca="false">IF($B$19=1,VLOOKUP($A145,SkewTable,HLOOKUP(ROUND(F145-AB145,1),SkewTable,2,FALSE()),FALSE())/100,0)</f>
        <v>0.0451185018386</v>
      </c>
      <c r="K145" s="4" t="e">
        <f aca="false">IF($D$19=1,VLOOKUP($A145,SkewTable,HLOOKUP(ROUND(G145-AM145,1),SkewTable,2,FALSE()),FALSE())/100,0)</f>
        <v>#DIV/0!</v>
      </c>
      <c r="L145" s="4" t="e">
        <f aca="false">IF($F$19=1,VLOOKUP($A145,SkewTable,HLOOKUP(ROUND(H145-AX145,1),SkewTable,2,FALSE()),FALSE())/100,0)</f>
        <v>#DIV/0!</v>
      </c>
      <c r="M145" s="4" t="e">
        <f aca="false">IF($H$19=1,VLOOKUP($A145,SkewTable,HLOOKUP(ROUND(I145-BI145,1),SkewTable,2,FALSE()),FALSE())/100,0)</f>
        <v>#DIV/0!</v>
      </c>
      <c r="N145" s="4" t="n">
        <f aca="false">(($D145+J145)*$E145)+B$18</f>
        <v>0.2051185018386</v>
      </c>
      <c r="O145" s="4" t="e">
        <f aca="false">(($D145+K145)*$E145)+D$18</f>
        <v>#DIV/0!</v>
      </c>
      <c r="P145" s="4" t="e">
        <f aca="false">(($D145+L145)*$E145)+F$18</f>
        <v>#DIV/0!</v>
      </c>
      <c r="Q145" s="4" t="e">
        <f aca="false">(($D145+M145)*$E145)+H$18</f>
        <v>#DIV/0!</v>
      </c>
      <c r="R145" s="136" t="n">
        <f aca="false">IF(B$4=1,VLOOKUP(A145,expiration,2,FALSE()),VLOOKUP(A145,expiration,3,FALSE()))-B$2+$B$1</f>
        <v>-5660</v>
      </c>
      <c r="S145" s="4" t="n">
        <f aca="false">VLOOKUP($A145,STRADDLE,12,FALSE())</f>
        <v>0.070589799503131</v>
      </c>
      <c r="T145" s="1" t="n">
        <v>0</v>
      </c>
      <c r="U145" s="43" t="n">
        <v>0</v>
      </c>
      <c r="X145" s="43"/>
      <c r="Z145" s="9"/>
      <c r="AA145" s="9" t="n">
        <f aca="false">IF($A145&gt;=AB$25,IF($A145&lt;=AB$26,$T145,0),0)</f>
        <v>0</v>
      </c>
      <c r="AB145" s="9" t="n">
        <f aca="false">IF(T145&gt;0,AD145/AA145,0)</f>
        <v>0</v>
      </c>
      <c r="AC145" s="1" t="n">
        <f aca="false">AA145*($B145+B$13)</f>
        <v>0</v>
      </c>
      <c r="AD145" s="33" t="n">
        <f aca="false">IF(ISNUMBER(((AC145/AA145)+B$15+$C145)*AA145),((AC145/AA145)+B$15+$C145)*AA145,0)</f>
        <v>0</v>
      </c>
      <c r="AE145" s="44" t="n">
        <f aca="false">IF(AA145=0,0,bsd(1,AF$27,AB145,$F145,$R145,$N145,$S145,0.1))</f>
        <v>0</v>
      </c>
      <c r="AF145" s="44" t="n">
        <f aca="false">IF(AA145=0,0,bsd(2,AF$27,AB145,$F145,$R145,$N145,$S145,0.1))</f>
        <v>0</v>
      </c>
      <c r="AG145" s="44" t="n">
        <f aca="false">IF(AA145=0,0,bsd(AF$28,AF$27,AB145,$F145,$R145,$N145,$S145,0.1))</f>
        <v>0</v>
      </c>
      <c r="AH145" s="45" t="n">
        <f aca="false">AA145*AE145</f>
        <v>0</v>
      </c>
      <c r="AI145" s="45" t="n">
        <f aca="false">AA145*AF145</f>
        <v>0</v>
      </c>
      <c r="AJ145" s="45" t="n">
        <f aca="false">AA145*AG145</f>
        <v>0</v>
      </c>
      <c r="AL145" s="9" t="n">
        <f aca="false">IF($A145&gt;=AM$25,IF($A145&lt;=AM$26,$T145,0),0)</f>
        <v>0</v>
      </c>
      <c r="AM145" s="9" t="e">
        <f aca="false">AO145/AL145</f>
        <v>#DIV/0!</v>
      </c>
      <c r="AN145" s="1" t="n">
        <f aca="false">AL145*($B145+D$13)</f>
        <v>0</v>
      </c>
      <c r="AO145" s="33" t="n">
        <f aca="false">IF(ISNUMBER(((AN145/AL145)+D$15+$C145)*AL145),((AN145/AL145)+D$15+$C145)*AL145,0)</f>
        <v>0</v>
      </c>
      <c r="AP145" s="44" t="n">
        <f aca="false">IF(AL145=0,0,bsd(1,AQ$27,AM145,$G145,$R145,$O145,$S145,0.1))</f>
        <v>0</v>
      </c>
      <c r="AQ145" s="44" t="n">
        <f aca="false">IF(AL145=0,0,bsd(2,AQ$27,AM145,$G145,$R145,$O145,$S145,0.1))</f>
        <v>0</v>
      </c>
      <c r="AR145" s="44" t="n">
        <f aca="false">IF(AL145=0,0,bsd(AQ$28,AQ$27,AM145,$G145,$R145,$O145,$S145,0.1))</f>
        <v>0</v>
      </c>
      <c r="AS145" s="45" t="n">
        <f aca="false">AL145*AP145</f>
        <v>0</v>
      </c>
      <c r="AT145" s="45" t="n">
        <f aca="false">AL145*AQ145</f>
        <v>0</v>
      </c>
      <c r="AU145" s="45" t="n">
        <f aca="false">AL145*AR145</f>
        <v>0</v>
      </c>
      <c r="AW145" s="9" t="n">
        <f aca="false">IF($A145&gt;=AX$25,IF($A145&lt;=AX$26,$T145,0),0)</f>
        <v>0</v>
      </c>
      <c r="AX145" s="9" t="e">
        <f aca="false">AZ145/AW145</f>
        <v>#DIV/0!</v>
      </c>
      <c r="AY145" s="1" t="n">
        <f aca="false">AW145*($B145+F$13)</f>
        <v>0</v>
      </c>
      <c r="AZ145" s="33" t="n">
        <f aca="false">IF(ISNUMBER(((AY145/AW145)+F$15+$C145)*AW145),((AY145/AW145)+F$15+$C145)*AW145,0)</f>
        <v>0</v>
      </c>
      <c r="BA145" s="44" t="n">
        <f aca="false">IF(AW145=0,0,bsd(1,BB$27,AX145,$H145,$R145,$P145,$S145,0.1))</f>
        <v>0</v>
      </c>
      <c r="BB145" s="44" t="n">
        <f aca="false">IF(AW145=0,0,bsd(2,BB$27,AX145,$H145,$R145,$P145,$S145,0.1))</f>
        <v>0</v>
      </c>
      <c r="BC145" s="44" t="n">
        <f aca="false">IF(AW145=0,0,bsd(BB$28,BB$27,AX145,$H145,$R145,$P145,$S145,0.1))</f>
        <v>0</v>
      </c>
      <c r="BD145" s="45" t="n">
        <f aca="false">AW145*BA145</f>
        <v>0</v>
      </c>
      <c r="BE145" s="45" t="n">
        <f aca="false">AW145*BB145</f>
        <v>0</v>
      </c>
      <c r="BF145" s="45" t="n">
        <f aca="false">AW145*BC145</f>
        <v>0</v>
      </c>
      <c r="BH145" s="9" t="n">
        <f aca="false">IF($A145&gt;=BI$25,IF($A145&lt;=BI$26,$T145,0),0)</f>
        <v>0</v>
      </c>
      <c r="BI145" s="9" t="e">
        <f aca="false">BK145/BH145</f>
        <v>#DIV/0!</v>
      </c>
      <c r="BJ145" s="1" t="n">
        <f aca="false">BH145*($B145+H$13)</f>
        <v>0</v>
      </c>
      <c r="BK145" s="33" t="n">
        <f aca="false">IF(ISNUMBER(((BJ145/BH145)+H$15+$C145)*BH145),((BJ145/BH145)+H$15+$C145)*BH145,0)</f>
        <v>0</v>
      </c>
      <c r="BL145" s="44" t="n">
        <f aca="false">IF(BH145=0,0,bsd(1,BM$27,BI145,$I145,$R145,$Q145,$S145,0.1))</f>
        <v>0</v>
      </c>
      <c r="BM145" s="44" t="n">
        <f aca="false">IF(BH145=0,0,bsd(2,BM$27,BI145,$I145,$R145,$Q145,$S145,0.1))</f>
        <v>0</v>
      </c>
      <c r="BN145" s="44" t="n">
        <f aca="false">IF(BH145=0,0,bsd(BM$28,BM$27,BI145,$I145,$R145,$Q145,$S145,0.1))</f>
        <v>0</v>
      </c>
      <c r="BO145" s="45" t="n">
        <f aca="false">BH145*BL145</f>
        <v>0</v>
      </c>
      <c r="BP145" s="45" t="n">
        <f aca="false">BH145*BM145</f>
        <v>0</v>
      </c>
      <c r="BQ145" s="45" t="n">
        <f aca="false">BH145*BN145</f>
        <v>0</v>
      </c>
    </row>
    <row r="146" customFormat="false" ht="12.75" hidden="false" customHeight="false" outlineLevel="0" collapsed="false">
      <c r="A146" s="48" t="n">
        <f aca="false">DATE(YEAR(A145),MONTH(A145)+1,1)</f>
        <v>40299</v>
      </c>
      <c r="B146" s="40" t="n">
        <f aca="false">VLOOKUP(A146,STRADDLE,5,FALSE())</f>
        <v>3.153</v>
      </c>
      <c r="C146" s="40" t="n">
        <v>0</v>
      </c>
      <c r="D146" s="4" t="n">
        <f aca="false">VLOOKUP(A146,STRADDLE,8,FALSE())</f>
        <v>0.16</v>
      </c>
      <c r="E146" s="131" t="n">
        <f aca="false">IF(ISNUMBER(VLOOKUP(A146,VOLCURVES,HLOOKUP(B$5,VOLCURVES,2,FALSE()),FALSE())),VLOOKUP(A146,VOLCURVES,HLOOKUP(B$5,VOLCURVES,2,FALSE()),FALSE()),1)</f>
        <v>1</v>
      </c>
      <c r="F146" s="41" t="n">
        <f aca="false">IF($B$17=4,$AB146,$B$16)</f>
        <v>3.8</v>
      </c>
      <c r="G146" s="41" t="n">
        <f aca="false">IF($D$17=4,$AM146,$D$16)</f>
        <v>3.5</v>
      </c>
      <c r="H146" s="41" t="n">
        <f aca="false">IF($F$17=4,$AX146,$F$16)</f>
        <v>2.96</v>
      </c>
      <c r="I146" s="41" t="n">
        <f aca="false">IF($H$17=4,$BI146,$H$16)</f>
        <v>2.99</v>
      </c>
      <c r="J146" s="4" t="n">
        <f aca="false">IF($B$19=1,VLOOKUP($A146,SkewTable,HLOOKUP(ROUND(F146-AB146,1),SkewTable,2,FALSE()),FALSE())/100,0)</f>
        <v>0.0451185018386</v>
      </c>
      <c r="K146" s="4" t="e">
        <f aca="false">IF($D$19=1,VLOOKUP($A146,SkewTable,HLOOKUP(ROUND(G146-AM146,1),SkewTable,2,FALSE()),FALSE())/100,0)</f>
        <v>#DIV/0!</v>
      </c>
      <c r="L146" s="4" t="e">
        <f aca="false">IF($F$19=1,VLOOKUP($A146,SkewTable,HLOOKUP(ROUND(H146-AX146,1),SkewTable,2,FALSE()),FALSE())/100,0)</f>
        <v>#DIV/0!</v>
      </c>
      <c r="M146" s="4" t="e">
        <f aca="false">IF($H$19=1,VLOOKUP($A146,SkewTable,HLOOKUP(ROUND(I146-BI146,1),SkewTable,2,FALSE()),FALSE())/100,0)</f>
        <v>#DIV/0!</v>
      </c>
      <c r="N146" s="4" t="n">
        <f aca="false">(($D146+J146)*$E146)+B$18</f>
        <v>0.2051185018386</v>
      </c>
      <c r="O146" s="4" t="e">
        <f aca="false">(($D146+K146)*$E146)+D$18</f>
        <v>#DIV/0!</v>
      </c>
      <c r="P146" s="4" t="e">
        <f aca="false">(($D146+L146)*$E146)+F$18</f>
        <v>#DIV/0!</v>
      </c>
      <c r="Q146" s="4" t="e">
        <f aca="false">(($D146+M146)*$E146)+H$18</f>
        <v>#DIV/0!</v>
      </c>
      <c r="R146" s="136" t="n">
        <f aca="false">IF(B$4=1,VLOOKUP(A146,expiration,2,FALSE()),VLOOKUP(A146,expiration,3,FALSE()))-B$2+$B$1</f>
        <v>-5630</v>
      </c>
      <c r="S146" s="4" t="n">
        <f aca="false">VLOOKUP($A146,STRADDLE,12,FALSE())</f>
        <v>0.070625987954085</v>
      </c>
      <c r="T146" s="1" t="n">
        <v>0</v>
      </c>
      <c r="U146" s="43" t="n">
        <v>0</v>
      </c>
      <c r="X146" s="43"/>
      <c r="Z146" s="9"/>
      <c r="AA146" s="9" t="n">
        <f aca="false">IF($A146&gt;=AB$25,IF($A146&lt;=AB$26,$T146,0),0)</f>
        <v>0</v>
      </c>
      <c r="AB146" s="9" t="n">
        <f aca="false">IF(T146&gt;0,AD146/AA146,0)</f>
        <v>0</v>
      </c>
      <c r="AC146" s="1" t="n">
        <f aca="false">AA146*($B146+B$13)</f>
        <v>0</v>
      </c>
      <c r="AD146" s="33" t="n">
        <f aca="false">IF(ISNUMBER(((AC146/AA146)+B$15+$C146)*AA146),((AC146/AA146)+B$15+$C146)*AA146,0)</f>
        <v>0</v>
      </c>
      <c r="AE146" s="44" t="n">
        <f aca="false">IF(AA146=0,0,bsd(1,AF$27,AB146,$F146,$R146,$N146,$S146,0.1))</f>
        <v>0</v>
      </c>
      <c r="AF146" s="44" t="n">
        <f aca="false">IF(AA146=0,0,bsd(2,AF$27,AB146,$F146,$R146,$N146,$S146,0.1))</f>
        <v>0</v>
      </c>
      <c r="AG146" s="44" t="n">
        <f aca="false">IF(AA146=0,0,bsd(AF$28,AF$27,AB146,$F146,$R146,$N146,$S146,0.1))</f>
        <v>0</v>
      </c>
      <c r="AH146" s="45" t="n">
        <f aca="false">AA146*AE146</f>
        <v>0</v>
      </c>
      <c r="AI146" s="45" t="n">
        <f aca="false">AA146*AF146</f>
        <v>0</v>
      </c>
      <c r="AJ146" s="45" t="n">
        <f aca="false">AA146*AG146</f>
        <v>0</v>
      </c>
      <c r="AL146" s="9" t="n">
        <f aca="false">IF($A146&gt;=AM$25,IF($A146&lt;=AM$26,$T146,0),0)</f>
        <v>0</v>
      </c>
      <c r="AM146" s="9" t="e">
        <f aca="false">AO146/AL146</f>
        <v>#DIV/0!</v>
      </c>
      <c r="AN146" s="1" t="n">
        <f aca="false">AL146*($B146+D$13)</f>
        <v>0</v>
      </c>
      <c r="AO146" s="33" t="n">
        <f aca="false">IF(ISNUMBER(((AN146/AL146)+D$15+$C146)*AL146),((AN146/AL146)+D$15+$C146)*AL146,0)</f>
        <v>0</v>
      </c>
      <c r="AP146" s="44" t="n">
        <f aca="false">IF(AL146=0,0,bsd(1,AQ$27,AM146,$G146,$R146,$O146,$S146,0.1))</f>
        <v>0</v>
      </c>
      <c r="AQ146" s="44" t="n">
        <f aca="false">IF(AL146=0,0,bsd(2,AQ$27,AM146,$G146,$R146,$O146,$S146,0.1))</f>
        <v>0</v>
      </c>
      <c r="AR146" s="44" t="n">
        <f aca="false">IF(AL146=0,0,bsd(AQ$28,AQ$27,AM146,$G146,$R146,$O146,$S146,0.1))</f>
        <v>0</v>
      </c>
      <c r="AS146" s="45" t="n">
        <f aca="false">AL146*AP146</f>
        <v>0</v>
      </c>
      <c r="AT146" s="45" t="n">
        <f aca="false">AL146*AQ146</f>
        <v>0</v>
      </c>
      <c r="AU146" s="45" t="n">
        <f aca="false">AL146*AR146</f>
        <v>0</v>
      </c>
      <c r="AW146" s="9" t="n">
        <f aca="false">IF($A146&gt;=AX$25,IF($A146&lt;=AX$26,$T146,0),0)</f>
        <v>0</v>
      </c>
      <c r="AX146" s="9" t="e">
        <f aca="false">AZ146/AW146</f>
        <v>#DIV/0!</v>
      </c>
      <c r="AY146" s="1" t="n">
        <f aca="false">AW146*($B146+F$13)</f>
        <v>0</v>
      </c>
      <c r="AZ146" s="33" t="n">
        <f aca="false">IF(ISNUMBER(((AY146/AW146)+F$15+$C146)*AW146),((AY146/AW146)+F$15+$C146)*AW146,0)</f>
        <v>0</v>
      </c>
      <c r="BA146" s="44" t="n">
        <f aca="false">IF(AW146=0,0,bsd(1,BB$27,AX146,$H146,$R146,$P146,$S146,0.1))</f>
        <v>0</v>
      </c>
      <c r="BB146" s="44" t="n">
        <f aca="false">IF(AW146=0,0,bsd(2,BB$27,AX146,$H146,$R146,$P146,$S146,0.1))</f>
        <v>0</v>
      </c>
      <c r="BC146" s="44" t="n">
        <f aca="false">IF(AW146=0,0,bsd(BB$28,BB$27,AX146,$H146,$R146,$P146,$S146,0.1))</f>
        <v>0</v>
      </c>
      <c r="BD146" s="45" t="n">
        <f aca="false">AW146*BA146</f>
        <v>0</v>
      </c>
      <c r="BE146" s="45" t="n">
        <f aca="false">AW146*BB146</f>
        <v>0</v>
      </c>
      <c r="BF146" s="45" t="n">
        <f aca="false">AW146*BC146</f>
        <v>0</v>
      </c>
      <c r="BH146" s="9" t="n">
        <f aca="false">IF($A146&gt;=BI$25,IF($A146&lt;=BI$26,$T146,0),0)</f>
        <v>0</v>
      </c>
      <c r="BI146" s="9" t="e">
        <f aca="false">BK146/BH146</f>
        <v>#DIV/0!</v>
      </c>
      <c r="BJ146" s="1" t="n">
        <f aca="false">BH146*($B146+H$13)</f>
        <v>0</v>
      </c>
      <c r="BK146" s="33" t="n">
        <f aca="false">IF(ISNUMBER(((BJ146/BH146)+H$15+$C146)*BH146),((BJ146/BH146)+H$15+$C146)*BH146,0)</f>
        <v>0</v>
      </c>
      <c r="BL146" s="44" t="n">
        <f aca="false">IF(BH146=0,0,bsd(1,BM$27,BI146,$I146,$R146,$Q146,$S146,0.1))</f>
        <v>0</v>
      </c>
      <c r="BM146" s="44" t="n">
        <f aca="false">IF(BH146=0,0,bsd(2,BM$27,BI146,$I146,$R146,$Q146,$S146,0.1))</f>
        <v>0</v>
      </c>
      <c r="BN146" s="44" t="n">
        <f aca="false">IF(BH146=0,0,bsd(BM$28,BM$27,BI146,$I146,$R146,$Q146,$S146,0.1))</f>
        <v>0</v>
      </c>
      <c r="BO146" s="45" t="n">
        <f aca="false">BH146*BL146</f>
        <v>0</v>
      </c>
      <c r="BP146" s="45" t="n">
        <f aca="false">BH146*BM146</f>
        <v>0</v>
      </c>
      <c r="BQ146" s="45" t="n">
        <f aca="false">BH146*BN146</f>
        <v>0</v>
      </c>
    </row>
    <row r="147" customFormat="false" ht="12.75" hidden="false" customHeight="false" outlineLevel="0" collapsed="false">
      <c r="A147" s="48" t="n">
        <f aca="false">DATE(YEAR(A146),MONTH(A146)+1,1)</f>
        <v>40330</v>
      </c>
      <c r="B147" s="40" t="n">
        <f aca="false">VLOOKUP(A147,STRADDLE,5,FALSE())</f>
        <v>3.168</v>
      </c>
      <c r="C147" s="40" t="n">
        <v>0</v>
      </c>
      <c r="D147" s="4" t="n">
        <f aca="false">VLOOKUP(A147,STRADDLE,8,FALSE())</f>
        <v>0.16</v>
      </c>
      <c r="E147" s="131" t="n">
        <f aca="false">IF(ISNUMBER(VLOOKUP(A147,VOLCURVES,HLOOKUP(B$5,VOLCURVES,2,FALSE()),FALSE())),VLOOKUP(A147,VOLCURVES,HLOOKUP(B$5,VOLCURVES,2,FALSE()),FALSE()),1)</f>
        <v>1</v>
      </c>
      <c r="F147" s="41" t="n">
        <f aca="false">IF($B$17=4,$AB147,$B$16)</f>
        <v>3.8</v>
      </c>
      <c r="G147" s="41" t="n">
        <f aca="false">IF($D$17=4,$AM147,$D$16)</f>
        <v>3.5</v>
      </c>
      <c r="H147" s="41" t="n">
        <f aca="false">IF($F$17=4,$AX147,$F$16)</f>
        <v>2.96</v>
      </c>
      <c r="I147" s="41" t="n">
        <f aca="false">IF($H$17=4,$BI147,$H$16)</f>
        <v>2.99</v>
      </c>
      <c r="J147" s="4" t="n">
        <f aca="false">IF($B$19=1,VLOOKUP($A147,SkewTable,HLOOKUP(ROUND(F147-AB147,1),SkewTable,2,FALSE()),FALSE())/100,0)</f>
        <v>0.0451185018386</v>
      </c>
      <c r="K147" s="4" t="e">
        <f aca="false">IF($D$19=1,VLOOKUP($A147,SkewTable,HLOOKUP(ROUND(G147-AM147,1),SkewTable,2,FALSE()),FALSE())/100,0)</f>
        <v>#DIV/0!</v>
      </c>
      <c r="L147" s="4" t="e">
        <f aca="false">IF($F$19=1,VLOOKUP($A147,SkewTable,HLOOKUP(ROUND(H147-AX147,1),SkewTable,2,FALSE()),FALSE())/100,0)</f>
        <v>#DIV/0!</v>
      </c>
      <c r="M147" s="4" t="e">
        <f aca="false">IF($H$19=1,VLOOKUP($A147,SkewTable,HLOOKUP(ROUND(I147-BI147,1),SkewTable,2,FALSE()),FALSE())/100,0)</f>
        <v>#DIV/0!</v>
      </c>
      <c r="N147" s="4" t="n">
        <f aca="false">(($D147+J147)*$E147)+B$18</f>
        <v>0.2051185018386</v>
      </c>
      <c r="O147" s="4" t="e">
        <f aca="false">(($D147+K147)*$E147)+D$18</f>
        <v>#DIV/0!</v>
      </c>
      <c r="P147" s="4" t="e">
        <f aca="false">(($D147+L147)*$E147)+F$18</f>
        <v>#DIV/0!</v>
      </c>
      <c r="Q147" s="4" t="e">
        <f aca="false">(($D147+M147)*$E147)+H$18</f>
        <v>#DIV/0!</v>
      </c>
      <c r="R147" s="136" t="n">
        <f aca="false">IF(B$4=1,VLOOKUP(A147,expiration,2,FALSE()),VLOOKUP(A147,expiration,3,FALSE()))-B$2+$B$1</f>
        <v>-5602</v>
      </c>
      <c r="S147" s="4" t="n">
        <f aca="false">VLOOKUP($A147,STRADDLE,12,FALSE())</f>
        <v>0.070663382687193</v>
      </c>
      <c r="T147" s="1" t="n">
        <v>0</v>
      </c>
      <c r="U147" s="43" t="n">
        <v>0</v>
      </c>
      <c r="X147" s="43"/>
      <c r="Z147" s="9"/>
      <c r="AA147" s="9" t="n">
        <f aca="false">IF($A147&gt;=AB$25,IF($A147&lt;=AB$26,$T147,0),0)</f>
        <v>0</v>
      </c>
      <c r="AB147" s="9" t="n">
        <f aca="false">IF(T147&gt;0,AD147/AA147,0)</f>
        <v>0</v>
      </c>
      <c r="AC147" s="1" t="n">
        <f aca="false">AA147*($B147+B$13)</f>
        <v>0</v>
      </c>
      <c r="AD147" s="33" t="n">
        <f aca="false">IF(ISNUMBER(((AC147/AA147)+B$15+$C147)*AA147),((AC147/AA147)+B$15+$C147)*AA147,0)</f>
        <v>0</v>
      </c>
      <c r="AE147" s="44" t="n">
        <f aca="false">IF(AA147=0,0,bsd(1,AF$27,AB147,$F147,$R147,$N147,$S147,0.1))</f>
        <v>0</v>
      </c>
      <c r="AF147" s="44" t="n">
        <f aca="false">IF(AA147=0,0,bsd(2,AF$27,AB147,$F147,$R147,$N147,$S147,0.1))</f>
        <v>0</v>
      </c>
      <c r="AG147" s="44" t="n">
        <f aca="false">IF(AA147=0,0,bsd(AF$28,AF$27,AB147,$F147,$R147,$N147,$S147,0.1))</f>
        <v>0</v>
      </c>
      <c r="AH147" s="45" t="n">
        <f aca="false">AA147*AE147</f>
        <v>0</v>
      </c>
      <c r="AI147" s="45" t="n">
        <f aca="false">AA147*AF147</f>
        <v>0</v>
      </c>
      <c r="AJ147" s="45" t="n">
        <f aca="false">AA147*AG147</f>
        <v>0</v>
      </c>
      <c r="AL147" s="9" t="n">
        <f aca="false">IF($A147&gt;=AM$25,IF($A147&lt;=AM$26,$T147,0),0)</f>
        <v>0</v>
      </c>
      <c r="AM147" s="9" t="e">
        <f aca="false">AO147/AL147</f>
        <v>#DIV/0!</v>
      </c>
      <c r="AN147" s="1" t="n">
        <f aca="false">AL147*($B147+D$13)</f>
        <v>0</v>
      </c>
      <c r="AO147" s="33" t="n">
        <f aca="false">IF(ISNUMBER(((AN147/AL147)+D$15+$C147)*AL147),((AN147/AL147)+D$15+$C147)*AL147,0)</f>
        <v>0</v>
      </c>
      <c r="AP147" s="44" t="n">
        <f aca="false">IF(AL147=0,0,bsd(1,AQ$27,AM147,$G147,$R147,$O147,$S147,0.1))</f>
        <v>0</v>
      </c>
      <c r="AQ147" s="44" t="n">
        <f aca="false">IF(AL147=0,0,bsd(2,AQ$27,AM147,$G147,$R147,$O147,$S147,0.1))</f>
        <v>0</v>
      </c>
      <c r="AR147" s="44" t="n">
        <f aca="false">IF(AL147=0,0,bsd(AQ$28,AQ$27,AM147,$G147,$R147,$O147,$S147,0.1))</f>
        <v>0</v>
      </c>
      <c r="AS147" s="45" t="n">
        <f aca="false">AL147*AP147</f>
        <v>0</v>
      </c>
      <c r="AT147" s="45" t="n">
        <f aca="false">AL147*AQ147</f>
        <v>0</v>
      </c>
      <c r="AU147" s="45" t="n">
        <f aca="false">AL147*AR147</f>
        <v>0</v>
      </c>
      <c r="AW147" s="9" t="n">
        <f aca="false">IF($A147&gt;=AX$25,IF($A147&lt;=AX$26,$T147,0),0)</f>
        <v>0</v>
      </c>
      <c r="AX147" s="9" t="e">
        <f aca="false">AZ147/AW147</f>
        <v>#DIV/0!</v>
      </c>
      <c r="AY147" s="1" t="n">
        <f aca="false">AW147*($B147+F$13)</f>
        <v>0</v>
      </c>
      <c r="AZ147" s="33" t="n">
        <f aca="false">IF(ISNUMBER(((AY147/AW147)+F$15+$C147)*AW147),((AY147/AW147)+F$15+$C147)*AW147,0)</f>
        <v>0</v>
      </c>
      <c r="BA147" s="44" t="n">
        <f aca="false">IF(AW147=0,0,bsd(1,BB$27,AX147,$H147,$R147,$P147,$S147,0.1))</f>
        <v>0</v>
      </c>
      <c r="BB147" s="44" t="n">
        <f aca="false">IF(AW147=0,0,bsd(2,BB$27,AX147,$H147,$R147,$P147,$S147,0.1))</f>
        <v>0</v>
      </c>
      <c r="BC147" s="44" t="n">
        <f aca="false">IF(AW147=0,0,bsd(BB$28,BB$27,AX147,$H147,$R147,$P147,$S147,0.1))</f>
        <v>0</v>
      </c>
      <c r="BD147" s="45" t="n">
        <f aca="false">AW147*BA147</f>
        <v>0</v>
      </c>
      <c r="BE147" s="45" t="n">
        <f aca="false">AW147*BB147</f>
        <v>0</v>
      </c>
      <c r="BF147" s="45" t="n">
        <f aca="false">AW147*BC147</f>
        <v>0</v>
      </c>
      <c r="BH147" s="9" t="n">
        <f aca="false">IF($A147&gt;=BI$25,IF($A147&lt;=BI$26,$T147,0),0)</f>
        <v>0</v>
      </c>
      <c r="BI147" s="9" t="e">
        <f aca="false">BK147/BH147</f>
        <v>#DIV/0!</v>
      </c>
      <c r="BJ147" s="1" t="n">
        <f aca="false">BH147*($B147+H$13)</f>
        <v>0</v>
      </c>
      <c r="BK147" s="33" t="n">
        <f aca="false">IF(ISNUMBER(((BJ147/BH147)+H$15+$C147)*BH147),((BJ147/BH147)+H$15+$C147)*BH147,0)</f>
        <v>0</v>
      </c>
      <c r="BL147" s="44" t="n">
        <f aca="false">IF(BH147=0,0,bsd(1,BM$27,BI147,$I147,$R147,$Q147,$S147,0.1))</f>
        <v>0</v>
      </c>
      <c r="BM147" s="44" t="n">
        <f aca="false">IF(BH147=0,0,bsd(2,BM$27,BI147,$I147,$R147,$Q147,$S147,0.1))</f>
        <v>0</v>
      </c>
      <c r="BN147" s="44" t="n">
        <f aca="false">IF(BH147=0,0,bsd(BM$28,BM$27,BI147,$I147,$R147,$Q147,$S147,0.1))</f>
        <v>0</v>
      </c>
      <c r="BO147" s="45" t="n">
        <f aca="false">BH147*BL147</f>
        <v>0</v>
      </c>
      <c r="BP147" s="45" t="n">
        <f aca="false">BH147*BM147</f>
        <v>0</v>
      </c>
      <c r="BQ147" s="45" t="n">
        <f aca="false">BH147*BN147</f>
        <v>0</v>
      </c>
    </row>
    <row r="148" customFormat="false" ht="12.75" hidden="false" customHeight="false" outlineLevel="0" collapsed="false">
      <c r="A148" s="48" t="n">
        <f aca="false">DATE(YEAR(A147),MONTH(A147)+1,1)</f>
        <v>40360</v>
      </c>
      <c r="B148" s="40" t="n">
        <f aca="false">VLOOKUP(A148,STRADDLE,5,FALSE())</f>
        <v>3.176</v>
      </c>
      <c r="C148" s="40" t="n">
        <v>0</v>
      </c>
      <c r="D148" s="4" t="n">
        <f aca="false">VLOOKUP(A148,STRADDLE,8,FALSE())</f>
        <v>0.16</v>
      </c>
      <c r="E148" s="131" t="n">
        <f aca="false">IF(ISNUMBER(VLOOKUP(A148,VOLCURVES,HLOOKUP(B$5,VOLCURVES,2,FALSE()),FALSE())),VLOOKUP(A148,VOLCURVES,HLOOKUP(B$5,VOLCURVES,2,FALSE()),FALSE()),1)</f>
        <v>1</v>
      </c>
      <c r="F148" s="41" t="n">
        <f aca="false">IF($B$17=4,$AB148,$B$16)</f>
        <v>3.8</v>
      </c>
      <c r="G148" s="41" t="n">
        <f aca="false">IF($D$17=4,$AM148,$D$16)</f>
        <v>3.5</v>
      </c>
      <c r="H148" s="41" t="n">
        <f aca="false">IF($F$17=4,$AX148,$F$16)</f>
        <v>2.96</v>
      </c>
      <c r="I148" s="41" t="n">
        <f aca="false">IF($H$17=4,$BI148,$H$16)</f>
        <v>2.99</v>
      </c>
      <c r="J148" s="4" t="n">
        <f aca="false">IF($B$19=1,VLOOKUP($A148,SkewTable,HLOOKUP(ROUND(F148-AB148,1),SkewTable,2,FALSE()),FALSE())/100,0)</f>
        <v>0.0451185018386</v>
      </c>
      <c r="K148" s="4" t="e">
        <f aca="false">IF($D$19=1,VLOOKUP($A148,SkewTable,HLOOKUP(ROUND(G148-AM148,1),SkewTable,2,FALSE()),FALSE())/100,0)</f>
        <v>#DIV/0!</v>
      </c>
      <c r="L148" s="4" t="e">
        <f aca="false">IF($F$19=1,VLOOKUP($A148,SkewTable,HLOOKUP(ROUND(H148-AX148,1),SkewTable,2,FALSE()),FALSE())/100,0)</f>
        <v>#DIV/0!</v>
      </c>
      <c r="M148" s="4" t="e">
        <f aca="false">IF($H$19=1,VLOOKUP($A148,SkewTable,HLOOKUP(ROUND(I148-BI148,1),SkewTable,2,FALSE()),FALSE())/100,0)</f>
        <v>#DIV/0!</v>
      </c>
      <c r="N148" s="4" t="n">
        <f aca="false">(($D148+J148)*$E148)+B$18</f>
        <v>0.2051185018386</v>
      </c>
      <c r="O148" s="4" t="e">
        <f aca="false">(($D148+K148)*$E148)+D$18</f>
        <v>#DIV/0!</v>
      </c>
      <c r="P148" s="4" t="e">
        <f aca="false">(($D148+L148)*$E148)+F$18</f>
        <v>#DIV/0!</v>
      </c>
      <c r="Q148" s="4" t="e">
        <f aca="false">(($D148+M148)*$E148)+H$18</f>
        <v>#DIV/0!</v>
      </c>
      <c r="R148" s="136" t="n">
        <f aca="false">IF(B$4=1,VLOOKUP(A148,expiration,2,FALSE()),VLOOKUP(A148,expiration,3,FALSE()))-B$2+$B$1</f>
        <v>-5569</v>
      </c>
      <c r="S148" s="4" t="n">
        <f aca="false">VLOOKUP($A148,STRADDLE,12,FALSE())</f>
        <v>0.070699571139027</v>
      </c>
      <c r="T148" s="1" t="n">
        <v>0</v>
      </c>
      <c r="U148" s="43" t="n">
        <v>0</v>
      </c>
      <c r="X148" s="43"/>
      <c r="Z148" s="9"/>
      <c r="AA148" s="9" t="n">
        <f aca="false">IF($A148&gt;=AB$25,IF($A148&lt;=AB$26,$T148,0),0)</f>
        <v>0</v>
      </c>
      <c r="AB148" s="9" t="n">
        <f aca="false">IF(T148&gt;0,AD148/AA148,0)</f>
        <v>0</v>
      </c>
      <c r="AC148" s="1" t="n">
        <f aca="false">AA148*($B148+B$13)</f>
        <v>0</v>
      </c>
      <c r="AD148" s="33" t="n">
        <f aca="false">IF(ISNUMBER(((AC148/AA148)+B$15+$C148)*AA148),((AC148/AA148)+B$15+$C148)*AA148,0)</f>
        <v>0</v>
      </c>
      <c r="AE148" s="44" t="n">
        <f aca="false">IF(AA148=0,0,bsd(1,AF$27,AB148,$F148,$R148,$N148,$S148,0.1))</f>
        <v>0</v>
      </c>
      <c r="AF148" s="44" t="n">
        <f aca="false">IF(AA148=0,0,bsd(2,AF$27,AB148,$F148,$R148,$N148,$S148,0.1))</f>
        <v>0</v>
      </c>
      <c r="AG148" s="44" t="n">
        <f aca="false">IF(AA148=0,0,bsd(AF$28,AF$27,AB148,$F148,$R148,$N148,$S148,0.1))</f>
        <v>0</v>
      </c>
      <c r="AH148" s="45" t="n">
        <f aca="false">AA148*AE148</f>
        <v>0</v>
      </c>
      <c r="AI148" s="45" t="n">
        <f aca="false">AA148*AF148</f>
        <v>0</v>
      </c>
      <c r="AJ148" s="45" t="n">
        <f aca="false">AA148*AG148</f>
        <v>0</v>
      </c>
      <c r="AL148" s="9" t="n">
        <f aca="false">IF($A148&gt;=AM$25,IF($A148&lt;=AM$26,$T148,0),0)</f>
        <v>0</v>
      </c>
      <c r="AM148" s="9" t="e">
        <f aca="false">AO148/AL148</f>
        <v>#DIV/0!</v>
      </c>
      <c r="AN148" s="1" t="n">
        <f aca="false">AL148*($B148+D$13)</f>
        <v>0</v>
      </c>
      <c r="AO148" s="33" t="n">
        <f aca="false">IF(ISNUMBER(((AN148/AL148)+D$15+$C148)*AL148),((AN148/AL148)+D$15+$C148)*AL148,0)</f>
        <v>0</v>
      </c>
      <c r="AP148" s="44" t="n">
        <f aca="false">IF(AL148=0,0,bsd(1,AQ$27,AM148,$G148,$R148,$O148,$S148,0.1))</f>
        <v>0</v>
      </c>
      <c r="AQ148" s="44" t="n">
        <f aca="false">IF(AL148=0,0,bsd(2,AQ$27,AM148,$G148,$R148,$O148,$S148,0.1))</f>
        <v>0</v>
      </c>
      <c r="AR148" s="44" t="n">
        <f aca="false">IF(AL148=0,0,bsd(AQ$28,AQ$27,AM148,$G148,$R148,$O148,$S148,0.1))</f>
        <v>0</v>
      </c>
      <c r="AS148" s="45" t="n">
        <f aca="false">AL148*AP148</f>
        <v>0</v>
      </c>
      <c r="AT148" s="45" t="n">
        <f aca="false">AL148*AQ148</f>
        <v>0</v>
      </c>
      <c r="AU148" s="45" t="n">
        <f aca="false">AL148*AR148</f>
        <v>0</v>
      </c>
      <c r="AW148" s="9" t="n">
        <f aca="false">IF($A148&gt;=AX$25,IF($A148&lt;=AX$26,$T148,0),0)</f>
        <v>0</v>
      </c>
      <c r="AX148" s="9" t="e">
        <f aca="false">AZ148/AW148</f>
        <v>#DIV/0!</v>
      </c>
      <c r="AY148" s="1" t="n">
        <f aca="false">AW148*($B148+F$13)</f>
        <v>0</v>
      </c>
      <c r="AZ148" s="33" t="n">
        <f aca="false">IF(ISNUMBER(((AY148/AW148)+F$15+$C148)*AW148),((AY148/AW148)+F$15+$C148)*AW148,0)</f>
        <v>0</v>
      </c>
      <c r="BA148" s="44" t="n">
        <f aca="false">IF(AW148=0,0,bsd(1,BB$27,AX148,$H148,$R148,$P148,$S148,0.1))</f>
        <v>0</v>
      </c>
      <c r="BB148" s="44" t="n">
        <f aca="false">IF(AW148=0,0,bsd(2,BB$27,AX148,$H148,$R148,$P148,$S148,0.1))</f>
        <v>0</v>
      </c>
      <c r="BC148" s="44" t="n">
        <f aca="false">IF(AW148=0,0,bsd(BB$28,BB$27,AX148,$H148,$R148,$P148,$S148,0.1))</f>
        <v>0</v>
      </c>
      <c r="BD148" s="45" t="n">
        <f aca="false">AW148*BA148</f>
        <v>0</v>
      </c>
      <c r="BE148" s="45" t="n">
        <f aca="false">AW148*BB148</f>
        <v>0</v>
      </c>
      <c r="BF148" s="45" t="n">
        <f aca="false">AW148*BC148</f>
        <v>0</v>
      </c>
      <c r="BH148" s="9" t="n">
        <f aca="false">IF($A148&gt;=BI$25,IF($A148&lt;=BI$26,$T148,0),0)</f>
        <v>0</v>
      </c>
      <c r="BI148" s="9" t="e">
        <f aca="false">BK148/BH148</f>
        <v>#DIV/0!</v>
      </c>
      <c r="BJ148" s="1" t="n">
        <f aca="false">BH148*($B148+H$13)</f>
        <v>0</v>
      </c>
      <c r="BK148" s="33" t="n">
        <f aca="false">IF(ISNUMBER(((BJ148/BH148)+H$15+$C148)*BH148),((BJ148/BH148)+H$15+$C148)*BH148,0)</f>
        <v>0</v>
      </c>
      <c r="BL148" s="44" t="n">
        <f aca="false">IF(BH148=0,0,bsd(1,BM$27,BI148,$I148,$R148,$Q148,$S148,0.1))</f>
        <v>0</v>
      </c>
      <c r="BM148" s="44" t="n">
        <f aca="false">IF(BH148=0,0,bsd(2,BM$27,BI148,$I148,$R148,$Q148,$S148,0.1))</f>
        <v>0</v>
      </c>
      <c r="BN148" s="44" t="n">
        <f aca="false">IF(BH148=0,0,bsd(BM$28,BM$27,BI148,$I148,$R148,$Q148,$S148,0.1))</f>
        <v>0</v>
      </c>
      <c r="BO148" s="45" t="n">
        <f aca="false">BH148*BL148</f>
        <v>0</v>
      </c>
      <c r="BP148" s="45" t="n">
        <f aca="false">BH148*BM148</f>
        <v>0</v>
      </c>
      <c r="BQ148" s="45" t="n">
        <f aca="false">BH148*BN148</f>
        <v>0</v>
      </c>
    </row>
    <row r="149" customFormat="false" ht="12.75" hidden="false" customHeight="false" outlineLevel="0" collapsed="false">
      <c r="A149" s="48" t="n">
        <f aca="false">DATE(YEAR(A148),MONTH(A148)+1,1)</f>
        <v>40391</v>
      </c>
      <c r="B149" s="40" t="n">
        <f aca="false">VLOOKUP(A149,STRADDLE,5,FALSE())</f>
        <v>3.183</v>
      </c>
      <c r="C149" s="40" t="n">
        <v>0</v>
      </c>
      <c r="D149" s="4" t="n">
        <f aca="false">VLOOKUP(A149,STRADDLE,8,FALSE())</f>
        <v>0.16</v>
      </c>
      <c r="E149" s="131" t="n">
        <f aca="false">IF(ISNUMBER(VLOOKUP(A149,VOLCURVES,HLOOKUP(B$5,VOLCURVES,2,FALSE()),FALSE())),VLOOKUP(A149,VOLCURVES,HLOOKUP(B$5,VOLCURVES,2,FALSE()),FALSE()),1)</f>
        <v>1</v>
      </c>
      <c r="F149" s="41" t="n">
        <f aca="false">IF($B$17=4,$AB149,$B$16)</f>
        <v>3.8</v>
      </c>
      <c r="G149" s="41" t="n">
        <f aca="false">IF($D$17=4,$AM149,$D$16)</f>
        <v>3.5</v>
      </c>
      <c r="H149" s="41" t="n">
        <f aca="false">IF($F$17=4,$AX149,$F$16)</f>
        <v>2.96</v>
      </c>
      <c r="I149" s="41" t="n">
        <f aca="false">IF($H$17=4,$BI149,$H$16)</f>
        <v>2.99</v>
      </c>
      <c r="J149" s="4" t="n">
        <f aca="false">IF($B$19=1,VLOOKUP($A149,SkewTable,HLOOKUP(ROUND(F149-AB149,1),SkewTable,2,FALSE()),FALSE())/100,0)</f>
        <v>0.0451185018386</v>
      </c>
      <c r="K149" s="4" t="e">
        <f aca="false">IF($D$19=1,VLOOKUP($A149,SkewTable,HLOOKUP(ROUND(G149-AM149,1),SkewTable,2,FALSE()),FALSE())/100,0)</f>
        <v>#DIV/0!</v>
      </c>
      <c r="L149" s="4" t="e">
        <f aca="false">IF($F$19=1,VLOOKUP($A149,SkewTable,HLOOKUP(ROUND(H149-AX149,1),SkewTable,2,FALSE()),FALSE())/100,0)</f>
        <v>#DIV/0!</v>
      </c>
      <c r="M149" s="4" t="e">
        <f aca="false">IF($H$19=1,VLOOKUP($A149,SkewTable,HLOOKUP(ROUND(I149-BI149,1),SkewTable,2,FALSE()),FALSE())/100,0)</f>
        <v>#DIV/0!</v>
      </c>
      <c r="N149" s="4" t="n">
        <f aca="false">(($D149+J149)*$E149)+B$18</f>
        <v>0.2051185018386</v>
      </c>
      <c r="O149" s="4" t="e">
        <f aca="false">(($D149+K149)*$E149)+D$18</f>
        <v>#DIV/0!</v>
      </c>
      <c r="P149" s="4" t="e">
        <f aca="false">(($D149+L149)*$E149)+F$18</f>
        <v>#DIV/0!</v>
      </c>
      <c r="Q149" s="4" t="e">
        <f aca="false">(($D149+M149)*$E149)+H$18</f>
        <v>#DIV/0!</v>
      </c>
      <c r="R149" s="136" t="n">
        <f aca="false">IF(B$4=1,VLOOKUP(A149,expiration,2,FALSE()),VLOOKUP(A149,expiration,3,FALSE()))-B$2+$B$1</f>
        <v>-5539</v>
      </c>
      <c r="S149" s="4" t="n">
        <f aca="false">VLOOKUP($A149,STRADDLE,12,FALSE())</f>
        <v>0.070736965873045</v>
      </c>
      <c r="T149" s="1" t="n">
        <v>0</v>
      </c>
      <c r="U149" s="43" t="n">
        <v>0</v>
      </c>
      <c r="X149" s="43"/>
      <c r="Z149" s="9"/>
      <c r="AA149" s="9" t="n">
        <f aca="false">IF($A149&gt;=AB$25,IF($A149&lt;=AB$26,$T149,0),0)</f>
        <v>0</v>
      </c>
      <c r="AB149" s="9" t="n">
        <f aca="false">IF(T149&gt;0,AD149/AA149,0)</f>
        <v>0</v>
      </c>
      <c r="AC149" s="1" t="n">
        <f aca="false">AA149*($B149+B$13)</f>
        <v>0</v>
      </c>
      <c r="AD149" s="33" t="n">
        <f aca="false">IF(ISNUMBER(((AC149/AA149)+B$15+$C149)*AA149),((AC149/AA149)+B$15+$C149)*AA149,0)</f>
        <v>0</v>
      </c>
      <c r="AE149" s="44" t="n">
        <f aca="false">IF(AA149=0,0,bsd(1,AF$27,AB149,$F149,$R149,$N149,$S149,0.1))</f>
        <v>0</v>
      </c>
      <c r="AF149" s="44" t="n">
        <f aca="false">IF(AA149=0,0,bsd(2,AF$27,AB149,$F149,$R149,$N149,$S149,0.1))</f>
        <v>0</v>
      </c>
      <c r="AG149" s="44" t="n">
        <f aca="false">IF(AA149=0,0,bsd(AF$28,AF$27,AB149,$F149,$R149,$N149,$S149,0.1))</f>
        <v>0</v>
      </c>
      <c r="AH149" s="45" t="n">
        <f aca="false">AA149*AE149</f>
        <v>0</v>
      </c>
      <c r="AI149" s="45" t="n">
        <f aca="false">AA149*AF149</f>
        <v>0</v>
      </c>
      <c r="AJ149" s="45" t="n">
        <f aca="false">AA149*AG149</f>
        <v>0</v>
      </c>
      <c r="AL149" s="9" t="n">
        <f aca="false">IF($A149&gt;=AM$25,IF($A149&lt;=AM$26,$T149,0),0)</f>
        <v>0</v>
      </c>
      <c r="AM149" s="9" t="e">
        <f aca="false">AO149/AL149</f>
        <v>#DIV/0!</v>
      </c>
      <c r="AN149" s="1" t="n">
        <f aca="false">AL149*($B149+D$13)</f>
        <v>0</v>
      </c>
      <c r="AO149" s="33" t="n">
        <f aca="false">IF(ISNUMBER(((AN149/AL149)+D$15+$C149)*AL149),((AN149/AL149)+D$15+$C149)*AL149,0)</f>
        <v>0</v>
      </c>
      <c r="AP149" s="44" t="n">
        <f aca="false">IF(AL149=0,0,bsd(1,AQ$27,AM149,$G149,$R149,$O149,$S149,0.1))</f>
        <v>0</v>
      </c>
      <c r="AQ149" s="44" t="n">
        <f aca="false">IF(AL149=0,0,bsd(2,AQ$27,AM149,$G149,$R149,$O149,$S149,0.1))</f>
        <v>0</v>
      </c>
      <c r="AR149" s="44" t="n">
        <f aca="false">IF(AL149=0,0,bsd(AQ$28,AQ$27,AM149,$G149,$R149,$O149,$S149,0.1))</f>
        <v>0</v>
      </c>
      <c r="AS149" s="45" t="n">
        <f aca="false">AL149*AP149</f>
        <v>0</v>
      </c>
      <c r="AT149" s="45" t="n">
        <f aca="false">AL149*AQ149</f>
        <v>0</v>
      </c>
      <c r="AU149" s="45" t="n">
        <f aca="false">AL149*AR149</f>
        <v>0</v>
      </c>
      <c r="AW149" s="9" t="n">
        <f aca="false">IF($A149&gt;=AX$25,IF($A149&lt;=AX$26,$T149,0),0)</f>
        <v>0</v>
      </c>
      <c r="AX149" s="9" t="e">
        <f aca="false">AZ149/AW149</f>
        <v>#DIV/0!</v>
      </c>
      <c r="AY149" s="1" t="n">
        <f aca="false">AW149*($B149+F$13)</f>
        <v>0</v>
      </c>
      <c r="AZ149" s="33" t="n">
        <f aca="false">IF(ISNUMBER(((AY149/AW149)+F$15+$C149)*AW149),((AY149/AW149)+F$15+$C149)*AW149,0)</f>
        <v>0</v>
      </c>
      <c r="BA149" s="44" t="n">
        <f aca="false">IF(AW149=0,0,bsd(1,BB$27,AX149,$H149,$R149,$P149,$S149,0.1))</f>
        <v>0</v>
      </c>
      <c r="BB149" s="44" t="n">
        <f aca="false">IF(AW149=0,0,bsd(2,BB$27,AX149,$H149,$R149,$P149,$S149,0.1))</f>
        <v>0</v>
      </c>
      <c r="BC149" s="44" t="n">
        <f aca="false">IF(AW149=0,0,bsd(BB$28,BB$27,AX149,$H149,$R149,$P149,$S149,0.1))</f>
        <v>0</v>
      </c>
      <c r="BD149" s="45" t="n">
        <f aca="false">AW149*BA149</f>
        <v>0</v>
      </c>
      <c r="BE149" s="45" t="n">
        <f aca="false">AW149*BB149</f>
        <v>0</v>
      </c>
      <c r="BF149" s="45" t="n">
        <f aca="false">AW149*BC149</f>
        <v>0</v>
      </c>
      <c r="BH149" s="9" t="n">
        <f aca="false">IF($A149&gt;=BI$25,IF($A149&lt;=BI$26,$T149,0),0)</f>
        <v>0</v>
      </c>
      <c r="BI149" s="9" t="e">
        <f aca="false">BK149/BH149</f>
        <v>#DIV/0!</v>
      </c>
      <c r="BJ149" s="1" t="n">
        <f aca="false">BH149*($B149+H$13)</f>
        <v>0</v>
      </c>
      <c r="BK149" s="33" t="n">
        <f aca="false">IF(ISNUMBER(((BJ149/BH149)+H$15+$C149)*BH149),((BJ149/BH149)+H$15+$C149)*BH149,0)</f>
        <v>0</v>
      </c>
      <c r="BL149" s="44" t="n">
        <f aca="false">IF(BH149=0,0,bsd(1,BM$27,BI149,$I149,$R149,$Q149,$S149,0.1))</f>
        <v>0</v>
      </c>
      <c r="BM149" s="44" t="n">
        <f aca="false">IF(BH149=0,0,bsd(2,BM$27,BI149,$I149,$R149,$Q149,$S149,0.1))</f>
        <v>0</v>
      </c>
      <c r="BN149" s="44" t="n">
        <f aca="false">IF(BH149=0,0,bsd(BM$28,BM$27,BI149,$I149,$R149,$Q149,$S149,0.1))</f>
        <v>0</v>
      </c>
      <c r="BO149" s="45" t="n">
        <f aca="false">BH149*BL149</f>
        <v>0</v>
      </c>
      <c r="BP149" s="45" t="n">
        <f aca="false">BH149*BM149</f>
        <v>0</v>
      </c>
      <c r="BQ149" s="45" t="n">
        <f aca="false">BH149*BN149</f>
        <v>0</v>
      </c>
    </row>
    <row r="150" customFormat="false" ht="12.75" hidden="false" customHeight="false" outlineLevel="0" collapsed="false">
      <c r="A150" s="48" t="n">
        <f aca="false">DATE(YEAR(A149),MONTH(A149)+1,1)</f>
        <v>40422</v>
      </c>
      <c r="B150" s="40" t="n">
        <f aca="false">VLOOKUP(A150,STRADDLE,5,FALSE())</f>
        <v>3.166</v>
      </c>
      <c r="C150" s="40" t="n">
        <v>0</v>
      </c>
      <c r="D150" s="4" t="n">
        <f aca="false">VLOOKUP(A150,STRADDLE,8,FALSE())</f>
        <v>0.16</v>
      </c>
      <c r="E150" s="131" t="n">
        <f aca="false">IF(ISNUMBER(VLOOKUP(A150,VOLCURVES,HLOOKUP(B$5,VOLCURVES,2,FALSE()),FALSE())),VLOOKUP(A150,VOLCURVES,HLOOKUP(B$5,VOLCURVES,2,FALSE()),FALSE()),1)</f>
        <v>1</v>
      </c>
      <c r="F150" s="41" t="n">
        <f aca="false">IF($B$17=4,$AB150,$B$16)</f>
        <v>3.8</v>
      </c>
      <c r="G150" s="41" t="n">
        <f aca="false">IF($D$17=4,$AM150,$D$16)</f>
        <v>3.5</v>
      </c>
      <c r="H150" s="41" t="n">
        <f aca="false">IF($F$17=4,$AX150,$F$16)</f>
        <v>2.96</v>
      </c>
      <c r="I150" s="41" t="n">
        <f aca="false">IF($H$17=4,$BI150,$H$16)</f>
        <v>2.99</v>
      </c>
      <c r="J150" s="4" t="n">
        <f aca="false">IF($B$19=1,VLOOKUP($A150,SkewTable,HLOOKUP(ROUND(F150-AB150,1),SkewTable,2,FALSE()),FALSE())/100,0)</f>
        <v>0.0451185018386</v>
      </c>
      <c r="K150" s="4" t="e">
        <f aca="false">IF($D$19=1,VLOOKUP($A150,SkewTable,HLOOKUP(ROUND(G150-AM150,1),SkewTable,2,FALSE()),FALSE())/100,0)</f>
        <v>#DIV/0!</v>
      </c>
      <c r="L150" s="4" t="e">
        <f aca="false">IF($F$19=1,VLOOKUP($A150,SkewTable,HLOOKUP(ROUND(H150-AX150,1),SkewTable,2,FALSE()),FALSE())/100,0)</f>
        <v>#DIV/0!</v>
      </c>
      <c r="M150" s="4" t="e">
        <f aca="false">IF($H$19=1,VLOOKUP($A150,SkewTable,HLOOKUP(ROUND(I150-BI150,1),SkewTable,2,FALSE()),FALSE())/100,0)</f>
        <v>#DIV/0!</v>
      </c>
      <c r="N150" s="4" t="n">
        <f aca="false">(($D150+J150)*$E150)+B$18</f>
        <v>0.2051185018386</v>
      </c>
      <c r="O150" s="4" t="e">
        <f aca="false">(($D150+K150)*$E150)+D$18</f>
        <v>#DIV/0!</v>
      </c>
      <c r="P150" s="4" t="e">
        <f aca="false">(($D150+L150)*$E150)+F$18</f>
        <v>#DIV/0!</v>
      </c>
      <c r="Q150" s="4" t="e">
        <f aca="false">(($D150+M150)*$E150)+H$18</f>
        <v>#DIV/0!</v>
      </c>
      <c r="R150" s="136" t="n">
        <f aca="false">IF(B$4=1,VLOOKUP(A150,expiration,2,FALSE()),VLOOKUP(A150,expiration,3,FALSE()))-B$2+$B$1</f>
        <v>-5509</v>
      </c>
      <c r="S150" s="4" t="n">
        <f aca="false">VLOOKUP($A150,STRADDLE,12,FALSE())</f>
        <v>0.070774360607525</v>
      </c>
      <c r="T150" s="1" t="n">
        <v>0</v>
      </c>
      <c r="U150" s="43" t="n">
        <v>0</v>
      </c>
      <c r="X150" s="43"/>
      <c r="Z150" s="9"/>
      <c r="AA150" s="9" t="n">
        <f aca="false">IF($A150&gt;=AB$25,IF($A150&lt;=AB$26,$T150,0),0)</f>
        <v>0</v>
      </c>
      <c r="AB150" s="9" t="n">
        <f aca="false">IF(T150&gt;0,AD150/AA150,0)</f>
        <v>0</v>
      </c>
      <c r="AC150" s="1" t="n">
        <f aca="false">AA150*($B150+B$13)</f>
        <v>0</v>
      </c>
      <c r="AD150" s="33" t="n">
        <f aca="false">IF(ISNUMBER(((AC150/AA150)+B$15+$C150)*AA150),((AC150/AA150)+B$15+$C150)*AA150,0)</f>
        <v>0</v>
      </c>
      <c r="AE150" s="44" t="n">
        <f aca="false">IF(AA150=0,0,bsd(1,AF$27,AB150,$F150,$R150,$N150,$S150,0.1))</f>
        <v>0</v>
      </c>
      <c r="AF150" s="44" t="n">
        <f aca="false">IF(AA150=0,0,bsd(2,AF$27,AB150,$F150,$R150,$N150,$S150,0.1))</f>
        <v>0</v>
      </c>
      <c r="AG150" s="44" t="n">
        <f aca="false">IF(AA150=0,0,bsd(AF$28,AF$27,AB150,$F150,$R150,$N150,$S150,0.1))</f>
        <v>0</v>
      </c>
      <c r="AH150" s="45" t="n">
        <f aca="false">AA150*AE150</f>
        <v>0</v>
      </c>
      <c r="AI150" s="45" t="n">
        <f aca="false">AA150*AF150</f>
        <v>0</v>
      </c>
      <c r="AJ150" s="45" t="n">
        <f aca="false">AA150*AG150</f>
        <v>0</v>
      </c>
      <c r="AL150" s="9" t="n">
        <f aca="false">IF($A150&gt;=AM$25,IF($A150&lt;=AM$26,$T150,0),0)</f>
        <v>0</v>
      </c>
      <c r="AM150" s="9" t="e">
        <f aca="false">AO150/AL150</f>
        <v>#DIV/0!</v>
      </c>
      <c r="AN150" s="1" t="n">
        <f aca="false">AL150*($B150+D$13)</f>
        <v>0</v>
      </c>
      <c r="AO150" s="33" t="n">
        <f aca="false">IF(ISNUMBER(((AN150/AL150)+D$15+$C150)*AL150),((AN150/AL150)+D$15+$C150)*AL150,0)</f>
        <v>0</v>
      </c>
      <c r="AP150" s="44" t="n">
        <f aca="false">IF(AL150=0,0,bsd(1,AQ$27,AM150,$G150,$R150,$O150,$S150,0.1))</f>
        <v>0</v>
      </c>
      <c r="AQ150" s="44" t="n">
        <f aca="false">IF(AL150=0,0,bsd(2,AQ$27,AM150,$G150,$R150,$O150,$S150,0.1))</f>
        <v>0</v>
      </c>
      <c r="AR150" s="44" t="n">
        <f aca="false">IF(AL150=0,0,bsd(AQ$28,AQ$27,AM150,$G150,$R150,$O150,$S150,0.1))</f>
        <v>0</v>
      </c>
      <c r="AS150" s="45" t="n">
        <f aca="false">AL150*AP150</f>
        <v>0</v>
      </c>
      <c r="AT150" s="45" t="n">
        <f aca="false">AL150*AQ150</f>
        <v>0</v>
      </c>
      <c r="AU150" s="45" t="n">
        <f aca="false">AL150*AR150</f>
        <v>0</v>
      </c>
      <c r="AW150" s="9" t="n">
        <f aca="false">IF($A150&gt;=AX$25,IF($A150&lt;=AX$26,$T150,0),0)</f>
        <v>0</v>
      </c>
      <c r="AX150" s="9" t="e">
        <f aca="false">AZ150/AW150</f>
        <v>#DIV/0!</v>
      </c>
      <c r="AY150" s="1" t="n">
        <f aca="false">AW150*($B150+F$13)</f>
        <v>0</v>
      </c>
      <c r="AZ150" s="33" t="n">
        <f aca="false">IF(ISNUMBER(((AY150/AW150)+F$15+$C150)*AW150),((AY150/AW150)+F$15+$C150)*AW150,0)</f>
        <v>0</v>
      </c>
      <c r="BA150" s="44" t="n">
        <f aca="false">IF(AW150=0,0,bsd(1,BB$27,AX150,$H150,$R150,$P150,$S150,0.1))</f>
        <v>0</v>
      </c>
      <c r="BB150" s="44" t="n">
        <f aca="false">IF(AW150=0,0,bsd(2,BB$27,AX150,$H150,$R150,$P150,$S150,0.1))</f>
        <v>0</v>
      </c>
      <c r="BC150" s="44" t="n">
        <f aca="false">IF(AW150=0,0,bsd(BB$28,BB$27,AX150,$H150,$R150,$P150,$S150,0.1))</f>
        <v>0</v>
      </c>
      <c r="BD150" s="45" t="n">
        <f aca="false">AW150*BA150</f>
        <v>0</v>
      </c>
      <c r="BE150" s="45" t="n">
        <f aca="false">AW150*BB150</f>
        <v>0</v>
      </c>
      <c r="BF150" s="45" t="n">
        <f aca="false">AW150*BC150</f>
        <v>0</v>
      </c>
      <c r="BH150" s="9" t="n">
        <f aca="false">IF($A150&gt;=BI$25,IF($A150&lt;=BI$26,$T150,0),0)</f>
        <v>0</v>
      </c>
      <c r="BI150" s="9" t="e">
        <f aca="false">BK150/BH150</f>
        <v>#DIV/0!</v>
      </c>
      <c r="BJ150" s="1" t="n">
        <f aca="false">BH150*($B150+H$13)</f>
        <v>0</v>
      </c>
      <c r="BK150" s="33" t="n">
        <f aca="false">IF(ISNUMBER(((BJ150/BH150)+H$15+$C150)*BH150),((BJ150/BH150)+H$15+$C150)*BH150,0)</f>
        <v>0</v>
      </c>
      <c r="BL150" s="44" t="n">
        <f aca="false">IF(BH150=0,0,bsd(1,BM$27,BI150,$I150,$R150,$Q150,$S150,0.1))</f>
        <v>0</v>
      </c>
      <c r="BM150" s="44" t="n">
        <f aca="false">IF(BH150=0,0,bsd(2,BM$27,BI150,$I150,$R150,$Q150,$S150,0.1))</f>
        <v>0</v>
      </c>
      <c r="BN150" s="44" t="n">
        <f aca="false">IF(BH150=0,0,bsd(BM$28,BM$27,BI150,$I150,$R150,$Q150,$S150,0.1))</f>
        <v>0</v>
      </c>
      <c r="BO150" s="45" t="n">
        <f aca="false">BH150*BL150</f>
        <v>0</v>
      </c>
      <c r="BP150" s="45" t="n">
        <f aca="false">BH150*BM150</f>
        <v>0</v>
      </c>
      <c r="BQ150" s="45" t="n">
        <f aca="false">BH150*BN150</f>
        <v>0</v>
      </c>
    </row>
    <row r="151" customFormat="false" ht="12.75" hidden="false" customHeight="false" outlineLevel="0" collapsed="false">
      <c r="A151" s="48" t="n">
        <f aca="false">DATE(YEAR(A150),MONTH(A150)+1,1)</f>
        <v>40452</v>
      </c>
      <c r="B151" s="40"/>
      <c r="C151" s="40"/>
      <c r="D151" s="4"/>
      <c r="E151" s="131"/>
      <c r="F151" s="41"/>
      <c r="G151" s="41"/>
      <c r="H151" s="41"/>
      <c r="I151" s="41"/>
      <c r="J151" s="4"/>
      <c r="K151" s="4"/>
      <c r="L151" s="4"/>
      <c r="M151" s="4"/>
      <c r="N151" s="4"/>
      <c r="O151" s="4"/>
      <c r="P151" s="4"/>
      <c r="Q151" s="4"/>
      <c r="R151" s="136"/>
      <c r="S151" s="4"/>
      <c r="T151" s="43"/>
      <c r="X151" s="43"/>
      <c r="Z151" s="9"/>
      <c r="AA151" s="9"/>
      <c r="AB151" s="9"/>
      <c r="AD151" s="33"/>
      <c r="AE151" s="44"/>
      <c r="AF151" s="44"/>
      <c r="AG151" s="44"/>
      <c r="AH151" s="45"/>
      <c r="AI151" s="45"/>
      <c r="AJ151" s="45"/>
      <c r="AL151" s="9"/>
      <c r="AM151" s="9"/>
      <c r="AO151" s="33"/>
      <c r="AP151" s="44"/>
      <c r="AQ151" s="44"/>
      <c r="AR151" s="44"/>
      <c r="AS151" s="45"/>
      <c r="AT151" s="45"/>
      <c r="AU151" s="45"/>
      <c r="AW151" s="9"/>
      <c r="AX151" s="9"/>
      <c r="AZ151" s="33"/>
      <c r="BA151" s="44"/>
      <c r="BB151" s="44"/>
      <c r="BC151" s="44"/>
      <c r="BD151" s="45"/>
      <c r="BE151" s="45"/>
      <c r="BF151" s="45"/>
      <c r="BH151" s="9"/>
      <c r="BI151" s="9"/>
      <c r="BK151" s="33"/>
      <c r="BL151" s="44"/>
      <c r="BM151" s="44"/>
      <c r="BN151" s="44"/>
      <c r="BO151" s="45"/>
      <c r="BP151" s="45"/>
      <c r="BQ151" s="45"/>
    </row>
    <row r="152" customFormat="false" ht="12.75" hidden="false" customHeight="false" outlineLevel="0" collapsed="false">
      <c r="A152" s="48"/>
      <c r="B152" s="49"/>
      <c r="C152" s="50"/>
      <c r="E152" s="46"/>
      <c r="F152" s="46"/>
      <c r="G152" s="46"/>
      <c r="H152" s="133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1"/>
      <c r="AA152" s="10"/>
      <c r="AB152" s="11"/>
      <c r="AL152" s="10"/>
      <c r="AM152" s="11"/>
      <c r="AW152" s="10"/>
      <c r="AX152" s="11"/>
      <c r="BH152" s="10"/>
      <c r="BI152" s="11"/>
    </row>
    <row r="153" customFormat="false" ht="12.75" hidden="false" customHeight="false" outlineLevel="0" collapsed="false">
      <c r="A153" s="51"/>
      <c r="B153" s="49"/>
      <c r="C153" s="50"/>
      <c r="E153" s="46"/>
      <c r="F153" s="46"/>
      <c r="G153" s="46"/>
      <c r="H153" s="133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1"/>
      <c r="AA153" s="10"/>
      <c r="AB153" s="11"/>
      <c r="AL153" s="10"/>
      <c r="AM153" s="11"/>
      <c r="AW153" s="10"/>
      <c r="AX153" s="11"/>
      <c r="BH153" s="10"/>
      <c r="BI153" s="11"/>
    </row>
    <row r="154" customFormat="false" ht="12.75" hidden="false" customHeight="false" outlineLevel="0" collapsed="false">
      <c r="A154" s="51"/>
      <c r="B154" s="49"/>
      <c r="C154" s="50"/>
      <c r="E154" s="46"/>
      <c r="F154" s="46"/>
      <c r="G154" s="46"/>
      <c r="H154" s="133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1"/>
      <c r="AA154" s="10"/>
      <c r="AB154" s="11"/>
      <c r="AL154" s="10"/>
      <c r="AM154" s="11"/>
      <c r="AW154" s="10"/>
      <c r="AX154" s="11"/>
      <c r="BH154" s="10"/>
      <c r="BI154" s="11"/>
    </row>
    <row r="155" customFormat="false" ht="12.75" hidden="false" customHeight="false" outlineLevel="0" collapsed="false">
      <c r="A155" s="51"/>
      <c r="B155" s="49"/>
      <c r="C155" s="50"/>
      <c r="E155" s="46"/>
      <c r="F155" s="46"/>
      <c r="G155" s="46"/>
      <c r="H155" s="133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1"/>
      <c r="AA155" s="10"/>
      <c r="AB155" s="11"/>
      <c r="AL155" s="10"/>
      <c r="AM155" s="11"/>
      <c r="AW155" s="10"/>
      <c r="AX155" s="11"/>
      <c r="BH155" s="10"/>
      <c r="BI155" s="11"/>
    </row>
    <row r="156" customFormat="false" ht="12.75" hidden="false" customHeight="false" outlineLevel="0" collapsed="false">
      <c r="A156" s="51"/>
      <c r="B156" s="49"/>
      <c r="C156" s="50"/>
      <c r="E156" s="46"/>
      <c r="F156" s="46"/>
      <c r="G156" s="46"/>
      <c r="H156" s="133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1"/>
      <c r="AA156" s="10"/>
      <c r="AB156" s="11"/>
      <c r="AL156" s="10"/>
      <c r="AM156" s="11"/>
      <c r="AW156" s="10"/>
      <c r="AX156" s="11"/>
      <c r="BH156" s="10"/>
      <c r="BI156" s="11"/>
    </row>
    <row r="157" customFormat="false" ht="12.75" hidden="false" customHeight="false" outlineLevel="0" collapsed="false">
      <c r="A157" s="51"/>
      <c r="B157" s="49"/>
      <c r="C157" s="50"/>
      <c r="E157" s="46"/>
      <c r="F157" s="46"/>
      <c r="G157" s="46"/>
      <c r="H157" s="133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1"/>
      <c r="AA157" s="10"/>
      <c r="AB157" s="11"/>
      <c r="AL157" s="10"/>
      <c r="AM157" s="11"/>
      <c r="AW157" s="10"/>
      <c r="AX157" s="11"/>
      <c r="BH157" s="10"/>
      <c r="BI157" s="11"/>
    </row>
    <row r="158" customFormat="false" ht="12.75" hidden="false" customHeight="false" outlineLevel="0" collapsed="false">
      <c r="A158" s="51"/>
      <c r="B158" s="49"/>
      <c r="C158" s="50"/>
      <c r="E158" s="46"/>
      <c r="F158" s="46"/>
      <c r="G158" s="46"/>
      <c r="H158" s="133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1"/>
      <c r="AA158" s="10"/>
      <c r="AB158" s="11"/>
      <c r="AL158" s="10"/>
      <c r="AM158" s="11"/>
      <c r="AW158" s="10"/>
      <c r="AX158" s="11"/>
      <c r="BH158" s="10"/>
      <c r="BI158" s="11"/>
    </row>
    <row r="159" customFormat="false" ht="12.75" hidden="false" customHeight="false" outlineLevel="0" collapsed="false">
      <c r="A159" s="51"/>
      <c r="B159" s="49"/>
      <c r="C159" s="50"/>
      <c r="E159" s="46"/>
      <c r="F159" s="46"/>
      <c r="G159" s="46"/>
      <c r="H159" s="133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1"/>
      <c r="AA159" s="10"/>
      <c r="AB159" s="11"/>
      <c r="AL159" s="10"/>
      <c r="AM159" s="11"/>
      <c r="AW159" s="10"/>
      <c r="AX159" s="11"/>
      <c r="BH159" s="10"/>
      <c r="BI159" s="11"/>
    </row>
    <row r="160" customFormat="false" ht="12.75" hidden="false" customHeight="false" outlineLevel="0" collapsed="false">
      <c r="A160" s="51"/>
      <c r="B160" s="49"/>
      <c r="C160" s="50"/>
      <c r="E160" s="46"/>
      <c r="F160" s="46"/>
      <c r="G160" s="46"/>
      <c r="H160" s="133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1"/>
      <c r="AA160" s="10"/>
      <c r="AB160" s="11"/>
      <c r="AL160" s="10"/>
      <c r="AM160" s="11"/>
      <c r="AW160" s="10"/>
      <c r="AX160" s="11"/>
      <c r="BH160" s="10"/>
      <c r="BI160" s="11"/>
    </row>
    <row r="161" customFormat="false" ht="12.75" hidden="false" customHeight="false" outlineLevel="0" collapsed="false">
      <c r="A161" s="51"/>
      <c r="B161" s="49"/>
      <c r="C161" s="50"/>
      <c r="E161" s="46"/>
      <c r="F161" s="46"/>
      <c r="G161" s="46"/>
      <c r="H161" s="133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1"/>
      <c r="AA161" s="10"/>
      <c r="AB161" s="11"/>
      <c r="AL161" s="10"/>
      <c r="AM161" s="11"/>
      <c r="AW161" s="10"/>
      <c r="AX161" s="11"/>
      <c r="BH161" s="10"/>
      <c r="BI161" s="11"/>
    </row>
    <row r="162" customFormat="false" ht="12.75" hidden="false" customHeight="false" outlineLevel="0" collapsed="false">
      <c r="A162" s="51"/>
      <c r="B162" s="49"/>
      <c r="C162" s="50"/>
      <c r="E162" s="46"/>
      <c r="F162" s="46"/>
      <c r="G162" s="46"/>
      <c r="H162" s="133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1"/>
      <c r="AA162" s="10"/>
      <c r="AB162" s="11"/>
      <c r="AL162" s="10"/>
      <c r="AM162" s="11"/>
      <c r="AW162" s="10"/>
      <c r="AX162" s="11"/>
      <c r="BH162" s="10"/>
      <c r="BI162" s="11"/>
    </row>
    <row r="163" customFormat="false" ht="12.75" hidden="false" customHeight="false" outlineLevel="0" collapsed="false">
      <c r="A163" s="52"/>
      <c r="E163" s="22"/>
      <c r="F163" s="22"/>
      <c r="G163" s="22"/>
      <c r="H163" s="133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1"/>
      <c r="AA163" s="10"/>
      <c r="AB163" s="11"/>
      <c r="AL163" s="10"/>
      <c r="AM163" s="11"/>
      <c r="AW163" s="10"/>
      <c r="AX163" s="11"/>
      <c r="BH163" s="10"/>
      <c r="BI163" s="11"/>
    </row>
    <row r="164" customFormat="false" ht="12.75" hidden="false" customHeight="false" outlineLevel="0" collapsed="false">
      <c r="A164" s="51"/>
      <c r="B164" s="49"/>
      <c r="C164" s="50"/>
      <c r="E164" s="46"/>
      <c r="F164" s="46"/>
      <c r="G164" s="46"/>
      <c r="H164" s="133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1"/>
      <c r="AA164" s="10"/>
      <c r="AB164" s="11"/>
      <c r="AL164" s="10"/>
      <c r="AM164" s="11"/>
      <c r="AW164" s="10"/>
      <c r="AX164" s="11"/>
      <c r="BH164" s="10"/>
      <c r="BI164" s="11"/>
    </row>
    <row r="165" customFormat="false" ht="12.75" hidden="false" customHeight="false" outlineLevel="0" collapsed="false">
      <c r="B165" s="51"/>
      <c r="C165" s="53"/>
      <c r="D165" s="54"/>
      <c r="E165" s="55"/>
      <c r="F165" s="55"/>
      <c r="G165" s="55"/>
      <c r="H165" s="46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0"/>
      <c r="T165" s="55"/>
      <c r="U165" s="55"/>
      <c r="V165" s="10"/>
      <c r="W165" s="10"/>
      <c r="X165" s="10"/>
      <c r="Y165" s="10"/>
      <c r="Z165" s="11"/>
      <c r="AA165" s="10"/>
      <c r="AB165" s="11"/>
      <c r="AL165" s="10"/>
      <c r="AM165" s="11"/>
      <c r="AW165" s="10"/>
      <c r="AX165" s="11"/>
      <c r="BH165" s="10"/>
      <c r="BI165" s="11"/>
    </row>
    <row r="166" customFormat="false" ht="12.75" hidden="false" customHeight="false" outlineLevel="0" collapsed="false">
      <c r="B166" s="51"/>
      <c r="C166" s="53"/>
      <c r="D166" s="54"/>
      <c r="E166" s="55"/>
      <c r="F166" s="55"/>
      <c r="G166" s="55"/>
      <c r="H166" s="46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0"/>
      <c r="T166" s="55"/>
      <c r="U166" s="55"/>
      <c r="V166" s="10"/>
      <c r="W166" s="10"/>
      <c r="X166" s="10"/>
      <c r="Y166" s="10"/>
      <c r="Z166" s="11"/>
      <c r="AA166" s="10"/>
      <c r="AB166" s="11"/>
      <c r="AL166" s="10"/>
      <c r="AM166" s="11"/>
      <c r="AW166" s="10"/>
      <c r="AX166" s="11"/>
      <c r="BH166" s="10"/>
      <c r="BI166" s="11"/>
    </row>
    <row r="167" customFormat="false" ht="12.75" hidden="false" customHeight="false" outlineLevel="0" collapsed="false">
      <c r="B167" s="51"/>
      <c r="C167" s="53"/>
      <c r="D167" s="54"/>
      <c r="E167" s="55"/>
      <c r="F167" s="55"/>
      <c r="G167" s="55"/>
      <c r="H167" s="46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0"/>
      <c r="T167" s="55"/>
      <c r="U167" s="55"/>
      <c r="V167" s="10"/>
      <c r="W167" s="10"/>
      <c r="X167" s="10"/>
      <c r="Y167" s="10"/>
      <c r="Z167" s="11"/>
      <c r="AA167" s="10"/>
      <c r="AB167" s="11"/>
      <c r="AL167" s="10"/>
      <c r="AM167" s="11"/>
      <c r="AW167" s="10"/>
      <c r="AX167" s="11"/>
      <c r="BH167" s="10"/>
      <c r="BI167" s="11"/>
    </row>
    <row r="168" customFormat="false" ht="12.75" hidden="false" customHeight="false" outlineLevel="0" collapsed="false">
      <c r="B168" s="51"/>
      <c r="C168" s="53"/>
      <c r="D168" s="54"/>
      <c r="E168" s="55"/>
      <c r="F168" s="55"/>
      <c r="G168" s="55"/>
      <c r="H168" s="46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0"/>
      <c r="T168" s="55"/>
      <c r="U168" s="55"/>
      <c r="V168" s="10"/>
      <c r="W168" s="10"/>
      <c r="X168" s="10"/>
      <c r="Y168" s="10"/>
      <c r="Z168" s="11"/>
      <c r="AA168" s="10"/>
      <c r="AB168" s="11"/>
      <c r="AL168" s="10"/>
      <c r="AM168" s="11"/>
      <c r="AW168" s="10"/>
      <c r="AX168" s="11"/>
      <c r="BH168" s="10"/>
      <c r="BI168" s="11"/>
    </row>
    <row r="169" customFormat="false" ht="12.75" hidden="false" customHeight="false" outlineLevel="0" collapsed="false">
      <c r="B169" s="51"/>
      <c r="C169" s="53"/>
      <c r="D169" s="54"/>
      <c r="E169" s="55"/>
      <c r="F169" s="55"/>
      <c r="G169" s="55"/>
      <c r="H169" s="46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0"/>
      <c r="T169" s="55"/>
      <c r="U169" s="55"/>
      <c r="V169" s="10"/>
      <c r="W169" s="10"/>
      <c r="X169" s="10"/>
      <c r="Y169" s="10"/>
      <c r="Z169" s="11"/>
      <c r="AA169" s="10"/>
      <c r="AB169" s="11"/>
      <c r="AL169" s="10"/>
      <c r="AM169" s="11"/>
      <c r="AW169" s="10"/>
      <c r="AX169" s="11"/>
      <c r="BH169" s="10"/>
      <c r="BI169" s="11"/>
    </row>
    <row r="170" customFormat="false" ht="12.75" hidden="false" customHeight="false" outlineLevel="0" collapsed="false">
      <c r="B170" s="51"/>
      <c r="C170" s="53"/>
      <c r="D170" s="54"/>
      <c r="E170" s="55"/>
      <c r="F170" s="55"/>
      <c r="G170" s="55"/>
      <c r="H170" s="46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0"/>
      <c r="T170" s="55"/>
      <c r="U170" s="55"/>
      <c r="V170" s="10"/>
      <c r="W170" s="10"/>
      <c r="X170" s="10"/>
      <c r="Y170" s="10"/>
      <c r="Z170" s="11"/>
      <c r="AA170" s="10"/>
      <c r="AB170" s="11"/>
      <c r="AL170" s="10"/>
      <c r="AM170" s="11"/>
      <c r="AW170" s="10"/>
      <c r="AX170" s="11"/>
      <c r="BH170" s="10"/>
      <c r="BI170" s="11"/>
    </row>
    <row r="171" customFormat="false" ht="12.75" hidden="false" customHeight="false" outlineLevel="0" collapsed="false">
      <c r="B171" s="51"/>
      <c r="C171" s="53"/>
      <c r="D171" s="54"/>
      <c r="E171" s="55"/>
      <c r="F171" s="55"/>
      <c r="G171" s="55"/>
      <c r="H171" s="46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0"/>
      <c r="T171" s="55"/>
      <c r="U171" s="55"/>
      <c r="V171" s="10"/>
      <c r="W171" s="10"/>
      <c r="X171" s="10"/>
      <c r="Y171" s="10"/>
      <c r="Z171" s="11"/>
      <c r="AA171" s="10"/>
      <c r="AB171" s="11"/>
      <c r="AL171" s="10"/>
      <c r="AM171" s="11"/>
      <c r="AW171" s="10"/>
      <c r="AX171" s="11"/>
      <c r="BH171" s="10"/>
      <c r="BI171" s="11"/>
    </row>
    <row r="172" customFormat="false" ht="12.75" hidden="false" customHeight="false" outlineLevel="0" collapsed="false">
      <c r="B172" s="51"/>
      <c r="C172" s="53"/>
      <c r="D172" s="54"/>
      <c r="E172" s="55"/>
      <c r="F172" s="55"/>
      <c r="G172" s="55"/>
      <c r="H172" s="46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0"/>
      <c r="T172" s="55"/>
      <c r="U172" s="55"/>
      <c r="V172" s="10"/>
      <c r="W172" s="10"/>
      <c r="X172" s="10"/>
      <c r="Y172" s="10"/>
      <c r="Z172" s="11"/>
      <c r="AA172" s="10"/>
      <c r="AB172" s="11"/>
      <c r="AL172" s="10"/>
      <c r="AM172" s="11"/>
      <c r="AW172" s="10"/>
      <c r="AX172" s="11"/>
      <c r="BH172" s="10"/>
      <c r="BI172" s="11"/>
    </row>
    <row r="173" customFormat="false" ht="12.75" hidden="false" customHeight="false" outlineLevel="0" collapsed="false">
      <c r="B173" s="51"/>
      <c r="C173" s="53"/>
      <c r="D173" s="54"/>
      <c r="E173" s="55"/>
      <c r="F173" s="55"/>
      <c r="G173" s="55"/>
      <c r="H173" s="46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0"/>
      <c r="T173" s="55"/>
      <c r="U173" s="55"/>
      <c r="V173" s="10"/>
      <c r="W173" s="10"/>
      <c r="X173" s="10"/>
      <c r="Y173" s="10"/>
      <c r="Z173" s="11"/>
      <c r="AA173" s="10"/>
      <c r="AB173" s="11"/>
      <c r="AL173" s="10"/>
      <c r="AM173" s="11"/>
      <c r="AW173" s="10"/>
      <c r="AX173" s="11"/>
      <c r="BH173" s="10"/>
      <c r="BI173" s="11"/>
    </row>
    <row r="174" customFormat="false" ht="12.75" hidden="false" customHeight="false" outlineLevel="0" collapsed="false">
      <c r="B174" s="51"/>
      <c r="C174" s="53"/>
      <c r="D174" s="54"/>
      <c r="E174" s="55"/>
      <c r="F174" s="55"/>
      <c r="G174" s="55"/>
      <c r="H174" s="46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0"/>
      <c r="T174" s="55"/>
      <c r="U174" s="55"/>
      <c r="V174" s="10"/>
      <c r="W174" s="10"/>
      <c r="X174" s="10"/>
      <c r="Y174" s="10"/>
      <c r="Z174" s="11"/>
      <c r="AA174" s="10"/>
      <c r="AB174" s="11"/>
      <c r="AL174" s="10"/>
      <c r="AM174" s="11"/>
      <c r="AW174" s="10"/>
      <c r="AX174" s="11"/>
      <c r="BH174" s="10"/>
      <c r="BI174" s="11"/>
    </row>
    <row r="175" customFormat="false" ht="12.75" hidden="false" customHeight="false" outlineLevel="0" collapsed="false">
      <c r="B175" s="51"/>
      <c r="C175" s="53"/>
      <c r="D175" s="54"/>
      <c r="E175" s="55"/>
      <c r="F175" s="55"/>
      <c r="G175" s="55"/>
      <c r="H175" s="46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0"/>
      <c r="T175" s="55"/>
      <c r="U175" s="55"/>
      <c r="V175" s="10"/>
      <c r="W175" s="10"/>
      <c r="X175" s="10"/>
      <c r="Y175" s="10"/>
      <c r="Z175" s="11"/>
      <c r="AA175" s="10"/>
      <c r="AB175" s="11"/>
      <c r="AL175" s="10"/>
      <c r="AM175" s="11"/>
      <c r="AW175" s="10"/>
      <c r="AX175" s="11"/>
      <c r="BH175" s="10"/>
      <c r="BI175" s="11"/>
    </row>
    <row r="176" customFormat="false" ht="12.75" hidden="false" customHeight="false" outlineLevel="0" collapsed="false">
      <c r="B176" s="51"/>
      <c r="C176" s="53"/>
      <c r="D176" s="54"/>
      <c r="E176" s="55"/>
      <c r="F176" s="55"/>
      <c r="G176" s="55"/>
      <c r="H176" s="46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0"/>
      <c r="T176" s="55"/>
      <c r="U176" s="55"/>
      <c r="V176" s="10"/>
      <c r="W176" s="10"/>
      <c r="X176" s="10"/>
      <c r="Y176" s="10"/>
      <c r="Z176" s="11"/>
      <c r="AA176" s="10"/>
      <c r="AB176" s="11"/>
      <c r="AL176" s="10"/>
      <c r="AM176" s="11"/>
      <c r="AW176" s="10"/>
      <c r="AX176" s="11"/>
      <c r="BH176" s="10"/>
      <c r="BI176" s="11"/>
    </row>
    <row r="177" customFormat="false" ht="13.5" hidden="false" customHeight="false" outlineLevel="0" collapsed="false">
      <c r="B177" s="51"/>
      <c r="C177" s="53"/>
      <c r="D177" s="56"/>
      <c r="E177" s="55"/>
      <c r="F177" s="55"/>
      <c r="G177" s="55"/>
      <c r="H177" s="46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0"/>
      <c r="T177" s="10"/>
      <c r="U177" s="10"/>
      <c r="V177" s="10"/>
      <c r="W177" s="10"/>
      <c r="X177" s="10"/>
      <c r="Y177" s="10"/>
      <c r="Z177" s="11"/>
      <c r="AA177" s="10"/>
      <c r="AB177" s="11"/>
      <c r="AL177" s="10"/>
      <c r="AM177" s="11"/>
      <c r="AW177" s="10"/>
      <c r="AX177" s="11"/>
      <c r="BH177" s="10"/>
      <c r="BI177" s="11"/>
    </row>
    <row r="178" customFormat="false" ht="12.75" hidden="false" customHeight="false" outlineLevel="0" collapsed="false">
      <c r="B178" s="51"/>
      <c r="C178" s="53"/>
      <c r="D178" s="57"/>
      <c r="E178" s="55"/>
      <c r="F178" s="55"/>
      <c r="G178" s="55"/>
      <c r="H178" s="46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0"/>
      <c r="T178" s="10"/>
      <c r="U178" s="10"/>
      <c r="V178" s="10"/>
      <c r="W178" s="10"/>
      <c r="X178" s="10"/>
      <c r="Y178" s="10"/>
      <c r="Z178" s="11"/>
      <c r="AA178" s="10"/>
      <c r="AB178" s="11"/>
      <c r="AL178" s="10"/>
      <c r="AM178" s="11"/>
      <c r="AW178" s="10"/>
      <c r="AX178" s="11"/>
      <c r="BH178" s="10"/>
      <c r="BI178" s="11"/>
    </row>
    <row r="179" customFormat="false" ht="13.5" hidden="false" customHeight="false" outlineLevel="0" collapsed="false">
      <c r="B179" s="51"/>
      <c r="C179" s="53"/>
      <c r="D179" s="58"/>
      <c r="E179" s="55"/>
      <c r="F179" s="55"/>
      <c r="G179" s="55"/>
      <c r="H179" s="46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0"/>
      <c r="T179" s="10"/>
      <c r="U179" s="10"/>
      <c r="V179" s="10"/>
      <c r="W179" s="10"/>
      <c r="X179" s="10"/>
      <c r="Y179" s="10"/>
      <c r="Z179" s="11"/>
      <c r="AA179" s="10"/>
      <c r="AB179" s="11"/>
      <c r="AL179" s="10"/>
      <c r="AM179" s="11"/>
      <c r="AW179" s="10"/>
      <c r="AX179" s="11"/>
      <c r="BH179" s="10"/>
      <c r="BI179" s="11"/>
    </row>
    <row r="180" customFormat="false" ht="13.5" hidden="false" customHeight="false" outlineLevel="0" collapsed="false">
      <c r="B180" s="51"/>
      <c r="C180" s="53"/>
      <c r="D180" s="58"/>
      <c r="E180" s="55"/>
      <c r="F180" s="55"/>
      <c r="G180" s="55"/>
      <c r="H180" s="46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0"/>
      <c r="T180" s="10"/>
      <c r="U180" s="10"/>
      <c r="V180" s="10"/>
      <c r="W180" s="10"/>
      <c r="X180" s="10"/>
      <c r="Y180" s="10"/>
      <c r="Z180" s="11"/>
      <c r="AA180" s="10"/>
      <c r="AB180" s="11"/>
      <c r="AL180" s="10"/>
      <c r="AM180" s="11"/>
      <c r="AW180" s="10"/>
      <c r="AX180" s="11"/>
      <c r="BH180" s="10"/>
      <c r="BI180" s="11"/>
    </row>
    <row r="181" customFormat="false" ht="12.75" hidden="false" customHeight="false" outlineLevel="0" collapsed="false">
      <c r="B181" s="51"/>
      <c r="C181" s="53"/>
      <c r="D181" s="59"/>
      <c r="E181" s="55"/>
      <c r="F181" s="55"/>
      <c r="G181" s="55"/>
      <c r="H181" s="46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0"/>
      <c r="T181" s="10"/>
      <c r="U181" s="10"/>
      <c r="V181" s="10"/>
      <c r="W181" s="10"/>
      <c r="X181" s="10"/>
      <c r="Y181" s="10"/>
      <c r="Z181" s="11"/>
      <c r="AA181" s="10"/>
      <c r="AB181" s="11"/>
      <c r="AL181" s="10"/>
      <c r="AM181" s="11"/>
      <c r="AW181" s="10"/>
      <c r="AX181" s="11"/>
      <c r="BH181" s="10"/>
      <c r="BI181" s="11"/>
    </row>
    <row r="182" customFormat="false" ht="12.75" hidden="false" customHeight="false" outlineLevel="0" collapsed="false">
      <c r="B182" s="51"/>
      <c r="C182" s="53"/>
      <c r="D182" s="59"/>
      <c r="E182" s="55"/>
      <c r="F182" s="55"/>
      <c r="G182" s="55"/>
      <c r="H182" s="46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0"/>
      <c r="T182" s="10"/>
      <c r="U182" s="10"/>
      <c r="V182" s="10"/>
      <c r="W182" s="10"/>
      <c r="X182" s="10"/>
      <c r="Y182" s="10"/>
      <c r="Z182" s="11"/>
      <c r="AA182" s="10"/>
      <c r="AB182" s="11"/>
      <c r="AL182" s="10"/>
      <c r="AM182" s="11"/>
      <c r="AW182" s="10"/>
      <c r="AX182" s="11"/>
      <c r="BH182" s="10"/>
      <c r="BI182" s="11"/>
    </row>
    <row r="183" customFormat="false" ht="12.75" hidden="false" customHeight="false" outlineLevel="0" collapsed="false">
      <c r="B183" s="51"/>
      <c r="C183" s="53"/>
      <c r="D183" s="59"/>
      <c r="E183" s="55"/>
      <c r="F183" s="55"/>
      <c r="G183" s="55"/>
      <c r="H183" s="46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0"/>
      <c r="T183" s="10"/>
      <c r="U183" s="10"/>
      <c r="V183" s="10"/>
      <c r="W183" s="10"/>
      <c r="X183" s="10"/>
      <c r="Y183" s="10"/>
      <c r="Z183" s="11"/>
      <c r="AA183" s="10"/>
      <c r="AB183" s="11"/>
      <c r="AL183" s="10"/>
      <c r="AM183" s="11"/>
      <c r="AW183" s="10"/>
      <c r="AX183" s="11"/>
      <c r="BH183" s="10"/>
      <c r="BI183" s="11"/>
    </row>
    <row r="184" customFormat="false" ht="12.75" hidden="false" customHeight="false" outlineLevel="0" collapsed="false">
      <c r="B184" s="51"/>
      <c r="C184" s="53"/>
      <c r="D184" s="59"/>
      <c r="E184" s="55"/>
      <c r="F184" s="55"/>
      <c r="G184" s="55"/>
      <c r="H184" s="46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0"/>
      <c r="T184" s="10"/>
      <c r="U184" s="10"/>
      <c r="V184" s="10"/>
      <c r="W184" s="10"/>
      <c r="X184" s="10"/>
      <c r="Y184" s="10"/>
      <c r="Z184" s="11"/>
      <c r="AA184" s="10"/>
      <c r="AB184" s="11"/>
      <c r="AL184" s="10"/>
      <c r="AM184" s="11"/>
      <c r="AW184" s="10"/>
      <c r="AX184" s="11"/>
      <c r="BH184" s="10"/>
      <c r="BI184" s="11"/>
    </row>
    <row r="185" customFormat="false" ht="12.75" hidden="false" customHeight="false" outlineLevel="0" collapsed="false">
      <c r="B185" s="51"/>
      <c r="C185" s="53"/>
      <c r="D185" s="59"/>
      <c r="E185" s="55"/>
      <c r="F185" s="55"/>
      <c r="G185" s="55"/>
      <c r="H185" s="46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0"/>
      <c r="T185" s="10"/>
      <c r="U185" s="10"/>
      <c r="V185" s="10"/>
      <c r="W185" s="10"/>
      <c r="X185" s="10"/>
      <c r="Y185" s="10"/>
      <c r="Z185" s="11"/>
      <c r="AA185" s="10"/>
      <c r="AB185" s="11"/>
      <c r="AL185" s="10"/>
      <c r="AM185" s="11"/>
      <c r="AW185" s="10"/>
      <c r="AX185" s="11"/>
      <c r="BH185" s="10"/>
      <c r="BI185" s="11"/>
    </row>
    <row r="186" customFormat="false" ht="12.75" hidden="false" customHeight="false" outlineLevel="0" collapsed="false">
      <c r="B186" s="51"/>
      <c r="C186" s="53"/>
      <c r="D186" s="59"/>
      <c r="E186" s="55"/>
      <c r="F186" s="55"/>
      <c r="G186" s="55"/>
      <c r="H186" s="46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0"/>
      <c r="V186" s="10"/>
      <c r="W186" s="10"/>
      <c r="X186" s="10"/>
      <c r="Y186" s="10"/>
      <c r="Z186" s="11"/>
      <c r="AA186" s="10"/>
      <c r="AB186" s="11"/>
      <c r="AL186" s="10"/>
      <c r="AM186" s="11"/>
      <c r="AW186" s="10"/>
      <c r="AX186" s="11"/>
      <c r="BH186" s="10"/>
      <c r="BI186" s="11"/>
    </row>
    <row r="187" customFormat="false" ht="12.75" hidden="false" customHeight="false" outlineLevel="0" collapsed="false">
      <c r="B187" s="51"/>
      <c r="C187" s="53"/>
      <c r="D187" s="59"/>
      <c r="E187" s="55"/>
      <c r="F187" s="55"/>
      <c r="G187" s="55"/>
      <c r="H187" s="46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0"/>
      <c r="T187" s="10"/>
      <c r="U187" s="10"/>
      <c r="V187" s="10"/>
      <c r="W187" s="10"/>
      <c r="X187" s="10"/>
      <c r="Y187" s="10"/>
      <c r="Z187" s="11"/>
      <c r="AA187" s="10"/>
      <c r="AB187" s="11"/>
      <c r="AL187" s="10"/>
      <c r="AM187" s="11"/>
      <c r="AW187" s="10"/>
      <c r="AX187" s="11"/>
      <c r="BH187" s="10"/>
      <c r="BI187" s="11"/>
    </row>
    <row r="188" customFormat="false" ht="12.75" hidden="false" customHeight="false" outlineLevel="0" collapsed="false">
      <c r="B188" s="51"/>
      <c r="C188" s="53"/>
      <c r="D188" s="59"/>
      <c r="E188" s="55"/>
      <c r="F188" s="55"/>
      <c r="G188" s="55"/>
      <c r="H188" s="46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0"/>
      <c r="T188" s="10"/>
      <c r="U188" s="10"/>
      <c r="V188" s="10"/>
      <c r="W188" s="10"/>
      <c r="X188" s="10"/>
      <c r="Y188" s="10"/>
      <c r="Z188" s="11"/>
      <c r="AA188" s="10"/>
      <c r="AB188" s="11"/>
      <c r="AL188" s="10"/>
      <c r="AM188" s="11"/>
      <c r="AW188" s="10"/>
      <c r="AX188" s="11"/>
      <c r="BH188" s="10"/>
      <c r="BI188" s="11"/>
    </row>
    <row r="189" customFormat="false" ht="12.75" hidden="false" customHeight="false" outlineLevel="0" collapsed="false">
      <c r="B189" s="51"/>
      <c r="C189" s="53"/>
      <c r="D189" s="59"/>
      <c r="E189" s="55"/>
      <c r="F189" s="55"/>
      <c r="G189" s="55"/>
      <c r="H189" s="46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0"/>
      <c r="T189" s="10"/>
      <c r="U189" s="10"/>
      <c r="V189" s="10"/>
      <c r="W189" s="10"/>
      <c r="X189" s="10"/>
      <c r="Y189" s="10"/>
      <c r="Z189" s="11"/>
      <c r="AA189" s="10"/>
      <c r="AB189" s="11"/>
      <c r="AL189" s="10"/>
      <c r="AM189" s="11"/>
      <c r="AW189" s="10"/>
      <c r="AX189" s="11"/>
      <c r="BH189" s="10"/>
      <c r="BI189" s="11"/>
    </row>
    <row r="190" customFormat="false" ht="12.75" hidden="false" customHeight="false" outlineLevel="0" collapsed="false">
      <c r="B190" s="51"/>
      <c r="C190" s="53"/>
      <c r="D190" s="59"/>
      <c r="E190" s="55"/>
      <c r="F190" s="55"/>
      <c r="G190" s="55"/>
      <c r="H190" s="46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0"/>
      <c r="T190" s="10"/>
      <c r="U190" s="10"/>
      <c r="V190" s="10"/>
      <c r="W190" s="10"/>
      <c r="X190" s="10"/>
      <c r="Y190" s="10"/>
      <c r="Z190" s="11"/>
      <c r="AA190" s="10"/>
      <c r="AB190" s="11"/>
      <c r="AL190" s="10"/>
      <c r="AM190" s="11"/>
      <c r="AW190" s="10"/>
      <c r="AX190" s="11"/>
      <c r="BH190" s="10"/>
      <c r="BI190" s="11"/>
    </row>
    <row r="191" customFormat="false" ht="12.75" hidden="false" customHeight="false" outlineLevel="0" collapsed="false">
      <c r="B191" s="51"/>
      <c r="C191" s="53"/>
      <c r="D191" s="59"/>
      <c r="E191" s="55"/>
      <c r="F191" s="55"/>
      <c r="G191" s="55"/>
      <c r="H191" s="46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0"/>
      <c r="T191" s="10"/>
      <c r="U191" s="10"/>
      <c r="V191" s="10"/>
      <c r="W191" s="10"/>
      <c r="X191" s="10"/>
      <c r="Y191" s="10"/>
      <c r="Z191" s="11"/>
      <c r="AA191" s="10"/>
      <c r="AB191" s="11"/>
      <c r="AL191" s="10"/>
      <c r="AM191" s="11"/>
      <c r="AW191" s="10"/>
      <c r="AX191" s="11"/>
      <c r="BH191" s="10"/>
      <c r="BI191" s="11"/>
    </row>
    <row r="192" customFormat="false" ht="12.75" hidden="false" customHeight="false" outlineLevel="0" collapsed="false">
      <c r="B192" s="51"/>
      <c r="C192" s="53"/>
      <c r="D192" s="59"/>
      <c r="E192" s="55"/>
      <c r="F192" s="55"/>
      <c r="G192" s="55"/>
      <c r="H192" s="46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0"/>
      <c r="T192" s="10"/>
      <c r="U192" s="10"/>
      <c r="V192" s="10"/>
      <c r="W192" s="10"/>
      <c r="X192" s="10"/>
      <c r="Y192" s="10"/>
      <c r="Z192" s="11"/>
      <c r="AA192" s="10"/>
      <c r="AB192" s="11"/>
      <c r="AL192" s="10"/>
      <c r="AM192" s="11"/>
      <c r="AW192" s="10"/>
      <c r="AX192" s="11"/>
      <c r="BH192" s="10"/>
      <c r="BI192" s="11"/>
    </row>
    <row r="193" customFormat="false" ht="12.75" hidden="false" customHeight="false" outlineLevel="0" collapsed="false">
      <c r="B193" s="51"/>
      <c r="C193" s="53"/>
      <c r="D193" s="59"/>
      <c r="E193" s="55"/>
      <c r="F193" s="55"/>
      <c r="G193" s="55"/>
      <c r="H193" s="46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0"/>
      <c r="T193" s="10"/>
      <c r="U193" s="10"/>
      <c r="V193" s="10"/>
      <c r="W193" s="10"/>
      <c r="X193" s="10"/>
      <c r="Y193" s="10"/>
      <c r="Z193" s="11"/>
      <c r="AA193" s="10"/>
      <c r="AB193" s="11"/>
      <c r="AL193" s="10"/>
      <c r="AM193" s="11"/>
      <c r="AW193" s="10"/>
      <c r="AX193" s="11"/>
      <c r="BH193" s="10"/>
      <c r="BI193" s="11"/>
    </row>
    <row r="194" customFormat="false" ht="12.75" hidden="false" customHeight="false" outlineLevel="0" collapsed="false">
      <c r="B194" s="51"/>
      <c r="C194" s="53"/>
      <c r="D194" s="59"/>
      <c r="E194" s="55"/>
      <c r="F194" s="55"/>
      <c r="G194" s="55"/>
      <c r="H194" s="46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0"/>
      <c r="T194" s="10"/>
      <c r="U194" s="10"/>
      <c r="V194" s="10"/>
      <c r="W194" s="10"/>
      <c r="X194" s="10"/>
      <c r="Y194" s="10"/>
      <c r="Z194" s="11"/>
      <c r="AA194" s="10"/>
      <c r="AB194" s="11"/>
      <c r="AL194" s="10"/>
      <c r="AM194" s="11"/>
      <c r="AW194" s="10"/>
      <c r="AX194" s="11"/>
      <c r="BH194" s="10"/>
      <c r="BI194" s="11"/>
    </row>
    <row r="195" customFormat="false" ht="12.75" hidden="false" customHeight="false" outlineLevel="0" collapsed="false">
      <c r="B195" s="51"/>
      <c r="C195" s="53"/>
      <c r="D195" s="59"/>
      <c r="E195" s="55"/>
      <c r="F195" s="55"/>
      <c r="G195" s="55"/>
      <c r="H195" s="46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0"/>
      <c r="T195" s="10"/>
      <c r="U195" s="10"/>
      <c r="V195" s="10"/>
      <c r="W195" s="10"/>
      <c r="X195" s="10"/>
      <c r="Y195" s="10"/>
      <c r="Z195" s="11"/>
      <c r="AA195" s="10"/>
      <c r="AB195" s="11"/>
      <c r="AL195" s="10"/>
      <c r="AM195" s="11"/>
      <c r="AW195" s="10"/>
      <c r="AX195" s="11"/>
      <c r="BH195" s="10"/>
      <c r="BI195" s="11"/>
    </row>
    <row r="196" customFormat="false" ht="12.75" hidden="false" customHeight="false" outlineLevel="0" collapsed="false">
      <c r="B196" s="51"/>
      <c r="C196" s="53"/>
      <c r="D196" s="59"/>
      <c r="E196" s="55"/>
      <c r="F196" s="55"/>
      <c r="G196" s="55"/>
      <c r="H196" s="46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0"/>
      <c r="T196" s="10"/>
      <c r="U196" s="10"/>
      <c r="V196" s="10"/>
      <c r="W196" s="10"/>
      <c r="X196" s="10"/>
      <c r="Y196" s="10"/>
      <c r="Z196" s="11"/>
      <c r="AA196" s="10"/>
      <c r="AB196" s="11"/>
      <c r="AL196" s="10"/>
      <c r="AM196" s="11"/>
      <c r="AW196" s="10"/>
      <c r="AX196" s="11"/>
      <c r="BH196" s="10"/>
      <c r="BI196" s="11"/>
    </row>
    <row r="197" customFormat="false" ht="12.75" hidden="false" customHeight="false" outlineLevel="0" collapsed="false">
      <c r="B197" s="51"/>
      <c r="C197" s="53"/>
      <c r="D197" s="59"/>
      <c r="E197" s="55"/>
      <c r="F197" s="55"/>
      <c r="G197" s="55"/>
      <c r="H197" s="46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0"/>
      <c r="T197" s="10"/>
      <c r="U197" s="10"/>
      <c r="V197" s="10"/>
      <c r="W197" s="10"/>
      <c r="X197" s="10"/>
      <c r="Y197" s="10"/>
      <c r="Z197" s="11"/>
      <c r="AA197" s="10"/>
      <c r="AB197" s="11"/>
      <c r="AL197" s="10"/>
      <c r="AM197" s="11"/>
      <c r="AW197" s="10"/>
      <c r="AX197" s="11"/>
      <c r="BH197" s="10"/>
      <c r="BI197" s="11"/>
    </row>
    <row r="198" customFormat="false" ht="12.75" hidden="false" customHeight="false" outlineLevel="0" collapsed="false">
      <c r="B198" s="51"/>
      <c r="C198" s="53"/>
      <c r="D198" s="59"/>
      <c r="E198" s="55"/>
      <c r="F198" s="55"/>
      <c r="G198" s="55"/>
      <c r="H198" s="46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0"/>
      <c r="T198" s="10"/>
      <c r="U198" s="10"/>
      <c r="V198" s="10"/>
      <c r="W198" s="10"/>
      <c r="X198" s="10"/>
      <c r="Y198" s="10"/>
      <c r="Z198" s="11"/>
      <c r="AA198" s="10"/>
      <c r="AB198" s="11"/>
      <c r="AL198" s="10"/>
      <c r="AM198" s="11"/>
      <c r="AW198" s="10"/>
      <c r="AX198" s="11"/>
      <c r="BH198" s="10"/>
      <c r="BI198" s="11"/>
    </row>
    <row r="199" customFormat="false" ht="12.75" hidden="false" customHeight="false" outlineLevel="0" collapsed="false">
      <c r="B199" s="51"/>
      <c r="C199" s="53"/>
      <c r="D199" s="59"/>
      <c r="E199" s="55"/>
      <c r="F199" s="55"/>
      <c r="G199" s="55"/>
      <c r="H199" s="46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0"/>
      <c r="T199" s="10"/>
      <c r="U199" s="10"/>
      <c r="V199" s="10"/>
      <c r="W199" s="10"/>
      <c r="X199" s="10"/>
      <c r="Y199" s="10"/>
      <c r="Z199" s="11"/>
      <c r="AA199" s="10"/>
      <c r="AB199" s="11"/>
      <c r="AL199" s="10"/>
      <c r="AM199" s="11"/>
      <c r="AW199" s="10"/>
      <c r="AX199" s="11"/>
      <c r="BH199" s="10"/>
      <c r="BI199" s="11"/>
    </row>
    <row r="200" customFormat="false" ht="12.75" hidden="false" customHeight="false" outlineLevel="0" collapsed="false">
      <c r="B200" s="51"/>
      <c r="C200" s="53"/>
      <c r="D200" s="59"/>
      <c r="E200" s="55"/>
      <c r="F200" s="55"/>
      <c r="G200" s="55"/>
      <c r="H200" s="46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0"/>
      <c r="T200" s="10"/>
      <c r="U200" s="10"/>
      <c r="V200" s="10"/>
      <c r="W200" s="10"/>
      <c r="X200" s="10"/>
      <c r="Y200" s="10"/>
      <c r="Z200" s="11"/>
      <c r="AA200" s="10"/>
      <c r="AB200" s="11"/>
      <c r="AL200" s="10"/>
      <c r="AM200" s="11"/>
      <c r="AW200" s="10"/>
      <c r="AX200" s="11"/>
      <c r="BH200" s="10"/>
      <c r="BI200" s="11"/>
    </row>
    <row r="201" customFormat="false" ht="12.75" hidden="false" customHeight="false" outlineLevel="0" collapsed="false">
      <c r="B201" s="51"/>
      <c r="C201" s="53"/>
      <c r="D201" s="59"/>
      <c r="E201" s="55"/>
      <c r="F201" s="55"/>
      <c r="G201" s="55"/>
      <c r="H201" s="46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0"/>
      <c r="T201" s="10"/>
      <c r="U201" s="10"/>
      <c r="V201" s="10"/>
      <c r="W201" s="10"/>
      <c r="X201" s="10"/>
      <c r="Y201" s="10"/>
      <c r="Z201" s="11"/>
      <c r="AA201" s="10"/>
      <c r="AB201" s="11"/>
      <c r="AL201" s="10"/>
      <c r="AM201" s="11"/>
      <c r="AW201" s="10"/>
      <c r="AX201" s="11"/>
      <c r="BH201" s="10"/>
      <c r="BI201" s="11"/>
    </row>
    <row r="202" customFormat="false" ht="12.75" hidden="false" customHeight="false" outlineLevel="0" collapsed="false">
      <c r="B202" s="51"/>
      <c r="C202" s="53"/>
      <c r="D202" s="59"/>
      <c r="E202" s="55"/>
      <c r="F202" s="55"/>
      <c r="G202" s="55"/>
      <c r="H202" s="46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0"/>
      <c r="T202" s="10"/>
      <c r="U202" s="10"/>
      <c r="V202" s="10"/>
      <c r="W202" s="10"/>
      <c r="X202" s="10"/>
      <c r="Y202" s="10"/>
      <c r="Z202" s="11"/>
      <c r="AA202" s="10"/>
      <c r="AB202" s="11"/>
      <c r="AL202" s="10"/>
      <c r="AM202" s="11"/>
      <c r="AW202" s="10"/>
      <c r="AX202" s="11"/>
      <c r="BH202" s="10"/>
      <c r="BI202" s="11"/>
    </row>
    <row r="203" customFormat="false" ht="12.75" hidden="false" customHeight="false" outlineLevel="0" collapsed="false">
      <c r="B203" s="51"/>
      <c r="C203" s="53"/>
      <c r="D203" s="59"/>
      <c r="E203" s="55"/>
      <c r="F203" s="55"/>
      <c r="G203" s="55"/>
      <c r="H203" s="46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0"/>
      <c r="T203" s="10"/>
      <c r="U203" s="10"/>
      <c r="V203" s="10"/>
      <c r="W203" s="10"/>
      <c r="X203" s="10"/>
      <c r="Y203" s="10"/>
      <c r="Z203" s="11"/>
      <c r="AA203" s="10"/>
      <c r="AB203" s="11"/>
      <c r="AL203" s="10"/>
      <c r="AM203" s="11"/>
      <c r="AW203" s="10"/>
      <c r="AX203" s="11"/>
      <c r="BH203" s="10"/>
      <c r="BI203" s="11"/>
    </row>
    <row r="204" customFormat="false" ht="12.75" hidden="false" customHeight="false" outlineLevel="0" collapsed="false">
      <c r="B204" s="51"/>
      <c r="C204" s="53"/>
      <c r="D204" s="59"/>
      <c r="E204" s="55"/>
      <c r="F204" s="55"/>
      <c r="G204" s="55"/>
      <c r="H204" s="46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0"/>
      <c r="T204" s="10"/>
      <c r="U204" s="10"/>
      <c r="V204" s="10"/>
      <c r="W204" s="10"/>
      <c r="X204" s="10"/>
      <c r="Y204" s="10"/>
      <c r="Z204" s="11"/>
      <c r="AA204" s="10"/>
      <c r="AB204" s="11"/>
      <c r="AL204" s="10"/>
      <c r="AM204" s="11"/>
      <c r="AW204" s="10"/>
      <c r="AX204" s="11"/>
      <c r="BH204" s="10"/>
      <c r="BI204" s="11"/>
    </row>
    <row r="205" customFormat="false" ht="12.75" hidden="false" customHeight="false" outlineLevel="0" collapsed="false">
      <c r="B205" s="51"/>
      <c r="C205" s="53"/>
      <c r="D205" s="59"/>
      <c r="E205" s="55"/>
      <c r="F205" s="55"/>
      <c r="G205" s="55"/>
      <c r="H205" s="46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0"/>
      <c r="T205" s="10"/>
      <c r="U205" s="10"/>
      <c r="V205" s="10"/>
      <c r="W205" s="10"/>
      <c r="X205" s="10"/>
      <c r="Y205" s="10"/>
      <c r="Z205" s="11"/>
      <c r="AA205" s="10"/>
      <c r="AB205" s="11"/>
      <c r="AL205" s="10"/>
      <c r="AM205" s="11"/>
      <c r="AW205" s="10"/>
      <c r="AX205" s="11"/>
      <c r="BH205" s="10"/>
      <c r="BI205" s="11"/>
    </row>
    <row r="206" customFormat="false" ht="12.75" hidden="false" customHeight="false" outlineLevel="0" collapsed="false">
      <c r="B206" s="51"/>
      <c r="C206" s="53"/>
      <c r="D206" s="59"/>
      <c r="E206" s="55"/>
      <c r="F206" s="55"/>
      <c r="G206" s="55"/>
      <c r="H206" s="46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0"/>
      <c r="T206" s="10"/>
      <c r="U206" s="10"/>
      <c r="V206" s="10"/>
      <c r="W206" s="10"/>
      <c r="X206" s="10"/>
      <c r="Y206" s="10"/>
      <c r="Z206" s="11"/>
      <c r="AA206" s="10"/>
      <c r="AB206" s="11"/>
      <c r="AL206" s="10"/>
      <c r="AM206" s="11"/>
      <c r="AW206" s="10"/>
      <c r="AX206" s="11"/>
      <c r="BH206" s="10"/>
      <c r="BI206" s="11"/>
    </row>
    <row r="207" customFormat="false" ht="12.75" hidden="false" customHeight="false" outlineLevel="0" collapsed="false">
      <c r="B207" s="51"/>
      <c r="C207" s="53"/>
      <c r="D207" s="59"/>
      <c r="E207" s="55"/>
      <c r="F207" s="55"/>
      <c r="G207" s="55"/>
      <c r="H207" s="46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0"/>
      <c r="T207" s="10"/>
      <c r="U207" s="10"/>
      <c r="V207" s="10"/>
      <c r="W207" s="10"/>
      <c r="X207" s="10"/>
      <c r="Y207" s="10"/>
      <c r="Z207" s="11"/>
      <c r="AA207" s="10"/>
      <c r="AB207" s="11"/>
      <c r="AL207" s="10"/>
      <c r="AM207" s="11"/>
      <c r="AW207" s="10"/>
      <c r="AX207" s="11"/>
      <c r="BH207" s="10"/>
      <c r="BI207" s="11"/>
    </row>
    <row r="208" customFormat="false" ht="12.75" hidden="false" customHeight="false" outlineLevel="0" collapsed="false">
      <c r="B208" s="51"/>
      <c r="C208" s="53"/>
      <c r="D208" s="59"/>
      <c r="E208" s="55"/>
      <c r="F208" s="55"/>
      <c r="G208" s="55"/>
      <c r="H208" s="46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0"/>
      <c r="T208" s="10"/>
      <c r="U208" s="10"/>
      <c r="V208" s="10"/>
      <c r="W208" s="10"/>
      <c r="X208" s="10"/>
      <c r="Y208" s="10"/>
      <c r="Z208" s="11"/>
      <c r="AA208" s="10"/>
      <c r="AB208" s="11"/>
      <c r="AL208" s="10"/>
      <c r="AM208" s="11"/>
      <c r="AW208" s="10"/>
      <c r="AX208" s="11"/>
      <c r="BH208" s="10"/>
      <c r="BI208" s="11"/>
    </row>
    <row r="209" customFormat="false" ht="12.75" hidden="false" customHeight="false" outlineLevel="0" collapsed="false">
      <c r="B209" s="51"/>
      <c r="C209" s="53"/>
      <c r="D209" s="59"/>
      <c r="E209" s="55"/>
      <c r="F209" s="55"/>
      <c r="G209" s="55"/>
      <c r="H209" s="46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0"/>
      <c r="T209" s="10"/>
      <c r="U209" s="10"/>
      <c r="V209" s="10"/>
      <c r="W209" s="10"/>
      <c r="X209" s="10"/>
      <c r="Y209" s="10"/>
      <c r="Z209" s="11"/>
      <c r="AA209" s="10"/>
      <c r="AB209" s="11"/>
      <c r="AL209" s="10"/>
      <c r="AM209" s="11"/>
      <c r="AW209" s="10"/>
      <c r="AX209" s="11"/>
      <c r="BH209" s="10"/>
      <c r="BI209" s="11"/>
    </row>
    <row r="210" customFormat="false" ht="12.75" hidden="false" customHeight="false" outlineLevel="0" collapsed="false">
      <c r="B210" s="51"/>
      <c r="C210" s="53"/>
      <c r="D210" s="59"/>
      <c r="E210" s="55"/>
      <c r="F210" s="55"/>
      <c r="G210" s="55"/>
      <c r="H210" s="46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0"/>
      <c r="T210" s="10"/>
      <c r="U210" s="10"/>
      <c r="V210" s="10"/>
      <c r="W210" s="10"/>
      <c r="X210" s="10"/>
      <c r="Y210" s="10"/>
      <c r="Z210" s="11"/>
      <c r="AA210" s="10"/>
      <c r="AB210" s="11"/>
      <c r="AL210" s="10"/>
      <c r="AM210" s="11"/>
      <c r="AW210" s="10"/>
      <c r="AX210" s="11"/>
      <c r="BH210" s="10"/>
      <c r="BI210" s="11"/>
    </row>
    <row r="211" customFormat="false" ht="12.75" hidden="false" customHeight="false" outlineLevel="0" collapsed="false">
      <c r="B211" s="60"/>
      <c r="C211" s="59"/>
      <c r="D211" s="59"/>
      <c r="E211" s="55"/>
      <c r="F211" s="55"/>
      <c r="G211" s="55"/>
      <c r="H211" s="46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0"/>
      <c r="T211" s="10"/>
      <c r="U211" s="10"/>
      <c r="V211" s="10"/>
      <c r="W211" s="10"/>
      <c r="X211" s="10"/>
      <c r="Y211" s="10"/>
      <c r="Z211" s="11"/>
      <c r="AA211" s="10"/>
      <c r="AB211" s="11"/>
      <c r="AL211" s="10"/>
      <c r="AM211" s="11"/>
      <c r="AW211" s="10"/>
      <c r="AX211" s="11"/>
      <c r="BH211" s="10"/>
      <c r="BI211" s="11"/>
    </row>
    <row r="212" customFormat="false" ht="12.75" hidden="false" customHeight="false" outlineLevel="0" collapsed="false">
      <c r="B212" s="60"/>
      <c r="C212" s="59"/>
      <c r="D212" s="59"/>
      <c r="E212" s="55"/>
      <c r="F212" s="55"/>
      <c r="G212" s="55"/>
      <c r="H212" s="46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0"/>
      <c r="T212" s="10"/>
      <c r="U212" s="10"/>
      <c r="V212" s="10"/>
      <c r="W212" s="10"/>
      <c r="X212" s="10"/>
      <c r="Y212" s="10"/>
      <c r="Z212" s="11"/>
      <c r="AA212" s="10"/>
      <c r="AB212" s="11"/>
      <c r="AL212" s="10"/>
      <c r="AM212" s="11"/>
      <c r="AW212" s="10"/>
      <c r="AX212" s="11"/>
      <c r="BH212" s="10"/>
      <c r="BI212" s="11"/>
    </row>
    <row r="213" customFormat="false" ht="12.75" hidden="false" customHeight="false" outlineLevel="0" collapsed="false">
      <c r="B213" s="60"/>
      <c r="C213" s="59"/>
      <c r="D213" s="59"/>
      <c r="E213" s="55"/>
      <c r="F213" s="55"/>
      <c r="G213" s="55"/>
      <c r="H213" s="46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0"/>
      <c r="T213" s="10"/>
      <c r="U213" s="10"/>
      <c r="V213" s="10"/>
      <c r="W213" s="10"/>
      <c r="X213" s="10"/>
      <c r="Y213" s="10"/>
      <c r="Z213" s="11"/>
      <c r="AA213" s="10"/>
      <c r="AB213" s="11"/>
      <c r="AL213" s="10"/>
      <c r="AM213" s="11"/>
      <c r="AW213" s="10"/>
      <c r="AX213" s="11"/>
      <c r="BH213" s="10"/>
      <c r="BI213" s="11"/>
    </row>
    <row r="214" customFormat="false" ht="12.75" hidden="false" customHeight="false" outlineLevel="0" collapsed="false">
      <c r="B214" s="60"/>
      <c r="C214" s="59"/>
      <c r="D214" s="59"/>
      <c r="E214" s="55"/>
      <c r="F214" s="55"/>
      <c r="G214" s="55"/>
      <c r="H214" s="46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0"/>
      <c r="T214" s="10"/>
      <c r="U214" s="10"/>
      <c r="V214" s="10"/>
      <c r="W214" s="10"/>
      <c r="X214" s="10"/>
      <c r="Y214" s="10"/>
      <c r="Z214" s="11"/>
      <c r="AA214" s="10"/>
      <c r="AB214" s="11"/>
      <c r="AL214" s="10"/>
      <c r="AM214" s="11"/>
      <c r="AW214" s="10"/>
      <c r="AX214" s="11"/>
      <c r="BH214" s="10"/>
      <c r="BI214" s="11"/>
    </row>
    <row r="215" customFormat="false" ht="12.75" hidden="false" customHeight="false" outlineLevel="0" collapsed="false">
      <c r="B215" s="60"/>
      <c r="C215" s="59"/>
      <c r="D215" s="59"/>
      <c r="E215" s="55"/>
      <c r="F215" s="55"/>
      <c r="G215" s="55"/>
      <c r="H215" s="46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0"/>
      <c r="T215" s="10"/>
      <c r="U215" s="10"/>
      <c r="V215" s="10"/>
      <c r="W215" s="10"/>
      <c r="X215" s="10"/>
      <c r="Y215" s="10"/>
      <c r="Z215" s="11"/>
      <c r="AA215" s="10"/>
      <c r="AB215" s="11"/>
      <c r="AL215" s="10"/>
      <c r="AM215" s="11"/>
      <c r="AW215" s="10"/>
      <c r="AX215" s="11"/>
      <c r="BH215" s="10"/>
      <c r="BI215" s="11"/>
    </row>
    <row r="216" customFormat="false" ht="12.75" hidden="false" customHeight="false" outlineLevel="0" collapsed="false">
      <c r="B216" s="60"/>
      <c r="C216" s="59"/>
      <c r="D216" s="59"/>
      <c r="E216" s="55"/>
      <c r="F216" s="55"/>
      <c r="G216" s="55"/>
      <c r="H216" s="46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0"/>
      <c r="T216" s="10"/>
      <c r="U216" s="10"/>
      <c r="V216" s="10"/>
      <c r="W216" s="10"/>
      <c r="X216" s="10"/>
      <c r="Y216" s="10"/>
      <c r="Z216" s="11"/>
      <c r="AA216" s="10"/>
      <c r="AB216" s="11"/>
      <c r="AL216" s="10"/>
      <c r="AM216" s="11"/>
      <c r="AW216" s="10"/>
      <c r="AX216" s="11"/>
      <c r="BH216" s="10"/>
      <c r="BI216" s="11"/>
    </row>
    <row r="217" customFormat="false" ht="12.75" hidden="false" customHeight="false" outlineLevel="0" collapsed="false">
      <c r="B217" s="60"/>
      <c r="C217" s="59"/>
      <c r="D217" s="59"/>
      <c r="E217" s="55"/>
      <c r="F217" s="55"/>
      <c r="G217" s="55"/>
      <c r="H217" s="46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0"/>
      <c r="T217" s="10"/>
      <c r="U217" s="10"/>
      <c r="V217" s="10"/>
      <c r="W217" s="10"/>
      <c r="X217" s="10"/>
      <c r="Y217" s="10"/>
      <c r="Z217" s="11"/>
      <c r="AA217" s="10"/>
      <c r="AB217" s="11"/>
      <c r="AL217" s="10"/>
      <c r="AM217" s="11"/>
      <c r="AW217" s="10"/>
      <c r="AX217" s="11"/>
      <c r="BH217" s="10"/>
      <c r="BI217" s="11"/>
    </row>
    <row r="218" customFormat="false" ht="12.75" hidden="false" customHeight="false" outlineLevel="0" collapsed="false">
      <c r="B218" s="60"/>
      <c r="C218" s="59"/>
      <c r="D218" s="59"/>
      <c r="E218" s="55"/>
      <c r="F218" s="55"/>
      <c r="G218" s="55"/>
      <c r="H218" s="46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0"/>
      <c r="T218" s="10"/>
      <c r="U218" s="10"/>
      <c r="V218" s="10"/>
      <c r="W218" s="10"/>
      <c r="X218" s="10"/>
      <c r="Y218" s="10"/>
      <c r="Z218" s="11"/>
      <c r="AA218" s="10"/>
      <c r="AB218" s="11"/>
      <c r="AL218" s="10"/>
      <c r="AM218" s="11"/>
      <c r="AW218" s="10"/>
      <c r="AX218" s="11"/>
      <c r="BH218" s="10"/>
      <c r="BI218" s="11"/>
    </row>
    <row r="219" customFormat="false" ht="12.75" hidden="false" customHeight="false" outlineLevel="0" collapsed="false">
      <c r="B219" s="60"/>
      <c r="C219" s="59"/>
      <c r="D219" s="59"/>
      <c r="E219" s="55"/>
      <c r="F219" s="55"/>
      <c r="G219" s="55"/>
      <c r="H219" s="46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0"/>
      <c r="T219" s="10"/>
      <c r="U219" s="10"/>
      <c r="V219" s="10"/>
      <c r="W219" s="10"/>
      <c r="X219" s="10"/>
      <c r="Y219" s="10"/>
      <c r="Z219" s="11"/>
      <c r="AA219" s="10"/>
      <c r="AB219" s="11"/>
      <c r="AL219" s="10"/>
      <c r="AM219" s="11"/>
      <c r="AW219" s="10"/>
      <c r="AX219" s="11"/>
      <c r="BH219" s="10"/>
      <c r="BI219" s="11"/>
    </row>
    <row r="220" customFormat="false" ht="12.75" hidden="false" customHeight="false" outlineLevel="0" collapsed="false">
      <c r="B220" s="60"/>
      <c r="C220" s="59"/>
      <c r="D220" s="59"/>
      <c r="E220" s="55"/>
      <c r="F220" s="55"/>
      <c r="G220" s="55"/>
      <c r="H220" s="46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0"/>
      <c r="T220" s="10"/>
      <c r="U220" s="10"/>
      <c r="V220" s="10"/>
      <c r="W220" s="10"/>
      <c r="X220" s="10"/>
      <c r="Y220" s="10"/>
      <c r="Z220" s="11"/>
      <c r="AA220" s="10"/>
      <c r="AB220" s="11"/>
      <c r="AL220" s="10"/>
      <c r="AM220" s="11"/>
      <c r="AW220" s="10"/>
      <c r="AX220" s="11"/>
      <c r="BH220" s="10"/>
      <c r="BI220" s="11"/>
    </row>
    <row r="221" customFormat="false" ht="12.75" hidden="false" customHeight="false" outlineLevel="0" collapsed="false">
      <c r="B221" s="60"/>
      <c r="C221" s="59"/>
      <c r="D221" s="59"/>
      <c r="E221" s="55"/>
      <c r="F221" s="55"/>
      <c r="G221" s="55"/>
      <c r="H221" s="46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0"/>
      <c r="T221" s="10"/>
      <c r="U221" s="10"/>
      <c r="V221" s="10"/>
      <c r="W221" s="10"/>
      <c r="X221" s="10"/>
      <c r="Y221" s="10"/>
      <c r="Z221" s="11"/>
      <c r="AA221" s="10"/>
      <c r="AB221" s="11"/>
      <c r="AL221" s="10"/>
      <c r="AM221" s="11"/>
      <c r="AW221" s="10"/>
      <c r="AX221" s="11"/>
      <c r="BH221" s="10"/>
      <c r="BI221" s="11"/>
    </row>
    <row r="222" customFormat="false" ht="12.75" hidden="false" customHeight="false" outlineLevel="0" collapsed="false">
      <c r="B222" s="60"/>
      <c r="C222" s="59"/>
      <c r="D222" s="59"/>
      <c r="E222" s="55"/>
      <c r="F222" s="55"/>
      <c r="G222" s="55"/>
      <c r="H222" s="46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0"/>
      <c r="T222" s="10"/>
      <c r="U222" s="10"/>
      <c r="V222" s="10"/>
      <c r="W222" s="10"/>
      <c r="X222" s="10"/>
      <c r="Y222" s="10"/>
      <c r="Z222" s="11"/>
      <c r="AA222" s="10"/>
      <c r="AB222" s="11"/>
      <c r="AL222" s="10"/>
      <c r="AM222" s="11"/>
      <c r="AW222" s="10"/>
      <c r="AX222" s="11"/>
      <c r="BH222" s="10"/>
      <c r="BI222" s="11"/>
    </row>
    <row r="223" customFormat="false" ht="12.75" hidden="false" customHeight="false" outlineLevel="0" collapsed="false">
      <c r="B223" s="60"/>
      <c r="C223" s="59"/>
      <c r="D223" s="59"/>
      <c r="E223" s="55"/>
      <c r="F223" s="55"/>
      <c r="G223" s="55"/>
      <c r="H223" s="46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0"/>
      <c r="T223" s="10"/>
      <c r="U223" s="10"/>
      <c r="V223" s="10"/>
      <c r="W223" s="10"/>
      <c r="X223" s="10"/>
      <c r="Y223" s="10"/>
      <c r="Z223" s="11"/>
      <c r="AA223" s="10"/>
      <c r="AB223" s="11"/>
      <c r="AL223" s="10"/>
      <c r="AM223" s="11"/>
      <c r="AW223" s="10"/>
      <c r="AX223" s="11"/>
      <c r="BH223" s="10"/>
      <c r="BI223" s="1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8" min="1" style="0" width="12.7"/>
  </cols>
  <sheetData>
    <row r="1" customFormat="false" ht="12.75" hidden="false" customHeight="false" outlineLevel="0" collapsed="false">
      <c r="A1" s="62" t="s">
        <v>27</v>
      </c>
      <c r="B1" s="62" t="s">
        <v>28</v>
      </c>
      <c r="C1" s="63" t="s">
        <v>29</v>
      </c>
      <c r="D1" s="62" t="s">
        <v>30</v>
      </c>
      <c r="G1" s="62" t="s">
        <v>27</v>
      </c>
      <c r="H1" s="62" t="s">
        <v>28</v>
      </c>
    </row>
    <row r="2" customFormat="false" ht="12.75" hidden="false" customHeight="false" outlineLevel="0" collapsed="false">
      <c r="A2" s="64" t="s">
        <v>37</v>
      </c>
      <c r="B2" s="64" t="s">
        <v>37</v>
      </c>
      <c r="C2" s="64" t="s">
        <v>37</v>
      </c>
      <c r="D2" s="64" t="s">
        <v>37</v>
      </c>
      <c r="G2" s="64" t="s">
        <v>37</v>
      </c>
      <c r="H2" s="64" t="s">
        <v>37</v>
      </c>
    </row>
    <row r="3" customFormat="false" ht="12.75" hidden="false" customHeight="false" outlineLevel="0" collapsed="false">
      <c r="A3" s="70" t="n">
        <v>36800</v>
      </c>
      <c r="B3" s="70" t="n">
        <v>36800</v>
      </c>
      <c r="C3" s="70" t="n">
        <v>36800</v>
      </c>
      <c r="D3" s="70" t="n">
        <v>36800</v>
      </c>
      <c r="G3" s="70" t="n">
        <v>36831</v>
      </c>
      <c r="H3" s="70" t="n">
        <v>36831</v>
      </c>
    </row>
    <row r="4" customFormat="false" ht="13.5" hidden="false" customHeight="false" outlineLevel="0" collapsed="false">
      <c r="A4" s="70" t="n">
        <v>37135</v>
      </c>
      <c r="B4" s="70" t="n">
        <v>37135</v>
      </c>
      <c r="C4" s="70" t="n">
        <v>37135</v>
      </c>
      <c r="D4" s="70" t="n">
        <v>37135</v>
      </c>
      <c r="G4" s="70" t="n">
        <v>36951</v>
      </c>
      <c r="H4" s="70" t="n">
        <v>36951</v>
      </c>
    </row>
    <row r="5" customFormat="false" ht="13.5" hidden="false" customHeight="false" outlineLevel="0" collapsed="false">
      <c r="A5" s="71" t="n">
        <v>4.31616250489237</v>
      </c>
      <c r="B5" s="71" t="n">
        <v>4.31616250489237</v>
      </c>
      <c r="C5" s="71" t="n">
        <v>4.31616250489237</v>
      </c>
      <c r="D5" s="71" t="n">
        <v>4.31616250489237</v>
      </c>
      <c r="G5" s="71" t="n">
        <v>4.69642516556291</v>
      </c>
      <c r="H5" s="71" t="n">
        <v>4.69642516556291</v>
      </c>
    </row>
    <row r="6" customFormat="false" ht="13.5" hidden="false" customHeight="false" outlineLevel="0" collapsed="false">
      <c r="A6" s="74" t="n">
        <v>-0.568397260273973</v>
      </c>
      <c r="B6" s="74" t="n">
        <v>-0.568397260273973</v>
      </c>
      <c r="C6" s="74" t="n">
        <v>-0.568397260273973</v>
      </c>
      <c r="D6" s="74" t="n">
        <v>-0.568397260273973</v>
      </c>
      <c r="G6" s="74" t="n">
        <v>-0.435182119205298</v>
      </c>
      <c r="H6" s="74" t="n">
        <v>-0.435182119205298</v>
      </c>
    </row>
    <row r="7" customFormat="false" ht="13.5" hidden="false" customHeight="false" outlineLevel="0" collapsed="false">
      <c r="A7" s="75" t="n">
        <v>0.05</v>
      </c>
      <c r="B7" s="75" t="n">
        <v>0.05</v>
      </c>
      <c r="C7" s="75" t="n">
        <v>0.05</v>
      </c>
      <c r="D7" s="75" t="n">
        <v>0.05</v>
      </c>
      <c r="G7" s="75" t="n">
        <v>-0.04</v>
      </c>
      <c r="H7" s="75" t="n">
        <v>-0.04</v>
      </c>
    </row>
    <row r="8" customFormat="false" ht="12.75" hidden="false" customHeight="false" outlineLevel="0" collapsed="false">
      <c r="A8" s="76" t="n">
        <v>0</v>
      </c>
      <c r="B8" s="76" t="n">
        <v>0</v>
      </c>
      <c r="C8" s="76" t="n">
        <v>0</v>
      </c>
      <c r="D8" s="76" t="n">
        <v>0</v>
      </c>
      <c r="G8" s="76" t="n">
        <v>0</v>
      </c>
      <c r="H8" s="76" t="n">
        <v>0</v>
      </c>
    </row>
    <row r="9" customFormat="false" ht="12.75" hidden="false" customHeight="false" outlineLevel="0" collapsed="false">
      <c r="A9" s="77" t="n">
        <v>0</v>
      </c>
      <c r="B9" s="77" t="n">
        <v>0</v>
      </c>
      <c r="C9" s="77" t="n">
        <v>0</v>
      </c>
      <c r="D9" s="77" t="n">
        <v>0</v>
      </c>
      <c r="G9" s="77" t="n">
        <v>1</v>
      </c>
      <c r="H9" s="77" t="n">
        <v>1</v>
      </c>
    </row>
    <row r="10" customFormat="false" ht="12.75" hidden="false" customHeight="false" outlineLevel="0" collapsed="false">
      <c r="A10" s="77" t="n">
        <v>1</v>
      </c>
      <c r="B10" s="77" t="n">
        <v>2</v>
      </c>
      <c r="C10" s="77" t="n">
        <v>1</v>
      </c>
      <c r="D10" s="77" t="n">
        <v>2</v>
      </c>
      <c r="G10" s="77" t="n">
        <v>1</v>
      </c>
      <c r="H10" s="77" t="n">
        <v>2</v>
      </c>
    </row>
    <row r="11" customFormat="false" ht="13.5" hidden="false" customHeight="false" outlineLevel="0" collapsed="false">
      <c r="A11" s="78" t="n">
        <v>4.75</v>
      </c>
      <c r="B11" s="78" t="n">
        <v>3.18</v>
      </c>
      <c r="C11" s="78" t="n">
        <v>4.25</v>
      </c>
      <c r="D11" s="78" t="n">
        <v>3.45</v>
      </c>
      <c r="G11" s="78" t="n">
        <v>5.6</v>
      </c>
      <c r="H11" s="78" t="n">
        <v>3.5</v>
      </c>
    </row>
    <row r="12" customFormat="false" ht="13.5" hidden="false" customHeight="false" outlineLevel="0" collapsed="false">
      <c r="A12" s="16" t="n">
        <v>0.187751312741038</v>
      </c>
      <c r="B12" s="16" t="n">
        <v>0.229576567762084</v>
      </c>
      <c r="C12" s="16" t="n">
        <v>0.303716226732067</v>
      </c>
      <c r="D12" s="16" t="n">
        <v>0.333779763463676</v>
      </c>
      <c r="G12" s="16" t="n">
        <v>0.176481315341062</v>
      </c>
      <c r="H12" s="16" t="n">
        <v>0.175880512476681</v>
      </c>
    </row>
    <row r="13" customFormat="false" ht="12.75" hidden="false" customHeight="false" outlineLevel="0" collapsed="false">
      <c r="A13" s="80" t="n">
        <v>0.266820010131859</v>
      </c>
      <c r="B13" s="80" t="n">
        <v>-0.245144668083456</v>
      </c>
      <c r="C13" s="80" t="n">
        <v>0.390998564465187</v>
      </c>
      <c r="D13" s="80" t="n">
        <v>-0.324099779555519</v>
      </c>
      <c r="G13" s="80" t="n">
        <v>0.241670536758065</v>
      </c>
      <c r="H13" s="80" t="n">
        <v>-0.198110688268968</v>
      </c>
    </row>
    <row r="14" customFormat="false" ht="12.75" hidden="false" customHeight="false" outlineLevel="0" collapsed="false">
      <c r="A14" s="16" t="n">
        <v>0.00762351719400219</v>
      </c>
      <c r="B14" s="16" t="n">
        <v>0.00751509398837048</v>
      </c>
      <c r="C14" s="16" t="n">
        <v>0.00876693620227639</v>
      </c>
      <c r="D14" s="16" t="n">
        <v>0.0084047041097954</v>
      </c>
      <c r="G14" s="16" t="n">
        <v>0.00733223177069648</v>
      </c>
      <c r="H14" s="16" t="n">
        <v>0.00650801727192564</v>
      </c>
    </row>
    <row r="15" customFormat="false" ht="12.75" hidden="false" customHeight="false" outlineLevel="0" collapsed="false">
      <c r="A15" s="16" t="n">
        <v>-0.0418252550210459</v>
      </c>
      <c r="B15" s="81"/>
      <c r="C15" s="16" t="n">
        <v>-0.0300635367316084</v>
      </c>
      <c r="D15" s="82"/>
      <c r="G15" s="16" t="n">
        <v>0.000600802864381494</v>
      </c>
      <c r="H15" s="81"/>
    </row>
    <row r="16" customFormat="false" ht="12.75" hidden="false" customHeight="false" outlineLevel="0" collapsed="false">
      <c r="G16" s="2" t="n">
        <v>-0.116043632902161</v>
      </c>
      <c r="H16" s="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138" t="n">
        <v>0.6726</v>
      </c>
      <c r="B1" s="139" t="n">
        <f aca="false">A3*A2*A1</f>
        <v>3.71826732</v>
      </c>
    </row>
    <row r="2" customFormat="false" ht="12.75" hidden="false" customHeight="false" outlineLevel="0" collapsed="false">
      <c r="A2" s="138" t="n">
        <v>1.055</v>
      </c>
      <c r="B2" s="140"/>
    </row>
    <row r="3" customFormat="false" ht="12.75" hidden="false" customHeight="false" outlineLevel="0" collapsed="false">
      <c r="A3" s="141" t="n">
        <v>5.24</v>
      </c>
      <c r="B3" s="141"/>
    </row>
    <row r="7" customFormat="false" ht="12.75" hidden="false" customHeight="false" outlineLevel="0" collapsed="false">
      <c r="G7" s="0" t="n">
        <v>6.32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D2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" activeCellId="0" sqref="H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" width="12.7"/>
    <col collapsed="false" customWidth="true" hidden="false" outlineLevel="0" max="2" min="2" style="1" width="9.56"/>
    <col collapsed="false" customWidth="true" hidden="false" outlineLevel="0" max="4" min="3" style="1" width="9.14"/>
    <col collapsed="false" customWidth="true" hidden="false" outlineLevel="0" max="5" min="5" style="1" width="10.13"/>
    <col collapsed="false" customWidth="true" hidden="false" outlineLevel="0" max="10" min="6" style="1" width="9.14"/>
    <col collapsed="false" customWidth="true" hidden="false" outlineLevel="0" max="11" min="11" style="1" width="10.41"/>
    <col collapsed="false" customWidth="true" hidden="false" outlineLevel="0" max="13" min="12" style="1" width="9.14"/>
    <col collapsed="false" customWidth="true" hidden="false" outlineLevel="0" max="14" min="14" style="1" width="10.13"/>
    <col collapsed="false" customWidth="true" hidden="false" outlineLevel="0" max="30" min="15" style="1" width="9.99"/>
    <col collapsed="false" customWidth="true" hidden="false" outlineLevel="0" max="49" min="31" style="1" width="9.14"/>
    <col collapsed="false" customWidth="true" hidden="false" outlineLevel="0" max="60" min="51" style="1" width="9.14"/>
    <col collapsed="false" customWidth="true" hidden="false" outlineLevel="0" max="71" min="62" style="1" width="9.14"/>
    <col collapsed="false" customWidth="true" hidden="false" outlineLevel="0" max="82" min="73" style="1" width="9.14"/>
  </cols>
  <sheetData>
    <row r="1" customFormat="false" ht="12.75" hidden="false" customHeight="false" outlineLevel="0" collapsed="false">
      <c r="A1" s="5"/>
      <c r="B1" s="102"/>
      <c r="C1" s="4"/>
      <c r="D1" s="2" t="s">
        <v>134</v>
      </c>
      <c r="E1" s="2" t="n">
        <f aca="false">summerstrip</f>
        <v>5.3329</v>
      </c>
      <c r="F1" s="2"/>
      <c r="G1" s="103" t="s">
        <v>4</v>
      </c>
      <c r="I1" s="0"/>
      <c r="J1" s="0"/>
      <c r="K1" s="0" t="s">
        <v>168</v>
      </c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</row>
    <row r="2" customFormat="false" ht="12.75" hidden="false" customHeight="false" outlineLevel="0" collapsed="false">
      <c r="A2" s="5" t="s">
        <v>136</v>
      </c>
      <c r="B2" s="104" t="n">
        <f aca="true">TODAY()</f>
        <v>45926</v>
      </c>
      <c r="C2" s="4"/>
      <c r="D2" s="2" t="s">
        <v>137</v>
      </c>
      <c r="E2" s="2" t="n">
        <f aca="false">winterstrip</f>
        <v>5.12898285714286</v>
      </c>
      <c r="F2" s="2"/>
      <c r="G2" s="2"/>
      <c r="I2" s="0"/>
      <c r="J2" s="0"/>
      <c r="L2" s="0" t="s">
        <v>169</v>
      </c>
      <c r="M2" s="0" t="s">
        <v>170</v>
      </c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K2" s="10"/>
      <c r="AL2" s="10"/>
      <c r="AM2" s="11"/>
      <c r="AN2" s="10"/>
      <c r="AO2" s="11"/>
      <c r="AY2" s="10"/>
      <c r="AZ2" s="11"/>
      <c r="BJ2" s="10"/>
      <c r="BK2" s="11"/>
      <c r="BU2" s="10"/>
      <c r="BV2" s="11"/>
    </row>
    <row r="3" customFormat="false" ht="12.75" hidden="false" customHeight="false" outlineLevel="0" collapsed="false">
      <c r="A3" s="5"/>
      <c r="B3" s="102"/>
      <c r="D3" s="2"/>
      <c r="E3" s="2"/>
      <c r="F3" s="64" t="s">
        <v>31</v>
      </c>
      <c r="G3" s="2"/>
      <c r="I3" s="0"/>
      <c r="J3" s="0"/>
      <c r="K3" s="1" t="n">
        <v>1</v>
      </c>
      <c r="L3" s="142" t="e">
        <f aca="false">B21</f>
        <v>#VALUE!</v>
      </c>
      <c r="M3" s="142" t="e">
        <f aca="false">B22</f>
        <v>#VALUE!</v>
      </c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K3" s="10"/>
      <c r="AL3" s="10"/>
      <c r="AM3" s="11"/>
      <c r="AN3" s="10"/>
      <c r="AO3" s="11"/>
      <c r="AY3" s="10"/>
      <c r="AZ3" s="11"/>
      <c r="BJ3" s="10"/>
      <c r="BK3" s="11"/>
      <c r="BU3" s="10"/>
      <c r="BV3" s="11"/>
    </row>
    <row r="4" customFormat="false" ht="12.75" hidden="false" customHeight="false" outlineLevel="0" collapsed="false">
      <c r="A4" s="2" t="s">
        <v>141</v>
      </c>
      <c r="B4" s="64" t="str">
        <f aca="false">STRADDLES!$E2</f>
        <v>IF-TRANSCO/Z6</v>
      </c>
      <c r="D4" s="64" t="str">
        <f aca="false">STRADDLES!$F2</f>
        <v>IF-TGT/Z1</v>
      </c>
      <c r="E4" s="2"/>
      <c r="F4" s="64" t="str">
        <f aca="false">STRADDLES!$G2</f>
        <v>IF-TGT/Z1</v>
      </c>
      <c r="H4" s="64" t="str">
        <f aca="false">STRADDLES!$H2</f>
        <v>IF-NWPL_ROCKY_M</v>
      </c>
      <c r="I4" s="14"/>
      <c r="J4" s="15"/>
      <c r="K4" s="1" t="n">
        <v>-1</v>
      </c>
      <c r="L4" s="142" t="e">
        <f aca="false">D21</f>
        <v>#VALUE!</v>
      </c>
      <c r="M4" s="142" t="e">
        <f aca="false">D22</f>
        <v>#VALUE!</v>
      </c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4"/>
      <c r="AF4" s="14"/>
      <c r="AG4" s="14"/>
      <c r="AK4" s="10"/>
      <c r="AL4" s="10"/>
      <c r="AM4" s="11"/>
      <c r="AN4" s="10"/>
      <c r="AO4" s="11"/>
      <c r="AY4" s="10"/>
      <c r="AZ4" s="11"/>
      <c r="BJ4" s="10"/>
      <c r="BK4" s="11"/>
      <c r="BU4" s="10"/>
      <c r="BV4" s="11"/>
    </row>
    <row r="5" customFormat="false" ht="12.75" hidden="false" customHeight="false" outlineLevel="0" collapsed="false">
      <c r="A5" s="2"/>
      <c r="B5" s="2" t="s">
        <v>7</v>
      </c>
      <c r="D5" s="2" t="s">
        <v>8</v>
      </c>
      <c r="F5" s="2" t="s">
        <v>143</v>
      </c>
      <c r="H5" s="2" t="s">
        <v>144</v>
      </c>
      <c r="L5" s="142" t="e">
        <f aca="false">F21</f>
        <v>#VALUE!</v>
      </c>
      <c r="M5" s="142" t="e">
        <f aca="false">F22</f>
        <v>#VALUE!</v>
      </c>
      <c r="AK5" s="10"/>
      <c r="AL5" s="10"/>
      <c r="AM5" s="11"/>
      <c r="AN5" s="10"/>
      <c r="AO5" s="11"/>
      <c r="AY5" s="10"/>
      <c r="AZ5" s="11"/>
      <c r="BJ5" s="10"/>
      <c r="BK5" s="11"/>
      <c r="BU5" s="10"/>
      <c r="BV5" s="11"/>
    </row>
    <row r="6" customFormat="false" ht="12.75" hidden="false" customHeight="false" outlineLevel="0" collapsed="false">
      <c r="A6" s="2" t="s">
        <v>145</v>
      </c>
      <c r="B6" s="70" t="n">
        <f aca="false">STRADDLES!$E3</f>
        <v>36861</v>
      </c>
      <c r="C6" s="143"/>
      <c r="D6" s="70" t="n">
        <f aca="false">STRADDLES!$F3</f>
        <v>36923</v>
      </c>
      <c r="E6" s="143"/>
      <c r="F6" s="70" t="n">
        <f aca="false">STRADDLES!$G3</f>
        <v>36982</v>
      </c>
      <c r="G6" s="143"/>
      <c r="H6" s="70" t="n">
        <f aca="false">STRADDLES!$H3</f>
        <v>36892</v>
      </c>
      <c r="L6" s="142" t="e">
        <f aca="false">H21</f>
        <v>#VALUE!</v>
      </c>
      <c r="M6" s="142" t="e">
        <f aca="false">H22</f>
        <v>#VALUE!</v>
      </c>
      <c r="AK6" s="10"/>
      <c r="AL6" s="10"/>
      <c r="AM6" s="11"/>
      <c r="AN6" s="10"/>
      <c r="AO6" s="11"/>
      <c r="AY6" s="10"/>
      <c r="AZ6" s="11"/>
      <c r="BJ6" s="10"/>
      <c r="BK6" s="11"/>
      <c r="BU6" s="10"/>
      <c r="BV6" s="11"/>
    </row>
    <row r="7" customFormat="false" ht="12.75" hidden="false" customHeight="false" outlineLevel="0" collapsed="false">
      <c r="A7" s="5" t="s">
        <v>146</v>
      </c>
      <c r="B7" s="70" t="n">
        <f aca="false">STRADDLES!$E4</f>
        <v>36861</v>
      </c>
      <c r="C7" s="143"/>
      <c r="D7" s="70" t="n">
        <f aca="false">STRADDLES!$F4</f>
        <v>36951</v>
      </c>
      <c r="E7" s="143"/>
      <c r="F7" s="70" t="n">
        <f aca="false">STRADDLES!$G4</f>
        <v>37043</v>
      </c>
      <c r="G7" s="143"/>
      <c r="H7" s="70" t="n">
        <f aca="false">STRADDLES!$H4</f>
        <v>37956</v>
      </c>
      <c r="J7" s="108"/>
      <c r="L7" s="107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F7" s="64" t="s">
        <v>31</v>
      </c>
      <c r="AG7" s="64"/>
      <c r="AK7" s="10"/>
      <c r="AL7" s="10"/>
      <c r="AM7" s="11"/>
      <c r="AN7" s="10"/>
      <c r="AO7" s="11"/>
      <c r="AY7" s="10"/>
      <c r="AZ7" s="11"/>
      <c r="BJ7" s="10"/>
      <c r="BK7" s="11"/>
      <c r="BU7" s="10"/>
      <c r="BV7" s="11"/>
    </row>
    <row r="8" customFormat="false" ht="12.75" hidden="false" customHeight="false" outlineLevel="0" collapsed="false">
      <c r="I8" s="111"/>
      <c r="K8" s="64"/>
      <c r="L8" s="1" t="e">
        <f aca="false">(L3*$K3)+(L4*$K4)+(L5*$K5)+(L6*$K6)</f>
        <v>#VALUE!</v>
      </c>
      <c r="M8" s="1" t="e">
        <f aca="false">(M3*$K3)+(M4*$K4)+(M5*$K5)+(M6*$K6)</f>
        <v>#VALUE!</v>
      </c>
      <c r="AF8" s="64"/>
      <c r="AG8" s="64"/>
      <c r="AK8" s="10"/>
      <c r="AL8" s="10"/>
      <c r="AM8" s="11"/>
      <c r="AN8" s="10"/>
      <c r="AO8" s="11"/>
      <c r="AY8" s="10"/>
      <c r="AZ8" s="11"/>
      <c r="BJ8" s="10"/>
      <c r="BK8" s="11"/>
      <c r="BU8" s="10"/>
      <c r="BV8" s="11"/>
    </row>
    <row r="9" customFormat="false" ht="12.75" hidden="false" customHeight="false" outlineLevel="0" collapsed="false">
      <c r="A9" s="109" t="s">
        <v>147</v>
      </c>
      <c r="B9" s="110" t="n">
        <f aca="false">AP24</f>
        <v>5.5268</v>
      </c>
      <c r="C9" s="111"/>
      <c r="D9" s="110" t="n">
        <f aca="false">BA24</f>
        <v>5.02774915254237</v>
      </c>
      <c r="E9" s="111"/>
      <c r="F9" s="110" t="n">
        <f aca="false">BL24</f>
        <v>4.49208791208791</v>
      </c>
      <c r="G9" s="111"/>
      <c r="H9" s="110" t="n">
        <f aca="false">BW24</f>
        <v>3.98001265492498</v>
      </c>
      <c r="I9" s="111"/>
      <c r="AF9" s="64" t="s">
        <v>38</v>
      </c>
      <c r="AG9" s="64"/>
      <c r="AK9" s="10"/>
      <c r="AL9" s="10"/>
      <c r="AM9" s="11"/>
      <c r="AN9" s="10"/>
      <c r="AO9" s="11"/>
      <c r="AY9" s="10"/>
      <c r="AZ9" s="11"/>
      <c r="BJ9" s="10"/>
      <c r="BK9" s="11"/>
      <c r="BU9" s="10"/>
      <c r="BV9" s="11"/>
    </row>
    <row r="10" customFormat="false" ht="12.75" hidden="false" customHeight="false" outlineLevel="0" collapsed="false">
      <c r="A10" s="109" t="s">
        <v>16</v>
      </c>
      <c r="B10" s="110" t="n">
        <f aca="false">AQ24</f>
        <v>7.3868</v>
      </c>
      <c r="C10" s="111"/>
      <c r="D10" s="110" t="n">
        <f aca="false">BB24</f>
        <v>5.00524915254237</v>
      </c>
      <c r="E10" s="111"/>
      <c r="F10" s="110" t="n">
        <f aca="false">BM24</f>
        <v>4.47208791208791</v>
      </c>
      <c r="G10" s="111"/>
      <c r="H10" s="110" t="n">
        <f aca="false">BX24</f>
        <v>3.5711039791259</v>
      </c>
      <c r="I10" s="111"/>
      <c r="K10" s="64"/>
      <c r="M10" s="64"/>
      <c r="N10" s="144"/>
      <c r="O10" s="6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G10" s="64"/>
      <c r="AK10" s="10"/>
      <c r="AL10" s="10"/>
      <c r="AM10" s="11"/>
      <c r="AN10" s="10"/>
      <c r="AO10" s="11"/>
      <c r="AY10" s="10"/>
      <c r="AZ10" s="11"/>
      <c r="BJ10" s="10"/>
      <c r="BK10" s="11"/>
      <c r="BU10" s="10"/>
      <c r="BV10" s="11"/>
    </row>
    <row r="11" customFormat="false" ht="12.75" hidden="false" customHeight="false" outlineLevel="0" collapsed="false">
      <c r="A11" s="109" t="s">
        <v>51</v>
      </c>
      <c r="B11" s="110" t="n">
        <f aca="false">B10-B9</f>
        <v>1.86</v>
      </c>
      <c r="C11" s="110"/>
      <c r="D11" s="110" t="n">
        <f aca="false">D10-D9</f>
        <v>-0.0225</v>
      </c>
      <c r="E11" s="110"/>
      <c r="F11" s="110" t="n">
        <f aca="false">F10-F9</f>
        <v>-0.0199999999999996</v>
      </c>
      <c r="G11" s="110"/>
      <c r="H11" s="110" t="n">
        <f aca="false">H10-H9</f>
        <v>-0.408908675799087</v>
      </c>
      <c r="I11" s="111"/>
      <c r="AF11" s="64"/>
      <c r="AG11" s="64"/>
      <c r="AK11" s="10"/>
      <c r="AL11" s="10"/>
      <c r="AM11" s="11"/>
      <c r="AN11" s="10"/>
      <c r="AO11" s="11"/>
      <c r="AY11" s="10"/>
      <c r="AZ11" s="11"/>
      <c r="BJ11" s="10"/>
      <c r="BK11" s="11"/>
      <c r="BU11" s="10"/>
      <c r="BV11" s="11"/>
    </row>
    <row r="12" customFormat="false" ht="12.75" hidden="false" customHeight="false" outlineLevel="0" collapsed="false">
      <c r="A12" s="109"/>
      <c r="B12" s="110"/>
      <c r="C12" s="111"/>
      <c r="D12" s="110"/>
      <c r="E12" s="111"/>
      <c r="F12" s="110"/>
      <c r="G12" s="111"/>
      <c r="H12" s="110"/>
      <c r="I12" s="111"/>
      <c r="K12" s="64"/>
      <c r="L12" s="64" t="s">
        <v>31</v>
      </c>
      <c r="M12" s="6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F12" s="64"/>
      <c r="AG12" s="64"/>
      <c r="AK12" s="10"/>
      <c r="AL12" s="10"/>
      <c r="AM12" s="11"/>
      <c r="AN12" s="10"/>
      <c r="AO12" s="11"/>
      <c r="AY12" s="10"/>
      <c r="AZ12" s="11"/>
      <c r="BJ12" s="10"/>
      <c r="BK12" s="11"/>
      <c r="BU12" s="10"/>
      <c r="BV12" s="11"/>
    </row>
    <row r="13" customFormat="false" ht="12.75" hidden="false" customHeight="false" outlineLevel="0" collapsed="false">
      <c r="A13" s="109" t="s">
        <v>148</v>
      </c>
      <c r="B13" s="145" t="n">
        <f aca="false">STRADDLES!$E7</f>
        <v>0</v>
      </c>
      <c r="C13" s="146"/>
      <c r="D13" s="145" t="n">
        <f aca="false">STRADDLES!$F7</f>
        <v>0</v>
      </c>
      <c r="E13" s="146"/>
      <c r="F13" s="145" t="n">
        <f aca="false">STRADDLES!$G7</f>
        <v>0</v>
      </c>
      <c r="G13" s="146"/>
      <c r="H13" s="145" t="n">
        <f aca="false">STRADDLES!$H7</f>
        <v>0</v>
      </c>
      <c r="I13" s="111"/>
      <c r="K13" s="64"/>
      <c r="L13" s="64" t="s">
        <v>91</v>
      </c>
      <c r="M13" s="64"/>
      <c r="N13" s="144"/>
      <c r="O13" s="6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G13" s="64"/>
      <c r="AK13" s="10"/>
      <c r="AL13" s="10"/>
      <c r="AM13" s="11"/>
      <c r="AN13" s="10"/>
      <c r="AO13" s="11"/>
      <c r="AY13" s="10"/>
      <c r="AZ13" s="11"/>
      <c r="BJ13" s="10"/>
      <c r="BK13" s="11"/>
      <c r="BU13" s="10"/>
      <c r="BV13" s="11"/>
    </row>
    <row r="14" customFormat="false" ht="12.75" hidden="false" customHeight="false" outlineLevel="0" collapsed="false">
      <c r="A14" s="109" t="s">
        <v>149</v>
      </c>
      <c r="B14" s="145" t="n">
        <v>0</v>
      </c>
      <c r="C14" s="146"/>
      <c r="D14" s="145" t="n">
        <v>0</v>
      </c>
      <c r="E14" s="146"/>
      <c r="F14" s="145" t="n">
        <v>0</v>
      </c>
      <c r="G14" s="146"/>
      <c r="H14" s="145" t="n">
        <v>0</v>
      </c>
      <c r="I14" s="114"/>
      <c r="J14" s="10"/>
      <c r="K14" s="64"/>
      <c r="L14" s="64" t="s">
        <v>31</v>
      </c>
      <c r="M14" s="64"/>
      <c r="N14" s="10"/>
      <c r="O14" s="64"/>
      <c r="AG14" s="64"/>
      <c r="AJ14" s="14"/>
      <c r="AK14" s="10"/>
      <c r="AL14" s="10"/>
      <c r="AM14" s="11"/>
      <c r="AN14" s="10"/>
      <c r="AO14" s="11"/>
      <c r="AY14" s="10"/>
      <c r="AZ14" s="11"/>
      <c r="BJ14" s="10"/>
      <c r="BK14" s="11"/>
      <c r="BU14" s="10"/>
      <c r="BV14" s="11"/>
    </row>
    <row r="15" customFormat="false" ht="12.75" hidden="false" customHeight="false" outlineLevel="0" collapsed="false">
      <c r="A15" s="62" t="s">
        <v>11</v>
      </c>
      <c r="B15" s="147" t="n">
        <f aca="false">STRADDLES!$E8</f>
        <v>0</v>
      </c>
      <c r="C15" s="147"/>
      <c r="D15" s="147" t="n">
        <f aca="false">STRADDLES!$F8</f>
        <v>0</v>
      </c>
      <c r="E15" s="147"/>
      <c r="F15" s="147" t="n">
        <f aca="false">STRADDLES!$G8</f>
        <v>0</v>
      </c>
      <c r="G15" s="147"/>
      <c r="H15" s="147" t="n">
        <f aca="false">STRADDLES!$H8</f>
        <v>0</v>
      </c>
      <c r="I15" s="119"/>
      <c r="J15" s="10"/>
      <c r="K15" s="10"/>
      <c r="L15" s="64" t="s">
        <v>38</v>
      </c>
      <c r="M15" s="64"/>
      <c r="N15" s="10"/>
      <c r="O15" s="64"/>
      <c r="AG15" s="64"/>
      <c r="AJ15" s="14"/>
      <c r="AK15" s="10"/>
      <c r="AL15" s="10"/>
      <c r="AM15" s="11"/>
      <c r="AN15" s="10"/>
      <c r="AO15" s="11"/>
      <c r="AY15" s="10"/>
      <c r="AZ15" s="11"/>
      <c r="BJ15" s="10"/>
      <c r="BK15" s="11"/>
      <c r="BU15" s="10"/>
      <c r="BV15" s="11"/>
    </row>
    <row r="16" customFormat="false" ht="12.75" hidden="false" customHeight="false" outlineLevel="0" collapsed="false">
      <c r="A16" s="61" t="s">
        <v>150</v>
      </c>
      <c r="B16" s="77" t="n">
        <f aca="false">STRADDLES!$E9</f>
        <v>1</v>
      </c>
      <c r="C16" s="148"/>
      <c r="D16" s="77" t="n">
        <f aca="false">STRADDLES!$F9</f>
        <v>1</v>
      </c>
      <c r="E16" s="149"/>
      <c r="F16" s="77" t="n">
        <f aca="false">STRADDLES!$G9</f>
        <v>1</v>
      </c>
      <c r="G16" s="149"/>
      <c r="H16" s="77" t="n">
        <f aca="false">STRADDLES!$H9</f>
        <v>1</v>
      </c>
      <c r="I16" s="111"/>
      <c r="L16" s="64" t="s">
        <v>42</v>
      </c>
      <c r="AF16" s="64"/>
      <c r="AG16" s="64"/>
      <c r="AK16" s="10"/>
      <c r="AL16" s="10"/>
      <c r="AM16" s="11"/>
      <c r="AN16" s="10"/>
      <c r="AO16" s="11"/>
      <c r="AY16" s="10"/>
      <c r="AZ16" s="11"/>
      <c r="BJ16" s="10"/>
      <c r="BK16" s="11"/>
      <c r="BU16" s="10"/>
      <c r="BV16" s="11"/>
    </row>
    <row r="17" customFormat="false" ht="12.75" hidden="false" customHeight="false" outlineLevel="0" collapsed="false">
      <c r="A17" s="109"/>
      <c r="B17" s="145"/>
      <c r="C17" s="146"/>
      <c r="D17" s="145"/>
      <c r="E17" s="146"/>
      <c r="F17" s="145"/>
      <c r="G17" s="146"/>
      <c r="H17" s="145"/>
      <c r="I17" s="114"/>
      <c r="L17" s="64" t="s">
        <v>47</v>
      </c>
      <c r="M17" s="64"/>
      <c r="N17" s="144"/>
      <c r="O17" s="6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G17" s="64"/>
      <c r="AK17" s="10"/>
      <c r="AL17" s="10"/>
      <c r="AM17" s="11"/>
      <c r="AN17" s="10"/>
      <c r="AO17" s="11"/>
      <c r="AY17" s="10"/>
      <c r="AZ17" s="11"/>
      <c r="BJ17" s="10"/>
      <c r="BK17" s="11"/>
      <c r="BU17" s="10"/>
      <c r="BV17" s="11"/>
    </row>
    <row r="18" customFormat="false" ht="12.75" hidden="false" customHeight="false" outlineLevel="0" collapsed="false">
      <c r="A18" s="62" t="s">
        <v>9</v>
      </c>
      <c r="B18" s="150" t="n">
        <f aca="false">STRADDLES!$E11</f>
        <v>12</v>
      </c>
      <c r="C18" s="149"/>
      <c r="D18" s="150" t="n">
        <f aca="false">STRADDLES!$F11</f>
        <v>3.75</v>
      </c>
      <c r="E18" s="149"/>
      <c r="F18" s="150" t="n">
        <f aca="false">STRADDLES!$G11</f>
        <v>3.5</v>
      </c>
      <c r="G18" s="149"/>
      <c r="H18" s="150" t="n">
        <f aca="false">STRADDLES!$H11</f>
        <v>3</v>
      </c>
      <c r="I18" s="114"/>
      <c r="J18" s="10"/>
      <c r="K18" s="64"/>
      <c r="L18" s="64" t="s">
        <v>37</v>
      </c>
      <c r="M18" s="64"/>
      <c r="N18" s="10"/>
      <c r="O18" s="64"/>
      <c r="AG18" s="64"/>
      <c r="AK18" s="10"/>
      <c r="AL18" s="10"/>
      <c r="AM18" s="11"/>
      <c r="AN18" s="10"/>
      <c r="AO18" s="11"/>
      <c r="AY18" s="10"/>
      <c r="AZ18" s="11"/>
      <c r="BJ18" s="10"/>
      <c r="BK18" s="11"/>
      <c r="BU18" s="10"/>
      <c r="BV18" s="11"/>
    </row>
    <row r="19" customFormat="false" ht="12.75" hidden="false" customHeight="false" outlineLevel="0" collapsed="false">
      <c r="A19" s="62" t="s">
        <v>10</v>
      </c>
      <c r="B19" s="151" t="n">
        <f aca="false">STRADDLES!$E10</f>
        <v>1</v>
      </c>
      <c r="C19" s="149"/>
      <c r="D19" s="151" t="n">
        <f aca="false">STRADDLES!$F10</f>
        <v>2</v>
      </c>
      <c r="E19" s="149"/>
      <c r="F19" s="151" t="n">
        <f aca="false">STRADDLES!$G10</f>
        <v>2</v>
      </c>
      <c r="G19" s="149"/>
      <c r="H19" s="151" t="n">
        <f aca="false">STRADDLES!$H10</f>
        <v>2</v>
      </c>
      <c r="L19" s="64" t="s">
        <v>52</v>
      </c>
    </row>
    <row r="20" customFormat="false" ht="12.75" hidden="false" customHeight="false" outlineLevel="0" collapsed="false">
      <c r="A20" s="1" t="s">
        <v>171</v>
      </c>
      <c r="L20" s="64" t="s">
        <v>75</v>
      </c>
      <c r="AF20" s="1" t="n">
        <f aca="false">500000/(300*10000)</f>
        <v>0.166666666666667</v>
      </c>
    </row>
    <row r="21" customFormat="false" ht="12.75" hidden="false" customHeight="false" outlineLevel="0" collapsed="false">
      <c r="A21" s="62" t="s">
        <v>1</v>
      </c>
      <c r="B21" s="120" t="e">
        <f aca="false">AU24</f>
        <v>#VALUE!</v>
      </c>
      <c r="C21" s="114"/>
      <c r="D21" s="120" t="e">
        <f aca="false">BF24</f>
        <v>#VALUE!</v>
      </c>
      <c r="E21" s="114"/>
      <c r="F21" s="120" t="e">
        <f aca="false">BQ24</f>
        <v>#VALUE!</v>
      </c>
      <c r="G21" s="114"/>
      <c r="H21" s="120" t="e">
        <f aca="false">CB24</f>
        <v>#VALUE!</v>
      </c>
      <c r="L21" s="64" t="s">
        <v>58</v>
      </c>
      <c r="AI21" s="1" t="n">
        <f aca="false">500000/181</f>
        <v>2762.43093922652</v>
      </c>
    </row>
    <row r="22" customFormat="false" ht="12.75" hidden="false" customHeight="false" outlineLevel="0" collapsed="false">
      <c r="A22" s="62" t="s">
        <v>2</v>
      </c>
      <c r="B22" s="120" t="e">
        <f aca="false">AV24</f>
        <v>#VALUE!</v>
      </c>
      <c r="C22" s="114"/>
      <c r="D22" s="120" t="e">
        <f aca="false">BG24</f>
        <v>#VALUE!</v>
      </c>
      <c r="E22" s="114"/>
      <c r="F22" s="120" t="e">
        <f aca="false">BR24</f>
        <v>#VALUE!</v>
      </c>
      <c r="G22" s="114"/>
      <c r="H22" s="120" t="e">
        <f aca="false">CC24</f>
        <v>#VALUE!</v>
      </c>
      <c r="L22" s="64" t="s">
        <v>35</v>
      </c>
    </row>
    <row r="23" customFormat="false" ht="12.75" hidden="false" customHeight="false" outlineLevel="0" collapsed="false">
      <c r="A23" s="62" t="str">
        <f aca="false">G1</f>
        <v>VEGA</v>
      </c>
      <c r="B23" s="120" t="e">
        <f aca="false">AW24</f>
        <v>#VALUE!</v>
      </c>
      <c r="C23" s="114"/>
      <c r="D23" s="120" t="e">
        <f aca="false">BH24</f>
        <v>#VALUE!</v>
      </c>
      <c r="E23" s="114"/>
      <c r="F23" s="120" t="e">
        <f aca="false">BS24</f>
        <v>#VALUE!</v>
      </c>
      <c r="G23" s="114"/>
      <c r="H23" s="120" t="e">
        <f aca="false">CD24</f>
        <v>#VALUE!</v>
      </c>
      <c r="L23" s="64" t="s">
        <v>32</v>
      </c>
      <c r="AH23" s="4" t="e">
        <f aca="false">VLOOKUP($A23,STRADDLE,12,FALSE())</f>
        <v>#N/A</v>
      </c>
    </row>
    <row r="24" customFormat="false" ht="12.75" hidden="false" customHeight="false" outlineLevel="0" collapsed="false">
      <c r="A24" s="10"/>
      <c r="B24" s="121"/>
      <c r="C24" s="10"/>
      <c r="D24" s="121"/>
      <c r="E24" s="10"/>
      <c r="F24" s="121"/>
      <c r="G24" s="10"/>
      <c r="H24" s="10"/>
      <c r="I24" s="10"/>
      <c r="J24" s="10"/>
      <c r="K24" s="64"/>
      <c r="L24" s="64" t="s">
        <v>36</v>
      </c>
      <c r="M24" s="10"/>
      <c r="N24" s="10"/>
      <c r="O24" s="64"/>
      <c r="AG24" s="64"/>
      <c r="AK24" s="10"/>
      <c r="AL24" s="10"/>
      <c r="AM24" s="11"/>
      <c r="AN24" s="10"/>
      <c r="AP24" s="1" t="n">
        <f aca="false">AP26/AN28</f>
        <v>5.5268</v>
      </c>
      <c r="AQ24" s="1" t="n">
        <f aca="false">AQ26/AN28</f>
        <v>7.3868</v>
      </c>
      <c r="AU24" s="123" t="e">
        <f aca="false">AU26/AN28</f>
        <v>#VALUE!</v>
      </c>
      <c r="AV24" s="123" t="e">
        <f aca="false">AV26/AN28</f>
        <v>#VALUE!</v>
      </c>
      <c r="AW24" s="123" t="e">
        <f aca="false">AW26/AN28</f>
        <v>#VALUE!</v>
      </c>
      <c r="AY24" s="10"/>
      <c r="BA24" s="1" t="n">
        <f aca="false">BA26/AY28</f>
        <v>5.02774915254237</v>
      </c>
      <c r="BB24" s="1" t="n">
        <f aca="false">BB26/AY28</f>
        <v>5.00524915254237</v>
      </c>
      <c r="BF24" s="123" t="e">
        <f aca="false">BF26/AY28</f>
        <v>#VALUE!</v>
      </c>
      <c r="BG24" s="123" t="e">
        <f aca="false">BG26/AY28</f>
        <v>#VALUE!</v>
      </c>
      <c r="BH24" s="123" t="e">
        <f aca="false">BH26/AY28</f>
        <v>#VALUE!</v>
      </c>
      <c r="BJ24" s="10"/>
      <c r="BL24" s="1" t="n">
        <f aca="false">BL26/BJ28</f>
        <v>4.49208791208791</v>
      </c>
      <c r="BM24" s="1" t="n">
        <f aca="false">BM26/BJ28</f>
        <v>4.47208791208791</v>
      </c>
      <c r="BQ24" s="123" t="e">
        <f aca="false">BQ26/BJ28</f>
        <v>#VALUE!</v>
      </c>
      <c r="BR24" s="123" t="e">
        <f aca="false">BR26/BJ28</f>
        <v>#VALUE!</v>
      </c>
      <c r="BS24" s="123" t="e">
        <f aca="false">BS26/BJ28</f>
        <v>#VALUE!</v>
      </c>
      <c r="BU24" s="10"/>
      <c r="BW24" s="1" t="n">
        <f aca="false">BW26/BU28</f>
        <v>3.98001265492498</v>
      </c>
      <c r="BX24" s="1" t="n">
        <f aca="false">BX26/BU28</f>
        <v>3.5711039791259</v>
      </c>
      <c r="CB24" s="123" t="e">
        <f aca="false">CB26/BU28</f>
        <v>#VALUE!</v>
      </c>
      <c r="CC24" s="123" t="e">
        <f aca="false">CC26/BU28</f>
        <v>#VALUE!</v>
      </c>
      <c r="CD24" s="123" t="e">
        <f aca="false">CD26/BU28</f>
        <v>#VALUE!</v>
      </c>
    </row>
    <row r="25" customFormat="false" ht="12.75" hidden="false" customHeight="false" outlineLevel="0" collapsed="false">
      <c r="A25" s="10"/>
      <c r="B25" s="121" t="e">
        <f aca="false">B21-D21</f>
        <v>#VALUE!</v>
      </c>
      <c r="C25" s="10"/>
      <c r="D25" s="10"/>
      <c r="E25" s="10"/>
      <c r="F25" s="121" t="e">
        <f aca="false">F21-H21</f>
        <v>#VALUE!</v>
      </c>
      <c r="G25" s="10"/>
      <c r="H25" s="10"/>
      <c r="I25" s="10"/>
      <c r="J25" s="10"/>
      <c r="K25" s="64"/>
      <c r="L25" s="10"/>
      <c r="M25" s="10"/>
      <c r="N25" s="10"/>
      <c r="O25" s="64"/>
      <c r="AG25" s="64"/>
      <c r="AH25" s="124"/>
      <c r="AK25" s="10"/>
      <c r="AL25" s="10"/>
      <c r="AM25" s="11"/>
      <c r="AN25" s="10"/>
      <c r="AO25" s="125" t="n">
        <f aca="false">B6</f>
        <v>36861</v>
      </c>
      <c r="AW25" s="0"/>
      <c r="AY25" s="10"/>
      <c r="AZ25" s="125" t="n">
        <f aca="false">D6</f>
        <v>36923</v>
      </c>
      <c r="BH25" s="0"/>
      <c r="BJ25" s="10"/>
      <c r="BK25" s="125" t="n">
        <f aca="false">F6</f>
        <v>36982</v>
      </c>
      <c r="BS25" s="0"/>
      <c r="BU25" s="10"/>
      <c r="BV25" s="125" t="n">
        <f aca="false">H6</f>
        <v>36892</v>
      </c>
      <c r="CD25" s="0"/>
    </row>
    <row r="26" customFormat="false" ht="12.75" hidden="false" customHeight="false" outlineLevel="0" collapsed="false">
      <c r="A26" s="10"/>
      <c r="B26" s="152"/>
      <c r="C26" s="10"/>
      <c r="D26" s="152"/>
      <c r="E26" s="10"/>
      <c r="F26" s="10"/>
      <c r="G26" s="10"/>
      <c r="H26" s="10"/>
      <c r="I26" s="10"/>
      <c r="J26" s="127"/>
      <c r="K26" s="127"/>
      <c r="L26" s="127"/>
      <c r="M26" s="127"/>
      <c r="N26" s="127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9"/>
      <c r="AF26" s="36"/>
      <c r="AG26" s="36"/>
      <c r="AH26" s="36"/>
      <c r="AI26" s="130"/>
      <c r="AJ26" s="30"/>
      <c r="AK26" s="10"/>
      <c r="AL26" s="10"/>
      <c r="AM26" s="11"/>
      <c r="AN26" s="10" t="s">
        <v>27</v>
      </c>
      <c r="AO26" s="125" t="n">
        <f aca="false">B7</f>
        <v>36861</v>
      </c>
      <c r="AP26" s="33" t="n">
        <f aca="false">SUM(AP31:AP150)</f>
        <v>171.3308</v>
      </c>
      <c r="AQ26" s="33" t="n">
        <f aca="false">SUM(AQ31:AQ150)</f>
        <v>228.9908</v>
      </c>
      <c r="AR26" s="33"/>
      <c r="AS26" s="33"/>
      <c r="AT26" s="33"/>
      <c r="AU26" s="33" t="e">
        <f aca="false">SUM(AU31:AU150)</f>
        <v>#VALUE!</v>
      </c>
      <c r="AV26" s="33" t="e">
        <f aca="false">SUM(AV31:AV150)</f>
        <v>#VALUE!</v>
      </c>
      <c r="AW26" s="33" t="e">
        <f aca="false">SUM(AW31:AW150)</f>
        <v>#VALUE!</v>
      </c>
      <c r="AY26" s="10" t="s">
        <v>28</v>
      </c>
      <c r="AZ26" s="125" t="n">
        <f aca="false">D7</f>
        <v>36951</v>
      </c>
      <c r="BA26" s="33" t="n">
        <f aca="false">SUM(BA31:BA150)</f>
        <v>296.6372</v>
      </c>
      <c r="BB26" s="33" t="n">
        <f aca="false">SUM(BB31:BB150)</f>
        <v>295.3097</v>
      </c>
      <c r="BC26" s="33"/>
      <c r="BD26" s="33"/>
      <c r="BE26" s="33"/>
      <c r="BF26" s="33" t="e">
        <f aca="false">SUM(BF31:BF150)</f>
        <v>#VALUE!</v>
      </c>
      <c r="BG26" s="33" t="e">
        <f aca="false">SUM(BG31:BG150)</f>
        <v>#VALUE!</v>
      </c>
      <c r="BH26" s="33" t="e">
        <f aca="false">SUM(BH31:BH150)</f>
        <v>#VALUE!</v>
      </c>
      <c r="BJ26" s="10" t="s">
        <v>29</v>
      </c>
      <c r="BK26" s="125" t="n">
        <f aca="false">F7</f>
        <v>37043</v>
      </c>
      <c r="BL26" s="33" t="n">
        <f aca="false">SUM(BL31:BL150)</f>
        <v>408.78</v>
      </c>
      <c r="BM26" s="33" t="n">
        <f aca="false">SUM(BM31:BM150)</f>
        <v>406.96</v>
      </c>
      <c r="BN26" s="33"/>
      <c r="BO26" s="33"/>
      <c r="BP26" s="33"/>
      <c r="BQ26" s="33" t="e">
        <f aca="false">SUM(BQ31:BQ150)</f>
        <v>#VALUE!</v>
      </c>
      <c r="BR26" s="33" t="e">
        <f aca="false">SUM(BR31:BR150)</f>
        <v>#VALUE!</v>
      </c>
      <c r="BS26" s="33" t="e">
        <f aca="false">SUM(BS31:BS150)</f>
        <v>#VALUE!</v>
      </c>
      <c r="BU26" s="10" t="s">
        <v>30</v>
      </c>
      <c r="BV26" s="125" t="n">
        <f aca="false">H7</f>
        <v>37956</v>
      </c>
      <c r="BW26" s="33" t="n">
        <f aca="false">SUM(BW31:BW150)</f>
        <v>4358.11385714286</v>
      </c>
      <c r="BX26" s="33" t="n">
        <f aca="false">SUM(BX31:BX150)</f>
        <v>3910.35885714286</v>
      </c>
      <c r="BY26" s="33"/>
      <c r="BZ26" s="33"/>
      <c r="CA26" s="33"/>
      <c r="CB26" s="33" t="e">
        <f aca="false">SUM(CB31:CB150)</f>
        <v>#VALUE!</v>
      </c>
      <c r="CC26" s="33" t="e">
        <f aca="false">SUM(CC31:CC150)</f>
        <v>#VALUE!</v>
      </c>
      <c r="CD26" s="33" t="e">
        <f aca="false">SUM(CD31:CD150)</f>
        <v>#VALUE!</v>
      </c>
    </row>
    <row r="27" customFormat="false" ht="12.75" hidden="false" customHeight="false" outlineLevel="0" collapsed="false">
      <c r="A27" s="10"/>
      <c r="B27" s="144"/>
      <c r="C27" s="10"/>
      <c r="D27" s="2" t="s">
        <v>7</v>
      </c>
      <c r="E27" s="10"/>
      <c r="F27" s="144"/>
      <c r="G27" s="10"/>
      <c r="H27" s="144"/>
      <c r="I27" s="10"/>
      <c r="J27" s="131"/>
      <c r="K27" s="2" t="s">
        <v>8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F27" s="131"/>
      <c r="AG27" s="131"/>
      <c r="AH27" s="131"/>
      <c r="AK27" s="10"/>
      <c r="AL27" s="10"/>
      <c r="AM27" s="11"/>
      <c r="AN27" s="10"/>
      <c r="AR27" s="1" t="s">
        <v>10</v>
      </c>
      <c r="AS27" s="1" t="n">
        <f aca="false">IF(B19=4,3,B19)</f>
        <v>1</v>
      </c>
      <c r="AW27" s="0"/>
      <c r="AY27" s="10"/>
      <c r="BC27" s="1" t="s">
        <v>10</v>
      </c>
      <c r="BD27" s="1" t="n">
        <f aca="false">IF(D19=4,3,D19)</f>
        <v>2</v>
      </c>
      <c r="BH27" s="0"/>
      <c r="BJ27" s="10"/>
      <c r="BN27" s="1" t="s">
        <v>10</v>
      </c>
      <c r="BO27" s="1" t="n">
        <f aca="false">IF(F19=4,3,F19)</f>
        <v>2</v>
      </c>
      <c r="BS27" s="0"/>
      <c r="BU27" s="10"/>
      <c r="BY27" s="1" t="s">
        <v>10</v>
      </c>
      <c r="BZ27" s="1" t="n">
        <f aca="false">IF(H19=4,3,H19)</f>
        <v>2</v>
      </c>
      <c r="CD27" s="0"/>
    </row>
    <row r="28" customFormat="false" ht="12.75" hidden="false" customHeight="false" outlineLevel="0" collapsed="false">
      <c r="A28" s="10"/>
      <c r="B28" s="132"/>
      <c r="C28" s="132"/>
      <c r="D28" s="64" t="str">
        <f aca="false">B4</f>
        <v>IF-TRANSCO/Z6</v>
      </c>
      <c r="K28" s="64" t="str">
        <f aca="false">D4</f>
        <v>IF-TGT/Z1</v>
      </c>
      <c r="Q28" s="32"/>
      <c r="R28" s="64" t="str">
        <f aca="false">F4</f>
        <v>IF-TGT/Z1</v>
      </c>
      <c r="Y28" s="64" t="str">
        <f aca="false">H4</f>
        <v>IF-NWPL_ROCKY_M</v>
      </c>
      <c r="AF28" s="127"/>
      <c r="AG28" s="127"/>
      <c r="AH28" s="127"/>
      <c r="AM28" s="11"/>
      <c r="AN28" s="35" t="n">
        <f aca="false">SUM(AN31:AN150)</f>
        <v>31</v>
      </c>
      <c r="AR28" s="1" t="s">
        <v>151</v>
      </c>
      <c r="AS28" s="1" t="n">
        <f aca="false">IF($G$1="GAMMA",3,IF($G$1="THETA",4,5))</f>
        <v>5</v>
      </c>
      <c r="AW28" s="0"/>
      <c r="AY28" s="35" t="n">
        <f aca="false">SUM(AY31:AY150)</f>
        <v>59</v>
      </c>
      <c r="BC28" s="1" t="s">
        <v>151</v>
      </c>
      <c r="BD28" s="1" t="n">
        <f aca="false">IF($G$1="GAMMA",3,IF($G$1="THETA",4,5))</f>
        <v>5</v>
      </c>
      <c r="BH28" s="0"/>
      <c r="BJ28" s="35" t="n">
        <f aca="false">SUM(BJ31:BJ150)</f>
        <v>91</v>
      </c>
      <c r="BN28" s="1" t="s">
        <v>151</v>
      </c>
      <c r="BO28" s="1" t="n">
        <f aca="false">IF($G$1="GAMMA",3,IF($G$1="THETA",4,5))</f>
        <v>5</v>
      </c>
      <c r="BS28" s="0"/>
      <c r="BU28" s="35" t="n">
        <f aca="false">SUM(BU31:BU150)</f>
        <v>1095</v>
      </c>
      <c r="BY28" s="1" t="s">
        <v>151</v>
      </c>
      <c r="BZ28" s="1" t="n">
        <f aca="false">IF($G$1="GAMMA",3,IF($G$1="THETA",4,5))</f>
        <v>5</v>
      </c>
      <c r="CD28" s="0"/>
    </row>
    <row r="29" customFormat="false" ht="13.5" hidden="false" customHeight="false" outlineLevel="0" collapsed="false">
      <c r="B29" s="134"/>
      <c r="C29" s="13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29"/>
      <c r="AF29" s="1" t="s">
        <v>152</v>
      </c>
      <c r="AI29" s="10"/>
      <c r="AJ29" s="10"/>
      <c r="AL29" s="10"/>
      <c r="AO29" s="1" t="s">
        <v>153</v>
      </c>
      <c r="AP29" s="23" t="s">
        <v>6</v>
      </c>
      <c r="AQ29" s="23" t="s">
        <v>154</v>
      </c>
      <c r="AR29" s="23" t="s">
        <v>1</v>
      </c>
      <c r="AS29" s="23" t="s">
        <v>2</v>
      </c>
      <c r="AT29" s="23" t="str">
        <f aca="false">$G1</f>
        <v>VEGA</v>
      </c>
      <c r="AU29" s="4" t="s">
        <v>1</v>
      </c>
      <c r="AV29" s="4" t="s">
        <v>2</v>
      </c>
      <c r="AW29" s="4" t="str">
        <f aca="false">AT29</f>
        <v>VEGA</v>
      </c>
      <c r="AZ29" s="1" t="s">
        <v>153</v>
      </c>
      <c r="BA29" s="23" t="s">
        <v>6</v>
      </c>
      <c r="BB29" s="23" t="s">
        <v>154</v>
      </c>
      <c r="BC29" s="23" t="s">
        <v>1</v>
      </c>
      <c r="BD29" s="23" t="s">
        <v>2</v>
      </c>
      <c r="BE29" s="23" t="str">
        <f aca="false">$G1</f>
        <v>VEGA</v>
      </c>
      <c r="BF29" s="4" t="s">
        <v>1</v>
      </c>
      <c r="BG29" s="4" t="s">
        <v>2</v>
      </c>
      <c r="BH29" s="4" t="str">
        <f aca="false">BE29</f>
        <v>VEGA</v>
      </c>
      <c r="BK29" s="1" t="s">
        <v>153</v>
      </c>
      <c r="BL29" s="23" t="s">
        <v>6</v>
      </c>
      <c r="BM29" s="23" t="s">
        <v>154</v>
      </c>
      <c r="BN29" s="23" t="s">
        <v>1</v>
      </c>
      <c r="BO29" s="23" t="s">
        <v>2</v>
      </c>
      <c r="BP29" s="23" t="str">
        <f aca="false">$G1</f>
        <v>VEGA</v>
      </c>
      <c r="BQ29" s="4" t="s">
        <v>1</v>
      </c>
      <c r="BR29" s="4" t="s">
        <v>2</v>
      </c>
      <c r="BS29" s="4" t="str">
        <f aca="false">BP29</f>
        <v>VEGA</v>
      </c>
      <c r="BV29" s="1" t="s">
        <v>153</v>
      </c>
      <c r="BW29" s="23" t="s">
        <v>6</v>
      </c>
      <c r="BX29" s="23" t="s">
        <v>154</v>
      </c>
      <c r="BY29" s="23" t="s">
        <v>1</v>
      </c>
      <c r="BZ29" s="23" t="s">
        <v>2</v>
      </c>
      <c r="CA29" s="23" t="str">
        <f aca="false">$G1</f>
        <v>VEGA</v>
      </c>
      <c r="CB29" s="4" t="s">
        <v>1</v>
      </c>
      <c r="CC29" s="4" t="s">
        <v>2</v>
      </c>
      <c r="CD29" s="4" t="str">
        <f aca="false">CA29</f>
        <v>VEGA</v>
      </c>
    </row>
    <row r="30" customFormat="false" ht="14.25" hidden="false" customHeight="false" outlineLevel="0" collapsed="false">
      <c r="A30" s="37" t="s">
        <v>0</v>
      </c>
      <c r="B30" s="37" t="s">
        <v>49</v>
      </c>
      <c r="C30" s="37" t="s">
        <v>155</v>
      </c>
      <c r="D30" s="37" t="s">
        <v>51</v>
      </c>
      <c r="E30" s="37" t="s">
        <v>11</v>
      </c>
      <c r="F30" s="37" t="s">
        <v>22</v>
      </c>
      <c r="G30" s="37" t="s">
        <v>162</v>
      </c>
      <c r="H30" s="37" t="s">
        <v>158</v>
      </c>
      <c r="I30" s="37" t="s">
        <v>17</v>
      </c>
      <c r="K30" s="37" t="s">
        <v>51</v>
      </c>
      <c r="L30" s="37" t="s">
        <v>11</v>
      </c>
      <c r="M30" s="37" t="s">
        <v>22</v>
      </c>
      <c r="N30" s="37" t="s">
        <v>163</v>
      </c>
      <c r="O30" s="37" t="s">
        <v>159</v>
      </c>
      <c r="P30" s="37" t="s">
        <v>18</v>
      </c>
      <c r="R30" s="37" t="s">
        <v>51</v>
      </c>
      <c r="S30" s="37" t="s">
        <v>11</v>
      </c>
      <c r="T30" s="37" t="s">
        <v>22</v>
      </c>
      <c r="U30" s="37" t="s">
        <v>164</v>
      </c>
      <c r="V30" s="37" t="s">
        <v>160</v>
      </c>
      <c r="W30" s="37" t="s">
        <v>156</v>
      </c>
      <c r="X30" s="38"/>
      <c r="Y30" s="37" t="s">
        <v>51</v>
      </c>
      <c r="Z30" s="37" t="s">
        <v>11</v>
      </c>
      <c r="AA30" s="37" t="s">
        <v>22</v>
      </c>
      <c r="AB30" s="37" t="s">
        <v>165</v>
      </c>
      <c r="AC30" s="37" t="s">
        <v>161</v>
      </c>
      <c r="AD30" s="37" t="s">
        <v>157</v>
      </c>
      <c r="AF30" s="1" t="s">
        <v>172</v>
      </c>
      <c r="AG30" s="37" t="s">
        <v>173</v>
      </c>
      <c r="AH30" s="37" t="s">
        <v>21</v>
      </c>
      <c r="AI30" s="10"/>
      <c r="AL30" s="38"/>
      <c r="AN30" s="1" t="s">
        <v>166</v>
      </c>
      <c r="AQ30" s="11"/>
      <c r="AR30" s="10"/>
      <c r="AS30" s="10"/>
      <c r="AT30" s="10"/>
      <c r="AW30" s="0" t="s">
        <v>167</v>
      </c>
      <c r="AY30" s="1" t="s">
        <v>166</v>
      </c>
      <c r="BB30" s="11"/>
      <c r="BC30" s="10"/>
      <c r="BD30" s="10"/>
      <c r="BE30" s="10"/>
      <c r="BH30" s="0" t="s">
        <v>167</v>
      </c>
      <c r="BJ30" s="1" t="s">
        <v>166</v>
      </c>
      <c r="BM30" s="11"/>
      <c r="BN30" s="10"/>
      <c r="BO30" s="10"/>
      <c r="BP30" s="10"/>
      <c r="BS30" s="0" t="s">
        <v>167</v>
      </c>
      <c r="BU30" s="1" t="s">
        <v>166</v>
      </c>
      <c r="BX30" s="11"/>
      <c r="BY30" s="10"/>
      <c r="BZ30" s="10"/>
      <c r="CA30" s="10"/>
      <c r="CD30" s="0" t="s">
        <v>167</v>
      </c>
    </row>
    <row r="31" customFormat="false" ht="13.5" hidden="false" customHeight="false" outlineLevel="0" collapsed="false">
      <c r="A31" s="48" t="n">
        <v>36800</v>
      </c>
      <c r="B31" s="40" t="n">
        <f aca="false">VLOOKUP(A31,STRADDLE,5,FALSE())</f>
        <v>5.24</v>
      </c>
      <c r="C31" s="4" t="n">
        <f aca="false">VLOOKUP(A31,STRADDLE,8,FALSE())</f>
        <v>0.48</v>
      </c>
      <c r="D31" s="40" t="n">
        <f aca="false">IF(D$28="nymex",0,VLOOKUP($A31,curvesettle,HLOOKUP(D$28,curvesettle,2,FALSE())))</f>
        <v>0.48</v>
      </c>
      <c r="E31" s="131" t="n">
        <f aca="false">IF(ISNUMBER(VLOOKUP($A31,VOLCURVES,HLOOKUP(D$28,VOLCURVES,2,FALSE()),FALSE())),VLOOKUP($A31,VOLCURVES,HLOOKUP(D$28,VOLCURVES,2,FALSE()),FALSE()),1)</f>
        <v>0.98</v>
      </c>
      <c r="F31" s="136" t="n">
        <f aca="false">IF(D$28="NYMEX",$AG31,$AF31)</f>
        <v>-9130</v>
      </c>
      <c r="G31" s="4" t="n">
        <f aca="false">(($C31+H31)*$E31)+B$15</f>
        <v>0.42533962955925</v>
      </c>
      <c r="H31" s="4" t="n">
        <v>-0.0459799698375</v>
      </c>
      <c r="I31" s="41" t="n">
        <f aca="false">IF($B$19=4,$AO31,$B$18)</f>
        <v>12</v>
      </c>
      <c r="K31" s="40" t="n">
        <f aca="false">IF(K$28="nymex",0,VLOOKUP($A31,curvesettle,HLOOKUP(K$28,curvesettle,2,FALSE())))</f>
        <v>-0.02</v>
      </c>
      <c r="L31" s="131" t="n">
        <f aca="false">IF(ISNUMBER(VLOOKUP($A31,VOLCURVES,HLOOKUP(K$28,VOLCURVES,2,FALSE()),FALSE())),VLOOKUP($A31,VOLCURVES,HLOOKUP(K$28,VOLCURVES,2,FALSE()),FALSE()),1)</f>
        <v>1</v>
      </c>
      <c r="M31" s="136" t="n">
        <f aca="false">IF(K$28="NYMEX",$AG31,$AF31)</f>
        <v>-9130</v>
      </c>
      <c r="N31" s="153" t="e">
        <f aca="false">(($C31+O31)*$L31)+D$15</f>
        <v>#DIV/0!</v>
      </c>
      <c r="O31" s="4" t="e">
        <f aca="false">IF($D$16=1,VLOOKUP($A31,SkewTable,HLOOKUP(ROUND(P31-AZ31,1),SkewTable,2,FALSE()),FALSE())/100,0)</f>
        <v>#DIV/0!</v>
      </c>
      <c r="P31" s="41" t="n">
        <f aca="false">IF($D$19=4,$AZ31,$D$18)</f>
        <v>3.75</v>
      </c>
      <c r="R31" s="40" t="n">
        <f aca="false">IF(R$28="nymex",0,VLOOKUP($A31,curvesettle,HLOOKUP(R$28,curvesettle,2,FALSE())))</f>
        <v>-0.02</v>
      </c>
      <c r="S31" s="131" t="n">
        <f aca="false">IF(ISNUMBER(VLOOKUP($A31,VOLCURVES,HLOOKUP(R$28,VOLCURVES,2,FALSE()),FALSE())),VLOOKUP($A31,VOLCURVES,HLOOKUP(R$28,VOLCURVES,2,FALSE()),FALSE()),1)</f>
        <v>1</v>
      </c>
      <c r="T31" s="136" t="n">
        <f aca="false">IF(R$28="NYMEX",$AG31,$AF31)</f>
        <v>-9130</v>
      </c>
      <c r="U31" s="153" t="e">
        <f aca="false">(($C31+V31)*$S31)+F$15</f>
        <v>#DIV/0!</v>
      </c>
      <c r="V31" s="4" t="e">
        <f aca="false">IF($F$16=1,VLOOKUP($A31,SkewTable,HLOOKUP(ROUND(W31-BK31,1),SkewTable,2,FALSE()),FALSE())/100,0)</f>
        <v>#DIV/0!</v>
      </c>
      <c r="W31" s="41" t="n">
        <f aca="false">IF($F$19=4,$BK31,$F$18)</f>
        <v>3.5</v>
      </c>
      <c r="X31" s="136"/>
      <c r="Y31" s="40" t="n">
        <f aca="false">IF(Y$28="nymex",0,VLOOKUP($A31,curvesettle,HLOOKUP(Y$28,curvesettle,2,FALSE())))</f>
        <v>-0.7775</v>
      </c>
      <c r="Z31" s="131" t="n">
        <f aca="false">IF(ISNUMBER(VLOOKUP($A31,VOLCURVES,HLOOKUP(Y$28,VOLCURVES,2,FALSE()),FALSE())),VLOOKUP($A31,VOLCURVES,HLOOKUP(Y$28,VOLCURVES,2,FALSE()),FALSE()),1)</f>
        <v>0.96</v>
      </c>
      <c r="AA31" s="136" t="n">
        <f aca="false">IF(Y$28="NYMEX",$AG31,$AF31)</f>
        <v>-9130</v>
      </c>
      <c r="AB31" s="4" t="e">
        <f aca="false">(($C31+AC31)*$Z31)+H$15</f>
        <v>#DIV/0!</v>
      </c>
      <c r="AC31" s="4" t="e">
        <f aca="false">IF($H$16=1,VLOOKUP($A31,SkewTable,HLOOKUP(ROUND(AD31-BV31,1),SkewTable,2,FALSE()),FALSE())/100,0)</f>
        <v>#DIV/0!</v>
      </c>
      <c r="AD31" s="41" t="n">
        <f aca="false">IF($H$19=4,$BV31,$H$18)</f>
        <v>3</v>
      </c>
      <c r="AF31" s="136" t="n">
        <f aca="false">VLOOKUP($A31,expiration,2,FALSE())-$B$2</f>
        <v>-9130</v>
      </c>
      <c r="AG31" s="136" t="n">
        <f aca="false">VLOOKUP($A31,expiration,3,FALSE())-$B$2</f>
        <v>-9131</v>
      </c>
      <c r="AH31" s="4" t="n">
        <f aca="false">VLOOKUP($A31,STRADDLE,12,FALSE())</f>
        <v>0.067720515824946</v>
      </c>
      <c r="AI31" s="43" t="n">
        <f aca="false">A32-A31</f>
        <v>31</v>
      </c>
      <c r="AL31" s="136"/>
      <c r="AM31" s="9"/>
      <c r="AN31" s="9" t="n">
        <f aca="false">IF($A31&gt;=AO$25,IF($A31&lt;=AO$26,$AI31,0),0)</f>
        <v>0</v>
      </c>
      <c r="AO31" s="9" t="e">
        <f aca="false">AQ31/AN31</f>
        <v>#DIV/0!</v>
      </c>
      <c r="AP31" s="1" t="n">
        <f aca="false">AN31*($B31+B$13)</f>
        <v>0</v>
      </c>
      <c r="AQ31" s="33" t="n">
        <f aca="false">IF(ISNUMBER(((AP31/AN31)+B$14+$D31)*AN31),((AP31/AN31)+B$14+$D31)*AN31,0)</f>
        <v>0</v>
      </c>
      <c r="AR31" s="44" t="n">
        <f aca="false">IF(AN31=0,0,bsd(1,AS$27,AO31,$I31,$F31,$G31,$AH31,0.1))</f>
        <v>0</v>
      </c>
      <c r="AS31" s="44" t="n">
        <f aca="false">IF(AN31=0,0,bsd(2,AS$27,AO31,$I31,$F31,$G31,$AH31,0.1))</f>
        <v>0</v>
      </c>
      <c r="AT31" s="44" t="n">
        <f aca="false">IF(AN31=0,0,bsd(AS$28,AS$27,AO31,$I31,$F31,$G31,$AH31,0.1))</f>
        <v>0</v>
      </c>
      <c r="AU31" s="45" t="n">
        <f aca="false">AN31*AR31</f>
        <v>0</v>
      </c>
      <c r="AV31" s="45" t="n">
        <f aca="false">AN31*AS31</f>
        <v>0</v>
      </c>
      <c r="AW31" s="45" t="n">
        <f aca="false">AN31*AT31</f>
        <v>0</v>
      </c>
      <c r="AY31" s="9" t="n">
        <f aca="false">IF($A31&gt;=AZ$25,IF($A31&lt;=AZ$26,$AI31,0),0)</f>
        <v>0</v>
      </c>
      <c r="AZ31" s="9" t="e">
        <f aca="false">BB31/AY31</f>
        <v>#DIV/0!</v>
      </c>
      <c r="BA31" s="1" t="n">
        <f aca="false">AY31*($B31+D$13)</f>
        <v>0</v>
      </c>
      <c r="BB31" s="33" t="n">
        <f aca="false">IF(ISNUMBER(((BA31/AY31)+D$14+$K31)*AY31),((BA31/AY31)+D$14+$K31)*AY31,0)</f>
        <v>0</v>
      </c>
      <c r="BC31" s="44" t="n">
        <f aca="false">IF(AY31=0,0,bsd(1,BD$27,AZ31,$P31,$M31,$N31,$AH31,0.1))</f>
        <v>0</v>
      </c>
      <c r="BD31" s="44" t="n">
        <f aca="false">IF(AY31=0,0,bsd(2,BD$27,AZ31,$P31,$M31,$N31,$AH31,0.1))</f>
        <v>0</v>
      </c>
      <c r="BE31" s="44" t="n">
        <f aca="false">IF(AY31=0,0,bsd(BD$28,BD$27,AZ31,$P31,$M31,$N31,$AH31,0.1))</f>
        <v>0</v>
      </c>
      <c r="BF31" s="45" t="n">
        <f aca="false">AY31*BC31</f>
        <v>0</v>
      </c>
      <c r="BG31" s="45" t="n">
        <f aca="false">AY31*BD31</f>
        <v>0</v>
      </c>
      <c r="BH31" s="45" t="n">
        <f aca="false">AY31*BE31</f>
        <v>0</v>
      </c>
      <c r="BJ31" s="9" t="n">
        <f aca="false">IF($A31&gt;=BK$25,IF($A31&lt;=BK$26,$AI31,0),0)</f>
        <v>0</v>
      </c>
      <c r="BK31" s="9" t="e">
        <f aca="false">BM31/BJ31</f>
        <v>#DIV/0!</v>
      </c>
      <c r="BL31" s="1" t="n">
        <f aca="false">BJ31*($B31+F$13)</f>
        <v>0</v>
      </c>
      <c r="BM31" s="33" t="n">
        <f aca="false">IF(ISNUMBER(((BL31/BJ31)+F$14+$R31)*BJ31),((BL31/BJ31)+F$14+$R31)*BJ31,0)</f>
        <v>0</v>
      </c>
      <c r="BN31" s="44" t="n">
        <f aca="false">IF(BJ31=0,0,bsd(1,BO$27,BK31,$W31,$T31,$U31,$AH31,0.1))</f>
        <v>0</v>
      </c>
      <c r="BO31" s="44" t="n">
        <f aca="false">IF(BJ31=0,0,bsd(2,BO$27,BK31,$W31,$T31,$U31,$AH31,0.1))</f>
        <v>0</v>
      </c>
      <c r="BP31" s="44" t="n">
        <f aca="false">IF(BJ31=0,0,bsd(BO$28,BO$27,BK31,$W31,$T31,$U31,$AH31,0.1))</f>
        <v>0</v>
      </c>
      <c r="BQ31" s="45" t="n">
        <f aca="false">BJ31*BN31</f>
        <v>0</v>
      </c>
      <c r="BR31" s="45" t="n">
        <f aca="false">BJ31*BO31</f>
        <v>0</v>
      </c>
      <c r="BS31" s="45" t="n">
        <f aca="false">BJ31*BP31</f>
        <v>0</v>
      </c>
      <c r="BU31" s="9" t="n">
        <f aca="false">IF($A31&gt;=BV$25,IF($A31&lt;=BV$26,$AI31,0),0)</f>
        <v>0</v>
      </c>
      <c r="BV31" s="9" t="e">
        <f aca="false">BX31/BU31</f>
        <v>#DIV/0!</v>
      </c>
      <c r="BW31" s="1" t="n">
        <f aca="false">BU31*($B31+H$13)</f>
        <v>0</v>
      </c>
      <c r="BX31" s="33" t="n">
        <f aca="false">IF(ISNUMBER(((BW31/BU31)+H$14+$Y31)*BU31),((BW31/BU31)+H$14+$Y31)*BU31,0)</f>
        <v>0</v>
      </c>
      <c r="BY31" s="44" t="n">
        <f aca="false">IF(BU31=0,0,bsd(1,BZ$27,BV31,$AD31,$AA31,$AB31,$AH31,0.1))</f>
        <v>0</v>
      </c>
      <c r="BZ31" s="44" t="n">
        <f aca="false">IF(BU31=0,0,bsd(2,BZ$27,BV31,$AD31,$AA31,$AB31,$AH31,0.1))</f>
        <v>0</v>
      </c>
      <c r="CA31" s="44" t="n">
        <f aca="false">IF(BU31=0,0,bsd(BZ$28,BZ$27,BV31,$AD31,$AA31,$AB31,$AH31,0.1))</f>
        <v>0</v>
      </c>
      <c r="CB31" s="45" t="n">
        <f aca="false">BU31*BY31</f>
        <v>0</v>
      </c>
      <c r="CC31" s="45" t="n">
        <f aca="false">BU31*BZ31</f>
        <v>0</v>
      </c>
      <c r="CD31" s="45" t="n">
        <f aca="false">BU31*CA31</f>
        <v>0</v>
      </c>
    </row>
    <row r="32" customFormat="false" ht="12.75" hidden="false" customHeight="false" outlineLevel="0" collapsed="false">
      <c r="A32" s="48" t="n">
        <f aca="false">DATE(YEAR(A31),MONTH(A31)+1,1)</f>
        <v>36831</v>
      </c>
      <c r="B32" s="40" t="n">
        <f aca="false">VLOOKUP(A32,STRADDLE,5,FALSE())</f>
        <v>5.4258</v>
      </c>
      <c r="C32" s="4" t="n">
        <f aca="false">VLOOKUP(A32,STRADDLE,8,FALSE())</f>
        <v>0.52</v>
      </c>
      <c r="D32" s="40" t="n">
        <f aca="false">IF(D$28="nymex",0,VLOOKUP($A32,curvesettle,HLOOKUP(D$28,curvesettle,2,FALSE())))</f>
        <v>0.89</v>
      </c>
      <c r="E32" s="131" t="n">
        <f aca="false">IF(ISNUMBER(VLOOKUP($A32,VOLCURVES,HLOOKUP(D$28,VOLCURVES,2,FALSE()),FALSE())),VLOOKUP($A32,VOLCURVES,HLOOKUP(D$28,VOLCURVES,2,FALSE()),FALSE()),1)</f>
        <v>1.05</v>
      </c>
      <c r="F32" s="136" t="n">
        <f aca="false">IF(D$28="NYMEX",$AG32,$AF32)</f>
        <v>-9100</v>
      </c>
      <c r="G32" s="4" t="n">
        <f aca="false">(($C32+H32)*$E32)+B$15</f>
        <v>0.496130219231719</v>
      </c>
      <c r="H32" s="4" t="n">
        <v>-0.047495029303125</v>
      </c>
      <c r="I32" s="41" t="n">
        <f aca="false">IF($B$19=4,$AO32,$B$18)</f>
        <v>12</v>
      </c>
      <c r="K32" s="40" t="n">
        <f aca="false">IF(K$28="nymex",0,VLOOKUP($A32,curvesettle,HLOOKUP(K$28,curvesettle,2,FALSE())))</f>
        <v>-0.0225</v>
      </c>
      <c r="L32" s="131" t="n">
        <f aca="false">IF(ISNUMBER(VLOOKUP($A32,VOLCURVES,HLOOKUP(K$28,VOLCURVES,2,FALSE()),FALSE())),VLOOKUP($A32,VOLCURVES,HLOOKUP(K$28,VOLCURVES,2,FALSE()),FALSE()),1)</f>
        <v>1</v>
      </c>
      <c r="M32" s="136" t="n">
        <f aca="false">IF(K$28="NYMEX",$AG32,$AF32)</f>
        <v>-9100</v>
      </c>
      <c r="N32" s="153" t="e">
        <f aca="false">(($C32+O32)*$L32)+D$15</f>
        <v>#DIV/0!</v>
      </c>
      <c r="O32" s="4" t="e">
        <f aca="false">IF($D$16=1,VLOOKUP($A32,SkewTable,HLOOKUP(ROUND(P32-AZ32,1),SkewTable,2,FALSE()),FALSE())/100,0)</f>
        <v>#DIV/0!</v>
      </c>
      <c r="P32" s="41" t="n">
        <f aca="false">IF($D$19=4,$AZ32,$D$18)</f>
        <v>3.75</v>
      </c>
      <c r="Q32" s="153" t="e">
        <f aca="false">N32-O32</f>
        <v>#DIV/0!</v>
      </c>
      <c r="R32" s="40" t="n">
        <f aca="false">IF(R$28="nymex",0,VLOOKUP($A32,curvesettle,HLOOKUP(R$28,curvesettle,2,FALSE())))</f>
        <v>-0.0225</v>
      </c>
      <c r="S32" s="131" t="n">
        <f aca="false">IF(ISNUMBER(VLOOKUP($A32,VOLCURVES,HLOOKUP(R$28,VOLCURVES,2,FALSE()),FALSE())),VLOOKUP($A32,VOLCURVES,HLOOKUP(R$28,VOLCURVES,2,FALSE()),FALSE()),1)</f>
        <v>1</v>
      </c>
      <c r="T32" s="136" t="n">
        <f aca="false">IF(R$28="NYMEX",$AG32,$AF32)</f>
        <v>-9100</v>
      </c>
      <c r="U32" s="153" t="e">
        <f aca="false">(($C32+V32)*$S32)+F$15</f>
        <v>#DIV/0!</v>
      </c>
      <c r="V32" s="4" t="e">
        <f aca="false">IF($F$16=1,VLOOKUP($A32,SkewTable,HLOOKUP(ROUND(W32-BK32,1),SkewTable,2,FALSE()),FALSE())/100,0)</f>
        <v>#DIV/0!</v>
      </c>
      <c r="W32" s="41" t="n">
        <f aca="false">IF($F$19=4,$BK32,$F$18)</f>
        <v>3.5</v>
      </c>
      <c r="X32" s="136"/>
      <c r="Y32" s="40" t="n">
        <f aca="false">IF(Y$28="nymex",0,VLOOKUP($A32,curvesettle,HLOOKUP(Y$28,curvesettle,2,FALSE())))</f>
        <v>-0.44</v>
      </c>
      <c r="Z32" s="131" t="n">
        <f aca="false">IF(ISNUMBER(VLOOKUP($A32,VOLCURVES,HLOOKUP(Y$28,VOLCURVES,2,FALSE()),FALSE())),VLOOKUP($A32,VOLCURVES,HLOOKUP(Y$28,VOLCURVES,2,FALSE()),FALSE()),1)</f>
        <v>0.96</v>
      </c>
      <c r="AA32" s="136" t="n">
        <f aca="false">IF(Y$28="NYMEX",$AG32,$AF32)</f>
        <v>-9100</v>
      </c>
      <c r="AB32" s="4" t="e">
        <f aca="false">(($C32+AC32)*$Z32)+H$15</f>
        <v>#DIV/0!</v>
      </c>
      <c r="AC32" s="4" t="e">
        <f aca="false">IF($H$16=1,VLOOKUP($A32,SkewTable,HLOOKUP(ROUND(AD32-BV32,1),SkewTable,2,FALSE()),FALSE())/100,0)</f>
        <v>#DIV/0!</v>
      </c>
      <c r="AD32" s="41" t="n">
        <f aca="false">IF($H$19=4,$BV32,$H$18)</f>
        <v>3</v>
      </c>
      <c r="AF32" s="136" t="n">
        <f aca="false">VLOOKUP($A32,expiration,2,FALSE())-$B$2</f>
        <v>-9100</v>
      </c>
      <c r="AG32" s="136" t="n">
        <f aca="false">VLOOKUP($A32,expiration,3,FALSE())-$B$2</f>
        <v>-9101</v>
      </c>
      <c r="AH32" s="4" t="n">
        <f aca="false">VLOOKUP($A32,STRADDLE,12,FALSE())</f>
        <v>0.068087889350767</v>
      </c>
      <c r="AI32" s="43" t="n">
        <f aca="false">A33-A32</f>
        <v>30</v>
      </c>
      <c r="AL32" s="136"/>
      <c r="AM32" s="9"/>
      <c r="AN32" s="9" t="n">
        <f aca="false">IF($A32&gt;=AO$25,IF($A32&lt;=AO$26,$AI32,0),0)</f>
        <v>0</v>
      </c>
      <c r="AO32" s="9" t="e">
        <f aca="false">AQ32/AN32</f>
        <v>#DIV/0!</v>
      </c>
      <c r="AP32" s="1" t="n">
        <f aca="false">AN32*($B32+B$13)</f>
        <v>0</v>
      </c>
      <c r="AQ32" s="33" t="n">
        <f aca="false">IF(ISNUMBER(((AP32/AN32)+B$14+$D32)*AN32),((AP32/AN32)+B$14+$D32)*AN32,0)</f>
        <v>0</v>
      </c>
      <c r="AR32" s="44" t="n">
        <f aca="false">IF(AN32=0,0,bsd(1,AS$27,AO32,$I32,$F32,$G32,$AH32,0.1))</f>
        <v>0</v>
      </c>
      <c r="AS32" s="44" t="n">
        <f aca="false">IF(AN32=0,0,bsd(2,AS$27,AO32,$I32,$F32,$G32,$AH32,0.1))</f>
        <v>0</v>
      </c>
      <c r="AT32" s="44" t="n">
        <f aca="false">IF(AN32=0,0,bsd(AS$28,AS$27,AO32,$I32,$F32,$G32,$AH32,0.1))</f>
        <v>0</v>
      </c>
      <c r="AU32" s="45" t="n">
        <f aca="false">AN32*AR32</f>
        <v>0</v>
      </c>
      <c r="AV32" s="45" t="n">
        <f aca="false">AN32*AS32</f>
        <v>0</v>
      </c>
      <c r="AW32" s="45" t="n">
        <f aca="false">AN32*AT32</f>
        <v>0</v>
      </c>
      <c r="AY32" s="9" t="n">
        <f aca="false">IF($A32&gt;=AZ$25,IF($A32&lt;=AZ$26,$AI32,0),0)</f>
        <v>0</v>
      </c>
      <c r="AZ32" s="9" t="e">
        <f aca="false">BB32/AY32</f>
        <v>#DIV/0!</v>
      </c>
      <c r="BA32" s="1" t="n">
        <f aca="false">AY32*($B32+D$13)</f>
        <v>0</v>
      </c>
      <c r="BB32" s="33" t="n">
        <f aca="false">IF(ISNUMBER(((BA32/AY32)+D$14+$K32)*AY32),((BA32/AY32)+D$14+$K32)*AY32,0)</f>
        <v>0</v>
      </c>
      <c r="BC32" s="44" t="n">
        <f aca="false">IF(AY32=0,0,bsd(1,BD$27,AZ32,$P32,$M32,$N32,$AH32,0.1))</f>
        <v>0</v>
      </c>
      <c r="BD32" s="44" t="n">
        <f aca="false">IF(AY32=0,0,bsd(2,BD$27,AZ32,$P32,$M32,$N32,$AH32,0.1))</f>
        <v>0</v>
      </c>
      <c r="BE32" s="44" t="n">
        <f aca="false">IF(AY32=0,0,bsd(BD$28,BD$27,AZ32,$P32,$M32,$N32,$AH32,0.1))</f>
        <v>0</v>
      </c>
      <c r="BF32" s="45" t="n">
        <f aca="false">AY32*BC32</f>
        <v>0</v>
      </c>
      <c r="BG32" s="45" t="n">
        <f aca="false">AY32*BD32</f>
        <v>0</v>
      </c>
      <c r="BH32" s="45" t="n">
        <f aca="false">AY32*BE32</f>
        <v>0</v>
      </c>
      <c r="BJ32" s="9" t="n">
        <f aca="false">IF($A32&gt;=BK$25,IF($A32&lt;=BK$26,$AI32,0),0)</f>
        <v>0</v>
      </c>
      <c r="BK32" s="9" t="e">
        <f aca="false">BM32/BJ32</f>
        <v>#DIV/0!</v>
      </c>
      <c r="BL32" s="1" t="n">
        <f aca="false">BJ32*($B32+F$13)</f>
        <v>0</v>
      </c>
      <c r="BM32" s="33" t="n">
        <f aca="false">IF(ISNUMBER(((BL32/BJ32)+F$14+$R32)*BJ32),((BL32/BJ32)+F$14+$R32)*BJ32,0)</f>
        <v>0</v>
      </c>
      <c r="BN32" s="44" t="n">
        <f aca="false">IF(BJ32=0,0,bsd(1,BO$27,BK32,$W32,$T32,$U32,$AH32,0.1))</f>
        <v>0</v>
      </c>
      <c r="BO32" s="44" t="n">
        <f aca="false">IF(BJ32=0,0,bsd(2,BO$27,BK32,$W32,$T32,$U32,$AH32,0.1))</f>
        <v>0</v>
      </c>
      <c r="BP32" s="44" t="n">
        <f aca="false">IF(BJ32=0,0,bsd(BO$28,BO$27,BK32,$W32,$T32,$U32,$AH32,0.1))</f>
        <v>0</v>
      </c>
      <c r="BQ32" s="45" t="n">
        <f aca="false">BJ32*BN32</f>
        <v>0</v>
      </c>
      <c r="BR32" s="45" t="n">
        <f aca="false">BJ32*BO32</f>
        <v>0</v>
      </c>
      <c r="BS32" s="45" t="n">
        <f aca="false">BJ32*BP32</f>
        <v>0</v>
      </c>
      <c r="BU32" s="9" t="n">
        <f aca="false">IF($A32&gt;=BV$25,IF($A32&lt;=BV$26,$AI32,0),0)</f>
        <v>0</v>
      </c>
      <c r="BV32" s="9" t="e">
        <f aca="false">BX32/BU32</f>
        <v>#DIV/0!</v>
      </c>
      <c r="BW32" s="1" t="n">
        <f aca="false">BU32*($B32+H$13)</f>
        <v>0</v>
      </c>
      <c r="BX32" s="33" t="n">
        <f aca="false">IF(ISNUMBER(((BW32/BU32)+H$14+$Y32)*BU32),((BW32/BU32)+H$14+$Y32)*BU32,0)</f>
        <v>0</v>
      </c>
      <c r="BY32" s="44" t="n">
        <f aca="false">IF(BU32=0,0,bsd(1,BZ$27,BV32,$AD32,$AA32,$AB32,$AH32,0.1))</f>
        <v>0</v>
      </c>
      <c r="BZ32" s="44" t="n">
        <f aca="false">IF(BU32=0,0,bsd(2,BZ$27,BV32,$AD32,$AA32,$AB32,$AH32,0.1))</f>
        <v>0</v>
      </c>
      <c r="CA32" s="44" t="n">
        <f aca="false">IF(BU32=0,0,bsd(BZ$28,BZ$27,BV32,$AD32,$AA32,$AB32,$AH32,0.1))</f>
        <v>0</v>
      </c>
      <c r="CB32" s="45" t="n">
        <f aca="false">BU32*BY32</f>
        <v>0</v>
      </c>
      <c r="CC32" s="45" t="n">
        <f aca="false">BU32*BZ32</f>
        <v>0</v>
      </c>
      <c r="CD32" s="45" t="n">
        <f aca="false">BU32*CA32</f>
        <v>0</v>
      </c>
    </row>
    <row r="33" customFormat="false" ht="12.75" hidden="false" customHeight="false" outlineLevel="0" collapsed="false">
      <c r="A33" s="48" t="n">
        <f aca="false">DATE(YEAR(A32),MONTH(A32)+1,1)</f>
        <v>36861</v>
      </c>
      <c r="B33" s="40" t="n">
        <f aca="false">VLOOKUP(A33,STRADDLE,5,FALSE())</f>
        <v>5.5268</v>
      </c>
      <c r="C33" s="4" t="n">
        <f aca="false">VLOOKUP(A33,STRADDLE,8,FALSE())</f>
        <v>0.5725</v>
      </c>
      <c r="D33" s="40" t="n">
        <f aca="false">IF(D$28="nymex",0,VLOOKUP($A33,curvesettle,HLOOKUP(D$28,curvesettle,2,FALSE())))</f>
        <v>1.86</v>
      </c>
      <c r="E33" s="131" t="n">
        <f aca="false">IF(ISNUMBER(VLOOKUP($A33,VOLCURVES,HLOOKUP(D$28,VOLCURVES,2,FALSE()),FALSE())),VLOOKUP($A33,VOLCURVES,HLOOKUP(D$28,VOLCURVES,2,FALSE()),FALSE()),1)</f>
        <v>1.3</v>
      </c>
      <c r="F33" s="136" t="n">
        <f aca="false">IF(D$28="NYMEX",$AG33,$AF33)</f>
        <v>-9068</v>
      </c>
      <c r="G33" s="4" t="n">
        <f aca="false">(($C33+H33)*$E33)+B$15</f>
        <v>0.680536884600625</v>
      </c>
      <c r="H33" s="4" t="n">
        <v>-0.04901008876875</v>
      </c>
      <c r="I33" s="41" t="n">
        <f aca="false">IF($B$19=4,$AO33,$B$18)</f>
        <v>12</v>
      </c>
      <c r="K33" s="40" t="n">
        <f aca="false">IF(K$28="nymex",0,VLOOKUP($A33,curvesettle,HLOOKUP(K$28,curvesettle,2,FALSE())))</f>
        <v>-0.0225</v>
      </c>
      <c r="L33" s="131" t="n">
        <f aca="false">IF(ISNUMBER(VLOOKUP($A33,VOLCURVES,HLOOKUP(K$28,VOLCURVES,2,FALSE()),FALSE())),VLOOKUP($A33,VOLCURVES,HLOOKUP(K$28,VOLCURVES,2,FALSE()),FALSE()),1)</f>
        <v>1</v>
      </c>
      <c r="M33" s="136" t="n">
        <f aca="false">IF(K$28="NYMEX",$AG33,$AF33)</f>
        <v>-9068</v>
      </c>
      <c r="N33" s="153" t="e">
        <f aca="false">(($C33+O33)*$L33)+D$15</f>
        <v>#DIV/0!</v>
      </c>
      <c r="O33" s="4" t="e">
        <f aca="false">IF($D$16=1,VLOOKUP($A33,SkewTable,HLOOKUP(ROUND(P33-AZ33,1),SkewTable,2,FALSE()),FALSE())/100,0)</f>
        <v>#DIV/0!</v>
      </c>
      <c r="P33" s="41" t="n">
        <f aca="false">IF($D$19=4,$AZ33,$D$18)</f>
        <v>3.75</v>
      </c>
      <c r="Q33" s="153" t="e">
        <f aca="false">N33-O33</f>
        <v>#DIV/0!</v>
      </c>
      <c r="R33" s="40" t="n">
        <f aca="false">IF(R$28="nymex",0,VLOOKUP($A33,curvesettle,HLOOKUP(R$28,curvesettle,2,FALSE())))</f>
        <v>-0.0225</v>
      </c>
      <c r="S33" s="131" t="n">
        <f aca="false">IF(ISNUMBER(VLOOKUP($A33,VOLCURVES,HLOOKUP(R$28,VOLCURVES,2,FALSE()),FALSE())),VLOOKUP($A33,VOLCURVES,HLOOKUP(R$28,VOLCURVES,2,FALSE()),FALSE()),1)</f>
        <v>1</v>
      </c>
      <c r="T33" s="136" t="n">
        <f aca="false">IF(R$28="NYMEX",$AG33,$AF33)</f>
        <v>-9068</v>
      </c>
      <c r="U33" s="153" t="e">
        <f aca="false">(($C33+V33)*$S33)+F$15</f>
        <v>#DIV/0!</v>
      </c>
      <c r="V33" s="4" t="e">
        <f aca="false">IF($F$16=1,VLOOKUP($A33,SkewTable,HLOOKUP(ROUND(W33-BK33,1),SkewTable,2,FALSE()),FALSE())/100,0)</f>
        <v>#DIV/0!</v>
      </c>
      <c r="W33" s="41" t="n">
        <f aca="false">IF($F$19=4,$BK33,$F$18)</f>
        <v>3.5</v>
      </c>
      <c r="X33" s="136"/>
      <c r="Y33" s="40" t="n">
        <f aca="false">IF(Y$28="nymex",0,VLOOKUP($A33,curvesettle,HLOOKUP(Y$28,curvesettle,2,FALSE())))</f>
        <v>-0.3</v>
      </c>
      <c r="Z33" s="131" t="n">
        <f aca="false">IF(ISNUMBER(VLOOKUP($A33,VOLCURVES,HLOOKUP(Y$28,VOLCURVES,2,FALSE()),FALSE())),VLOOKUP($A33,VOLCURVES,HLOOKUP(Y$28,VOLCURVES,2,FALSE()),FALSE()),1)</f>
        <v>0.96</v>
      </c>
      <c r="AA33" s="136" t="n">
        <f aca="false">IF(Y$28="NYMEX",$AG33,$AF33)</f>
        <v>-9068</v>
      </c>
      <c r="AB33" s="4" t="e">
        <f aca="false">(($C33+AC33)*$Z33)+H$15</f>
        <v>#DIV/0!</v>
      </c>
      <c r="AC33" s="4" t="e">
        <f aca="false">IF($H$16=1,VLOOKUP($A33,SkewTable,HLOOKUP(ROUND(AD33-BV33,1),SkewTable,2,FALSE()),FALSE())/100,0)</f>
        <v>#DIV/0!</v>
      </c>
      <c r="AD33" s="41" t="n">
        <f aca="false">IF($H$19=4,$BV33,$H$18)</f>
        <v>3</v>
      </c>
      <c r="AF33" s="136" t="n">
        <f aca="false">VLOOKUP($A33,expiration,2,FALSE())-$B$2</f>
        <v>-9068</v>
      </c>
      <c r="AG33" s="136" t="n">
        <f aca="false">VLOOKUP($A33,expiration,3,FALSE())-$B$2</f>
        <v>-9069</v>
      </c>
      <c r="AH33" s="4" t="n">
        <f aca="false">VLOOKUP($A33,STRADDLE,12,FALSE())</f>
        <v>0.068102551581873</v>
      </c>
      <c r="AI33" s="43" t="n">
        <f aca="false">A34-A33</f>
        <v>31</v>
      </c>
      <c r="AL33" s="136"/>
      <c r="AM33" s="9"/>
      <c r="AN33" s="9" t="n">
        <f aca="false">IF($A33&gt;=AO$25,IF($A33&lt;=AO$26,$AI33,0),0)</f>
        <v>31</v>
      </c>
      <c r="AO33" s="9" t="n">
        <f aca="false">AQ33/AN33</f>
        <v>7.3868</v>
      </c>
      <c r="AP33" s="1" t="n">
        <f aca="false">AN33*($B33+B$13)</f>
        <v>171.3308</v>
      </c>
      <c r="AQ33" s="33" t="n">
        <f aca="false">IF(ISNUMBER(((AP33/AN33)+B$14+$D33)*AN33),((AP33/AN33)+B$14+$D33)*AN33,0)</f>
        <v>228.9908</v>
      </c>
      <c r="AR33" s="44" t="e">
        <f aca="false">IF(AN33=0,0,bsd(1,AS$27,AO33,$I33,$F33,$G33,$AH33,0.1))</f>
        <v>#VALUE!</v>
      </c>
      <c r="AS33" s="44" t="e">
        <f aca="false">IF(AN33=0,0,bsd(2,AS$27,AO33,$I33,$F33,$G33,$AH33,0.1))</f>
        <v>#VALUE!</v>
      </c>
      <c r="AT33" s="44" t="e">
        <f aca="false">IF(AN33=0,0,bsd(AS$28,AS$27,AO33,$I33,$F33,$G33,$AH33,0.1))</f>
        <v>#VALUE!</v>
      </c>
      <c r="AU33" s="45" t="e">
        <f aca="false">AN33*AR33</f>
        <v>#VALUE!</v>
      </c>
      <c r="AV33" s="45" t="e">
        <f aca="false">AN33*AS33</f>
        <v>#VALUE!</v>
      </c>
      <c r="AW33" s="45" t="e">
        <f aca="false">AN33*AT33</f>
        <v>#VALUE!</v>
      </c>
      <c r="AY33" s="9" t="n">
        <f aca="false">IF($A33&gt;=AZ$25,IF($A33&lt;=AZ$26,$AI33,0),0)</f>
        <v>0</v>
      </c>
      <c r="AZ33" s="9" t="e">
        <f aca="false">BB33/AY33</f>
        <v>#DIV/0!</v>
      </c>
      <c r="BA33" s="1" t="n">
        <f aca="false">AY33*($B33+D$13)</f>
        <v>0</v>
      </c>
      <c r="BB33" s="33" t="n">
        <f aca="false">IF(ISNUMBER(((BA33/AY33)+D$14+$K33)*AY33),((BA33/AY33)+D$14+$K33)*AY33,0)</f>
        <v>0</v>
      </c>
      <c r="BC33" s="44" t="n">
        <f aca="false">IF(AY33=0,0,bsd(1,BD$27,AZ33,$P33,$M33,$N33,$AH33,0.1))</f>
        <v>0</v>
      </c>
      <c r="BD33" s="44" t="n">
        <f aca="false">IF(AY33=0,0,bsd(2,BD$27,AZ33,$P33,$M33,$N33,$AH33,0.1))</f>
        <v>0</v>
      </c>
      <c r="BE33" s="44" t="n">
        <f aca="false">IF(AY33=0,0,bsd(BD$28,BD$27,AZ33,$P33,$M33,$N33,$AH33,0.1))</f>
        <v>0</v>
      </c>
      <c r="BF33" s="45" t="n">
        <f aca="false">AY33*BC33</f>
        <v>0</v>
      </c>
      <c r="BG33" s="45" t="n">
        <f aca="false">AY33*BD33</f>
        <v>0</v>
      </c>
      <c r="BH33" s="45" t="n">
        <f aca="false">AY33*BE33</f>
        <v>0</v>
      </c>
      <c r="BJ33" s="9" t="n">
        <f aca="false">IF($A33&gt;=BK$25,IF($A33&lt;=BK$26,$AI33,0),0)</f>
        <v>0</v>
      </c>
      <c r="BK33" s="9" t="e">
        <f aca="false">BM33/BJ33</f>
        <v>#DIV/0!</v>
      </c>
      <c r="BL33" s="1" t="n">
        <f aca="false">BJ33*($B33+F$13)</f>
        <v>0</v>
      </c>
      <c r="BM33" s="33" t="n">
        <f aca="false">IF(ISNUMBER(((BL33/BJ33)+F$14+$R33)*BJ33),((BL33/BJ33)+F$14+$R33)*BJ33,0)</f>
        <v>0</v>
      </c>
      <c r="BN33" s="44" t="n">
        <f aca="false">IF(BJ33=0,0,bsd(1,BO$27,BK33,$W33,$T33,$U33,$AH33,0.1))</f>
        <v>0</v>
      </c>
      <c r="BO33" s="44" t="n">
        <f aca="false">IF(BJ33=0,0,bsd(2,BO$27,BK33,$W33,$T33,$U33,$AH33,0.1))</f>
        <v>0</v>
      </c>
      <c r="BP33" s="44" t="n">
        <f aca="false">IF(BJ33=0,0,bsd(BO$28,BO$27,BK33,$W33,$T33,$U33,$AH33,0.1))</f>
        <v>0</v>
      </c>
      <c r="BQ33" s="45" t="n">
        <f aca="false">BJ33*BN33</f>
        <v>0</v>
      </c>
      <c r="BR33" s="45" t="n">
        <f aca="false">BJ33*BO33</f>
        <v>0</v>
      </c>
      <c r="BS33" s="45" t="n">
        <f aca="false">BJ33*BP33</f>
        <v>0</v>
      </c>
      <c r="BU33" s="9" t="n">
        <f aca="false">IF($A33&gt;=BV$25,IF($A33&lt;=BV$26,$AI33,0),0)</f>
        <v>0</v>
      </c>
      <c r="BV33" s="9" t="e">
        <f aca="false">BX33/BU33</f>
        <v>#DIV/0!</v>
      </c>
      <c r="BW33" s="1" t="n">
        <f aca="false">BU33*($B33+H$13)</f>
        <v>0</v>
      </c>
      <c r="BX33" s="33" t="n">
        <f aca="false">IF(ISNUMBER(((BW33/BU33)+H$14+$Y33)*BU33),((BW33/BU33)+H$14+$Y33)*BU33,0)</f>
        <v>0</v>
      </c>
      <c r="BY33" s="44" t="n">
        <f aca="false">IF(BU33=0,0,bsd(1,BZ$27,BV33,$AD33,$AA33,$AB33,$AH33,0.1))</f>
        <v>0</v>
      </c>
      <c r="BZ33" s="44" t="n">
        <f aca="false">IF(BU33=0,0,bsd(2,BZ$27,BV33,$AD33,$AA33,$AB33,$AH33,0.1))</f>
        <v>0</v>
      </c>
      <c r="CA33" s="44" t="n">
        <f aca="false">IF(BU33=0,0,bsd(BZ$28,BZ$27,BV33,$AD33,$AA33,$AB33,$AH33,0.1))</f>
        <v>0</v>
      </c>
      <c r="CB33" s="45" t="n">
        <f aca="false">BU33*BY33</f>
        <v>0</v>
      </c>
      <c r="CC33" s="45" t="n">
        <f aca="false">BU33*BZ33</f>
        <v>0</v>
      </c>
      <c r="CD33" s="45" t="n">
        <f aca="false">BU33*CA33</f>
        <v>0</v>
      </c>
    </row>
    <row r="34" customFormat="false" ht="12.75" hidden="false" customHeight="false" outlineLevel="0" collapsed="false">
      <c r="A34" s="48" t="n">
        <f aca="false">DATE(YEAR(A33),MONTH(A33)+1,1)</f>
        <v>36892</v>
      </c>
      <c r="B34" s="40" t="n">
        <f aca="false">VLOOKUP(A34,STRADDLE,5,FALSE())</f>
        <v>5.4768</v>
      </c>
      <c r="C34" s="4" t="n">
        <f aca="false">VLOOKUP(A34,STRADDLE,8,FALSE())</f>
        <v>0.6075</v>
      </c>
      <c r="D34" s="40" t="n">
        <f aca="false">IF(D$28="nymex",0,VLOOKUP($A34,curvesettle,HLOOKUP(D$28,curvesettle,2,FALSE())))</f>
        <v>2.61</v>
      </c>
      <c r="E34" s="131" t="n">
        <f aca="false">IF(ISNUMBER(VLOOKUP($A34,VOLCURVES,HLOOKUP(D$28,VOLCURVES,2,FALSE()),FALSE())),VLOOKUP($A34,VOLCURVES,HLOOKUP(D$28,VOLCURVES,2,FALSE()),FALSE()),1)</f>
        <v>1.3</v>
      </c>
      <c r="F34" s="136" t="n">
        <f aca="false">IF(D$28="NYMEX",$AG34,$AF34)</f>
        <v>-9039</v>
      </c>
      <c r="G34" s="4" t="n">
        <f aca="false">(($C34+H34)*$E34)+B$15</f>
        <v>0.726036884600625</v>
      </c>
      <c r="H34" s="4" t="n">
        <v>-0.04901008876875</v>
      </c>
      <c r="I34" s="41" t="n">
        <f aca="false">IF($B$19=4,$AO34,$B$18)</f>
        <v>12</v>
      </c>
      <c r="K34" s="40" t="n">
        <f aca="false">IF(K$28="nymex",0,VLOOKUP($A34,curvesettle,HLOOKUP(K$28,curvesettle,2,FALSE())))</f>
        <v>-0.0225</v>
      </c>
      <c r="L34" s="131" t="n">
        <f aca="false">IF(ISNUMBER(VLOOKUP($A34,VOLCURVES,HLOOKUP(K$28,VOLCURVES,2,FALSE()),FALSE())),VLOOKUP($A34,VOLCURVES,HLOOKUP(K$28,VOLCURVES,2,FALSE()),FALSE()),1)</f>
        <v>1</v>
      </c>
      <c r="M34" s="136" t="n">
        <f aca="false">IF(K$28="NYMEX",$AG34,$AF34)</f>
        <v>-9039</v>
      </c>
      <c r="N34" s="153" t="e">
        <f aca="false">(($C34+O34)*$L34)+D$15</f>
        <v>#DIV/0!</v>
      </c>
      <c r="O34" s="4" t="e">
        <f aca="false">IF($D$16=1,VLOOKUP($A34,SkewTable,HLOOKUP(ROUND(P34-AZ34,1),SkewTable,2,FALSE()),FALSE())/100,0)</f>
        <v>#DIV/0!</v>
      </c>
      <c r="P34" s="41" t="n">
        <f aca="false">IF($D$19=4,$AZ34,$D$18)</f>
        <v>3.75</v>
      </c>
      <c r="Q34" s="153" t="e">
        <f aca="false">N34-O34</f>
        <v>#DIV/0!</v>
      </c>
      <c r="R34" s="40" t="n">
        <f aca="false">IF(R$28="nymex",0,VLOOKUP($A34,curvesettle,HLOOKUP(R$28,curvesettle,2,FALSE())))</f>
        <v>-0.0225</v>
      </c>
      <c r="S34" s="131" t="n">
        <f aca="false">IF(ISNUMBER(VLOOKUP($A34,VOLCURVES,HLOOKUP(R$28,VOLCURVES,2,FALSE()),FALSE())),VLOOKUP($A34,VOLCURVES,HLOOKUP(R$28,VOLCURVES,2,FALSE()),FALSE()),1)</f>
        <v>1</v>
      </c>
      <c r="T34" s="136" t="n">
        <f aca="false">IF(R$28="NYMEX",$AG34,$AF34)</f>
        <v>-9039</v>
      </c>
      <c r="U34" s="153" t="e">
        <f aca="false">(($C34+V34)*$S34)+F$15</f>
        <v>#DIV/0!</v>
      </c>
      <c r="V34" s="4" t="e">
        <f aca="false">IF($F$16=1,VLOOKUP($A34,SkewTable,HLOOKUP(ROUND(W34-BK34,1),SkewTable,2,FALSE()),FALSE())/100,0)</f>
        <v>#DIV/0!</v>
      </c>
      <c r="W34" s="41" t="n">
        <f aca="false">IF($F$19=4,$BK34,$F$18)</f>
        <v>3.5</v>
      </c>
      <c r="X34" s="136"/>
      <c r="Y34" s="40" t="n">
        <f aca="false">IF(Y$28="nymex",0,VLOOKUP($A34,curvesettle,HLOOKUP(Y$28,curvesettle,2,FALSE())))</f>
        <v>-0.31</v>
      </c>
      <c r="Z34" s="131" t="n">
        <f aca="false">IF(ISNUMBER(VLOOKUP($A34,VOLCURVES,HLOOKUP(Y$28,VOLCURVES,2,FALSE()),FALSE())),VLOOKUP($A34,VOLCURVES,HLOOKUP(Y$28,VOLCURVES,2,FALSE()),FALSE()),1)</f>
        <v>0.96</v>
      </c>
      <c r="AA34" s="136" t="n">
        <f aca="false">IF(Y$28="NYMEX",$AG34,$AF34)</f>
        <v>-9039</v>
      </c>
      <c r="AB34" s="4" t="n">
        <f aca="false">(($C34+AC34)*$Z34)+H$15</f>
        <v>0.546331514391</v>
      </c>
      <c r="AC34" s="4" t="n">
        <f aca="false">IF($H$16=1,VLOOKUP($A34,SkewTable,HLOOKUP(ROUND(AD34-BV34,1),SkewTable,2,FALSE()),FALSE())/100,0)</f>
        <v>-0.038404672509375</v>
      </c>
      <c r="AD34" s="41" t="n">
        <f aca="false">IF($H$19=4,$BV34,$H$18)</f>
        <v>3</v>
      </c>
      <c r="AF34" s="136" t="n">
        <f aca="false">VLOOKUP($A34,expiration,2,FALSE())-$B$2</f>
        <v>-9039</v>
      </c>
      <c r="AG34" s="136" t="n">
        <f aca="false">VLOOKUP($A34,expiration,3,FALSE())-$B$2</f>
        <v>-9040</v>
      </c>
      <c r="AH34" s="4" t="n">
        <f aca="false">VLOOKUP($A34,STRADDLE,12,FALSE())</f>
        <v>0.068146567086238</v>
      </c>
      <c r="AI34" s="43" t="n">
        <f aca="false">A35-A34</f>
        <v>31</v>
      </c>
      <c r="AL34" s="136"/>
      <c r="AM34" s="9"/>
      <c r="AN34" s="9" t="n">
        <f aca="false">IF($A34&gt;=AO$25,IF($A34&lt;=AO$26,$AI34,0),0)</f>
        <v>0</v>
      </c>
      <c r="AO34" s="9" t="e">
        <f aca="false">AQ34/AN34</f>
        <v>#DIV/0!</v>
      </c>
      <c r="AP34" s="1" t="n">
        <f aca="false">AN34*($B34+B$13)</f>
        <v>0</v>
      </c>
      <c r="AQ34" s="33" t="n">
        <f aca="false">IF(ISNUMBER(((AP34/AN34)+B$14+$D34)*AN34),((AP34/AN34)+B$14+$D34)*AN34,0)</f>
        <v>0</v>
      </c>
      <c r="AR34" s="44" t="n">
        <f aca="false">IF(AN34=0,0,bsd(1,AS$27,AO34,$I34,$F34,$G34,$AH34,0.1))</f>
        <v>0</v>
      </c>
      <c r="AS34" s="44" t="n">
        <f aca="false">IF(AN34=0,0,bsd(2,AS$27,AO34,$I34,$F34,$G34,$AH34,0.1))</f>
        <v>0</v>
      </c>
      <c r="AT34" s="44" t="n">
        <f aca="false">IF(AN34=0,0,bsd(AS$28,AS$27,AO34,$I34,$F34,$G34,$AH34,0.1))</f>
        <v>0</v>
      </c>
      <c r="AU34" s="45" t="n">
        <f aca="false">AN34*AR34</f>
        <v>0</v>
      </c>
      <c r="AV34" s="45" t="n">
        <f aca="false">AN34*AS34</f>
        <v>0</v>
      </c>
      <c r="AW34" s="45" t="n">
        <f aca="false">AN34*AT34</f>
        <v>0</v>
      </c>
      <c r="AY34" s="9" t="n">
        <f aca="false">IF($A34&gt;=AZ$25,IF($A34&lt;=AZ$26,$AI34,0),0)</f>
        <v>0</v>
      </c>
      <c r="AZ34" s="9" t="e">
        <f aca="false">BB34/AY34</f>
        <v>#DIV/0!</v>
      </c>
      <c r="BA34" s="1" t="n">
        <f aca="false">AY34*($B34+D$13)</f>
        <v>0</v>
      </c>
      <c r="BB34" s="33" t="n">
        <f aca="false">IF(ISNUMBER(((BA34/AY34)+D$14+$K34)*AY34),((BA34/AY34)+D$14+$K34)*AY34,0)</f>
        <v>0</v>
      </c>
      <c r="BC34" s="44" t="n">
        <f aca="false">IF(AY34=0,0,bsd(1,BD$27,AZ34,$P34,$M34,$N34,$AH34,0.1))</f>
        <v>0</v>
      </c>
      <c r="BD34" s="44" t="n">
        <f aca="false">IF(AY34=0,0,bsd(2,BD$27,AZ34,$P34,$M34,$N34,$AH34,0.1))</f>
        <v>0</v>
      </c>
      <c r="BE34" s="44" t="n">
        <f aca="false">IF(AY34=0,0,bsd(BD$28,BD$27,AZ34,$P34,$M34,$N34,$AH34,0.1))</f>
        <v>0</v>
      </c>
      <c r="BF34" s="45" t="n">
        <f aca="false">AY34*BC34</f>
        <v>0</v>
      </c>
      <c r="BG34" s="45" t="n">
        <f aca="false">AY34*BD34</f>
        <v>0</v>
      </c>
      <c r="BH34" s="45" t="n">
        <f aca="false">AY34*BE34</f>
        <v>0</v>
      </c>
      <c r="BJ34" s="9" t="n">
        <f aca="false">IF($A34&gt;=BK$25,IF($A34&lt;=BK$26,$AI34,0),0)</f>
        <v>0</v>
      </c>
      <c r="BK34" s="9" t="e">
        <f aca="false">BM34/BJ34</f>
        <v>#DIV/0!</v>
      </c>
      <c r="BL34" s="1" t="n">
        <f aca="false">BJ34*($B34+F$13)</f>
        <v>0</v>
      </c>
      <c r="BM34" s="33" t="n">
        <f aca="false">IF(ISNUMBER(((BL34/BJ34)+F$14+$R34)*BJ34),((BL34/BJ34)+F$14+$R34)*BJ34,0)</f>
        <v>0</v>
      </c>
      <c r="BN34" s="44" t="n">
        <f aca="false">IF(BJ34=0,0,bsd(1,BO$27,BK34,$W34,$T34,$U34,$AH34,0.1))</f>
        <v>0</v>
      </c>
      <c r="BO34" s="44" t="n">
        <f aca="false">IF(BJ34=0,0,bsd(2,BO$27,BK34,$W34,$T34,$U34,$AH34,0.1))</f>
        <v>0</v>
      </c>
      <c r="BP34" s="44" t="n">
        <f aca="false">IF(BJ34=0,0,bsd(BO$28,BO$27,BK34,$W34,$T34,$U34,$AH34,0.1))</f>
        <v>0</v>
      </c>
      <c r="BQ34" s="45" t="n">
        <f aca="false">BJ34*BN34</f>
        <v>0</v>
      </c>
      <c r="BR34" s="45" t="n">
        <f aca="false">BJ34*BO34</f>
        <v>0</v>
      </c>
      <c r="BS34" s="45" t="n">
        <f aca="false">BJ34*BP34</f>
        <v>0</v>
      </c>
      <c r="BU34" s="9" t="n">
        <f aca="false">IF($A34&gt;=BV$25,IF($A34&lt;=BV$26,$AI34,0),0)</f>
        <v>31</v>
      </c>
      <c r="BV34" s="9" t="n">
        <f aca="false">BX34/BU34</f>
        <v>5.1668</v>
      </c>
      <c r="BW34" s="1" t="n">
        <f aca="false">BU34*($B34+H$13)</f>
        <v>169.7808</v>
      </c>
      <c r="BX34" s="33" t="n">
        <f aca="false">IF(ISNUMBER(((BW34/BU34)+H$14+$Y34)*BU34),((BW34/BU34)+H$14+$Y34)*BU34,0)</f>
        <v>160.1708</v>
      </c>
      <c r="BY34" s="44" t="e">
        <f aca="false">IF(BU34=0,0,bsd(1,BZ$27,BV34,$AD34,$AA34,$AB34,$AH34,0.1))</f>
        <v>#VALUE!</v>
      </c>
      <c r="BZ34" s="44" t="e">
        <f aca="false">IF(BU34=0,0,bsd(2,BZ$27,BV34,$AD34,$AA34,$AB34,$AH34,0.1))</f>
        <v>#VALUE!</v>
      </c>
      <c r="CA34" s="44" t="e">
        <f aca="false">IF(BU34=0,0,bsd(BZ$28,BZ$27,BV34,$AD34,$AA34,$AB34,$AH34,0.1))</f>
        <v>#VALUE!</v>
      </c>
      <c r="CB34" s="45" t="e">
        <f aca="false">BU34*BY34</f>
        <v>#VALUE!</v>
      </c>
      <c r="CC34" s="45" t="e">
        <f aca="false">BU34*BZ34</f>
        <v>#VALUE!</v>
      </c>
      <c r="CD34" s="45" t="e">
        <f aca="false">BU34*CA34</f>
        <v>#VALUE!</v>
      </c>
    </row>
    <row r="35" customFormat="false" ht="12.75" hidden="false" customHeight="false" outlineLevel="0" collapsed="false">
      <c r="A35" s="48" t="n">
        <f aca="false">DATE(YEAR(A34),MONTH(A34)+1,1)</f>
        <v>36923</v>
      </c>
      <c r="B35" s="40" t="n">
        <f aca="false">VLOOKUP(A35,STRADDLE,5,FALSE())</f>
        <v>5.1838</v>
      </c>
      <c r="C35" s="4" t="n">
        <f aca="false">VLOOKUP(A35,STRADDLE,8,FALSE())</f>
        <v>0.5975</v>
      </c>
      <c r="D35" s="40" t="n">
        <f aca="false">IF(D$28="nymex",0,VLOOKUP($A35,curvesettle,HLOOKUP(D$28,curvesettle,2,FALSE())))</f>
        <v>2.6</v>
      </c>
      <c r="E35" s="131" t="n">
        <f aca="false">IF(ISNUMBER(VLOOKUP($A35,VOLCURVES,HLOOKUP(D$28,VOLCURVES,2,FALSE()),FALSE())),VLOOKUP($A35,VOLCURVES,HLOOKUP(D$28,VOLCURVES,2,FALSE()),FALSE()),1)</f>
        <v>1.3</v>
      </c>
      <c r="F35" s="136" t="n">
        <f aca="false">IF(D$28="NYMEX",$AG35,$AF35)</f>
        <v>-9006</v>
      </c>
      <c r="G35" s="4" t="n">
        <f aca="false">(($C35+H35)*$E35)+B$15</f>
        <v>0.71305</v>
      </c>
      <c r="H35" s="4" t="n">
        <v>-0.049</v>
      </c>
      <c r="I35" s="41" t="n">
        <f aca="false">IF($B$19=4,$AO35,$B$18)</f>
        <v>12</v>
      </c>
      <c r="K35" s="40" t="n">
        <f aca="false">IF(K$28="nymex",0,VLOOKUP($A35,curvesettle,HLOOKUP(K$28,curvesettle,2,FALSE())))</f>
        <v>-0.0225</v>
      </c>
      <c r="L35" s="131" t="n">
        <f aca="false">IF(ISNUMBER(VLOOKUP($A35,VOLCURVES,HLOOKUP(K$28,VOLCURVES,2,FALSE()),FALSE())),VLOOKUP($A35,VOLCURVES,HLOOKUP(K$28,VOLCURVES,2,FALSE()),FALSE()),1)</f>
        <v>1</v>
      </c>
      <c r="M35" s="136" t="n">
        <f aca="false">IF(K$28="NYMEX",$AG35,$AF35)</f>
        <v>-9006</v>
      </c>
      <c r="N35" s="153" t="n">
        <f aca="false">(($C35+O35)*$L35)+D$15</f>
        <v>0.565913095085938</v>
      </c>
      <c r="O35" s="4" t="n">
        <f aca="false">IF($D$16=1,VLOOKUP($A35,SkewTable,HLOOKUP(ROUND(P35-AZ35,1),SkewTable,2,FALSE()),FALSE())/100,0)</f>
        <v>-0.0315869049140625</v>
      </c>
      <c r="P35" s="41" t="n">
        <f aca="false">IF($D$19=4,$AZ35,$D$18)</f>
        <v>3.75</v>
      </c>
      <c r="Q35" s="153" t="n">
        <f aca="false">N35-O35</f>
        <v>0.5975</v>
      </c>
      <c r="R35" s="40" t="n">
        <f aca="false">IF(R$28="nymex",0,VLOOKUP($A35,curvesettle,HLOOKUP(R$28,curvesettle,2,FALSE())))</f>
        <v>-0.0225</v>
      </c>
      <c r="S35" s="131" t="n">
        <f aca="false">IF(ISNUMBER(VLOOKUP($A35,VOLCURVES,HLOOKUP(R$28,VOLCURVES,2,FALSE()),FALSE())),VLOOKUP($A35,VOLCURVES,HLOOKUP(R$28,VOLCURVES,2,FALSE()),FALSE()),1)</f>
        <v>1</v>
      </c>
      <c r="T35" s="136" t="n">
        <f aca="false">IF(R$28="NYMEX",$AG35,$AF35)</f>
        <v>-9006</v>
      </c>
      <c r="U35" s="153" t="e">
        <f aca="false">(($C35+V35)*$S35)+F$15</f>
        <v>#DIV/0!</v>
      </c>
      <c r="V35" s="4" t="e">
        <f aca="false">IF($F$16=1,VLOOKUP($A35,SkewTable,HLOOKUP(ROUND(W35-BK35,1),SkewTable,2,FALSE()),FALSE())/100,0)</f>
        <v>#DIV/0!</v>
      </c>
      <c r="W35" s="41" t="n">
        <f aca="false">IF($F$19=4,$BK35,$F$18)</f>
        <v>3.5</v>
      </c>
      <c r="X35" s="136"/>
      <c r="Y35" s="40" t="n">
        <f aca="false">IF(Y$28="nymex",0,VLOOKUP($A35,curvesettle,HLOOKUP(Y$28,curvesettle,2,FALSE())))</f>
        <v>-0.33</v>
      </c>
      <c r="Z35" s="131" t="n">
        <f aca="false">IF(ISNUMBER(VLOOKUP($A35,VOLCURVES,HLOOKUP(Y$28,VOLCURVES,2,FALSE()),FALSE())),VLOOKUP($A35,VOLCURVES,HLOOKUP(Y$28,VOLCURVES,2,FALSE()),FALSE()),1)</f>
        <v>0.96</v>
      </c>
      <c r="AA35" s="136" t="n">
        <f aca="false">IF(Y$28="NYMEX",$AG35,$AF35)</f>
        <v>-9006</v>
      </c>
      <c r="AB35" s="4" t="n">
        <f aca="false">(($C35+AC35)*$Z35)+H$15</f>
        <v>0.539640428565</v>
      </c>
      <c r="AC35" s="4" t="n">
        <f aca="false">IF($H$16=1,VLOOKUP($A35,SkewTable,HLOOKUP(ROUND(AD35-BV35,1),SkewTable,2,FALSE()),FALSE())/100,0)</f>
        <v>-0.035374553578125</v>
      </c>
      <c r="AD35" s="41" t="n">
        <f aca="false">IF($H$19=4,$BV35,$H$18)</f>
        <v>3</v>
      </c>
      <c r="AF35" s="136" t="n">
        <f aca="false">VLOOKUP($A35,expiration,2,FALSE())-$B$2</f>
        <v>-9006</v>
      </c>
      <c r="AG35" s="136" t="n">
        <f aca="false">VLOOKUP($A35,expiration,3,FALSE())-$B$2</f>
        <v>-9009</v>
      </c>
      <c r="AH35" s="4" t="n">
        <f aca="false">VLOOKUP($A35,STRADDLE,12,FALSE())</f>
        <v>0.068214589689939</v>
      </c>
      <c r="AI35" s="43" t="n">
        <f aca="false">A36-A35</f>
        <v>28</v>
      </c>
      <c r="AL35" s="136"/>
      <c r="AM35" s="9"/>
      <c r="AN35" s="9" t="n">
        <f aca="false">IF($A35&gt;=AO$25,IF($A35&lt;=AO$26,$AI35,0),0)</f>
        <v>0</v>
      </c>
      <c r="AO35" s="9" t="e">
        <f aca="false">AQ35/AN35</f>
        <v>#DIV/0!</v>
      </c>
      <c r="AP35" s="1" t="n">
        <f aca="false">AN35*($B35+B$13)</f>
        <v>0</v>
      </c>
      <c r="AQ35" s="33" t="n">
        <f aca="false">IF(ISNUMBER(((AP35/AN35)+B$14+$D35)*AN35),((AP35/AN35)+B$14+$D35)*AN35,0)</f>
        <v>0</v>
      </c>
      <c r="AR35" s="44" t="n">
        <f aca="false">IF(AN35=0,0,bsd(1,AS$27,AO35,$I35,$F35,$G35,$AH35,0.1))</f>
        <v>0</v>
      </c>
      <c r="AS35" s="44" t="n">
        <f aca="false">IF(AN35=0,0,bsd(2,AS$27,AO35,$I35,$F35,$G35,$AH35,0.1))</f>
        <v>0</v>
      </c>
      <c r="AT35" s="44" t="n">
        <f aca="false">IF(AN35=0,0,bsd(AS$28,AS$27,AO35,$I35,$F35,$G35,$AH35,0.1))</f>
        <v>0</v>
      </c>
      <c r="AU35" s="45" t="n">
        <f aca="false">AN35*AR35</f>
        <v>0</v>
      </c>
      <c r="AV35" s="45" t="n">
        <f aca="false">AN35*AS35</f>
        <v>0</v>
      </c>
      <c r="AW35" s="45" t="n">
        <f aca="false">AN35*AT35</f>
        <v>0</v>
      </c>
      <c r="AY35" s="9" t="n">
        <f aca="false">IF($A35&gt;=AZ$25,IF($A35&lt;=AZ$26,$AI35,0),0)</f>
        <v>28</v>
      </c>
      <c r="AZ35" s="9" t="n">
        <f aca="false">BB35/AY35</f>
        <v>5.1613</v>
      </c>
      <c r="BA35" s="1" t="n">
        <f aca="false">AY35*($B35+D$13)</f>
        <v>145.1464</v>
      </c>
      <c r="BB35" s="33" t="n">
        <f aca="false">IF(ISNUMBER(((BA35/AY35)+D$14+$K35)*AY35),((BA35/AY35)+D$14+$K35)*AY35,0)</f>
        <v>144.5164</v>
      </c>
      <c r="BC35" s="44" t="e">
        <f aca="false">IF(AY35=0,0,bsd(1,BD$27,AZ35,$P35,$M35,$N35,$AH35,0.1))</f>
        <v>#VALUE!</v>
      </c>
      <c r="BD35" s="44" t="e">
        <f aca="false">IF(AY35=0,0,bsd(2,BD$27,AZ35,$P35,$M35,$N35,$AH35,0.1))</f>
        <v>#VALUE!</v>
      </c>
      <c r="BE35" s="44" t="e">
        <f aca="false">IF(AY35=0,0,bsd(BD$28,BD$27,AZ35,$P35,$M35,$N35,$AH35,0.1))</f>
        <v>#VALUE!</v>
      </c>
      <c r="BF35" s="45" t="e">
        <f aca="false">AY35*BC35</f>
        <v>#VALUE!</v>
      </c>
      <c r="BG35" s="45" t="e">
        <f aca="false">AY35*BD35</f>
        <v>#VALUE!</v>
      </c>
      <c r="BH35" s="45" t="e">
        <f aca="false">AY35*BE35</f>
        <v>#VALUE!</v>
      </c>
      <c r="BJ35" s="9" t="n">
        <f aca="false">IF($A35&gt;=BK$25,IF($A35&lt;=BK$26,$AI35,0),0)</f>
        <v>0</v>
      </c>
      <c r="BK35" s="9" t="e">
        <f aca="false">BM35/BJ35</f>
        <v>#DIV/0!</v>
      </c>
      <c r="BL35" s="1" t="n">
        <f aca="false">BJ35*($B35+F$13)</f>
        <v>0</v>
      </c>
      <c r="BM35" s="33" t="n">
        <f aca="false">IF(ISNUMBER(((BL35/BJ35)+F$14+$R35)*BJ35),((BL35/BJ35)+F$14+$R35)*BJ35,0)</f>
        <v>0</v>
      </c>
      <c r="BN35" s="44" t="n">
        <f aca="false">IF(BJ35=0,0,bsd(1,BO$27,BK35,$W35,$T35,$U35,$AH35,0.1))</f>
        <v>0</v>
      </c>
      <c r="BO35" s="44" t="n">
        <f aca="false">IF(BJ35=0,0,bsd(2,BO$27,BK35,$W35,$T35,$U35,$AH35,0.1))</f>
        <v>0</v>
      </c>
      <c r="BP35" s="44" t="n">
        <f aca="false">IF(BJ35=0,0,bsd(BO$28,BO$27,BK35,$W35,$T35,$U35,$AH35,0.1))</f>
        <v>0</v>
      </c>
      <c r="BQ35" s="45" t="n">
        <f aca="false">BJ35*BN35</f>
        <v>0</v>
      </c>
      <c r="BR35" s="45" t="n">
        <f aca="false">BJ35*BO35</f>
        <v>0</v>
      </c>
      <c r="BS35" s="45" t="n">
        <f aca="false">BJ35*BP35</f>
        <v>0</v>
      </c>
      <c r="BU35" s="9" t="n">
        <f aca="false">IF($A35&gt;=BV$25,IF($A35&lt;=BV$26,$AI35,0),0)</f>
        <v>28</v>
      </c>
      <c r="BV35" s="9" t="n">
        <f aca="false">BX35/BU35</f>
        <v>4.8538</v>
      </c>
      <c r="BW35" s="1" t="n">
        <f aca="false">BU35*($B35+H$13)</f>
        <v>145.1464</v>
      </c>
      <c r="BX35" s="33" t="n">
        <f aca="false">IF(ISNUMBER(((BW35/BU35)+H$14+$Y35)*BU35),((BW35/BU35)+H$14+$Y35)*BU35,0)</f>
        <v>135.9064</v>
      </c>
      <c r="BY35" s="44" t="e">
        <f aca="false">IF(BU35=0,0,bsd(1,BZ$27,BV35,$AD35,$AA35,$AB35,$AH35,0.1))</f>
        <v>#VALUE!</v>
      </c>
      <c r="BZ35" s="44" t="e">
        <f aca="false">IF(BU35=0,0,bsd(2,BZ$27,BV35,$AD35,$AA35,$AB35,$AH35,0.1))</f>
        <v>#VALUE!</v>
      </c>
      <c r="CA35" s="44" t="e">
        <f aca="false">IF(BU35=0,0,bsd(BZ$28,BZ$27,BV35,$AD35,$AA35,$AB35,$AH35,0.1))</f>
        <v>#VALUE!</v>
      </c>
      <c r="CB35" s="45" t="e">
        <f aca="false">BU35*BY35</f>
        <v>#VALUE!</v>
      </c>
      <c r="CC35" s="45" t="e">
        <f aca="false">BU35*BZ35</f>
        <v>#VALUE!</v>
      </c>
      <c r="CD35" s="45" t="e">
        <f aca="false">BU35*CA35</f>
        <v>#VALUE!</v>
      </c>
    </row>
    <row r="36" customFormat="false" ht="12.75" hidden="false" customHeight="false" outlineLevel="0" collapsed="false">
      <c r="A36" s="48" t="n">
        <f aca="false">DATE(YEAR(A35),MONTH(A35)+1,1)</f>
        <v>36951</v>
      </c>
      <c r="B36" s="40" t="n">
        <f aca="false">VLOOKUP(A36,STRADDLE,5,FALSE())</f>
        <v>4.8868</v>
      </c>
      <c r="C36" s="4" t="n">
        <f aca="false">VLOOKUP(A36,STRADDLE,8,FALSE())</f>
        <v>0.5375</v>
      </c>
      <c r="D36" s="40" t="n">
        <f aca="false">IF(D$28="nymex",0,VLOOKUP($A36,curvesettle,HLOOKUP(D$28,curvesettle,2,FALSE())))</f>
        <v>1.34</v>
      </c>
      <c r="E36" s="131" t="n">
        <f aca="false">IF(ISNUMBER(VLOOKUP($A36,VOLCURVES,HLOOKUP(D$28,VOLCURVES,2,FALSE()),FALSE())),VLOOKUP($A36,VOLCURVES,HLOOKUP(D$28,VOLCURVES,2,FALSE()),FALSE()),1)</f>
        <v>1.2</v>
      </c>
      <c r="F36" s="136" t="n">
        <f aca="false">IF(D$28="NYMEX",$AG36,$AF36)</f>
        <v>-8978</v>
      </c>
      <c r="G36" s="4" t="e">
        <f aca="false">(($C36+H36)*$E36)+B$15</f>
        <v>#DIV/0!</v>
      </c>
      <c r="H36" s="4" t="e">
        <f aca="false">IF($B$16=1,VLOOKUP($A36,SkewTable,HLOOKUP(ROUND(I36-AO36,1),SkewTable,2,FALSE()),FALSE())/100,0)</f>
        <v>#DIV/0!</v>
      </c>
      <c r="I36" s="41" t="n">
        <f aca="false">IF($B$19=4,$AO36,$B$18)</f>
        <v>12</v>
      </c>
      <c r="J36" s="123" t="n">
        <f aca="false">ROUND(I36-B36,1)</f>
        <v>7.1</v>
      </c>
      <c r="K36" s="40" t="n">
        <f aca="false">IF(K$28="nymex",0,VLOOKUP($A36,curvesettle,HLOOKUP(K$28,curvesettle,2,FALSE())))</f>
        <v>-0.0225</v>
      </c>
      <c r="L36" s="131" t="n">
        <f aca="false">IF(ISNUMBER(VLOOKUP($A36,VOLCURVES,HLOOKUP(K$28,VOLCURVES,2,FALSE()),FALSE())),VLOOKUP($A36,VOLCURVES,HLOOKUP(K$28,VOLCURVES,2,FALSE()),FALSE()),1)</f>
        <v>1</v>
      </c>
      <c r="M36" s="136" t="n">
        <f aca="false">IF(K$28="NYMEX",$AG36,$AF36)</f>
        <v>-8978</v>
      </c>
      <c r="N36" s="153" t="n">
        <f aca="false">(($C36+O36)*$L36)+D$15</f>
        <v>0.508185684284375</v>
      </c>
      <c r="O36" s="4" t="n">
        <f aca="false">IF($D$16=1,VLOOKUP($A36,SkewTable,HLOOKUP(ROUND(P36-AZ36,1),SkewTable,2,FALSE()),FALSE())/100,0)</f>
        <v>-0.029314315715625</v>
      </c>
      <c r="P36" s="41" t="n">
        <f aca="false">IF($D$19=4,$AZ36,$D$18)</f>
        <v>3.75</v>
      </c>
      <c r="Q36" s="153" t="n">
        <f aca="false">N36-O36</f>
        <v>0.5375</v>
      </c>
      <c r="R36" s="40" t="n">
        <f aca="false">IF(R$28="nymex",0,VLOOKUP($A36,curvesettle,HLOOKUP(R$28,curvesettle,2,FALSE())))</f>
        <v>-0.0225</v>
      </c>
      <c r="S36" s="131" t="n">
        <f aca="false">IF(ISNUMBER(VLOOKUP($A36,VOLCURVES,HLOOKUP(R$28,VOLCURVES,2,FALSE()),FALSE())),VLOOKUP($A36,VOLCURVES,HLOOKUP(R$28,VOLCURVES,2,FALSE()),FALSE()),1)</f>
        <v>1</v>
      </c>
      <c r="T36" s="136" t="n">
        <f aca="false">IF(R$28="NYMEX",$AG36,$AF36)</f>
        <v>-8978</v>
      </c>
      <c r="U36" s="153" t="e">
        <f aca="false">(($C36+V36)*$S36)+F$15</f>
        <v>#DIV/0!</v>
      </c>
      <c r="V36" s="4" t="e">
        <f aca="false">IF($F$16=1,VLOOKUP($A36,SkewTable,HLOOKUP(ROUND(W36-BK36,1),SkewTable,2,FALSE()),FALSE())/100,0)</f>
        <v>#DIV/0!</v>
      </c>
      <c r="W36" s="41" t="n">
        <f aca="false">IF($F$19=4,$BK36,$F$18)</f>
        <v>3.5</v>
      </c>
      <c r="X36" s="136"/>
      <c r="Y36" s="40" t="n">
        <f aca="false">IF(Y$28="nymex",0,VLOOKUP($A36,curvesettle,HLOOKUP(Y$28,curvesettle,2,FALSE())))</f>
        <v>-0.35</v>
      </c>
      <c r="Z36" s="131" t="n">
        <f aca="false">IF(ISNUMBER(VLOOKUP($A36,VOLCURVES,HLOOKUP(Y$28,VOLCURVES,2,FALSE()),FALSE())),VLOOKUP($A36,VOLCURVES,HLOOKUP(Y$28,VOLCURVES,2,FALSE()),FALSE()),1)</f>
        <v>0.96</v>
      </c>
      <c r="AA36" s="136" t="n">
        <f aca="false">IF(Y$28="NYMEX",$AG36,$AF36)</f>
        <v>-8978</v>
      </c>
      <c r="AB36" s="4" t="n">
        <f aca="false">(($C36+AC36)*$Z36)+H$15</f>
        <v>0.484949342739</v>
      </c>
      <c r="AC36" s="4" t="n">
        <f aca="false">IF($H$16=1,VLOOKUP($A36,SkewTable,HLOOKUP(ROUND(AD36-BV36,1),SkewTable,2,FALSE()),FALSE())/100,0)</f>
        <v>-0.032344434646875</v>
      </c>
      <c r="AD36" s="41" t="n">
        <f aca="false">IF($H$19=4,$BV36,$H$18)</f>
        <v>3</v>
      </c>
      <c r="AF36" s="136" t="n">
        <f aca="false">VLOOKUP($A36,expiration,2,FALSE())-$B$2</f>
        <v>-8978</v>
      </c>
      <c r="AG36" s="136" t="n">
        <f aca="false">VLOOKUP($A36,expiration,3,FALSE())-$B$2</f>
        <v>-8981</v>
      </c>
      <c r="AH36" s="4" t="n">
        <f aca="false">VLOOKUP($A36,STRADDLE,12,FALSE())</f>
        <v>0.068276029462339</v>
      </c>
      <c r="AI36" s="43" t="n">
        <f aca="false">A37-A36</f>
        <v>31</v>
      </c>
      <c r="AL36" s="136"/>
      <c r="AM36" s="9"/>
      <c r="AN36" s="9" t="n">
        <f aca="false">IF($A36&gt;=AO$25,IF($A36&lt;=AO$26,$AI36,0),0)</f>
        <v>0</v>
      </c>
      <c r="AO36" s="9" t="e">
        <f aca="false">AQ36/AN36</f>
        <v>#DIV/0!</v>
      </c>
      <c r="AP36" s="1" t="n">
        <f aca="false">AN36*($B36+B$13)</f>
        <v>0</v>
      </c>
      <c r="AQ36" s="33" t="n">
        <f aca="false">IF(ISNUMBER(((AP36/AN36)+B$14+$D36)*AN36),((AP36/AN36)+B$14+$D36)*AN36,0)</f>
        <v>0</v>
      </c>
      <c r="AR36" s="44" t="n">
        <f aca="false">IF(AN36=0,0,bsd(1,AS$27,AO36,$I36,$F36,$G36,$AH36,0.1))</f>
        <v>0</v>
      </c>
      <c r="AS36" s="44" t="n">
        <f aca="false">IF(AN36=0,0,bsd(2,AS$27,AO36,$I36,$F36,$G36,$AH36,0.1))</f>
        <v>0</v>
      </c>
      <c r="AT36" s="44" t="n">
        <f aca="false">IF(AN36=0,0,bsd(AS$28,AS$27,AO36,$I36,$F36,$G36,$AH36,0.1))</f>
        <v>0</v>
      </c>
      <c r="AU36" s="45" t="n">
        <f aca="false">AN36*AR36</f>
        <v>0</v>
      </c>
      <c r="AV36" s="45" t="n">
        <f aca="false">AN36*AS36</f>
        <v>0</v>
      </c>
      <c r="AW36" s="45" t="n">
        <f aca="false">AN36*AT36</f>
        <v>0</v>
      </c>
      <c r="AY36" s="9" t="n">
        <f aca="false">IF($A36&gt;=AZ$25,IF($A36&lt;=AZ$26,$AI36,0),0)</f>
        <v>31</v>
      </c>
      <c r="AZ36" s="9" t="n">
        <f aca="false">BB36/AY36</f>
        <v>4.8643</v>
      </c>
      <c r="BA36" s="1" t="n">
        <f aca="false">AY36*($B36+D$13)</f>
        <v>151.4908</v>
      </c>
      <c r="BB36" s="33" t="n">
        <f aca="false">IF(ISNUMBER(((BA36/AY36)+D$14+$K36)*AY36),((BA36/AY36)+D$14+$K36)*AY36,0)</f>
        <v>150.7933</v>
      </c>
      <c r="BC36" s="44" t="e">
        <f aca="false">IF(AY36=0,0,bsd(1,BD$27,AZ36,$P36,$M36,$N36,$AH36,0.1))</f>
        <v>#VALUE!</v>
      </c>
      <c r="BD36" s="44" t="e">
        <f aca="false">IF(AY36=0,0,bsd(2,BD$27,AZ36,$P36,$M36,$N36,$AH36,0.1))</f>
        <v>#VALUE!</v>
      </c>
      <c r="BE36" s="44" t="e">
        <f aca="false">IF(AY36=0,0,bsd(BD$28,BD$27,AZ36,$P36,$M36,$N36,$AH36,0.1))</f>
        <v>#VALUE!</v>
      </c>
      <c r="BF36" s="45" t="e">
        <f aca="false">AY36*BC36</f>
        <v>#VALUE!</v>
      </c>
      <c r="BG36" s="45" t="e">
        <f aca="false">AY36*BD36</f>
        <v>#VALUE!</v>
      </c>
      <c r="BH36" s="45" t="e">
        <f aca="false">AY36*BE36</f>
        <v>#VALUE!</v>
      </c>
      <c r="BJ36" s="9" t="n">
        <f aca="false">IF($A36&gt;=BK$25,IF($A36&lt;=BK$26,$AI36,0),0)</f>
        <v>0</v>
      </c>
      <c r="BK36" s="9" t="e">
        <f aca="false">BM36/BJ36</f>
        <v>#DIV/0!</v>
      </c>
      <c r="BL36" s="1" t="n">
        <f aca="false">BJ36*($B36+F$13)</f>
        <v>0</v>
      </c>
      <c r="BM36" s="33" t="n">
        <f aca="false">IF(ISNUMBER(((BL36/BJ36)+F$14+$R36)*BJ36),((BL36/BJ36)+F$14+$R36)*BJ36,0)</f>
        <v>0</v>
      </c>
      <c r="BN36" s="44" t="n">
        <f aca="false">IF(BJ36=0,0,bsd(1,BO$27,BK36,$W36,$T36,$U36,$AH36,0.1))</f>
        <v>0</v>
      </c>
      <c r="BO36" s="44" t="n">
        <f aca="false">IF(BJ36=0,0,bsd(2,BO$27,BK36,$W36,$T36,$U36,$AH36,0.1))</f>
        <v>0</v>
      </c>
      <c r="BP36" s="44" t="n">
        <f aca="false">IF(BJ36=0,0,bsd(BO$28,BO$27,BK36,$W36,$T36,$U36,$AH36,0.1))</f>
        <v>0</v>
      </c>
      <c r="BQ36" s="45" t="n">
        <f aca="false">BJ36*BN36</f>
        <v>0</v>
      </c>
      <c r="BR36" s="45" t="n">
        <f aca="false">BJ36*BO36</f>
        <v>0</v>
      </c>
      <c r="BS36" s="45" t="n">
        <f aca="false">BJ36*BP36</f>
        <v>0</v>
      </c>
      <c r="BU36" s="9" t="n">
        <f aca="false">IF($A36&gt;=BV$25,IF($A36&lt;=BV$26,$AI36,0),0)</f>
        <v>31</v>
      </c>
      <c r="BV36" s="9" t="n">
        <f aca="false">BX36/BU36</f>
        <v>4.5368</v>
      </c>
      <c r="BW36" s="1" t="n">
        <f aca="false">BU36*($B36+H$13)</f>
        <v>151.4908</v>
      </c>
      <c r="BX36" s="33" t="n">
        <f aca="false">IF(ISNUMBER(((BW36/BU36)+H$14+$Y36)*BU36),((BW36/BU36)+H$14+$Y36)*BU36,0)</f>
        <v>140.6408</v>
      </c>
      <c r="BY36" s="44" t="e">
        <f aca="false">IF(BU36=0,0,bsd(1,BZ$27,BV36,$AD36,$AA36,$AB36,$AH36,0.1))</f>
        <v>#VALUE!</v>
      </c>
      <c r="BZ36" s="44" t="e">
        <f aca="false">IF(BU36=0,0,bsd(2,BZ$27,BV36,$AD36,$AA36,$AB36,$AH36,0.1))</f>
        <v>#VALUE!</v>
      </c>
      <c r="CA36" s="44" t="e">
        <f aca="false">IF(BU36=0,0,bsd(BZ$28,BZ$27,BV36,$AD36,$AA36,$AB36,$AH36,0.1))</f>
        <v>#VALUE!</v>
      </c>
      <c r="CB36" s="45" t="e">
        <f aca="false">BU36*BY36</f>
        <v>#VALUE!</v>
      </c>
      <c r="CC36" s="45" t="e">
        <f aca="false">BU36*BZ36</f>
        <v>#VALUE!</v>
      </c>
      <c r="CD36" s="45" t="e">
        <f aca="false">BU36*CA36</f>
        <v>#VALUE!</v>
      </c>
    </row>
    <row r="37" customFormat="false" ht="12.75" hidden="false" customHeight="false" outlineLevel="0" collapsed="false">
      <c r="A37" s="48" t="n">
        <f aca="false">DATE(YEAR(A36),MONTH(A36)+1,1)</f>
        <v>36982</v>
      </c>
      <c r="B37" s="40" t="n">
        <f aca="false">VLOOKUP(A37,STRADDLE,5,FALSE())</f>
        <v>4.57071428571429</v>
      </c>
      <c r="C37" s="4" t="n">
        <f aca="false">VLOOKUP(A37,STRADDLE,8,FALSE())</f>
        <v>0.435</v>
      </c>
      <c r="D37" s="40" t="n">
        <f aca="false">IF(D$28="nymex",0,VLOOKUP($A37,curvesettle,HLOOKUP(D$28,curvesettle,2,FALSE())))</f>
        <v>0.52</v>
      </c>
      <c r="E37" s="131" t="n">
        <f aca="false">IF(ISNUMBER(VLOOKUP($A37,VOLCURVES,HLOOKUP(D$28,VOLCURVES,2,FALSE()),FALSE())),VLOOKUP($A37,VOLCURVES,HLOOKUP(D$28,VOLCURVES,2,FALSE()),FALSE()),1)</f>
        <v>0.98</v>
      </c>
      <c r="F37" s="136" t="n">
        <f aca="false">IF(D$28="NYMEX",$AG37,$AF37)</f>
        <v>-8948</v>
      </c>
      <c r="G37" s="4" t="e">
        <f aca="false">(($C37+H37)*$E37)+B$15</f>
        <v>#DIV/0!</v>
      </c>
      <c r="H37" s="4" t="e">
        <f aca="false">IF($B$16=1,VLOOKUP($A37,SkewTable,HLOOKUP(ROUND(I37-AO37,1),SkewTable,2,FALSE()),FALSE())/100,0)</f>
        <v>#DIV/0!</v>
      </c>
      <c r="I37" s="41" t="n">
        <f aca="false">IF($B$19=4,$AO37,$B$18)</f>
        <v>12</v>
      </c>
      <c r="K37" s="40" t="n">
        <f aca="false">IF(K$28="nymex",0,VLOOKUP($A37,curvesettle,HLOOKUP(K$28,curvesettle,2,FALSE())))</f>
        <v>-0.02</v>
      </c>
      <c r="L37" s="131" t="n">
        <f aca="false">IF(ISNUMBER(VLOOKUP($A37,VOLCURVES,HLOOKUP(K$28,VOLCURVES,2,FALSE()),FALSE())),VLOOKUP($A37,VOLCURVES,HLOOKUP(K$28,VOLCURVES,2,FALSE()),FALSE()),1)</f>
        <v>1</v>
      </c>
      <c r="M37" s="136" t="n">
        <f aca="false">IF(K$28="NYMEX",$AG37,$AF37)</f>
        <v>-8948</v>
      </c>
      <c r="N37" s="153" t="e">
        <f aca="false">(($C37+O37)*$L37)+D$15</f>
        <v>#DIV/0!</v>
      </c>
      <c r="O37" s="4" t="e">
        <f aca="false">IF($D$16=1,VLOOKUP($A37,SkewTable,HLOOKUP(ROUND(P37-AZ37,1),SkewTable,2,FALSE()),FALSE())/100,0)</f>
        <v>#DIV/0!</v>
      </c>
      <c r="P37" s="41" t="n">
        <f aca="false">IF($D$19=4,$AZ37,$D$18)</f>
        <v>3.75</v>
      </c>
      <c r="R37" s="40" t="n">
        <f aca="false">IF(R$28="nymex",0,VLOOKUP($A37,curvesettle,HLOOKUP(R$28,curvesettle,2,FALSE())))</f>
        <v>-0.02</v>
      </c>
      <c r="S37" s="131" t="n">
        <f aca="false">IF(ISNUMBER(VLOOKUP($A37,VOLCURVES,HLOOKUP(R$28,VOLCURVES,2,FALSE()),FALSE())),VLOOKUP($A37,VOLCURVES,HLOOKUP(R$28,VOLCURVES,2,FALSE()),FALSE()),1)</f>
        <v>1</v>
      </c>
      <c r="T37" s="136" t="n">
        <f aca="false">IF(R$28="NYMEX",$AG37,$AF37)</f>
        <v>-8948</v>
      </c>
      <c r="U37" s="153" t="n">
        <f aca="false">(($C37+V37)*$S37)+F$15</f>
        <v>0.420342842142188</v>
      </c>
      <c r="V37" s="4" t="n">
        <f aca="false">IF($F$16=1,VLOOKUP($A37,SkewTable,HLOOKUP(ROUND(W37-BK37,1),SkewTable,2,FALSE()),FALSE())/100,0)</f>
        <v>-0.0146571578578125</v>
      </c>
      <c r="W37" s="41" t="n">
        <f aca="false">IF($F$19=4,$BK37,$F$18)</f>
        <v>3.5</v>
      </c>
      <c r="X37" s="136"/>
      <c r="Y37" s="40" t="n">
        <f aca="false">IF(Y$28="nymex",0,VLOOKUP($A37,curvesettle,HLOOKUP(Y$28,curvesettle,2,FALSE())))</f>
        <v>-0.5375</v>
      </c>
      <c r="Z37" s="131" t="n">
        <f aca="false">IF(ISNUMBER(VLOOKUP($A37,VOLCURVES,HLOOKUP(Y$28,VOLCURVES,2,FALSE()),FALSE())),VLOOKUP($A37,VOLCURVES,HLOOKUP(Y$28,VOLCURVES,2,FALSE()),FALSE()),1)</f>
        <v>0.97</v>
      </c>
      <c r="AA37" s="136" t="n">
        <f aca="false">IF(Y$28="NYMEX",$AG37,$AF37)</f>
        <v>-8948</v>
      </c>
      <c r="AB37" s="4" t="n">
        <f aca="false">(($C37+AC37)*$Z37)+H$15</f>
        <v>0.408099958798336</v>
      </c>
      <c r="AC37" s="4" t="n">
        <f aca="false">IF($H$16=1,VLOOKUP($A37,SkewTable,HLOOKUP(ROUND(AD37-BV37,1),SkewTable,2,FALSE()),FALSE())/100,0)</f>
        <v>-0.0142783929914063</v>
      </c>
      <c r="AD37" s="41" t="n">
        <f aca="false">IF($H$19=4,$BV37,$H$18)</f>
        <v>3</v>
      </c>
      <c r="AF37" s="136" t="n">
        <f aca="false">VLOOKUP($A37,expiration,2,FALSE())-$B$2</f>
        <v>-8948</v>
      </c>
      <c r="AG37" s="136" t="n">
        <f aca="false">VLOOKUP($A37,expiration,3,FALSE())-$B$2</f>
        <v>-8949</v>
      </c>
      <c r="AH37" s="4" t="n">
        <f aca="false">VLOOKUP($A37,STRADDLE,12,FALSE())</f>
        <v>0.068254674043478</v>
      </c>
      <c r="AI37" s="43" t="n">
        <f aca="false">A38-A37</f>
        <v>30</v>
      </c>
      <c r="AL37" s="136"/>
      <c r="AM37" s="9"/>
      <c r="AN37" s="9" t="n">
        <f aca="false">IF($A37&gt;=AO$25,IF($A37&lt;=AO$26,$AI37,0),0)</f>
        <v>0</v>
      </c>
      <c r="AO37" s="9" t="e">
        <f aca="false">AQ37/AN37</f>
        <v>#DIV/0!</v>
      </c>
      <c r="AP37" s="1" t="n">
        <f aca="false">AN37*($B37+B$13)</f>
        <v>0</v>
      </c>
      <c r="AQ37" s="33" t="n">
        <f aca="false">IF(ISNUMBER(((AP37/AN37)+B$14+$D37)*AN37),((AP37/AN37)+B$14+$D37)*AN37,0)</f>
        <v>0</v>
      </c>
      <c r="AR37" s="44" t="n">
        <f aca="false">IF(AN37=0,0,bsd(1,AS$27,AO37,$I37,$F37,$G37,$AH37,0.1))</f>
        <v>0</v>
      </c>
      <c r="AS37" s="44" t="n">
        <f aca="false">IF(AN37=0,0,bsd(2,AS$27,AO37,$I37,$F37,$G37,$AH37,0.1))</f>
        <v>0</v>
      </c>
      <c r="AT37" s="44" t="n">
        <f aca="false">IF(AN37=0,0,bsd(AS$28,AS$27,AO37,$I37,$F37,$G37,$AH37,0.1))</f>
        <v>0</v>
      </c>
      <c r="AU37" s="45" t="n">
        <f aca="false">AN37*AR37</f>
        <v>0</v>
      </c>
      <c r="AV37" s="45" t="n">
        <f aca="false">AN37*AS37</f>
        <v>0</v>
      </c>
      <c r="AW37" s="45" t="n">
        <f aca="false">AN37*AT37</f>
        <v>0</v>
      </c>
      <c r="AY37" s="9" t="n">
        <f aca="false">IF($A37&gt;=AZ$25,IF($A37&lt;=AZ$26,$AI37,0),0)</f>
        <v>0</v>
      </c>
      <c r="AZ37" s="9" t="e">
        <f aca="false">BB37/AY37</f>
        <v>#DIV/0!</v>
      </c>
      <c r="BA37" s="1" t="n">
        <f aca="false">AY37*($B37+D$13)</f>
        <v>0</v>
      </c>
      <c r="BB37" s="33" t="n">
        <f aca="false">IF(ISNUMBER(((BA37/AY37)+D$14+$K37)*AY37),((BA37/AY37)+D$14+$K37)*AY37,0)</f>
        <v>0</v>
      </c>
      <c r="BC37" s="44" t="n">
        <f aca="false">IF(AY37=0,0,bsd(1,BD$27,AZ37,$P37,$M37,$N37,$AH37,0.1))</f>
        <v>0</v>
      </c>
      <c r="BD37" s="44" t="n">
        <f aca="false">IF(AY37=0,0,bsd(2,BD$27,AZ37,$P37,$M37,$N37,$AH37,0.1))</f>
        <v>0</v>
      </c>
      <c r="BE37" s="44" t="n">
        <f aca="false">IF(AY37=0,0,bsd(BD$28,BD$27,AZ37,$P37,$M37,$N37,$AH37,0.1))</f>
        <v>0</v>
      </c>
      <c r="BF37" s="45" t="n">
        <f aca="false">AY37*BC37</f>
        <v>0</v>
      </c>
      <c r="BG37" s="45" t="n">
        <f aca="false">AY37*BD37</f>
        <v>0</v>
      </c>
      <c r="BH37" s="45" t="n">
        <f aca="false">AY37*BE37</f>
        <v>0</v>
      </c>
      <c r="BJ37" s="9" t="n">
        <f aca="false">IF($A37&gt;=BK$25,IF($A37&lt;=BK$26,$AI37,0),0)</f>
        <v>30</v>
      </c>
      <c r="BK37" s="9" t="n">
        <f aca="false">BM37/BJ37</f>
        <v>4.55071428571429</v>
      </c>
      <c r="BL37" s="1" t="n">
        <f aca="false">BJ37*($B37+F$13)</f>
        <v>137.121428571429</v>
      </c>
      <c r="BM37" s="33" t="n">
        <f aca="false">IF(ISNUMBER(((BL37/BJ37)+F$14+$R37)*BJ37),((BL37/BJ37)+F$14+$R37)*BJ37,0)</f>
        <v>136.521428571429</v>
      </c>
      <c r="BN37" s="44" t="e">
        <f aca="false">IF(BJ37=0,0,bsd(1,BO$27,BK37,$W37,$T37,$U37,$AH37,0.1))</f>
        <v>#VALUE!</v>
      </c>
      <c r="BO37" s="44" t="e">
        <f aca="false">IF(BJ37=0,0,bsd(2,BO$27,BK37,$W37,$T37,$U37,$AH37,0.1))</f>
        <v>#VALUE!</v>
      </c>
      <c r="BP37" s="44" t="e">
        <f aca="false">IF(BJ37=0,0,bsd(BO$28,BO$27,BK37,$W37,$T37,$U37,$AH37,0.1))</f>
        <v>#VALUE!</v>
      </c>
      <c r="BQ37" s="45" t="e">
        <f aca="false">BJ37*BN37</f>
        <v>#VALUE!</v>
      </c>
      <c r="BR37" s="45" t="e">
        <f aca="false">BJ37*BO37</f>
        <v>#VALUE!</v>
      </c>
      <c r="BS37" s="45" t="e">
        <f aca="false">BJ37*BP37</f>
        <v>#VALUE!</v>
      </c>
      <c r="BU37" s="9" t="n">
        <f aca="false">IF($A37&gt;=BV$25,IF($A37&lt;=BV$26,$AI37,0),0)</f>
        <v>30</v>
      </c>
      <c r="BV37" s="9" t="n">
        <f aca="false">BX37/BU37</f>
        <v>4.03321428571429</v>
      </c>
      <c r="BW37" s="1" t="n">
        <f aca="false">BU37*($B37+H$13)</f>
        <v>137.121428571429</v>
      </c>
      <c r="BX37" s="33" t="n">
        <f aca="false">IF(ISNUMBER(((BW37/BU37)+H$14+$Y37)*BU37),((BW37/BU37)+H$14+$Y37)*BU37,0)</f>
        <v>120.996428571429</v>
      </c>
      <c r="BY37" s="44" t="e">
        <f aca="false">IF(BU37=0,0,bsd(1,BZ$27,BV37,$AD37,$AA37,$AB37,$AH37,0.1))</f>
        <v>#VALUE!</v>
      </c>
      <c r="BZ37" s="44" t="e">
        <f aca="false">IF(BU37=0,0,bsd(2,BZ$27,BV37,$AD37,$AA37,$AB37,$AH37,0.1))</f>
        <v>#VALUE!</v>
      </c>
      <c r="CA37" s="44" t="e">
        <f aca="false">IF(BU37=0,0,bsd(BZ$28,BZ$27,BV37,$AD37,$AA37,$AB37,$AH37,0.1))</f>
        <v>#VALUE!</v>
      </c>
      <c r="CB37" s="45" t="e">
        <f aca="false">BU37*BY37</f>
        <v>#VALUE!</v>
      </c>
      <c r="CC37" s="45" t="e">
        <f aca="false">BU37*BZ37</f>
        <v>#VALUE!</v>
      </c>
      <c r="CD37" s="45" t="e">
        <f aca="false">BU37*CA37</f>
        <v>#VALUE!</v>
      </c>
    </row>
    <row r="38" customFormat="false" ht="12.75" hidden="false" customHeight="false" outlineLevel="0" collapsed="false">
      <c r="A38" s="48" t="n">
        <f aca="false">DATE(YEAR(A37),MONTH(A37)+1,1)</f>
        <v>37012</v>
      </c>
      <c r="B38" s="40" t="n">
        <f aca="false">VLOOKUP(A38,STRADDLE,5,FALSE())</f>
        <v>4.46571428571429</v>
      </c>
      <c r="C38" s="4" t="n">
        <f aca="false">VLOOKUP(A38,STRADDLE,8,FALSE())</f>
        <v>0.3975</v>
      </c>
      <c r="D38" s="40" t="n">
        <f aca="false">IF(D$28="nymex",0,VLOOKUP($A38,curvesettle,HLOOKUP(D$28,curvesettle,2,FALSE())))</f>
        <v>0.405</v>
      </c>
      <c r="E38" s="131" t="n">
        <f aca="false">IF(ISNUMBER(VLOOKUP($A38,VOLCURVES,HLOOKUP(D$28,VOLCURVES,2,FALSE()),FALSE())),VLOOKUP($A38,VOLCURVES,HLOOKUP(D$28,VOLCURVES,2,FALSE()),FALSE()),1)</f>
        <v>0.98</v>
      </c>
      <c r="F38" s="136" t="n">
        <f aca="false">IF(D$28="NYMEX",$AG38,$AF38)</f>
        <v>-8919</v>
      </c>
      <c r="G38" s="4" t="e">
        <f aca="false">(($C38+H38)*$E38)+B$15</f>
        <v>#DIV/0!</v>
      </c>
      <c r="H38" s="4" t="e">
        <f aca="false">IF($B$16=1,VLOOKUP($A38,SkewTable,HLOOKUP(ROUND(I38-AO38,1),SkewTable,2,FALSE()),FALSE())/100,0)</f>
        <v>#DIV/0!</v>
      </c>
      <c r="I38" s="41" t="n">
        <f aca="false">IF($B$19=4,$AO38,$B$18)</f>
        <v>12</v>
      </c>
      <c r="K38" s="40" t="n">
        <f aca="false">IF(K$28="nymex",0,VLOOKUP($A38,curvesettle,HLOOKUP(K$28,curvesettle,2,FALSE())))</f>
        <v>-0.02</v>
      </c>
      <c r="L38" s="131" t="n">
        <f aca="false">IF(ISNUMBER(VLOOKUP($A38,VOLCURVES,HLOOKUP(K$28,VOLCURVES,2,FALSE()),FALSE())),VLOOKUP($A38,VOLCURVES,HLOOKUP(K$28,VOLCURVES,2,FALSE()),FALSE()),1)</f>
        <v>1</v>
      </c>
      <c r="M38" s="136" t="n">
        <f aca="false">IF(K$28="NYMEX",$AG38,$AF38)</f>
        <v>-8919</v>
      </c>
      <c r="N38" s="153" t="e">
        <f aca="false">(($C38+O38)*$L38)+D$15</f>
        <v>#DIV/0!</v>
      </c>
      <c r="O38" s="4" t="e">
        <f aca="false">IF($D$16=1,VLOOKUP($A38,SkewTable,HLOOKUP(ROUND(P38-AZ38,1),SkewTable,2,FALSE()),FALSE())/100,0)</f>
        <v>#DIV/0!</v>
      </c>
      <c r="P38" s="41" t="n">
        <f aca="false">IF($D$19=4,$AZ38,$D$18)</f>
        <v>3.75</v>
      </c>
      <c r="R38" s="40" t="n">
        <f aca="false">IF(R$28="nymex",0,VLOOKUP($A38,curvesettle,HLOOKUP(R$28,curvesettle,2,FALSE())))</f>
        <v>-0.02</v>
      </c>
      <c r="S38" s="131" t="n">
        <f aca="false">IF(ISNUMBER(VLOOKUP($A38,VOLCURVES,HLOOKUP(R$28,VOLCURVES,2,FALSE()),FALSE())),VLOOKUP($A38,VOLCURVES,HLOOKUP(R$28,VOLCURVES,2,FALSE()),FALSE()),1)</f>
        <v>1</v>
      </c>
      <c r="T38" s="136" t="n">
        <f aca="false">IF(R$28="NYMEX",$AG38,$AF38)</f>
        <v>-8919</v>
      </c>
      <c r="U38" s="153" t="n">
        <f aca="false">(($C38+V38)*$S38)+F$15</f>
        <v>0.383600371875</v>
      </c>
      <c r="V38" s="4" t="n">
        <f aca="false">IF($F$16=1,VLOOKUP($A38,SkewTable,HLOOKUP(ROUND(W38-BK38,1),SkewTable,2,FALSE()),FALSE())/100,0)</f>
        <v>-0.013899628125</v>
      </c>
      <c r="W38" s="41" t="n">
        <f aca="false">IF($F$19=4,$BK38,$F$18)</f>
        <v>3.5</v>
      </c>
      <c r="X38" s="136"/>
      <c r="Y38" s="40" t="n">
        <f aca="false">IF(Y$28="nymex",0,VLOOKUP($A38,curvesettle,HLOOKUP(Y$28,curvesettle,2,FALSE())))</f>
        <v>-0.5375</v>
      </c>
      <c r="Z38" s="131" t="n">
        <f aca="false">IF(ISNUMBER(VLOOKUP($A38,VOLCURVES,HLOOKUP(Y$28,VOLCURVES,2,FALSE()),FALSE())),VLOOKUP($A38,VOLCURVES,HLOOKUP(Y$28,VOLCURVES,2,FALSE()),FALSE()),1)</f>
        <v>0.97</v>
      </c>
      <c r="AA38" s="136" t="n">
        <f aca="false">IF(Y$28="NYMEX",$AG38,$AF38)</f>
        <v>-8919</v>
      </c>
      <c r="AB38" s="4" t="n">
        <f aca="false">(($C38+AC38)*$Z38)+H$15</f>
        <v>0.37209236071875</v>
      </c>
      <c r="AC38" s="4" t="n">
        <f aca="false">IF($H$16=1,VLOOKUP($A38,SkewTable,HLOOKUP(ROUND(AD38-BV38,1),SkewTable,2,FALSE()),FALSE())/100,0)</f>
        <v>-0.013899628125</v>
      </c>
      <c r="AD38" s="41" t="n">
        <f aca="false">IF($H$19=4,$BV38,$H$18)</f>
        <v>3</v>
      </c>
      <c r="AF38" s="136" t="n">
        <f aca="false">VLOOKUP($A38,expiration,2,FALSE())-$B$2</f>
        <v>-8919</v>
      </c>
      <c r="AG38" s="136" t="n">
        <f aca="false">VLOOKUP($A38,expiration,3,FALSE())-$B$2</f>
        <v>-8920</v>
      </c>
      <c r="AH38" s="4" t="n">
        <f aca="false">VLOOKUP($A38,STRADDLE,12,FALSE())</f>
        <v>0.068096132754615</v>
      </c>
      <c r="AI38" s="43" t="n">
        <f aca="false">A39-A38</f>
        <v>31</v>
      </c>
      <c r="AL38" s="136"/>
      <c r="AM38" s="9"/>
      <c r="AN38" s="9" t="n">
        <f aca="false">IF($A38&gt;=AO$25,IF($A38&lt;=AO$26,$AI38,0),0)</f>
        <v>0</v>
      </c>
      <c r="AO38" s="9" t="e">
        <f aca="false">AQ38/AN38</f>
        <v>#DIV/0!</v>
      </c>
      <c r="AP38" s="1" t="n">
        <f aca="false">AN38*($B38+B$13)</f>
        <v>0</v>
      </c>
      <c r="AQ38" s="33" t="n">
        <f aca="false">IF(ISNUMBER(((AP38/AN38)+B$14+$D38)*AN38),((AP38/AN38)+B$14+$D38)*AN38,0)</f>
        <v>0</v>
      </c>
      <c r="AR38" s="44" t="n">
        <f aca="false">IF(AN38=0,0,bsd(1,AS$27,AO38,$I38,$F38,$G38,$AH38,0.1))</f>
        <v>0</v>
      </c>
      <c r="AS38" s="44" t="n">
        <f aca="false">IF(AN38=0,0,bsd(2,AS$27,AO38,$I38,$F38,$G38,$AH38,0.1))</f>
        <v>0</v>
      </c>
      <c r="AT38" s="44" t="n">
        <f aca="false">IF(AN38=0,0,bsd(AS$28,AS$27,AO38,$I38,$F38,$G38,$AH38,0.1))</f>
        <v>0</v>
      </c>
      <c r="AU38" s="45" t="n">
        <f aca="false">AN38*AR38</f>
        <v>0</v>
      </c>
      <c r="AV38" s="45" t="n">
        <f aca="false">AN38*AS38</f>
        <v>0</v>
      </c>
      <c r="AW38" s="45" t="n">
        <f aca="false">AN38*AT38</f>
        <v>0</v>
      </c>
      <c r="AY38" s="9" t="n">
        <f aca="false">IF($A38&gt;=AZ$25,IF($A38&lt;=AZ$26,$AI38,0),0)</f>
        <v>0</v>
      </c>
      <c r="AZ38" s="9" t="e">
        <f aca="false">BB38/AY38</f>
        <v>#DIV/0!</v>
      </c>
      <c r="BA38" s="1" t="n">
        <f aca="false">AY38*($B38+D$13)</f>
        <v>0</v>
      </c>
      <c r="BB38" s="33" t="n">
        <f aca="false">IF(ISNUMBER(((BA38/AY38)+D$14+$K38)*AY38),((BA38/AY38)+D$14+$K38)*AY38,0)</f>
        <v>0</v>
      </c>
      <c r="BC38" s="44" t="n">
        <f aca="false">IF(AY38=0,0,bsd(1,BD$27,AZ38,$P38,$M38,$N38,$AH38,0.1))</f>
        <v>0</v>
      </c>
      <c r="BD38" s="44" t="n">
        <f aca="false">IF(AY38=0,0,bsd(2,BD$27,AZ38,$P38,$M38,$N38,$AH38,0.1))</f>
        <v>0</v>
      </c>
      <c r="BE38" s="44" t="n">
        <f aca="false">IF(AY38=0,0,bsd(BD$28,BD$27,AZ38,$P38,$M38,$N38,$AH38,0.1))</f>
        <v>0</v>
      </c>
      <c r="BF38" s="45" t="n">
        <f aca="false">AY38*BC38</f>
        <v>0</v>
      </c>
      <c r="BG38" s="45" t="n">
        <f aca="false">AY38*BD38</f>
        <v>0</v>
      </c>
      <c r="BH38" s="45" t="n">
        <f aca="false">AY38*BE38</f>
        <v>0</v>
      </c>
      <c r="BJ38" s="9" t="n">
        <f aca="false">IF($A38&gt;=BK$25,IF($A38&lt;=BK$26,$AI38,0),0)</f>
        <v>31</v>
      </c>
      <c r="BK38" s="9" t="n">
        <f aca="false">BM38/BJ38</f>
        <v>4.44571428571429</v>
      </c>
      <c r="BL38" s="1" t="n">
        <f aca="false">BJ38*($B38+F$13)</f>
        <v>138.437142857143</v>
      </c>
      <c r="BM38" s="33" t="n">
        <f aca="false">IF(ISNUMBER(((BL38/BJ38)+F$14+$R38)*BJ38),((BL38/BJ38)+F$14+$R38)*BJ38,0)</f>
        <v>137.817142857143</v>
      </c>
      <c r="BN38" s="44" t="e">
        <f aca="false">IF(BJ38=0,0,bsd(1,BO$27,BK38,$W38,$T38,$U38,$AH38,0.1))</f>
        <v>#VALUE!</v>
      </c>
      <c r="BO38" s="44" t="e">
        <f aca="false">IF(BJ38=0,0,bsd(2,BO$27,BK38,$W38,$T38,$U38,$AH38,0.1))</f>
        <v>#VALUE!</v>
      </c>
      <c r="BP38" s="44" t="e">
        <f aca="false">IF(BJ38=0,0,bsd(BO$28,BO$27,BK38,$W38,$T38,$U38,$AH38,0.1))</f>
        <v>#VALUE!</v>
      </c>
      <c r="BQ38" s="45" t="e">
        <f aca="false">BJ38*BN38</f>
        <v>#VALUE!</v>
      </c>
      <c r="BR38" s="45" t="e">
        <f aca="false">BJ38*BO38</f>
        <v>#VALUE!</v>
      </c>
      <c r="BS38" s="45" t="e">
        <f aca="false">BJ38*BP38</f>
        <v>#VALUE!</v>
      </c>
      <c r="BU38" s="9" t="n">
        <f aca="false">IF($A38&gt;=BV$25,IF($A38&lt;=BV$26,$AI38,0),0)</f>
        <v>31</v>
      </c>
      <c r="BV38" s="9" t="n">
        <f aca="false">BX38/BU38</f>
        <v>3.92821428571429</v>
      </c>
      <c r="BW38" s="1" t="n">
        <f aca="false">BU38*($B38+H$13)</f>
        <v>138.437142857143</v>
      </c>
      <c r="BX38" s="33" t="n">
        <f aca="false">IF(ISNUMBER(((BW38/BU38)+H$14+$Y38)*BU38),((BW38/BU38)+H$14+$Y38)*BU38,0)</f>
        <v>121.774642857143</v>
      </c>
      <c r="BY38" s="44" t="e">
        <f aca="false">IF(BU38=0,0,bsd(1,BZ$27,BV38,$AD38,$AA38,$AB38,$AH38,0.1))</f>
        <v>#VALUE!</v>
      </c>
      <c r="BZ38" s="44" t="e">
        <f aca="false">IF(BU38=0,0,bsd(2,BZ$27,BV38,$AD38,$AA38,$AB38,$AH38,0.1))</f>
        <v>#VALUE!</v>
      </c>
      <c r="CA38" s="44" t="e">
        <f aca="false">IF(BU38=0,0,bsd(BZ$28,BZ$27,BV38,$AD38,$AA38,$AB38,$AH38,0.1))</f>
        <v>#VALUE!</v>
      </c>
      <c r="CB38" s="45" t="e">
        <f aca="false">BU38*BY38</f>
        <v>#VALUE!</v>
      </c>
      <c r="CC38" s="45" t="e">
        <f aca="false">BU38*BZ38</f>
        <v>#VALUE!</v>
      </c>
      <c r="CD38" s="45" t="e">
        <f aca="false">BU38*CA38</f>
        <v>#VALUE!</v>
      </c>
    </row>
    <row r="39" customFormat="false" ht="12.75" hidden="false" customHeight="false" outlineLevel="0" collapsed="false">
      <c r="A39" s="48" t="n">
        <f aca="false">DATE(YEAR(A38),MONTH(A38)+1,1)</f>
        <v>37043</v>
      </c>
      <c r="B39" s="40" t="n">
        <f aca="false">VLOOKUP(A39,STRADDLE,5,FALSE())</f>
        <v>4.44071428571429</v>
      </c>
      <c r="C39" s="4" t="n">
        <f aca="false">VLOOKUP(A39,STRADDLE,8,FALSE())</f>
        <v>0.3925</v>
      </c>
      <c r="D39" s="40" t="n">
        <f aca="false">IF(D$28="nymex",0,VLOOKUP($A39,curvesettle,HLOOKUP(D$28,curvesettle,2,FALSE())))</f>
        <v>0.395</v>
      </c>
      <c r="E39" s="131" t="n">
        <f aca="false">IF(ISNUMBER(VLOOKUP($A39,VOLCURVES,HLOOKUP(D$28,VOLCURVES,2,FALSE()),FALSE())),VLOOKUP($A39,VOLCURVES,HLOOKUP(D$28,VOLCURVES,2,FALSE()),FALSE()),1)</f>
        <v>0.98</v>
      </c>
      <c r="F39" s="136" t="n">
        <f aca="false">IF(D$28="NYMEX",$AG39,$AF39)</f>
        <v>-8886</v>
      </c>
      <c r="G39" s="4" t="e">
        <f aca="false">(($C39+H39)*$E39)+B$15</f>
        <v>#DIV/0!</v>
      </c>
      <c r="H39" s="4" t="e">
        <f aca="false">IF($B$16=1,VLOOKUP($A39,SkewTable,HLOOKUP(ROUND(I39-AO39,1),SkewTable,2,FALSE()),FALSE())/100,0)</f>
        <v>#DIV/0!</v>
      </c>
      <c r="I39" s="41" t="n">
        <f aca="false">IF($B$19=4,$AO39,$B$18)</f>
        <v>12</v>
      </c>
      <c r="K39" s="40" t="n">
        <f aca="false">IF(K$28="nymex",0,VLOOKUP($A39,curvesettle,HLOOKUP(K$28,curvesettle,2,FALSE())))</f>
        <v>-0.02</v>
      </c>
      <c r="L39" s="131" t="n">
        <f aca="false">IF(ISNUMBER(VLOOKUP($A39,VOLCURVES,HLOOKUP(K$28,VOLCURVES,2,FALSE()),FALSE())),VLOOKUP($A39,VOLCURVES,HLOOKUP(K$28,VOLCURVES,2,FALSE()),FALSE()),1)</f>
        <v>1</v>
      </c>
      <c r="M39" s="136" t="n">
        <f aca="false">IF(K$28="NYMEX",$AG39,$AF39)</f>
        <v>-8886</v>
      </c>
      <c r="N39" s="153" t="e">
        <f aca="false">(($C39+O39)*$L39)+D$15</f>
        <v>#DIV/0!</v>
      </c>
      <c r="O39" s="4" t="e">
        <f aca="false">IF($D$16=1,VLOOKUP($A39,SkewTable,HLOOKUP(ROUND(P39-AZ39,1),SkewTable,2,FALSE()),FALSE())/100,0)</f>
        <v>#DIV/0!</v>
      </c>
      <c r="P39" s="41" t="n">
        <f aca="false">IF($D$19=4,$AZ39,$D$18)</f>
        <v>3.75</v>
      </c>
      <c r="R39" s="40" t="n">
        <f aca="false">IF(R$28="nymex",0,VLOOKUP($A39,curvesettle,HLOOKUP(R$28,curvesettle,2,FALSE())))</f>
        <v>-0.02</v>
      </c>
      <c r="S39" s="131" t="n">
        <f aca="false">IF(ISNUMBER(VLOOKUP($A39,VOLCURVES,HLOOKUP(R$28,VOLCURVES,2,FALSE()),FALSE())),VLOOKUP($A39,VOLCURVES,HLOOKUP(R$28,VOLCURVES,2,FALSE()),FALSE()),1)</f>
        <v>1</v>
      </c>
      <c r="T39" s="136" t="n">
        <f aca="false">IF(R$28="NYMEX",$AG39,$AF39)</f>
        <v>-8886</v>
      </c>
      <c r="U39" s="153" t="n">
        <f aca="false">(($C39+V39)*$S39)+F$15</f>
        <v>0.378600371875</v>
      </c>
      <c r="V39" s="4" t="n">
        <f aca="false">IF($F$16=1,VLOOKUP($A39,SkewTable,HLOOKUP(ROUND(W39-BK39,1),SkewTable,2,FALSE()),FALSE())/100,0)</f>
        <v>-0.013899628125</v>
      </c>
      <c r="W39" s="41" t="n">
        <f aca="false">IF($F$19=4,$BK39,$F$18)</f>
        <v>3.5</v>
      </c>
      <c r="X39" s="136"/>
      <c r="Y39" s="40" t="n">
        <f aca="false">IF(Y$28="nymex",0,VLOOKUP($A39,curvesettle,HLOOKUP(Y$28,curvesettle,2,FALSE())))</f>
        <v>-0.5375</v>
      </c>
      <c r="Z39" s="131" t="n">
        <f aca="false">IF(ISNUMBER(VLOOKUP($A39,VOLCURVES,HLOOKUP(Y$28,VOLCURVES,2,FALSE()),FALSE())),VLOOKUP($A39,VOLCURVES,HLOOKUP(Y$28,VOLCURVES,2,FALSE()),FALSE()),1)</f>
        <v>0.97</v>
      </c>
      <c r="AA39" s="136" t="n">
        <f aca="false">IF(Y$28="NYMEX",$AG39,$AF39)</f>
        <v>-8886</v>
      </c>
      <c r="AB39" s="4" t="n">
        <f aca="false">(($C39+AC39)*$Z39)+H$15</f>
        <v>0.36724236071875</v>
      </c>
      <c r="AC39" s="4" t="n">
        <f aca="false">IF($H$16=1,VLOOKUP($A39,SkewTable,HLOOKUP(ROUND(AD39-BV39,1),SkewTable,2,FALSE()),FALSE())/100,0)</f>
        <v>-0.013899628125</v>
      </c>
      <c r="AD39" s="41" t="n">
        <f aca="false">IF($H$19=4,$BV39,$H$18)</f>
        <v>3</v>
      </c>
      <c r="AF39" s="136" t="n">
        <f aca="false">VLOOKUP($A39,expiration,2,FALSE())-$B$2</f>
        <v>-8886</v>
      </c>
      <c r="AG39" s="136" t="n">
        <f aca="false">VLOOKUP($A39,expiration,3,FALSE())-$B$2</f>
        <v>-8890</v>
      </c>
      <c r="AH39" s="4" t="n">
        <f aca="false">VLOOKUP($A39,STRADDLE,12,FALSE())</f>
        <v>0.067932306764864</v>
      </c>
      <c r="AI39" s="43" t="n">
        <f aca="false">A40-A39</f>
        <v>30</v>
      </c>
      <c r="AL39" s="136"/>
      <c r="AM39" s="9"/>
      <c r="AN39" s="9" t="n">
        <f aca="false">IF($A39&gt;=AO$25,IF($A39&lt;=AO$26,$AI39,0),0)</f>
        <v>0</v>
      </c>
      <c r="AO39" s="9" t="e">
        <f aca="false">AQ39/AN39</f>
        <v>#DIV/0!</v>
      </c>
      <c r="AP39" s="1" t="n">
        <f aca="false">AN39*($B39+B$13)</f>
        <v>0</v>
      </c>
      <c r="AQ39" s="33" t="n">
        <f aca="false">IF(ISNUMBER(((AP39/AN39)+B$14+$D39)*AN39),((AP39/AN39)+B$14+$D39)*AN39,0)</f>
        <v>0</v>
      </c>
      <c r="AR39" s="44" t="n">
        <f aca="false">IF(AN39=0,0,bsd(1,AS$27,AO39,$I39,$F39,$G39,$AH39,0.1))</f>
        <v>0</v>
      </c>
      <c r="AS39" s="44" t="n">
        <f aca="false">IF(AN39=0,0,bsd(2,AS$27,AO39,$I39,$F39,$G39,$AH39,0.1))</f>
        <v>0</v>
      </c>
      <c r="AT39" s="44" t="n">
        <f aca="false">IF(AN39=0,0,bsd(AS$28,AS$27,AO39,$I39,$F39,$G39,$AH39,0.1))</f>
        <v>0</v>
      </c>
      <c r="AU39" s="45" t="n">
        <f aca="false">AN39*AR39</f>
        <v>0</v>
      </c>
      <c r="AV39" s="45" t="n">
        <f aca="false">AN39*AS39</f>
        <v>0</v>
      </c>
      <c r="AW39" s="45" t="n">
        <f aca="false">AN39*AT39</f>
        <v>0</v>
      </c>
      <c r="AY39" s="9" t="n">
        <f aca="false">IF($A39&gt;=AZ$25,IF($A39&lt;=AZ$26,$AI39,0),0)</f>
        <v>0</v>
      </c>
      <c r="AZ39" s="9" t="e">
        <f aca="false">BB39/AY39</f>
        <v>#DIV/0!</v>
      </c>
      <c r="BA39" s="1" t="n">
        <f aca="false">AY39*($B39+D$13)</f>
        <v>0</v>
      </c>
      <c r="BB39" s="33" t="n">
        <f aca="false">IF(ISNUMBER(((BA39/AY39)+D$14+$K39)*AY39),((BA39/AY39)+D$14+$K39)*AY39,0)</f>
        <v>0</v>
      </c>
      <c r="BC39" s="44" t="n">
        <f aca="false">IF(AY39=0,0,bsd(1,BD$27,AZ39,$P39,$M39,$N39,$AH39,0.1))</f>
        <v>0</v>
      </c>
      <c r="BD39" s="44" t="n">
        <f aca="false">IF(AY39=0,0,bsd(2,BD$27,AZ39,$P39,$M39,$N39,$AH39,0.1))</f>
        <v>0</v>
      </c>
      <c r="BE39" s="44" t="n">
        <f aca="false">IF(AY39=0,0,bsd(BD$28,BD$27,AZ39,$P39,$M39,$N39,$AH39,0.1))</f>
        <v>0</v>
      </c>
      <c r="BF39" s="45" t="n">
        <f aca="false">AY39*BC39</f>
        <v>0</v>
      </c>
      <c r="BG39" s="45" t="n">
        <f aca="false">AY39*BD39</f>
        <v>0</v>
      </c>
      <c r="BH39" s="45" t="n">
        <f aca="false">AY39*BE39</f>
        <v>0</v>
      </c>
      <c r="BJ39" s="9" t="n">
        <f aca="false">IF($A39&gt;=BK$25,IF($A39&lt;=BK$26,$AI39,0),0)</f>
        <v>30</v>
      </c>
      <c r="BK39" s="9" t="n">
        <f aca="false">BM39/BJ39</f>
        <v>4.42071428571429</v>
      </c>
      <c r="BL39" s="1" t="n">
        <f aca="false">BJ39*($B39+F$13)</f>
        <v>133.221428571429</v>
      </c>
      <c r="BM39" s="33" t="n">
        <f aca="false">IF(ISNUMBER(((BL39/BJ39)+F$14+$R39)*BJ39),((BL39/BJ39)+F$14+$R39)*BJ39,0)</f>
        <v>132.621428571429</v>
      </c>
      <c r="BN39" s="44" t="e">
        <f aca="false">IF(BJ39=0,0,bsd(1,BO$27,BK39,$W39,$T39,$U39,$AH39,0.1))</f>
        <v>#VALUE!</v>
      </c>
      <c r="BO39" s="44" t="e">
        <f aca="false">IF(BJ39=0,0,bsd(2,BO$27,BK39,$W39,$T39,$U39,$AH39,0.1))</f>
        <v>#VALUE!</v>
      </c>
      <c r="BP39" s="44" t="e">
        <f aca="false">IF(BJ39=0,0,bsd(BO$28,BO$27,BK39,$W39,$T39,$U39,$AH39,0.1))</f>
        <v>#VALUE!</v>
      </c>
      <c r="BQ39" s="45" t="e">
        <f aca="false">BJ39*BN39</f>
        <v>#VALUE!</v>
      </c>
      <c r="BR39" s="45" t="e">
        <f aca="false">BJ39*BO39</f>
        <v>#VALUE!</v>
      </c>
      <c r="BS39" s="45" t="e">
        <f aca="false">BJ39*BP39</f>
        <v>#VALUE!</v>
      </c>
      <c r="BU39" s="9" t="n">
        <f aca="false">IF($A39&gt;=BV$25,IF($A39&lt;=BV$26,$AI39,0),0)</f>
        <v>30</v>
      </c>
      <c r="BV39" s="9" t="n">
        <f aca="false">BX39/BU39</f>
        <v>3.90321428571429</v>
      </c>
      <c r="BW39" s="1" t="n">
        <f aca="false">BU39*($B39+H$13)</f>
        <v>133.221428571429</v>
      </c>
      <c r="BX39" s="33" t="n">
        <f aca="false">IF(ISNUMBER(((BW39/BU39)+H$14+$Y39)*BU39),((BW39/BU39)+H$14+$Y39)*BU39,0)</f>
        <v>117.096428571429</v>
      </c>
      <c r="BY39" s="44" t="e">
        <f aca="false">IF(BU39=0,0,bsd(1,BZ$27,BV39,$AD39,$AA39,$AB39,$AH39,0.1))</f>
        <v>#VALUE!</v>
      </c>
      <c r="BZ39" s="44" t="e">
        <f aca="false">IF(BU39=0,0,bsd(2,BZ$27,BV39,$AD39,$AA39,$AB39,$AH39,0.1))</f>
        <v>#VALUE!</v>
      </c>
      <c r="CA39" s="44" t="e">
        <f aca="false">IF(BU39=0,0,bsd(BZ$28,BZ$27,BV39,$AD39,$AA39,$AB39,$AH39,0.1))</f>
        <v>#VALUE!</v>
      </c>
      <c r="CB39" s="45" t="e">
        <f aca="false">BU39*BY39</f>
        <v>#VALUE!</v>
      </c>
      <c r="CC39" s="45" t="e">
        <f aca="false">BU39*BZ39</f>
        <v>#VALUE!</v>
      </c>
      <c r="CD39" s="45" t="e">
        <f aca="false">BU39*CA39</f>
        <v>#VALUE!</v>
      </c>
    </row>
    <row r="40" customFormat="false" ht="12.75" hidden="false" customHeight="false" outlineLevel="0" collapsed="false">
      <c r="A40" s="48" t="n">
        <f aca="false">DATE(YEAR(A39),MONTH(A39)+1,1)</f>
        <v>37073</v>
      </c>
      <c r="B40" s="40" t="n">
        <f aca="false">VLOOKUP(A40,STRADDLE,5,FALSE())</f>
        <v>4.42071428571429</v>
      </c>
      <c r="C40" s="4" t="n">
        <f aca="false">VLOOKUP(A40,STRADDLE,8,FALSE())</f>
        <v>0.3925</v>
      </c>
      <c r="D40" s="40" t="n">
        <f aca="false">IF(D$28="nymex",0,VLOOKUP($A40,curvesettle,HLOOKUP(D$28,curvesettle,2,FALSE())))</f>
        <v>0.46</v>
      </c>
      <c r="E40" s="131" t="n">
        <f aca="false">IF(ISNUMBER(VLOOKUP($A40,VOLCURVES,HLOOKUP(D$28,VOLCURVES,2,FALSE()),FALSE())),VLOOKUP($A40,VOLCURVES,HLOOKUP(D$28,VOLCURVES,2,FALSE()),FALSE()),1)</f>
        <v>0.98</v>
      </c>
      <c r="F40" s="136" t="n">
        <f aca="false">IF(D$28="NYMEX",$AG40,$AF40)</f>
        <v>-8857</v>
      </c>
      <c r="G40" s="4" t="e">
        <f aca="false">(($C40+H40)*$E40)+B$15</f>
        <v>#DIV/0!</v>
      </c>
      <c r="H40" s="4" t="e">
        <f aca="false">IF($B$16=1,VLOOKUP($A40,SkewTable,HLOOKUP(ROUND(I40-AO40,1),SkewTable,2,FALSE()),FALSE())/100,0)</f>
        <v>#DIV/0!</v>
      </c>
      <c r="I40" s="41" t="n">
        <f aca="false">IF($B$19=4,$AO40,$B$18)</f>
        <v>12</v>
      </c>
      <c r="K40" s="40" t="n">
        <f aca="false">IF(K$28="nymex",0,VLOOKUP($A40,curvesettle,HLOOKUP(K$28,curvesettle,2,FALSE())))</f>
        <v>-0.02</v>
      </c>
      <c r="L40" s="131" t="n">
        <f aca="false">IF(ISNUMBER(VLOOKUP($A40,VOLCURVES,HLOOKUP(K$28,VOLCURVES,2,FALSE()),FALSE())),VLOOKUP($A40,VOLCURVES,HLOOKUP(K$28,VOLCURVES,2,FALSE()),FALSE()),1)</f>
        <v>1</v>
      </c>
      <c r="M40" s="136" t="n">
        <f aca="false">IF(K$28="NYMEX",$AG40,$AF40)</f>
        <v>-8857</v>
      </c>
      <c r="N40" s="153" t="e">
        <f aca="false">(($C40+O40)*$L40)+D$15</f>
        <v>#DIV/0!</v>
      </c>
      <c r="O40" s="4" t="e">
        <f aca="false">IF($D$16=1,VLOOKUP($A40,SkewTable,HLOOKUP(ROUND(P40-AZ40,1),SkewTable,2,FALSE()),FALSE())/100,0)</f>
        <v>#DIV/0!</v>
      </c>
      <c r="P40" s="41" t="n">
        <f aca="false">IF($D$19=4,$AZ40,$D$18)</f>
        <v>3.75</v>
      </c>
      <c r="R40" s="40" t="n">
        <f aca="false">IF(R$28="nymex",0,VLOOKUP($A40,curvesettle,HLOOKUP(R$28,curvesettle,2,FALSE())))</f>
        <v>-0.02</v>
      </c>
      <c r="S40" s="131" t="n">
        <f aca="false">IF(ISNUMBER(VLOOKUP($A40,VOLCURVES,HLOOKUP(R$28,VOLCURVES,2,FALSE()),FALSE())),VLOOKUP($A40,VOLCURVES,HLOOKUP(R$28,VOLCURVES,2,FALSE()),FALSE()),1)</f>
        <v>1</v>
      </c>
      <c r="T40" s="136" t="n">
        <f aca="false">IF(R$28="NYMEX",$AG40,$AF40)</f>
        <v>-8857</v>
      </c>
      <c r="U40" s="153" t="e">
        <f aca="false">(($C40+V40)*$S40)+F$15</f>
        <v>#DIV/0!</v>
      </c>
      <c r="V40" s="4" t="e">
        <f aca="false">IF($F$16=1,VLOOKUP($A40,SkewTable,HLOOKUP(ROUND(W40-BK40,1),SkewTable,2,FALSE()),FALSE())/100,0)</f>
        <v>#DIV/0!</v>
      </c>
      <c r="W40" s="41" t="n">
        <f aca="false">IF($F$19=4,$BK40,$F$18)</f>
        <v>3.5</v>
      </c>
      <c r="X40" s="136"/>
      <c r="Y40" s="40" t="n">
        <f aca="false">IF(Y$28="nymex",0,VLOOKUP($A40,curvesettle,HLOOKUP(Y$28,curvesettle,2,FALSE())))</f>
        <v>-0.5725</v>
      </c>
      <c r="Z40" s="131" t="n">
        <f aca="false">IF(ISNUMBER(VLOOKUP($A40,VOLCURVES,HLOOKUP(Y$28,VOLCURVES,2,FALSE()),FALSE())),VLOOKUP($A40,VOLCURVES,HLOOKUP(Y$28,VOLCURVES,2,FALSE()),FALSE()),1)</f>
        <v>0.97</v>
      </c>
      <c r="AA40" s="136" t="n">
        <f aca="false">IF(Y$28="NYMEX",$AG40,$AF40)</f>
        <v>-8857</v>
      </c>
      <c r="AB40" s="4" t="n">
        <f aca="false">(($C40+AC40)*$Z40)+H$15</f>
        <v>0.367590774109375</v>
      </c>
      <c r="AC40" s="4" t="n">
        <f aca="false">IF($H$16=1,VLOOKUP($A40,SkewTable,HLOOKUP(ROUND(AD40-BV40,1),SkewTable,2,FALSE()),FALSE())/100,0)</f>
        <v>-0.0135404390625</v>
      </c>
      <c r="AD40" s="41" t="n">
        <f aca="false">IF($H$19=4,$BV40,$H$18)</f>
        <v>3</v>
      </c>
      <c r="AF40" s="136" t="n">
        <f aca="false">VLOOKUP($A40,expiration,2,FALSE())-$B$2</f>
        <v>-8857</v>
      </c>
      <c r="AG40" s="136" t="n">
        <f aca="false">VLOOKUP($A40,expiration,3,FALSE())-$B$2</f>
        <v>-8858</v>
      </c>
      <c r="AH40" s="4" t="n">
        <f aca="false">VLOOKUP($A40,STRADDLE,12,FALSE())</f>
        <v>0.067795554865608</v>
      </c>
      <c r="AI40" s="43" t="n">
        <f aca="false">A41-A40</f>
        <v>31</v>
      </c>
      <c r="AL40" s="136"/>
      <c r="AM40" s="9"/>
      <c r="AN40" s="9" t="n">
        <f aca="false">IF($A40&gt;=AO$25,IF($A40&lt;=AO$26,$AI40,0),0)</f>
        <v>0</v>
      </c>
      <c r="AO40" s="9" t="e">
        <f aca="false">AQ40/AN40</f>
        <v>#DIV/0!</v>
      </c>
      <c r="AP40" s="1" t="n">
        <f aca="false">AN40*($B40+B$13)</f>
        <v>0</v>
      </c>
      <c r="AQ40" s="33" t="n">
        <f aca="false">IF(ISNUMBER(((AP40/AN40)+B$14+$D40)*AN40),((AP40/AN40)+B$14+$D40)*AN40,0)</f>
        <v>0</v>
      </c>
      <c r="AR40" s="44" t="n">
        <f aca="false">IF(AN40=0,0,bsd(1,AS$27,AO40,$I40,$F40,$G40,$AH40,0.1))</f>
        <v>0</v>
      </c>
      <c r="AS40" s="44" t="n">
        <f aca="false">IF(AN40=0,0,bsd(2,AS$27,AO40,$I40,$F40,$G40,$AH40,0.1))</f>
        <v>0</v>
      </c>
      <c r="AT40" s="44" t="n">
        <f aca="false">IF(AN40=0,0,bsd(AS$28,AS$27,AO40,$I40,$F40,$G40,$AH40,0.1))</f>
        <v>0</v>
      </c>
      <c r="AU40" s="45" t="n">
        <f aca="false">AN40*AR40</f>
        <v>0</v>
      </c>
      <c r="AV40" s="45" t="n">
        <f aca="false">AN40*AS40</f>
        <v>0</v>
      </c>
      <c r="AW40" s="45" t="n">
        <f aca="false">AN40*AT40</f>
        <v>0</v>
      </c>
      <c r="AY40" s="9" t="n">
        <f aca="false">IF($A40&gt;=AZ$25,IF($A40&lt;=AZ$26,$AI40,0),0)</f>
        <v>0</v>
      </c>
      <c r="AZ40" s="9" t="e">
        <f aca="false">BB40/AY40</f>
        <v>#DIV/0!</v>
      </c>
      <c r="BA40" s="1" t="n">
        <f aca="false">AY40*($B40+D$13)</f>
        <v>0</v>
      </c>
      <c r="BB40" s="33" t="n">
        <f aca="false">IF(ISNUMBER(((BA40/AY40)+D$14+$K40)*AY40),((BA40/AY40)+D$14+$K40)*AY40,0)</f>
        <v>0</v>
      </c>
      <c r="BC40" s="44" t="n">
        <f aca="false">IF(AY40=0,0,bsd(1,BD$27,AZ40,$P40,$M40,$N40,$AH40,0.1))</f>
        <v>0</v>
      </c>
      <c r="BD40" s="44" t="n">
        <f aca="false">IF(AY40=0,0,bsd(2,BD$27,AZ40,$P40,$M40,$N40,$AH40,0.1))</f>
        <v>0</v>
      </c>
      <c r="BE40" s="44" t="n">
        <f aca="false">IF(AY40=0,0,bsd(BD$28,BD$27,AZ40,$P40,$M40,$N40,$AH40,0.1))</f>
        <v>0</v>
      </c>
      <c r="BF40" s="45" t="n">
        <f aca="false">AY40*BC40</f>
        <v>0</v>
      </c>
      <c r="BG40" s="45" t="n">
        <f aca="false">AY40*BD40</f>
        <v>0</v>
      </c>
      <c r="BH40" s="45" t="n">
        <f aca="false">AY40*BE40</f>
        <v>0</v>
      </c>
      <c r="BJ40" s="9" t="n">
        <f aca="false">IF($A40&gt;=BK$25,IF($A40&lt;=BK$26,$AI40,0),0)</f>
        <v>0</v>
      </c>
      <c r="BK40" s="9" t="e">
        <f aca="false">BM40/BJ40</f>
        <v>#DIV/0!</v>
      </c>
      <c r="BL40" s="1" t="n">
        <f aca="false">BJ40*($B40+F$13)</f>
        <v>0</v>
      </c>
      <c r="BM40" s="33" t="n">
        <f aca="false">IF(ISNUMBER(((BL40/BJ40)+F$14+$R40)*BJ40),((BL40/BJ40)+F$14+$R40)*BJ40,0)</f>
        <v>0</v>
      </c>
      <c r="BN40" s="44" t="n">
        <f aca="false">IF(BJ40=0,0,bsd(1,BO$27,BK40,$W40,$T40,$U40,$AH40,0.1))</f>
        <v>0</v>
      </c>
      <c r="BO40" s="44" t="n">
        <f aca="false">IF(BJ40=0,0,bsd(2,BO$27,BK40,$W40,$T40,$U40,$AH40,0.1))</f>
        <v>0</v>
      </c>
      <c r="BP40" s="44" t="n">
        <f aca="false">IF(BJ40=0,0,bsd(BO$28,BO$27,BK40,$W40,$T40,$U40,$AH40,0.1))</f>
        <v>0</v>
      </c>
      <c r="BQ40" s="45" t="n">
        <f aca="false">BJ40*BN40</f>
        <v>0</v>
      </c>
      <c r="BR40" s="45" t="n">
        <f aca="false">BJ40*BO40</f>
        <v>0</v>
      </c>
      <c r="BS40" s="45" t="n">
        <f aca="false">BJ40*BP40</f>
        <v>0</v>
      </c>
      <c r="BU40" s="9" t="n">
        <f aca="false">IF($A40&gt;=BV$25,IF($A40&lt;=BV$26,$AI40,0),0)</f>
        <v>31</v>
      </c>
      <c r="BV40" s="9" t="n">
        <f aca="false">BX40/BU40</f>
        <v>3.84821428571429</v>
      </c>
      <c r="BW40" s="1" t="n">
        <f aca="false">BU40*($B40+H$13)</f>
        <v>137.042142857143</v>
      </c>
      <c r="BX40" s="33" t="n">
        <f aca="false">IF(ISNUMBER(((BW40/BU40)+H$14+$Y40)*BU40),((BW40/BU40)+H$14+$Y40)*BU40,0)</f>
        <v>119.294642857143</v>
      </c>
      <c r="BY40" s="44" t="e">
        <f aca="false">IF(BU40=0,0,bsd(1,BZ$27,BV40,$AD40,$AA40,$AB40,$AH40,0.1))</f>
        <v>#VALUE!</v>
      </c>
      <c r="BZ40" s="44" t="e">
        <f aca="false">IF(BU40=0,0,bsd(2,BZ$27,BV40,$AD40,$AA40,$AB40,$AH40,0.1))</f>
        <v>#VALUE!</v>
      </c>
      <c r="CA40" s="44" t="e">
        <f aca="false">IF(BU40=0,0,bsd(BZ$28,BZ$27,BV40,$AD40,$AA40,$AB40,$AH40,0.1))</f>
        <v>#VALUE!</v>
      </c>
      <c r="CB40" s="45" t="e">
        <f aca="false">BU40*BY40</f>
        <v>#VALUE!</v>
      </c>
      <c r="CC40" s="45" t="e">
        <f aca="false">BU40*BZ40</f>
        <v>#VALUE!</v>
      </c>
      <c r="CD40" s="45" t="e">
        <f aca="false">BU40*CA40</f>
        <v>#VALUE!</v>
      </c>
    </row>
    <row r="41" customFormat="false" ht="12.75" hidden="false" customHeight="false" outlineLevel="0" collapsed="false">
      <c r="A41" s="48" t="n">
        <f aca="false">DATE(YEAR(A40),MONTH(A40)+1,1)</f>
        <v>37104</v>
      </c>
      <c r="B41" s="40" t="n">
        <f aca="false">VLOOKUP(A41,STRADDLE,5,FALSE())</f>
        <v>4.41071428571429</v>
      </c>
      <c r="C41" s="4" t="n">
        <f aca="false">VLOOKUP(A41,STRADDLE,8,FALSE())</f>
        <v>0.3925</v>
      </c>
      <c r="D41" s="40" t="n">
        <f aca="false">IF(D$28="nymex",0,VLOOKUP($A41,curvesettle,HLOOKUP(D$28,curvesettle,2,FALSE())))</f>
        <v>0.46</v>
      </c>
      <c r="E41" s="131" t="n">
        <f aca="false">IF(ISNUMBER(VLOOKUP($A41,VOLCURVES,HLOOKUP(D$28,VOLCURVES,2,FALSE()),FALSE())),VLOOKUP($A41,VOLCURVES,HLOOKUP(D$28,VOLCURVES,2,FALSE()),FALSE()),1)</f>
        <v>0.98</v>
      </c>
      <c r="F41" s="136" t="n">
        <f aca="false">IF(D$28="NYMEX",$AG41,$AF41)</f>
        <v>-8827</v>
      </c>
      <c r="G41" s="4" t="e">
        <f aca="false">(($C41+H41)*$E41)+B$15</f>
        <v>#DIV/0!</v>
      </c>
      <c r="H41" s="4" t="e">
        <f aca="false">IF($B$16=1,VLOOKUP($A41,SkewTable,HLOOKUP(ROUND(I41-AO41,1),SkewTable,2,FALSE()),FALSE())/100,0)</f>
        <v>#DIV/0!</v>
      </c>
      <c r="I41" s="41" t="n">
        <f aca="false">IF($B$19=4,$AO41,$B$18)</f>
        <v>12</v>
      </c>
      <c r="K41" s="40" t="n">
        <f aca="false">IF(K$28="nymex",0,VLOOKUP($A41,curvesettle,HLOOKUP(K$28,curvesettle,2,FALSE())))</f>
        <v>-0.02</v>
      </c>
      <c r="L41" s="131" t="n">
        <f aca="false">IF(ISNUMBER(VLOOKUP($A41,VOLCURVES,HLOOKUP(K$28,VOLCURVES,2,FALSE()),FALSE())),VLOOKUP($A41,VOLCURVES,HLOOKUP(K$28,VOLCURVES,2,FALSE()),FALSE()),1)</f>
        <v>1</v>
      </c>
      <c r="M41" s="136" t="n">
        <f aca="false">IF(K$28="NYMEX",$AG41,$AF41)</f>
        <v>-8827</v>
      </c>
      <c r="N41" s="153" t="e">
        <f aca="false">(($C41+O41)*$L41)+D$15</f>
        <v>#DIV/0!</v>
      </c>
      <c r="O41" s="4" t="e">
        <f aca="false">IF($D$16=1,VLOOKUP($A41,SkewTable,HLOOKUP(ROUND(P41-AZ41,1),SkewTable,2,FALSE()),FALSE())/100,0)</f>
        <v>#DIV/0!</v>
      </c>
      <c r="P41" s="41" t="n">
        <f aca="false">IF($D$19=4,$AZ41,$D$18)</f>
        <v>3.75</v>
      </c>
      <c r="R41" s="40" t="n">
        <f aca="false">IF(R$28="nymex",0,VLOOKUP($A41,curvesettle,HLOOKUP(R$28,curvesettle,2,FALSE())))</f>
        <v>-0.02</v>
      </c>
      <c r="S41" s="131" t="n">
        <f aca="false">IF(ISNUMBER(VLOOKUP($A41,VOLCURVES,HLOOKUP(R$28,VOLCURVES,2,FALSE()),FALSE())),VLOOKUP($A41,VOLCURVES,HLOOKUP(R$28,VOLCURVES,2,FALSE()),FALSE()),1)</f>
        <v>1</v>
      </c>
      <c r="T41" s="136" t="n">
        <f aca="false">IF(R$28="NYMEX",$AG41,$AF41)</f>
        <v>-8827</v>
      </c>
      <c r="U41" s="153" t="e">
        <f aca="false">(($C41+V41)*$S41)+F$15</f>
        <v>#DIV/0!</v>
      </c>
      <c r="V41" s="4" t="e">
        <f aca="false">IF($F$16=1,VLOOKUP($A41,SkewTable,HLOOKUP(ROUND(W41-BK41,1),SkewTable,2,FALSE()),FALSE())/100,0)</f>
        <v>#DIV/0!</v>
      </c>
      <c r="W41" s="41" t="n">
        <f aca="false">IF($F$19=4,$BK41,$F$18)</f>
        <v>3.5</v>
      </c>
      <c r="X41" s="136"/>
      <c r="Y41" s="40" t="n">
        <f aca="false">IF(Y$28="nymex",0,VLOOKUP($A41,curvesettle,HLOOKUP(Y$28,curvesettle,2,FALSE())))</f>
        <v>-0.5725</v>
      </c>
      <c r="Z41" s="131" t="n">
        <f aca="false">IF(ISNUMBER(VLOOKUP($A41,VOLCURVES,HLOOKUP(Y$28,VOLCURVES,2,FALSE()),FALSE())),VLOOKUP($A41,VOLCURVES,HLOOKUP(Y$28,VOLCURVES,2,FALSE()),FALSE()),1)</f>
        <v>0.97</v>
      </c>
      <c r="AA41" s="136" t="n">
        <f aca="false">IF(Y$28="NYMEX",$AG41,$AF41)</f>
        <v>-8827</v>
      </c>
      <c r="AB41" s="4" t="n">
        <f aca="false">(($C41+AC41)*$Z41)+H$15</f>
        <v>0.367590774109375</v>
      </c>
      <c r="AC41" s="4" t="n">
        <f aca="false">IF($H$16=1,VLOOKUP($A41,SkewTable,HLOOKUP(ROUND(AD41-BV41,1),SkewTable,2,FALSE()),FALSE())/100,0)</f>
        <v>-0.0135404390625</v>
      </c>
      <c r="AD41" s="41" t="n">
        <f aca="false">IF($H$19=4,$BV41,$H$18)</f>
        <v>3</v>
      </c>
      <c r="AF41" s="136" t="n">
        <f aca="false">VLOOKUP($A41,expiration,2,FALSE())-$B$2</f>
        <v>-8827</v>
      </c>
      <c r="AG41" s="136" t="n">
        <f aca="false">VLOOKUP($A41,expiration,3,FALSE())-$B$2</f>
        <v>-8828</v>
      </c>
      <c r="AH41" s="4" t="n">
        <f aca="false">VLOOKUP($A41,STRADDLE,12,FALSE())</f>
        <v>0.067695044006758</v>
      </c>
      <c r="AI41" s="43" t="n">
        <f aca="false">A42-A41</f>
        <v>31</v>
      </c>
      <c r="AL41" s="136"/>
      <c r="AM41" s="9"/>
      <c r="AN41" s="9" t="n">
        <f aca="false">IF($A41&gt;=AO$25,IF($A41&lt;=AO$26,$AI41,0),0)</f>
        <v>0</v>
      </c>
      <c r="AO41" s="9" t="e">
        <f aca="false">AQ41/AN41</f>
        <v>#DIV/0!</v>
      </c>
      <c r="AP41" s="1" t="n">
        <f aca="false">AN41*($B41+B$13)</f>
        <v>0</v>
      </c>
      <c r="AQ41" s="33" t="n">
        <f aca="false">IF(ISNUMBER(((AP41/AN41)+B$14+$D41)*AN41),((AP41/AN41)+B$14+$D41)*AN41,0)</f>
        <v>0</v>
      </c>
      <c r="AR41" s="44" t="n">
        <f aca="false">IF(AN41=0,0,bsd(1,AS$27,AO41,$I41,$F41,$G41,$AH41,0.1))</f>
        <v>0</v>
      </c>
      <c r="AS41" s="44" t="n">
        <f aca="false">IF(AN41=0,0,bsd(2,AS$27,AO41,$I41,$F41,$G41,$AH41,0.1))</f>
        <v>0</v>
      </c>
      <c r="AT41" s="44" t="n">
        <f aca="false">IF(AN41=0,0,bsd(AS$28,AS$27,AO41,$I41,$F41,$G41,$AH41,0.1))</f>
        <v>0</v>
      </c>
      <c r="AU41" s="45" t="n">
        <f aca="false">AN41*AR41</f>
        <v>0</v>
      </c>
      <c r="AV41" s="45" t="n">
        <f aca="false">AN41*AS41</f>
        <v>0</v>
      </c>
      <c r="AW41" s="45" t="n">
        <f aca="false">AN41*AT41</f>
        <v>0</v>
      </c>
      <c r="AY41" s="9" t="n">
        <f aca="false">IF($A41&gt;=AZ$25,IF($A41&lt;=AZ$26,$AI41,0),0)</f>
        <v>0</v>
      </c>
      <c r="AZ41" s="9" t="e">
        <f aca="false">BB41/AY41</f>
        <v>#DIV/0!</v>
      </c>
      <c r="BA41" s="1" t="n">
        <f aca="false">AY41*($B41+D$13)</f>
        <v>0</v>
      </c>
      <c r="BB41" s="33" t="n">
        <f aca="false">IF(ISNUMBER(((BA41/AY41)+D$14+$K41)*AY41),((BA41/AY41)+D$14+$K41)*AY41,0)</f>
        <v>0</v>
      </c>
      <c r="BC41" s="44" t="n">
        <f aca="false">IF(AY41=0,0,bsd(1,BD$27,AZ41,$P41,$M41,$N41,$AH41,0.1))</f>
        <v>0</v>
      </c>
      <c r="BD41" s="44" t="n">
        <f aca="false">IF(AY41=0,0,bsd(2,BD$27,AZ41,$P41,$M41,$N41,$AH41,0.1))</f>
        <v>0</v>
      </c>
      <c r="BE41" s="44" t="n">
        <f aca="false">IF(AY41=0,0,bsd(BD$28,BD$27,AZ41,$P41,$M41,$N41,$AH41,0.1))</f>
        <v>0</v>
      </c>
      <c r="BF41" s="45" t="n">
        <f aca="false">AY41*BC41</f>
        <v>0</v>
      </c>
      <c r="BG41" s="45" t="n">
        <f aca="false">AY41*BD41</f>
        <v>0</v>
      </c>
      <c r="BH41" s="45" t="n">
        <f aca="false">AY41*BE41</f>
        <v>0</v>
      </c>
      <c r="BJ41" s="9" t="n">
        <f aca="false">IF($A41&gt;=BK$25,IF($A41&lt;=BK$26,$AI41,0),0)</f>
        <v>0</v>
      </c>
      <c r="BK41" s="9" t="e">
        <f aca="false">BM41/BJ41</f>
        <v>#DIV/0!</v>
      </c>
      <c r="BL41" s="1" t="n">
        <f aca="false">BJ41*($B41+F$13)</f>
        <v>0</v>
      </c>
      <c r="BM41" s="33" t="n">
        <f aca="false">IF(ISNUMBER(((BL41/BJ41)+F$14+$R41)*BJ41),((BL41/BJ41)+F$14+$R41)*BJ41,0)</f>
        <v>0</v>
      </c>
      <c r="BN41" s="44" t="n">
        <f aca="false">IF(BJ41=0,0,bsd(1,BO$27,BK41,$W41,$T41,$U41,$AH41,0.1))</f>
        <v>0</v>
      </c>
      <c r="BO41" s="44" t="n">
        <f aca="false">IF(BJ41=0,0,bsd(2,BO$27,BK41,$W41,$T41,$U41,$AH41,0.1))</f>
        <v>0</v>
      </c>
      <c r="BP41" s="44" t="n">
        <f aca="false">IF(BJ41=0,0,bsd(BO$28,BO$27,BK41,$W41,$T41,$U41,$AH41,0.1))</f>
        <v>0</v>
      </c>
      <c r="BQ41" s="45" t="n">
        <f aca="false">BJ41*BN41</f>
        <v>0</v>
      </c>
      <c r="BR41" s="45" t="n">
        <f aca="false">BJ41*BO41</f>
        <v>0</v>
      </c>
      <c r="BS41" s="45" t="n">
        <f aca="false">BJ41*BP41</f>
        <v>0</v>
      </c>
      <c r="BU41" s="9" t="n">
        <f aca="false">IF($A41&gt;=BV$25,IF($A41&lt;=BV$26,$AI41,0),0)</f>
        <v>31</v>
      </c>
      <c r="BV41" s="9" t="n">
        <f aca="false">BX41/BU41</f>
        <v>3.83821428571429</v>
      </c>
      <c r="BW41" s="1" t="n">
        <f aca="false">BU41*($B41+H$13)</f>
        <v>136.732142857143</v>
      </c>
      <c r="BX41" s="33" t="n">
        <f aca="false">IF(ISNUMBER(((BW41/BU41)+H$14+$Y41)*BU41),((BW41/BU41)+H$14+$Y41)*BU41,0)</f>
        <v>118.984642857143</v>
      </c>
      <c r="BY41" s="44" t="e">
        <f aca="false">IF(BU41=0,0,bsd(1,BZ$27,BV41,$AD41,$AA41,$AB41,$AH41,0.1))</f>
        <v>#VALUE!</v>
      </c>
      <c r="BZ41" s="44" t="e">
        <f aca="false">IF(BU41=0,0,bsd(2,BZ$27,BV41,$AD41,$AA41,$AB41,$AH41,0.1))</f>
        <v>#VALUE!</v>
      </c>
      <c r="CA41" s="44" t="e">
        <f aca="false">IF(BU41=0,0,bsd(BZ$28,BZ$27,BV41,$AD41,$AA41,$AB41,$AH41,0.1))</f>
        <v>#VALUE!</v>
      </c>
      <c r="CB41" s="45" t="e">
        <f aca="false">BU41*BY41</f>
        <v>#VALUE!</v>
      </c>
      <c r="CC41" s="45" t="e">
        <f aca="false">BU41*BZ41</f>
        <v>#VALUE!</v>
      </c>
      <c r="CD41" s="45" t="e">
        <f aca="false">BU41*CA41</f>
        <v>#VALUE!</v>
      </c>
    </row>
    <row r="42" customFormat="false" ht="12.75" hidden="false" customHeight="false" outlineLevel="0" collapsed="false">
      <c r="A42" s="48" t="n">
        <f aca="false">DATE(YEAR(A41),MONTH(A41)+1,1)</f>
        <v>37135</v>
      </c>
      <c r="B42" s="40" t="n">
        <f aca="false">VLOOKUP(A42,STRADDLE,5,FALSE())</f>
        <v>4.39071428571429</v>
      </c>
      <c r="C42" s="4" t="n">
        <f aca="false">VLOOKUP(A42,STRADDLE,8,FALSE())</f>
        <v>0.395</v>
      </c>
      <c r="D42" s="40" t="n">
        <f aca="false">IF(D$28="nymex",0,VLOOKUP($A42,curvesettle,HLOOKUP(D$28,curvesettle,2,FALSE())))</f>
        <v>0.395</v>
      </c>
      <c r="E42" s="131" t="n">
        <f aca="false">IF(ISNUMBER(VLOOKUP($A42,VOLCURVES,HLOOKUP(D$28,VOLCURVES,2,FALSE()),FALSE())),VLOOKUP($A42,VOLCURVES,HLOOKUP(D$28,VOLCURVES,2,FALSE()),FALSE()),1)</f>
        <v>0.98</v>
      </c>
      <c r="F42" s="136" t="n">
        <f aca="false">IF(D$28="NYMEX",$AG42,$AF42)</f>
        <v>-8794</v>
      </c>
      <c r="G42" s="4" t="e">
        <f aca="false">(($C42+H42)*$E42)+B$15</f>
        <v>#DIV/0!</v>
      </c>
      <c r="H42" s="4" t="e">
        <f aca="false">IF($B$16=1,VLOOKUP($A42,SkewTable,HLOOKUP(ROUND(I42-AO42,1),SkewTable,2,FALSE()),FALSE())/100,0)</f>
        <v>#DIV/0!</v>
      </c>
      <c r="I42" s="41" t="n">
        <f aca="false">IF($B$19=4,$AO42,$B$18)</f>
        <v>12</v>
      </c>
      <c r="K42" s="40" t="n">
        <f aca="false">IF(K$28="nymex",0,VLOOKUP($A42,curvesettle,HLOOKUP(K$28,curvesettle,2,FALSE())))</f>
        <v>-0.02</v>
      </c>
      <c r="L42" s="131" t="n">
        <f aca="false">IF(ISNUMBER(VLOOKUP($A42,VOLCURVES,HLOOKUP(K$28,VOLCURVES,2,FALSE()),FALSE())),VLOOKUP($A42,VOLCURVES,HLOOKUP(K$28,VOLCURVES,2,FALSE()),FALSE()),1)</f>
        <v>1</v>
      </c>
      <c r="M42" s="136" t="n">
        <f aca="false">IF(K$28="NYMEX",$AG42,$AF42)</f>
        <v>-8794</v>
      </c>
      <c r="N42" s="153" t="e">
        <f aca="false">(($C42+O42)*$L42)+D$15</f>
        <v>#DIV/0!</v>
      </c>
      <c r="O42" s="4" t="e">
        <f aca="false">IF($D$16=1,VLOOKUP($A42,SkewTable,HLOOKUP(ROUND(P42-AZ42,1),SkewTable,2,FALSE()),FALSE())/100,0)</f>
        <v>#DIV/0!</v>
      </c>
      <c r="P42" s="41" t="n">
        <f aca="false">IF($D$19=4,$AZ42,$D$18)</f>
        <v>3.75</v>
      </c>
      <c r="R42" s="40" t="n">
        <f aca="false">IF(R$28="nymex",0,VLOOKUP($A42,curvesettle,HLOOKUP(R$28,curvesettle,2,FALSE())))</f>
        <v>-0.02</v>
      </c>
      <c r="S42" s="131" t="n">
        <f aca="false">IF(ISNUMBER(VLOOKUP($A42,VOLCURVES,HLOOKUP(R$28,VOLCURVES,2,FALSE()),FALSE())),VLOOKUP($A42,VOLCURVES,HLOOKUP(R$28,VOLCURVES,2,FALSE()),FALSE()),1)</f>
        <v>1</v>
      </c>
      <c r="T42" s="136" t="n">
        <f aca="false">IF(R$28="NYMEX",$AG42,$AF42)</f>
        <v>-8794</v>
      </c>
      <c r="U42" s="153" t="e">
        <f aca="false">(($C42+V42)*$S42)+F$15</f>
        <v>#DIV/0!</v>
      </c>
      <c r="V42" s="4" t="e">
        <f aca="false">IF($F$16=1,VLOOKUP($A42,SkewTable,HLOOKUP(ROUND(W42-BK42,1),SkewTable,2,FALSE()),FALSE())/100,0)</f>
        <v>#DIV/0!</v>
      </c>
      <c r="W42" s="41" t="n">
        <f aca="false">IF($F$19=4,$BK42,$F$18)</f>
        <v>3.5</v>
      </c>
      <c r="X42" s="136"/>
      <c r="Y42" s="40" t="n">
        <f aca="false">IF(Y$28="nymex",0,VLOOKUP($A42,curvesettle,HLOOKUP(Y$28,curvesettle,2,FALSE())))</f>
        <v>-0.5725</v>
      </c>
      <c r="Z42" s="131" t="n">
        <f aca="false">IF(ISNUMBER(VLOOKUP($A42,VOLCURVES,HLOOKUP(Y$28,VOLCURVES,2,FALSE()),FALSE())),VLOOKUP($A42,VOLCURVES,HLOOKUP(Y$28,VOLCURVES,2,FALSE()),FALSE()),1)</f>
        <v>0.97</v>
      </c>
      <c r="AA42" s="136" t="n">
        <f aca="false">IF(Y$28="NYMEX",$AG42,$AF42)</f>
        <v>-8794</v>
      </c>
      <c r="AB42" s="4" t="n">
        <f aca="false">(($C42+AC42)*$Z42)+H$15</f>
        <v>0.370015774109375</v>
      </c>
      <c r="AC42" s="4" t="n">
        <f aca="false">IF($H$16=1,VLOOKUP($A42,SkewTable,HLOOKUP(ROUND(AD42-BV42,1),SkewTable,2,FALSE()),FALSE())/100,0)</f>
        <v>-0.0135404390625</v>
      </c>
      <c r="AD42" s="41" t="n">
        <f aca="false">IF($H$19=4,$BV42,$H$18)</f>
        <v>3</v>
      </c>
      <c r="AF42" s="136" t="n">
        <f aca="false">VLOOKUP($A42,expiration,2,FALSE())-$B$2</f>
        <v>-8794</v>
      </c>
      <c r="AG42" s="136" t="n">
        <f aca="false">VLOOKUP($A42,expiration,3,FALSE())-$B$2</f>
        <v>-8795</v>
      </c>
      <c r="AH42" s="4" t="n">
        <f aca="false">VLOOKUP($A42,STRADDLE,12,FALSE())</f>
        <v>0.067594533151252</v>
      </c>
      <c r="AI42" s="43" t="n">
        <f aca="false">A43-A42</f>
        <v>30</v>
      </c>
      <c r="AL42" s="136"/>
      <c r="AM42" s="9"/>
      <c r="AN42" s="9" t="n">
        <f aca="false">IF($A42&gt;=AO$25,IF($A42&lt;=AO$26,$AI42,0),0)</f>
        <v>0</v>
      </c>
      <c r="AO42" s="9" t="e">
        <f aca="false">AQ42/AN42</f>
        <v>#DIV/0!</v>
      </c>
      <c r="AP42" s="1" t="n">
        <f aca="false">AN42*($B42+B$13)</f>
        <v>0</v>
      </c>
      <c r="AQ42" s="33" t="n">
        <f aca="false">IF(ISNUMBER(((AP42/AN42)+B$14+$D42)*AN42),((AP42/AN42)+B$14+$D42)*AN42,0)</f>
        <v>0</v>
      </c>
      <c r="AR42" s="44" t="n">
        <f aca="false">IF(AN42=0,0,bsd(1,AS$27,AO42,$I42,$F42,$G42,$AH42,0.1))</f>
        <v>0</v>
      </c>
      <c r="AS42" s="44" t="n">
        <f aca="false">IF(AN42=0,0,bsd(2,AS$27,AO42,$I42,$F42,$G42,$AH42,0.1))</f>
        <v>0</v>
      </c>
      <c r="AT42" s="44" t="n">
        <f aca="false">IF(AN42=0,0,bsd(AS$28,AS$27,AO42,$I42,$F42,$G42,$AH42,0.1))</f>
        <v>0</v>
      </c>
      <c r="AU42" s="45" t="n">
        <f aca="false">AN42*AR42</f>
        <v>0</v>
      </c>
      <c r="AV42" s="45" t="n">
        <f aca="false">AN42*AS42</f>
        <v>0</v>
      </c>
      <c r="AW42" s="45" t="n">
        <f aca="false">AN42*AT42</f>
        <v>0</v>
      </c>
      <c r="AY42" s="9" t="n">
        <f aca="false">IF($A42&gt;=AZ$25,IF($A42&lt;=AZ$26,$AI42,0),0)</f>
        <v>0</v>
      </c>
      <c r="AZ42" s="9" t="e">
        <f aca="false">BB42/AY42</f>
        <v>#DIV/0!</v>
      </c>
      <c r="BA42" s="1" t="n">
        <f aca="false">AY42*($B42+D$13)</f>
        <v>0</v>
      </c>
      <c r="BB42" s="33" t="n">
        <f aca="false">IF(ISNUMBER(((BA42/AY42)+D$14+$K42)*AY42),((BA42/AY42)+D$14+$K42)*AY42,0)</f>
        <v>0</v>
      </c>
      <c r="BC42" s="44" t="n">
        <f aca="false">IF(AY42=0,0,bsd(1,BD$27,AZ42,$P42,$M42,$N42,$AH42,0.1))</f>
        <v>0</v>
      </c>
      <c r="BD42" s="44" t="n">
        <f aca="false">IF(AY42=0,0,bsd(2,BD$27,AZ42,$P42,$M42,$N42,$AH42,0.1))</f>
        <v>0</v>
      </c>
      <c r="BE42" s="44" t="n">
        <f aca="false">IF(AY42=0,0,bsd(BD$28,BD$27,AZ42,$P42,$M42,$N42,$AH42,0.1))</f>
        <v>0</v>
      </c>
      <c r="BF42" s="45" t="n">
        <f aca="false">AY42*BC42</f>
        <v>0</v>
      </c>
      <c r="BG42" s="45" t="n">
        <f aca="false">AY42*BD42</f>
        <v>0</v>
      </c>
      <c r="BH42" s="45" t="n">
        <f aca="false">AY42*BE42</f>
        <v>0</v>
      </c>
      <c r="BJ42" s="9" t="n">
        <f aca="false">IF($A42&gt;=BK$25,IF($A42&lt;=BK$26,$AI42,0),0)</f>
        <v>0</v>
      </c>
      <c r="BK42" s="9" t="e">
        <f aca="false">BM42/BJ42</f>
        <v>#DIV/0!</v>
      </c>
      <c r="BL42" s="1" t="n">
        <f aca="false">BJ42*($B42+F$13)</f>
        <v>0</v>
      </c>
      <c r="BM42" s="33" t="n">
        <f aca="false">IF(ISNUMBER(((BL42/BJ42)+F$14+$R42)*BJ42),((BL42/BJ42)+F$14+$R42)*BJ42,0)</f>
        <v>0</v>
      </c>
      <c r="BN42" s="44" t="n">
        <f aca="false">IF(BJ42=0,0,bsd(1,BO$27,BK42,$W42,$T42,$U42,$AH42,0.1))</f>
        <v>0</v>
      </c>
      <c r="BO42" s="44" t="n">
        <f aca="false">IF(BJ42=0,0,bsd(2,BO$27,BK42,$W42,$T42,$U42,$AH42,0.1))</f>
        <v>0</v>
      </c>
      <c r="BP42" s="44" t="n">
        <f aca="false">IF(BJ42=0,0,bsd(BO$28,BO$27,BK42,$W42,$T42,$U42,$AH42,0.1))</f>
        <v>0</v>
      </c>
      <c r="BQ42" s="45" t="n">
        <f aca="false">BJ42*BN42</f>
        <v>0</v>
      </c>
      <c r="BR42" s="45" t="n">
        <f aca="false">BJ42*BO42</f>
        <v>0</v>
      </c>
      <c r="BS42" s="45" t="n">
        <f aca="false">BJ42*BP42</f>
        <v>0</v>
      </c>
      <c r="BU42" s="9" t="n">
        <f aca="false">IF($A42&gt;=BV$25,IF($A42&lt;=BV$26,$AI42,0),0)</f>
        <v>30</v>
      </c>
      <c r="BV42" s="9" t="n">
        <f aca="false">BX42/BU42</f>
        <v>3.81821428571429</v>
      </c>
      <c r="BW42" s="1" t="n">
        <f aca="false">BU42*($B42+H$13)</f>
        <v>131.721428571429</v>
      </c>
      <c r="BX42" s="33" t="n">
        <f aca="false">IF(ISNUMBER(((BW42/BU42)+H$14+$Y42)*BU42),((BW42/BU42)+H$14+$Y42)*BU42,0)</f>
        <v>114.546428571429</v>
      </c>
      <c r="BY42" s="44" t="e">
        <f aca="false">IF(BU42=0,0,bsd(1,BZ$27,BV42,$AD42,$AA42,$AB42,$AH42,0.1))</f>
        <v>#VALUE!</v>
      </c>
      <c r="BZ42" s="44" t="e">
        <f aca="false">IF(BU42=0,0,bsd(2,BZ$27,BV42,$AD42,$AA42,$AB42,$AH42,0.1))</f>
        <v>#VALUE!</v>
      </c>
      <c r="CA42" s="44" t="e">
        <f aca="false">IF(BU42=0,0,bsd(BZ$28,BZ$27,BV42,$AD42,$AA42,$AB42,$AH42,0.1))</f>
        <v>#VALUE!</v>
      </c>
      <c r="CB42" s="45" t="e">
        <f aca="false">BU42*BY42</f>
        <v>#VALUE!</v>
      </c>
      <c r="CC42" s="45" t="e">
        <f aca="false">BU42*BZ42</f>
        <v>#VALUE!</v>
      </c>
      <c r="CD42" s="45" t="e">
        <f aca="false">BU42*CA42</f>
        <v>#VALUE!</v>
      </c>
    </row>
    <row r="43" customFormat="false" ht="12.75" hidden="false" customHeight="false" outlineLevel="0" collapsed="false">
      <c r="A43" s="48" t="n">
        <f aca="false">DATE(YEAR(A42),MONTH(A42)+1,1)</f>
        <v>37165</v>
      </c>
      <c r="B43" s="40" t="n">
        <f aca="false">VLOOKUP(A43,STRADDLE,5,FALSE())</f>
        <v>4.38071428571429</v>
      </c>
      <c r="C43" s="4" t="n">
        <f aca="false">VLOOKUP(A43,STRADDLE,8,FALSE())</f>
        <v>0.4025</v>
      </c>
      <c r="D43" s="40" t="n">
        <f aca="false">IF(D$28="nymex",0,VLOOKUP($A43,curvesettle,HLOOKUP(D$28,curvesettle,2,FALSE())))</f>
        <v>0.461</v>
      </c>
      <c r="E43" s="131" t="n">
        <f aca="false">IF(ISNUMBER(VLOOKUP($A43,VOLCURVES,HLOOKUP(D$28,VOLCURVES,2,FALSE()),FALSE())),VLOOKUP($A43,VOLCURVES,HLOOKUP(D$28,VOLCURVES,2,FALSE()),FALSE()),1)</f>
        <v>0.98</v>
      </c>
      <c r="F43" s="136" t="n">
        <f aca="false">IF(D$28="NYMEX",$AG43,$AF43)</f>
        <v>-8766</v>
      </c>
      <c r="G43" s="4" t="e">
        <f aca="false">(($C43+H43)*$E43)+B$15</f>
        <v>#DIV/0!</v>
      </c>
      <c r="H43" s="4" t="e">
        <f aca="false">IF($B$16=1,VLOOKUP($A43,SkewTable,HLOOKUP(ROUND(I43-AO43,1),SkewTable,2,FALSE()),FALSE())/100,0)</f>
        <v>#DIV/0!</v>
      </c>
      <c r="I43" s="41" t="n">
        <f aca="false">IF($B$19=4,$AO43,$B$18)</f>
        <v>12</v>
      </c>
      <c r="K43" s="40" t="n">
        <f aca="false">IF(K$28="nymex",0,VLOOKUP($A43,curvesettle,HLOOKUP(K$28,curvesettle,2,FALSE())))</f>
        <v>-0.02</v>
      </c>
      <c r="L43" s="131" t="n">
        <f aca="false">IF(ISNUMBER(VLOOKUP($A43,VOLCURVES,HLOOKUP(K$28,VOLCURVES,2,FALSE()),FALSE())),VLOOKUP($A43,VOLCURVES,HLOOKUP(K$28,VOLCURVES,2,FALSE()),FALSE()),1)</f>
        <v>1</v>
      </c>
      <c r="M43" s="136" t="n">
        <f aca="false">IF(K$28="NYMEX",$AG43,$AF43)</f>
        <v>-8766</v>
      </c>
      <c r="N43" s="153" t="e">
        <f aca="false">(($C43+O43)*$L43)+D$15</f>
        <v>#DIV/0!</v>
      </c>
      <c r="O43" s="4" t="e">
        <f aca="false">IF($D$16=1,VLOOKUP($A43,SkewTable,HLOOKUP(ROUND(P43-AZ43,1),SkewTable,2,FALSE()),FALSE())/100,0)</f>
        <v>#DIV/0!</v>
      </c>
      <c r="P43" s="41" t="n">
        <f aca="false">IF($D$19=4,$AZ43,$D$18)</f>
        <v>3.75</v>
      </c>
      <c r="R43" s="40" t="n">
        <f aca="false">IF(R$28="nymex",0,VLOOKUP($A43,curvesettle,HLOOKUP(R$28,curvesettle,2,FALSE())))</f>
        <v>-0.02</v>
      </c>
      <c r="S43" s="131" t="n">
        <f aca="false">IF(ISNUMBER(VLOOKUP($A43,VOLCURVES,HLOOKUP(R$28,VOLCURVES,2,FALSE()),FALSE())),VLOOKUP($A43,VOLCURVES,HLOOKUP(R$28,VOLCURVES,2,FALSE()),FALSE()),1)</f>
        <v>1</v>
      </c>
      <c r="T43" s="136" t="n">
        <f aca="false">IF(R$28="NYMEX",$AG43,$AF43)</f>
        <v>-8766</v>
      </c>
      <c r="U43" s="153" t="e">
        <f aca="false">(($C43+V43)*$S43)+F$15</f>
        <v>#DIV/0!</v>
      </c>
      <c r="V43" s="4" t="e">
        <f aca="false">IF($F$16=1,VLOOKUP($A43,SkewTable,HLOOKUP(ROUND(W43-BK43,1),SkewTable,2,FALSE()),FALSE())/100,0)</f>
        <v>#DIV/0!</v>
      </c>
      <c r="W43" s="41" t="n">
        <f aca="false">IF($F$19=4,$BK43,$F$18)</f>
        <v>3.5</v>
      </c>
      <c r="X43" s="136"/>
      <c r="Y43" s="40" t="n">
        <f aca="false">IF(Y$28="nymex",0,VLOOKUP($A43,curvesettle,HLOOKUP(Y$28,curvesettle,2,FALSE())))</f>
        <v>-0.5725</v>
      </c>
      <c r="Z43" s="131" t="n">
        <f aca="false">IF(ISNUMBER(VLOOKUP($A43,VOLCURVES,HLOOKUP(Y$28,VOLCURVES,2,FALSE()),FALSE())),VLOOKUP($A43,VOLCURVES,HLOOKUP(Y$28,VOLCURVES,2,FALSE()),FALSE()),1)</f>
        <v>0.97</v>
      </c>
      <c r="AA43" s="136" t="n">
        <f aca="false">IF(Y$28="NYMEX",$AG43,$AF43)</f>
        <v>-8766</v>
      </c>
      <c r="AB43" s="4" t="n">
        <f aca="false">(($C43+AC43)*$Z43)+H$15</f>
        <v>0.377290774109375</v>
      </c>
      <c r="AC43" s="4" t="n">
        <f aca="false">IF($H$16=1,VLOOKUP($A43,SkewTable,HLOOKUP(ROUND(AD43-BV43,1),SkewTable,2,FALSE()),FALSE())/100,0)</f>
        <v>-0.0135404390625</v>
      </c>
      <c r="AD43" s="41" t="n">
        <f aca="false">IF($H$19=4,$BV43,$H$18)</f>
        <v>3</v>
      </c>
      <c r="AF43" s="136" t="n">
        <f aca="false">VLOOKUP($A43,expiration,2,FALSE())-$B$2</f>
        <v>-8766</v>
      </c>
      <c r="AG43" s="136" t="n">
        <f aca="false">VLOOKUP($A43,expiration,3,FALSE())-$B$2</f>
        <v>-8767</v>
      </c>
      <c r="AH43" s="4" t="n">
        <f aca="false">VLOOKUP($A43,STRADDLE,12,FALSE())</f>
        <v>0.067509261584356</v>
      </c>
      <c r="AI43" s="43" t="n">
        <f aca="false">A44-A43</f>
        <v>31</v>
      </c>
      <c r="AL43" s="136"/>
      <c r="AM43" s="9"/>
      <c r="AN43" s="9" t="n">
        <f aca="false">IF($A43&gt;=AO$25,IF($A43&lt;=AO$26,$AI43,0),0)</f>
        <v>0</v>
      </c>
      <c r="AO43" s="9" t="e">
        <f aca="false">AQ43/AN43</f>
        <v>#DIV/0!</v>
      </c>
      <c r="AP43" s="1" t="n">
        <f aca="false">AN43*($B43+B$13)</f>
        <v>0</v>
      </c>
      <c r="AQ43" s="33" t="n">
        <f aca="false">IF(ISNUMBER(((AP43/AN43)+B$14+$D43)*AN43),((AP43/AN43)+B$14+$D43)*AN43,0)</f>
        <v>0</v>
      </c>
      <c r="AR43" s="44" t="n">
        <f aca="false">IF(AN43=0,0,bsd(1,AS$27,AO43,$I43,$F43,$G43,$AH43,0.1))</f>
        <v>0</v>
      </c>
      <c r="AS43" s="44" t="n">
        <f aca="false">IF(AN43=0,0,bsd(2,AS$27,AO43,$I43,$F43,$G43,$AH43,0.1))</f>
        <v>0</v>
      </c>
      <c r="AT43" s="44" t="n">
        <f aca="false">IF(AN43=0,0,bsd(AS$28,AS$27,AO43,$I43,$F43,$G43,$AH43,0.1))</f>
        <v>0</v>
      </c>
      <c r="AU43" s="45" t="n">
        <f aca="false">AN43*AR43</f>
        <v>0</v>
      </c>
      <c r="AV43" s="45" t="n">
        <f aca="false">AN43*AS43</f>
        <v>0</v>
      </c>
      <c r="AW43" s="45" t="n">
        <f aca="false">AN43*AT43</f>
        <v>0</v>
      </c>
      <c r="AY43" s="9" t="n">
        <f aca="false">IF($A43&gt;=AZ$25,IF($A43&lt;=AZ$26,$AI43,0),0)</f>
        <v>0</v>
      </c>
      <c r="AZ43" s="9" t="e">
        <f aca="false">BB43/AY43</f>
        <v>#DIV/0!</v>
      </c>
      <c r="BA43" s="1" t="n">
        <f aca="false">AY43*($B43+D$13)</f>
        <v>0</v>
      </c>
      <c r="BB43" s="33" t="n">
        <f aca="false">IF(ISNUMBER(((BA43/AY43)+D$14+$K43)*AY43),((BA43/AY43)+D$14+$K43)*AY43,0)</f>
        <v>0</v>
      </c>
      <c r="BC43" s="44" t="n">
        <f aca="false">IF(AY43=0,0,bsd(1,BD$27,AZ43,$P43,$M43,$N43,$AH43,0.1))</f>
        <v>0</v>
      </c>
      <c r="BD43" s="44" t="n">
        <f aca="false">IF(AY43=0,0,bsd(2,BD$27,AZ43,$P43,$M43,$N43,$AH43,0.1))</f>
        <v>0</v>
      </c>
      <c r="BE43" s="44" t="n">
        <f aca="false">IF(AY43=0,0,bsd(BD$28,BD$27,AZ43,$P43,$M43,$N43,$AH43,0.1))</f>
        <v>0</v>
      </c>
      <c r="BF43" s="45" t="n">
        <f aca="false">AY43*BC43</f>
        <v>0</v>
      </c>
      <c r="BG43" s="45" t="n">
        <f aca="false">AY43*BD43</f>
        <v>0</v>
      </c>
      <c r="BH43" s="45" t="n">
        <f aca="false">AY43*BE43</f>
        <v>0</v>
      </c>
      <c r="BJ43" s="9" t="n">
        <f aca="false">IF($A43&gt;=BK$25,IF($A43&lt;=BK$26,$AI43,0),0)</f>
        <v>0</v>
      </c>
      <c r="BK43" s="9" t="e">
        <f aca="false">BM43/BJ43</f>
        <v>#DIV/0!</v>
      </c>
      <c r="BL43" s="1" t="n">
        <f aca="false">BJ43*($B43+F$13)</f>
        <v>0</v>
      </c>
      <c r="BM43" s="33" t="n">
        <f aca="false">IF(ISNUMBER(((BL43/BJ43)+F$14+$R43)*BJ43),((BL43/BJ43)+F$14+$R43)*BJ43,0)</f>
        <v>0</v>
      </c>
      <c r="BN43" s="44" t="n">
        <f aca="false">IF(BJ43=0,0,bsd(1,BO$27,BK43,$W43,$T43,$U43,$AH43,0.1))</f>
        <v>0</v>
      </c>
      <c r="BO43" s="44" t="n">
        <f aca="false">IF(BJ43=0,0,bsd(2,BO$27,BK43,$W43,$T43,$U43,$AH43,0.1))</f>
        <v>0</v>
      </c>
      <c r="BP43" s="44" t="n">
        <f aca="false">IF(BJ43=0,0,bsd(BO$28,BO$27,BK43,$W43,$T43,$U43,$AH43,0.1))</f>
        <v>0</v>
      </c>
      <c r="BQ43" s="45" t="n">
        <f aca="false">BJ43*BN43</f>
        <v>0</v>
      </c>
      <c r="BR43" s="45" t="n">
        <f aca="false">BJ43*BO43</f>
        <v>0</v>
      </c>
      <c r="BS43" s="45" t="n">
        <f aca="false">BJ43*BP43</f>
        <v>0</v>
      </c>
      <c r="BU43" s="9" t="n">
        <f aca="false">IF($A43&gt;=BV$25,IF($A43&lt;=BV$26,$AI43,0),0)</f>
        <v>31</v>
      </c>
      <c r="BV43" s="9" t="n">
        <f aca="false">BX43/BU43</f>
        <v>3.80821428571429</v>
      </c>
      <c r="BW43" s="1" t="n">
        <f aca="false">BU43*($B43+H$13)</f>
        <v>135.802142857143</v>
      </c>
      <c r="BX43" s="33" t="n">
        <f aca="false">IF(ISNUMBER(((BW43/BU43)+H$14+$Y43)*BU43),((BW43/BU43)+H$14+$Y43)*BU43,0)</f>
        <v>118.054642857143</v>
      </c>
      <c r="BY43" s="44" t="e">
        <f aca="false">IF(BU43=0,0,bsd(1,BZ$27,BV43,$AD43,$AA43,$AB43,$AH43,0.1))</f>
        <v>#VALUE!</v>
      </c>
      <c r="BZ43" s="44" t="e">
        <f aca="false">IF(BU43=0,0,bsd(2,BZ$27,BV43,$AD43,$AA43,$AB43,$AH43,0.1))</f>
        <v>#VALUE!</v>
      </c>
      <c r="CA43" s="44" t="e">
        <f aca="false">IF(BU43=0,0,bsd(BZ$28,BZ$27,BV43,$AD43,$AA43,$AB43,$AH43,0.1))</f>
        <v>#VALUE!</v>
      </c>
      <c r="CB43" s="45" t="e">
        <f aca="false">BU43*BY43</f>
        <v>#VALUE!</v>
      </c>
      <c r="CC43" s="45" t="e">
        <f aca="false">BU43*BZ43</f>
        <v>#VALUE!</v>
      </c>
      <c r="CD43" s="45" t="e">
        <f aca="false">BU43*CA43</f>
        <v>#VALUE!</v>
      </c>
    </row>
    <row r="44" customFormat="false" ht="12.75" hidden="false" customHeight="false" outlineLevel="0" collapsed="false">
      <c r="A44" s="48" t="n">
        <f aca="false">DATE(YEAR(A43),MONTH(A43)+1,1)</f>
        <v>37196</v>
      </c>
      <c r="B44" s="40" t="n">
        <f aca="false">VLOOKUP(A44,STRADDLE,5,FALSE())</f>
        <v>4.486</v>
      </c>
      <c r="C44" s="4" t="n">
        <f aca="false">VLOOKUP(A44,STRADDLE,8,FALSE())</f>
        <v>0.4075</v>
      </c>
      <c r="D44" s="40" t="n">
        <f aca="false">IF(D$28="nymex",0,VLOOKUP($A44,curvesettle,HLOOKUP(D$28,curvesettle,2,FALSE())))</f>
        <v>1.19</v>
      </c>
      <c r="E44" s="131" t="n">
        <f aca="false">IF(ISNUMBER(VLOOKUP($A44,VOLCURVES,HLOOKUP(D$28,VOLCURVES,2,FALSE()),FALSE())),VLOOKUP($A44,VOLCURVES,HLOOKUP(D$28,VOLCURVES,2,FALSE()),FALSE()),1)</f>
        <v>1.1</v>
      </c>
      <c r="F44" s="136" t="n">
        <f aca="false">IF(D$28="NYMEX",$AG44,$AF44)</f>
        <v>-8733</v>
      </c>
      <c r="G44" s="4" t="e">
        <f aca="false">(($C44+H44)*$E44)+B$15</f>
        <v>#DIV/0!</v>
      </c>
      <c r="H44" s="4" t="e">
        <f aca="false">IF($B$16=1,VLOOKUP($A44,SkewTable,HLOOKUP(ROUND(I44-AO44,1),SkewTable,2,FALSE()),FALSE())/100,0)</f>
        <v>#DIV/0!</v>
      </c>
      <c r="I44" s="41" t="n">
        <f aca="false">IF($B$19=4,$AO44,$B$18)</f>
        <v>12</v>
      </c>
      <c r="K44" s="40" t="n">
        <f aca="false">IF(K$28="nymex",0,VLOOKUP($A44,curvesettle,HLOOKUP(K$28,curvesettle,2,FALSE())))</f>
        <v>-0.0215</v>
      </c>
      <c r="L44" s="131" t="n">
        <f aca="false">IF(ISNUMBER(VLOOKUP($A44,VOLCURVES,HLOOKUP(K$28,VOLCURVES,2,FALSE()),FALSE())),VLOOKUP($A44,VOLCURVES,HLOOKUP(K$28,VOLCURVES,2,FALSE()),FALSE()),1)</f>
        <v>1</v>
      </c>
      <c r="M44" s="136" t="n">
        <f aca="false">IF(K$28="NYMEX",$AG44,$AF44)</f>
        <v>-8733</v>
      </c>
      <c r="N44" s="153" t="e">
        <f aca="false">(($C44+O44)*$L44)+D$15</f>
        <v>#DIV/0!</v>
      </c>
      <c r="O44" s="4" t="e">
        <f aca="false">IF($D$16=1,VLOOKUP($A44,SkewTable,HLOOKUP(ROUND(P44-AZ44,1),SkewTable,2,FALSE()),FALSE())/100,0)</f>
        <v>#DIV/0!</v>
      </c>
      <c r="P44" s="41" t="n">
        <f aca="false">IF($D$19=4,$AZ44,$D$18)</f>
        <v>3.75</v>
      </c>
      <c r="R44" s="40" t="n">
        <f aca="false">IF(R$28="nymex",0,VLOOKUP($A44,curvesettle,HLOOKUP(R$28,curvesettle,2,FALSE())))</f>
        <v>-0.0215</v>
      </c>
      <c r="S44" s="131" t="n">
        <f aca="false">IF(ISNUMBER(VLOOKUP($A44,VOLCURVES,HLOOKUP(R$28,VOLCURVES,2,FALSE()),FALSE())),VLOOKUP($A44,VOLCURVES,HLOOKUP(R$28,VOLCURVES,2,FALSE()),FALSE()),1)</f>
        <v>1</v>
      </c>
      <c r="T44" s="136" t="n">
        <f aca="false">IF(R$28="NYMEX",$AG44,$AF44)</f>
        <v>-8733</v>
      </c>
      <c r="U44" s="153" t="e">
        <f aca="false">(($C44+V44)*$S44)+F$15</f>
        <v>#DIV/0!</v>
      </c>
      <c r="V44" s="4" t="e">
        <f aca="false">IF($F$16=1,VLOOKUP($A44,SkewTable,HLOOKUP(ROUND(W44-BK44,1),SkewTable,2,FALSE()),FALSE())/100,0)</f>
        <v>#DIV/0!</v>
      </c>
      <c r="W44" s="41" t="n">
        <f aca="false">IF($F$19=4,$BK44,$F$18)</f>
        <v>3.5</v>
      </c>
      <c r="X44" s="136"/>
      <c r="Y44" s="40" t="n">
        <f aca="false">IF(Y$28="nymex",0,VLOOKUP($A44,curvesettle,HLOOKUP(Y$28,curvesettle,2,FALSE())))</f>
        <v>-0.33</v>
      </c>
      <c r="Z44" s="131" t="n">
        <f aca="false">IF(ISNUMBER(VLOOKUP($A44,VOLCURVES,HLOOKUP(Y$28,VOLCURVES,2,FALSE()),FALSE())),VLOOKUP($A44,VOLCURVES,HLOOKUP(Y$28,VOLCURVES,2,FALSE()),FALSE()),1)</f>
        <v>0.97</v>
      </c>
      <c r="AA44" s="136" t="n">
        <f aca="false">IF(Y$28="NYMEX",$AG44,$AF44)</f>
        <v>-8733</v>
      </c>
      <c r="AB44" s="4" t="n">
        <f aca="false">(($C44+AC44)*$Z44)+H$15</f>
        <v>0.383607123966006</v>
      </c>
      <c r="AC44" s="4" t="n">
        <f aca="false">IF($H$16=1,VLOOKUP($A44,SkewTable,HLOOKUP(ROUND(AD44-BV44,1),SkewTable,2,FALSE()),FALSE())/100,0)</f>
        <v>-0.012028738179375</v>
      </c>
      <c r="AD44" s="41" t="n">
        <f aca="false">IF($H$19=4,$BV44,$H$18)</f>
        <v>3</v>
      </c>
      <c r="AF44" s="136" t="n">
        <f aca="false">VLOOKUP($A44,expiration,2,FALSE())-$B$2</f>
        <v>-8733</v>
      </c>
      <c r="AG44" s="136" t="n">
        <f aca="false">VLOOKUP($A44,expiration,3,FALSE())-$B$2</f>
        <v>-8736</v>
      </c>
      <c r="AH44" s="4" t="n">
        <f aca="false">VLOOKUP($A44,STRADDLE,12,FALSE())</f>
        <v>0.067440746905213</v>
      </c>
      <c r="AI44" s="43" t="n">
        <f aca="false">A45-A44</f>
        <v>30</v>
      </c>
      <c r="AL44" s="136"/>
      <c r="AM44" s="9"/>
      <c r="AN44" s="9" t="n">
        <f aca="false">IF($A44&gt;=AO$25,IF($A44&lt;=AO$26,$AI44,0),0)</f>
        <v>0</v>
      </c>
      <c r="AO44" s="9" t="e">
        <f aca="false">AQ44/AN44</f>
        <v>#DIV/0!</v>
      </c>
      <c r="AP44" s="1" t="n">
        <f aca="false">AN44*($B44+B$13)</f>
        <v>0</v>
      </c>
      <c r="AQ44" s="33" t="n">
        <f aca="false">IF(ISNUMBER(((AP44/AN44)+B$14+$D44)*AN44),((AP44/AN44)+B$14+$D44)*AN44,0)</f>
        <v>0</v>
      </c>
      <c r="AR44" s="44" t="n">
        <f aca="false">IF(AN44=0,0,bsd(1,AS$27,AO44,$I44,$F44,$G44,$AH44,0.1))</f>
        <v>0</v>
      </c>
      <c r="AS44" s="44" t="n">
        <f aca="false">IF(AN44=0,0,bsd(2,AS$27,AO44,$I44,$F44,$G44,$AH44,0.1))</f>
        <v>0</v>
      </c>
      <c r="AT44" s="44" t="n">
        <f aca="false">IF(AN44=0,0,bsd(AS$28,AS$27,AO44,$I44,$F44,$G44,$AH44,0.1))</f>
        <v>0</v>
      </c>
      <c r="AU44" s="45" t="n">
        <f aca="false">AN44*AR44</f>
        <v>0</v>
      </c>
      <c r="AV44" s="45" t="n">
        <f aca="false">AN44*AS44</f>
        <v>0</v>
      </c>
      <c r="AW44" s="45" t="n">
        <f aca="false">AN44*AT44</f>
        <v>0</v>
      </c>
      <c r="AY44" s="9" t="n">
        <f aca="false">IF($A44&gt;=AZ$25,IF($A44&lt;=AZ$26,$AI44,0),0)</f>
        <v>0</v>
      </c>
      <c r="AZ44" s="9" t="e">
        <f aca="false">BB44/AY44</f>
        <v>#DIV/0!</v>
      </c>
      <c r="BA44" s="1" t="n">
        <f aca="false">AY44*($B44+D$13)</f>
        <v>0</v>
      </c>
      <c r="BB44" s="33" t="n">
        <f aca="false">IF(ISNUMBER(((BA44/AY44)+D$14+$K44)*AY44),((BA44/AY44)+D$14+$K44)*AY44,0)</f>
        <v>0</v>
      </c>
      <c r="BC44" s="44" t="n">
        <f aca="false">IF(AY44=0,0,bsd(1,BD$27,AZ44,$P44,$M44,$N44,$AH44,0.1))</f>
        <v>0</v>
      </c>
      <c r="BD44" s="44" t="n">
        <f aca="false">IF(AY44=0,0,bsd(2,BD$27,AZ44,$P44,$M44,$N44,$AH44,0.1))</f>
        <v>0</v>
      </c>
      <c r="BE44" s="44" t="n">
        <f aca="false">IF(AY44=0,0,bsd(BD$28,BD$27,AZ44,$P44,$M44,$N44,$AH44,0.1))</f>
        <v>0</v>
      </c>
      <c r="BF44" s="45" t="n">
        <f aca="false">AY44*BC44</f>
        <v>0</v>
      </c>
      <c r="BG44" s="45" t="n">
        <f aca="false">AY44*BD44</f>
        <v>0</v>
      </c>
      <c r="BH44" s="45" t="n">
        <f aca="false">AY44*BE44</f>
        <v>0</v>
      </c>
      <c r="BJ44" s="9" t="n">
        <f aca="false">IF($A44&gt;=BK$25,IF($A44&lt;=BK$26,$AI44,0),0)</f>
        <v>0</v>
      </c>
      <c r="BK44" s="9" t="e">
        <f aca="false">BM44/BJ44</f>
        <v>#DIV/0!</v>
      </c>
      <c r="BL44" s="1" t="n">
        <f aca="false">BJ44*($B44+F$13)</f>
        <v>0</v>
      </c>
      <c r="BM44" s="33" t="n">
        <f aca="false">IF(ISNUMBER(((BL44/BJ44)+F$14+$R44)*BJ44),((BL44/BJ44)+F$14+$R44)*BJ44,0)</f>
        <v>0</v>
      </c>
      <c r="BN44" s="44" t="n">
        <f aca="false">IF(BJ44=0,0,bsd(1,BO$27,BK44,$W44,$T44,$U44,$AH44,0.1))</f>
        <v>0</v>
      </c>
      <c r="BO44" s="44" t="n">
        <f aca="false">IF(BJ44=0,0,bsd(2,BO$27,BK44,$W44,$T44,$U44,$AH44,0.1))</f>
        <v>0</v>
      </c>
      <c r="BP44" s="44" t="n">
        <f aca="false">IF(BJ44=0,0,bsd(BO$28,BO$27,BK44,$W44,$T44,$U44,$AH44,0.1))</f>
        <v>0</v>
      </c>
      <c r="BQ44" s="45" t="n">
        <f aca="false">BJ44*BN44</f>
        <v>0</v>
      </c>
      <c r="BR44" s="45" t="n">
        <f aca="false">BJ44*BO44</f>
        <v>0</v>
      </c>
      <c r="BS44" s="45" t="n">
        <f aca="false">BJ44*BP44</f>
        <v>0</v>
      </c>
      <c r="BU44" s="9" t="n">
        <f aca="false">IF($A44&gt;=BV$25,IF($A44&lt;=BV$26,$AI44,0),0)</f>
        <v>30</v>
      </c>
      <c r="BV44" s="9" t="n">
        <f aca="false">BX44/BU44</f>
        <v>4.156</v>
      </c>
      <c r="BW44" s="1" t="n">
        <f aca="false">BU44*($B44+H$13)</f>
        <v>134.58</v>
      </c>
      <c r="BX44" s="33" t="n">
        <f aca="false">IF(ISNUMBER(((BW44/BU44)+H$14+$Y44)*BU44),((BW44/BU44)+H$14+$Y44)*BU44,0)</f>
        <v>124.68</v>
      </c>
      <c r="BY44" s="44" t="e">
        <f aca="false">IF(BU44=0,0,bsd(1,BZ$27,BV44,$AD44,$AA44,$AB44,$AH44,0.1))</f>
        <v>#VALUE!</v>
      </c>
      <c r="BZ44" s="44" t="e">
        <f aca="false">IF(BU44=0,0,bsd(2,BZ$27,BV44,$AD44,$AA44,$AB44,$AH44,0.1))</f>
        <v>#VALUE!</v>
      </c>
      <c r="CA44" s="44" t="e">
        <f aca="false">IF(BU44=0,0,bsd(BZ$28,BZ$27,BV44,$AD44,$AA44,$AB44,$AH44,0.1))</f>
        <v>#VALUE!</v>
      </c>
      <c r="CB44" s="45" t="e">
        <f aca="false">BU44*BY44</f>
        <v>#VALUE!</v>
      </c>
      <c r="CC44" s="45" t="e">
        <f aca="false">BU44*BZ44</f>
        <v>#VALUE!</v>
      </c>
      <c r="CD44" s="45" t="e">
        <f aca="false">BU44*CA44</f>
        <v>#VALUE!</v>
      </c>
    </row>
    <row r="45" customFormat="false" ht="12.75" hidden="false" customHeight="false" outlineLevel="0" collapsed="false">
      <c r="A45" s="48" t="n">
        <f aca="false">DATE(YEAR(A44),MONTH(A44)+1,1)</f>
        <v>37226</v>
      </c>
      <c r="B45" s="40" t="n">
        <f aca="false">VLOOKUP(A45,STRADDLE,5,FALSE())</f>
        <v>4.581</v>
      </c>
      <c r="C45" s="4" t="n">
        <f aca="false">VLOOKUP(A45,STRADDLE,8,FALSE())</f>
        <v>0.4125</v>
      </c>
      <c r="D45" s="40" t="n">
        <f aca="false">IF(D$28="nymex",0,VLOOKUP($A45,curvesettle,HLOOKUP(D$28,curvesettle,2,FALSE())))</f>
        <v>1.61</v>
      </c>
      <c r="E45" s="131" t="n">
        <f aca="false">IF(ISNUMBER(VLOOKUP($A45,VOLCURVES,HLOOKUP(D$28,VOLCURVES,2,FALSE()),FALSE())),VLOOKUP($A45,VOLCURVES,HLOOKUP(D$28,VOLCURVES,2,FALSE()),FALSE()),1)</f>
        <v>1.1</v>
      </c>
      <c r="F45" s="136" t="n">
        <f aca="false">IF(D$28="NYMEX",$AG45,$AF45)</f>
        <v>-8703</v>
      </c>
      <c r="G45" s="4" t="e">
        <f aca="false">(($C45+H45)*$E45)+B$15</f>
        <v>#DIV/0!</v>
      </c>
      <c r="H45" s="4" t="e">
        <f aca="false">IF($B$16=1,VLOOKUP($A45,SkewTable,HLOOKUP(ROUND(I45-AO45,1),SkewTable,2,FALSE()),FALSE())/100,0)</f>
        <v>#DIV/0!</v>
      </c>
      <c r="I45" s="41" t="n">
        <f aca="false">IF($B$19=4,$AO45,$B$18)</f>
        <v>12</v>
      </c>
      <c r="K45" s="40" t="n">
        <f aca="false">IF(K$28="nymex",0,VLOOKUP($A45,curvesettle,HLOOKUP(K$28,curvesettle,2,FALSE())))</f>
        <v>-0.0215</v>
      </c>
      <c r="L45" s="131" t="n">
        <f aca="false">IF(ISNUMBER(VLOOKUP($A45,VOLCURVES,HLOOKUP(K$28,VOLCURVES,2,FALSE()),FALSE())),VLOOKUP($A45,VOLCURVES,HLOOKUP(K$28,VOLCURVES,2,FALSE()),FALSE()),1)</f>
        <v>1</v>
      </c>
      <c r="M45" s="136" t="n">
        <f aca="false">IF(K$28="NYMEX",$AG45,$AF45)</f>
        <v>-8703</v>
      </c>
      <c r="N45" s="153" t="e">
        <f aca="false">(($C45+O45)*$L45)+D$15</f>
        <v>#DIV/0!</v>
      </c>
      <c r="O45" s="4" t="e">
        <f aca="false">IF($D$16=1,VLOOKUP($A45,SkewTable,HLOOKUP(ROUND(P45-AZ45,1),SkewTable,2,FALSE()),FALSE())/100,0)</f>
        <v>#DIV/0!</v>
      </c>
      <c r="P45" s="41" t="n">
        <f aca="false">IF($D$19=4,$AZ45,$D$18)</f>
        <v>3.75</v>
      </c>
      <c r="R45" s="40" t="n">
        <f aca="false">IF(R$28="nymex",0,VLOOKUP($A45,curvesettle,HLOOKUP(R$28,curvesettle,2,FALSE())))</f>
        <v>-0.0215</v>
      </c>
      <c r="S45" s="131" t="n">
        <f aca="false">IF(ISNUMBER(VLOOKUP($A45,VOLCURVES,HLOOKUP(R$28,VOLCURVES,2,FALSE()),FALSE())),VLOOKUP($A45,VOLCURVES,HLOOKUP(R$28,VOLCURVES,2,FALSE()),FALSE()),1)</f>
        <v>1</v>
      </c>
      <c r="T45" s="136" t="n">
        <f aca="false">IF(R$28="NYMEX",$AG45,$AF45)</f>
        <v>-8703</v>
      </c>
      <c r="U45" s="153" t="e">
        <f aca="false">(($C45+V45)*$S45)+F$15</f>
        <v>#DIV/0!</v>
      </c>
      <c r="V45" s="4" t="e">
        <f aca="false">IF($F$16=1,VLOOKUP($A45,SkewTable,HLOOKUP(ROUND(W45-BK45,1),SkewTable,2,FALSE()),FALSE())/100,0)</f>
        <v>#DIV/0!</v>
      </c>
      <c r="W45" s="41" t="n">
        <f aca="false">IF($F$19=4,$BK45,$F$18)</f>
        <v>3.5</v>
      </c>
      <c r="X45" s="136"/>
      <c r="Y45" s="40" t="n">
        <f aca="false">IF(Y$28="nymex",0,VLOOKUP($A45,curvesettle,HLOOKUP(Y$28,curvesettle,2,FALSE())))</f>
        <v>-0.33</v>
      </c>
      <c r="Z45" s="131" t="n">
        <f aca="false">IF(ISNUMBER(VLOOKUP($A45,VOLCURVES,HLOOKUP(Y$28,VOLCURVES,2,FALSE()),FALSE())),VLOOKUP($A45,VOLCURVES,HLOOKUP(Y$28,VOLCURVES,2,FALSE()),FALSE()),1)</f>
        <v>0.97</v>
      </c>
      <c r="AA45" s="136" t="n">
        <f aca="false">IF(Y$28="NYMEX",$AG45,$AF45)</f>
        <v>-8703</v>
      </c>
      <c r="AB45" s="4" t="n">
        <f aca="false">(($C45+AC45)*$Z45)+H$15</f>
        <v>0.388163202429675</v>
      </c>
      <c r="AC45" s="4" t="n">
        <f aca="false">IF($H$16=1,VLOOKUP($A45,SkewTable,HLOOKUP(ROUND(AD45-BV45,1),SkewTable,2,FALSE()),FALSE())/100,0)</f>
        <v>-0.0123317500725</v>
      </c>
      <c r="AD45" s="41" t="n">
        <f aca="false">IF($H$19=4,$BV45,$H$18)</f>
        <v>3</v>
      </c>
      <c r="AF45" s="136" t="n">
        <f aca="false">VLOOKUP($A45,expiration,2,FALSE())-$B$2</f>
        <v>-8703</v>
      </c>
      <c r="AG45" s="136" t="n">
        <f aca="false">VLOOKUP($A45,expiration,3,FALSE())-$B$2</f>
        <v>-8704</v>
      </c>
      <c r="AH45" s="4" t="n">
        <f aca="false">VLOOKUP($A45,STRADDLE,12,FALSE())</f>
        <v>0.06737444237849</v>
      </c>
      <c r="AI45" s="43" t="n">
        <f aca="false">A46-A45</f>
        <v>31</v>
      </c>
      <c r="AL45" s="136"/>
      <c r="AM45" s="9"/>
      <c r="AN45" s="9" t="n">
        <f aca="false">IF($A45&gt;=AO$25,IF($A45&lt;=AO$26,$AI45,0),0)</f>
        <v>0</v>
      </c>
      <c r="AO45" s="9" t="e">
        <f aca="false">AQ45/AN45</f>
        <v>#DIV/0!</v>
      </c>
      <c r="AP45" s="1" t="n">
        <f aca="false">AN45*($B45+B$13)</f>
        <v>0</v>
      </c>
      <c r="AQ45" s="33" t="n">
        <f aca="false">IF(ISNUMBER(((AP45/AN45)+B$14+$D45)*AN45),((AP45/AN45)+B$14+$D45)*AN45,0)</f>
        <v>0</v>
      </c>
      <c r="AR45" s="44" t="n">
        <f aca="false">IF(AN45=0,0,bsd(1,AS$27,AO45,$I45,$F45,$G45,$AH45,0.1))</f>
        <v>0</v>
      </c>
      <c r="AS45" s="44" t="n">
        <f aca="false">IF(AN45=0,0,bsd(2,AS$27,AO45,$I45,$F45,$G45,$AH45,0.1))</f>
        <v>0</v>
      </c>
      <c r="AT45" s="44" t="n">
        <f aca="false">IF(AN45=0,0,bsd(AS$28,AS$27,AO45,$I45,$F45,$G45,$AH45,0.1))</f>
        <v>0</v>
      </c>
      <c r="AU45" s="45" t="n">
        <f aca="false">AN45*AR45</f>
        <v>0</v>
      </c>
      <c r="AV45" s="45" t="n">
        <f aca="false">AN45*AS45</f>
        <v>0</v>
      </c>
      <c r="AW45" s="45" t="n">
        <f aca="false">AN45*AT45</f>
        <v>0</v>
      </c>
      <c r="AY45" s="9" t="n">
        <f aca="false">IF($A45&gt;=AZ$25,IF($A45&lt;=AZ$26,$AI45,0),0)</f>
        <v>0</v>
      </c>
      <c r="AZ45" s="9" t="e">
        <f aca="false">BB45/AY45</f>
        <v>#DIV/0!</v>
      </c>
      <c r="BA45" s="1" t="n">
        <f aca="false">AY45*($B45+D$13)</f>
        <v>0</v>
      </c>
      <c r="BB45" s="33" t="n">
        <f aca="false">IF(ISNUMBER(((BA45/AY45)+D$14+$K45)*AY45),((BA45/AY45)+D$14+$K45)*AY45,0)</f>
        <v>0</v>
      </c>
      <c r="BC45" s="44" t="n">
        <f aca="false">IF(AY45=0,0,bsd(1,BD$27,AZ45,$P45,$M45,$N45,$AH45,0.1))</f>
        <v>0</v>
      </c>
      <c r="BD45" s="44" t="n">
        <f aca="false">IF(AY45=0,0,bsd(2,BD$27,AZ45,$P45,$M45,$N45,$AH45,0.1))</f>
        <v>0</v>
      </c>
      <c r="BE45" s="44" t="n">
        <f aca="false">IF(AY45=0,0,bsd(BD$28,BD$27,AZ45,$P45,$M45,$N45,$AH45,0.1))</f>
        <v>0</v>
      </c>
      <c r="BF45" s="45" t="n">
        <f aca="false">AY45*BC45</f>
        <v>0</v>
      </c>
      <c r="BG45" s="45" t="n">
        <f aca="false">AY45*BD45</f>
        <v>0</v>
      </c>
      <c r="BH45" s="45" t="n">
        <f aca="false">AY45*BE45</f>
        <v>0</v>
      </c>
      <c r="BJ45" s="9" t="n">
        <f aca="false">IF($A45&gt;=BK$25,IF($A45&lt;=BK$26,$AI45,0),0)</f>
        <v>0</v>
      </c>
      <c r="BK45" s="9" t="e">
        <f aca="false">BM45/BJ45</f>
        <v>#DIV/0!</v>
      </c>
      <c r="BL45" s="1" t="n">
        <f aca="false">BJ45*($B45+F$13)</f>
        <v>0</v>
      </c>
      <c r="BM45" s="33" t="n">
        <f aca="false">IF(ISNUMBER(((BL45/BJ45)+F$14+$R45)*BJ45),((BL45/BJ45)+F$14+$R45)*BJ45,0)</f>
        <v>0</v>
      </c>
      <c r="BN45" s="44" t="n">
        <f aca="false">IF(BJ45=0,0,bsd(1,BO$27,BK45,$W45,$T45,$U45,$AH45,0.1))</f>
        <v>0</v>
      </c>
      <c r="BO45" s="44" t="n">
        <f aca="false">IF(BJ45=0,0,bsd(2,BO$27,BK45,$W45,$T45,$U45,$AH45,0.1))</f>
        <v>0</v>
      </c>
      <c r="BP45" s="44" t="n">
        <f aca="false">IF(BJ45=0,0,bsd(BO$28,BO$27,BK45,$W45,$T45,$U45,$AH45,0.1))</f>
        <v>0</v>
      </c>
      <c r="BQ45" s="45" t="n">
        <f aca="false">BJ45*BN45</f>
        <v>0</v>
      </c>
      <c r="BR45" s="45" t="n">
        <f aca="false">BJ45*BO45</f>
        <v>0</v>
      </c>
      <c r="BS45" s="45" t="n">
        <f aca="false">BJ45*BP45</f>
        <v>0</v>
      </c>
      <c r="BU45" s="9" t="n">
        <f aca="false">IF($A45&gt;=BV$25,IF($A45&lt;=BV$26,$AI45,0),0)</f>
        <v>31</v>
      </c>
      <c r="BV45" s="9" t="n">
        <f aca="false">BX45/BU45</f>
        <v>4.251</v>
      </c>
      <c r="BW45" s="1" t="n">
        <f aca="false">BU45*($B45+H$13)</f>
        <v>142.011</v>
      </c>
      <c r="BX45" s="33" t="n">
        <f aca="false">IF(ISNUMBER(((BW45/BU45)+H$14+$Y45)*BU45),((BW45/BU45)+H$14+$Y45)*BU45,0)</f>
        <v>131.781</v>
      </c>
      <c r="BY45" s="44" t="e">
        <f aca="false">IF(BU45=0,0,bsd(1,BZ$27,BV45,$AD45,$AA45,$AB45,$AH45,0.1))</f>
        <v>#VALUE!</v>
      </c>
      <c r="BZ45" s="44" t="e">
        <f aca="false">IF(BU45=0,0,bsd(2,BZ$27,BV45,$AD45,$AA45,$AB45,$AH45,0.1))</f>
        <v>#VALUE!</v>
      </c>
      <c r="CA45" s="44" t="e">
        <f aca="false">IF(BU45=0,0,bsd(BZ$28,BZ$27,BV45,$AD45,$AA45,$AB45,$AH45,0.1))</f>
        <v>#VALUE!</v>
      </c>
      <c r="CB45" s="45" t="e">
        <f aca="false">BU45*BY45</f>
        <v>#VALUE!</v>
      </c>
      <c r="CC45" s="45" t="e">
        <f aca="false">BU45*BZ45</f>
        <v>#VALUE!</v>
      </c>
      <c r="CD45" s="45" t="e">
        <f aca="false">BU45*CA45</f>
        <v>#VALUE!</v>
      </c>
    </row>
    <row r="46" customFormat="false" ht="12.75" hidden="false" customHeight="false" outlineLevel="0" collapsed="false">
      <c r="A46" s="48" t="n">
        <f aca="false">DATE(YEAR(A45),MONTH(A45)+1,1)</f>
        <v>37257</v>
      </c>
      <c r="B46" s="40" t="n">
        <f aca="false">VLOOKUP(A46,STRADDLE,5,FALSE())</f>
        <v>4.546</v>
      </c>
      <c r="C46" s="4" t="n">
        <f aca="false">VLOOKUP(A46,STRADDLE,8,FALSE())</f>
        <v>0.4175</v>
      </c>
      <c r="D46" s="40" t="n">
        <f aca="false">IF(D$28="nymex",0,VLOOKUP($A46,curvesettle,HLOOKUP(D$28,curvesettle,2,FALSE())))</f>
        <v>1.87</v>
      </c>
      <c r="E46" s="131" t="n">
        <f aca="false">IF(ISNUMBER(VLOOKUP($A46,VOLCURVES,HLOOKUP(D$28,VOLCURVES,2,FALSE()),FALSE())),VLOOKUP($A46,VOLCURVES,HLOOKUP(D$28,VOLCURVES,2,FALSE()),FALSE()),1)</f>
        <v>1.1</v>
      </c>
      <c r="F46" s="136" t="n">
        <f aca="false">IF(D$28="NYMEX",$AG46,$AF46)</f>
        <v>-8674</v>
      </c>
      <c r="G46" s="4" t="e">
        <f aca="false">(($C46+H46)*$E46)+B$15</f>
        <v>#DIV/0!</v>
      </c>
      <c r="H46" s="4" t="e">
        <f aca="false">IF($B$16=1,VLOOKUP($A46,SkewTable,HLOOKUP(ROUND(I46-AO46,1),SkewTable,2,FALSE()),FALSE())/100,0)</f>
        <v>#DIV/0!</v>
      </c>
      <c r="I46" s="41" t="n">
        <f aca="false">IF($B$19=4,$AO46,$B$18)</f>
        <v>12</v>
      </c>
      <c r="K46" s="40" t="n">
        <f aca="false">IF(K$28="nymex",0,VLOOKUP($A46,curvesettle,HLOOKUP(K$28,curvesettle,2,FALSE())))</f>
        <v>-0.0215</v>
      </c>
      <c r="L46" s="131" t="n">
        <f aca="false">IF(ISNUMBER(VLOOKUP($A46,VOLCURVES,HLOOKUP(K$28,VOLCURVES,2,FALSE()),FALSE())),VLOOKUP($A46,VOLCURVES,HLOOKUP(K$28,VOLCURVES,2,FALSE()),FALSE()),1)</f>
        <v>1</v>
      </c>
      <c r="M46" s="136" t="n">
        <f aca="false">IF(K$28="NYMEX",$AG46,$AF46)</f>
        <v>-8674</v>
      </c>
      <c r="N46" s="153" t="e">
        <f aca="false">(($C46+O46)*$L46)+D$15</f>
        <v>#DIV/0!</v>
      </c>
      <c r="O46" s="4" t="e">
        <f aca="false">IF($D$16=1,VLOOKUP($A46,SkewTable,HLOOKUP(ROUND(P46-AZ46,1),SkewTable,2,FALSE()),FALSE())/100,0)</f>
        <v>#DIV/0!</v>
      </c>
      <c r="P46" s="41" t="n">
        <f aca="false">IF($D$19=4,$AZ46,$D$18)</f>
        <v>3.75</v>
      </c>
      <c r="R46" s="40" t="n">
        <f aca="false">IF(R$28="nymex",0,VLOOKUP($A46,curvesettle,HLOOKUP(R$28,curvesettle,2,FALSE())))</f>
        <v>-0.0215</v>
      </c>
      <c r="S46" s="131" t="n">
        <f aca="false">IF(ISNUMBER(VLOOKUP($A46,VOLCURVES,HLOOKUP(R$28,VOLCURVES,2,FALSE()),FALSE())),VLOOKUP($A46,VOLCURVES,HLOOKUP(R$28,VOLCURVES,2,FALSE()),FALSE()),1)</f>
        <v>1</v>
      </c>
      <c r="T46" s="136" t="n">
        <f aca="false">IF(R$28="NYMEX",$AG46,$AF46)</f>
        <v>-8674</v>
      </c>
      <c r="U46" s="153" t="e">
        <f aca="false">(($C46+V46)*$S46)+F$15</f>
        <v>#DIV/0!</v>
      </c>
      <c r="V46" s="4" t="e">
        <f aca="false">IF($F$16=1,VLOOKUP($A46,SkewTable,HLOOKUP(ROUND(W46-BK46,1),SkewTable,2,FALSE()),FALSE())/100,0)</f>
        <v>#DIV/0!</v>
      </c>
      <c r="W46" s="41" t="n">
        <f aca="false">IF($F$19=4,$BK46,$F$18)</f>
        <v>3.5</v>
      </c>
      <c r="X46" s="136"/>
      <c r="Y46" s="40" t="n">
        <f aca="false">IF(Y$28="nymex",0,VLOOKUP($A46,curvesettle,HLOOKUP(Y$28,curvesettle,2,FALSE())))</f>
        <v>-0.33</v>
      </c>
      <c r="Z46" s="131" t="n">
        <f aca="false">IF(ISNUMBER(VLOOKUP($A46,VOLCURVES,HLOOKUP(Y$28,VOLCURVES,2,FALSE()),FALSE())),VLOOKUP($A46,VOLCURVES,HLOOKUP(Y$28,VOLCURVES,2,FALSE()),FALSE()),1)</f>
        <v>0.97</v>
      </c>
      <c r="AA46" s="136" t="n">
        <f aca="false">IF(Y$28="NYMEX",$AG46,$AF46)</f>
        <v>-8674</v>
      </c>
      <c r="AB46" s="4" t="n">
        <f aca="false">(($C46+AC46)*$Z46)+H$15</f>
        <v>0.393307123966006</v>
      </c>
      <c r="AC46" s="4" t="n">
        <f aca="false">IF($H$16=1,VLOOKUP($A46,SkewTable,HLOOKUP(ROUND(AD46-BV46,1),SkewTable,2,FALSE()),FALSE())/100,0)</f>
        <v>-0.012028738179375</v>
      </c>
      <c r="AD46" s="41" t="n">
        <f aca="false">IF($H$19=4,$BV46,$H$18)</f>
        <v>3</v>
      </c>
      <c r="AF46" s="136" t="n">
        <f aca="false">VLOOKUP($A46,expiration,2,FALSE())-$B$2</f>
        <v>-8674</v>
      </c>
      <c r="AG46" s="136" t="n">
        <f aca="false">VLOOKUP($A46,expiration,3,FALSE())-$B$2</f>
        <v>-8675</v>
      </c>
      <c r="AH46" s="4" t="n">
        <f aca="false">VLOOKUP($A46,STRADDLE,12,FALSE())</f>
        <v>0.067333198956693</v>
      </c>
      <c r="AI46" s="43" t="n">
        <f aca="false">A47-A46</f>
        <v>31</v>
      </c>
      <c r="AL46" s="136"/>
      <c r="AM46" s="9"/>
      <c r="AN46" s="9" t="n">
        <f aca="false">IF($A46&gt;=AO$25,IF($A46&lt;=AO$26,$AI46,0),0)</f>
        <v>0</v>
      </c>
      <c r="AO46" s="9" t="e">
        <f aca="false">AQ46/AN46</f>
        <v>#DIV/0!</v>
      </c>
      <c r="AP46" s="1" t="n">
        <f aca="false">AN46*($B46+B$13)</f>
        <v>0</v>
      </c>
      <c r="AQ46" s="33" t="n">
        <f aca="false">IF(ISNUMBER(((AP46/AN46)+B$14+$D46)*AN46),((AP46/AN46)+B$14+$D46)*AN46,0)</f>
        <v>0</v>
      </c>
      <c r="AR46" s="44" t="n">
        <f aca="false">IF(AN46=0,0,bsd(1,AS$27,AO46,$I46,$F46,$G46,$AH46,0.1))</f>
        <v>0</v>
      </c>
      <c r="AS46" s="44" t="n">
        <f aca="false">IF(AN46=0,0,bsd(2,AS$27,AO46,$I46,$F46,$G46,$AH46,0.1))</f>
        <v>0</v>
      </c>
      <c r="AT46" s="44" t="n">
        <f aca="false">IF(AN46=0,0,bsd(AS$28,AS$27,AO46,$I46,$F46,$G46,$AH46,0.1))</f>
        <v>0</v>
      </c>
      <c r="AU46" s="45" t="n">
        <f aca="false">AN46*AR46</f>
        <v>0</v>
      </c>
      <c r="AV46" s="45" t="n">
        <f aca="false">AN46*AS46</f>
        <v>0</v>
      </c>
      <c r="AW46" s="45" t="n">
        <f aca="false">AN46*AT46</f>
        <v>0</v>
      </c>
      <c r="AY46" s="9" t="n">
        <f aca="false">IF($A46&gt;=AZ$25,IF($A46&lt;=AZ$26,$AI46,0),0)</f>
        <v>0</v>
      </c>
      <c r="AZ46" s="9" t="e">
        <f aca="false">BB46/AY46</f>
        <v>#DIV/0!</v>
      </c>
      <c r="BA46" s="1" t="n">
        <f aca="false">AY46*($B46+D$13)</f>
        <v>0</v>
      </c>
      <c r="BB46" s="33" t="n">
        <f aca="false">IF(ISNUMBER(((BA46/AY46)+D$14+$K46)*AY46),((BA46/AY46)+D$14+$K46)*AY46,0)</f>
        <v>0</v>
      </c>
      <c r="BC46" s="44" t="n">
        <f aca="false">IF(AY46=0,0,bsd(1,BD$27,AZ46,$P46,$M46,$N46,$AH46,0.1))</f>
        <v>0</v>
      </c>
      <c r="BD46" s="44" t="n">
        <f aca="false">IF(AY46=0,0,bsd(2,BD$27,AZ46,$P46,$M46,$N46,$AH46,0.1))</f>
        <v>0</v>
      </c>
      <c r="BE46" s="44" t="n">
        <f aca="false">IF(AY46=0,0,bsd(BD$28,BD$27,AZ46,$P46,$M46,$N46,$AH46,0.1))</f>
        <v>0</v>
      </c>
      <c r="BF46" s="45" t="n">
        <f aca="false">AY46*BC46</f>
        <v>0</v>
      </c>
      <c r="BG46" s="45" t="n">
        <f aca="false">AY46*BD46</f>
        <v>0</v>
      </c>
      <c r="BH46" s="45" t="n">
        <f aca="false">AY46*BE46</f>
        <v>0</v>
      </c>
      <c r="BJ46" s="9" t="n">
        <f aca="false">IF($A46&gt;=BK$25,IF($A46&lt;=BK$26,$AI46,0),0)</f>
        <v>0</v>
      </c>
      <c r="BK46" s="9" t="e">
        <f aca="false">BM46/BJ46</f>
        <v>#DIV/0!</v>
      </c>
      <c r="BL46" s="1" t="n">
        <f aca="false">BJ46*($B46+F$13)</f>
        <v>0</v>
      </c>
      <c r="BM46" s="33" t="n">
        <f aca="false">IF(ISNUMBER(((BL46/BJ46)+F$14+$R46)*BJ46),((BL46/BJ46)+F$14+$R46)*BJ46,0)</f>
        <v>0</v>
      </c>
      <c r="BN46" s="44" t="n">
        <f aca="false">IF(BJ46=0,0,bsd(1,BO$27,BK46,$W46,$T46,$U46,$AH46,0.1))</f>
        <v>0</v>
      </c>
      <c r="BO46" s="44" t="n">
        <f aca="false">IF(BJ46=0,0,bsd(2,BO$27,BK46,$W46,$T46,$U46,$AH46,0.1))</f>
        <v>0</v>
      </c>
      <c r="BP46" s="44" t="n">
        <f aca="false">IF(BJ46=0,0,bsd(BO$28,BO$27,BK46,$W46,$T46,$U46,$AH46,0.1))</f>
        <v>0</v>
      </c>
      <c r="BQ46" s="45" t="n">
        <f aca="false">BJ46*BN46</f>
        <v>0</v>
      </c>
      <c r="BR46" s="45" t="n">
        <f aca="false">BJ46*BO46</f>
        <v>0</v>
      </c>
      <c r="BS46" s="45" t="n">
        <f aca="false">BJ46*BP46</f>
        <v>0</v>
      </c>
      <c r="BU46" s="9" t="n">
        <f aca="false">IF($A46&gt;=BV$25,IF($A46&lt;=BV$26,$AI46,0),0)</f>
        <v>31</v>
      </c>
      <c r="BV46" s="9" t="n">
        <f aca="false">BX46/BU46</f>
        <v>4.216</v>
      </c>
      <c r="BW46" s="1" t="n">
        <f aca="false">BU46*($B46+H$13)</f>
        <v>140.926</v>
      </c>
      <c r="BX46" s="33" t="n">
        <f aca="false">IF(ISNUMBER(((BW46/BU46)+H$14+$Y46)*BU46),((BW46/BU46)+H$14+$Y46)*BU46,0)</f>
        <v>130.696</v>
      </c>
      <c r="BY46" s="44" t="e">
        <f aca="false">IF(BU46=0,0,bsd(1,BZ$27,BV46,$AD46,$AA46,$AB46,$AH46,0.1))</f>
        <v>#VALUE!</v>
      </c>
      <c r="BZ46" s="44" t="e">
        <f aca="false">IF(BU46=0,0,bsd(2,BZ$27,BV46,$AD46,$AA46,$AB46,$AH46,0.1))</f>
        <v>#VALUE!</v>
      </c>
      <c r="CA46" s="44" t="e">
        <f aca="false">IF(BU46=0,0,bsd(BZ$28,BZ$27,BV46,$AD46,$AA46,$AB46,$AH46,0.1))</f>
        <v>#VALUE!</v>
      </c>
      <c r="CB46" s="45" t="e">
        <f aca="false">BU46*BY46</f>
        <v>#VALUE!</v>
      </c>
      <c r="CC46" s="45" t="e">
        <f aca="false">BU46*BZ46</f>
        <v>#VALUE!</v>
      </c>
      <c r="CD46" s="45" t="e">
        <f aca="false">BU46*CA46</f>
        <v>#VALUE!</v>
      </c>
    </row>
    <row r="47" customFormat="false" ht="12.75" hidden="false" customHeight="false" outlineLevel="0" collapsed="false">
      <c r="A47" s="48" t="n">
        <f aca="false">DATE(YEAR(A46),MONTH(A46)+1,1)</f>
        <v>37288</v>
      </c>
      <c r="B47" s="40" t="n">
        <f aca="false">VLOOKUP(A47,STRADDLE,5,FALSE())</f>
        <v>4.321</v>
      </c>
      <c r="C47" s="4" t="n">
        <f aca="false">VLOOKUP(A47,STRADDLE,8,FALSE())</f>
        <v>0.4075</v>
      </c>
      <c r="D47" s="40" t="n">
        <f aca="false">IF(D$28="nymex",0,VLOOKUP($A47,curvesettle,HLOOKUP(D$28,curvesettle,2,FALSE())))</f>
        <v>1.86</v>
      </c>
      <c r="E47" s="131" t="n">
        <f aca="false">IF(ISNUMBER(VLOOKUP($A47,VOLCURVES,HLOOKUP(D$28,VOLCURVES,2,FALSE()),FALSE())),VLOOKUP($A47,VOLCURVES,HLOOKUP(D$28,VOLCURVES,2,FALSE()),FALSE()),1)</f>
        <v>1.1</v>
      </c>
      <c r="F47" s="136" t="n">
        <f aca="false">IF(D$28="NYMEX",$AG47,$AF47)</f>
        <v>-8641</v>
      </c>
      <c r="G47" s="4" t="e">
        <f aca="false">(($C47+H47)*$E47)+B$15</f>
        <v>#DIV/0!</v>
      </c>
      <c r="H47" s="4" t="e">
        <f aca="false">IF($B$16=1,VLOOKUP($A47,SkewTable,HLOOKUP(ROUND(I47-AO47,1),SkewTable,2,FALSE()),FALSE())/100,0)</f>
        <v>#DIV/0!</v>
      </c>
      <c r="I47" s="41" t="n">
        <f aca="false">IF($B$19=4,$AO47,$B$18)</f>
        <v>12</v>
      </c>
      <c r="K47" s="40" t="n">
        <f aca="false">IF(K$28="nymex",0,VLOOKUP($A47,curvesettle,HLOOKUP(K$28,curvesettle,2,FALSE())))</f>
        <v>-0.0215</v>
      </c>
      <c r="L47" s="131" t="n">
        <f aca="false">IF(ISNUMBER(VLOOKUP($A47,VOLCURVES,HLOOKUP(K$28,VOLCURVES,2,FALSE()),FALSE())),VLOOKUP($A47,VOLCURVES,HLOOKUP(K$28,VOLCURVES,2,FALSE()),FALSE()),1)</f>
        <v>1</v>
      </c>
      <c r="M47" s="136" t="n">
        <f aca="false">IF(K$28="NYMEX",$AG47,$AF47)</f>
        <v>-8641</v>
      </c>
      <c r="N47" s="153" t="e">
        <f aca="false">(($C47+O47)*$L47)+D$15</f>
        <v>#DIV/0!</v>
      </c>
      <c r="O47" s="4" t="e">
        <f aca="false">IF($D$16=1,VLOOKUP($A47,SkewTable,HLOOKUP(ROUND(P47-AZ47,1),SkewTable,2,FALSE()),FALSE())/100,0)</f>
        <v>#DIV/0!</v>
      </c>
      <c r="P47" s="41" t="n">
        <f aca="false">IF($D$19=4,$AZ47,$D$18)</f>
        <v>3.75</v>
      </c>
      <c r="R47" s="40" t="n">
        <f aca="false">IF(R$28="nymex",0,VLOOKUP($A47,curvesettle,HLOOKUP(R$28,curvesettle,2,FALSE())))</f>
        <v>-0.0215</v>
      </c>
      <c r="S47" s="131" t="n">
        <f aca="false">IF(ISNUMBER(VLOOKUP($A47,VOLCURVES,HLOOKUP(R$28,VOLCURVES,2,FALSE()),FALSE())),VLOOKUP($A47,VOLCURVES,HLOOKUP(R$28,VOLCURVES,2,FALSE()),FALSE()),1)</f>
        <v>1</v>
      </c>
      <c r="T47" s="136" t="n">
        <f aca="false">IF(R$28="NYMEX",$AG47,$AF47)</f>
        <v>-8641</v>
      </c>
      <c r="U47" s="153" t="e">
        <f aca="false">(($C47+V47)*$S47)+F$15</f>
        <v>#DIV/0!</v>
      </c>
      <c r="V47" s="4" t="e">
        <f aca="false">IF($F$16=1,VLOOKUP($A47,SkewTable,HLOOKUP(ROUND(W47-BK47,1),SkewTable,2,FALSE()),FALSE())/100,0)</f>
        <v>#DIV/0!</v>
      </c>
      <c r="W47" s="41" t="n">
        <f aca="false">IF($F$19=4,$BK47,$F$18)</f>
        <v>3.5</v>
      </c>
      <c r="X47" s="136"/>
      <c r="Y47" s="40" t="n">
        <f aca="false">IF(Y$28="nymex",0,VLOOKUP($A47,curvesettle,HLOOKUP(Y$28,curvesettle,2,FALSE())))</f>
        <v>-0.33</v>
      </c>
      <c r="Z47" s="131" t="n">
        <f aca="false">IF(ISNUMBER(VLOOKUP($A47,VOLCURVES,HLOOKUP(Y$28,VOLCURVES,2,FALSE()),FALSE())),VLOOKUP($A47,VOLCURVES,HLOOKUP(Y$28,VOLCURVES,2,FALSE()),FALSE()),1)</f>
        <v>0.97</v>
      </c>
      <c r="AA47" s="136" t="n">
        <f aca="false">IF(Y$28="NYMEX",$AG47,$AF47)</f>
        <v>-8641</v>
      </c>
      <c r="AB47" s="4" t="n">
        <f aca="false">(($C47+AC47)*$Z47)+H$15</f>
        <v>0.384194967038669</v>
      </c>
      <c r="AC47" s="4" t="n">
        <f aca="false">IF($H$16=1,VLOOKUP($A47,SkewTable,HLOOKUP(ROUND(AD47-BV47,1),SkewTable,2,FALSE()),FALSE())/100,0)</f>
        <v>-0.011422714393125</v>
      </c>
      <c r="AD47" s="41" t="n">
        <f aca="false">IF($H$19=4,$BV47,$H$18)</f>
        <v>3</v>
      </c>
      <c r="AF47" s="136" t="n">
        <f aca="false">VLOOKUP($A47,expiration,2,FALSE())-$B$2</f>
        <v>-8641</v>
      </c>
      <c r="AG47" s="136" t="n">
        <f aca="false">VLOOKUP($A47,expiration,3,FALSE())-$B$2</f>
        <v>-8642</v>
      </c>
      <c r="AH47" s="4" t="n">
        <f aca="false">VLOOKUP($A47,STRADDLE,12,FALSE())</f>
        <v>0.067329715733591</v>
      </c>
      <c r="AI47" s="43" t="n">
        <f aca="false">A48-A47</f>
        <v>28</v>
      </c>
      <c r="AL47" s="136"/>
      <c r="AM47" s="9"/>
      <c r="AN47" s="9" t="n">
        <f aca="false">IF($A47&gt;=AO$25,IF($A47&lt;=AO$26,$AI47,0),0)</f>
        <v>0</v>
      </c>
      <c r="AO47" s="9" t="e">
        <f aca="false">AQ47/AN47</f>
        <v>#DIV/0!</v>
      </c>
      <c r="AP47" s="1" t="n">
        <f aca="false">AN47*($B47+B$13)</f>
        <v>0</v>
      </c>
      <c r="AQ47" s="33" t="n">
        <f aca="false">IF(ISNUMBER(((AP47/AN47)+B$14+$D47)*AN47),((AP47/AN47)+B$14+$D47)*AN47,0)</f>
        <v>0</v>
      </c>
      <c r="AR47" s="44" t="n">
        <f aca="false">IF(AN47=0,0,bsd(1,AS$27,AO47,$I47,$F47,$G47,$AH47,0.1))</f>
        <v>0</v>
      </c>
      <c r="AS47" s="44" t="n">
        <f aca="false">IF(AN47=0,0,bsd(2,AS$27,AO47,$I47,$F47,$G47,$AH47,0.1))</f>
        <v>0</v>
      </c>
      <c r="AT47" s="44" t="n">
        <f aca="false">IF(AN47=0,0,bsd(AS$28,AS$27,AO47,$I47,$F47,$G47,$AH47,0.1))</f>
        <v>0</v>
      </c>
      <c r="AU47" s="45" t="n">
        <f aca="false">AN47*AR47</f>
        <v>0</v>
      </c>
      <c r="AV47" s="45" t="n">
        <f aca="false">AN47*AS47</f>
        <v>0</v>
      </c>
      <c r="AW47" s="45" t="n">
        <f aca="false">AN47*AT47</f>
        <v>0</v>
      </c>
      <c r="AY47" s="9" t="n">
        <f aca="false">IF($A47&gt;=AZ$25,IF($A47&lt;=AZ$26,$AI47,0),0)</f>
        <v>0</v>
      </c>
      <c r="AZ47" s="9" t="e">
        <f aca="false">BB47/AY47</f>
        <v>#DIV/0!</v>
      </c>
      <c r="BA47" s="1" t="n">
        <f aca="false">AY47*($B47+D$13)</f>
        <v>0</v>
      </c>
      <c r="BB47" s="33" t="n">
        <f aca="false">IF(ISNUMBER(((BA47/AY47)+D$14+$K47)*AY47),((BA47/AY47)+D$14+$K47)*AY47,0)</f>
        <v>0</v>
      </c>
      <c r="BC47" s="44" t="n">
        <f aca="false">IF(AY47=0,0,bsd(1,BD$27,AZ47,$P47,$M47,$N47,$AH47,0.1))</f>
        <v>0</v>
      </c>
      <c r="BD47" s="44" t="n">
        <f aca="false">IF(AY47=0,0,bsd(2,BD$27,AZ47,$P47,$M47,$N47,$AH47,0.1))</f>
        <v>0</v>
      </c>
      <c r="BE47" s="44" t="n">
        <f aca="false">IF(AY47=0,0,bsd(BD$28,BD$27,AZ47,$P47,$M47,$N47,$AH47,0.1))</f>
        <v>0</v>
      </c>
      <c r="BF47" s="45" t="n">
        <f aca="false">AY47*BC47</f>
        <v>0</v>
      </c>
      <c r="BG47" s="45" t="n">
        <f aca="false">AY47*BD47</f>
        <v>0</v>
      </c>
      <c r="BH47" s="45" t="n">
        <f aca="false">AY47*BE47</f>
        <v>0</v>
      </c>
      <c r="BJ47" s="9" t="n">
        <f aca="false">IF($A47&gt;=BK$25,IF($A47&lt;=BK$26,$AI47,0),0)</f>
        <v>0</v>
      </c>
      <c r="BK47" s="9" t="e">
        <f aca="false">BM47/BJ47</f>
        <v>#DIV/0!</v>
      </c>
      <c r="BL47" s="1" t="n">
        <f aca="false">BJ47*($B47+F$13)</f>
        <v>0</v>
      </c>
      <c r="BM47" s="33" t="n">
        <f aca="false">IF(ISNUMBER(((BL47/BJ47)+F$14+$R47)*BJ47),((BL47/BJ47)+F$14+$R47)*BJ47,0)</f>
        <v>0</v>
      </c>
      <c r="BN47" s="44" t="n">
        <f aca="false">IF(BJ47=0,0,bsd(1,BO$27,BK47,$W47,$T47,$U47,$AH47,0.1))</f>
        <v>0</v>
      </c>
      <c r="BO47" s="44" t="n">
        <f aca="false">IF(BJ47=0,0,bsd(2,BO$27,BK47,$W47,$T47,$U47,$AH47,0.1))</f>
        <v>0</v>
      </c>
      <c r="BP47" s="44" t="n">
        <f aca="false">IF(BJ47=0,0,bsd(BO$28,BO$27,BK47,$W47,$T47,$U47,$AH47,0.1))</f>
        <v>0</v>
      </c>
      <c r="BQ47" s="45" t="n">
        <f aca="false">BJ47*BN47</f>
        <v>0</v>
      </c>
      <c r="BR47" s="45" t="n">
        <f aca="false">BJ47*BO47</f>
        <v>0</v>
      </c>
      <c r="BS47" s="45" t="n">
        <f aca="false">BJ47*BP47</f>
        <v>0</v>
      </c>
      <c r="BU47" s="9" t="n">
        <f aca="false">IF($A47&gt;=BV$25,IF($A47&lt;=BV$26,$AI47,0),0)</f>
        <v>28</v>
      </c>
      <c r="BV47" s="9" t="n">
        <f aca="false">BX47/BU47</f>
        <v>3.991</v>
      </c>
      <c r="BW47" s="1" t="n">
        <f aca="false">BU47*($B47+H$13)</f>
        <v>120.988</v>
      </c>
      <c r="BX47" s="33" t="n">
        <f aca="false">IF(ISNUMBER(((BW47/BU47)+H$14+$Y47)*BU47),((BW47/BU47)+H$14+$Y47)*BU47,0)</f>
        <v>111.748</v>
      </c>
      <c r="BY47" s="44" t="e">
        <f aca="false">IF(BU47=0,0,bsd(1,BZ$27,BV47,$AD47,$AA47,$AB47,$AH47,0.1))</f>
        <v>#VALUE!</v>
      </c>
      <c r="BZ47" s="44" t="e">
        <f aca="false">IF(BU47=0,0,bsd(2,BZ$27,BV47,$AD47,$AA47,$AB47,$AH47,0.1))</f>
        <v>#VALUE!</v>
      </c>
      <c r="CA47" s="44" t="e">
        <f aca="false">IF(BU47=0,0,bsd(BZ$28,BZ$27,BV47,$AD47,$AA47,$AB47,$AH47,0.1))</f>
        <v>#VALUE!</v>
      </c>
      <c r="CB47" s="45" t="e">
        <f aca="false">BU47*BY47</f>
        <v>#VALUE!</v>
      </c>
      <c r="CC47" s="45" t="e">
        <f aca="false">BU47*BZ47</f>
        <v>#VALUE!</v>
      </c>
      <c r="CD47" s="45" t="e">
        <f aca="false">BU47*CA47</f>
        <v>#VALUE!</v>
      </c>
    </row>
    <row r="48" customFormat="false" ht="12.75" hidden="false" customHeight="false" outlineLevel="0" collapsed="false">
      <c r="A48" s="48" t="n">
        <f aca="false">DATE(YEAR(A47),MONTH(A47)+1,1)</f>
        <v>37316</v>
      </c>
      <c r="B48" s="40" t="n">
        <f aca="false">VLOOKUP(A48,STRADDLE,5,FALSE())</f>
        <v>4.091</v>
      </c>
      <c r="C48" s="4" t="n">
        <f aca="false">VLOOKUP(A48,STRADDLE,8,FALSE())</f>
        <v>0.3675</v>
      </c>
      <c r="D48" s="40" t="n">
        <f aca="false">IF(D$28="nymex",0,VLOOKUP($A48,curvesettle,HLOOKUP(D$28,curvesettle,2,FALSE())))</f>
        <v>1.29</v>
      </c>
      <c r="E48" s="131" t="n">
        <f aca="false">IF(ISNUMBER(VLOOKUP($A48,VOLCURVES,HLOOKUP(D$28,VOLCURVES,2,FALSE()),FALSE())),VLOOKUP($A48,VOLCURVES,HLOOKUP(D$28,VOLCURVES,2,FALSE()),FALSE()),1)</f>
        <v>1.1</v>
      </c>
      <c r="F48" s="136" t="n">
        <f aca="false">IF(D$28="NYMEX",$AG48,$AF48)</f>
        <v>-8613</v>
      </c>
      <c r="G48" s="4" t="e">
        <f aca="false">(($C48+H48)*$E48)+B$15</f>
        <v>#DIV/0!</v>
      </c>
      <c r="H48" s="4" t="e">
        <f aca="false">IF($B$16=1,VLOOKUP($A48,SkewTable,HLOOKUP(ROUND(I48-AO48,1),SkewTable,2,FALSE()),FALSE())/100,0)</f>
        <v>#DIV/0!</v>
      </c>
      <c r="I48" s="41" t="n">
        <f aca="false">IF($B$19=4,$AO48,$B$18)</f>
        <v>12</v>
      </c>
      <c r="K48" s="40" t="n">
        <f aca="false">IF(K$28="nymex",0,VLOOKUP($A48,curvesettle,HLOOKUP(K$28,curvesettle,2,FALSE())))</f>
        <v>-0.0215</v>
      </c>
      <c r="L48" s="131" t="n">
        <f aca="false">IF(ISNUMBER(VLOOKUP($A48,VOLCURVES,HLOOKUP(K$28,VOLCURVES,2,FALSE()),FALSE())),VLOOKUP($A48,VOLCURVES,HLOOKUP(K$28,VOLCURVES,2,FALSE()),FALSE()),1)</f>
        <v>1</v>
      </c>
      <c r="M48" s="136" t="n">
        <f aca="false">IF(K$28="NYMEX",$AG48,$AF48)</f>
        <v>-8613</v>
      </c>
      <c r="N48" s="153" t="e">
        <f aca="false">(($C48+O48)*$L48)+D$15</f>
        <v>#DIV/0!</v>
      </c>
      <c r="O48" s="4" t="e">
        <f aca="false">IF($D$16=1,VLOOKUP($A48,SkewTable,HLOOKUP(ROUND(P48-AZ48,1),SkewTable,2,FALSE()),FALSE())/100,0)</f>
        <v>#DIV/0!</v>
      </c>
      <c r="P48" s="41" t="n">
        <f aca="false">IF($D$19=4,$AZ48,$D$18)</f>
        <v>3.75</v>
      </c>
      <c r="R48" s="40" t="n">
        <f aca="false">IF(R$28="nymex",0,VLOOKUP($A48,curvesettle,HLOOKUP(R$28,curvesettle,2,FALSE())))</f>
        <v>-0.0215</v>
      </c>
      <c r="S48" s="131" t="n">
        <f aca="false">IF(ISNUMBER(VLOOKUP($A48,VOLCURVES,HLOOKUP(R$28,VOLCURVES,2,FALSE()),FALSE())),VLOOKUP($A48,VOLCURVES,HLOOKUP(R$28,VOLCURVES,2,FALSE()),FALSE()),1)</f>
        <v>1</v>
      </c>
      <c r="T48" s="136" t="n">
        <f aca="false">IF(R$28="NYMEX",$AG48,$AF48)</f>
        <v>-8613</v>
      </c>
      <c r="U48" s="153" t="e">
        <f aca="false">(($C48+V48)*$S48)+F$15</f>
        <v>#DIV/0!</v>
      </c>
      <c r="V48" s="4" t="e">
        <f aca="false">IF($F$16=1,VLOOKUP($A48,SkewTable,HLOOKUP(ROUND(W48-BK48,1),SkewTable,2,FALSE()),FALSE())/100,0)</f>
        <v>#DIV/0!</v>
      </c>
      <c r="W48" s="41" t="n">
        <f aca="false">IF($F$19=4,$BK48,$F$18)</f>
        <v>3.5</v>
      </c>
      <c r="X48" s="136"/>
      <c r="Y48" s="40" t="n">
        <f aca="false">IF(Y$28="nymex",0,VLOOKUP($A48,curvesettle,HLOOKUP(Y$28,curvesettle,2,FALSE())))</f>
        <v>-0.33</v>
      </c>
      <c r="Z48" s="131" t="n">
        <f aca="false">IF(ISNUMBER(VLOOKUP($A48,VOLCURVES,HLOOKUP(Y$28,VOLCURVES,2,FALSE()),FALSE())),VLOOKUP($A48,VOLCURVES,HLOOKUP(Y$28,VOLCURVES,2,FALSE()),FALSE()),1)</f>
        <v>0.97</v>
      </c>
      <c r="AA48" s="136" t="n">
        <f aca="false">IF(Y$28="NYMEX",$AG48,$AF48)</f>
        <v>-8613</v>
      </c>
      <c r="AB48" s="4" t="n">
        <f aca="false">(($C48+AC48)*$Z48)+H$15</f>
        <v>0.3459676192875</v>
      </c>
      <c r="AC48" s="4" t="n">
        <f aca="false">IF($H$16=1,VLOOKUP($A48,SkewTable,HLOOKUP(ROUND(AD48-BV48,1),SkewTable,2,FALSE()),FALSE())/100,0)</f>
        <v>-0.01083235125</v>
      </c>
      <c r="AD48" s="41" t="n">
        <f aca="false">IF($H$19=4,$BV48,$H$18)</f>
        <v>3</v>
      </c>
      <c r="AF48" s="136" t="n">
        <f aca="false">VLOOKUP($A48,expiration,2,FALSE())-$B$2</f>
        <v>-8613</v>
      </c>
      <c r="AG48" s="136" t="n">
        <f aca="false">VLOOKUP($A48,expiration,3,FALSE())-$B$2</f>
        <v>-8614</v>
      </c>
      <c r="AH48" s="4" t="n">
        <f aca="false">VLOOKUP($A48,STRADDLE,12,FALSE())</f>
        <v>0.067326569596599</v>
      </c>
      <c r="AI48" s="43" t="n">
        <f aca="false">A49-A48</f>
        <v>31</v>
      </c>
      <c r="AL48" s="136"/>
      <c r="AM48" s="9"/>
      <c r="AN48" s="9" t="n">
        <f aca="false">IF($A48&gt;=AO$25,IF($A48&lt;=AO$26,$AI48,0),0)</f>
        <v>0</v>
      </c>
      <c r="AO48" s="9" t="e">
        <f aca="false">AQ48/AN48</f>
        <v>#DIV/0!</v>
      </c>
      <c r="AP48" s="1" t="n">
        <f aca="false">AN48*($B48+B$13)</f>
        <v>0</v>
      </c>
      <c r="AQ48" s="33" t="n">
        <f aca="false">IF(ISNUMBER(((AP48/AN48)+B$14+$D48)*AN48),((AP48/AN48)+B$14+$D48)*AN48,0)</f>
        <v>0</v>
      </c>
      <c r="AR48" s="44" t="n">
        <f aca="false">IF(AN48=0,0,bsd(1,AS$27,AO48,$I48,$F48,$G48,$AH48,0.1))</f>
        <v>0</v>
      </c>
      <c r="AS48" s="44" t="n">
        <f aca="false">IF(AN48=0,0,bsd(2,AS$27,AO48,$I48,$F48,$G48,$AH48,0.1))</f>
        <v>0</v>
      </c>
      <c r="AT48" s="44" t="n">
        <f aca="false">IF(AN48=0,0,bsd(AS$28,AS$27,AO48,$I48,$F48,$G48,$AH48,0.1))</f>
        <v>0</v>
      </c>
      <c r="AU48" s="45" t="n">
        <f aca="false">AN48*AR48</f>
        <v>0</v>
      </c>
      <c r="AV48" s="45" t="n">
        <f aca="false">AN48*AS48</f>
        <v>0</v>
      </c>
      <c r="AW48" s="45" t="n">
        <f aca="false">AN48*AT48</f>
        <v>0</v>
      </c>
      <c r="AY48" s="9" t="n">
        <f aca="false">IF($A48&gt;=AZ$25,IF($A48&lt;=AZ$26,$AI48,0),0)</f>
        <v>0</v>
      </c>
      <c r="AZ48" s="9" t="e">
        <f aca="false">BB48/AY48</f>
        <v>#DIV/0!</v>
      </c>
      <c r="BA48" s="1" t="n">
        <f aca="false">AY48*($B48+D$13)</f>
        <v>0</v>
      </c>
      <c r="BB48" s="33" t="n">
        <f aca="false">IF(ISNUMBER(((BA48/AY48)+D$14+$K48)*AY48),((BA48/AY48)+D$14+$K48)*AY48,0)</f>
        <v>0</v>
      </c>
      <c r="BC48" s="44" t="n">
        <f aca="false">IF(AY48=0,0,bsd(1,BD$27,AZ48,$P48,$M48,$N48,$AH48,0.1))</f>
        <v>0</v>
      </c>
      <c r="BD48" s="44" t="n">
        <f aca="false">IF(AY48=0,0,bsd(2,BD$27,AZ48,$P48,$M48,$N48,$AH48,0.1))</f>
        <v>0</v>
      </c>
      <c r="BE48" s="44" t="n">
        <f aca="false">IF(AY48=0,0,bsd(BD$28,BD$27,AZ48,$P48,$M48,$N48,$AH48,0.1))</f>
        <v>0</v>
      </c>
      <c r="BF48" s="45" t="n">
        <f aca="false">AY48*BC48</f>
        <v>0</v>
      </c>
      <c r="BG48" s="45" t="n">
        <f aca="false">AY48*BD48</f>
        <v>0</v>
      </c>
      <c r="BH48" s="45" t="n">
        <f aca="false">AY48*BE48</f>
        <v>0</v>
      </c>
      <c r="BJ48" s="9" t="n">
        <f aca="false">IF($A48&gt;=BK$25,IF($A48&lt;=BK$26,$AI48,0),0)</f>
        <v>0</v>
      </c>
      <c r="BK48" s="9" t="e">
        <f aca="false">BM48/BJ48</f>
        <v>#DIV/0!</v>
      </c>
      <c r="BL48" s="1" t="n">
        <f aca="false">BJ48*($B48+F$13)</f>
        <v>0</v>
      </c>
      <c r="BM48" s="33" t="n">
        <f aca="false">IF(ISNUMBER(((BL48/BJ48)+F$14+$R48)*BJ48),((BL48/BJ48)+F$14+$R48)*BJ48,0)</f>
        <v>0</v>
      </c>
      <c r="BN48" s="44" t="n">
        <f aca="false">IF(BJ48=0,0,bsd(1,BO$27,BK48,$W48,$T48,$U48,$AH48,0.1))</f>
        <v>0</v>
      </c>
      <c r="BO48" s="44" t="n">
        <f aca="false">IF(BJ48=0,0,bsd(2,BO$27,BK48,$W48,$T48,$U48,$AH48,0.1))</f>
        <v>0</v>
      </c>
      <c r="BP48" s="44" t="n">
        <f aca="false">IF(BJ48=0,0,bsd(BO$28,BO$27,BK48,$W48,$T48,$U48,$AH48,0.1))</f>
        <v>0</v>
      </c>
      <c r="BQ48" s="45" t="n">
        <f aca="false">BJ48*BN48</f>
        <v>0</v>
      </c>
      <c r="BR48" s="45" t="n">
        <f aca="false">BJ48*BO48</f>
        <v>0</v>
      </c>
      <c r="BS48" s="45" t="n">
        <f aca="false">BJ48*BP48</f>
        <v>0</v>
      </c>
      <c r="BU48" s="9" t="n">
        <f aca="false">IF($A48&gt;=BV$25,IF($A48&lt;=BV$26,$AI48,0),0)</f>
        <v>31</v>
      </c>
      <c r="BV48" s="9" t="n">
        <f aca="false">BX48/BU48</f>
        <v>3.761</v>
      </c>
      <c r="BW48" s="1" t="n">
        <f aca="false">BU48*($B48+H$13)</f>
        <v>126.821</v>
      </c>
      <c r="BX48" s="33" t="n">
        <f aca="false">IF(ISNUMBER(((BW48/BU48)+H$14+$Y48)*BU48),((BW48/BU48)+H$14+$Y48)*BU48,0)</f>
        <v>116.591</v>
      </c>
      <c r="BY48" s="44" t="e">
        <f aca="false">IF(BU48=0,0,bsd(1,BZ$27,BV48,$AD48,$AA48,$AB48,$AH48,0.1))</f>
        <v>#VALUE!</v>
      </c>
      <c r="BZ48" s="44" t="e">
        <f aca="false">IF(BU48=0,0,bsd(2,BZ$27,BV48,$AD48,$AA48,$AB48,$AH48,0.1))</f>
        <v>#VALUE!</v>
      </c>
      <c r="CA48" s="44" t="e">
        <f aca="false">IF(BU48=0,0,bsd(BZ$28,BZ$27,BV48,$AD48,$AA48,$AB48,$AH48,0.1))</f>
        <v>#VALUE!</v>
      </c>
      <c r="CB48" s="45" t="e">
        <f aca="false">BU48*BY48</f>
        <v>#VALUE!</v>
      </c>
      <c r="CC48" s="45" t="e">
        <f aca="false">BU48*BZ48</f>
        <v>#VALUE!</v>
      </c>
      <c r="CD48" s="45" t="e">
        <f aca="false">BU48*CA48</f>
        <v>#VALUE!</v>
      </c>
    </row>
    <row r="49" customFormat="false" ht="12.75" hidden="false" customHeight="false" outlineLevel="0" collapsed="false">
      <c r="A49" s="48" t="n">
        <f aca="false">DATE(YEAR(A48),MONTH(A48)+1,1)</f>
        <v>37347</v>
      </c>
      <c r="B49" s="40" t="n">
        <f aca="false">VLOOKUP(A49,STRADDLE,5,FALSE())</f>
        <v>3.81</v>
      </c>
      <c r="C49" s="4" t="n">
        <f aca="false">VLOOKUP(A49,STRADDLE,8,FALSE())</f>
        <v>0.3075</v>
      </c>
      <c r="D49" s="40" t="n">
        <f aca="false">IF(D$28="nymex",0,VLOOKUP($A49,curvesettle,HLOOKUP(D$28,curvesettle,2,FALSE())))</f>
        <v>0.45</v>
      </c>
      <c r="E49" s="131" t="n">
        <f aca="false">IF(ISNUMBER(VLOOKUP($A49,VOLCURVES,HLOOKUP(D$28,VOLCURVES,2,FALSE()),FALSE())),VLOOKUP($A49,VOLCURVES,HLOOKUP(D$28,VOLCURVES,2,FALSE()),FALSE()),1)</f>
        <v>0.98</v>
      </c>
      <c r="F49" s="136" t="n">
        <f aca="false">IF(D$28="NYMEX",$AG49,$AF49)</f>
        <v>-8585</v>
      </c>
      <c r="G49" s="4" t="e">
        <f aca="false">(($C49+H49)*$E49)+B$15</f>
        <v>#DIV/0!</v>
      </c>
      <c r="H49" s="4" t="e">
        <f aca="false">IF($B$16=1,VLOOKUP($A49,SkewTable,HLOOKUP(ROUND(I49-AO49,1),SkewTable,2,FALSE()),FALSE())/100,0)</f>
        <v>#DIV/0!</v>
      </c>
      <c r="I49" s="41" t="n">
        <f aca="false">IF($B$19=4,$AO49,$B$18)</f>
        <v>12</v>
      </c>
      <c r="K49" s="40" t="n">
        <f aca="false">IF(K$28="nymex",0,VLOOKUP($A49,curvesettle,HLOOKUP(K$28,curvesettle,2,FALSE())))</f>
        <v>-0.019</v>
      </c>
      <c r="L49" s="131" t="n">
        <f aca="false">IF(ISNUMBER(VLOOKUP($A49,VOLCURVES,HLOOKUP(K$28,VOLCURVES,2,FALSE()),FALSE())),VLOOKUP($A49,VOLCURVES,HLOOKUP(K$28,VOLCURVES,2,FALSE()),FALSE()),1)</f>
        <v>1</v>
      </c>
      <c r="M49" s="136" t="n">
        <f aca="false">IF(K$28="NYMEX",$AG49,$AF49)</f>
        <v>-8585</v>
      </c>
      <c r="N49" s="153" t="e">
        <f aca="false">(($C49+O49)*$L49)+D$15</f>
        <v>#DIV/0!</v>
      </c>
      <c r="O49" s="4" t="e">
        <f aca="false">IF($D$16=1,VLOOKUP($A49,SkewTable,HLOOKUP(ROUND(P49-AZ49,1),SkewTable,2,FALSE()),FALSE())/100,0)</f>
        <v>#DIV/0!</v>
      </c>
      <c r="P49" s="41" t="n">
        <f aca="false">IF($D$19=4,$AZ49,$D$18)</f>
        <v>3.75</v>
      </c>
      <c r="R49" s="40" t="n">
        <f aca="false">IF(R$28="nymex",0,VLOOKUP($A49,curvesettle,HLOOKUP(R$28,curvesettle,2,FALSE())))</f>
        <v>-0.019</v>
      </c>
      <c r="S49" s="131" t="n">
        <f aca="false">IF(ISNUMBER(VLOOKUP($A49,VOLCURVES,HLOOKUP(R$28,VOLCURVES,2,FALSE()),FALSE())),VLOOKUP($A49,VOLCURVES,HLOOKUP(R$28,VOLCURVES,2,FALSE()),FALSE()),1)</f>
        <v>1</v>
      </c>
      <c r="T49" s="136" t="n">
        <f aca="false">IF(R$28="NYMEX",$AG49,$AF49)</f>
        <v>-8585</v>
      </c>
      <c r="U49" s="153" t="e">
        <f aca="false">(($C49+V49)*$S49)+F$15</f>
        <v>#DIV/0!</v>
      </c>
      <c r="V49" s="4" t="e">
        <f aca="false">IF($F$16=1,VLOOKUP($A49,SkewTable,HLOOKUP(ROUND(W49-BK49,1),SkewTable,2,FALSE()),FALSE())/100,0)</f>
        <v>#DIV/0!</v>
      </c>
      <c r="W49" s="41" t="n">
        <f aca="false">IF($F$19=4,$BK49,$F$18)</f>
        <v>3.5</v>
      </c>
      <c r="X49" s="136"/>
      <c r="Y49" s="40" t="n">
        <f aca="false">IF(Y$28="nymex",0,VLOOKUP($A49,curvesettle,HLOOKUP(Y$28,curvesettle,2,FALSE())))</f>
        <v>-0.535</v>
      </c>
      <c r="Z49" s="131" t="n">
        <f aca="false">IF(ISNUMBER(VLOOKUP($A49,VOLCURVES,HLOOKUP(Y$28,VOLCURVES,2,FALSE()),FALSE())),VLOOKUP($A49,VOLCURVES,HLOOKUP(Y$28,VOLCURVES,2,FALSE()),FALSE()),1)</f>
        <v>1</v>
      </c>
      <c r="AA49" s="136" t="n">
        <f aca="false">IF(Y$28="NYMEX",$AG49,$AF49)</f>
        <v>-8585</v>
      </c>
      <c r="AB49" s="4" t="n">
        <f aca="false">(($C49+AC49)*$Z49)+H$15</f>
        <v>0.3015</v>
      </c>
      <c r="AC49" s="4" t="n">
        <f aca="false">IF($H$16=1,VLOOKUP($A49,SkewTable,HLOOKUP(ROUND(AD49-BV49,1),SkewTable,2,FALSE()),FALSE())/100,0)</f>
        <v>-0.006</v>
      </c>
      <c r="AD49" s="41" t="n">
        <f aca="false">IF($H$19=4,$BV49,$H$18)</f>
        <v>3</v>
      </c>
      <c r="AF49" s="136" t="n">
        <f aca="false">VLOOKUP($A49,expiration,2,FALSE())-$B$2</f>
        <v>-8585</v>
      </c>
      <c r="AG49" s="136" t="n">
        <f aca="false">VLOOKUP($A49,expiration,3,FALSE())-$B$2</f>
        <v>-8586</v>
      </c>
      <c r="AH49" s="4" t="n">
        <f aca="false">VLOOKUP($A49,STRADDLE,12,FALSE())</f>
        <v>0.067312742785332</v>
      </c>
      <c r="AI49" s="43" t="n">
        <f aca="false">A50-A49</f>
        <v>30</v>
      </c>
      <c r="AL49" s="136"/>
      <c r="AM49" s="9"/>
      <c r="AN49" s="9" t="n">
        <f aca="false">IF($A49&gt;=AO$25,IF($A49&lt;=AO$26,$AI49,0),0)</f>
        <v>0</v>
      </c>
      <c r="AO49" s="9" t="e">
        <f aca="false">AQ49/AN49</f>
        <v>#DIV/0!</v>
      </c>
      <c r="AP49" s="1" t="n">
        <f aca="false">AN49*($B49+B$13)</f>
        <v>0</v>
      </c>
      <c r="AQ49" s="33" t="n">
        <f aca="false">IF(ISNUMBER(((AP49/AN49)+B$14+$D49)*AN49),((AP49/AN49)+B$14+$D49)*AN49,0)</f>
        <v>0</v>
      </c>
      <c r="AR49" s="44" t="n">
        <f aca="false">IF(AN49=0,0,bsd(1,AS$27,AO49,$I49,$F49,$G49,$AH49,0.1))</f>
        <v>0</v>
      </c>
      <c r="AS49" s="44" t="n">
        <f aca="false">IF(AN49=0,0,bsd(2,AS$27,AO49,$I49,$F49,$G49,$AH49,0.1))</f>
        <v>0</v>
      </c>
      <c r="AT49" s="44" t="n">
        <f aca="false">IF(AN49=0,0,bsd(AS$28,AS$27,AO49,$I49,$F49,$G49,$AH49,0.1))</f>
        <v>0</v>
      </c>
      <c r="AU49" s="45" t="n">
        <f aca="false">AN49*AR49</f>
        <v>0</v>
      </c>
      <c r="AV49" s="45" t="n">
        <f aca="false">AN49*AS49</f>
        <v>0</v>
      </c>
      <c r="AW49" s="45" t="n">
        <f aca="false">AN49*AT49</f>
        <v>0</v>
      </c>
      <c r="AY49" s="9" t="n">
        <f aca="false">IF($A49&gt;=AZ$25,IF($A49&lt;=AZ$26,$AI49,0),0)</f>
        <v>0</v>
      </c>
      <c r="AZ49" s="9" t="e">
        <f aca="false">BB49/AY49</f>
        <v>#DIV/0!</v>
      </c>
      <c r="BA49" s="1" t="n">
        <f aca="false">AY49*($B49+D$13)</f>
        <v>0</v>
      </c>
      <c r="BB49" s="33" t="n">
        <f aca="false">IF(ISNUMBER(((BA49/AY49)+D$14+$K49)*AY49),((BA49/AY49)+D$14+$K49)*AY49,0)</f>
        <v>0</v>
      </c>
      <c r="BC49" s="44" t="n">
        <f aca="false">IF(AY49=0,0,bsd(1,BD$27,AZ49,$P49,$M49,$N49,$AH49,0.1))</f>
        <v>0</v>
      </c>
      <c r="BD49" s="44" t="n">
        <f aca="false">IF(AY49=0,0,bsd(2,BD$27,AZ49,$P49,$M49,$N49,$AH49,0.1))</f>
        <v>0</v>
      </c>
      <c r="BE49" s="44" t="n">
        <f aca="false">IF(AY49=0,0,bsd(BD$28,BD$27,AZ49,$P49,$M49,$N49,$AH49,0.1))</f>
        <v>0</v>
      </c>
      <c r="BF49" s="45" t="n">
        <f aca="false">AY49*BC49</f>
        <v>0</v>
      </c>
      <c r="BG49" s="45" t="n">
        <f aca="false">AY49*BD49</f>
        <v>0</v>
      </c>
      <c r="BH49" s="45" t="n">
        <f aca="false">AY49*BE49</f>
        <v>0</v>
      </c>
      <c r="BJ49" s="9" t="n">
        <f aca="false">IF($A49&gt;=BK$25,IF($A49&lt;=BK$26,$AI49,0),0)</f>
        <v>0</v>
      </c>
      <c r="BK49" s="9" t="e">
        <f aca="false">BM49/BJ49</f>
        <v>#DIV/0!</v>
      </c>
      <c r="BL49" s="1" t="n">
        <f aca="false">BJ49*($B49+F$13)</f>
        <v>0</v>
      </c>
      <c r="BM49" s="33" t="n">
        <f aca="false">IF(ISNUMBER(((BL49/BJ49)+F$14+$R49)*BJ49),((BL49/BJ49)+F$14+$R49)*BJ49,0)</f>
        <v>0</v>
      </c>
      <c r="BN49" s="44" t="n">
        <f aca="false">IF(BJ49=0,0,bsd(1,BO$27,BK49,$W49,$T49,$U49,$AH49,0.1))</f>
        <v>0</v>
      </c>
      <c r="BO49" s="44" t="n">
        <f aca="false">IF(BJ49=0,0,bsd(2,BO$27,BK49,$W49,$T49,$U49,$AH49,0.1))</f>
        <v>0</v>
      </c>
      <c r="BP49" s="44" t="n">
        <f aca="false">IF(BJ49=0,0,bsd(BO$28,BO$27,BK49,$W49,$T49,$U49,$AH49,0.1))</f>
        <v>0</v>
      </c>
      <c r="BQ49" s="45" t="n">
        <f aca="false">BJ49*BN49</f>
        <v>0</v>
      </c>
      <c r="BR49" s="45" t="n">
        <f aca="false">BJ49*BO49</f>
        <v>0</v>
      </c>
      <c r="BS49" s="45" t="n">
        <f aca="false">BJ49*BP49</f>
        <v>0</v>
      </c>
      <c r="BU49" s="9" t="n">
        <f aca="false">IF($A49&gt;=BV$25,IF($A49&lt;=BV$26,$AI49,0),0)</f>
        <v>30</v>
      </c>
      <c r="BV49" s="9" t="n">
        <f aca="false">BX49/BU49</f>
        <v>3.275</v>
      </c>
      <c r="BW49" s="1" t="n">
        <f aca="false">BU49*($B49+H$13)</f>
        <v>114.3</v>
      </c>
      <c r="BX49" s="33" t="n">
        <f aca="false">IF(ISNUMBER(((BW49/BU49)+H$14+$Y49)*BU49),((BW49/BU49)+H$14+$Y49)*BU49,0)</f>
        <v>98.25</v>
      </c>
      <c r="BY49" s="44" t="e">
        <f aca="false">IF(BU49=0,0,bsd(1,BZ$27,BV49,$AD49,$AA49,$AB49,$AH49,0.1))</f>
        <v>#VALUE!</v>
      </c>
      <c r="BZ49" s="44" t="e">
        <f aca="false">IF(BU49=0,0,bsd(2,BZ$27,BV49,$AD49,$AA49,$AB49,$AH49,0.1))</f>
        <v>#VALUE!</v>
      </c>
      <c r="CA49" s="44" t="e">
        <f aca="false">IF(BU49=0,0,bsd(BZ$28,BZ$27,BV49,$AD49,$AA49,$AB49,$AH49,0.1))</f>
        <v>#VALUE!</v>
      </c>
      <c r="CB49" s="45" t="e">
        <f aca="false">BU49*BY49</f>
        <v>#VALUE!</v>
      </c>
      <c r="CC49" s="45" t="e">
        <f aca="false">BU49*BZ49</f>
        <v>#VALUE!</v>
      </c>
      <c r="CD49" s="45" t="e">
        <f aca="false">BU49*CA49</f>
        <v>#VALUE!</v>
      </c>
    </row>
    <row r="50" customFormat="false" ht="12.75" hidden="false" customHeight="false" outlineLevel="0" collapsed="false">
      <c r="A50" s="48" t="n">
        <f aca="false">DATE(YEAR(A49),MONTH(A49)+1,1)</f>
        <v>37377</v>
      </c>
      <c r="B50" s="40" t="n">
        <f aca="false">VLOOKUP(A50,STRADDLE,5,FALSE())</f>
        <v>3.71</v>
      </c>
      <c r="C50" s="4" t="n">
        <f aca="false">VLOOKUP(A50,STRADDLE,8,FALSE())</f>
        <v>0.2925</v>
      </c>
      <c r="D50" s="40" t="n">
        <f aca="false">IF(D$28="nymex",0,VLOOKUP($A50,curvesettle,HLOOKUP(D$28,curvesettle,2,FALSE())))</f>
        <v>0.405</v>
      </c>
      <c r="E50" s="131" t="n">
        <f aca="false">IF(ISNUMBER(VLOOKUP($A50,VOLCURVES,HLOOKUP(D$28,VOLCURVES,2,FALSE()),FALSE())),VLOOKUP($A50,VOLCURVES,HLOOKUP(D$28,VOLCURVES,2,FALSE()),FALSE()),1)</f>
        <v>0.98</v>
      </c>
      <c r="F50" s="136" t="n">
        <f aca="false">IF(D$28="NYMEX",$AG50,$AF50)</f>
        <v>-8554</v>
      </c>
      <c r="G50" s="4" t="e">
        <f aca="false">(($C50+H50)*$E50)+B$15</f>
        <v>#DIV/0!</v>
      </c>
      <c r="H50" s="4" t="e">
        <f aca="false">IF($B$16=1,VLOOKUP($A50,SkewTable,HLOOKUP(ROUND(I50-AO50,1),SkewTable,2,FALSE()),FALSE())/100,0)</f>
        <v>#DIV/0!</v>
      </c>
      <c r="I50" s="41" t="n">
        <f aca="false">IF($B$19=4,$AO50,$B$18)</f>
        <v>12</v>
      </c>
      <c r="K50" s="40" t="n">
        <f aca="false">IF(K$28="nymex",0,VLOOKUP($A50,curvesettle,HLOOKUP(K$28,curvesettle,2,FALSE())))</f>
        <v>-0.019</v>
      </c>
      <c r="L50" s="131" t="n">
        <f aca="false">IF(ISNUMBER(VLOOKUP($A50,VOLCURVES,HLOOKUP(K$28,VOLCURVES,2,FALSE()),FALSE())),VLOOKUP($A50,VOLCURVES,HLOOKUP(K$28,VOLCURVES,2,FALSE()),FALSE()),1)</f>
        <v>1</v>
      </c>
      <c r="M50" s="136" t="n">
        <f aca="false">IF(K$28="NYMEX",$AG50,$AF50)</f>
        <v>-8554</v>
      </c>
      <c r="N50" s="153" t="e">
        <f aca="false">(($C50+O50)*$L50)+D$15</f>
        <v>#DIV/0!</v>
      </c>
      <c r="O50" s="4" t="e">
        <f aca="false">IF($D$16=1,VLOOKUP($A50,SkewTable,HLOOKUP(ROUND(P50-AZ50,1),SkewTable,2,FALSE()),FALSE())/100,0)</f>
        <v>#DIV/0!</v>
      </c>
      <c r="P50" s="41" t="n">
        <f aca="false">IF($D$19=4,$AZ50,$D$18)</f>
        <v>3.75</v>
      </c>
      <c r="R50" s="40" t="n">
        <f aca="false">IF(R$28="nymex",0,VLOOKUP($A50,curvesettle,HLOOKUP(R$28,curvesettle,2,FALSE())))</f>
        <v>-0.019</v>
      </c>
      <c r="S50" s="131" t="n">
        <f aca="false">IF(ISNUMBER(VLOOKUP($A50,VOLCURVES,HLOOKUP(R$28,VOLCURVES,2,FALSE()),FALSE())),VLOOKUP($A50,VOLCURVES,HLOOKUP(R$28,VOLCURVES,2,FALSE()),FALSE()),1)</f>
        <v>1</v>
      </c>
      <c r="T50" s="136" t="n">
        <f aca="false">IF(R$28="NYMEX",$AG50,$AF50)</f>
        <v>-8554</v>
      </c>
      <c r="U50" s="153" t="e">
        <f aca="false">(($C50+V50)*$S50)+F$15</f>
        <v>#DIV/0!</v>
      </c>
      <c r="V50" s="4" t="e">
        <f aca="false">IF($F$16=1,VLOOKUP($A50,SkewTable,HLOOKUP(ROUND(W50-BK50,1),SkewTable,2,FALSE()),FALSE())/100,0)</f>
        <v>#DIV/0!</v>
      </c>
      <c r="W50" s="41" t="n">
        <f aca="false">IF($F$19=4,$BK50,$F$18)</f>
        <v>3.5</v>
      </c>
      <c r="X50" s="136"/>
      <c r="Y50" s="40" t="n">
        <f aca="false">IF(Y$28="nymex",0,VLOOKUP($A50,curvesettle,HLOOKUP(Y$28,curvesettle,2,FALSE())))</f>
        <v>-0.535</v>
      </c>
      <c r="Z50" s="131" t="n">
        <f aca="false">IF(ISNUMBER(VLOOKUP($A50,VOLCURVES,HLOOKUP(Y$28,VOLCURVES,2,FALSE()),FALSE())),VLOOKUP($A50,VOLCURVES,HLOOKUP(Y$28,VOLCURVES,2,FALSE()),FALSE()),1)</f>
        <v>1</v>
      </c>
      <c r="AA50" s="136" t="n">
        <f aca="false">IF(Y$28="NYMEX",$AG50,$AF50)</f>
        <v>-8554</v>
      </c>
      <c r="AB50" s="4" t="n">
        <f aca="false">(($C50+AC50)*$Z50)+H$15</f>
        <v>0.2885</v>
      </c>
      <c r="AC50" s="4" t="n">
        <f aca="false">IF($H$16=1,VLOOKUP($A50,SkewTable,HLOOKUP(ROUND(AD50-BV50,1),SkewTable,2,FALSE()),FALSE())/100,0)</f>
        <v>-0.004</v>
      </c>
      <c r="AD50" s="41" t="n">
        <f aca="false">IF($H$19=4,$BV50,$H$18)</f>
        <v>3</v>
      </c>
      <c r="AF50" s="136" t="n">
        <f aca="false">VLOOKUP($A50,expiration,2,FALSE())-$B$2</f>
        <v>-8554</v>
      </c>
      <c r="AG50" s="136" t="n">
        <f aca="false">VLOOKUP($A50,expiration,3,FALSE())-$B$2</f>
        <v>-8555</v>
      </c>
      <c r="AH50" s="4" t="n">
        <f aca="false">VLOOKUP($A50,STRADDLE,12,FALSE())</f>
        <v>0.067283554328081</v>
      </c>
      <c r="AI50" s="43" t="n">
        <f aca="false">A51-A50</f>
        <v>31</v>
      </c>
      <c r="AL50" s="136"/>
      <c r="AM50" s="9"/>
      <c r="AN50" s="9" t="n">
        <f aca="false">IF($A50&gt;=AO$25,IF($A50&lt;=AO$26,$AI50,0),0)</f>
        <v>0</v>
      </c>
      <c r="AO50" s="9" t="e">
        <f aca="false">AQ50/AN50</f>
        <v>#DIV/0!</v>
      </c>
      <c r="AP50" s="1" t="n">
        <f aca="false">AN50*($B50+B$13)</f>
        <v>0</v>
      </c>
      <c r="AQ50" s="33" t="n">
        <f aca="false">IF(ISNUMBER(((AP50/AN50)+B$14+$D50)*AN50),((AP50/AN50)+B$14+$D50)*AN50,0)</f>
        <v>0</v>
      </c>
      <c r="AR50" s="44" t="n">
        <f aca="false">IF(AN50=0,0,bsd(1,AS$27,AO50,$I50,$F50,$G50,$AH50,0.1))</f>
        <v>0</v>
      </c>
      <c r="AS50" s="44" t="n">
        <f aca="false">IF(AN50=0,0,bsd(2,AS$27,AO50,$I50,$F50,$G50,$AH50,0.1))</f>
        <v>0</v>
      </c>
      <c r="AT50" s="44" t="n">
        <f aca="false">IF(AN50=0,0,bsd(AS$28,AS$27,AO50,$I50,$F50,$G50,$AH50,0.1))</f>
        <v>0</v>
      </c>
      <c r="AU50" s="45" t="n">
        <f aca="false">AN50*AR50</f>
        <v>0</v>
      </c>
      <c r="AV50" s="45" t="n">
        <f aca="false">AN50*AS50</f>
        <v>0</v>
      </c>
      <c r="AW50" s="45" t="n">
        <f aca="false">AN50*AT50</f>
        <v>0</v>
      </c>
      <c r="AY50" s="9" t="n">
        <f aca="false">IF($A50&gt;=AZ$25,IF($A50&lt;=AZ$26,$AI50,0),0)</f>
        <v>0</v>
      </c>
      <c r="AZ50" s="9" t="e">
        <f aca="false">BB50/AY50</f>
        <v>#DIV/0!</v>
      </c>
      <c r="BA50" s="1" t="n">
        <f aca="false">AY50*($B50+D$13)</f>
        <v>0</v>
      </c>
      <c r="BB50" s="33" t="n">
        <f aca="false">IF(ISNUMBER(((BA50/AY50)+D$14+$K50)*AY50),((BA50/AY50)+D$14+$K50)*AY50,0)</f>
        <v>0</v>
      </c>
      <c r="BC50" s="44" t="n">
        <f aca="false">IF(AY50=0,0,bsd(1,BD$27,AZ50,$P50,$M50,$N50,$AH50,0.1))</f>
        <v>0</v>
      </c>
      <c r="BD50" s="44" t="n">
        <f aca="false">IF(AY50=0,0,bsd(2,BD$27,AZ50,$P50,$M50,$N50,$AH50,0.1))</f>
        <v>0</v>
      </c>
      <c r="BE50" s="44" t="n">
        <f aca="false">IF(AY50=0,0,bsd(BD$28,BD$27,AZ50,$P50,$M50,$N50,$AH50,0.1))</f>
        <v>0</v>
      </c>
      <c r="BF50" s="45" t="n">
        <f aca="false">AY50*BC50</f>
        <v>0</v>
      </c>
      <c r="BG50" s="45" t="n">
        <f aca="false">AY50*BD50</f>
        <v>0</v>
      </c>
      <c r="BH50" s="45" t="n">
        <f aca="false">AY50*BE50</f>
        <v>0</v>
      </c>
      <c r="BJ50" s="9" t="n">
        <f aca="false">IF($A50&gt;=BK$25,IF($A50&lt;=BK$26,$AI50,0),0)</f>
        <v>0</v>
      </c>
      <c r="BK50" s="9" t="e">
        <f aca="false">BM50/BJ50</f>
        <v>#DIV/0!</v>
      </c>
      <c r="BL50" s="1" t="n">
        <f aca="false">BJ50*($B50+F$13)</f>
        <v>0</v>
      </c>
      <c r="BM50" s="33" t="n">
        <f aca="false">IF(ISNUMBER(((BL50/BJ50)+F$14+$R50)*BJ50),((BL50/BJ50)+F$14+$R50)*BJ50,0)</f>
        <v>0</v>
      </c>
      <c r="BN50" s="44" t="n">
        <f aca="false">IF(BJ50=0,0,bsd(1,BO$27,BK50,$W50,$T50,$U50,$AH50,0.1))</f>
        <v>0</v>
      </c>
      <c r="BO50" s="44" t="n">
        <f aca="false">IF(BJ50=0,0,bsd(2,BO$27,BK50,$W50,$T50,$U50,$AH50,0.1))</f>
        <v>0</v>
      </c>
      <c r="BP50" s="44" t="n">
        <f aca="false">IF(BJ50=0,0,bsd(BO$28,BO$27,BK50,$W50,$T50,$U50,$AH50,0.1))</f>
        <v>0</v>
      </c>
      <c r="BQ50" s="45" t="n">
        <f aca="false">BJ50*BN50</f>
        <v>0</v>
      </c>
      <c r="BR50" s="45" t="n">
        <f aca="false">BJ50*BO50</f>
        <v>0</v>
      </c>
      <c r="BS50" s="45" t="n">
        <f aca="false">BJ50*BP50</f>
        <v>0</v>
      </c>
      <c r="BU50" s="9" t="n">
        <f aca="false">IF($A50&gt;=BV$25,IF($A50&lt;=BV$26,$AI50,0),0)</f>
        <v>31</v>
      </c>
      <c r="BV50" s="9" t="n">
        <f aca="false">BX50/BU50</f>
        <v>3.175</v>
      </c>
      <c r="BW50" s="1" t="n">
        <f aca="false">BU50*($B50+H$13)</f>
        <v>115.01</v>
      </c>
      <c r="BX50" s="33" t="n">
        <f aca="false">IF(ISNUMBER(((BW50/BU50)+H$14+$Y50)*BU50),((BW50/BU50)+H$14+$Y50)*BU50,0)</f>
        <v>98.425</v>
      </c>
      <c r="BY50" s="44" t="e">
        <f aca="false">IF(BU50=0,0,bsd(1,BZ$27,BV50,$AD50,$AA50,$AB50,$AH50,0.1))</f>
        <v>#VALUE!</v>
      </c>
      <c r="BZ50" s="44" t="e">
        <f aca="false">IF(BU50=0,0,bsd(2,BZ$27,BV50,$AD50,$AA50,$AB50,$AH50,0.1))</f>
        <v>#VALUE!</v>
      </c>
      <c r="CA50" s="44" t="e">
        <f aca="false">IF(BU50=0,0,bsd(BZ$28,BZ$27,BV50,$AD50,$AA50,$AB50,$AH50,0.1))</f>
        <v>#VALUE!</v>
      </c>
      <c r="CB50" s="45" t="e">
        <f aca="false">BU50*BY50</f>
        <v>#VALUE!</v>
      </c>
      <c r="CC50" s="45" t="e">
        <f aca="false">BU50*BZ50</f>
        <v>#VALUE!</v>
      </c>
      <c r="CD50" s="45" t="e">
        <f aca="false">BU50*CA50</f>
        <v>#VALUE!</v>
      </c>
    </row>
    <row r="51" customFormat="false" ht="12.75" hidden="false" customHeight="false" outlineLevel="0" collapsed="false">
      <c r="A51" s="48" t="n">
        <f aca="false">DATE(YEAR(A50),MONTH(A50)+1,1)</f>
        <v>37408</v>
      </c>
      <c r="B51" s="40" t="n">
        <f aca="false">VLOOKUP(A51,STRADDLE,5,FALSE())</f>
        <v>3.69</v>
      </c>
      <c r="C51" s="4" t="n">
        <f aca="false">VLOOKUP(A51,STRADDLE,8,FALSE())</f>
        <v>0.29</v>
      </c>
      <c r="D51" s="40" t="n">
        <f aca="false">IF(D$28="nymex",0,VLOOKUP($A51,curvesettle,HLOOKUP(D$28,curvesettle,2,FALSE())))</f>
        <v>0.395</v>
      </c>
      <c r="E51" s="131" t="n">
        <f aca="false">IF(ISNUMBER(VLOOKUP($A51,VOLCURVES,HLOOKUP(D$28,VOLCURVES,2,FALSE()),FALSE())),VLOOKUP($A51,VOLCURVES,HLOOKUP(D$28,VOLCURVES,2,FALSE()),FALSE()),1)</f>
        <v>0.98</v>
      </c>
      <c r="F51" s="136" t="n">
        <f aca="false">IF(D$28="NYMEX",$AG51,$AF51)</f>
        <v>-8521</v>
      </c>
      <c r="G51" s="4" t="e">
        <f aca="false">(($C51+H51)*$E51)+B$15</f>
        <v>#DIV/0!</v>
      </c>
      <c r="H51" s="4" t="e">
        <f aca="false">IF($B$16=1,VLOOKUP($A51,SkewTable,HLOOKUP(ROUND(I51-AO51,1),SkewTable,2,FALSE()),FALSE())/100,0)</f>
        <v>#DIV/0!</v>
      </c>
      <c r="I51" s="41" t="n">
        <f aca="false">IF($B$19=4,$AO51,$B$18)</f>
        <v>12</v>
      </c>
      <c r="K51" s="40" t="n">
        <f aca="false">IF(K$28="nymex",0,VLOOKUP($A51,curvesettle,HLOOKUP(K$28,curvesettle,2,FALSE())))</f>
        <v>-0.019</v>
      </c>
      <c r="L51" s="131" t="n">
        <f aca="false">IF(ISNUMBER(VLOOKUP($A51,VOLCURVES,HLOOKUP(K$28,VOLCURVES,2,FALSE()),FALSE())),VLOOKUP($A51,VOLCURVES,HLOOKUP(K$28,VOLCURVES,2,FALSE()),FALSE()),1)</f>
        <v>1</v>
      </c>
      <c r="M51" s="136" t="n">
        <f aca="false">IF(K$28="NYMEX",$AG51,$AF51)</f>
        <v>-8521</v>
      </c>
      <c r="N51" s="153" t="e">
        <f aca="false">(($C51+O51)*$L51)+D$15</f>
        <v>#DIV/0!</v>
      </c>
      <c r="O51" s="4" t="e">
        <f aca="false">IF($D$16=1,VLOOKUP($A51,SkewTable,HLOOKUP(ROUND(P51-AZ51,1),SkewTable,2,FALSE()),FALSE())/100,0)</f>
        <v>#DIV/0!</v>
      </c>
      <c r="P51" s="41" t="n">
        <f aca="false">IF($D$19=4,$AZ51,$D$18)</f>
        <v>3.75</v>
      </c>
      <c r="R51" s="40" t="n">
        <f aca="false">IF(R$28="nymex",0,VLOOKUP($A51,curvesettle,HLOOKUP(R$28,curvesettle,2,FALSE())))</f>
        <v>-0.019</v>
      </c>
      <c r="S51" s="131" t="n">
        <f aca="false">IF(ISNUMBER(VLOOKUP($A51,VOLCURVES,HLOOKUP(R$28,VOLCURVES,2,FALSE()),FALSE())),VLOOKUP($A51,VOLCURVES,HLOOKUP(R$28,VOLCURVES,2,FALSE()),FALSE()),1)</f>
        <v>1</v>
      </c>
      <c r="T51" s="136" t="n">
        <f aca="false">IF(R$28="NYMEX",$AG51,$AF51)</f>
        <v>-8521</v>
      </c>
      <c r="U51" s="153" t="e">
        <f aca="false">(($C51+V51)*$S51)+F$15</f>
        <v>#DIV/0!</v>
      </c>
      <c r="V51" s="4" t="e">
        <f aca="false">IF($F$16=1,VLOOKUP($A51,SkewTable,HLOOKUP(ROUND(W51-BK51,1),SkewTable,2,FALSE()),FALSE())/100,0)</f>
        <v>#DIV/0!</v>
      </c>
      <c r="W51" s="41" t="n">
        <f aca="false">IF($F$19=4,$BK51,$F$18)</f>
        <v>3.5</v>
      </c>
      <c r="X51" s="136"/>
      <c r="Y51" s="40" t="n">
        <f aca="false">IF(Y$28="nymex",0,VLOOKUP($A51,curvesettle,HLOOKUP(Y$28,curvesettle,2,FALSE())))</f>
        <v>-0.535</v>
      </c>
      <c r="Z51" s="131" t="n">
        <f aca="false">IF(ISNUMBER(VLOOKUP($A51,VOLCURVES,HLOOKUP(Y$28,VOLCURVES,2,FALSE()),FALSE())),VLOOKUP($A51,VOLCURVES,HLOOKUP(Y$28,VOLCURVES,2,FALSE()),FALSE()),1)</f>
        <v>1</v>
      </c>
      <c r="AA51" s="136" t="n">
        <f aca="false">IF(Y$28="NYMEX",$AG51,$AF51)</f>
        <v>-8521</v>
      </c>
      <c r="AB51" s="4" t="n">
        <f aca="false">(($C51+AC51)*$Z51)+H$15</f>
        <v>0.286</v>
      </c>
      <c r="AC51" s="4" t="n">
        <f aca="false">IF($H$16=1,VLOOKUP($A51,SkewTable,HLOOKUP(ROUND(AD51-BV51,1),SkewTable,2,FALSE()),FALSE())/100,0)</f>
        <v>-0.004</v>
      </c>
      <c r="AD51" s="41" t="n">
        <f aca="false">IF($H$19=4,$BV51,$H$18)</f>
        <v>3</v>
      </c>
      <c r="AF51" s="136" t="n">
        <f aca="false">VLOOKUP($A51,expiration,2,FALSE())-$B$2</f>
        <v>-8521</v>
      </c>
      <c r="AG51" s="136" t="n">
        <f aca="false">VLOOKUP($A51,expiration,3,FALSE())-$B$2</f>
        <v>-8522</v>
      </c>
      <c r="AH51" s="4" t="n">
        <f aca="false">VLOOKUP($A51,STRADDLE,12,FALSE())</f>
        <v>0.067253392922551</v>
      </c>
      <c r="AI51" s="43" t="n">
        <f aca="false">A52-A51</f>
        <v>30</v>
      </c>
      <c r="AL51" s="136"/>
      <c r="AM51" s="9"/>
      <c r="AN51" s="9" t="n">
        <f aca="false">IF($A51&gt;=AO$25,IF($A51&lt;=AO$26,$AI51,0),0)</f>
        <v>0</v>
      </c>
      <c r="AO51" s="9" t="e">
        <f aca="false">AQ51/AN51</f>
        <v>#DIV/0!</v>
      </c>
      <c r="AP51" s="1" t="n">
        <f aca="false">AN51*($B51+B$13)</f>
        <v>0</v>
      </c>
      <c r="AQ51" s="33" t="n">
        <f aca="false">IF(ISNUMBER(((AP51/AN51)+B$14+$D51)*AN51),((AP51/AN51)+B$14+$D51)*AN51,0)</f>
        <v>0</v>
      </c>
      <c r="AR51" s="44" t="n">
        <f aca="false">IF(AN51=0,0,bsd(1,AS$27,AO51,$I51,$F51,$G51,$AH51,0.1))</f>
        <v>0</v>
      </c>
      <c r="AS51" s="44" t="n">
        <f aca="false">IF(AN51=0,0,bsd(2,AS$27,AO51,$I51,$F51,$G51,$AH51,0.1))</f>
        <v>0</v>
      </c>
      <c r="AT51" s="44" t="n">
        <f aca="false">IF(AN51=0,0,bsd(AS$28,AS$27,AO51,$I51,$F51,$G51,$AH51,0.1))</f>
        <v>0</v>
      </c>
      <c r="AU51" s="45" t="n">
        <f aca="false">AN51*AR51</f>
        <v>0</v>
      </c>
      <c r="AV51" s="45" t="n">
        <f aca="false">AN51*AS51</f>
        <v>0</v>
      </c>
      <c r="AW51" s="45" t="n">
        <f aca="false">AN51*AT51</f>
        <v>0</v>
      </c>
      <c r="AY51" s="9" t="n">
        <f aca="false">IF($A51&gt;=AZ$25,IF($A51&lt;=AZ$26,$AI51,0),0)</f>
        <v>0</v>
      </c>
      <c r="AZ51" s="9" t="e">
        <f aca="false">BB51/AY51</f>
        <v>#DIV/0!</v>
      </c>
      <c r="BA51" s="1" t="n">
        <f aca="false">AY51*($B51+D$13)</f>
        <v>0</v>
      </c>
      <c r="BB51" s="33" t="n">
        <f aca="false">IF(ISNUMBER(((BA51/AY51)+D$14+$K51)*AY51),((BA51/AY51)+D$14+$K51)*AY51,0)</f>
        <v>0</v>
      </c>
      <c r="BC51" s="44" t="n">
        <f aca="false">IF(AY51=0,0,bsd(1,BD$27,AZ51,$P51,$M51,$N51,$AH51,0.1))</f>
        <v>0</v>
      </c>
      <c r="BD51" s="44" t="n">
        <f aca="false">IF(AY51=0,0,bsd(2,BD$27,AZ51,$P51,$M51,$N51,$AH51,0.1))</f>
        <v>0</v>
      </c>
      <c r="BE51" s="44" t="n">
        <f aca="false">IF(AY51=0,0,bsd(BD$28,BD$27,AZ51,$P51,$M51,$N51,$AH51,0.1))</f>
        <v>0</v>
      </c>
      <c r="BF51" s="45" t="n">
        <f aca="false">AY51*BC51</f>
        <v>0</v>
      </c>
      <c r="BG51" s="45" t="n">
        <f aca="false">AY51*BD51</f>
        <v>0</v>
      </c>
      <c r="BH51" s="45" t="n">
        <f aca="false">AY51*BE51</f>
        <v>0</v>
      </c>
      <c r="BJ51" s="9" t="n">
        <f aca="false">IF($A51&gt;=BK$25,IF($A51&lt;=BK$26,$AI51,0),0)</f>
        <v>0</v>
      </c>
      <c r="BK51" s="9" t="e">
        <f aca="false">BM51/BJ51</f>
        <v>#DIV/0!</v>
      </c>
      <c r="BL51" s="1" t="n">
        <f aca="false">BJ51*($B51+F$13)</f>
        <v>0</v>
      </c>
      <c r="BM51" s="33" t="n">
        <f aca="false">IF(ISNUMBER(((BL51/BJ51)+F$14+$R51)*BJ51),((BL51/BJ51)+F$14+$R51)*BJ51,0)</f>
        <v>0</v>
      </c>
      <c r="BN51" s="44" t="n">
        <f aca="false">IF(BJ51=0,0,bsd(1,BO$27,BK51,$W51,$T51,$U51,$AH51,0.1))</f>
        <v>0</v>
      </c>
      <c r="BO51" s="44" t="n">
        <f aca="false">IF(BJ51=0,0,bsd(2,BO$27,BK51,$W51,$T51,$U51,$AH51,0.1))</f>
        <v>0</v>
      </c>
      <c r="BP51" s="44" t="n">
        <f aca="false">IF(BJ51=0,0,bsd(BO$28,BO$27,BK51,$W51,$T51,$U51,$AH51,0.1))</f>
        <v>0</v>
      </c>
      <c r="BQ51" s="45" t="n">
        <f aca="false">BJ51*BN51</f>
        <v>0</v>
      </c>
      <c r="BR51" s="45" t="n">
        <f aca="false">BJ51*BO51</f>
        <v>0</v>
      </c>
      <c r="BS51" s="45" t="n">
        <f aca="false">BJ51*BP51</f>
        <v>0</v>
      </c>
      <c r="BU51" s="9" t="n">
        <f aca="false">IF($A51&gt;=BV$25,IF($A51&lt;=BV$26,$AI51,0),0)</f>
        <v>30</v>
      </c>
      <c r="BV51" s="9" t="n">
        <f aca="false">BX51/BU51</f>
        <v>3.155</v>
      </c>
      <c r="BW51" s="1" t="n">
        <f aca="false">BU51*($B51+H$13)</f>
        <v>110.7</v>
      </c>
      <c r="BX51" s="33" t="n">
        <f aca="false">IF(ISNUMBER(((BW51/BU51)+H$14+$Y51)*BU51),((BW51/BU51)+H$14+$Y51)*BU51,0)</f>
        <v>94.65</v>
      </c>
      <c r="BY51" s="44" t="e">
        <f aca="false">IF(BU51=0,0,bsd(1,BZ$27,BV51,$AD51,$AA51,$AB51,$AH51,0.1))</f>
        <v>#VALUE!</v>
      </c>
      <c r="BZ51" s="44" t="e">
        <f aca="false">IF(BU51=0,0,bsd(2,BZ$27,BV51,$AD51,$AA51,$AB51,$AH51,0.1))</f>
        <v>#VALUE!</v>
      </c>
      <c r="CA51" s="44" t="e">
        <f aca="false">IF(BU51=0,0,bsd(BZ$28,BZ$27,BV51,$AD51,$AA51,$AB51,$AH51,0.1))</f>
        <v>#VALUE!</v>
      </c>
      <c r="CB51" s="45" t="e">
        <f aca="false">BU51*BY51</f>
        <v>#VALUE!</v>
      </c>
      <c r="CC51" s="45" t="e">
        <f aca="false">BU51*BZ51</f>
        <v>#VALUE!</v>
      </c>
      <c r="CD51" s="45" t="e">
        <f aca="false">BU51*CA51</f>
        <v>#VALUE!</v>
      </c>
    </row>
    <row r="52" customFormat="false" ht="12.75" hidden="false" customHeight="false" outlineLevel="0" collapsed="false">
      <c r="A52" s="48" t="n">
        <f aca="false">DATE(YEAR(A51),MONTH(A51)+1,1)</f>
        <v>37438</v>
      </c>
      <c r="B52" s="40" t="n">
        <f aca="false">VLOOKUP(A52,STRADDLE,5,FALSE())</f>
        <v>3.7</v>
      </c>
      <c r="C52" s="4" t="n">
        <f aca="false">VLOOKUP(A52,STRADDLE,8,FALSE())</f>
        <v>0.29</v>
      </c>
      <c r="D52" s="40" t="n">
        <f aca="false">IF(D$28="nymex",0,VLOOKUP($A52,curvesettle,HLOOKUP(D$28,curvesettle,2,FALSE())))</f>
        <v>0.43</v>
      </c>
      <c r="E52" s="131" t="n">
        <f aca="false">IF(ISNUMBER(VLOOKUP($A52,VOLCURVES,HLOOKUP(D$28,VOLCURVES,2,FALSE()),FALSE())),VLOOKUP($A52,VOLCURVES,HLOOKUP(D$28,VOLCURVES,2,FALSE()),FALSE()),1)</f>
        <v>0.98</v>
      </c>
      <c r="F52" s="136" t="n">
        <f aca="false">IF(D$28="NYMEX",$AG52,$AF52)</f>
        <v>-8493</v>
      </c>
      <c r="G52" s="4" t="e">
        <f aca="false">(($C52+H52)*$E52)+B$15</f>
        <v>#DIV/0!</v>
      </c>
      <c r="H52" s="4" t="e">
        <f aca="false">IF($B$16=1,VLOOKUP($A52,SkewTable,HLOOKUP(ROUND(I52-AO52,1),SkewTable,2,FALSE()),FALSE())/100,0)</f>
        <v>#DIV/0!</v>
      </c>
      <c r="I52" s="41" t="n">
        <f aca="false">IF($B$19=4,$AO52,$B$18)</f>
        <v>12</v>
      </c>
      <c r="K52" s="40" t="n">
        <f aca="false">IF(K$28="nymex",0,VLOOKUP($A52,curvesettle,HLOOKUP(K$28,curvesettle,2,FALSE())))</f>
        <v>-0.019</v>
      </c>
      <c r="L52" s="131" t="n">
        <f aca="false">IF(ISNUMBER(VLOOKUP($A52,VOLCURVES,HLOOKUP(K$28,VOLCURVES,2,FALSE()),FALSE())),VLOOKUP($A52,VOLCURVES,HLOOKUP(K$28,VOLCURVES,2,FALSE()),FALSE()),1)</f>
        <v>1</v>
      </c>
      <c r="M52" s="136" t="n">
        <f aca="false">IF(K$28="NYMEX",$AG52,$AF52)</f>
        <v>-8493</v>
      </c>
      <c r="N52" s="153" t="e">
        <f aca="false">(($C52+O52)*$L52)+D$15</f>
        <v>#DIV/0!</v>
      </c>
      <c r="O52" s="4" t="e">
        <f aca="false">IF($D$16=1,VLOOKUP($A52,SkewTable,HLOOKUP(ROUND(P52-AZ52,1),SkewTable,2,FALSE()),FALSE())/100,0)</f>
        <v>#DIV/0!</v>
      </c>
      <c r="P52" s="41" t="n">
        <f aca="false">IF($D$19=4,$AZ52,$D$18)</f>
        <v>3.75</v>
      </c>
      <c r="R52" s="40" t="n">
        <f aca="false">IF(R$28="nymex",0,VLOOKUP($A52,curvesettle,HLOOKUP(R$28,curvesettle,2,FALSE())))</f>
        <v>-0.019</v>
      </c>
      <c r="S52" s="131" t="n">
        <f aca="false">IF(ISNUMBER(VLOOKUP($A52,VOLCURVES,HLOOKUP(R$28,VOLCURVES,2,FALSE()),FALSE())),VLOOKUP($A52,VOLCURVES,HLOOKUP(R$28,VOLCURVES,2,FALSE()),FALSE()),1)</f>
        <v>1</v>
      </c>
      <c r="T52" s="136" t="n">
        <f aca="false">IF(R$28="NYMEX",$AG52,$AF52)</f>
        <v>-8493</v>
      </c>
      <c r="U52" s="153" t="e">
        <f aca="false">(($C52+V52)*$S52)+F$15</f>
        <v>#DIV/0!</v>
      </c>
      <c r="V52" s="4" t="e">
        <f aca="false">IF($F$16=1,VLOOKUP($A52,SkewTable,HLOOKUP(ROUND(W52-BK52,1),SkewTable,2,FALSE()),FALSE())/100,0)</f>
        <v>#DIV/0!</v>
      </c>
      <c r="W52" s="41" t="n">
        <f aca="false">IF($F$19=4,$BK52,$F$18)</f>
        <v>3.5</v>
      </c>
      <c r="X52" s="136"/>
      <c r="Y52" s="40" t="n">
        <f aca="false">IF(Y$28="nymex",0,VLOOKUP($A52,curvesettle,HLOOKUP(Y$28,curvesettle,2,FALSE())))</f>
        <v>-0.535</v>
      </c>
      <c r="Z52" s="131" t="n">
        <f aca="false">IF(ISNUMBER(VLOOKUP($A52,VOLCURVES,HLOOKUP(Y$28,VOLCURVES,2,FALSE()),FALSE())),VLOOKUP($A52,VOLCURVES,HLOOKUP(Y$28,VOLCURVES,2,FALSE()),FALSE()),1)</f>
        <v>1</v>
      </c>
      <c r="AA52" s="136" t="n">
        <f aca="false">IF(Y$28="NYMEX",$AG52,$AF52)</f>
        <v>-8493</v>
      </c>
      <c r="AB52" s="4" t="n">
        <f aca="false">(($C52+AC52)*$Z52)+H$15</f>
        <v>0.286</v>
      </c>
      <c r="AC52" s="4" t="n">
        <f aca="false">IF($H$16=1,VLOOKUP($A52,SkewTable,HLOOKUP(ROUND(AD52-BV52,1),SkewTable,2,FALSE()),FALSE())/100,0)</f>
        <v>-0.004</v>
      </c>
      <c r="AD52" s="41" t="n">
        <f aca="false">IF($H$19=4,$BV52,$H$18)</f>
        <v>3</v>
      </c>
      <c r="AF52" s="136" t="n">
        <f aca="false">VLOOKUP($A52,expiration,2,FALSE())-$B$2</f>
        <v>-8493</v>
      </c>
      <c r="AG52" s="136" t="n">
        <f aca="false">VLOOKUP($A52,expiration,3,FALSE())-$B$2</f>
        <v>-8494</v>
      </c>
      <c r="AH52" s="4" t="n">
        <f aca="false">VLOOKUP($A52,STRADDLE,12,FALSE())</f>
        <v>0.067230480386273</v>
      </c>
      <c r="AI52" s="43" t="n">
        <f aca="false">A53-A52</f>
        <v>31</v>
      </c>
      <c r="AL52" s="136"/>
      <c r="AM52" s="9"/>
      <c r="AN52" s="9" t="n">
        <f aca="false">IF($A52&gt;=AO$25,IF($A52&lt;=AO$26,$AI52,0),0)</f>
        <v>0</v>
      </c>
      <c r="AO52" s="9" t="e">
        <f aca="false">AQ52/AN52</f>
        <v>#DIV/0!</v>
      </c>
      <c r="AP52" s="1" t="n">
        <f aca="false">AN52*($B52+B$13)</f>
        <v>0</v>
      </c>
      <c r="AQ52" s="33" t="n">
        <f aca="false">IF(ISNUMBER(((AP52/AN52)+B$14+$D52)*AN52),((AP52/AN52)+B$14+$D52)*AN52,0)</f>
        <v>0</v>
      </c>
      <c r="AR52" s="44" t="n">
        <f aca="false">IF(AN52=0,0,bsd(1,AS$27,AO52,$I52,$F52,$G52,$AH52,0.1))</f>
        <v>0</v>
      </c>
      <c r="AS52" s="44" t="n">
        <f aca="false">IF(AN52=0,0,bsd(2,AS$27,AO52,$I52,$F52,$G52,$AH52,0.1))</f>
        <v>0</v>
      </c>
      <c r="AT52" s="44" t="n">
        <f aca="false">IF(AN52=0,0,bsd(AS$28,AS$27,AO52,$I52,$F52,$G52,$AH52,0.1))</f>
        <v>0</v>
      </c>
      <c r="AU52" s="45" t="n">
        <f aca="false">AN52*AR52</f>
        <v>0</v>
      </c>
      <c r="AV52" s="45" t="n">
        <f aca="false">AN52*AS52</f>
        <v>0</v>
      </c>
      <c r="AW52" s="45" t="n">
        <f aca="false">AN52*AT52</f>
        <v>0</v>
      </c>
      <c r="AY52" s="9" t="n">
        <f aca="false">IF($A52&gt;=AZ$25,IF($A52&lt;=AZ$26,$AI52,0),0)</f>
        <v>0</v>
      </c>
      <c r="AZ52" s="9" t="e">
        <f aca="false">BB52/AY52</f>
        <v>#DIV/0!</v>
      </c>
      <c r="BA52" s="1" t="n">
        <f aca="false">AY52*($B52+D$13)</f>
        <v>0</v>
      </c>
      <c r="BB52" s="33" t="n">
        <f aca="false">IF(ISNUMBER(((BA52/AY52)+D$14+$K52)*AY52),((BA52/AY52)+D$14+$K52)*AY52,0)</f>
        <v>0</v>
      </c>
      <c r="BC52" s="44" t="n">
        <f aca="false">IF(AY52=0,0,bsd(1,BD$27,AZ52,$P52,$M52,$N52,$AH52,0.1))</f>
        <v>0</v>
      </c>
      <c r="BD52" s="44" t="n">
        <f aca="false">IF(AY52=0,0,bsd(2,BD$27,AZ52,$P52,$M52,$N52,$AH52,0.1))</f>
        <v>0</v>
      </c>
      <c r="BE52" s="44" t="n">
        <f aca="false">IF(AY52=0,0,bsd(BD$28,BD$27,AZ52,$P52,$M52,$N52,$AH52,0.1))</f>
        <v>0</v>
      </c>
      <c r="BF52" s="45" t="n">
        <f aca="false">AY52*BC52</f>
        <v>0</v>
      </c>
      <c r="BG52" s="45" t="n">
        <f aca="false">AY52*BD52</f>
        <v>0</v>
      </c>
      <c r="BH52" s="45" t="n">
        <f aca="false">AY52*BE52</f>
        <v>0</v>
      </c>
      <c r="BJ52" s="9" t="n">
        <f aca="false">IF($A52&gt;=BK$25,IF($A52&lt;=BK$26,$AI52,0),0)</f>
        <v>0</v>
      </c>
      <c r="BK52" s="9" t="e">
        <f aca="false">BM52/BJ52</f>
        <v>#DIV/0!</v>
      </c>
      <c r="BL52" s="1" t="n">
        <f aca="false">BJ52*($B52+F$13)</f>
        <v>0</v>
      </c>
      <c r="BM52" s="33" t="n">
        <f aca="false">IF(ISNUMBER(((BL52/BJ52)+F$14+$R52)*BJ52),((BL52/BJ52)+F$14+$R52)*BJ52,0)</f>
        <v>0</v>
      </c>
      <c r="BN52" s="44" t="n">
        <f aca="false">IF(BJ52=0,0,bsd(1,BO$27,BK52,$W52,$T52,$U52,$AH52,0.1))</f>
        <v>0</v>
      </c>
      <c r="BO52" s="44" t="n">
        <f aca="false">IF(BJ52=0,0,bsd(2,BO$27,BK52,$W52,$T52,$U52,$AH52,0.1))</f>
        <v>0</v>
      </c>
      <c r="BP52" s="44" t="n">
        <f aca="false">IF(BJ52=0,0,bsd(BO$28,BO$27,BK52,$W52,$T52,$U52,$AH52,0.1))</f>
        <v>0</v>
      </c>
      <c r="BQ52" s="45" t="n">
        <f aca="false">BJ52*BN52</f>
        <v>0</v>
      </c>
      <c r="BR52" s="45" t="n">
        <f aca="false">BJ52*BO52</f>
        <v>0</v>
      </c>
      <c r="BS52" s="45" t="n">
        <f aca="false">BJ52*BP52</f>
        <v>0</v>
      </c>
      <c r="BU52" s="9" t="n">
        <f aca="false">IF($A52&gt;=BV$25,IF($A52&lt;=BV$26,$AI52,0),0)</f>
        <v>31</v>
      </c>
      <c r="BV52" s="9" t="n">
        <f aca="false">BX52/BU52</f>
        <v>3.165</v>
      </c>
      <c r="BW52" s="1" t="n">
        <f aca="false">BU52*($B52+H$13)</f>
        <v>114.7</v>
      </c>
      <c r="BX52" s="33" t="n">
        <f aca="false">IF(ISNUMBER(((BW52/BU52)+H$14+$Y52)*BU52),((BW52/BU52)+H$14+$Y52)*BU52,0)</f>
        <v>98.115</v>
      </c>
      <c r="BY52" s="44" t="e">
        <f aca="false">IF(BU52=0,0,bsd(1,BZ$27,BV52,$AD52,$AA52,$AB52,$AH52,0.1))</f>
        <v>#VALUE!</v>
      </c>
      <c r="BZ52" s="44" t="e">
        <f aca="false">IF(BU52=0,0,bsd(2,BZ$27,BV52,$AD52,$AA52,$AB52,$AH52,0.1))</f>
        <v>#VALUE!</v>
      </c>
      <c r="CA52" s="44" t="e">
        <f aca="false">IF(BU52=0,0,bsd(BZ$28,BZ$27,BV52,$AD52,$AA52,$AB52,$AH52,0.1))</f>
        <v>#VALUE!</v>
      </c>
      <c r="CB52" s="45" t="e">
        <f aca="false">BU52*BY52</f>
        <v>#VALUE!</v>
      </c>
      <c r="CC52" s="45" t="e">
        <f aca="false">BU52*BZ52</f>
        <v>#VALUE!</v>
      </c>
      <c r="CD52" s="45" t="e">
        <f aca="false">BU52*CA52</f>
        <v>#VALUE!</v>
      </c>
    </row>
    <row r="53" customFormat="false" ht="12.75" hidden="false" customHeight="false" outlineLevel="0" collapsed="false">
      <c r="A53" s="48" t="n">
        <f aca="false">DATE(YEAR(A52),MONTH(A52)+1,1)</f>
        <v>37469</v>
      </c>
      <c r="B53" s="40" t="n">
        <f aca="false">VLOOKUP(A53,STRADDLE,5,FALSE())</f>
        <v>3.71</v>
      </c>
      <c r="C53" s="4" t="n">
        <f aca="false">VLOOKUP(A53,STRADDLE,8,FALSE())</f>
        <v>0.29</v>
      </c>
      <c r="D53" s="40" t="n">
        <f aca="false">IF(D$28="nymex",0,VLOOKUP($A53,curvesettle,HLOOKUP(D$28,curvesettle,2,FALSE())))</f>
        <v>0.495</v>
      </c>
      <c r="E53" s="131" t="n">
        <f aca="false">IF(ISNUMBER(VLOOKUP($A53,VOLCURVES,HLOOKUP(D$28,VOLCURVES,2,FALSE()),FALSE())),VLOOKUP($A53,VOLCURVES,HLOOKUP(D$28,VOLCURVES,2,FALSE()),FALSE()),1)</f>
        <v>0.98</v>
      </c>
      <c r="F53" s="136" t="n">
        <f aca="false">IF(D$28="NYMEX",$AG53,$AF53)</f>
        <v>-8460</v>
      </c>
      <c r="G53" s="4" t="e">
        <f aca="false">(($C53+H53)*$E53)+B$15</f>
        <v>#DIV/0!</v>
      </c>
      <c r="H53" s="4" t="e">
        <f aca="false">IF($B$16=1,VLOOKUP($A53,SkewTable,HLOOKUP(ROUND(I53-AO53,1),SkewTable,2,FALSE()),FALSE())/100,0)</f>
        <v>#DIV/0!</v>
      </c>
      <c r="I53" s="41" t="n">
        <f aca="false">IF($B$19=4,$AO53,$B$18)</f>
        <v>12</v>
      </c>
      <c r="K53" s="40" t="n">
        <f aca="false">IF(K$28="nymex",0,VLOOKUP($A53,curvesettle,HLOOKUP(K$28,curvesettle,2,FALSE())))</f>
        <v>-0.019</v>
      </c>
      <c r="L53" s="131" t="n">
        <f aca="false">IF(ISNUMBER(VLOOKUP($A53,VOLCURVES,HLOOKUP(K$28,VOLCURVES,2,FALSE()),FALSE())),VLOOKUP($A53,VOLCURVES,HLOOKUP(K$28,VOLCURVES,2,FALSE()),FALSE()),1)</f>
        <v>1</v>
      </c>
      <c r="M53" s="136" t="n">
        <f aca="false">IF(K$28="NYMEX",$AG53,$AF53)</f>
        <v>-8460</v>
      </c>
      <c r="N53" s="153" t="e">
        <f aca="false">(($C53+O53)*$L53)+D$15</f>
        <v>#DIV/0!</v>
      </c>
      <c r="O53" s="4" t="e">
        <f aca="false">IF($D$16=1,VLOOKUP($A53,SkewTable,HLOOKUP(ROUND(P53-AZ53,1),SkewTable,2,FALSE()),FALSE())/100,0)</f>
        <v>#DIV/0!</v>
      </c>
      <c r="P53" s="41" t="n">
        <f aca="false">IF($D$19=4,$AZ53,$D$18)</f>
        <v>3.75</v>
      </c>
      <c r="R53" s="40" t="n">
        <f aca="false">IF(R$28="nymex",0,VLOOKUP($A53,curvesettle,HLOOKUP(R$28,curvesettle,2,FALSE())))</f>
        <v>-0.019</v>
      </c>
      <c r="S53" s="131" t="n">
        <f aca="false">IF(ISNUMBER(VLOOKUP($A53,VOLCURVES,HLOOKUP(R$28,VOLCURVES,2,FALSE()),FALSE())),VLOOKUP($A53,VOLCURVES,HLOOKUP(R$28,VOLCURVES,2,FALSE()),FALSE()),1)</f>
        <v>1</v>
      </c>
      <c r="T53" s="136" t="n">
        <f aca="false">IF(R$28="NYMEX",$AG53,$AF53)</f>
        <v>-8460</v>
      </c>
      <c r="U53" s="153" t="e">
        <f aca="false">(($C53+V53)*$S53)+F$15</f>
        <v>#DIV/0!</v>
      </c>
      <c r="V53" s="4" t="e">
        <f aca="false">IF($F$16=1,VLOOKUP($A53,SkewTable,HLOOKUP(ROUND(W53-BK53,1),SkewTable,2,FALSE()),FALSE())/100,0)</f>
        <v>#DIV/0!</v>
      </c>
      <c r="W53" s="41" t="n">
        <f aca="false">IF($F$19=4,$BK53,$F$18)</f>
        <v>3.5</v>
      </c>
      <c r="X53" s="136"/>
      <c r="Y53" s="40" t="n">
        <f aca="false">IF(Y$28="nymex",0,VLOOKUP($A53,curvesettle,HLOOKUP(Y$28,curvesettle,2,FALSE())))</f>
        <v>-0.535</v>
      </c>
      <c r="Z53" s="131" t="n">
        <f aca="false">IF(ISNUMBER(VLOOKUP($A53,VOLCURVES,HLOOKUP(Y$28,VOLCURVES,2,FALSE()),FALSE())),VLOOKUP($A53,VOLCURVES,HLOOKUP(Y$28,VOLCURVES,2,FALSE()),FALSE()),1)</f>
        <v>1</v>
      </c>
      <c r="AA53" s="136" t="n">
        <f aca="false">IF(Y$28="NYMEX",$AG53,$AF53)</f>
        <v>-8460</v>
      </c>
      <c r="AB53" s="4" t="n">
        <f aca="false">(($C53+AC53)*$Z53)+H$15</f>
        <v>0.286</v>
      </c>
      <c r="AC53" s="4" t="n">
        <f aca="false">IF($H$16=1,VLOOKUP($A53,SkewTable,HLOOKUP(ROUND(AD53-BV53,1),SkewTable,2,FALSE()),FALSE())/100,0)</f>
        <v>-0.004</v>
      </c>
      <c r="AD53" s="41" t="n">
        <f aca="false">IF($H$19=4,$BV53,$H$18)</f>
        <v>3</v>
      </c>
      <c r="AF53" s="136" t="n">
        <f aca="false">VLOOKUP($A53,expiration,2,FALSE())-$B$2</f>
        <v>-8460</v>
      </c>
      <c r="AG53" s="136" t="n">
        <f aca="false">VLOOKUP($A53,expiration,3,FALSE())-$B$2</f>
        <v>-8463</v>
      </c>
      <c r="AH53" s="4" t="n">
        <f aca="false">VLOOKUP($A53,STRADDLE,12,FALSE())</f>
        <v>0.067217129309422</v>
      </c>
      <c r="AI53" s="43" t="n">
        <f aca="false">A54-A53</f>
        <v>31</v>
      </c>
      <c r="AL53" s="136"/>
      <c r="AM53" s="9"/>
      <c r="AN53" s="9" t="n">
        <f aca="false">IF($A53&gt;=AO$25,IF($A53&lt;=AO$26,$AI53,0),0)</f>
        <v>0</v>
      </c>
      <c r="AO53" s="9" t="e">
        <f aca="false">AQ53/AN53</f>
        <v>#DIV/0!</v>
      </c>
      <c r="AP53" s="1" t="n">
        <f aca="false">AN53*($B53+B$13)</f>
        <v>0</v>
      </c>
      <c r="AQ53" s="33" t="n">
        <f aca="false">IF(ISNUMBER(((AP53/AN53)+B$14+$D53)*AN53),((AP53/AN53)+B$14+$D53)*AN53,0)</f>
        <v>0</v>
      </c>
      <c r="AR53" s="44" t="n">
        <f aca="false">IF(AN53=0,0,bsd(1,AS$27,AO53,$I53,$F53,$G53,$AH53,0.1))</f>
        <v>0</v>
      </c>
      <c r="AS53" s="44" t="n">
        <f aca="false">IF(AN53=0,0,bsd(2,AS$27,AO53,$I53,$F53,$G53,$AH53,0.1))</f>
        <v>0</v>
      </c>
      <c r="AT53" s="44" t="n">
        <f aca="false">IF(AN53=0,0,bsd(AS$28,AS$27,AO53,$I53,$F53,$G53,$AH53,0.1))</f>
        <v>0</v>
      </c>
      <c r="AU53" s="45" t="n">
        <f aca="false">AN53*AR53</f>
        <v>0</v>
      </c>
      <c r="AV53" s="45" t="n">
        <f aca="false">AN53*AS53</f>
        <v>0</v>
      </c>
      <c r="AW53" s="45" t="n">
        <f aca="false">AN53*AT53</f>
        <v>0</v>
      </c>
      <c r="AY53" s="9" t="n">
        <f aca="false">IF($A53&gt;=AZ$25,IF($A53&lt;=AZ$26,$AI53,0),0)</f>
        <v>0</v>
      </c>
      <c r="AZ53" s="9" t="e">
        <f aca="false">BB53/AY53</f>
        <v>#DIV/0!</v>
      </c>
      <c r="BA53" s="1" t="n">
        <f aca="false">AY53*($B53+D$13)</f>
        <v>0</v>
      </c>
      <c r="BB53" s="33" t="n">
        <f aca="false">IF(ISNUMBER(((BA53/AY53)+D$14+$K53)*AY53),((BA53/AY53)+D$14+$K53)*AY53,0)</f>
        <v>0</v>
      </c>
      <c r="BC53" s="44" t="n">
        <f aca="false">IF(AY53=0,0,bsd(1,BD$27,AZ53,$P53,$M53,$N53,$AH53,0.1))</f>
        <v>0</v>
      </c>
      <c r="BD53" s="44" t="n">
        <f aca="false">IF(AY53=0,0,bsd(2,BD$27,AZ53,$P53,$M53,$N53,$AH53,0.1))</f>
        <v>0</v>
      </c>
      <c r="BE53" s="44" t="n">
        <f aca="false">IF(AY53=0,0,bsd(BD$28,BD$27,AZ53,$P53,$M53,$N53,$AH53,0.1))</f>
        <v>0</v>
      </c>
      <c r="BF53" s="45" t="n">
        <f aca="false">AY53*BC53</f>
        <v>0</v>
      </c>
      <c r="BG53" s="45" t="n">
        <f aca="false">AY53*BD53</f>
        <v>0</v>
      </c>
      <c r="BH53" s="45" t="n">
        <f aca="false">AY53*BE53</f>
        <v>0</v>
      </c>
      <c r="BJ53" s="9" t="n">
        <f aca="false">IF($A53&gt;=BK$25,IF($A53&lt;=BK$26,$AI53,0),0)</f>
        <v>0</v>
      </c>
      <c r="BK53" s="9" t="e">
        <f aca="false">BM53/BJ53</f>
        <v>#DIV/0!</v>
      </c>
      <c r="BL53" s="1" t="n">
        <f aca="false">BJ53*($B53+F$13)</f>
        <v>0</v>
      </c>
      <c r="BM53" s="33" t="n">
        <f aca="false">IF(ISNUMBER(((BL53/BJ53)+F$14+$R53)*BJ53),((BL53/BJ53)+F$14+$R53)*BJ53,0)</f>
        <v>0</v>
      </c>
      <c r="BN53" s="44" t="n">
        <f aca="false">IF(BJ53=0,0,bsd(1,BO$27,BK53,$W53,$T53,$U53,$AH53,0.1))</f>
        <v>0</v>
      </c>
      <c r="BO53" s="44" t="n">
        <f aca="false">IF(BJ53=0,0,bsd(2,BO$27,BK53,$W53,$T53,$U53,$AH53,0.1))</f>
        <v>0</v>
      </c>
      <c r="BP53" s="44" t="n">
        <f aca="false">IF(BJ53=0,0,bsd(BO$28,BO$27,BK53,$W53,$T53,$U53,$AH53,0.1))</f>
        <v>0</v>
      </c>
      <c r="BQ53" s="45" t="n">
        <f aca="false">BJ53*BN53</f>
        <v>0</v>
      </c>
      <c r="BR53" s="45" t="n">
        <f aca="false">BJ53*BO53</f>
        <v>0</v>
      </c>
      <c r="BS53" s="45" t="n">
        <f aca="false">BJ53*BP53</f>
        <v>0</v>
      </c>
      <c r="BU53" s="9" t="n">
        <f aca="false">IF($A53&gt;=BV$25,IF($A53&lt;=BV$26,$AI53,0),0)</f>
        <v>31</v>
      </c>
      <c r="BV53" s="9" t="n">
        <f aca="false">BX53/BU53</f>
        <v>3.175</v>
      </c>
      <c r="BW53" s="1" t="n">
        <f aca="false">BU53*($B53+H$13)</f>
        <v>115.01</v>
      </c>
      <c r="BX53" s="33" t="n">
        <f aca="false">IF(ISNUMBER(((BW53/BU53)+H$14+$Y53)*BU53),((BW53/BU53)+H$14+$Y53)*BU53,0)</f>
        <v>98.425</v>
      </c>
      <c r="BY53" s="44" t="e">
        <f aca="false">IF(BU53=0,0,bsd(1,BZ$27,BV53,$AD53,$AA53,$AB53,$AH53,0.1))</f>
        <v>#VALUE!</v>
      </c>
      <c r="BZ53" s="44" t="e">
        <f aca="false">IF(BU53=0,0,bsd(2,BZ$27,BV53,$AD53,$AA53,$AB53,$AH53,0.1))</f>
        <v>#VALUE!</v>
      </c>
      <c r="CA53" s="44" t="e">
        <f aca="false">IF(BU53=0,0,bsd(BZ$28,BZ$27,BV53,$AD53,$AA53,$AB53,$AH53,0.1))</f>
        <v>#VALUE!</v>
      </c>
      <c r="CB53" s="45" t="e">
        <f aca="false">BU53*BY53</f>
        <v>#VALUE!</v>
      </c>
      <c r="CC53" s="45" t="e">
        <f aca="false">BU53*BZ53</f>
        <v>#VALUE!</v>
      </c>
      <c r="CD53" s="45" t="e">
        <f aca="false">BU53*CA53</f>
        <v>#VALUE!</v>
      </c>
    </row>
    <row r="54" customFormat="false" ht="12.75" hidden="false" customHeight="false" outlineLevel="0" collapsed="false">
      <c r="A54" s="48" t="n">
        <f aca="false">DATE(YEAR(A53),MONTH(A53)+1,1)</f>
        <v>37500</v>
      </c>
      <c r="B54" s="40" t="n">
        <f aca="false">VLOOKUP(A54,STRADDLE,5,FALSE())</f>
        <v>3.705</v>
      </c>
      <c r="C54" s="4" t="n">
        <f aca="false">VLOOKUP(A54,STRADDLE,8,FALSE())</f>
        <v>0.29</v>
      </c>
      <c r="D54" s="40" t="n">
        <f aca="false">IF(D$28="nymex",0,VLOOKUP($A54,curvesettle,HLOOKUP(D$28,curvesettle,2,FALSE())))</f>
        <v>0.395</v>
      </c>
      <c r="E54" s="131" t="n">
        <f aca="false">IF(ISNUMBER(VLOOKUP($A54,VOLCURVES,HLOOKUP(D$28,VOLCURVES,2,FALSE()),FALSE())),VLOOKUP($A54,VOLCURVES,HLOOKUP(D$28,VOLCURVES,2,FALSE()),FALSE()),1)</f>
        <v>0.98</v>
      </c>
      <c r="F54" s="136" t="n">
        <f aca="false">IF(D$28="NYMEX",$AG54,$AF54)</f>
        <v>-8430</v>
      </c>
      <c r="G54" s="4" t="e">
        <f aca="false">(($C54+H54)*$E54)+B$15</f>
        <v>#DIV/0!</v>
      </c>
      <c r="H54" s="4" t="e">
        <f aca="false">IF($B$16=1,VLOOKUP($A54,SkewTable,HLOOKUP(ROUND(I54-AO54,1),SkewTable,2,FALSE()),FALSE())/100,0)</f>
        <v>#DIV/0!</v>
      </c>
      <c r="I54" s="41" t="n">
        <f aca="false">IF($B$19=4,$AO54,$B$18)</f>
        <v>12</v>
      </c>
      <c r="K54" s="40" t="n">
        <f aca="false">IF(K$28="nymex",0,VLOOKUP($A54,curvesettle,HLOOKUP(K$28,curvesettle,2,FALSE())))</f>
        <v>-0.019</v>
      </c>
      <c r="L54" s="131" t="n">
        <f aca="false">IF(ISNUMBER(VLOOKUP($A54,VOLCURVES,HLOOKUP(K$28,VOLCURVES,2,FALSE()),FALSE())),VLOOKUP($A54,VOLCURVES,HLOOKUP(K$28,VOLCURVES,2,FALSE()),FALSE()),1)</f>
        <v>1</v>
      </c>
      <c r="M54" s="136" t="n">
        <f aca="false">IF(K$28="NYMEX",$AG54,$AF54)</f>
        <v>-8430</v>
      </c>
      <c r="N54" s="153" t="e">
        <f aca="false">(($C54+O54)*$L54)+D$15</f>
        <v>#DIV/0!</v>
      </c>
      <c r="O54" s="4" t="e">
        <f aca="false">IF($D$16=1,VLOOKUP($A54,SkewTable,HLOOKUP(ROUND(P54-AZ54,1),SkewTable,2,FALSE()),FALSE())/100,0)</f>
        <v>#DIV/0!</v>
      </c>
      <c r="P54" s="41" t="n">
        <f aca="false">IF($D$19=4,$AZ54,$D$18)</f>
        <v>3.75</v>
      </c>
      <c r="R54" s="40" t="n">
        <f aca="false">IF(R$28="nymex",0,VLOOKUP($A54,curvesettle,HLOOKUP(R$28,curvesettle,2,FALSE())))</f>
        <v>-0.019</v>
      </c>
      <c r="S54" s="131" t="n">
        <f aca="false">IF(ISNUMBER(VLOOKUP($A54,VOLCURVES,HLOOKUP(R$28,VOLCURVES,2,FALSE()),FALSE())),VLOOKUP($A54,VOLCURVES,HLOOKUP(R$28,VOLCURVES,2,FALSE()),FALSE()),1)</f>
        <v>1</v>
      </c>
      <c r="T54" s="136" t="n">
        <f aca="false">IF(R$28="NYMEX",$AG54,$AF54)</f>
        <v>-8430</v>
      </c>
      <c r="U54" s="153" t="e">
        <f aca="false">(($C54+V54)*$S54)+F$15</f>
        <v>#DIV/0!</v>
      </c>
      <c r="V54" s="4" t="e">
        <f aca="false">IF($F$16=1,VLOOKUP($A54,SkewTable,HLOOKUP(ROUND(W54-BK54,1),SkewTable,2,FALSE()),FALSE())/100,0)</f>
        <v>#DIV/0!</v>
      </c>
      <c r="W54" s="41" t="n">
        <f aca="false">IF($F$19=4,$BK54,$F$18)</f>
        <v>3.5</v>
      </c>
      <c r="X54" s="136"/>
      <c r="Y54" s="40" t="n">
        <f aca="false">IF(Y$28="nymex",0,VLOOKUP($A54,curvesettle,HLOOKUP(Y$28,curvesettle,2,FALSE())))</f>
        <v>-0.535</v>
      </c>
      <c r="Z54" s="131" t="n">
        <f aca="false">IF(ISNUMBER(VLOOKUP($A54,VOLCURVES,HLOOKUP(Y$28,VOLCURVES,2,FALSE()),FALSE())),VLOOKUP($A54,VOLCURVES,HLOOKUP(Y$28,VOLCURVES,2,FALSE()),FALSE()),1)</f>
        <v>1</v>
      </c>
      <c r="AA54" s="136" t="n">
        <f aca="false">IF(Y$28="NYMEX",$AG54,$AF54)</f>
        <v>-8430</v>
      </c>
      <c r="AB54" s="4" t="n">
        <f aca="false">(($C54+AC54)*$Z54)+H$15</f>
        <v>0.286</v>
      </c>
      <c r="AC54" s="4" t="n">
        <f aca="false">IF($H$16=1,VLOOKUP($A54,SkewTable,HLOOKUP(ROUND(AD54-BV54,1),SkewTable,2,FALSE()),FALSE())/100,0)</f>
        <v>-0.004</v>
      </c>
      <c r="AD54" s="41" t="n">
        <f aca="false">IF($H$19=4,$BV54,$H$18)</f>
        <v>3</v>
      </c>
      <c r="AF54" s="136" t="n">
        <f aca="false">VLOOKUP($A54,expiration,2,FALSE())-$B$2</f>
        <v>-8430</v>
      </c>
      <c r="AG54" s="136" t="n">
        <f aca="false">VLOOKUP($A54,expiration,3,FALSE())-$B$2</f>
        <v>-8431</v>
      </c>
      <c r="AH54" s="4" t="n">
        <f aca="false">VLOOKUP($A54,STRADDLE,12,FALSE())</f>
        <v>0.06720377823263</v>
      </c>
      <c r="AI54" s="43" t="n">
        <f aca="false">A55-A54</f>
        <v>30</v>
      </c>
      <c r="AL54" s="136"/>
      <c r="AM54" s="9"/>
      <c r="AN54" s="9" t="n">
        <f aca="false">IF($A54&gt;=AO$25,IF($A54&lt;=AO$26,$AI54,0),0)</f>
        <v>0</v>
      </c>
      <c r="AO54" s="9" t="e">
        <f aca="false">AQ54/AN54</f>
        <v>#DIV/0!</v>
      </c>
      <c r="AP54" s="1" t="n">
        <f aca="false">AN54*($B54+B$13)</f>
        <v>0</v>
      </c>
      <c r="AQ54" s="33" t="n">
        <f aca="false">IF(ISNUMBER(((AP54/AN54)+B$14+$D54)*AN54),((AP54/AN54)+B$14+$D54)*AN54,0)</f>
        <v>0</v>
      </c>
      <c r="AR54" s="44" t="n">
        <f aca="false">IF(AN54=0,0,bsd(1,AS$27,AO54,$I54,$F54,$G54,$AH54,0.1))</f>
        <v>0</v>
      </c>
      <c r="AS54" s="44" t="n">
        <f aca="false">IF(AN54=0,0,bsd(2,AS$27,AO54,$I54,$F54,$G54,$AH54,0.1))</f>
        <v>0</v>
      </c>
      <c r="AT54" s="44" t="n">
        <f aca="false">IF(AN54=0,0,bsd(AS$28,AS$27,AO54,$I54,$F54,$G54,$AH54,0.1))</f>
        <v>0</v>
      </c>
      <c r="AU54" s="45" t="n">
        <f aca="false">AN54*AR54</f>
        <v>0</v>
      </c>
      <c r="AV54" s="45" t="n">
        <f aca="false">AN54*AS54</f>
        <v>0</v>
      </c>
      <c r="AW54" s="45" t="n">
        <f aca="false">AN54*AT54</f>
        <v>0</v>
      </c>
      <c r="AY54" s="9" t="n">
        <f aca="false">IF($A54&gt;=AZ$25,IF($A54&lt;=AZ$26,$AI54,0),0)</f>
        <v>0</v>
      </c>
      <c r="AZ54" s="9" t="e">
        <f aca="false">BB54/AY54</f>
        <v>#DIV/0!</v>
      </c>
      <c r="BA54" s="1" t="n">
        <f aca="false">AY54*($B54+D$13)</f>
        <v>0</v>
      </c>
      <c r="BB54" s="33" t="n">
        <f aca="false">IF(ISNUMBER(((BA54/AY54)+D$14+$K54)*AY54),((BA54/AY54)+D$14+$K54)*AY54,0)</f>
        <v>0</v>
      </c>
      <c r="BC54" s="44" t="n">
        <f aca="false">IF(AY54=0,0,bsd(1,BD$27,AZ54,$P54,$M54,$N54,$AH54,0.1))</f>
        <v>0</v>
      </c>
      <c r="BD54" s="44" t="n">
        <f aca="false">IF(AY54=0,0,bsd(2,BD$27,AZ54,$P54,$M54,$N54,$AH54,0.1))</f>
        <v>0</v>
      </c>
      <c r="BE54" s="44" t="n">
        <f aca="false">IF(AY54=0,0,bsd(BD$28,BD$27,AZ54,$P54,$M54,$N54,$AH54,0.1))</f>
        <v>0</v>
      </c>
      <c r="BF54" s="45" t="n">
        <f aca="false">AY54*BC54</f>
        <v>0</v>
      </c>
      <c r="BG54" s="45" t="n">
        <f aca="false">AY54*BD54</f>
        <v>0</v>
      </c>
      <c r="BH54" s="45" t="n">
        <f aca="false">AY54*BE54</f>
        <v>0</v>
      </c>
      <c r="BJ54" s="9" t="n">
        <f aca="false">IF($A54&gt;=BK$25,IF($A54&lt;=BK$26,$AI54,0),0)</f>
        <v>0</v>
      </c>
      <c r="BK54" s="9" t="e">
        <f aca="false">BM54/BJ54</f>
        <v>#DIV/0!</v>
      </c>
      <c r="BL54" s="1" t="n">
        <f aca="false">BJ54*($B54+F$13)</f>
        <v>0</v>
      </c>
      <c r="BM54" s="33" t="n">
        <f aca="false">IF(ISNUMBER(((BL54/BJ54)+F$14+$R54)*BJ54),((BL54/BJ54)+F$14+$R54)*BJ54,0)</f>
        <v>0</v>
      </c>
      <c r="BN54" s="44" t="n">
        <f aca="false">IF(BJ54=0,0,bsd(1,BO$27,BK54,$W54,$T54,$U54,$AH54,0.1))</f>
        <v>0</v>
      </c>
      <c r="BO54" s="44" t="n">
        <f aca="false">IF(BJ54=0,0,bsd(2,BO$27,BK54,$W54,$T54,$U54,$AH54,0.1))</f>
        <v>0</v>
      </c>
      <c r="BP54" s="44" t="n">
        <f aca="false">IF(BJ54=0,0,bsd(BO$28,BO$27,BK54,$W54,$T54,$U54,$AH54,0.1))</f>
        <v>0</v>
      </c>
      <c r="BQ54" s="45" t="n">
        <f aca="false">BJ54*BN54</f>
        <v>0</v>
      </c>
      <c r="BR54" s="45" t="n">
        <f aca="false">BJ54*BO54</f>
        <v>0</v>
      </c>
      <c r="BS54" s="45" t="n">
        <f aca="false">BJ54*BP54</f>
        <v>0</v>
      </c>
      <c r="BU54" s="9" t="n">
        <f aca="false">IF($A54&gt;=BV$25,IF($A54&lt;=BV$26,$AI54,0),0)</f>
        <v>30</v>
      </c>
      <c r="BV54" s="9" t="n">
        <f aca="false">BX54/BU54</f>
        <v>3.17</v>
      </c>
      <c r="BW54" s="1" t="n">
        <f aca="false">BU54*($B54+H$13)</f>
        <v>111.15</v>
      </c>
      <c r="BX54" s="33" t="n">
        <f aca="false">IF(ISNUMBER(((BW54/BU54)+H$14+$Y54)*BU54),((BW54/BU54)+H$14+$Y54)*BU54,0)</f>
        <v>95.1</v>
      </c>
      <c r="BY54" s="44" t="e">
        <f aca="false">IF(BU54=0,0,bsd(1,BZ$27,BV54,$AD54,$AA54,$AB54,$AH54,0.1))</f>
        <v>#VALUE!</v>
      </c>
      <c r="BZ54" s="44" t="e">
        <f aca="false">IF(BU54=0,0,bsd(2,BZ$27,BV54,$AD54,$AA54,$AB54,$AH54,0.1))</f>
        <v>#VALUE!</v>
      </c>
      <c r="CA54" s="44" t="e">
        <f aca="false">IF(BU54=0,0,bsd(BZ$28,BZ$27,BV54,$AD54,$AA54,$AB54,$AH54,0.1))</f>
        <v>#VALUE!</v>
      </c>
      <c r="CB54" s="45" t="e">
        <f aca="false">BU54*BY54</f>
        <v>#VALUE!</v>
      </c>
      <c r="CC54" s="45" t="e">
        <f aca="false">BU54*BZ54</f>
        <v>#VALUE!</v>
      </c>
      <c r="CD54" s="45" t="e">
        <f aca="false">BU54*CA54</f>
        <v>#VALUE!</v>
      </c>
    </row>
    <row r="55" customFormat="false" ht="12.75" hidden="false" customHeight="false" outlineLevel="0" collapsed="false">
      <c r="A55" s="48" t="n">
        <f aca="false">DATE(YEAR(A54),MONTH(A54)+1,1)</f>
        <v>37530</v>
      </c>
      <c r="B55" s="40" t="n">
        <f aca="false">VLOOKUP(A55,STRADDLE,5,FALSE())</f>
        <v>3.708</v>
      </c>
      <c r="C55" s="4" t="n">
        <f aca="false">VLOOKUP(A55,STRADDLE,8,FALSE())</f>
        <v>0.295</v>
      </c>
      <c r="D55" s="40" t="n">
        <f aca="false">IF(D$28="nymex",0,VLOOKUP($A55,curvesettle,HLOOKUP(D$28,curvesettle,2,FALSE())))</f>
        <v>0.461</v>
      </c>
      <c r="E55" s="131" t="n">
        <f aca="false">IF(ISNUMBER(VLOOKUP($A55,VOLCURVES,HLOOKUP(D$28,VOLCURVES,2,FALSE()),FALSE())),VLOOKUP($A55,VOLCURVES,HLOOKUP(D$28,VOLCURVES,2,FALSE()),FALSE()),1)</f>
        <v>0.98</v>
      </c>
      <c r="F55" s="136" t="n">
        <f aca="false">IF(D$28="NYMEX",$AG55,$AF55)</f>
        <v>-8401</v>
      </c>
      <c r="G55" s="4" t="e">
        <f aca="false">(($C55+H55)*$E55)+B$15</f>
        <v>#DIV/0!</v>
      </c>
      <c r="H55" s="4" t="e">
        <f aca="false">IF($B$16=1,VLOOKUP($A55,SkewTable,HLOOKUP(ROUND(I55-AO55,1),SkewTable,2,FALSE()),FALSE())/100,0)</f>
        <v>#DIV/0!</v>
      </c>
      <c r="I55" s="41" t="n">
        <f aca="false">IF($B$19=4,$AO55,$B$18)</f>
        <v>12</v>
      </c>
      <c r="K55" s="40" t="n">
        <f aca="false">IF(K$28="nymex",0,VLOOKUP($A55,curvesettle,HLOOKUP(K$28,curvesettle,2,FALSE())))</f>
        <v>-0.019</v>
      </c>
      <c r="L55" s="131" t="n">
        <f aca="false">IF(ISNUMBER(VLOOKUP($A55,VOLCURVES,HLOOKUP(K$28,VOLCURVES,2,FALSE()),FALSE())),VLOOKUP($A55,VOLCURVES,HLOOKUP(K$28,VOLCURVES,2,FALSE()),FALSE()),1)</f>
        <v>1</v>
      </c>
      <c r="M55" s="136" t="n">
        <f aca="false">IF(K$28="NYMEX",$AG55,$AF55)</f>
        <v>-8401</v>
      </c>
      <c r="N55" s="153" t="e">
        <f aca="false">(($C55+O55)*$L55)+D$15</f>
        <v>#DIV/0!</v>
      </c>
      <c r="O55" s="4" t="e">
        <f aca="false">IF($D$16=1,VLOOKUP($A55,SkewTable,HLOOKUP(ROUND(P55-AZ55,1),SkewTable,2,FALSE()),FALSE())/100,0)</f>
        <v>#DIV/0!</v>
      </c>
      <c r="P55" s="41" t="n">
        <f aca="false">IF($D$19=4,$AZ55,$D$18)</f>
        <v>3.75</v>
      </c>
      <c r="R55" s="40" t="n">
        <f aca="false">IF(R$28="nymex",0,VLOOKUP($A55,curvesettle,HLOOKUP(R$28,curvesettle,2,FALSE())))</f>
        <v>-0.019</v>
      </c>
      <c r="S55" s="131" t="n">
        <f aca="false">IF(ISNUMBER(VLOOKUP($A55,VOLCURVES,HLOOKUP(R$28,VOLCURVES,2,FALSE()),FALSE())),VLOOKUP($A55,VOLCURVES,HLOOKUP(R$28,VOLCURVES,2,FALSE()),FALSE()),1)</f>
        <v>1</v>
      </c>
      <c r="T55" s="136" t="n">
        <f aca="false">IF(R$28="NYMEX",$AG55,$AF55)</f>
        <v>-8401</v>
      </c>
      <c r="U55" s="153" t="e">
        <f aca="false">(($C55+V55)*$S55)+F$15</f>
        <v>#DIV/0!</v>
      </c>
      <c r="V55" s="4" t="e">
        <f aca="false">IF($F$16=1,VLOOKUP($A55,SkewTable,HLOOKUP(ROUND(W55-BK55,1),SkewTable,2,FALSE()),FALSE())/100,0)</f>
        <v>#DIV/0!</v>
      </c>
      <c r="W55" s="41" t="n">
        <f aca="false">IF($F$19=4,$BK55,$F$18)</f>
        <v>3.5</v>
      </c>
      <c r="X55" s="136"/>
      <c r="Y55" s="40" t="n">
        <f aca="false">IF(Y$28="nymex",0,VLOOKUP($A55,curvesettle,HLOOKUP(Y$28,curvesettle,2,FALSE())))</f>
        <v>-0.535</v>
      </c>
      <c r="Z55" s="131" t="n">
        <f aca="false">IF(ISNUMBER(VLOOKUP($A55,VOLCURVES,HLOOKUP(Y$28,VOLCURVES,2,FALSE()),FALSE())),VLOOKUP($A55,VOLCURVES,HLOOKUP(Y$28,VOLCURVES,2,FALSE()),FALSE()),1)</f>
        <v>1</v>
      </c>
      <c r="AA55" s="136" t="n">
        <f aca="false">IF(Y$28="NYMEX",$AG55,$AF55)</f>
        <v>-8401</v>
      </c>
      <c r="AB55" s="4" t="n">
        <f aca="false">(($C55+AC55)*$Z55)+H$15</f>
        <v>0.291</v>
      </c>
      <c r="AC55" s="4" t="n">
        <f aca="false">IF($H$16=1,VLOOKUP($A55,SkewTable,HLOOKUP(ROUND(AD55-BV55,1),SkewTable,2,FALSE()),FALSE())/100,0)</f>
        <v>-0.004</v>
      </c>
      <c r="AD55" s="41" t="n">
        <f aca="false">IF($H$19=4,$BV55,$H$18)</f>
        <v>3</v>
      </c>
      <c r="AF55" s="136" t="n">
        <f aca="false">VLOOKUP($A55,expiration,2,FALSE())-$B$2</f>
        <v>-8401</v>
      </c>
      <c r="AG55" s="136" t="n">
        <f aca="false">VLOOKUP($A55,expiration,3,FALSE())-$B$2</f>
        <v>-8402</v>
      </c>
      <c r="AH55" s="4" t="n">
        <f aca="false">VLOOKUP($A55,STRADDLE,12,FALSE())</f>
        <v>0.067194524564304</v>
      </c>
      <c r="AI55" s="43" t="n">
        <f aca="false">A56-A55</f>
        <v>31</v>
      </c>
      <c r="AL55" s="136"/>
      <c r="AM55" s="9"/>
      <c r="AN55" s="9" t="n">
        <f aca="false">IF($A55&gt;=AO$25,IF($A55&lt;=AO$26,$AI55,0),0)</f>
        <v>0</v>
      </c>
      <c r="AO55" s="9" t="e">
        <f aca="false">AQ55/AN55</f>
        <v>#DIV/0!</v>
      </c>
      <c r="AP55" s="1" t="n">
        <f aca="false">AN55*($B55+B$13)</f>
        <v>0</v>
      </c>
      <c r="AQ55" s="33" t="n">
        <f aca="false">IF(ISNUMBER(((AP55/AN55)+B$14+$D55)*AN55),((AP55/AN55)+B$14+$D55)*AN55,0)</f>
        <v>0</v>
      </c>
      <c r="AR55" s="44" t="n">
        <f aca="false">IF(AN55=0,0,bsd(1,AS$27,AO55,$I55,$F55,$G55,$AH55,0.1))</f>
        <v>0</v>
      </c>
      <c r="AS55" s="44" t="n">
        <f aca="false">IF(AN55=0,0,bsd(2,AS$27,AO55,$I55,$F55,$G55,$AH55,0.1))</f>
        <v>0</v>
      </c>
      <c r="AT55" s="44" t="n">
        <f aca="false">IF(AN55=0,0,bsd(AS$28,AS$27,AO55,$I55,$F55,$G55,$AH55,0.1))</f>
        <v>0</v>
      </c>
      <c r="AU55" s="45" t="n">
        <f aca="false">AN55*AR55</f>
        <v>0</v>
      </c>
      <c r="AV55" s="45" t="n">
        <f aca="false">AN55*AS55</f>
        <v>0</v>
      </c>
      <c r="AW55" s="45" t="n">
        <f aca="false">AN55*AT55</f>
        <v>0</v>
      </c>
      <c r="AY55" s="9" t="n">
        <f aca="false">IF($A55&gt;=AZ$25,IF($A55&lt;=AZ$26,$AI55,0),0)</f>
        <v>0</v>
      </c>
      <c r="AZ55" s="9" t="e">
        <f aca="false">BB55/AY55</f>
        <v>#DIV/0!</v>
      </c>
      <c r="BA55" s="1" t="n">
        <f aca="false">AY55*($B55+D$13)</f>
        <v>0</v>
      </c>
      <c r="BB55" s="33" t="n">
        <f aca="false">IF(ISNUMBER(((BA55/AY55)+D$14+$K55)*AY55),((BA55/AY55)+D$14+$K55)*AY55,0)</f>
        <v>0</v>
      </c>
      <c r="BC55" s="44" t="n">
        <f aca="false">IF(AY55=0,0,bsd(1,BD$27,AZ55,$P55,$M55,$N55,$AH55,0.1))</f>
        <v>0</v>
      </c>
      <c r="BD55" s="44" t="n">
        <f aca="false">IF(AY55=0,0,bsd(2,BD$27,AZ55,$P55,$M55,$N55,$AH55,0.1))</f>
        <v>0</v>
      </c>
      <c r="BE55" s="44" t="n">
        <f aca="false">IF(AY55=0,0,bsd(BD$28,BD$27,AZ55,$P55,$M55,$N55,$AH55,0.1))</f>
        <v>0</v>
      </c>
      <c r="BF55" s="45" t="n">
        <f aca="false">AY55*BC55</f>
        <v>0</v>
      </c>
      <c r="BG55" s="45" t="n">
        <f aca="false">AY55*BD55</f>
        <v>0</v>
      </c>
      <c r="BH55" s="45" t="n">
        <f aca="false">AY55*BE55</f>
        <v>0</v>
      </c>
      <c r="BJ55" s="9" t="n">
        <f aca="false">IF($A55&gt;=BK$25,IF($A55&lt;=BK$26,$AI55,0),0)</f>
        <v>0</v>
      </c>
      <c r="BK55" s="9" t="e">
        <f aca="false">BM55/BJ55</f>
        <v>#DIV/0!</v>
      </c>
      <c r="BL55" s="1" t="n">
        <f aca="false">BJ55*($B55+F$13)</f>
        <v>0</v>
      </c>
      <c r="BM55" s="33" t="n">
        <f aca="false">IF(ISNUMBER(((BL55/BJ55)+F$14+$R55)*BJ55),((BL55/BJ55)+F$14+$R55)*BJ55,0)</f>
        <v>0</v>
      </c>
      <c r="BN55" s="44" t="n">
        <f aca="false">IF(BJ55=0,0,bsd(1,BO$27,BK55,$W55,$T55,$U55,$AH55,0.1))</f>
        <v>0</v>
      </c>
      <c r="BO55" s="44" t="n">
        <f aca="false">IF(BJ55=0,0,bsd(2,BO$27,BK55,$W55,$T55,$U55,$AH55,0.1))</f>
        <v>0</v>
      </c>
      <c r="BP55" s="44" t="n">
        <f aca="false">IF(BJ55=0,0,bsd(BO$28,BO$27,BK55,$W55,$T55,$U55,$AH55,0.1))</f>
        <v>0</v>
      </c>
      <c r="BQ55" s="45" t="n">
        <f aca="false">BJ55*BN55</f>
        <v>0</v>
      </c>
      <c r="BR55" s="45" t="n">
        <f aca="false">BJ55*BO55</f>
        <v>0</v>
      </c>
      <c r="BS55" s="45" t="n">
        <f aca="false">BJ55*BP55</f>
        <v>0</v>
      </c>
      <c r="BU55" s="9" t="n">
        <f aca="false">IF($A55&gt;=BV$25,IF($A55&lt;=BV$26,$AI55,0),0)</f>
        <v>31</v>
      </c>
      <c r="BV55" s="9" t="n">
        <f aca="false">BX55/BU55</f>
        <v>3.173</v>
      </c>
      <c r="BW55" s="1" t="n">
        <f aca="false">BU55*($B55+H$13)</f>
        <v>114.948</v>
      </c>
      <c r="BX55" s="33" t="n">
        <f aca="false">IF(ISNUMBER(((BW55/BU55)+H$14+$Y55)*BU55),((BW55/BU55)+H$14+$Y55)*BU55,0)</f>
        <v>98.363</v>
      </c>
      <c r="BY55" s="44" t="e">
        <f aca="false">IF(BU55=0,0,bsd(1,BZ$27,BV55,$AD55,$AA55,$AB55,$AH55,0.1))</f>
        <v>#VALUE!</v>
      </c>
      <c r="BZ55" s="44" t="e">
        <f aca="false">IF(BU55=0,0,bsd(2,BZ$27,BV55,$AD55,$AA55,$AB55,$AH55,0.1))</f>
        <v>#VALUE!</v>
      </c>
      <c r="CA55" s="44" t="e">
        <f aca="false">IF(BU55=0,0,bsd(BZ$28,BZ$27,BV55,$AD55,$AA55,$AB55,$AH55,0.1))</f>
        <v>#VALUE!</v>
      </c>
      <c r="CB55" s="45" t="e">
        <f aca="false">BU55*BY55</f>
        <v>#VALUE!</v>
      </c>
      <c r="CC55" s="45" t="e">
        <f aca="false">BU55*BZ55</f>
        <v>#VALUE!</v>
      </c>
      <c r="CD55" s="45" t="e">
        <f aca="false">BU55*CA55</f>
        <v>#VALUE!</v>
      </c>
    </row>
    <row r="56" customFormat="false" ht="12.75" hidden="false" customHeight="false" outlineLevel="0" collapsed="false">
      <c r="A56" s="48" t="n">
        <f aca="false">DATE(YEAR(A55),MONTH(A55)+1,1)</f>
        <v>37561</v>
      </c>
      <c r="B56" s="40" t="n">
        <f aca="false">VLOOKUP(A56,STRADDLE,5,FALSE())</f>
        <v>3.8</v>
      </c>
      <c r="C56" s="4" t="n">
        <f aca="false">VLOOKUP(A56,STRADDLE,8,FALSE())</f>
        <v>0.2975</v>
      </c>
      <c r="D56" s="40" t="n">
        <f aca="false">IF(D$28="nymex",0,VLOOKUP($A56,curvesettle,HLOOKUP(D$28,curvesettle,2,FALSE())))</f>
        <v>0.77</v>
      </c>
      <c r="E56" s="131" t="n">
        <f aca="false">IF(ISNUMBER(VLOOKUP($A56,VOLCURVES,HLOOKUP(D$28,VOLCURVES,2,FALSE()),FALSE())),VLOOKUP($A56,VOLCURVES,HLOOKUP(D$28,VOLCURVES,2,FALSE()),FALSE()),1)</f>
        <v>1.1</v>
      </c>
      <c r="F56" s="136" t="n">
        <f aca="false">IF(D$28="NYMEX",$AG56,$AF56)</f>
        <v>-8368</v>
      </c>
      <c r="G56" s="4" t="e">
        <f aca="false">(($C56+H56)*$E56)+B$15</f>
        <v>#DIV/0!</v>
      </c>
      <c r="H56" s="4" t="e">
        <f aca="false">IF($B$16=1,VLOOKUP($A56,SkewTable,HLOOKUP(ROUND(I56-AO56,1),SkewTable,2,FALSE()),FALSE())/100,0)</f>
        <v>#DIV/0!</v>
      </c>
      <c r="I56" s="41" t="n">
        <f aca="false">IF($B$19=4,$AO56,$B$18)</f>
        <v>12</v>
      </c>
      <c r="K56" s="40" t="n">
        <f aca="false">IF(K$28="nymex",0,VLOOKUP($A56,curvesettle,HLOOKUP(K$28,curvesettle,2,FALSE())))</f>
        <v>-0.0205</v>
      </c>
      <c r="L56" s="131" t="n">
        <f aca="false">IF(ISNUMBER(VLOOKUP($A56,VOLCURVES,HLOOKUP(K$28,VOLCURVES,2,FALSE()),FALSE())),VLOOKUP($A56,VOLCURVES,HLOOKUP(K$28,VOLCURVES,2,FALSE()),FALSE()),1)</f>
        <v>1</v>
      </c>
      <c r="M56" s="136" t="n">
        <f aca="false">IF(K$28="NYMEX",$AG56,$AF56)</f>
        <v>-8368</v>
      </c>
      <c r="N56" s="153" t="e">
        <f aca="false">(($C56+O56)*$L56)+D$15</f>
        <v>#DIV/0!</v>
      </c>
      <c r="O56" s="4" t="e">
        <f aca="false">IF($D$16=1,VLOOKUP($A56,SkewTable,HLOOKUP(ROUND(P56-AZ56,1),SkewTable,2,FALSE()),FALSE())/100,0)</f>
        <v>#DIV/0!</v>
      </c>
      <c r="P56" s="41" t="n">
        <f aca="false">IF($D$19=4,$AZ56,$D$18)</f>
        <v>3.75</v>
      </c>
      <c r="R56" s="40" t="n">
        <f aca="false">IF(R$28="nymex",0,VLOOKUP($A56,curvesettle,HLOOKUP(R$28,curvesettle,2,FALSE())))</f>
        <v>-0.0205</v>
      </c>
      <c r="S56" s="131" t="n">
        <f aca="false">IF(ISNUMBER(VLOOKUP($A56,VOLCURVES,HLOOKUP(R$28,VOLCURVES,2,FALSE()),FALSE())),VLOOKUP($A56,VOLCURVES,HLOOKUP(R$28,VOLCURVES,2,FALSE()),FALSE()),1)</f>
        <v>1</v>
      </c>
      <c r="T56" s="136" t="n">
        <f aca="false">IF(R$28="NYMEX",$AG56,$AF56)</f>
        <v>-8368</v>
      </c>
      <c r="U56" s="153" t="e">
        <f aca="false">(($C56+V56)*$S56)+F$15</f>
        <v>#DIV/0!</v>
      </c>
      <c r="V56" s="4" t="e">
        <f aca="false">IF($F$16=1,VLOOKUP($A56,SkewTable,HLOOKUP(ROUND(W56-BK56,1),SkewTable,2,FALSE()),FALSE())/100,0)</f>
        <v>#DIV/0!</v>
      </c>
      <c r="W56" s="41" t="n">
        <f aca="false">IF($F$19=4,$BK56,$F$18)</f>
        <v>3.5</v>
      </c>
      <c r="X56" s="136"/>
      <c r="Y56" s="40" t="n">
        <f aca="false">IF(Y$28="nymex",0,VLOOKUP($A56,curvesettle,HLOOKUP(Y$28,curvesettle,2,FALSE())))</f>
        <v>-0.285</v>
      </c>
      <c r="Z56" s="131" t="n">
        <f aca="false">IF(ISNUMBER(VLOOKUP($A56,VOLCURVES,HLOOKUP(Y$28,VOLCURVES,2,FALSE()),FALSE())),VLOOKUP($A56,VOLCURVES,HLOOKUP(Y$28,VOLCURVES,2,FALSE()),FALSE()),1)</f>
        <v>1</v>
      </c>
      <c r="AA56" s="136" t="n">
        <f aca="false">IF(Y$28="NYMEX",$AG56,$AF56)</f>
        <v>-8368</v>
      </c>
      <c r="AB56" s="4" t="n">
        <f aca="false">(($C56+AC56)*$Z56)+H$15</f>
        <v>0.2875</v>
      </c>
      <c r="AC56" s="4" t="n">
        <f aca="false">IF($H$16=1,VLOOKUP($A56,SkewTable,HLOOKUP(ROUND(AD56-BV56,1),SkewTable,2,FALSE()),FALSE())/100,0)</f>
        <v>-0.01</v>
      </c>
      <c r="AD56" s="41" t="n">
        <f aca="false">IF($H$19=4,$BV56,$H$18)</f>
        <v>3</v>
      </c>
      <c r="AF56" s="136" t="n">
        <f aca="false">VLOOKUP($A56,expiration,2,FALSE())-$B$2</f>
        <v>-8368</v>
      </c>
      <c r="AG56" s="136" t="n">
        <f aca="false">VLOOKUP($A56,expiration,3,FALSE())-$B$2</f>
        <v>-8369</v>
      </c>
      <c r="AH56" s="4" t="n">
        <f aca="false">VLOOKUP($A56,STRADDLE,12,FALSE())</f>
        <v>0.067190222129849</v>
      </c>
      <c r="AI56" s="43" t="n">
        <f aca="false">A57-A56</f>
        <v>30</v>
      </c>
      <c r="AL56" s="136"/>
      <c r="AM56" s="9"/>
      <c r="AN56" s="9" t="n">
        <f aca="false">IF($A56&gt;=AO$25,IF($A56&lt;=AO$26,$AI56,0),0)</f>
        <v>0</v>
      </c>
      <c r="AO56" s="9" t="e">
        <f aca="false">AQ56/AN56</f>
        <v>#DIV/0!</v>
      </c>
      <c r="AP56" s="1" t="n">
        <f aca="false">AN56*($B56+B$13)</f>
        <v>0</v>
      </c>
      <c r="AQ56" s="33" t="n">
        <f aca="false">IF(ISNUMBER(((AP56/AN56)+B$14+$D56)*AN56),((AP56/AN56)+B$14+$D56)*AN56,0)</f>
        <v>0</v>
      </c>
      <c r="AR56" s="44" t="n">
        <f aca="false">IF(AN56=0,0,bsd(1,AS$27,AO56,$I56,$F56,$G56,$AH56,0.1))</f>
        <v>0</v>
      </c>
      <c r="AS56" s="44" t="n">
        <f aca="false">IF(AN56=0,0,bsd(2,AS$27,AO56,$I56,$F56,$G56,$AH56,0.1))</f>
        <v>0</v>
      </c>
      <c r="AT56" s="44" t="n">
        <f aca="false">IF(AN56=0,0,bsd(AS$28,AS$27,AO56,$I56,$F56,$G56,$AH56,0.1))</f>
        <v>0</v>
      </c>
      <c r="AU56" s="45" t="n">
        <f aca="false">AN56*AR56</f>
        <v>0</v>
      </c>
      <c r="AV56" s="45" t="n">
        <f aca="false">AN56*AS56</f>
        <v>0</v>
      </c>
      <c r="AW56" s="45" t="n">
        <f aca="false">AN56*AT56</f>
        <v>0</v>
      </c>
      <c r="AY56" s="9" t="n">
        <f aca="false">IF($A56&gt;=AZ$25,IF($A56&lt;=AZ$26,$AI56,0),0)</f>
        <v>0</v>
      </c>
      <c r="AZ56" s="9" t="e">
        <f aca="false">BB56/AY56</f>
        <v>#DIV/0!</v>
      </c>
      <c r="BA56" s="1" t="n">
        <f aca="false">AY56*($B56+D$13)</f>
        <v>0</v>
      </c>
      <c r="BB56" s="33" t="n">
        <f aca="false">IF(ISNUMBER(((BA56/AY56)+D$14+$K56)*AY56),((BA56/AY56)+D$14+$K56)*AY56,0)</f>
        <v>0</v>
      </c>
      <c r="BC56" s="44" t="n">
        <f aca="false">IF(AY56=0,0,bsd(1,BD$27,AZ56,$P56,$M56,$N56,$AH56,0.1))</f>
        <v>0</v>
      </c>
      <c r="BD56" s="44" t="n">
        <f aca="false">IF(AY56=0,0,bsd(2,BD$27,AZ56,$P56,$M56,$N56,$AH56,0.1))</f>
        <v>0</v>
      </c>
      <c r="BE56" s="44" t="n">
        <f aca="false">IF(AY56=0,0,bsd(BD$28,BD$27,AZ56,$P56,$M56,$N56,$AH56,0.1))</f>
        <v>0</v>
      </c>
      <c r="BF56" s="45" t="n">
        <f aca="false">AY56*BC56</f>
        <v>0</v>
      </c>
      <c r="BG56" s="45" t="n">
        <f aca="false">AY56*BD56</f>
        <v>0</v>
      </c>
      <c r="BH56" s="45" t="n">
        <f aca="false">AY56*BE56</f>
        <v>0</v>
      </c>
      <c r="BJ56" s="9" t="n">
        <f aca="false">IF($A56&gt;=BK$25,IF($A56&lt;=BK$26,$AI56,0),0)</f>
        <v>0</v>
      </c>
      <c r="BK56" s="9" t="e">
        <f aca="false">BM56/BJ56</f>
        <v>#DIV/0!</v>
      </c>
      <c r="BL56" s="1" t="n">
        <f aca="false">BJ56*($B56+F$13)</f>
        <v>0</v>
      </c>
      <c r="BM56" s="33" t="n">
        <f aca="false">IF(ISNUMBER(((BL56/BJ56)+F$14+$R56)*BJ56),((BL56/BJ56)+F$14+$R56)*BJ56,0)</f>
        <v>0</v>
      </c>
      <c r="BN56" s="44" t="n">
        <f aca="false">IF(BJ56=0,0,bsd(1,BO$27,BK56,$W56,$T56,$U56,$AH56,0.1))</f>
        <v>0</v>
      </c>
      <c r="BO56" s="44" t="n">
        <f aca="false">IF(BJ56=0,0,bsd(2,BO$27,BK56,$W56,$T56,$U56,$AH56,0.1))</f>
        <v>0</v>
      </c>
      <c r="BP56" s="44" t="n">
        <f aca="false">IF(BJ56=0,0,bsd(BO$28,BO$27,BK56,$W56,$T56,$U56,$AH56,0.1))</f>
        <v>0</v>
      </c>
      <c r="BQ56" s="45" t="n">
        <f aca="false">BJ56*BN56</f>
        <v>0</v>
      </c>
      <c r="BR56" s="45" t="n">
        <f aca="false">BJ56*BO56</f>
        <v>0</v>
      </c>
      <c r="BS56" s="45" t="n">
        <f aca="false">BJ56*BP56</f>
        <v>0</v>
      </c>
      <c r="BU56" s="9" t="n">
        <f aca="false">IF($A56&gt;=BV$25,IF($A56&lt;=BV$26,$AI56,0),0)</f>
        <v>30</v>
      </c>
      <c r="BV56" s="9" t="n">
        <f aca="false">BX56/BU56</f>
        <v>3.515</v>
      </c>
      <c r="BW56" s="1" t="n">
        <f aca="false">BU56*($B56+H$13)</f>
        <v>114</v>
      </c>
      <c r="BX56" s="33" t="n">
        <f aca="false">IF(ISNUMBER(((BW56/BU56)+H$14+$Y56)*BU56),((BW56/BU56)+H$14+$Y56)*BU56,0)</f>
        <v>105.45</v>
      </c>
      <c r="BY56" s="44" t="e">
        <f aca="false">IF(BU56=0,0,bsd(1,BZ$27,BV56,$AD56,$AA56,$AB56,$AH56,0.1))</f>
        <v>#VALUE!</v>
      </c>
      <c r="BZ56" s="44" t="e">
        <f aca="false">IF(BU56=0,0,bsd(2,BZ$27,BV56,$AD56,$AA56,$AB56,$AH56,0.1))</f>
        <v>#VALUE!</v>
      </c>
      <c r="CA56" s="44" t="e">
        <f aca="false">IF(BU56=0,0,bsd(BZ$28,BZ$27,BV56,$AD56,$AA56,$AB56,$AH56,0.1))</f>
        <v>#VALUE!</v>
      </c>
      <c r="CB56" s="45" t="e">
        <f aca="false">BU56*BY56</f>
        <v>#VALUE!</v>
      </c>
      <c r="CC56" s="45" t="e">
        <f aca="false">BU56*BZ56</f>
        <v>#VALUE!</v>
      </c>
      <c r="CD56" s="45" t="e">
        <f aca="false">BU56*CA56</f>
        <v>#VALUE!</v>
      </c>
    </row>
    <row r="57" customFormat="false" ht="12.75" hidden="false" customHeight="false" outlineLevel="0" collapsed="false">
      <c r="A57" s="48" t="n">
        <f aca="false">DATE(YEAR(A56),MONTH(A56)+1,1)</f>
        <v>37591</v>
      </c>
      <c r="B57" s="40" t="n">
        <f aca="false">VLOOKUP(A57,STRADDLE,5,FALSE())</f>
        <v>3.876</v>
      </c>
      <c r="C57" s="4" t="n">
        <f aca="false">VLOOKUP(A57,STRADDLE,8,FALSE())</f>
        <v>0.3</v>
      </c>
      <c r="D57" s="40" t="n">
        <f aca="false">IF(D$28="nymex",0,VLOOKUP($A57,curvesettle,HLOOKUP(D$28,curvesettle,2,FALSE())))</f>
        <v>1.18</v>
      </c>
      <c r="E57" s="131" t="n">
        <f aca="false">IF(ISNUMBER(VLOOKUP($A57,VOLCURVES,HLOOKUP(D$28,VOLCURVES,2,FALSE()),FALSE())),VLOOKUP($A57,VOLCURVES,HLOOKUP(D$28,VOLCURVES,2,FALSE()),FALSE()),1)</f>
        <v>1.1</v>
      </c>
      <c r="F57" s="136" t="n">
        <f aca="false">IF(D$28="NYMEX",$AG57,$AF57)</f>
        <v>-8340</v>
      </c>
      <c r="G57" s="4" t="e">
        <f aca="false">(($C57+H57)*$E57)+B$15</f>
        <v>#DIV/0!</v>
      </c>
      <c r="H57" s="4" t="e">
        <f aca="false">IF($B$16=1,VLOOKUP($A57,SkewTable,HLOOKUP(ROUND(I57-AO57,1),SkewTable,2,FALSE()),FALSE())/100,0)</f>
        <v>#DIV/0!</v>
      </c>
      <c r="I57" s="41" t="n">
        <f aca="false">IF($B$19=4,$AO57,$B$18)</f>
        <v>12</v>
      </c>
      <c r="K57" s="40" t="n">
        <f aca="false">IF(K$28="nymex",0,VLOOKUP($A57,curvesettle,HLOOKUP(K$28,curvesettle,2,FALSE())))</f>
        <v>-0.0205</v>
      </c>
      <c r="L57" s="131" t="n">
        <f aca="false">IF(ISNUMBER(VLOOKUP($A57,VOLCURVES,HLOOKUP(K$28,VOLCURVES,2,FALSE()),FALSE())),VLOOKUP($A57,VOLCURVES,HLOOKUP(K$28,VOLCURVES,2,FALSE()),FALSE()),1)</f>
        <v>1</v>
      </c>
      <c r="M57" s="136" t="n">
        <f aca="false">IF(K$28="NYMEX",$AG57,$AF57)</f>
        <v>-8340</v>
      </c>
      <c r="N57" s="153" t="e">
        <f aca="false">(($C57+O57)*$L57)+D$15</f>
        <v>#DIV/0!</v>
      </c>
      <c r="O57" s="4" t="e">
        <f aca="false">IF($D$16=1,VLOOKUP($A57,SkewTable,HLOOKUP(ROUND(P57-AZ57,1),SkewTable,2,FALSE()),FALSE())/100,0)</f>
        <v>#DIV/0!</v>
      </c>
      <c r="P57" s="41" t="n">
        <f aca="false">IF($D$19=4,$AZ57,$D$18)</f>
        <v>3.75</v>
      </c>
      <c r="R57" s="40" t="n">
        <f aca="false">IF(R$28="nymex",0,VLOOKUP($A57,curvesettle,HLOOKUP(R$28,curvesettle,2,FALSE())))</f>
        <v>-0.0205</v>
      </c>
      <c r="S57" s="131" t="n">
        <f aca="false">IF(ISNUMBER(VLOOKUP($A57,VOLCURVES,HLOOKUP(R$28,VOLCURVES,2,FALSE()),FALSE())),VLOOKUP($A57,VOLCURVES,HLOOKUP(R$28,VOLCURVES,2,FALSE()),FALSE()),1)</f>
        <v>1</v>
      </c>
      <c r="T57" s="136" t="n">
        <f aca="false">IF(R$28="NYMEX",$AG57,$AF57)</f>
        <v>-8340</v>
      </c>
      <c r="U57" s="153" t="e">
        <f aca="false">(($C57+V57)*$S57)+F$15</f>
        <v>#DIV/0!</v>
      </c>
      <c r="V57" s="4" t="e">
        <f aca="false">IF($F$16=1,VLOOKUP($A57,SkewTable,HLOOKUP(ROUND(W57-BK57,1),SkewTable,2,FALSE()),FALSE())/100,0)</f>
        <v>#DIV/0!</v>
      </c>
      <c r="W57" s="41" t="n">
        <f aca="false">IF($F$19=4,$BK57,$F$18)</f>
        <v>3.5</v>
      </c>
      <c r="X57" s="136"/>
      <c r="Y57" s="40" t="n">
        <f aca="false">IF(Y$28="nymex",0,VLOOKUP($A57,curvesettle,HLOOKUP(Y$28,curvesettle,2,FALSE())))</f>
        <v>-0.285</v>
      </c>
      <c r="Z57" s="131" t="n">
        <f aca="false">IF(ISNUMBER(VLOOKUP($A57,VOLCURVES,HLOOKUP(Y$28,VOLCURVES,2,FALSE()),FALSE())),VLOOKUP($A57,VOLCURVES,HLOOKUP(Y$28,VOLCURVES,2,FALSE()),FALSE()),1)</f>
        <v>1</v>
      </c>
      <c r="AA57" s="136" t="n">
        <f aca="false">IF(Y$28="NYMEX",$AG57,$AF57)</f>
        <v>-8340</v>
      </c>
      <c r="AB57" s="4" t="n">
        <f aca="false">(($C57+AC57)*$Z57)+H$15</f>
        <v>0.2897275</v>
      </c>
      <c r="AC57" s="4" t="n">
        <f aca="false">IF($H$16=1,VLOOKUP($A57,SkewTable,HLOOKUP(ROUND(AD57-BV57,1),SkewTable,2,FALSE()),FALSE())/100,0)</f>
        <v>-0.0102725</v>
      </c>
      <c r="AD57" s="41" t="n">
        <f aca="false">IF($H$19=4,$BV57,$H$18)</f>
        <v>3</v>
      </c>
      <c r="AF57" s="136" t="n">
        <f aca="false">VLOOKUP($A57,expiration,2,FALSE())-$B$2</f>
        <v>-8340</v>
      </c>
      <c r="AG57" s="136" t="n">
        <f aca="false">VLOOKUP($A57,expiration,3,FALSE())-$B$2</f>
        <v>-8341</v>
      </c>
      <c r="AH57" s="4" t="n">
        <f aca="false">VLOOKUP($A57,STRADDLE,12,FALSE())</f>
        <v>0.067186058483608</v>
      </c>
      <c r="AI57" s="43" t="n">
        <f aca="false">A58-A57</f>
        <v>31</v>
      </c>
      <c r="AL57" s="136"/>
      <c r="AM57" s="9"/>
      <c r="AN57" s="9" t="n">
        <f aca="false">IF($A57&gt;=AO$25,IF($A57&lt;=AO$26,$AI57,0),0)</f>
        <v>0</v>
      </c>
      <c r="AO57" s="9" t="e">
        <f aca="false">AQ57/AN57</f>
        <v>#DIV/0!</v>
      </c>
      <c r="AP57" s="1" t="n">
        <f aca="false">AN57*($B57+B$13)</f>
        <v>0</v>
      </c>
      <c r="AQ57" s="33" t="n">
        <f aca="false">IF(ISNUMBER(((AP57/AN57)+B$14+$D57)*AN57),((AP57/AN57)+B$14+$D57)*AN57,0)</f>
        <v>0</v>
      </c>
      <c r="AR57" s="44" t="n">
        <f aca="false">IF(AN57=0,0,bsd(1,AS$27,AO57,$I57,$F57,$G57,$AH57,0.1))</f>
        <v>0</v>
      </c>
      <c r="AS57" s="44" t="n">
        <f aca="false">IF(AN57=0,0,bsd(2,AS$27,AO57,$I57,$F57,$G57,$AH57,0.1))</f>
        <v>0</v>
      </c>
      <c r="AT57" s="44" t="n">
        <f aca="false">IF(AN57=0,0,bsd(AS$28,AS$27,AO57,$I57,$F57,$G57,$AH57,0.1))</f>
        <v>0</v>
      </c>
      <c r="AU57" s="45" t="n">
        <f aca="false">AN57*AR57</f>
        <v>0</v>
      </c>
      <c r="AV57" s="45" t="n">
        <f aca="false">AN57*AS57</f>
        <v>0</v>
      </c>
      <c r="AW57" s="45" t="n">
        <f aca="false">AN57*AT57</f>
        <v>0</v>
      </c>
      <c r="AY57" s="9" t="n">
        <f aca="false">IF($A57&gt;=AZ$25,IF($A57&lt;=AZ$26,$AI57,0),0)</f>
        <v>0</v>
      </c>
      <c r="AZ57" s="9" t="e">
        <f aca="false">BB57/AY57</f>
        <v>#DIV/0!</v>
      </c>
      <c r="BA57" s="1" t="n">
        <f aca="false">AY57*($B57+D$13)</f>
        <v>0</v>
      </c>
      <c r="BB57" s="33" t="n">
        <f aca="false">IF(ISNUMBER(((BA57/AY57)+D$14+$K57)*AY57),((BA57/AY57)+D$14+$K57)*AY57,0)</f>
        <v>0</v>
      </c>
      <c r="BC57" s="44" t="n">
        <f aca="false">IF(AY57=0,0,bsd(1,BD$27,AZ57,$P57,$M57,$N57,$AH57,0.1))</f>
        <v>0</v>
      </c>
      <c r="BD57" s="44" t="n">
        <f aca="false">IF(AY57=0,0,bsd(2,BD$27,AZ57,$P57,$M57,$N57,$AH57,0.1))</f>
        <v>0</v>
      </c>
      <c r="BE57" s="44" t="n">
        <f aca="false">IF(AY57=0,0,bsd(BD$28,BD$27,AZ57,$P57,$M57,$N57,$AH57,0.1))</f>
        <v>0</v>
      </c>
      <c r="BF57" s="45" t="n">
        <f aca="false">AY57*BC57</f>
        <v>0</v>
      </c>
      <c r="BG57" s="45" t="n">
        <f aca="false">AY57*BD57</f>
        <v>0</v>
      </c>
      <c r="BH57" s="45" t="n">
        <f aca="false">AY57*BE57</f>
        <v>0</v>
      </c>
      <c r="BJ57" s="9" t="n">
        <f aca="false">IF($A57&gt;=BK$25,IF($A57&lt;=BK$26,$AI57,0),0)</f>
        <v>0</v>
      </c>
      <c r="BK57" s="9" t="e">
        <f aca="false">BM57/BJ57</f>
        <v>#DIV/0!</v>
      </c>
      <c r="BL57" s="1" t="n">
        <f aca="false">BJ57*($B57+F$13)</f>
        <v>0</v>
      </c>
      <c r="BM57" s="33" t="n">
        <f aca="false">IF(ISNUMBER(((BL57/BJ57)+F$14+$R57)*BJ57),((BL57/BJ57)+F$14+$R57)*BJ57,0)</f>
        <v>0</v>
      </c>
      <c r="BN57" s="44" t="n">
        <f aca="false">IF(BJ57=0,0,bsd(1,BO$27,BK57,$W57,$T57,$U57,$AH57,0.1))</f>
        <v>0</v>
      </c>
      <c r="BO57" s="44" t="n">
        <f aca="false">IF(BJ57=0,0,bsd(2,BO$27,BK57,$W57,$T57,$U57,$AH57,0.1))</f>
        <v>0</v>
      </c>
      <c r="BP57" s="44" t="n">
        <f aca="false">IF(BJ57=0,0,bsd(BO$28,BO$27,BK57,$W57,$T57,$U57,$AH57,0.1))</f>
        <v>0</v>
      </c>
      <c r="BQ57" s="45" t="n">
        <f aca="false">BJ57*BN57</f>
        <v>0</v>
      </c>
      <c r="BR57" s="45" t="n">
        <f aca="false">BJ57*BO57</f>
        <v>0</v>
      </c>
      <c r="BS57" s="45" t="n">
        <f aca="false">BJ57*BP57</f>
        <v>0</v>
      </c>
      <c r="BU57" s="9" t="n">
        <f aca="false">IF($A57&gt;=BV$25,IF($A57&lt;=BV$26,$AI57,0),0)</f>
        <v>31</v>
      </c>
      <c r="BV57" s="9" t="n">
        <f aca="false">BX57/BU57</f>
        <v>3.591</v>
      </c>
      <c r="BW57" s="1" t="n">
        <f aca="false">BU57*($B57+H$13)</f>
        <v>120.156</v>
      </c>
      <c r="BX57" s="33" t="n">
        <f aca="false">IF(ISNUMBER(((BW57/BU57)+H$14+$Y57)*BU57),((BW57/BU57)+H$14+$Y57)*BU57,0)</f>
        <v>111.321</v>
      </c>
      <c r="BY57" s="44" t="e">
        <f aca="false">IF(BU57=0,0,bsd(1,BZ$27,BV57,$AD57,$AA57,$AB57,$AH57,0.1))</f>
        <v>#VALUE!</v>
      </c>
      <c r="BZ57" s="44" t="e">
        <f aca="false">IF(BU57=0,0,bsd(2,BZ$27,BV57,$AD57,$AA57,$AB57,$AH57,0.1))</f>
        <v>#VALUE!</v>
      </c>
      <c r="CA57" s="44" t="e">
        <f aca="false">IF(BU57=0,0,bsd(BZ$28,BZ$27,BV57,$AD57,$AA57,$AB57,$AH57,0.1))</f>
        <v>#VALUE!</v>
      </c>
      <c r="CB57" s="45" t="e">
        <f aca="false">BU57*BY57</f>
        <v>#VALUE!</v>
      </c>
      <c r="CC57" s="45" t="e">
        <f aca="false">BU57*BZ57</f>
        <v>#VALUE!</v>
      </c>
      <c r="CD57" s="45" t="e">
        <f aca="false">BU57*CA57</f>
        <v>#VALUE!</v>
      </c>
    </row>
    <row r="58" customFormat="false" ht="12.75" hidden="false" customHeight="false" outlineLevel="0" collapsed="false">
      <c r="A58" s="48" t="n">
        <f aca="false">DATE(YEAR(A57),MONTH(A57)+1,1)</f>
        <v>37622</v>
      </c>
      <c r="B58" s="40" t="n">
        <f aca="false">VLOOKUP(A58,STRADDLE,5,FALSE())</f>
        <v>3.857</v>
      </c>
      <c r="C58" s="4" t="n">
        <f aca="false">VLOOKUP(A58,STRADDLE,8,FALSE())</f>
        <v>0.29</v>
      </c>
      <c r="D58" s="40" t="n">
        <f aca="false">IF(D$28="nymex",0,VLOOKUP($A58,curvesettle,HLOOKUP(D$28,curvesettle,2,FALSE())))</f>
        <v>1.5</v>
      </c>
      <c r="E58" s="131" t="n">
        <f aca="false">IF(ISNUMBER(VLOOKUP($A58,VOLCURVES,HLOOKUP(D$28,VOLCURVES,2,FALSE()),FALSE())),VLOOKUP($A58,VOLCURVES,HLOOKUP(D$28,VOLCURVES,2,FALSE()),FALSE()),1)</f>
        <v>1.1</v>
      </c>
      <c r="F58" s="136" t="n">
        <f aca="false">IF(D$28="NYMEX",$AG58,$AF58)</f>
        <v>-8309</v>
      </c>
      <c r="G58" s="4" t="e">
        <f aca="false">(($C58+H58)*$E58)+B$15</f>
        <v>#DIV/0!</v>
      </c>
      <c r="H58" s="4" t="e">
        <f aca="false">IF($B$16=1,VLOOKUP($A58,SkewTable,HLOOKUP(ROUND(I58-AO58,1),SkewTable,2,FALSE()),FALSE())/100,0)</f>
        <v>#DIV/0!</v>
      </c>
      <c r="I58" s="41" t="n">
        <f aca="false">IF($B$19=4,$AO58,$B$18)</f>
        <v>12</v>
      </c>
      <c r="K58" s="40" t="n">
        <f aca="false">IF(K$28="nymex",0,VLOOKUP($A58,curvesettle,HLOOKUP(K$28,curvesettle,2,FALSE())))</f>
        <v>-0.0205</v>
      </c>
      <c r="L58" s="131" t="n">
        <f aca="false">IF(ISNUMBER(VLOOKUP($A58,VOLCURVES,HLOOKUP(K$28,VOLCURVES,2,FALSE()),FALSE())),VLOOKUP($A58,VOLCURVES,HLOOKUP(K$28,VOLCURVES,2,FALSE()),FALSE()),1)</f>
        <v>1</v>
      </c>
      <c r="M58" s="136" t="n">
        <f aca="false">IF(K$28="NYMEX",$AG58,$AF58)</f>
        <v>-8309</v>
      </c>
      <c r="N58" s="153" t="e">
        <f aca="false">(($C58+O58)*$L58)+D$15</f>
        <v>#DIV/0!</v>
      </c>
      <c r="O58" s="4" t="e">
        <f aca="false">IF($D$16=1,VLOOKUP($A58,SkewTable,HLOOKUP(ROUND(P58-AZ58,1),SkewTable,2,FALSE()),FALSE())/100,0)</f>
        <v>#DIV/0!</v>
      </c>
      <c r="P58" s="41" t="n">
        <f aca="false">IF($D$19=4,$AZ58,$D$18)</f>
        <v>3.75</v>
      </c>
      <c r="R58" s="40" t="n">
        <f aca="false">IF(R$28="nymex",0,VLOOKUP($A58,curvesettle,HLOOKUP(R$28,curvesettle,2,FALSE())))</f>
        <v>-0.0205</v>
      </c>
      <c r="S58" s="131" t="n">
        <f aca="false">IF(ISNUMBER(VLOOKUP($A58,VOLCURVES,HLOOKUP(R$28,VOLCURVES,2,FALSE()),FALSE())),VLOOKUP($A58,VOLCURVES,HLOOKUP(R$28,VOLCURVES,2,FALSE()),FALSE()),1)</f>
        <v>1</v>
      </c>
      <c r="T58" s="136" t="n">
        <f aca="false">IF(R$28="NYMEX",$AG58,$AF58)</f>
        <v>-8309</v>
      </c>
      <c r="U58" s="153" t="e">
        <f aca="false">(($C58+V58)*$S58)+F$15</f>
        <v>#DIV/0!</v>
      </c>
      <c r="V58" s="4" t="e">
        <f aca="false">IF($F$16=1,VLOOKUP($A58,SkewTable,HLOOKUP(ROUND(W58-BK58,1),SkewTable,2,FALSE()),FALSE())/100,0)</f>
        <v>#DIV/0!</v>
      </c>
      <c r="W58" s="41" t="n">
        <f aca="false">IF($F$19=4,$BK58,$F$18)</f>
        <v>3.5</v>
      </c>
      <c r="X58" s="136"/>
      <c r="Y58" s="40" t="n">
        <f aca="false">IF(Y$28="nymex",0,VLOOKUP($A58,curvesettle,HLOOKUP(Y$28,curvesettle,2,FALSE())))</f>
        <v>-0.285</v>
      </c>
      <c r="Z58" s="131" t="n">
        <f aca="false">IF(ISNUMBER(VLOOKUP($A58,VOLCURVES,HLOOKUP(Y$28,VOLCURVES,2,FALSE()),FALSE())),VLOOKUP($A58,VOLCURVES,HLOOKUP(Y$28,VOLCURVES,2,FALSE()),FALSE()),1)</f>
        <v>1</v>
      </c>
      <c r="AA58" s="136" t="n">
        <f aca="false">IF(Y$28="NYMEX",$AG58,$AF58)</f>
        <v>-8309</v>
      </c>
      <c r="AB58" s="4" t="n">
        <f aca="false">(($C58+AC58)*$Z58)+H$15</f>
        <v>0.2797275</v>
      </c>
      <c r="AC58" s="4" t="n">
        <f aca="false">IF($H$16=1,VLOOKUP($A58,SkewTable,HLOOKUP(ROUND(AD58-BV58,1),SkewTable,2,FALSE()),FALSE())/100,0)</f>
        <v>-0.0102725</v>
      </c>
      <c r="AD58" s="41" t="n">
        <f aca="false">IF($H$19=4,$BV58,$H$18)</f>
        <v>3</v>
      </c>
      <c r="AF58" s="136" t="n">
        <f aca="false">VLOOKUP($A58,expiration,2,FALSE())-$B$2</f>
        <v>-8309</v>
      </c>
      <c r="AG58" s="136" t="n">
        <f aca="false">VLOOKUP($A58,expiration,3,FALSE())-$B$2</f>
        <v>-8310</v>
      </c>
      <c r="AH58" s="4" t="n">
        <f aca="false">VLOOKUP($A58,STRADDLE,12,FALSE())</f>
        <v>0.067193160128611</v>
      </c>
      <c r="AI58" s="43" t="n">
        <f aca="false">A59-A58</f>
        <v>31</v>
      </c>
      <c r="AL58" s="136"/>
      <c r="AM58" s="9"/>
      <c r="AN58" s="9" t="n">
        <f aca="false">IF($A58&gt;=AO$25,IF($A58&lt;=AO$26,$AI58,0),0)</f>
        <v>0</v>
      </c>
      <c r="AO58" s="9" t="e">
        <f aca="false">AQ58/AN58</f>
        <v>#DIV/0!</v>
      </c>
      <c r="AP58" s="1" t="n">
        <f aca="false">AN58*($B58+B$13)</f>
        <v>0</v>
      </c>
      <c r="AQ58" s="33" t="n">
        <f aca="false">IF(ISNUMBER(((AP58/AN58)+B$14+$D58)*AN58),((AP58/AN58)+B$14+$D58)*AN58,0)</f>
        <v>0</v>
      </c>
      <c r="AR58" s="44" t="n">
        <f aca="false">IF(AN58=0,0,bsd(1,AS$27,AO58,$I58,$F58,$G58,$AH58,0.1))</f>
        <v>0</v>
      </c>
      <c r="AS58" s="44" t="n">
        <f aca="false">IF(AN58=0,0,bsd(2,AS$27,AO58,$I58,$F58,$G58,$AH58,0.1))</f>
        <v>0</v>
      </c>
      <c r="AT58" s="44" t="n">
        <f aca="false">IF(AN58=0,0,bsd(AS$28,AS$27,AO58,$I58,$F58,$G58,$AH58,0.1))</f>
        <v>0</v>
      </c>
      <c r="AU58" s="45" t="n">
        <f aca="false">AN58*AR58</f>
        <v>0</v>
      </c>
      <c r="AV58" s="45" t="n">
        <f aca="false">AN58*AS58</f>
        <v>0</v>
      </c>
      <c r="AW58" s="45" t="n">
        <f aca="false">AN58*AT58</f>
        <v>0</v>
      </c>
      <c r="AY58" s="9" t="n">
        <f aca="false">IF($A58&gt;=AZ$25,IF($A58&lt;=AZ$26,$AI58,0),0)</f>
        <v>0</v>
      </c>
      <c r="AZ58" s="9" t="e">
        <f aca="false">BB58/AY58</f>
        <v>#DIV/0!</v>
      </c>
      <c r="BA58" s="1" t="n">
        <f aca="false">AY58*($B58+D$13)</f>
        <v>0</v>
      </c>
      <c r="BB58" s="33" t="n">
        <f aca="false">IF(ISNUMBER(((BA58/AY58)+D$14+$K58)*AY58),((BA58/AY58)+D$14+$K58)*AY58,0)</f>
        <v>0</v>
      </c>
      <c r="BC58" s="44" t="n">
        <f aca="false">IF(AY58=0,0,bsd(1,BD$27,AZ58,$P58,$M58,$N58,$AH58,0.1))</f>
        <v>0</v>
      </c>
      <c r="BD58" s="44" t="n">
        <f aca="false">IF(AY58=0,0,bsd(2,BD$27,AZ58,$P58,$M58,$N58,$AH58,0.1))</f>
        <v>0</v>
      </c>
      <c r="BE58" s="44" t="n">
        <f aca="false">IF(AY58=0,0,bsd(BD$28,BD$27,AZ58,$P58,$M58,$N58,$AH58,0.1))</f>
        <v>0</v>
      </c>
      <c r="BF58" s="45" t="n">
        <f aca="false">AY58*BC58</f>
        <v>0</v>
      </c>
      <c r="BG58" s="45" t="n">
        <f aca="false">AY58*BD58</f>
        <v>0</v>
      </c>
      <c r="BH58" s="45" t="n">
        <f aca="false">AY58*BE58</f>
        <v>0</v>
      </c>
      <c r="BJ58" s="9" t="n">
        <f aca="false">IF($A58&gt;=BK$25,IF($A58&lt;=BK$26,$AI58,0),0)</f>
        <v>0</v>
      </c>
      <c r="BK58" s="9" t="e">
        <f aca="false">BM58/BJ58</f>
        <v>#DIV/0!</v>
      </c>
      <c r="BL58" s="1" t="n">
        <f aca="false">BJ58*($B58+F$13)</f>
        <v>0</v>
      </c>
      <c r="BM58" s="33" t="n">
        <f aca="false">IF(ISNUMBER(((BL58/BJ58)+F$14+$R58)*BJ58),((BL58/BJ58)+F$14+$R58)*BJ58,0)</f>
        <v>0</v>
      </c>
      <c r="BN58" s="44" t="n">
        <f aca="false">IF(BJ58=0,0,bsd(1,BO$27,BK58,$W58,$T58,$U58,$AH58,0.1))</f>
        <v>0</v>
      </c>
      <c r="BO58" s="44" t="n">
        <f aca="false">IF(BJ58=0,0,bsd(2,BO$27,BK58,$W58,$T58,$U58,$AH58,0.1))</f>
        <v>0</v>
      </c>
      <c r="BP58" s="44" t="n">
        <f aca="false">IF(BJ58=0,0,bsd(BO$28,BO$27,BK58,$W58,$T58,$U58,$AH58,0.1))</f>
        <v>0</v>
      </c>
      <c r="BQ58" s="45" t="n">
        <f aca="false">BJ58*BN58</f>
        <v>0</v>
      </c>
      <c r="BR58" s="45" t="n">
        <f aca="false">BJ58*BO58</f>
        <v>0</v>
      </c>
      <c r="BS58" s="45" t="n">
        <f aca="false">BJ58*BP58</f>
        <v>0</v>
      </c>
      <c r="BU58" s="9" t="n">
        <f aca="false">IF($A58&gt;=BV$25,IF($A58&lt;=BV$26,$AI58,0),0)</f>
        <v>31</v>
      </c>
      <c r="BV58" s="9" t="n">
        <f aca="false">BX58/BU58</f>
        <v>3.572</v>
      </c>
      <c r="BW58" s="1" t="n">
        <f aca="false">BU58*($B58+H$13)</f>
        <v>119.567</v>
      </c>
      <c r="BX58" s="33" t="n">
        <f aca="false">IF(ISNUMBER(((BW58/BU58)+H$14+$Y58)*BU58),((BW58/BU58)+H$14+$Y58)*BU58,0)</f>
        <v>110.732</v>
      </c>
      <c r="BY58" s="44" t="e">
        <f aca="false">IF(BU58=0,0,bsd(1,BZ$27,BV58,$AD58,$AA58,$AB58,$AH58,0.1))</f>
        <v>#VALUE!</v>
      </c>
      <c r="BZ58" s="44" t="e">
        <f aca="false">IF(BU58=0,0,bsd(2,BZ$27,BV58,$AD58,$AA58,$AB58,$AH58,0.1))</f>
        <v>#VALUE!</v>
      </c>
      <c r="CA58" s="44" t="e">
        <f aca="false">IF(BU58=0,0,bsd(BZ$28,BZ$27,BV58,$AD58,$AA58,$AB58,$AH58,0.1))</f>
        <v>#VALUE!</v>
      </c>
      <c r="CB58" s="45" t="e">
        <f aca="false">BU58*BY58</f>
        <v>#VALUE!</v>
      </c>
      <c r="CC58" s="45" t="e">
        <f aca="false">BU58*BZ58</f>
        <v>#VALUE!</v>
      </c>
      <c r="CD58" s="45" t="e">
        <f aca="false">BU58*CA58</f>
        <v>#VALUE!</v>
      </c>
    </row>
    <row r="59" customFormat="false" ht="12.75" hidden="false" customHeight="false" outlineLevel="0" collapsed="false">
      <c r="A59" s="48" t="n">
        <f aca="false">DATE(YEAR(A58),MONTH(A58)+1,1)</f>
        <v>37653</v>
      </c>
      <c r="B59" s="40" t="n">
        <f aca="false">VLOOKUP(A59,STRADDLE,5,FALSE())</f>
        <v>3.695</v>
      </c>
      <c r="C59" s="4" t="n">
        <f aca="false">VLOOKUP(A59,STRADDLE,8,FALSE())</f>
        <v>0.2875</v>
      </c>
      <c r="D59" s="40" t="n">
        <f aca="false">IF(D$28="nymex",0,VLOOKUP($A59,curvesettle,HLOOKUP(D$28,curvesettle,2,FALSE())))</f>
        <v>1.45</v>
      </c>
      <c r="E59" s="131" t="n">
        <f aca="false">IF(ISNUMBER(VLOOKUP($A59,VOLCURVES,HLOOKUP(D$28,VOLCURVES,2,FALSE()),FALSE())),VLOOKUP($A59,VOLCURVES,HLOOKUP(D$28,VOLCURVES,2,FALSE()),FALSE()),1)</f>
        <v>1.1</v>
      </c>
      <c r="F59" s="136" t="n">
        <f aca="false">IF(D$28="NYMEX",$AG59,$AF59)</f>
        <v>-8276</v>
      </c>
      <c r="G59" s="4" t="e">
        <f aca="false">(($C59+H59)*$E59)+B$15</f>
        <v>#DIV/0!</v>
      </c>
      <c r="H59" s="4" t="e">
        <f aca="false">IF($B$16=1,VLOOKUP($A59,SkewTable,HLOOKUP(ROUND(I59-AO59,1),SkewTable,2,FALSE()),FALSE())/100,0)</f>
        <v>#DIV/0!</v>
      </c>
      <c r="I59" s="41" t="n">
        <f aca="false">IF($B$19=4,$AO59,$B$18)</f>
        <v>12</v>
      </c>
      <c r="K59" s="40" t="n">
        <f aca="false">IF(K$28="nymex",0,VLOOKUP($A59,curvesettle,HLOOKUP(K$28,curvesettle,2,FALSE())))</f>
        <v>-0.0205</v>
      </c>
      <c r="L59" s="131" t="n">
        <f aca="false">IF(ISNUMBER(VLOOKUP($A59,VOLCURVES,HLOOKUP(K$28,VOLCURVES,2,FALSE()),FALSE())),VLOOKUP($A59,VOLCURVES,HLOOKUP(K$28,VOLCURVES,2,FALSE()),FALSE()),1)</f>
        <v>1</v>
      </c>
      <c r="M59" s="136" t="n">
        <f aca="false">IF(K$28="NYMEX",$AG59,$AF59)</f>
        <v>-8276</v>
      </c>
      <c r="N59" s="153" t="e">
        <f aca="false">(($C59+O59)*$L59)+D$15</f>
        <v>#DIV/0!</v>
      </c>
      <c r="O59" s="4" t="e">
        <f aca="false">IF($D$16=1,VLOOKUP($A59,SkewTable,HLOOKUP(ROUND(P59-AZ59,1),SkewTable,2,FALSE()),FALSE())/100,0)</f>
        <v>#DIV/0!</v>
      </c>
      <c r="P59" s="41" t="n">
        <f aca="false">IF($D$19=4,$AZ59,$D$18)</f>
        <v>3.75</v>
      </c>
      <c r="R59" s="40" t="n">
        <f aca="false">IF(R$28="nymex",0,VLOOKUP($A59,curvesettle,HLOOKUP(R$28,curvesettle,2,FALSE())))</f>
        <v>-0.0205</v>
      </c>
      <c r="S59" s="131" t="n">
        <f aca="false">IF(ISNUMBER(VLOOKUP($A59,VOLCURVES,HLOOKUP(R$28,VOLCURVES,2,FALSE()),FALSE())),VLOOKUP($A59,VOLCURVES,HLOOKUP(R$28,VOLCURVES,2,FALSE()),FALSE()),1)</f>
        <v>1</v>
      </c>
      <c r="T59" s="136" t="n">
        <f aca="false">IF(R$28="NYMEX",$AG59,$AF59)</f>
        <v>-8276</v>
      </c>
      <c r="U59" s="153" t="e">
        <f aca="false">(($C59+V59)*$S59)+F$15</f>
        <v>#DIV/0!</v>
      </c>
      <c r="V59" s="4" t="e">
        <f aca="false">IF($F$16=1,VLOOKUP($A59,SkewTable,HLOOKUP(ROUND(W59-BK59,1),SkewTable,2,FALSE()),FALSE())/100,0)</f>
        <v>#DIV/0!</v>
      </c>
      <c r="W59" s="41" t="n">
        <f aca="false">IF($F$19=4,$BK59,$F$18)</f>
        <v>3.5</v>
      </c>
      <c r="X59" s="136"/>
      <c r="Y59" s="40" t="n">
        <f aca="false">IF(Y$28="nymex",0,VLOOKUP($A59,curvesettle,HLOOKUP(Y$28,curvesettle,2,FALSE())))</f>
        <v>-0.285</v>
      </c>
      <c r="Z59" s="131" t="n">
        <f aca="false">IF(ISNUMBER(VLOOKUP($A59,VOLCURVES,HLOOKUP(Y$28,VOLCURVES,2,FALSE()),FALSE())),VLOOKUP($A59,VOLCURVES,HLOOKUP(Y$28,VOLCURVES,2,FALSE()),FALSE()),1)</f>
        <v>1</v>
      </c>
      <c r="AA59" s="136" t="n">
        <f aca="false">IF(Y$28="NYMEX",$AG59,$AF59)</f>
        <v>-8276</v>
      </c>
      <c r="AB59" s="4" t="n">
        <f aca="false">(($C59+AC59)*$Z59)+H$15</f>
        <v>0.2795</v>
      </c>
      <c r="AC59" s="4" t="n">
        <f aca="false">IF($H$16=1,VLOOKUP($A59,SkewTable,HLOOKUP(ROUND(AD59-BV59,1),SkewTable,2,FALSE()),FALSE())/100,0)</f>
        <v>-0.008</v>
      </c>
      <c r="AD59" s="41" t="n">
        <f aca="false">IF($H$19=4,$BV59,$H$18)</f>
        <v>3</v>
      </c>
      <c r="AF59" s="136" t="n">
        <f aca="false">VLOOKUP($A59,expiration,2,FALSE())-$B$2</f>
        <v>-8276</v>
      </c>
      <c r="AG59" s="136" t="n">
        <f aca="false">VLOOKUP($A59,expiration,3,FALSE())-$B$2</f>
        <v>-8277</v>
      </c>
      <c r="AH59" s="4" t="n">
        <f aca="false">VLOOKUP($A59,STRADDLE,12,FALSE())</f>
        <v>0.067214109584478</v>
      </c>
      <c r="AI59" s="43" t="n">
        <f aca="false">A60-A59</f>
        <v>28</v>
      </c>
      <c r="AL59" s="136"/>
      <c r="AM59" s="9"/>
      <c r="AN59" s="9" t="n">
        <f aca="false">IF($A59&gt;=AO$25,IF($A59&lt;=AO$26,$AI59,0),0)</f>
        <v>0</v>
      </c>
      <c r="AO59" s="9" t="e">
        <f aca="false">AQ59/AN59</f>
        <v>#DIV/0!</v>
      </c>
      <c r="AP59" s="1" t="n">
        <f aca="false">AN59*($B59+B$13)</f>
        <v>0</v>
      </c>
      <c r="AQ59" s="33" t="n">
        <f aca="false">IF(ISNUMBER(((AP59/AN59)+B$14+$D59)*AN59),((AP59/AN59)+B$14+$D59)*AN59,0)</f>
        <v>0</v>
      </c>
      <c r="AR59" s="44" t="n">
        <f aca="false">IF(AN59=0,0,bsd(1,AS$27,AO59,$I59,$F59,$G59,$AH59,0.1))</f>
        <v>0</v>
      </c>
      <c r="AS59" s="44" t="n">
        <f aca="false">IF(AN59=0,0,bsd(2,AS$27,AO59,$I59,$F59,$G59,$AH59,0.1))</f>
        <v>0</v>
      </c>
      <c r="AT59" s="44" t="n">
        <f aca="false">IF(AN59=0,0,bsd(AS$28,AS$27,AO59,$I59,$F59,$G59,$AH59,0.1))</f>
        <v>0</v>
      </c>
      <c r="AU59" s="45" t="n">
        <f aca="false">AN59*AR59</f>
        <v>0</v>
      </c>
      <c r="AV59" s="45" t="n">
        <f aca="false">AN59*AS59</f>
        <v>0</v>
      </c>
      <c r="AW59" s="45" t="n">
        <f aca="false">AN59*AT59</f>
        <v>0</v>
      </c>
      <c r="AY59" s="9" t="n">
        <f aca="false">IF($A59&gt;=AZ$25,IF($A59&lt;=AZ$26,$AI59,0),0)</f>
        <v>0</v>
      </c>
      <c r="AZ59" s="9" t="e">
        <f aca="false">BB59/AY59</f>
        <v>#DIV/0!</v>
      </c>
      <c r="BA59" s="1" t="n">
        <f aca="false">AY59*($B59+D$13)</f>
        <v>0</v>
      </c>
      <c r="BB59" s="33" t="n">
        <f aca="false">IF(ISNUMBER(((BA59/AY59)+D$14+$K59)*AY59),((BA59/AY59)+D$14+$K59)*AY59,0)</f>
        <v>0</v>
      </c>
      <c r="BC59" s="44" t="n">
        <f aca="false">IF(AY59=0,0,bsd(1,BD$27,AZ59,$P59,$M59,$N59,$AH59,0.1))</f>
        <v>0</v>
      </c>
      <c r="BD59" s="44" t="n">
        <f aca="false">IF(AY59=0,0,bsd(2,BD$27,AZ59,$P59,$M59,$N59,$AH59,0.1))</f>
        <v>0</v>
      </c>
      <c r="BE59" s="44" t="n">
        <f aca="false">IF(AY59=0,0,bsd(BD$28,BD$27,AZ59,$P59,$M59,$N59,$AH59,0.1))</f>
        <v>0</v>
      </c>
      <c r="BF59" s="45" t="n">
        <f aca="false">AY59*BC59</f>
        <v>0</v>
      </c>
      <c r="BG59" s="45" t="n">
        <f aca="false">AY59*BD59</f>
        <v>0</v>
      </c>
      <c r="BH59" s="45" t="n">
        <f aca="false">AY59*BE59</f>
        <v>0</v>
      </c>
      <c r="BJ59" s="9" t="n">
        <f aca="false">IF($A59&gt;=BK$25,IF($A59&lt;=BK$26,$AI59,0),0)</f>
        <v>0</v>
      </c>
      <c r="BK59" s="9" t="e">
        <f aca="false">BM59/BJ59</f>
        <v>#DIV/0!</v>
      </c>
      <c r="BL59" s="1" t="n">
        <f aca="false">BJ59*($B59+F$13)</f>
        <v>0</v>
      </c>
      <c r="BM59" s="33" t="n">
        <f aca="false">IF(ISNUMBER(((BL59/BJ59)+F$14+$R59)*BJ59),((BL59/BJ59)+F$14+$R59)*BJ59,0)</f>
        <v>0</v>
      </c>
      <c r="BN59" s="44" t="n">
        <f aca="false">IF(BJ59=0,0,bsd(1,BO$27,BK59,$W59,$T59,$U59,$AH59,0.1))</f>
        <v>0</v>
      </c>
      <c r="BO59" s="44" t="n">
        <f aca="false">IF(BJ59=0,0,bsd(2,BO$27,BK59,$W59,$T59,$U59,$AH59,0.1))</f>
        <v>0</v>
      </c>
      <c r="BP59" s="44" t="n">
        <f aca="false">IF(BJ59=0,0,bsd(BO$28,BO$27,BK59,$W59,$T59,$U59,$AH59,0.1))</f>
        <v>0</v>
      </c>
      <c r="BQ59" s="45" t="n">
        <f aca="false">BJ59*BN59</f>
        <v>0</v>
      </c>
      <c r="BR59" s="45" t="n">
        <f aca="false">BJ59*BO59</f>
        <v>0</v>
      </c>
      <c r="BS59" s="45" t="n">
        <f aca="false">BJ59*BP59</f>
        <v>0</v>
      </c>
      <c r="BU59" s="9" t="n">
        <f aca="false">IF($A59&gt;=BV$25,IF($A59&lt;=BV$26,$AI59,0),0)</f>
        <v>28</v>
      </c>
      <c r="BV59" s="9" t="n">
        <f aca="false">BX59/BU59</f>
        <v>3.41</v>
      </c>
      <c r="BW59" s="1" t="n">
        <f aca="false">BU59*($B59+H$13)</f>
        <v>103.46</v>
      </c>
      <c r="BX59" s="33" t="n">
        <f aca="false">IF(ISNUMBER(((BW59/BU59)+H$14+$Y59)*BU59),((BW59/BU59)+H$14+$Y59)*BU59,0)</f>
        <v>95.48</v>
      </c>
      <c r="BY59" s="44" t="e">
        <f aca="false">IF(BU59=0,0,bsd(1,BZ$27,BV59,$AD59,$AA59,$AB59,$AH59,0.1))</f>
        <v>#VALUE!</v>
      </c>
      <c r="BZ59" s="44" t="e">
        <f aca="false">IF(BU59=0,0,bsd(2,BZ$27,BV59,$AD59,$AA59,$AB59,$AH59,0.1))</f>
        <v>#VALUE!</v>
      </c>
      <c r="CA59" s="44" t="e">
        <f aca="false">IF(BU59=0,0,bsd(BZ$28,BZ$27,BV59,$AD59,$AA59,$AB59,$AH59,0.1))</f>
        <v>#VALUE!</v>
      </c>
      <c r="CB59" s="45" t="e">
        <f aca="false">BU59*BY59</f>
        <v>#VALUE!</v>
      </c>
      <c r="CC59" s="45" t="e">
        <f aca="false">BU59*BZ59</f>
        <v>#VALUE!</v>
      </c>
      <c r="CD59" s="45" t="e">
        <f aca="false">BU59*CA59</f>
        <v>#VALUE!</v>
      </c>
    </row>
    <row r="60" customFormat="false" ht="12.75" hidden="false" customHeight="false" outlineLevel="0" collapsed="false">
      <c r="A60" s="48" t="n">
        <f aca="false">DATE(YEAR(A59),MONTH(A59)+1,1)</f>
        <v>37681</v>
      </c>
      <c r="B60" s="40" t="n">
        <f aca="false">VLOOKUP(A60,STRADDLE,5,FALSE())</f>
        <v>3.512</v>
      </c>
      <c r="C60" s="4" t="n">
        <f aca="false">VLOOKUP(A60,STRADDLE,8,FALSE())</f>
        <v>0.2775</v>
      </c>
      <c r="D60" s="40" t="n">
        <f aca="false">IF(D$28="nymex",0,VLOOKUP($A60,curvesettle,HLOOKUP(D$28,curvesettle,2,FALSE())))</f>
        <v>0.85</v>
      </c>
      <c r="E60" s="131" t="n">
        <f aca="false">IF(ISNUMBER(VLOOKUP($A60,VOLCURVES,HLOOKUP(D$28,VOLCURVES,2,FALSE()),FALSE())),VLOOKUP($A60,VOLCURVES,HLOOKUP(D$28,VOLCURVES,2,FALSE()),FALSE()),1)</f>
        <v>1.1</v>
      </c>
      <c r="F60" s="136" t="n">
        <f aca="false">IF(D$28="NYMEX",$AG60,$AF60)</f>
        <v>-8248</v>
      </c>
      <c r="G60" s="4" t="e">
        <f aca="false">(($C60+H60)*$E60)+B$15</f>
        <v>#DIV/0!</v>
      </c>
      <c r="H60" s="4" t="e">
        <f aca="false">IF($B$16=1,VLOOKUP($A60,SkewTable,HLOOKUP(ROUND(I60-AO60,1),SkewTable,2,FALSE()),FALSE())/100,0)</f>
        <v>#DIV/0!</v>
      </c>
      <c r="I60" s="41" t="n">
        <f aca="false">IF($B$19=4,$AO60,$B$18)</f>
        <v>12</v>
      </c>
      <c r="K60" s="40" t="n">
        <f aca="false">IF(K$28="nymex",0,VLOOKUP($A60,curvesettle,HLOOKUP(K$28,curvesettle,2,FALSE())))</f>
        <v>-0.0205</v>
      </c>
      <c r="L60" s="131" t="n">
        <f aca="false">IF(ISNUMBER(VLOOKUP($A60,VOLCURVES,HLOOKUP(K$28,VOLCURVES,2,FALSE()),FALSE())),VLOOKUP($A60,VOLCURVES,HLOOKUP(K$28,VOLCURVES,2,FALSE()),FALSE()),1)</f>
        <v>1</v>
      </c>
      <c r="M60" s="136" t="n">
        <f aca="false">IF(K$28="NYMEX",$AG60,$AF60)</f>
        <v>-8248</v>
      </c>
      <c r="N60" s="153" t="e">
        <f aca="false">(($C60+O60)*$L60)+D$15</f>
        <v>#DIV/0!</v>
      </c>
      <c r="O60" s="4" t="e">
        <f aca="false">IF($D$16=1,VLOOKUP($A60,SkewTable,HLOOKUP(ROUND(P60-AZ60,1),SkewTable,2,FALSE()),FALSE())/100,0)</f>
        <v>#DIV/0!</v>
      </c>
      <c r="P60" s="41" t="n">
        <f aca="false">IF($D$19=4,$AZ60,$D$18)</f>
        <v>3.75</v>
      </c>
      <c r="R60" s="40" t="n">
        <f aca="false">IF(R$28="nymex",0,VLOOKUP($A60,curvesettle,HLOOKUP(R$28,curvesettle,2,FALSE())))</f>
        <v>-0.0205</v>
      </c>
      <c r="S60" s="131" t="n">
        <f aca="false">IF(ISNUMBER(VLOOKUP($A60,VOLCURVES,HLOOKUP(R$28,VOLCURVES,2,FALSE()),FALSE())),VLOOKUP($A60,VOLCURVES,HLOOKUP(R$28,VOLCURVES,2,FALSE()),FALSE()),1)</f>
        <v>1</v>
      </c>
      <c r="T60" s="136" t="n">
        <f aca="false">IF(R$28="NYMEX",$AG60,$AF60)</f>
        <v>-8248</v>
      </c>
      <c r="U60" s="153" t="e">
        <f aca="false">(($C60+V60)*$S60)+F$15</f>
        <v>#DIV/0!</v>
      </c>
      <c r="V60" s="4" t="e">
        <f aca="false">IF($F$16=1,VLOOKUP($A60,SkewTable,HLOOKUP(ROUND(W60-BK60,1),SkewTable,2,FALSE()),FALSE())/100,0)</f>
        <v>#DIV/0!</v>
      </c>
      <c r="W60" s="41" t="n">
        <f aca="false">IF($F$19=4,$BK60,$F$18)</f>
        <v>3.5</v>
      </c>
      <c r="X60" s="136"/>
      <c r="Y60" s="40" t="n">
        <f aca="false">IF(Y$28="nymex",0,VLOOKUP($A60,curvesettle,HLOOKUP(Y$28,curvesettle,2,FALSE())))</f>
        <v>-0.285</v>
      </c>
      <c r="Z60" s="131" t="n">
        <f aca="false">IF(ISNUMBER(VLOOKUP($A60,VOLCURVES,HLOOKUP(Y$28,VOLCURVES,2,FALSE()),FALSE())),VLOOKUP($A60,VOLCURVES,HLOOKUP(Y$28,VOLCURVES,2,FALSE()),FALSE()),1)</f>
        <v>1</v>
      </c>
      <c r="AA60" s="136" t="n">
        <f aca="false">IF(Y$28="NYMEX",$AG60,$AF60)</f>
        <v>-8248</v>
      </c>
      <c r="AB60" s="4" t="n">
        <f aca="false">(($C60+AC60)*$Z60)+H$15</f>
        <v>0.2735</v>
      </c>
      <c r="AC60" s="4" t="n">
        <f aca="false">IF($H$16=1,VLOOKUP($A60,SkewTable,HLOOKUP(ROUND(AD60-BV60,1),SkewTable,2,FALSE()),FALSE())/100,0)</f>
        <v>-0.004</v>
      </c>
      <c r="AD60" s="41" t="n">
        <f aca="false">IF($H$19=4,$BV60,$H$18)</f>
        <v>3</v>
      </c>
      <c r="AF60" s="136" t="n">
        <f aca="false">VLOOKUP($A60,expiration,2,FALSE())-$B$2</f>
        <v>-8248</v>
      </c>
      <c r="AG60" s="136" t="n">
        <f aca="false">VLOOKUP($A60,expiration,3,FALSE())-$B$2</f>
        <v>-8249</v>
      </c>
      <c r="AH60" s="4" t="n">
        <f aca="false">VLOOKUP($A60,STRADDLE,12,FALSE())</f>
        <v>0.067233031673773</v>
      </c>
      <c r="AI60" s="43" t="n">
        <f aca="false">A61-A60</f>
        <v>31</v>
      </c>
      <c r="AL60" s="136"/>
      <c r="AM60" s="9"/>
      <c r="AN60" s="9" t="n">
        <f aca="false">IF($A60&gt;=AO$25,IF($A60&lt;=AO$26,$AI60,0),0)</f>
        <v>0</v>
      </c>
      <c r="AO60" s="9" t="e">
        <f aca="false">AQ60/AN60</f>
        <v>#DIV/0!</v>
      </c>
      <c r="AP60" s="1" t="n">
        <f aca="false">AN60*($B60+B$13)</f>
        <v>0</v>
      </c>
      <c r="AQ60" s="33" t="n">
        <f aca="false">IF(ISNUMBER(((AP60/AN60)+B$14+$D60)*AN60),((AP60/AN60)+B$14+$D60)*AN60,0)</f>
        <v>0</v>
      </c>
      <c r="AR60" s="44" t="n">
        <f aca="false">IF(AN60=0,0,bsd(1,AS$27,AO60,$I60,$F60,$G60,$AH60,0.1))</f>
        <v>0</v>
      </c>
      <c r="AS60" s="44" t="n">
        <f aca="false">IF(AN60=0,0,bsd(2,AS$27,AO60,$I60,$F60,$G60,$AH60,0.1))</f>
        <v>0</v>
      </c>
      <c r="AT60" s="44" t="n">
        <f aca="false">IF(AN60=0,0,bsd(AS$28,AS$27,AO60,$I60,$F60,$G60,$AH60,0.1))</f>
        <v>0</v>
      </c>
      <c r="AU60" s="45" t="n">
        <f aca="false">AN60*AR60</f>
        <v>0</v>
      </c>
      <c r="AV60" s="45" t="n">
        <f aca="false">AN60*AS60</f>
        <v>0</v>
      </c>
      <c r="AW60" s="45" t="n">
        <f aca="false">AN60*AT60</f>
        <v>0</v>
      </c>
      <c r="AY60" s="9" t="n">
        <f aca="false">IF($A60&gt;=AZ$25,IF($A60&lt;=AZ$26,$AI60,0),0)</f>
        <v>0</v>
      </c>
      <c r="AZ60" s="9" t="e">
        <f aca="false">BB60/AY60</f>
        <v>#DIV/0!</v>
      </c>
      <c r="BA60" s="1" t="n">
        <f aca="false">AY60*($B60+D$13)</f>
        <v>0</v>
      </c>
      <c r="BB60" s="33" t="n">
        <f aca="false">IF(ISNUMBER(((BA60/AY60)+D$14+$K60)*AY60),((BA60/AY60)+D$14+$K60)*AY60,0)</f>
        <v>0</v>
      </c>
      <c r="BC60" s="44" t="n">
        <f aca="false">IF(AY60=0,0,bsd(1,BD$27,AZ60,$P60,$M60,$N60,$AH60,0.1))</f>
        <v>0</v>
      </c>
      <c r="BD60" s="44" t="n">
        <f aca="false">IF(AY60=0,0,bsd(2,BD$27,AZ60,$P60,$M60,$N60,$AH60,0.1))</f>
        <v>0</v>
      </c>
      <c r="BE60" s="44" t="n">
        <f aca="false">IF(AY60=0,0,bsd(BD$28,BD$27,AZ60,$P60,$M60,$N60,$AH60,0.1))</f>
        <v>0</v>
      </c>
      <c r="BF60" s="45" t="n">
        <f aca="false">AY60*BC60</f>
        <v>0</v>
      </c>
      <c r="BG60" s="45" t="n">
        <f aca="false">AY60*BD60</f>
        <v>0</v>
      </c>
      <c r="BH60" s="45" t="n">
        <f aca="false">AY60*BE60</f>
        <v>0</v>
      </c>
      <c r="BJ60" s="9" t="n">
        <f aca="false">IF($A60&gt;=BK$25,IF($A60&lt;=BK$26,$AI60,0),0)</f>
        <v>0</v>
      </c>
      <c r="BK60" s="9" t="e">
        <f aca="false">BM60/BJ60</f>
        <v>#DIV/0!</v>
      </c>
      <c r="BL60" s="1" t="n">
        <f aca="false">BJ60*($B60+F$13)</f>
        <v>0</v>
      </c>
      <c r="BM60" s="33" t="n">
        <f aca="false">IF(ISNUMBER(((BL60/BJ60)+F$14+$R60)*BJ60),((BL60/BJ60)+F$14+$R60)*BJ60,0)</f>
        <v>0</v>
      </c>
      <c r="BN60" s="44" t="n">
        <f aca="false">IF(BJ60=0,0,bsd(1,BO$27,BK60,$W60,$T60,$U60,$AH60,0.1))</f>
        <v>0</v>
      </c>
      <c r="BO60" s="44" t="n">
        <f aca="false">IF(BJ60=0,0,bsd(2,BO$27,BK60,$W60,$T60,$U60,$AH60,0.1))</f>
        <v>0</v>
      </c>
      <c r="BP60" s="44" t="n">
        <f aca="false">IF(BJ60=0,0,bsd(BO$28,BO$27,BK60,$W60,$T60,$U60,$AH60,0.1))</f>
        <v>0</v>
      </c>
      <c r="BQ60" s="45" t="n">
        <f aca="false">BJ60*BN60</f>
        <v>0</v>
      </c>
      <c r="BR60" s="45" t="n">
        <f aca="false">BJ60*BO60</f>
        <v>0</v>
      </c>
      <c r="BS60" s="45" t="n">
        <f aca="false">BJ60*BP60</f>
        <v>0</v>
      </c>
      <c r="BU60" s="9" t="n">
        <f aca="false">IF($A60&gt;=BV$25,IF($A60&lt;=BV$26,$AI60,0),0)</f>
        <v>31</v>
      </c>
      <c r="BV60" s="9" t="n">
        <f aca="false">BX60/BU60</f>
        <v>3.227</v>
      </c>
      <c r="BW60" s="1" t="n">
        <f aca="false">BU60*($B60+H$13)</f>
        <v>108.872</v>
      </c>
      <c r="BX60" s="33" t="n">
        <f aca="false">IF(ISNUMBER(((BW60/BU60)+H$14+$Y60)*BU60),((BW60/BU60)+H$14+$Y60)*BU60,0)</f>
        <v>100.037</v>
      </c>
      <c r="BY60" s="44" t="e">
        <f aca="false">IF(BU60=0,0,bsd(1,BZ$27,BV60,$AD60,$AA60,$AB60,$AH60,0.1))</f>
        <v>#VALUE!</v>
      </c>
      <c r="BZ60" s="44" t="e">
        <f aca="false">IF(BU60=0,0,bsd(2,BZ$27,BV60,$AD60,$AA60,$AB60,$AH60,0.1))</f>
        <v>#VALUE!</v>
      </c>
      <c r="CA60" s="44" t="e">
        <f aca="false">IF(BU60=0,0,bsd(BZ$28,BZ$27,BV60,$AD60,$AA60,$AB60,$AH60,0.1))</f>
        <v>#VALUE!</v>
      </c>
      <c r="CB60" s="45" t="e">
        <f aca="false">BU60*BY60</f>
        <v>#VALUE!</v>
      </c>
      <c r="CC60" s="45" t="e">
        <f aca="false">BU60*BZ60</f>
        <v>#VALUE!</v>
      </c>
      <c r="CD60" s="45" t="e">
        <f aca="false">BU60*CA60</f>
        <v>#VALUE!</v>
      </c>
    </row>
    <row r="61" customFormat="false" ht="12.75" hidden="false" customHeight="false" outlineLevel="0" collapsed="false">
      <c r="A61" s="48" t="n">
        <f aca="false">DATE(YEAR(A60),MONTH(A60)+1,1)</f>
        <v>37712</v>
      </c>
      <c r="B61" s="40" t="n">
        <f aca="false">VLOOKUP(A61,STRADDLE,5,FALSE())</f>
        <v>3.322</v>
      </c>
      <c r="C61" s="4" t="n">
        <f aca="false">VLOOKUP(A61,STRADDLE,8,FALSE())</f>
        <v>0.265</v>
      </c>
      <c r="D61" s="40" t="n">
        <f aca="false">IF(D$28="nymex",0,VLOOKUP($A61,curvesettle,HLOOKUP(D$28,curvesettle,2,FALSE())))</f>
        <v>0.45</v>
      </c>
      <c r="E61" s="131" t="n">
        <f aca="false">IF(ISNUMBER(VLOOKUP($A61,VOLCURVES,HLOOKUP(D$28,VOLCURVES,2,FALSE()),FALSE())),VLOOKUP($A61,VOLCURVES,HLOOKUP(D$28,VOLCURVES,2,FALSE()),FALSE()),1)</f>
        <v>0.98</v>
      </c>
      <c r="F61" s="136" t="n">
        <f aca="false">IF(D$28="NYMEX",$AG61,$AF61)</f>
        <v>-8219</v>
      </c>
      <c r="G61" s="4" t="e">
        <f aca="false">(($C61+H61)*$E61)+B$15</f>
        <v>#DIV/0!</v>
      </c>
      <c r="H61" s="4" t="e">
        <f aca="false">IF($B$16=1,VLOOKUP($A61,SkewTable,HLOOKUP(ROUND(I61-AO61,1),SkewTable,2,FALSE()),FALSE())/100,0)</f>
        <v>#DIV/0!</v>
      </c>
      <c r="I61" s="41" t="n">
        <f aca="false">IF($B$19=4,$AO61,$B$18)</f>
        <v>12</v>
      </c>
      <c r="K61" s="40" t="n">
        <f aca="false">IF(K$28="nymex",0,VLOOKUP($A61,curvesettle,HLOOKUP(K$28,curvesettle,2,FALSE())))</f>
        <v>-0.018</v>
      </c>
      <c r="L61" s="131" t="n">
        <f aca="false">IF(ISNUMBER(VLOOKUP($A61,VOLCURVES,HLOOKUP(K$28,VOLCURVES,2,FALSE()),FALSE())),VLOOKUP($A61,VOLCURVES,HLOOKUP(K$28,VOLCURVES,2,FALSE()),FALSE()),1)</f>
        <v>1</v>
      </c>
      <c r="M61" s="136" t="n">
        <f aca="false">IF(K$28="NYMEX",$AG61,$AF61)</f>
        <v>-8219</v>
      </c>
      <c r="N61" s="153" t="e">
        <f aca="false">(($C61+O61)*$L61)+D$15</f>
        <v>#DIV/0!</v>
      </c>
      <c r="O61" s="4" t="e">
        <f aca="false">IF($D$16=1,VLOOKUP($A61,SkewTable,HLOOKUP(ROUND(P61-AZ61,1),SkewTable,2,FALSE()),FALSE())/100,0)</f>
        <v>#DIV/0!</v>
      </c>
      <c r="P61" s="41" t="n">
        <f aca="false">IF($D$19=4,$AZ61,$D$18)</f>
        <v>3.75</v>
      </c>
      <c r="R61" s="40" t="n">
        <f aca="false">IF(R$28="nymex",0,VLOOKUP($A61,curvesettle,HLOOKUP(R$28,curvesettle,2,FALSE())))</f>
        <v>-0.018</v>
      </c>
      <c r="S61" s="131" t="n">
        <f aca="false">IF(ISNUMBER(VLOOKUP($A61,VOLCURVES,HLOOKUP(R$28,VOLCURVES,2,FALSE()),FALSE())),VLOOKUP($A61,VOLCURVES,HLOOKUP(R$28,VOLCURVES,2,FALSE()),FALSE()),1)</f>
        <v>1</v>
      </c>
      <c r="T61" s="136" t="n">
        <f aca="false">IF(R$28="NYMEX",$AG61,$AF61)</f>
        <v>-8219</v>
      </c>
      <c r="U61" s="153" t="e">
        <f aca="false">(($C61+V61)*$S61)+F$15</f>
        <v>#DIV/0!</v>
      </c>
      <c r="V61" s="4" t="e">
        <f aca="false">IF($F$16=1,VLOOKUP($A61,SkewTable,HLOOKUP(ROUND(W61-BK61,1),SkewTable,2,FALSE()),FALSE())/100,0)</f>
        <v>#DIV/0!</v>
      </c>
      <c r="W61" s="41" t="n">
        <f aca="false">IF($F$19=4,$BK61,$F$18)</f>
        <v>3.5</v>
      </c>
      <c r="X61" s="136"/>
      <c r="Y61" s="40" t="n">
        <f aca="false">IF(Y$28="nymex",0,VLOOKUP($A61,curvesettle,HLOOKUP(Y$28,curvesettle,2,FALSE())))</f>
        <v>-0.35</v>
      </c>
      <c r="Z61" s="131" t="n">
        <f aca="false">IF(ISNUMBER(VLOOKUP($A61,VOLCURVES,HLOOKUP(Y$28,VOLCURVES,2,FALSE()),FALSE())),VLOOKUP($A61,VOLCURVES,HLOOKUP(Y$28,VOLCURVES,2,FALSE()),FALSE()),1)</f>
        <v>1</v>
      </c>
      <c r="AA61" s="136" t="n">
        <f aca="false">IF(Y$28="NYMEX",$AG61,$AF61)</f>
        <v>-8219</v>
      </c>
      <c r="AB61" s="4" t="n">
        <f aca="false">(($C61+AC61)*$Z61)+H$15</f>
        <v>0.265</v>
      </c>
      <c r="AC61" s="4" t="n">
        <f aca="false">IF($H$16=1,VLOOKUP($A61,SkewTable,HLOOKUP(ROUND(AD61-BV61,1),SkewTable,2,FALSE()),FALSE())/100,0)</f>
        <v>0</v>
      </c>
      <c r="AD61" s="41" t="n">
        <f aca="false">IF($H$19=4,$BV61,$H$18)</f>
        <v>3</v>
      </c>
      <c r="AF61" s="136" t="n">
        <f aca="false">VLOOKUP($A61,expiration,2,FALSE())-$B$2</f>
        <v>-8219</v>
      </c>
      <c r="AG61" s="136" t="n">
        <f aca="false">VLOOKUP($A61,expiration,3,FALSE())-$B$2</f>
        <v>-8220</v>
      </c>
      <c r="AH61" s="4" t="n">
        <f aca="false">VLOOKUP($A61,STRADDLE,12,FALSE())</f>
        <v>0.06724692996423</v>
      </c>
      <c r="AI61" s="43" t="n">
        <f aca="false">A62-A61</f>
        <v>30</v>
      </c>
      <c r="AL61" s="136"/>
      <c r="AM61" s="9"/>
      <c r="AN61" s="9" t="n">
        <f aca="false">IF($A61&gt;=AO$25,IF($A61&lt;=AO$26,$AI61,0),0)</f>
        <v>0</v>
      </c>
      <c r="AO61" s="9" t="e">
        <f aca="false">AQ61/AN61</f>
        <v>#DIV/0!</v>
      </c>
      <c r="AP61" s="1" t="n">
        <f aca="false">AN61*($B61+B$13)</f>
        <v>0</v>
      </c>
      <c r="AQ61" s="33" t="n">
        <f aca="false">IF(ISNUMBER(((AP61/AN61)+B$14+$D61)*AN61),((AP61/AN61)+B$14+$D61)*AN61,0)</f>
        <v>0</v>
      </c>
      <c r="AR61" s="44" t="n">
        <f aca="false">IF(AN61=0,0,bsd(1,AS$27,AO61,$I61,$F61,$G61,$AH61,0.1))</f>
        <v>0</v>
      </c>
      <c r="AS61" s="44" t="n">
        <f aca="false">IF(AN61=0,0,bsd(2,AS$27,AO61,$I61,$F61,$G61,$AH61,0.1))</f>
        <v>0</v>
      </c>
      <c r="AT61" s="44" t="n">
        <f aca="false">IF(AN61=0,0,bsd(AS$28,AS$27,AO61,$I61,$F61,$G61,$AH61,0.1))</f>
        <v>0</v>
      </c>
      <c r="AU61" s="45" t="n">
        <f aca="false">AN61*AR61</f>
        <v>0</v>
      </c>
      <c r="AV61" s="45" t="n">
        <f aca="false">AN61*AS61</f>
        <v>0</v>
      </c>
      <c r="AW61" s="45" t="n">
        <f aca="false">AN61*AT61</f>
        <v>0</v>
      </c>
      <c r="AY61" s="9" t="n">
        <f aca="false">IF($A61&gt;=AZ$25,IF($A61&lt;=AZ$26,$AI61,0),0)</f>
        <v>0</v>
      </c>
      <c r="AZ61" s="9" t="e">
        <f aca="false">BB61/AY61</f>
        <v>#DIV/0!</v>
      </c>
      <c r="BA61" s="1" t="n">
        <f aca="false">AY61*($B61+D$13)</f>
        <v>0</v>
      </c>
      <c r="BB61" s="33" t="n">
        <f aca="false">IF(ISNUMBER(((BA61/AY61)+D$14+$K61)*AY61),((BA61/AY61)+D$14+$K61)*AY61,0)</f>
        <v>0</v>
      </c>
      <c r="BC61" s="44" t="n">
        <f aca="false">IF(AY61=0,0,bsd(1,BD$27,AZ61,$P61,$M61,$N61,$AH61,0.1))</f>
        <v>0</v>
      </c>
      <c r="BD61" s="44" t="n">
        <f aca="false">IF(AY61=0,0,bsd(2,BD$27,AZ61,$P61,$M61,$N61,$AH61,0.1))</f>
        <v>0</v>
      </c>
      <c r="BE61" s="44" t="n">
        <f aca="false">IF(AY61=0,0,bsd(BD$28,BD$27,AZ61,$P61,$M61,$N61,$AH61,0.1))</f>
        <v>0</v>
      </c>
      <c r="BF61" s="45" t="n">
        <f aca="false">AY61*BC61</f>
        <v>0</v>
      </c>
      <c r="BG61" s="45" t="n">
        <f aca="false">AY61*BD61</f>
        <v>0</v>
      </c>
      <c r="BH61" s="45" t="n">
        <f aca="false">AY61*BE61</f>
        <v>0</v>
      </c>
      <c r="BJ61" s="9" t="n">
        <f aca="false">IF($A61&gt;=BK$25,IF($A61&lt;=BK$26,$AI61,0),0)</f>
        <v>0</v>
      </c>
      <c r="BK61" s="9" t="e">
        <f aca="false">BM61/BJ61</f>
        <v>#DIV/0!</v>
      </c>
      <c r="BL61" s="1" t="n">
        <f aca="false">BJ61*($B61+F$13)</f>
        <v>0</v>
      </c>
      <c r="BM61" s="33" t="n">
        <f aca="false">IF(ISNUMBER(((BL61/BJ61)+F$14+$R61)*BJ61),((BL61/BJ61)+F$14+$R61)*BJ61,0)</f>
        <v>0</v>
      </c>
      <c r="BN61" s="44" t="n">
        <f aca="false">IF(BJ61=0,0,bsd(1,BO$27,BK61,$W61,$T61,$U61,$AH61,0.1))</f>
        <v>0</v>
      </c>
      <c r="BO61" s="44" t="n">
        <f aca="false">IF(BJ61=0,0,bsd(2,BO$27,BK61,$W61,$T61,$U61,$AH61,0.1))</f>
        <v>0</v>
      </c>
      <c r="BP61" s="44" t="n">
        <f aca="false">IF(BJ61=0,0,bsd(BO$28,BO$27,BK61,$W61,$T61,$U61,$AH61,0.1))</f>
        <v>0</v>
      </c>
      <c r="BQ61" s="45" t="n">
        <f aca="false">BJ61*BN61</f>
        <v>0</v>
      </c>
      <c r="BR61" s="45" t="n">
        <f aca="false">BJ61*BO61</f>
        <v>0</v>
      </c>
      <c r="BS61" s="45" t="n">
        <f aca="false">BJ61*BP61</f>
        <v>0</v>
      </c>
      <c r="BU61" s="9" t="n">
        <f aca="false">IF($A61&gt;=BV$25,IF($A61&lt;=BV$26,$AI61,0),0)</f>
        <v>30</v>
      </c>
      <c r="BV61" s="9" t="n">
        <f aca="false">BX61/BU61</f>
        <v>2.972</v>
      </c>
      <c r="BW61" s="1" t="n">
        <f aca="false">BU61*($B61+H$13)</f>
        <v>99.66</v>
      </c>
      <c r="BX61" s="33" t="n">
        <f aca="false">IF(ISNUMBER(((BW61/BU61)+H$14+$Y61)*BU61),((BW61/BU61)+H$14+$Y61)*BU61,0)</f>
        <v>89.16</v>
      </c>
      <c r="BY61" s="44" t="e">
        <f aca="false">IF(BU61=0,0,bsd(1,BZ$27,BV61,$AD61,$AA61,$AB61,$AH61,0.1))</f>
        <v>#VALUE!</v>
      </c>
      <c r="BZ61" s="44" t="e">
        <f aca="false">IF(BU61=0,0,bsd(2,BZ$27,BV61,$AD61,$AA61,$AB61,$AH61,0.1))</f>
        <v>#VALUE!</v>
      </c>
      <c r="CA61" s="44" t="e">
        <f aca="false">IF(BU61=0,0,bsd(BZ$28,BZ$27,BV61,$AD61,$AA61,$AB61,$AH61,0.1))</f>
        <v>#VALUE!</v>
      </c>
      <c r="CB61" s="45" t="e">
        <f aca="false">BU61*BY61</f>
        <v>#VALUE!</v>
      </c>
      <c r="CC61" s="45" t="e">
        <f aca="false">BU61*BZ61</f>
        <v>#VALUE!</v>
      </c>
      <c r="CD61" s="45" t="e">
        <f aca="false">BU61*CA61</f>
        <v>#VALUE!</v>
      </c>
    </row>
    <row r="62" customFormat="false" ht="12.75" hidden="false" customHeight="false" outlineLevel="0" collapsed="false">
      <c r="A62" s="48" t="n">
        <f aca="false">DATE(YEAR(A61),MONTH(A61)+1,1)</f>
        <v>37742</v>
      </c>
      <c r="B62" s="40" t="n">
        <f aca="false">VLOOKUP(A62,STRADDLE,5,FALSE())</f>
        <v>3.272</v>
      </c>
      <c r="C62" s="4" t="n">
        <f aca="false">VLOOKUP(A62,STRADDLE,8,FALSE())</f>
        <v>0.26</v>
      </c>
      <c r="D62" s="40" t="n">
        <f aca="false">IF(D$28="nymex",0,VLOOKUP($A62,curvesettle,HLOOKUP(D$28,curvesettle,2,FALSE())))</f>
        <v>0.405</v>
      </c>
      <c r="E62" s="131" t="n">
        <f aca="false">IF(ISNUMBER(VLOOKUP($A62,VOLCURVES,HLOOKUP(D$28,VOLCURVES,2,FALSE()),FALSE())),VLOOKUP($A62,VOLCURVES,HLOOKUP(D$28,VOLCURVES,2,FALSE()),FALSE()),1)</f>
        <v>0.98</v>
      </c>
      <c r="F62" s="136" t="n">
        <f aca="false">IF(D$28="NYMEX",$AG62,$AF62)</f>
        <v>-8187</v>
      </c>
      <c r="G62" s="4" t="e">
        <f aca="false">(($C62+H62)*$E62)+B$15</f>
        <v>#DIV/0!</v>
      </c>
      <c r="H62" s="4" t="e">
        <f aca="false">IF($B$16=1,VLOOKUP($A62,SkewTable,HLOOKUP(ROUND(I62-AO62,1),SkewTable,2,FALSE()),FALSE())/100,0)</f>
        <v>#DIV/0!</v>
      </c>
      <c r="I62" s="41" t="n">
        <f aca="false">IF($B$19=4,$AO62,$B$18)</f>
        <v>12</v>
      </c>
      <c r="K62" s="40" t="n">
        <f aca="false">IF(K$28="nymex",0,VLOOKUP($A62,curvesettle,HLOOKUP(K$28,curvesettle,2,FALSE())))</f>
        <v>-0.018</v>
      </c>
      <c r="L62" s="131" t="n">
        <f aca="false">IF(ISNUMBER(VLOOKUP($A62,VOLCURVES,HLOOKUP(K$28,VOLCURVES,2,FALSE()),FALSE())),VLOOKUP($A62,VOLCURVES,HLOOKUP(K$28,VOLCURVES,2,FALSE()),FALSE()),1)</f>
        <v>1</v>
      </c>
      <c r="M62" s="136" t="n">
        <f aca="false">IF(K$28="NYMEX",$AG62,$AF62)</f>
        <v>-8187</v>
      </c>
      <c r="N62" s="153" t="e">
        <f aca="false">(($C62+O62)*$L62)+D$15</f>
        <v>#DIV/0!</v>
      </c>
      <c r="O62" s="4" t="e">
        <f aca="false">IF($D$16=1,VLOOKUP($A62,SkewTable,HLOOKUP(ROUND(P62-AZ62,1),SkewTable,2,FALSE()),FALSE())/100,0)</f>
        <v>#DIV/0!</v>
      </c>
      <c r="P62" s="41" t="n">
        <f aca="false">IF($D$19=4,$AZ62,$D$18)</f>
        <v>3.75</v>
      </c>
      <c r="R62" s="40" t="n">
        <f aca="false">IF(R$28="nymex",0,VLOOKUP($A62,curvesettle,HLOOKUP(R$28,curvesettle,2,FALSE())))</f>
        <v>-0.018</v>
      </c>
      <c r="S62" s="131" t="n">
        <f aca="false">IF(ISNUMBER(VLOOKUP($A62,VOLCURVES,HLOOKUP(R$28,VOLCURVES,2,FALSE()),FALSE())),VLOOKUP($A62,VOLCURVES,HLOOKUP(R$28,VOLCURVES,2,FALSE()),FALSE()),1)</f>
        <v>1</v>
      </c>
      <c r="T62" s="136" t="n">
        <f aca="false">IF(R$28="NYMEX",$AG62,$AF62)</f>
        <v>-8187</v>
      </c>
      <c r="U62" s="153" t="e">
        <f aca="false">(($C62+V62)*$S62)+F$15</f>
        <v>#DIV/0!</v>
      </c>
      <c r="V62" s="4" t="e">
        <f aca="false">IF($F$16=1,VLOOKUP($A62,SkewTable,HLOOKUP(ROUND(W62-BK62,1),SkewTable,2,FALSE()),FALSE())/100,0)</f>
        <v>#DIV/0!</v>
      </c>
      <c r="W62" s="41" t="n">
        <f aca="false">IF($F$19=4,$BK62,$F$18)</f>
        <v>3.5</v>
      </c>
      <c r="X62" s="136"/>
      <c r="Y62" s="40" t="n">
        <f aca="false">IF(Y$28="nymex",0,VLOOKUP($A62,curvesettle,HLOOKUP(Y$28,curvesettle,2,FALSE())))</f>
        <v>-0.35</v>
      </c>
      <c r="Z62" s="131" t="n">
        <f aca="false">IF(ISNUMBER(VLOOKUP($A62,VOLCURVES,HLOOKUP(Y$28,VOLCURVES,2,FALSE()),FALSE())),VLOOKUP($A62,VOLCURVES,HLOOKUP(Y$28,VOLCURVES,2,FALSE()),FALSE()),1)</f>
        <v>1</v>
      </c>
      <c r="AA62" s="136" t="n">
        <f aca="false">IF(Y$28="NYMEX",$AG62,$AF62)</f>
        <v>-8187</v>
      </c>
      <c r="AB62" s="4" t="n">
        <f aca="false">(($C62+AC62)*$Z62)+H$15</f>
        <v>0.262</v>
      </c>
      <c r="AC62" s="4" t="n">
        <f aca="false">IF($H$16=1,VLOOKUP($A62,SkewTable,HLOOKUP(ROUND(AD62-BV62,1),SkewTable,2,FALSE()),FALSE())/100,0)</f>
        <v>0.002</v>
      </c>
      <c r="AD62" s="41" t="n">
        <f aca="false">IF($H$19=4,$BV62,$H$18)</f>
        <v>3</v>
      </c>
      <c r="AF62" s="136" t="n">
        <f aca="false">VLOOKUP($A62,expiration,2,FALSE())-$B$2</f>
        <v>-8187</v>
      </c>
      <c r="AG62" s="136" t="n">
        <f aca="false">VLOOKUP($A62,expiration,3,FALSE())-$B$2</f>
        <v>-8190</v>
      </c>
      <c r="AH62" s="4" t="n">
        <f aca="false">VLOOKUP($A62,STRADDLE,12,FALSE())</f>
        <v>0.067250744147623</v>
      </c>
      <c r="AI62" s="43" t="n">
        <f aca="false">A63-A62</f>
        <v>31</v>
      </c>
      <c r="AL62" s="136"/>
      <c r="AM62" s="9"/>
      <c r="AN62" s="9" t="n">
        <f aca="false">IF($A62&gt;=AO$25,IF($A62&lt;=AO$26,$AI62,0),0)</f>
        <v>0</v>
      </c>
      <c r="AO62" s="9" t="e">
        <f aca="false">AQ62/AN62</f>
        <v>#DIV/0!</v>
      </c>
      <c r="AP62" s="1" t="n">
        <f aca="false">AN62*($B62+B$13)</f>
        <v>0</v>
      </c>
      <c r="AQ62" s="33" t="n">
        <f aca="false">IF(ISNUMBER(((AP62/AN62)+B$14+$D62)*AN62),((AP62/AN62)+B$14+$D62)*AN62,0)</f>
        <v>0</v>
      </c>
      <c r="AR62" s="44" t="n">
        <f aca="false">IF(AN62=0,0,bsd(1,AS$27,AO62,$I62,$F62,$G62,$AH62,0.1))</f>
        <v>0</v>
      </c>
      <c r="AS62" s="44" t="n">
        <f aca="false">IF(AN62=0,0,bsd(2,AS$27,AO62,$I62,$F62,$G62,$AH62,0.1))</f>
        <v>0</v>
      </c>
      <c r="AT62" s="44" t="n">
        <f aca="false">IF(AN62=0,0,bsd(AS$28,AS$27,AO62,$I62,$F62,$G62,$AH62,0.1))</f>
        <v>0</v>
      </c>
      <c r="AU62" s="45" t="n">
        <f aca="false">AN62*AR62</f>
        <v>0</v>
      </c>
      <c r="AV62" s="45" t="n">
        <f aca="false">AN62*AS62</f>
        <v>0</v>
      </c>
      <c r="AW62" s="45" t="n">
        <f aca="false">AN62*AT62</f>
        <v>0</v>
      </c>
      <c r="AY62" s="9" t="n">
        <f aca="false">IF($A62&gt;=AZ$25,IF($A62&lt;=AZ$26,$AI62,0),0)</f>
        <v>0</v>
      </c>
      <c r="AZ62" s="9" t="e">
        <f aca="false">BB62/AY62</f>
        <v>#DIV/0!</v>
      </c>
      <c r="BA62" s="1" t="n">
        <f aca="false">AY62*($B62+D$13)</f>
        <v>0</v>
      </c>
      <c r="BB62" s="33" t="n">
        <f aca="false">IF(ISNUMBER(((BA62/AY62)+D$14+$K62)*AY62),((BA62/AY62)+D$14+$K62)*AY62,0)</f>
        <v>0</v>
      </c>
      <c r="BC62" s="44" t="n">
        <f aca="false">IF(AY62=0,0,bsd(1,BD$27,AZ62,$P62,$M62,$N62,$AH62,0.1))</f>
        <v>0</v>
      </c>
      <c r="BD62" s="44" t="n">
        <f aca="false">IF(AY62=0,0,bsd(2,BD$27,AZ62,$P62,$M62,$N62,$AH62,0.1))</f>
        <v>0</v>
      </c>
      <c r="BE62" s="44" t="n">
        <f aca="false">IF(AY62=0,0,bsd(BD$28,BD$27,AZ62,$P62,$M62,$N62,$AH62,0.1))</f>
        <v>0</v>
      </c>
      <c r="BF62" s="45" t="n">
        <f aca="false">AY62*BC62</f>
        <v>0</v>
      </c>
      <c r="BG62" s="45" t="n">
        <f aca="false">AY62*BD62</f>
        <v>0</v>
      </c>
      <c r="BH62" s="45" t="n">
        <f aca="false">AY62*BE62</f>
        <v>0</v>
      </c>
      <c r="BJ62" s="9" t="n">
        <f aca="false">IF($A62&gt;=BK$25,IF($A62&lt;=BK$26,$AI62,0),0)</f>
        <v>0</v>
      </c>
      <c r="BK62" s="9" t="e">
        <f aca="false">BM62/BJ62</f>
        <v>#DIV/0!</v>
      </c>
      <c r="BL62" s="1" t="n">
        <f aca="false">BJ62*($B62+F$13)</f>
        <v>0</v>
      </c>
      <c r="BM62" s="33" t="n">
        <f aca="false">IF(ISNUMBER(((BL62/BJ62)+F$14+$R62)*BJ62),((BL62/BJ62)+F$14+$R62)*BJ62,0)</f>
        <v>0</v>
      </c>
      <c r="BN62" s="44" t="n">
        <f aca="false">IF(BJ62=0,0,bsd(1,BO$27,BK62,$W62,$T62,$U62,$AH62,0.1))</f>
        <v>0</v>
      </c>
      <c r="BO62" s="44" t="n">
        <f aca="false">IF(BJ62=0,0,bsd(2,BO$27,BK62,$W62,$T62,$U62,$AH62,0.1))</f>
        <v>0</v>
      </c>
      <c r="BP62" s="44" t="n">
        <f aca="false">IF(BJ62=0,0,bsd(BO$28,BO$27,BK62,$W62,$T62,$U62,$AH62,0.1))</f>
        <v>0</v>
      </c>
      <c r="BQ62" s="45" t="n">
        <f aca="false">BJ62*BN62</f>
        <v>0</v>
      </c>
      <c r="BR62" s="45" t="n">
        <f aca="false">BJ62*BO62</f>
        <v>0</v>
      </c>
      <c r="BS62" s="45" t="n">
        <f aca="false">BJ62*BP62</f>
        <v>0</v>
      </c>
      <c r="BU62" s="9" t="n">
        <f aca="false">IF($A62&gt;=BV$25,IF($A62&lt;=BV$26,$AI62,0),0)</f>
        <v>31</v>
      </c>
      <c r="BV62" s="9" t="n">
        <f aca="false">BX62/BU62</f>
        <v>2.922</v>
      </c>
      <c r="BW62" s="1" t="n">
        <f aca="false">BU62*($B62+H$13)</f>
        <v>101.432</v>
      </c>
      <c r="BX62" s="33" t="n">
        <f aca="false">IF(ISNUMBER(((BW62/BU62)+H$14+$Y62)*BU62),((BW62/BU62)+H$14+$Y62)*BU62,0)</f>
        <v>90.582</v>
      </c>
      <c r="BY62" s="44" t="e">
        <f aca="false">IF(BU62=0,0,bsd(1,BZ$27,BV62,$AD62,$AA62,$AB62,$AH62,0.1))</f>
        <v>#VALUE!</v>
      </c>
      <c r="BZ62" s="44" t="e">
        <f aca="false">IF(BU62=0,0,bsd(2,BZ$27,BV62,$AD62,$AA62,$AB62,$AH62,0.1))</f>
        <v>#VALUE!</v>
      </c>
      <c r="CA62" s="44" t="e">
        <f aca="false">IF(BU62=0,0,bsd(BZ$28,BZ$27,BV62,$AD62,$AA62,$AB62,$AH62,0.1))</f>
        <v>#VALUE!</v>
      </c>
      <c r="CB62" s="45" t="e">
        <f aca="false">BU62*BY62</f>
        <v>#VALUE!</v>
      </c>
      <c r="CC62" s="45" t="e">
        <f aca="false">BU62*BZ62</f>
        <v>#VALUE!</v>
      </c>
      <c r="CD62" s="45" t="e">
        <f aca="false">BU62*CA62</f>
        <v>#VALUE!</v>
      </c>
    </row>
    <row r="63" customFormat="false" ht="12.75" hidden="false" customHeight="false" outlineLevel="0" collapsed="false">
      <c r="A63" s="48" t="n">
        <f aca="false">DATE(YEAR(A62),MONTH(A62)+1,1)</f>
        <v>37773</v>
      </c>
      <c r="B63" s="40" t="n">
        <f aca="false">VLOOKUP(A63,STRADDLE,5,FALSE())</f>
        <v>3.28</v>
      </c>
      <c r="C63" s="4" t="n">
        <f aca="false">VLOOKUP(A63,STRADDLE,8,FALSE())</f>
        <v>0.2575</v>
      </c>
      <c r="D63" s="40" t="n">
        <f aca="false">IF(D$28="nymex",0,VLOOKUP($A63,curvesettle,HLOOKUP(D$28,curvesettle,2,FALSE())))</f>
        <v>0.395</v>
      </c>
      <c r="E63" s="131" t="n">
        <f aca="false">IF(ISNUMBER(VLOOKUP($A63,VOLCURVES,HLOOKUP(D$28,VOLCURVES,2,FALSE()),FALSE())),VLOOKUP($A63,VOLCURVES,HLOOKUP(D$28,VOLCURVES,2,FALSE()),FALSE()),1)</f>
        <v>0.98</v>
      </c>
      <c r="F63" s="136" t="n">
        <f aca="false">IF(D$28="NYMEX",$AG63,$AF63)</f>
        <v>-8157</v>
      </c>
      <c r="G63" s="4" t="e">
        <f aca="false">(($C63+H63)*$E63)+B$15</f>
        <v>#DIV/0!</v>
      </c>
      <c r="H63" s="4" t="e">
        <f aca="false">IF($B$16=1,VLOOKUP($A63,SkewTable,HLOOKUP(ROUND(I63-AO63,1),SkewTable,2,FALSE()),FALSE())/100,0)</f>
        <v>#DIV/0!</v>
      </c>
      <c r="I63" s="41" t="n">
        <f aca="false">IF($B$19=4,$AO63,$B$18)</f>
        <v>12</v>
      </c>
      <c r="K63" s="40" t="n">
        <f aca="false">IF(K$28="nymex",0,VLOOKUP($A63,curvesettle,HLOOKUP(K$28,curvesettle,2,FALSE())))</f>
        <v>-0.018</v>
      </c>
      <c r="L63" s="131" t="n">
        <f aca="false">IF(ISNUMBER(VLOOKUP($A63,VOLCURVES,HLOOKUP(K$28,VOLCURVES,2,FALSE()),FALSE())),VLOOKUP($A63,VOLCURVES,HLOOKUP(K$28,VOLCURVES,2,FALSE()),FALSE()),1)</f>
        <v>1</v>
      </c>
      <c r="M63" s="136" t="n">
        <f aca="false">IF(K$28="NYMEX",$AG63,$AF63)</f>
        <v>-8157</v>
      </c>
      <c r="N63" s="153" t="e">
        <f aca="false">(($C63+O63)*$L63)+D$15</f>
        <v>#DIV/0!</v>
      </c>
      <c r="O63" s="4" t="e">
        <f aca="false">IF($D$16=1,VLOOKUP($A63,SkewTable,HLOOKUP(ROUND(P63-AZ63,1),SkewTable,2,FALSE()),FALSE())/100,0)</f>
        <v>#DIV/0!</v>
      </c>
      <c r="P63" s="41" t="n">
        <f aca="false">IF($D$19=4,$AZ63,$D$18)</f>
        <v>3.75</v>
      </c>
      <c r="R63" s="40" t="n">
        <f aca="false">IF(R$28="nymex",0,VLOOKUP($A63,curvesettle,HLOOKUP(R$28,curvesettle,2,FALSE())))</f>
        <v>-0.018</v>
      </c>
      <c r="S63" s="131" t="n">
        <f aca="false">IF(ISNUMBER(VLOOKUP($A63,VOLCURVES,HLOOKUP(R$28,VOLCURVES,2,FALSE()),FALSE())),VLOOKUP($A63,VOLCURVES,HLOOKUP(R$28,VOLCURVES,2,FALSE()),FALSE()),1)</f>
        <v>1</v>
      </c>
      <c r="T63" s="136" t="n">
        <f aca="false">IF(R$28="NYMEX",$AG63,$AF63)</f>
        <v>-8157</v>
      </c>
      <c r="U63" s="153" t="e">
        <f aca="false">(($C63+V63)*$S63)+F$15</f>
        <v>#DIV/0!</v>
      </c>
      <c r="V63" s="4" t="e">
        <f aca="false">IF($F$16=1,VLOOKUP($A63,SkewTable,HLOOKUP(ROUND(W63-BK63,1),SkewTable,2,FALSE()),FALSE())/100,0)</f>
        <v>#DIV/0!</v>
      </c>
      <c r="W63" s="41" t="n">
        <f aca="false">IF($F$19=4,$BK63,$F$18)</f>
        <v>3.5</v>
      </c>
      <c r="X63" s="136"/>
      <c r="Y63" s="40" t="n">
        <f aca="false">IF(Y$28="nymex",0,VLOOKUP($A63,curvesettle,HLOOKUP(Y$28,curvesettle,2,FALSE())))</f>
        <v>-0.35</v>
      </c>
      <c r="Z63" s="131" t="n">
        <f aca="false">IF(ISNUMBER(VLOOKUP($A63,VOLCURVES,HLOOKUP(Y$28,VOLCURVES,2,FALSE()),FALSE())),VLOOKUP($A63,VOLCURVES,HLOOKUP(Y$28,VOLCURVES,2,FALSE()),FALSE()),1)</f>
        <v>1</v>
      </c>
      <c r="AA63" s="136" t="n">
        <f aca="false">IF(Y$28="NYMEX",$AG63,$AF63)</f>
        <v>-8157</v>
      </c>
      <c r="AB63" s="4" t="n">
        <f aca="false">(($C63+AC63)*$Z63)+H$15</f>
        <v>0.2595</v>
      </c>
      <c r="AC63" s="4" t="n">
        <f aca="false">IF($H$16=1,VLOOKUP($A63,SkewTable,HLOOKUP(ROUND(AD63-BV63,1),SkewTable,2,FALSE()),FALSE())/100,0)</f>
        <v>0.002</v>
      </c>
      <c r="AD63" s="41" t="n">
        <f aca="false">IF($H$19=4,$BV63,$H$18)</f>
        <v>3</v>
      </c>
      <c r="AF63" s="136" t="n">
        <f aca="false">VLOOKUP($A63,expiration,2,FALSE())-$B$2</f>
        <v>-8157</v>
      </c>
      <c r="AG63" s="136" t="n">
        <f aca="false">VLOOKUP($A63,expiration,3,FALSE())-$B$2</f>
        <v>-8158</v>
      </c>
      <c r="AH63" s="4" t="n">
        <f aca="false">VLOOKUP($A63,STRADDLE,12,FALSE())</f>
        <v>0.067254685470467</v>
      </c>
      <c r="AI63" s="43" t="n">
        <f aca="false">A64-A63</f>
        <v>30</v>
      </c>
      <c r="AL63" s="136"/>
      <c r="AM63" s="9"/>
      <c r="AN63" s="9" t="n">
        <f aca="false">IF($A63&gt;=AO$25,IF($A63&lt;=AO$26,$AI63,0),0)</f>
        <v>0</v>
      </c>
      <c r="AO63" s="9" t="e">
        <f aca="false">AQ63/AN63</f>
        <v>#DIV/0!</v>
      </c>
      <c r="AP63" s="1" t="n">
        <f aca="false">AN63*($B63+B$13)</f>
        <v>0</v>
      </c>
      <c r="AQ63" s="33" t="n">
        <f aca="false">IF(ISNUMBER(((AP63/AN63)+B$14+$D63)*AN63),((AP63/AN63)+B$14+$D63)*AN63,0)</f>
        <v>0</v>
      </c>
      <c r="AR63" s="44" t="n">
        <f aca="false">IF(AN63=0,0,bsd(1,AS$27,AO63,$I63,$F63,$G63,$AH63,0.1))</f>
        <v>0</v>
      </c>
      <c r="AS63" s="44" t="n">
        <f aca="false">IF(AN63=0,0,bsd(2,AS$27,AO63,$I63,$F63,$G63,$AH63,0.1))</f>
        <v>0</v>
      </c>
      <c r="AT63" s="44" t="n">
        <f aca="false">IF(AN63=0,0,bsd(AS$28,AS$27,AO63,$I63,$F63,$G63,$AH63,0.1))</f>
        <v>0</v>
      </c>
      <c r="AU63" s="45" t="n">
        <f aca="false">AN63*AR63</f>
        <v>0</v>
      </c>
      <c r="AV63" s="45" t="n">
        <f aca="false">AN63*AS63</f>
        <v>0</v>
      </c>
      <c r="AW63" s="45" t="n">
        <f aca="false">AN63*AT63</f>
        <v>0</v>
      </c>
      <c r="AY63" s="9" t="n">
        <f aca="false">IF($A63&gt;=AZ$25,IF($A63&lt;=AZ$26,$AI63,0),0)</f>
        <v>0</v>
      </c>
      <c r="AZ63" s="9" t="e">
        <f aca="false">BB63/AY63</f>
        <v>#DIV/0!</v>
      </c>
      <c r="BA63" s="1" t="n">
        <f aca="false">AY63*($B63+D$13)</f>
        <v>0</v>
      </c>
      <c r="BB63" s="33" t="n">
        <f aca="false">IF(ISNUMBER(((BA63/AY63)+D$14+$K63)*AY63),((BA63/AY63)+D$14+$K63)*AY63,0)</f>
        <v>0</v>
      </c>
      <c r="BC63" s="44" t="n">
        <f aca="false">IF(AY63=0,0,bsd(1,BD$27,AZ63,$P63,$M63,$N63,$AH63,0.1))</f>
        <v>0</v>
      </c>
      <c r="BD63" s="44" t="n">
        <f aca="false">IF(AY63=0,0,bsd(2,BD$27,AZ63,$P63,$M63,$N63,$AH63,0.1))</f>
        <v>0</v>
      </c>
      <c r="BE63" s="44" t="n">
        <f aca="false">IF(AY63=0,0,bsd(BD$28,BD$27,AZ63,$P63,$M63,$N63,$AH63,0.1))</f>
        <v>0</v>
      </c>
      <c r="BF63" s="45" t="n">
        <f aca="false">AY63*BC63</f>
        <v>0</v>
      </c>
      <c r="BG63" s="45" t="n">
        <f aca="false">AY63*BD63</f>
        <v>0</v>
      </c>
      <c r="BH63" s="45" t="n">
        <f aca="false">AY63*BE63</f>
        <v>0</v>
      </c>
      <c r="BJ63" s="9" t="n">
        <f aca="false">IF($A63&gt;=BK$25,IF($A63&lt;=BK$26,$AI63,0),0)</f>
        <v>0</v>
      </c>
      <c r="BK63" s="9" t="e">
        <f aca="false">BM63/BJ63</f>
        <v>#DIV/0!</v>
      </c>
      <c r="BL63" s="1" t="n">
        <f aca="false">BJ63*($B63+F$13)</f>
        <v>0</v>
      </c>
      <c r="BM63" s="33" t="n">
        <f aca="false">IF(ISNUMBER(((BL63/BJ63)+F$14+$R63)*BJ63),((BL63/BJ63)+F$14+$R63)*BJ63,0)</f>
        <v>0</v>
      </c>
      <c r="BN63" s="44" t="n">
        <f aca="false">IF(BJ63=0,0,bsd(1,BO$27,BK63,$W63,$T63,$U63,$AH63,0.1))</f>
        <v>0</v>
      </c>
      <c r="BO63" s="44" t="n">
        <f aca="false">IF(BJ63=0,0,bsd(2,BO$27,BK63,$W63,$T63,$U63,$AH63,0.1))</f>
        <v>0</v>
      </c>
      <c r="BP63" s="44" t="n">
        <f aca="false">IF(BJ63=0,0,bsd(BO$28,BO$27,BK63,$W63,$T63,$U63,$AH63,0.1))</f>
        <v>0</v>
      </c>
      <c r="BQ63" s="45" t="n">
        <f aca="false">BJ63*BN63</f>
        <v>0</v>
      </c>
      <c r="BR63" s="45" t="n">
        <f aca="false">BJ63*BO63</f>
        <v>0</v>
      </c>
      <c r="BS63" s="45" t="n">
        <f aca="false">BJ63*BP63</f>
        <v>0</v>
      </c>
      <c r="BU63" s="9" t="n">
        <f aca="false">IF($A63&gt;=BV$25,IF($A63&lt;=BV$26,$AI63,0),0)</f>
        <v>30</v>
      </c>
      <c r="BV63" s="9" t="n">
        <f aca="false">BX63/BU63</f>
        <v>2.93</v>
      </c>
      <c r="BW63" s="1" t="n">
        <f aca="false">BU63*($B63+H$13)</f>
        <v>98.4</v>
      </c>
      <c r="BX63" s="33" t="n">
        <f aca="false">IF(ISNUMBER(((BW63/BU63)+H$14+$Y63)*BU63),((BW63/BU63)+H$14+$Y63)*BU63,0)</f>
        <v>87.9</v>
      </c>
      <c r="BY63" s="44" t="e">
        <f aca="false">IF(BU63=0,0,bsd(1,BZ$27,BV63,$AD63,$AA63,$AB63,$AH63,0.1))</f>
        <v>#VALUE!</v>
      </c>
      <c r="BZ63" s="44" t="e">
        <f aca="false">IF(BU63=0,0,bsd(2,BZ$27,BV63,$AD63,$AA63,$AB63,$AH63,0.1))</f>
        <v>#VALUE!</v>
      </c>
      <c r="CA63" s="44" t="e">
        <f aca="false">IF(BU63=0,0,bsd(BZ$28,BZ$27,BV63,$AD63,$AA63,$AB63,$AH63,0.1))</f>
        <v>#VALUE!</v>
      </c>
      <c r="CB63" s="45" t="e">
        <f aca="false">BU63*BY63</f>
        <v>#VALUE!</v>
      </c>
      <c r="CC63" s="45" t="e">
        <f aca="false">BU63*BZ63</f>
        <v>#VALUE!</v>
      </c>
      <c r="CD63" s="45" t="e">
        <f aca="false">BU63*CA63</f>
        <v>#VALUE!</v>
      </c>
    </row>
    <row r="64" customFormat="false" ht="12.75" hidden="false" customHeight="false" outlineLevel="0" collapsed="false">
      <c r="A64" s="48" t="n">
        <f aca="false">DATE(YEAR(A63),MONTH(A63)+1,1)</f>
        <v>37803</v>
      </c>
      <c r="B64" s="40" t="n">
        <f aca="false">VLOOKUP(A64,STRADDLE,5,FALSE())</f>
        <v>3.288</v>
      </c>
      <c r="C64" s="4" t="n">
        <f aca="false">VLOOKUP(A64,STRADDLE,8,FALSE())</f>
        <v>0.2575</v>
      </c>
      <c r="D64" s="40" t="n">
        <f aca="false">IF(D$28="nymex",0,VLOOKUP($A64,curvesettle,HLOOKUP(D$28,curvesettle,2,FALSE())))</f>
        <v>0.43</v>
      </c>
      <c r="E64" s="131" t="n">
        <f aca="false">IF(ISNUMBER(VLOOKUP($A64,VOLCURVES,HLOOKUP(D$28,VOLCURVES,2,FALSE()),FALSE())),VLOOKUP($A64,VOLCURVES,HLOOKUP(D$28,VOLCURVES,2,FALSE()),FALSE()),1)</f>
        <v>0.98</v>
      </c>
      <c r="F64" s="136" t="n">
        <f aca="false">IF(D$28="NYMEX",$AG64,$AF64)</f>
        <v>-8128</v>
      </c>
      <c r="G64" s="4" t="e">
        <f aca="false">(($C64+H64)*$E64)+B$15</f>
        <v>#DIV/0!</v>
      </c>
      <c r="H64" s="4" t="e">
        <f aca="false">IF($B$16=1,VLOOKUP($A64,SkewTable,HLOOKUP(ROUND(I64-AO64,1),SkewTable,2,FALSE()),FALSE())/100,0)</f>
        <v>#DIV/0!</v>
      </c>
      <c r="I64" s="41" t="n">
        <f aca="false">IF($B$19=4,$AO64,$B$18)</f>
        <v>12</v>
      </c>
      <c r="K64" s="40" t="n">
        <f aca="false">IF(K$28="nymex",0,VLOOKUP($A64,curvesettle,HLOOKUP(K$28,curvesettle,2,FALSE())))</f>
        <v>-0.018</v>
      </c>
      <c r="L64" s="131" t="n">
        <f aca="false">IF(ISNUMBER(VLOOKUP($A64,VOLCURVES,HLOOKUP(K$28,VOLCURVES,2,FALSE()),FALSE())),VLOOKUP($A64,VOLCURVES,HLOOKUP(K$28,VOLCURVES,2,FALSE()),FALSE()),1)</f>
        <v>1</v>
      </c>
      <c r="M64" s="136" t="n">
        <f aca="false">IF(K$28="NYMEX",$AG64,$AF64)</f>
        <v>-8128</v>
      </c>
      <c r="N64" s="153" t="e">
        <f aca="false">(($C64+O64)*$L64)+D$15</f>
        <v>#DIV/0!</v>
      </c>
      <c r="O64" s="4" t="e">
        <f aca="false">IF($D$16=1,VLOOKUP($A64,SkewTable,HLOOKUP(ROUND(P64-AZ64,1),SkewTable,2,FALSE()),FALSE())/100,0)</f>
        <v>#DIV/0!</v>
      </c>
      <c r="P64" s="41" t="n">
        <f aca="false">IF($D$19=4,$AZ64,$D$18)</f>
        <v>3.75</v>
      </c>
      <c r="R64" s="40" t="n">
        <f aca="false">IF(R$28="nymex",0,VLOOKUP($A64,curvesettle,HLOOKUP(R$28,curvesettle,2,FALSE())))</f>
        <v>-0.018</v>
      </c>
      <c r="S64" s="131" t="n">
        <f aca="false">IF(ISNUMBER(VLOOKUP($A64,VOLCURVES,HLOOKUP(R$28,VOLCURVES,2,FALSE()),FALSE())),VLOOKUP($A64,VOLCURVES,HLOOKUP(R$28,VOLCURVES,2,FALSE()),FALSE()),1)</f>
        <v>1</v>
      </c>
      <c r="T64" s="136" t="n">
        <f aca="false">IF(R$28="NYMEX",$AG64,$AF64)</f>
        <v>-8128</v>
      </c>
      <c r="U64" s="153" t="e">
        <f aca="false">(($C64+V64)*$S64)+F$15</f>
        <v>#DIV/0!</v>
      </c>
      <c r="V64" s="4" t="e">
        <f aca="false">IF($F$16=1,VLOOKUP($A64,SkewTable,HLOOKUP(ROUND(W64-BK64,1),SkewTable,2,FALSE()),FALSE())/100,0)</f>
        <v>#DIV/0!</v>
      </c>
      <c r="W64" s="41" t="n">
        <f aca="false">IF($F$19=4,$BK64,$F$18)</f>
        <v>3.5</v>
      </c>
      <c r="X64" s="136"/>
      <c r="Y64" s="40" t="n">
        <f aca="false">IF(Y$28="nymex",0,VLOOKUP($A64,curvesettle,HLOOKUP(Y$28,curvesettle,2,FALSE())))</f>
        <v>-0.35</v>
      </c>
      <c r="Z64" s="131" t="n">
        <f aca="false">IF(ISNUMBER(VLOOKUP($A64,VOLCURVES,HLOOKUP(Y$28,VOLCURVES,2,FALSE()),FALSE())),VLOOKUP($A64,VOLCURVES,HLOOKUP(Y$28,VOLCURVES,2,FALSE()),FALSE()),1)</f>
        <v>1</v>
      </c>
      <c r="AA64" s="136" t="n">
        <f aca="false">IF(Y$28="NYMEX",$AG64,$AF64)</f>
        <v>-8128</v>
      </c>
      <c r="AB64" s="4" t="n">
        <f aca="false">(($C64+AC64)*$Z64)+H$15</f>
        <v>0.2595</v>
      </c>
      <c r="AC64" s="4" t="n">
        <f aca="false">IF($H$16=1,VLOOKUP($A64,SkewTable,HLOOKUP(ROUND(AD64-BV64,1),SkewTable,2,FALSE()),FALSE())/100,0)</f>
        <v>0.002</v>
      </c>
      <c r="AD64" s="41" t="n">
        <f aca="false">IF($H$19=4,$BV64,$H$18)</f>
        <v>3</v>
      </c>
      <c r="AF64" s="136" t="n">
        <f aca="false">VLOOKUP($A64,expiration,2,FALSE())-$B$2</f>
        <v>-8128</v>
      </c>
      <c r="AG64" s="136" t="n">
        <f aca="false">VLOOKUP($A64,expiration,3,FALSE())-$B$2</f>
        <v>-8129</v>
      </c>
      <c r="AH64" s="4" t="n">
        <f aca="false">VLOOKUP($A64,STRADDLE,12,FALSE())</f>
        <v>0.067261441631244</v>
      </c>
      <c r="AI64" s="43" t="n">
        <f aca="false">A65-A64</f>
        <v>31</v>
      </c>
      <c r="AL64" s="136"/>
      <c r="AM64" s="9"/>
      <c r="AN64" s="9" t="n">
        <f aca="false">IF($A64&gt;=AO$25,IF($A64&lt;=AO$26,$AI64,0),0)</f>
        <v>0</v>
      </c>
      <c r="AO64" s="9" t="e">
        <f aca="false">AQ64/AN64</f>
        <v>#DIV/0!</v>
      </c>
      <c r="AP64" s="1" t="n">
        <f aca="false">AN64*($B64+B$13)</f>
        <v>0</v>
      </c>
      <c r="AQ64" s="33" t="n">
        <f aca="false">IF(ISNUMBER(((AP64/AN64)+B$14+$D64)*AN64),((AP64/AN64)+B$14+$D64)*AN64,0)</f>
        <v>0</v>
      </c>
      <c r="AR64" s="44" t="n">
        <f aca="false">IF(AN64=0,0,bsd(1,AS$27,AO64,$I64,$F64,$G64,$AH64,0.1))</f>
        <v>0</v>
      </c>
      <c r="AS64" s="44" t="n">
        <f aca="false">IF(AN64=0,0,bsd(2,AS$27,AO64,$I64,$F64,$G64,$AH64,0.1))</f>
        <v>0</v>
      </c>
      <c r="AT64" s="44" t="n">
        <f aca="false">IF(AN64=0,0,bsd(AS$28,AS$27,AO64,$I64,$F64,$G64,$AH64,0.1))</f>
        <v>0</v>
      </c>
      <c r="AU64" s="45" t="n">
        <f aca="false">AN64*AR64</f>
        <v>0</v>
      </c>
      <c r="AV64" s="45" t="n">
        <f aca="false">AN64*AS64</f>
        <v>0</v>
      </c>
      <c r="AW64" s="45" t="n">
        <f aca="false">AN64*AT64</f>
        <v>0</v>
      </c>
      <c r="AY64" s="9" t="n">
        <f aca="false">IF($A64&gt;=AZ$25,IF($A64&lt;=AZ$26,$AI64,0),0)</f>
        <v>0</v>
      </c>
      <c r="AZ64" s="9" t="e">
        <f aca="false">BB64/AY64</f>
        <v>#DIV/0!</v>
      </c>
      <c r="BA64" s="1" t="n">
        <f aca="false">AY64*($B64+D$13)</f>
        <v>0</v>
      </c>
      <c r="BB64" s="33" t="n">
        <f aca="false">IF(ISNUMBER(((BA64/AY64)+D$14+$K64)*AY64),((BA64/AY64)+D$14+$K64)*AY64,0)</f>
        <v>0</v>
      </c>
      <c r="BC64" s="44" t="n">
        <f aca="false">IF(AY64=0,0,bsd(1,BD$27,AZ64,$P64,$M64,$N64,$AH64,0.1))</f>
        <v>0</v>
      </c>
      <c r="BD64" s="44" t="n">
        <f aca="false">IF(AY64=0,0,bsd(2,BD$27,AZ64,$P64,$M64,$N64,$AH64,0.1))</f>
        <v>0</v>
      </c>
      <c r="BE64" s="44" t="n">
        <f aca="false">IF(AY64=0,0,bsd(BD$28,BD$27,AZ64,$P64,$M64,$N64,$AH64,0.1))</f>
        <v>0</v>
      </c>
      <c r="BF64" s="45" t="n">
        <f aca="false">AY64*BC64</f>
        <v>0</v>
      </c>
      <c r="BG64" s="45" t="n">
        <f aca="false">AY64*BD64</f>
        <v>0</v>
      </c>
      <c r="BH64" s="45" t="n">
        <f aca="false">AY64*BE64</f>
        <v>0</v>
      </c>
      <c r="BJ64" s="9" t="n">
        <f aca="false">IF($A64&gt;=BK$25,IF($A64&lt;=BK$26,$AI64,0),0)</f>
        <v>0</v>
      </c>
      <c r="BK64" s="9" t="e">
        <f aca="false">BM64/BJ64</f>
        <v>#DIV/0!</v>
      </c>
      <c r="BL64" s="1" t="n">
        <f aca="false">BJ64*($B64+F$13)</f>
        <v>0</v>
      </c>
      <c r="BM64" s="33" t="n">
        <f aca="false">IF(ISNUMBER(((BL64/BJ64)+F$14+$R64)*BJ64),((BL64/BJ64)+F$14+$R64)*BJ64,0)</f>
        <v>0</v>
      </c>
      <c r="BN64" s="44" t="n">
        <f aca="false">IF(BJ64=0,0,bsd(1,BO$27,BK64,$W64,$T64,$U64,$AH64,0.1))</f>
        <v>0</v>
      </c>
      <c r="BO64" s="44" t="n">
        <f aca="false">IF(BJ64=0,0,bsd(2,BO$27,BK64,$W64,$T64,$U64,$AH64,0.1))</f>
        <v>0</v>
      </c>
      <c r="BP64" s="44" t="n">
        <f aca="false">IF(BJ64=0,0,bsd(BO$28,BO$27,BK64,$W64,$T64,$U64,$AH64,0.1))</f>
        <v>0</v>
      </c>
      <c r="BQ64" s="45" t="n">
        <f aca="false">BJ64*BN64</f>
        <v>0</v>
      </c>
      <c r="BR64" s="45" t="n">
        <f aca="false">BJ64*BO64</f>
        <v>0</v>
      </c>
      <c r="BS64" s="45" t="n">
        <f aca="false">BJ64*BP64</f>
        <v>0</v>
      </c>
      <c r="BU64" s="9" t="n">
        <f aca="false">IF($A64&gt;=BV$25,IF($A64&lt;=BV$26,$AI64,0),0)</f>
        <v>31</v>
      </c>
      <c r="BV64" s="9" t="n">
        <f aca="false">BX64/BU64</f>
        <v>2.938</v>
      </c>
      <c r="BW64" s="1" t="n">
        <f aca="false">BU64*($B64+H$13)</f>
        <v>101.928</v>
      </c>
      <c r="BX64" s="33" t="n">
        <f aca="false">IF(ISNUMBER(((BW64/BU64)+H$14+$Y64)*BU64),((BW64/BU64)+H$14+$Y64)*BU64,0)</f>
        <v>91.078</v>
      </c>
      <c r="BY64" s="44" t="e">
        <f aca="false">IF(BU64=0,0,bsd(1,BZ$27,BV64,$AD64,$AA64,$AB64,$AH64,0.1))</f>
        <v>#VALUE!</v>
      </c>
      <c r="BZ64" s="44" t="e">
        <f aca="false">IF(BU64=0,0,bsd(2,BZ$27,BV64,$AD64,$AA64,$AB64,$AH64,0.1))</f>
        <v>#VALUE!</v>
      </c>
      <c r="CA64" s="44" t="e">
        <f aca="false">IF(BU64=0,0,bsd(BZ$28,BZ$27,BV64,$AD64,$AA64,$AB64,$AH64,0.1))</f>
        <v>#VALUE!</v>
      </c>
      <c r="CB64" s="45" t="e">
        <f aca="false">BU64*BY64</f>
        <v>#VALUE!</v>
      </c>
      <c r="CC64" s="45" t="e">
        <f aca="false">BU64*BZ64</f>
        <v>#VALUE!</v>
      </c>
      <c r="CD64" s="45" t="e">
        <f aca="false">BU64*CA64</f>
        <v>#VALUE!</v>
      </c>
    </row>
    <row r="65" customFormat="false" ht="12.75" hidden="false" customHeight="false" outlineLevel="0" collapsed="false">
      <c r="A65" s="48" t="n">
        <f aca="false">DATE(YEAR(A64),MONTH(A64)+1,1)</f>
        <v>37834</v>
      </c>
      <c r="B65" s="40" t="n">
        <f aca="false">VLOOKUP(A65,STRADDLE,5,FALSE())</f>
        <v>3.295</v>
      </c>
      <c r="C65" s="4" t="n">
        <f aca="false">VLOOKUP(A65,STRADDLE,8,FALSE())</f>
        <v>0.2575</v>
      </c>
      <c r="D65" s="40" t="n">
        <f aca="false">IF(D$28="nymex",0,VLOOKUP($A65,curvesettle,HLOOKUP(D$28,curvesettle,2,FALSE())))</f>
        <v>0.495</v>
      </c>
      <c r="E65" s="131" t="n">
        <f aca="false">IF(ISNUMBER(VLOOKUP($A65,VOLCURVES,HLOOKUP(D$28,VOLCURVES,2,FALSE()),FALSE())),VLOOKUP($A65,VOLCURVES,HLOOKUP(D$28,VOLCURVES,2,FALSE()),FALSE()),1)</f>
        <v>0.98</v>
      </c>
      <c r="F65" s="136" t="n">
        <f aca="false">IF(D$28="NYMEX",$AG65,$AF65)</f>
        <v>-8095</v>
      </c>
      <c r="G65" s="4" t="e">
        <f aca="false">(($C65+H65)*$E65)+B$15</f>
        <v>#DIV/0!</v>
      </c>
      <c r="H65" s="4" t="e">
        <f aca="false">IF($B$16=1,VLOOKUP($A65,SkewTable,HLOOKUP(ROUND(I65-AO65,1),SkewTable,2,FALSE()),FALSE())/100,0)</f>
        <v>#DIV/0!</v>
      </c>
      <c r="I65" s="41" t="n">
        <f aca="false">IF($B$19=4,$AO65,$B$18)</f>
        <v>12</v>
      </c>
      <c r="K65" s="40" t="n">
        <f aca="false">IF(K$28="nymex",0,VLOOKUP($A65,curvesettle,HLOOKUP(K$28,curvesettle,2,FALSE())))</f>
        <v>-0.018</v>
      </c>
      <c r="L65" s="131" t="n">
        <f aca="false">IF(ISNUMBER(VLOOKUP($A65,VOLCURVES,HLOOKUP(K$28,VOLCURVES,2,FALSE()),FALSE())),VLOOKUP($A65,VOLCURVES,HLOOKUP(K$28,VOLCURVES,2,FALSE()),FALSE()),1)</f>
        <v>1</v>
      </c>
      <c r="M65" s="136" t="n">
        <f aca="false">IF(K$28="NYMEX",$AG65,$AF65)</f>
        <v>-8095</v>
      </c>
      <c r="N65" s="153" t="e">
        <f aca="false">(($C65+O65)*$L65)+D$15</f>
        <v>#DIV/0!</v>
      </c>
      <c r="O65" s="4" t="e">
        <f aca="false">IF($D$16=1,VLOOKUP($A65,SkewTable,HLOOKUP(ROUND(P65-AZ65,1),SkewTable,2,FALSE()),FALSE())/100,0)</f>
        <v>#DIV/0!</v>
      </c>
      <c r="P65" s="41" t="n">
        <f aca="false">IF($D$19=4,$AZ65,$D$18)</f>
        <v>3.75</v>
      </c>
      <c r="R65" s="40" t="n">
        <f aca="false">IF(R$28="nymex",0,VLOOKUP($A65,curvesettle,HLOOKUP(R$28,curvesettle,2,FALSE())))</f>
        <v>-0.018</v>
      </c>
      <c r="S65" s="131" t="n">
        <f aca="false">IF(ISNUMBER(VLOOKUP($A65,VOLCURVES,HLOOKUP(R$28,VOLCURVES,2,FALSE()),FALSE())),VLOOKUP($A65,VOLCURVES,HLOOKUP(R$28,VOLCURVES,2,FALSE()),FALSE()),1)</f>
        <v>1</v>
      </c>
      <c r="T65" s="136" t="n">
        <f aca="false">IF(R$28="NYMEX",$AG65,$AF65)</f>
        <v>-8095</v>
      </c>
      <c r="U65" s="153" t="e">
        <f aca="false">(($C65+V65)*$S65)+F$15</f>
        <v>#DIV/0!</v>
      </c>
      <c r="V65" s="4" t="e">
        <f aca="false">IF($F$16=1,VLOOKUP($A65,SkewTable,HLOOKUP(ROUND(W65-BK65,1),SkewTable,2,FALSE()),FALSE())/100,0)</f>
        <v>#DIV/0!</v>
      </c>
      <c r="W65" s="41" t="n">
        <f aca="false">IF($F$19=4,$BK65,$F$18)</f>
        <v>3.5</v>
      </c>
      <c r="X65" s="136"/>
      <c r="Y65" s="40" t="n">
        <f aca="false">IF(Y$28="nymex",0,VLOOKUP($A65,curvesettle,HLOOKUP(Y$28,curvesettle,2,FALSE())))</f>
        <v>-0.35</v>
      </c>
      <c r="Z65" s="131" t="n">
        <f aca="false">IF(ISNUMBER(VLOOKUP($A65,VOLCURVES,HLOOKUP(Y$28,VOLCURVES,2,FALSE()),FALSE())),VLOOKUP($A65,VOLCURVES,HLOOKUP(Y$28,VOLCURVES,2,FALSE()),FALSE()),1)</f>
        <v>1</v>
      </c>
      <c r="AA65" s="136" t="n">
        <f aca="false">IF(Y$28="NYMEX",$AG65,$AF65)</f>
        <v>-8095</v>
      </c>
      <c r="AB65" s="4" t="n">
        <f aca="false">(($C65+AC65)*$Z65)+H$15</f>
        <v>0.2595</v>
      </c>
      <c r="AC65" s="4" t="n">
        <f aca="false">IF($H$16=1,VLOOKUP($A65,SkewTable,HLOOKUP(ROUND(AD65-BV65,1),SkewTable,2,FALSE()),FALSE())/100,0)</f>
        <v>0.002</v>
      </c>
      <c r="AD65" s="41" t="n">
        <f aca="false">IF($H$19=4,$BV65,$H$18)</f>
        <v>3</v>
      </c>
      <c r="AF65" s="136" t="n">
        <f aca="false">VLOOKUP($A65,expiration,2,FALSE())-$B$2</f>
        <v>-8095</v>
      </c>
      <c r="AG65" s="136" t="n">
        <f aca="false">VLOOKUP($A65,expiration,3,FALSE())-$B$2</f>
        <v>-8096</v>
      </c>
      <c r="AH65" s="4" t="n">
        <f aca="false">VLOOKUP($A65,STRADDLE,12,FALSE())</f>
        <v>0.067272650985246</v>
      </c>
      <c r="AI65" s="43" t="n">
        <f aca="false">A66-A65</f>
        <v>31</v>
      </c>
      <c r="AL65" s="136"/>
      <c r="AM65" s="9"/>
      <c r="AN65" s="9" t="n">
        <f aca="false">IF($A65&gt;=AO$25,IF($A65&lt;=AO$26,$AI65,0),0)</f>
        <v>0</v>
      </c>
      <c r="AO65" s="9" t="e">
        <f aca="false">AQ65/AN65</f>
        <v>#DIV/0!</v>
      </c>
      <c r="AP65" s="1" t="n">
        <f aca="false">AN65*($B65+B$13)</f>
        <v>0</v>
      </c>
      <c r="AQ65" s="33" t="n">
        <f aca="false">IF(ISNUMBER(((AP65/AN65)+B$14+$D65)*AN65),((AP65/AN65)+B$14+$D65)*AN65,0)</f>
        <v>0</v>
      </c>
      <c r="AR65" s="44" t="n">
        <f aca="false">IF(AN65=0,0,bsd(1,AS$27,AO65,$I65,$F65,$G65,$AH65,0.1))</f>
        <v>0</v>
      </c>
      <c r="AS65" s="44" t="n">
        <f aca="false">IF(AN65=0,0,bsd(2,AS$27,AO65,$I65,$F65,$G65,$AH65,0.1))</f>
        <v>0</v>
      </c>
      <c r="AT65" s="44" t="n">
        <f aca="false">IF(AN65=0,0,bsd(AS$28,AS$27,AO65,$I65,$F65,$G65,$AH65,0.1))</f>
        <v>0</v>
      </c>
      <c r="AU65" s="45" t="n">
        <f aca="false">AN65*AR65</f>
        <v>0</v>
      </c>
      <c r="AV65" s="45" t="n">
        <f aca="false">AN65*AS65</f>
        <v>0</v>
      </c>
      <c r="AW65" s="45" t="n">
        <f aca="false">AN65*AT65</f>
        <v>0</v>
      </c>
      <c r="AY65" s="9" t="n">
        <f aca="false">IF($A65&gt;=AZ$25,IF($A65&lt;=AZ$26,$AI65,0),0)</f>
        <v>0</v>
      </c>
      <c r="AZ65" s="9" t="e">
        <f aca="false">BB65/AY65</f>
        <v>#DIV/0!</v>
      </c>
      <c r="BA65" s="1" t="n">
        <f aca="false">AY65*($B65+D$13)</f>
        <v>0</v>
      </c>
      <c r="BB65" s="33" t="n">
        <f aca="false">IF(ISNUMBER(((BA65/AY65)+D$14+$K65)*AY65),((BA65/AY65)+D$14+$K65)*AY65,0)</f>
        <v>0</v>
      </c>
      <c r="BC65" s="44" t="n">
        <f aca="false">IF(AY65=0,0,bsd(1,BD$27,AZ65,$P65,$M65,$N65,$AH65,0.1))</f>
        <v>0</v>
      </c>
      <c r="BD65" s="44" t="n">
        <f aca="false">IF(AY65=0,0,bsd(2,BD$27,AZ65,$P65,$M65,$N65,$AH65,0.1))</f>
        <v>0</v>
      </c>
      <c r="BE65" s="44" t="n">
        <f aca="false">IF(AY65=0,0,bsd(BD$28,BD$27,AZ65,$P65,$M65,$N65,$AH65,0.1))</f>
        <v>0</v>
      </c>
      <c r="BF65" s="45" t="n">
        <f aca="false">AY65*BC65</f>
        <v>0</v>
      </c>
      <c r="BG65" s="45" t="n">
        <f aca="false">AY65*BD65</f>
        <v>0</v>
      </c>
      <c r="BH65" s="45" t="n">
        <f aca="false">AY65*BE65</f>
        <v>0</v>
      </c>
      <c r="BJ65" s="9" t="n">
        <f aca="false">IF($A65&gt;=BK$25,IF($A65&lt;=BK$26,$AI65,0),0)</f>
        <v>0</v>
      </c>
      <c r="BK65" s="9" t="e">
        <f aca="false">BM65/BJ65</f>
        <v>#DIV/0!</v>
      </c>
      <c r="BL65" s="1" t="n">
        <f aca="false">BJ65*($B65+F$13)</f>
        <v>0</v>
      </c>
      <c r="BM65" s="33" t="n">
        <f aca="false">IF(ISNUMBER(((BL65/BJ65)+F$14+$R65)*BJ65),((BL65/BJ65)+F$14+$R65)*BJ65,0)</f>
        <v>0</v>
      </c>
      <c r="BN65" s="44" t="n">
        <f aca="false">IF(BJ65=0,0,bsd(1,BO$27,BK65,$W65,$T65,$U65,$AH65,0.1))</f>
        <v>0</v>
      </c>
      <c r="BO65" s="44" t="n">
        <f aca="false">IF(BJ65=0,0,bsd(2,BO$27,BK65,$W65,$T65,$U65,$AH65,0.1))</f>
        <v>0</v>
      </c>
      <c r="BP65" s="44" t="n">
        <f aca="false">IF(BJ65=0,0,bsd(BO$28,BO$27,BK65,$W65,$T65,$U65,$AH65,0.1))</f>
        <v>0</v>
      </c>
      <c r="BQ65" s="45" t="n">
        <f aca="false">BJ65*BN65</f>
        <v>0</v>
      </c>
      <c r="BR65" s="45" t="n">
        <f aca="false">BJ65*BO65</f>
        <v>0</v>
      </c>
      <c r="BS65" s="45" t="n">
        <f aca="false">BJ65*BP65</f>
        <v>0</v>
      </c>
      <c r="BU65" s="9" t="n">
        <f aca="false">IF($A65&gt;=BV$25,IF($A65&lt;=BV$26,$AI65,0),0)</f>
        <v>31</v>
      </c>
      <c r="BV65" s="9" t="n">
        <f aca="false">BX65/BU65</f>
        <v>2.945</v>
      </c>
      <c r="BW65" s="1" t="n">
        <f aca="false">BU65*($B65+H$13)</f>
        <v>102.145</v>
      </c>
      <c r="BX65" s="33" t="n">
        <f aca="false">IF(ISNUMBER(((BW65/BU65)+H$14+$Y65)*BU65),((BW65/BU65)+H$14+$Y65)*BU65,0)</f>
        <v>91.295</v>
      </c>
      <c r="BY65" s="44" t="e">
        <f aca="false">IF(BU65=0,0,bsd(1,BZ$27,BV65,$AD65,$AA65,$AB65,$AH65,0.1))</f>
        <v>#VALUE!</v>
      </c>
      <c r="BZ65" s="44" t="e">
        <f aca="false">IF(BU65=0,0,bsd(2,BZ$27,BV65,$AD65,$AA65,$AB65,$AH65,0.1))</f>
        <v>#VALUE!</v>
      </c>
      <c r="CA65" s="44" t="e">
        <f aca="false">IF(BU65=0,0,bsd(BZ$28,BZ$27,BV65,$AD65,$AA65,$AB65,$AH65,0.1))</f>
        <v>#VALUE!</v>
      </c>
      <c r="CB65" s="45" t="e">
        <f aca="false">BU65*BY65</f>
        <v>#VALUE!</v>
      </c>
      <c r="CC65" s="45" t="e">
        <f aca="false">BU65*BZ65</f>
        <v>#VALUE!</v>
      </c>
      <c r="CD65" s="45" t="e">
        <f aca="false">BU65*CA65</f>
        <v>#VALUE!</v>
      </c>
    </row>
    <row r="66" customFormat="false" ht="12.75" hidden="false" customHeight="false" outlineLevel="0" collapsed="false">
      <c r="A66" s="48" t="n">
        <f aca="false">DATE(YEAR(A65),MONTH(A65)+1,1)</f>
        <v>37865</v>
      </c>
      <c r="B66" s="40" t="n">
        <f aca="false">VLOOKUP(A66,STRADDLE,5,FALSE())</f>
        <v>3.285</v>
      </c>
      <c r="C66" s="4" t="n">
        <f aca="false">VLOOKUP(A66,STRADDLE,8,FALSE())</f>
        <v>0.2575</v>
      </c>
      <c r="D66" s="40" t="n">
        <f aca="false">IF(D$28="nymex",0,VLOOKUP($A66,curvesettle,HLOOKUP(D$28,curvesettle,2,FALSE())))</f>
        <v>0.395</v>
      </c>
      <c r="E66" s="131" t="n">
        <f aca="false">IF(ISNUMBER(VLOOKUP($A66,VOLCURVES,HLOOKUP(D$28,VOLCURVES,2,FALSE()),FALSE())),VLOOKUP($A66,VOLCURVES,HLOOKUP(D$28,VOLCURVES,2,FALSE()),FALSE()),1)</f>
        <v>0.98</v>
      </c>
      <c r="F66" s="136" t="n">
        <f aca="false">IF(D$28="NYMEX",$AG66,$AF66)</f>
        <v>-8066</v>
      </c>
      <c r="G66" s="4" t="e">
        <f aca="false">(($C66+H66)*$E66)+B$15</f>
        <v>#DIV/0!</v>
      </c>
      <c r="H66" s="4" t="e">
        <f aca="false">IF($B$16=1,VLOOKUP($A66,SkewTable,HLOOKUP(ROUND(I66-AO66,1),SkewTable,2,FALSE()),FALSE())/100,0)</f>
        <v>#DIV/0!</v>
      </c>
      <c r="I66" s="41" t="n">
        <f aca="false">IF($B$19=4,$AO66,$B$18)</f>
        <v>12</v>
      </c>
      <c r="K66" s="40" t="n">
        <f aca="false">IF(K$28="nymex",0,VLOOKUP($A66,curvesettle,HLOOKUP(K$28,curvesettle,2,FALSE())))</f>
        <v>-0.018</v>
      </c>
      <c r="L66" s="131" t="n">
        <f aca="false">IF(ISNUMBER(VLOOKUP($A66,VOLCURVES,HLOOKUP(K$28,VOLCURVES,2,FALSE()),FALSE())),VLOOKUP($A66,VOLCURVES,HLOOKUP(K$28,VOLCURVES,2,FALSE()),FALSE()),1)</f>
        <v>1</v>
      </c>
      <c r="M66" s="136" t="n">
        <f aca="false">IF(K$28="NYMEX",$AG66,$AF66)</f>
        <v>-8066</v>
      </c>
      <c r="N66" s="153" t="e">
        <f aca="false">(($C66+O66)*$L66)+D$15</f>
        <v>#DIV/0!</v>
      </c>
      <c r="O66" s="4" t="e">
        <f aca="false">IF($D$16=1,VLOOKUP($A66,SkewTable,HLOOKUP(ROUND(P66-AZ66,1),SkewTable,2,FALSE()),FALSE())/100,0)</f>
        <v>#DIV/0!</v>
      </c>
      <c r="P66" s="41" t="n">
        <f aca="false">IF($D$19=4,$AZ66,$D$18)</f>
        <v>3.75</v>
      </c>
      <c r="R66" s="40" t="n">
        <f aca="false">IF(R$28="nymex",0,VLOOKUP($A66,curvesettle,HLOOKUP(R$28,curvesettle,2,FALSE())))</f>
        <v>-0.018</v>
      </c>
      <c r="S66" s="131" t="n">
        <f aca="false">IF(ISNUMBER(VLOOKUP($A66,VOLCURVES,HLOOKUP(R$28,VOLCURVES,2,FALSE()),FALSE())),VLOOKUP($A66,VOLCURVES,HLOOKUP(R$28,VOLCURVES,2,FALSE()),FALSE()),1)</f>
        <v>1</v>
      </c>
      <c r="T66" s="136" t="n">
        <f aca="false">IF(R$28="NYMEX",$AG66,$AF66)</f>
        <v>-8066</v>
      </c>
      <c r="U66" s="153" t="e">
        <f aca="false">(($C66+V66)*$S66)+F$15</f>
        <v>#DIV/0!</v>
      </c>
      <c r="V66" s="4" t="e">
        <f aca="false">IF($F$16=1,VLOOKUP($A66,SkewTable,HLOOKUP(ROUND(W66-BK66,1),SkewTable,2,FALSE()),FALSE())/100,0)</f>
        <v>#DIV/0!</v>
      </c>
      <c r="W66" s="41" t="n">
        <f aca="false">IF($F$19=4,$BK66,$F$18)</f>
        <v>3.5</v>
      </c>
      <c r="X66" s="136"/>
      <c r="Y66" s="40" t="n">
        <f aca="false">IF(Y$28="nymex",0,VLOOKUP($A66,curvesettle,HLOOKUP(Y$28,curvesettle,2,FALSE())))</f>
        <v>-0.35</v>
      </c>
      <c r="Z66" s="131" t="n">
        <f aca="false">IF(ISNUMBER(VLOOKUP($A66,VOLCURVES,HLOOKUP(Y$28,VOLCURVES,2,FALSE()),FALSE())),VLOOKUP($A66,VOLCURVES,HLOOKUP(Y$28,VOLCURVES,2,FALSE()),FALSE()),1)</f>
        <v>1</v>
      </c>
      <c r="AA66" s="136" t="n">
        <f aca="false">IF(Y$28="NYMEX",$AG66,$AF66)</f>
        <v>-8066</v>
      </c>
      <c r="AB66" s="4" t="n">
        <f aca="false">(($C66+AC66)*$Z66)+H$15</f>
        <v>0.2595</v>
      </c>
      <c r="AC66" s="4" t="n">
        <f aca="false">IF($H$16=1,VLOOKUP($A66,SkewTable,HLOOKUP(ROUND(AD66-BV66,1),SkewTable,2,FALSE()),FALSE())/100,0)</f>
        <v>0.002</v>
      </c>
      <c r="AD66" s="41" t="n">
        <f aca="false">IF($H$19=4,$BV66,$H$18)</f>
        <v>3</v>
      </c>
      <c r="AF66" s="136" t="n">
        <f aca="false">VLOOKUP($A66,expiration,2,FALSE())-$B$2</f>
        <v>-8066</v>
      </c>
      <c r="AG66" s="136" t="n">
        <f aca="false">VLOOKUP($A66,expiration,3,FALSE())-$B$2</f>
        <v>-8067</v>
      </c>
      <c r="AH66" s="4" t="n">
        <f aca="false">VLOOKUP($A66,STRADDLE,12,FALSE())</f>
        <v>0.06728386033929</v>
      </c>
      <c r="AI66" s="43" t="n">
        <f aca="false">A67-A66</f>
        <v>30</v>
      </c>
      <c r="AL66" s="136"/>
      <c r="AM66" s="9"/>
      <c r="AN66" s="9" t="n">
        <f aca="false">IF($A66&gt;=AO$25,IF($A66&lt;=AO$26,$AI66,0),0)</f>
        <v>0</v>
      </c>
      <c r="AO66" s="9" t="e">
        <f aca="false">AQ66/AN66</f>
        <v>#DIV/0!</v>
      </c>
      <c r="AP66" s="1" t="n">
        <f aca="false">AN66*($B66+B$13)</f>
        <v>0</v>
      </c>
      <c r="AQ66" s="33" t="n">
        <f aca="false">IF(ISNUMBER(((AP66/AN66)+B$14+$D66)*AN66),((AP66/AN66)+B$14+$D66)*AN66,0)</f>
        <v>0</v>
      </c>
      <c r="AR66" s="44" t="n">
        <f aca="false">IF(AN66=0,0,bsd(1,AS$27,AO66,$I66,$F66,$G66,$AH66,0.1))</f>
        <v>0</v>
      </c>
      <c r="AS66" s="44" t="n">
        <f aca="false">IF(AN66=0,0,bsd(2,AS$27,AO66,$I66,$F66,$G66,$AH66,0.1))</f>
        <v>0</v>
      </c>
      <c r="AT66" s="44" t="n">
        <f aca="false">IF(AN66=0,0,bsd(AS$28,AS$27,AO66,$I66,$F66,$G66,$AH66,0.1))</f>
        <v>0</v>
      </c>
      <c r="AU66" s="45" t="n">
        <f aca="false">AN66*AR66</f>
        <v>0</v>
      </c>
      <c r="AV66" s="45" t="n">
        <f aca="false">AN66*AS66</f>
        <v>0</v>
      </c>
      <c r="AW66" s="45" t="n">
        <f aca="false">AN66*AT66</f>
        <v>0</v>
      </c>
      <c r="AY66" s="9" t="n">
        <f aca="false">IF($A66&gt;=AZ$25,IF($A66&lt;=AZ$26,$AI66,0),0)</f>
        <v>0</v>
      </c>
      <c r="AZ66" s="9" t="e">
        <f aca="false">BB66/AY66</f>
        <v>#DIV/0!</v>
      </c>
      <c r="BA66" s="1" t="n">
        <f aca="false">AY66*($B66+D$13)</f>
        <v>0</v>
      </c>
      <c r="BB66" s="33" t="n">
        <f aca="false">IF(ISNUMBER(((BA66/AY66)+D$14+$K66)*AY66),((BA66/AY66)+D$14+$K66)*AY66,0)</f>
        <v>0</v>
      </c>
      <c r="BC66" s="44" t="n">
        <f aca="false">IF(AY66=0,0,bsd(1,BD$27,AZ66,$P66,$M66,$N66,$AH66,0.1))</f>
        <v>0</v>
      </c>
      <c r="BD66" s="44" t="n">
        <f aca="false">IF(AY66=0,0,bsd(2,BD$27,AZ66,$P66,$M66,$N66,$AH66,0.1))</f>
        <v>0</v>
      </c>
      <c r="BE66" s="44" t="n">
        <f aca="false">IF(AY66=0,0,bsd(BD$28,BD$27,AZ66,$P66,$M66,$N66,$AH66,0.1))</f>
        <v>0</v>
      </c>
      <c r="BF66" s="45" t="n">
        <f aca="false">AY66*BC66</f>
        <v>0</v>
      </c>
      <c r="BG66" s="45" t="n">
        <f aca="false">AY66*BD66</f>
        <v>0</v>
      </c>
      <c r="BH66" s="45" t="n">
        <f aca="false">AY66*BE66</f>
        <v>0</v>
      </c>
      <c r="BJ66" s="9" t="n">
        <f aca="false">IF($A66&gt;=BK$25,IF($A66&lt;=BK$26,$AI66,0),0)</f>
        <v>0</v>
      </c>
      <c r="BK66" s="9" t="e">
        <f aca="false">BM66/BJ66</f>
        <v>#DIV/0!</v>
      </c>
      <c r="BL66" s="1" t="n">
        <f aca="false">BJ66*($B66+F$13)</f>
        <v>0</v>
      </c>
      <c r="BM66" s="33" t="n">
        <f aca="false">IF(ISNUMBER(((BL66/BJ66)+F$14+$R66)*BJ66),((BL66/BJ66)+F$14+$R66)*BJ66,0)</f>
        <v>0</v>
      </c>
      <c r="BN66" s="44" t="n">
        <f aca="false">IF(BJ66=0,0,bsd(1,BO$27,BK66,$W66,$T66,$U66,$AH66,0.1))</f>
        <v>0</v>
      </c>
      <c r="BO66" s="44" t="n">
        <f aca="false">IF(BJ66=0,0,bsd(2,BO$27,BK66,$W66,$T66,$U66,$AH66,0.1))</f>
        <v>0</v>
      </c>
      <c r="BP66" s="44" t="n">
        <f aca="false">IF(BJ66=0,0,bsd(BO$28,BO$27,BK66,$W66,$T66,$U66,$AH66,0.1))</f>
        <v>0</v>
      </c>
      <c r="BQ66" s="45" t="n">
        <f aca="false">BJ66*BN66</f>
        <v>0</v>
      </c>
      <c r="BR66" s="45" t="n">
        <f aca="false">BJ66*BO66</f>
        <v>0</v>
      </c>
      <c r="BS66" s="45" t="n">
        <f aca="false">BJ66*BP66</f>
        <v>0</v>
      </c>
      <c r="BU66" s="9" t="n">
        <f aca="false">IF($A66&gt;=BV$25,IF($A66&lt;=BV$26,$AI66,0),0)</f>
        <v>30</v>
      </c>
      <c r="BV66" s="9" t="n">
        <f aca="false">BX66/BU66</f>
        <v>2.935</v>
      </c>
      <c r="BW66" s="1" t="n">
        <f aca="false">BU66*($B66+H$13)</f>
        <v>98.55</v>
      </c>
      <c r="BX66" s="33" t="n">
        <f aca="false">IF(ISNUMBER(((BW66/BU66)+H$14+$Y66)*BU66),((BW66/BU66)+H$14+$Y66)*BU66,0)</f>
        <v>88.05</v>
      </c>
      <c r="BY66" s="44" t="e">
        <f aca="false">IF(BU66=0,0,bsd(1,BZ$27,BV66,$AD66,$AA66,$AB66,$AH66,0.1))</f>
        <v>#VALUE!</v>
      </c>
      <c r="BZ66" s="44" t="e">
        <f aca="false">IF(BU66=0,0,bsd(2,BZ$27,BV66,$AD66,$AA66,$AB66,$AH66,0.1))</f>
        <v>#VALUE!</v>
      </c>
      <c r="CA66" s="44" t="e">
        <f aca="false">IF(BU66=0,0,bsd(BZ$28,BZ$27,BV66,$AD66,$AA66,$AB66,$AH66,0.1))</f>
        <v>#VALUE!</v>
      </c>
      <c r="CB66" s="45" t="e">
        <f aca="false">BU66*BY66</f>
        <v>#VALUE!</v>
      </c>
      <c r="CC66" s="45" t="e">
        <f aca="false">BU66*BZ66</f>
        <v>#VALUE!</v>
      </c>
      <c r="CD66" s="45" t="e">
        <f aca="false">BU66*CA66</f>
        <v>#VALUE!</v>
      </c>
    </row>
    <row r="67" customFormat="false" ht="12.75" hidden="false" customHeight="false" outlineLevel="0" collapsed="false">
      <c r="A67" s="48" t="n">
        <f aca="false">DATE(YEAR(A66),MONTH(A66)+1,1)</f>
        <v>37895</v>
      </c>
      <c r="B67" s="40" t="n">
        <f aca="false">VLOOKUP(A67,STRADDLE,5,FALSE())</f>
        <v>3.308</v>
      </c>
      <c r="C67" s="4" t="n">
        <f aca="false">VLOOKUP(A67,STRADDLE,8,FALSE())</f>
        <v>0.2575</v>
      </c>
      <c r="D67" s="40" t="n">
        <f aca="false">IF(D$28="nymex",0,VLOOKUP($A67,curvesettle,HLOOKUP(D$28,curvesettle,2,FALSE())))</f>
        <v>0.461</v>
      </c>
      <c r="E67" s="131" t="n">
        <f aca="false">IF(ISNUMBER(VLOOKUP($A67,VOLCURVES,HLOOKUP(D$28,VOLCURVES,2,FALSE()),FALSE())),VLOOKUP($A67,VOLCURVES,HLOOKUP(D$28,VOLCURVES,2,FALSE()),FALSE()),1)</f>
        <v>0.98</v>
      </c>
      <c r="F67" s="136" t="n">
        <f aca="false">IF(D$28="NYMEX",$AG67,$AF67)</f>
        <v>-8036</v>
      </c>
      <c r="G67" s="4" t="e">
        <f aca="false">(($C67+H67)*$E67)+B$15</f>
        <v>#DIV/0!</v>
      </c>
      <c r="H67" s="4" t="e">
        <f aca="false">IF($B$16=1,VLOOKUP($A67,SkewTable,HLOOKUP(ROUND(I67-AO67,1),SkewTable,2,FALSE()),FALSE())/100,0)</f>
        <v>#DIV/0!</v>
      </c>
      <c r="I67" s="41" t="n">
        <f aca="false">IF($B$19=4,$AO67,$B$18)</f>
        <v>12</v>
      </c>
      <c r="K67" s="40" t="n">
        <f aca="false">IF(K$28="nymex",0,VLOOKUP($A67,curvesettle,HLOOKUP(K$28,curvesettle,2,FALSE())))</f>
        <v>-0.018</v>
      </c>
      <c r="L67" s="131" t="n">
        <f aca="false">IF(ISNUMBER(VLOOKUP($A67,VOLCURVES,HLOOKUP(K$28,VOLCURVES,2,FALSE()),FALSE())),VLOOKUP($A67,VOLCURVES,HLOOKUP(K$28,VOLCURVES,2,FALSE()),FALSE()),1)</f>
        <v>1</v>
      </c>
      <c r="M67" s="136" t="n">
        <f aca="false">IF(K$28="NYMEX",$AG67,$AF67)</f>
        <v>-8036</v>
      </c>
      <c r="N67" s="153" t="e">
        <f aca="false">(($C67+O67)*$L67)+D$15</f>
        <v>#DIV/0!</v>
      </c>
      <c r="O67" s="4" t="e">
        <f aca="false">IF($D$16=1,VLOOKUP($A67,SkewTable,HLOOKUP(ROUND(P67-AZ67,1),SkewTable,2,FALSE()),FALSE())/100,0)</f>
        <v>#DIV/0!</v>
      </c>
      <c r="P67" s="41" t="n">
        <f aca="false">IF($D$19=4,$AZ67,$D$18)</f>
        <v>3.75</v>
      </c>
      <c r="R67" s="40" t="n">
        <f aca="false">IF(R$28="nymex",0,VLOOKUP($A67,curvesettle,HLOOKUP(R$28,curvesettle,2,FALSE())))</f>
        <v>-0.018</v>
      </c>
      <c r="S67" s="131" t="n">
        <f aca="false">IF(ISNUMBER(VLOOKUP($A67,VOLCURVES,HLOOKUP(R$28,VOLCURVES,2,FALSE()),FALSE())),VLOOKUP($A67,VOLCURVES,HLOOKUP(R$28,VOLCURVES,2,FALSE()),FALSE()),1)</f>
        <v>1</v>
      </c>
      <c r="T67" s="136" t="n">
        <f aca="false">IF(R$28="NYMEX",$AG67,$AF67)</f>
        <v>-8036</v>
      </c>
      <c r="U67" s="153" t="e">
        <f aca="false">(($C67+V67)*$S67)+F$15</f>
        <v>#DIV/0!</v>
      </c>
      <c r="V67" s="4" t="e">
        <f aca="false">IF($F$16=1,VLOOKUP($A67,SkewTable,HLOOKUP(ROUND(W67-BK67,1),SkewTable,2,FALSE()),FALSE())/100,0)</f>
        <v>#DIV/0!</v>
      </c>
      <c r="W67" s="41" t="n">
        <f aca="false">IF($F$19=4,$BK67,$F$18)</f>
        <v>3.5</v>
      </c>
      <c r="X67" s="136"/>
      <c r="Y67" s="40" t="n">
        <f aca="false">IF(Y$28="nymex",0,VLOOKUP($A67,curvesettle,HLOOKUP(Y$28,curvesettle,2,FALSE())))</f>
        <v>-0.35</v>
      </c>
      <c r="Z67" s="131" t="n">
        <f aca="false">IF(ISNUMBER(VLOOKUP($A67,VOLCURVES,HLOOKUP(Y$28,VOLCURVES,2,FALSE()),FALSE())),VLOOKUP($A67,VOLCURVES,HLOOKUP(Y$28,VOLCURVES,2,FALSE()),FALSE()),1)</f>
        <v>1</v>
      </c>
      <c r="AA67" s="136" t="n">
        <f aca="false">IF(Y$28="NYMEX",$AG67,$AF67)</f>
        <v>-8036</v>
      </c>
      <c r="AB67" s="4" t="n">
        <f aca="false">(($C67+AC67)*$Z67)+H$15</f>
        <v>0.2575</v>
      </c>
      <c r="AC67" s="4" t="n">
        <f aca="false">IF($H$16=1,VLOOKUP($A67,SkewTable,HLOOKUP(ROUND(AD67-BV67,1),SkewTable,2,FALSE()),FALSE())/100,0)</f>
        <v>0</v>
      </c>
      <c r="AD67" s="41" t="n">
        <f aca="false">IF($H$19=4,$BV67,$H$18)</f>
        <v>3</v>
      </c>
      <c r="AF67" s="136" t="n">
        <f aca="false">VLOOKUP($A67,expiration,2,FALSE())-$B$2</f>
        <v>-8036</v>
      </c>
      <c r="AG67" s="136" t="n">
        <f aca="false">VLOOKUP($A67,expiration,3,FALSE())-$B$2</f>
        <v>-8037</v>
      </c>
      <c r="AH67" s="4" t="n">
        <f aca="false">VLOOKUP($A67,STRADDLE,12,FALSE())</f>
        <v>0.067297346203373</v>
      </c>
      <c r="AI67" s="43" t="n">
        <f aca="false">A68-A67</f>
        <v>31</v>
      </c>
      <c r="AL67" s="136"/>
      <c r="AM67" s="9"/>
      <c r="AN67" s="9" t="n">
        <f aca="false">IF($A67&gt;=AO$25,IF($A67&lt;=AO$26,$AI67,0),0)</f>
        <v>0</v>
      </c>
      <c r="AO67" s="9" t="e">
        <f aca="false">AQ67/AN67</f>
        <v>#DIV/0!</v>
      </c>
      <c r="AP67" s="1" t="n">
        <f aca="false">AN67*($B67+B$13)</f>
        <v>0</v>
      </c>
      <c r="AQ67" s="33" t="n">
        <f aca="false">IF(ISNUMBER(((AP67/AN67)+B$14+$D67)*AN67),((AP67/AN67)+B$14+$D67)*AN67,0)</f>
        <v>0</v>
      </c>
      <c r="AR67" s="44" t="n">
        <f aca="false">IF(AN67=0,0,bsd(1,AS$27,AO67,$I67,$F67,$G67,$AH67,0.1))</f>
        <v>0</v>
      </c>
      <c r="AS67" s="44" t="n">
        <f aca="false">IF(AN67=0,0,bsd(2,AS$27,AO67,$I67,$F67,$G67,$AH67,0.1))</f>
        <v>0</v>
      </c>
      <c r="AT67" s="44" t="n">
        <f aca="false">IF(AN67=0,0,bsd(AS$28,AS$27,AO67,$I67,$F67,$G67,$AH67,0.1))</f>
        <v>0</v>
      </c>
      <c r="AU67" s="45" t="n">
        <f aca="false">AN67*AR67</f>
        <v>0</v>
      </c>
      <c r="AV67" s="45" t="n">
        <f aca="false">AN67*AS67</f>
        <v>0</v>
      </c>
      <c r="AW67" s="45" t="n">
        <f aca="false">AN67*AT67</f>
        <v>0</v>
      </c>
      <c r="AY67" s="9" t="n">
        <f aca="false">IF($A67&gt;=AZ$25,IF($A67&lt;=AZ$26,$AI67,0),0)</f>
        <v>0</v>
      </c>
      <c r="AZ67" s="9" t="e">
        <f aca="false">BB67/AY67</f>
        <v>#DIV/0!</v>
      </c>
      <c r="BA67" s="1" t="n">
        <f aca="false">AY67*($B67+D$13)</f>
        <v>0</v>
      </c>
      <c r="BB67" s="33" t="n">
        <f aca="false">IF(ISNUMBER(((BA67/AY67)+D$14+$K67)*AY67),((BA67/AY67)+D$14+$K67)*AY67,0)</f>
        <v>0</v>
      </c>
      <c r="BC67" s="44" t="n">
        <f aca="false">IF(AY67=0,0,bsd(1,BD$27,AZ67,$P67,$M67,$N67,$AH67,0.1))</f>
        <v>0</v>
      </c>
      <c r="BD67" s="44" t="n">
        <f aca="false">IF(AY67=0,0,bsd(2,BD$27,AZ67,$P67,$M67,$N67,$AH67,0.1))</f>
        <v>0</v>
      </c>
      <c r="BE67" s="44" t="n">
        <f aca="false">IF(AY67=0,0,bsd(BD$28,BD$27,AZ67,$P67,$M67,$N67,$AH67,0.1))</f>
        <v>0</v>
      </c>
      <c r="BF67" s="45" t="n">
        <f aca="false">AY67*BC67</f>
        <v>0</v>
      </c>
      <c r="BG67" s="45" t="n">
        <f aca="false">AY67*BD67</f>
        <v>0</v>
      </c>
      <c r="BH67" s="45" t="n">
        <f aca="false">AY67*BE67</f>
        <v>0</v>
      </c>
      <c r="BJ67" s="9" t="n">
        <f aca="false">IF($A67&gt;=BK$25,IF($A67&lt;=BK$26,$AI67,0),0)</f>
        <v>0</v>
      </c>
      <c r="BK67" s="9" t="e">
        <f aca="false">BM67/BJ67</f>
        <v>#DIV/0!</v>
      </c>
      <c r="BL67" s="1" t="n">
        <f aca="false">BJ67*($B67+F$13)</f>
        <v>0</v>
      </c>
      <c r="BM67" s="33" t="n">
        <f aca="false">IF(ISNUMBER(((BL67/BJ67)+F$14+$R67)*BJ67),((BL67/BJ67)+F$14+$R67)*BJ67,0)</f>
        <v>0</v>
      </c>
      <c r="BN67" s="44" t="n">
        <f aca="false">IF(BJ67=0,0,bsd(1,BO$27,BK67,$W67,$T67,$U67,$AH67,0.1))</f>
        <v>0</v>
      </c>
      <c r="BO67" s="44" t="n">
        <f aca="false">IF(BJ67=0,0,bsd(2,BO$27,BK67,$W67,$T67,$U67,$AH67,0.1))</f>
        <v>0</v>
      </c>
      <c r="BP67" s="44" t="n">
        <f aca="false">IF(BJ67=0,0,bsd(BO$28,BO$27,BK67,$W67,$T67,$U67,$AH67,0.1))</f>
        <v>0</v>
      </c>
      <c r="BQ67" s="45" t="n">
        <f aca="false">BJ67*BN67</f>
        <v>0</v>
      </c>
      <c r="BR67" s="45" t="n">
        <f aca="false">BJ67*BO67</f>
        <v>0</v>
      </c>
      <c r="BS67" s="45" t="n">
        <f aca="false">BJ67*BP67</f>
        <v>0</v>
      </c>
      <c r="BU67" s="9" t="n">
        <f aca="false">IF($A67&gt;=BV$25,IF($A67&lt;=BV$26,$AI67,0),0)</f>
        <v>31</v>
      </c>
      <c r="BV67" s="9" t="n">
        <f aca="false">BX67/BU67</f>
        <v>2.958</v>
      </c>
      <c r="BW67" s="1" t="n">
        <f aca="false">BU67*($B67+H$13)</f>
        <v>102.548</v>
      </c>
      <c r="BX67" s="33" t="n">
        <f aca="false">IF(ISNUMBER(((BW67/BU67)+H$14+$Y67)*BU67),((BW67/BU67)+H$14+$Y67)*BU67,0)</f>
        <v>91.698</v>
      </c>
      <c r="BY67" s="44" t="e">
        <f aca="false">IF(BU67=0,0,bsd(1,BZ$27,BV67,$AD67,$AA67,$AB67,$AH67,0.1))</f>
        <v>#VALUE!</v>
      </c>
      <c r="BZ67" s="44" t="e">
        <f aca="false">IF(BU67=0,0,bsd(2,BZ$27,BV67,$AD67,$AA67,$AB67,$AH67,0.1))</f>
        <v>#VALUE!</v>
      </c>
      <c r="CA67" s="44" t="e">
        <f aca="false">IF(BU67=0,0,bsd(BZ$28,BZ$27,BV67,$AD67,$AA67,$AB67,$AH67,0.1))</f>
        <v>#VALUE!</v>
      </c>
      <c r="CB67" s="45" t="e">
        <f aca="false">BU67*BY67</f>
        <v>#VALUE!</v>
      </c>
      <c r="CC67" s="45" t="e">
        <f aca="false">BU67*BZ67</f>
        <v>#VALUE!</v>
      </c>
      <c r="CD67" s="45" t="e">
        <f aca="false">BU67*CA67</f>
        <v>#VALUE!</v>
      </c>
    </row>
    <row r="68" customFormat="false" ht="12.75" hidden="false" customHeight="false" outlineLevel="0" collapsed="false">
      <c r="A68" s="48" t="n">
        <f aca="false">DATE(YEAR(A67),MONTH(A67)+1,1)</f>
        <v>37926</v>
      </c>
      <c r="B68" s="40" t="n">
        <f aca="false">VLOOKUP(A68,STRADDLE,5,FALSE())</f>
        <v>3.4</v>
      </c>
      <c r="C68" s="4" t="n">
        <f aca="false">VLOOKUP(A68,STRADDLE,8,FALSE())</f>
        <v>0.2675</v>
      </c>
      <c r="D68" s="40" t="n">
        <f aca="false">IF(D$28="nymex",0,VLOOKUP($A68,curvesettle,HLOOKUP(D$28,curvesettle,2,FALSE())))</f>
        <v>0.875</v>
      </c>
      <c r="E68" s="131" t="n">
        <f aca="false">IF(ISNUMBER(VLOOKUP($A68,VOLCURVES,HLOOKUP(D$28,VOLCURVES,2,FALSE()),FALSE())),VLOOKUP($A68,VOLCURVES,HLOOKUP(D$28,VOLCURVES,2,FALSE()),FALSE()),1)</f>
        <v>1.1</v>
      </c>
      <c r="F68" s="136" t="n">
        <f aca="false">IF(D$28="NYMEX",$AG68,$AF68)</f>
        <v>-8003</v>
      </c>
      <c r="G68" s="4" t="e">
        <f aca="false">(($C68+H68)*$E68)+B$15</f>
        <v>#DIV/0!</v>
      </c>
      <c r="H68" s="4" t="e">
        <f aca="false">IF($B$16=1,VLOOKUP($A68,SkewTable,HLOOKUP(ROUND(I68-AO68,1),SkewTable,2,FALSE()),FALSE())/100,0)</f>
        <v>#DIV/0!</v>
      </c>
      <c r="I68" s="41" t="n">
        <f aca="false">IF($B$19=4,$AO68,$B$18)</f>
        <v>12</v>
      </c>
      <c r="K68" s="40" t="n">
        <f aca="false">IF(K$28="nymex",0,VLOOKUP($A68,curvesettle,HLOOKUP(K$28,curvesettle,2,FALSE())))</f>
        <v>-0.0195</v>
      </c>
      <c r="L68" s="131" t="n">
        <f aca="false">IF(ISNUMBER(VLOOKUP($A68,VOLCURVES,HLOOKUP(K$28,VOLCURVES,2,FALSE()),FALSE())),VLOOKUP($A68,VOLCURVES,HLOOKUP(K$28,VOLCURVES,2,FALSE()),FALSE()),1)</f>
        <v>1</v>
      </c>
      <c r="M68" s="136" t="n">
        <f aca="false">IF(K$28="NYMEX",$AG68,$AF68)</f>
        <v>-8003</v>
      </c>
      <c r="N68" s="153" t="e">
        <f aca="false">(($C68+O68)*$L68)+D$15</f>
        <v>#DIV/0!</v>
      </c>
      <c r="O68" s="4" t="e">
        <f aca="false">IF($D$16=1,VLOOKUP($A68,SkewTable,HLOOKUP(ROUND(P68-AZ68,1),SkewTable,2,FALSE()),FALSE())/100,0)</f>
        <v>#DIV/0!</v>
      </c>
      <c r="P68" s="41" t="n">
        <f aca="false">IF($D$19=4,$AZ68,$D$18)</f>
        <v>3.75</v>
      </c>
      <c r="R68" s="40" t="n">
        <f aca="false">IF(R$28="nymex",0,VLOOKUP($A68,curvesettle,HLOOKUP(R$28,curvesettle,2,FALSE())))</f>
        <v>-0.0195</v>
      </c>
      <c r="S68" s="131" t="n">
        <f aca="false">IF(ISNUMBER(VLOOKUP($A68,VOLCURVES,HLOOKUP(R$28,VOLCURVES,2,FALSE()),FALSE())),VLOOKUP($A68,VOLCURVES,HLOOKUP(R$28,VOLCURVES,2,FALSE()),FALSE()),1)</f>
        <v>1</v>
      </c>
      <c r="T68" s="136" t="n">
        <f aca="false">IF(R$28="NYMEX",$AG68,$AF68)</f>
        <v>-8003</v>
      </c>
      <c r="U68" s="153" t="e">
        <f aca="false">(($C68+V68)*$S68)+F$15</f>
        <v>#DIV/0!</v>
      </c>
      <c r="V68" s="4" t="e">
        <f aca="false">IF($F$16=1,VLOOKUP($A68,SkewTable,HLOOKUP(ROUND(W68-BK68,1),SkewTable,2,FALSE()),FALSE())/100,0)</f>
        <v>#DIV/0!</v>
      </c>
      <c r="W68" s="41" t="n">
        <f aca="false">IF($F$19=4,$BK68,$F$18)</f>
        <v>3.5</v>
      </c>
      <c r="X68" s="136"/>
      <c r="Y68" s="40" t="n">
        <f aca="false">IF(Y$28="nymex",0,VLOOKUP($A68,curvesettle,HLOOKUP(Y$28,curvesettle,2,FALSE())))</f>
        <v>-0.27</v>
      </c>
      <c r="Z68" s="131" t="n">
        <f aca="false">IF(ISNUMBER(VLOOKUP($A68,VOLCURVES,HLOOKUP(Y$28,VOLCURVES,2,FALSE()),FALSE())),VLOOKUP($A68,VOLCURVES,HLOOKUP(Y$28,VOLCURVES,2,FALSE()),FALSE()),1)</f>
        <v>1</v>
      </c>
      <c r="AA68" s="136" t="n">
        <f aca="false">IF(Y$28="NYMEX",$AG68,$AF68)</f>
        <v>-8003</v>
      </c>
      <c r="AB68" s="4" t="n">
        <f aca="false">(($C68+AC68)*$Z68)+H$15</f>
        <v>0.2655</v>
      </c>
      <c r="AC68" s="4" t="n">
        <f aca="false">IF($H$16=1,VLOOKUP($A68,SkewTable,HLOOKUP(ROUND(AD68-BV68,1),SkewTable,2,FALSE()),FALSE())/100,0)</f>
        <v>-0.002</v>
      </c>
      <c r="AD68" s="41" t="n">
        <f aca="false">IF($H$19=4,$BV68,$H$18)</f>
        <v>3</v>
      </c>
      <c r="AF68" s="136" t="n">
        <f aca="false">VLOOKUP($A68,expiration,2,FALSE())-$B$2</f>
        <v>-8003</v>
      </c>
      <c r="AG68" s="136" t="n">
        <f aca="false">VLOOKUP($A68,expiration,3,FALSE())-$B$2</f>
        <v>-8004</v>
      </c>
      <c r="AH68" s="4" t="n">
        <f aca="false">VLOOKUP($A68,STRADDLE,12,FALSE())</f>
        <v>0.067314594931672</v>
      </c>
      <c r="AI68" s="43" t="n">
        <f aca="false">A69-A68</f>
        <v>30</v>
      </c>
      <c r="AL68" s="136"/>
      <c r="AM68" s="9"/>
      <c r="AN68" s="9" t="n">
        <f aca="false">IF($A68&gt;=AO$25,IF($A68&lt;=AO$26,$AI68,0),0)</f>
        <v>0</v>
      </c>
      <c r="AO68" s="9" t="e">
        <f aca="false">AQ68/AN68</f>
        <v>#DIV/0!</v>
      </c>
      <c r="AP68" s="1" t="n">
        <f aca="false">AN68*($B68+B$13)</f>
        <v>0</v>
      </c>
      <c r="AQ68" s="33" t="n">
        <f aca="false">IF(ISNUMBER(((AP68/AN68)+B$14+$D68)*AN68),((AP68/AN68)+B$14+$D68)*AN68,0)</f>
        <v>0</v>
      </c>
      <c r="AR68" s="44" t="n">
        <f aca="false">IF(AN68=0,0,bsd(1,AS$27,AO68,$I68,$F68,$G68,$AH68,0.1))</f>
        <v>0</v>
      </c>
      <c r="AS68" s="44" t="n">
        <f aca="false">IF(AN68=0,0,bsd(2,AS$27,AO68,$I68,$F68,$G68,$AH68,0.1))</f>
        <v>0</v>
      </c>
      <c r="AT68" s="44" t="n">
        <f aca="false">IF(AN68=0,0,bsd(AS$28,AS$27,AO68,$I68,$F68,$G68,$AH68,0.1))</f>
        <v>0</v>
      </c>
      <c r="AU68" s="45" t="n">
        <f aca="false">AN68*AR68</f>
        <v>0</v>
      </c>
      <c r="AV68" s="45" t="n">
        <f aca="false">AN68*AS68</f>
        <v>0</v>
      </c>
      <c r="AW68" s="45" t="n">
        <f aca="false">AN68*AT68</f>
        <v>0</v>
      </c>
      <c r="AY68" s="9" t="n">
        <f aca="false">IF($A68&gt;=AZ$25,IF($A68&lt;=AZ$26,$AI68,0),0)</f>
        <v>0</v>
      </c>
      <c r="AZ68" s="9" t="e">
        <f aca="false">BB68/AY68</f>
        <v>#DIV/0!</v>
      </c>
      <c r="BA68" s="1" t="n">
        <f aca="false">AY68*($B68+D$13)</f>
        <v>0</v>
      </c>
      <c r="BB68" s="33" t="n">
        <f aca="false">IF(ISNUMBER(((BA68/AY68)+D$14+$K68)*AY68),((BA68/AY68)+D$14+$K68)*AY68,0)</f>
        <v>0</v>
      </c>
      <c r="BC68" s="44" t="n">
        <f aca="false">IF(AY68=0,0,bsd(1,BD$27,AZ68,$P68,$M68,$N68,$AH68,0.1))</f>
        <v>0</v>
      </c>
      <c r="BD68" s="44" t="n">
        <f aca="false">IF(AY68=0,0,bsd(2,BD$27,AZ68,$P68,$M68,$N68,$AH68,0.1))</f>
        <v>0</v>
      </c>
      <c r="BE68" s="44" t="n">
        <f aca="false">IF(AY68=0,0,bsd(BD$28,BD$27,AZ68,$P68,$M68,$N68,$AH68,0.1))</f>
        <v>0</v>
      </c>
      <c r="BF68" s="45" t="n">
        <f aca="false">AY68*BC68</f>
        <v>0</v>
      </c>
      <c r="BG68" s="45" t="n">
        <f aca="false">AY68*BD68</f>
        <v>0</v>
      </c>
      <c r="BH68" s="45" t="n">
        <f aca="false">AY68*BE68</f>
        <v>0</v>
      </c>
      <c r="BJ68" s="9" t="n">
        <f aca="false">IF($A68&gt;=BK$25,IF($A68&lt;=BK$26,$AI68,0),0)</f>
        <v>0</v>
      </c>
      <c r="BK68" s="9" t="e">
        <f aca="false">BM68/BJ68</f>
        <v>#DIV/0!</v>
      </c>
      <c r="BL68" s="1" t="n">
        <f aca="false">BJ68*($B68+F$13)</f>
        <v>0</v>
      </c>
      <c r="BM68" s="33" t="n">
        <f aca="false">IF(ISNUMBER(((BL68/BJ68)+F$14+$R68)*BJ68),((BL68/BJ68)+F$14+$R68)*BJ68,0)</f>
        <v>0</v>
      </c>
      <c r="BN68" s="44" t="n">
        <f aca="false">IF(BJ68=0,0,bsd(1,BO$27,BK68,$W68,$T68,$U68,$AH68,0.1))</f>
        <v>0</v>
      </c>
      <c r="BO68" s="44" t="n">
        <f aca="false">IF(BJ68=0,0,bsd(2,BO$27,BK68,$W68,$T68,$U68,$AH68,0.1))</f>
        <v>0</v>
      </c>
      <c r="BP68" s="44" t="n">
        <f aca="false">IF(BJ68=0,0,bsd(BO$28,BO$27,BK68,$W68,$T68,$U68,$AH68,0.1))</f>
        <v>0</v>
      </c>
      <c r="BQ68" s="45" t="n">
        <f aca="false">BJ68*BN68</f>
        <v>0</v>
      </c>
      <c r="BR68" s="45" t="n">
        <f aca="false">BJ68*BO68</f>
        <v>0</v>
      </c>
      <c r="BS68" s="45" t="n">
        <f aca="false">BJ68*BP68</f>
        <v>0</v>
      </c>
      <c r="BU68" s="9" t="n">
        <f aca="false">IF($A68&gt;=BV$25,IF($A68&lt;=BV$26,$AI68,0),0)</f>
        <v>30</v>
      </c>
      <c r="BV68" s="9" t="n">
        <f aca="false">BX68/BU68</f>
        <v>3.13</v>
      </c>
      <c r="BW68" s="1" t="n">
        <f aca="false">BU68*($B68+H$13)</f>
        <v>102</v>
      </c>
      <c r="BX68" s="33" t="n">
        <f aca="false">IF(ISNUMBER(((BW68/BU68)+H$14+$Y68)*BU68),((BW68/BU68)+H$14+$Y68)*BU68,0)</f>
        <v>93.9</v>
      </c>
      <c r="BY68" s="44" t="e">
        <f aca="false">IF(BU68=0,0,bsd(1,BZ$27,BV68,$AD68,$AA68,$AB68,$AH68,0.1))</f>
        <v>#VALUE!</v>
      </c>
      <c r="BZ68" s="44" t="e">
        <f aca="false">IF(BU68=0,0,bsd(2,BZ$27,BV68,$AD68,$AA68,$AB68,$AH68,0.1))</f>
        <v>#VALUE!</v>
      </c>
      <c r="CA68" s="44" t="e">
        <f aca="false">IF(BU68=0,0,bsd(BZ$28,BZ$27,BV68,$AD68,$AA68,$AB68,$AH68,0.1))</f>
        <v>#VALUE!</v>
      </c>
      <c r="CB68" s="45" t="e">
        <f aca="false">BU68*BY68</f>
        <v>#VALUE!</v>
      </c>
      <c r="CC68" s="45" t="e">
        <f aca="false">BU68*BZ68</f>
        <v>#VALUE!</v>
      </c>
      <c r="CD68" s="45" t="e">
        <f aca="false">BU68*CA68</f>
        <v>#VALUE!</v>
      </c>
    </row>
    <row r="69" customFormat="false" ht="12.75" hidden="false" customHeight="false" outlineLevel="0" collapsed="false">
      <c r="A69" s="48" t="n">
        <f aca="false">DATE(YEAR(A68),MONTH(A68)+1,1)</f>
        <v>37956</v>
      </c>
      <c r="B69" s="40" t="n">
        <f aca="false">VLOOKUP(A69,STRADDLE,5,FALSE())</f>
        <v>3.476</v>
      </c>
      <c r="C69" s="4" t="n">
        <f aca="false">VLOOKUP(A69,STRADDLE,8,FALSE())</f>
        <v>0.2725</v>
      </c>
      <c r="D69" s="40" t="n">
        <f aca="false">IF(D$28="nymex",0,VLOOKUP($A69,curvesettle,HLOOKUP(D$28,curvesettle,2,FALSE())))</f>
        <v>1.29</v>
      </c>
      <c r="E69" s="131" t="n">
        <f aca="false">IF(ISNUMBER(VLOOKUP($A69,VOLCURVES,HLOOKUP(D$28,VOLCURVES,2,FALSE()),FALSE())),VLOOKUP($A69,VOLCURVES,HLOOKUP(D$28,VOLCURVES,2,FALSE()),FALSE()),1)</f>
        <v>1.1</v>
      </c>
      <c r="F69" s="136" t="n">
        <f aca="false">IF(D$28="NYMEX",$AG69,$AF69)</f>
        <v>-7976</v>
      </c>
      <c r="G69" s="4" t="e">
        <f aca="false">(($C69+H69)*$E69)+B$15</f>
        <v>#DIV/0!</v>
      </c>
      <c r="H69" s="4" t="e">
        <f aca="false">IF($B$16=1,VLOOKUP($A69,SkewTable,HLOOKUP(ROUND(I69-AO69,1),SkewTable,2,FALSE()),FALSE())/100,0)</f>
        <v>#DIV/0!</v>
      </c>
      <c r="I69" s="41" t="n">
        <f aca="false">IF($B$19=4,$AO69,$B$18)</f>
        <v>12</v>
      </c>
      <c r="K69" s="40" t="n">
        <f aca="false">IF(K$28="nymex",0,VLOOKUP($A69,curvesettle,HLOOKUP(K$28,curvesettle,2,FALSE())))</f>
        <v>-0.0195</v>
      </c>
      <c r="L69" s="131" t="n">
        <f aca="false">IF(ISNUMBER(VLOOKUP($A69,VOLCURVES,HLOOKUP(K$28,VOLCURVES,2,FALSE()),FALSE())),VLOOKUP($A69,VOLCURVES,HLOOKUP(K$28,VOLCURVES,2,FALSE()),FALSE()),1)</f>
        <v>1</v>
      </c>
      <c r="M69" s="136" t="n">
        <f aca="false">IF(K$28="NYMEX",$AG69,$AF69)</f>
        <v>-7976</v>
      </c>
      <c r="N69" s="153" t="e">
        <f aca="false">(($C69+O69)*$L69)+D$15</f>
        <v>#DIV/0!</v>
      </c>
      <c r="O69" s="4" t="e">
        <f aca="false">IF($D$16=1,VLOOKUP($A69,SkewTable,HLOOKUP(ROUND(P69-AZ69,1),SkewTable,2,FALSE()),FALSE())/100,0)</f>
        <v>#DIV/0!</v>
      </c>
      <c r="P69" s="41" t="n">
        <f aca="false">IF($D$19=4,$AZ69,$D$18)</f>
        <v>3.75</v>
      </c>
      <c r="R69" s="40" t="n">
        <f aca="false">IF(R$28="nymex",0,VLOOKUP($A69,curvesettle,HLOOKUP(R$28,curvesettle,2,FALSE())))</f>
        <v>-0.0195</v>
      </c>
      <c r="S69" s="131" t="n">
        <f aca="false">IF(ISNUMBER(VLOOKUP($A69,VOLCURVES,HLOOKUP(R$28,VOLCURVES,2,FALSE()),FALSE())),VLOOKUP($A69,VOLCURVES,HLOOKUP(R$28,VOLCURVES,2,FALSE()),FALSE()),1)</f>
        <v>1</v>
      </c>
      <c r="T69" s="136" t="n">
        <f aca="false">IF(R$28="NYMEX",$AG69,$AF69)</f>
        <v>-7976</v>
      </c>
      <c r="U69" s="153" t="e">
        <f aca="false">(($C69+V69)*$S69)+F$15</f>
        <v>#DIV/0!</v>
      </c>
      <c r="V69" s="4" t="e">
        <f aca="false">IF($F$16=1,VLOOKUP($A69,SkewTable,HLOOKUP(ROUND(W69-BK69,1),SkewTable,2,FALSE()),FALSE())/100,0)</f>
        <v>#DIV/0!</v>
      </c>
      <c r="W69" s="41" t="n">
        <f aca="false">IF($F$19=4,$BK69,$F$18)</f>
        <v>3.5</v>
      </c>
      <c r="X69" s="136"/>
      <c r="Y69" s="40" t="n">
        <f aca="false">IF(Y$28="nymex",0,VLOOKUP($A69,curvesettle,HLOOKUP(Y$28,curvesettle,2,FALSE())))</f>
        <v>-0.27</v>
      </c>
      <c r="Z69" s="131" t="n">
        <f aca="false">IF(ISNUMBER(VLOOKUP($A69,VOLCURVES,HLOOKUP(Y$28,VOLCURVES,2,FALSE()),FALSE())),VLOOKUP($A69,VOLCURVES,HLOOKUP(Y$28,VOLCURVES,2,FALSE()),FALSE()),1)</f>
        <v>1</v>
      </c>
      <c r="AA69" s="136" t="n">
        <f aca="false">IF(Y$28="NYMEX",$AG69,$AF69)</f>
        <v>-7976</v>
      </c>
      <c r="AB69" s="4" t="n">
        <f aca="false">(($C69+AC69)*$Z69)+H$15</f>
        <v>0.2685</v>
      </c>
      <c r="AC69" s="4" t="n">
        <f aca="false">IF($H$16=1,VLOOKUP($A69,SkewTable,HLOOKUP(ROUND(AD69-BV69,1),SkewTable,2,FALSE()),FALSE())/100,0)</f>
        <v>-0.004</v>
      </c>
      <c r="AD69" s="41" t="n">
        <f aca="false">IF($H$19=4,$BV69,$H$18)</f>
        <v>3</v>
      </c>
      <c r="AF69" s="136" t="n">
        <f aca="false">VLOOKUP($A69,expiration,2,FALSE())-$B$2</f>
        <v>-7976</v>
      </c>
      <c r="AG69" s="136" t="n">
        <f aca="false">VLOOKUP($A69,expiration,3,FALSE())-$B$2</f>
        <v>-7977</v>
      </c>
      <c r="AH69" s="4" t="n">
        <f aca="false">VLOOKUP($A69,STRADDLE,12,FALSE())</f>
        <v>0.067331287249473</v>
      </c>
      <c r="AI69" s="43" t="n">
        <f aca="false">A70-A69</f>
        <v>31</v>
      </c>
      <c r="AL69" s="136"/>
      <c r="AM69" s="9"/>
      <c r="AN69" s="9" t="n">
        <f aca="false">IF($A69&gt;=AO$25,IF($A69&lt;=AO$26,$AI69,0),0)</f>
        <v>0</v>
      </c>
      <c r="AO69" s="9" t="e">
        <f aca="false">AQ69/AN69</f>
        <v>#DIV/0!</v>
      </c>
      <c r="AP69" s="1" t="n">
        <f aca="false">AN69*($B69+B$13)</f>
        <v>0</v>
      </c>
      <c r="AQ69" s="33" t="n">
        <f aca="false">IF(ISNUMBER(((AP69/AN69)+B$14+$D69)*AN69),((AP69/AN69)+B$14+$D69)*AN69,0)</f>
        <v>0</v>
      </c>
      <c r="AR69" s="44" t="n">
        <f aca="false">IF(AN69=0,0,bsd(1,AS$27,AO69,$I69,$F69,$G69,$AH69,0.1))</f>
        <v>0</v>
      </c>
      <c r="AS69" s="44" t="n">
        <f aca="false">IF(AN69=0,0,bsd(2,AS$27,AO69,$I69,$F69,$G69,$AH69,0.1))</f>
        <v>0</v>
      </c>
      <c r="AT69" s="44" t="n">
        <f aca="false">IF(AN69=0,0,bsd(AS$28,AS$27,AO69,$I69,$F69,$G69,$AH69,0.1))</f>
        <v>0</v>
      </c>
      <c r="AU69" s="45" t="n">
        <f aca="false">AN69*AR69</f>
        <v>0</v>
      </c>
      <c r="AV69" s="45" t="n">
        <f aca="false">AN69*AS69</f>
        <v>0</v>
      </c>
      <c r="AW69" s="45" t="n">
        <f aca="false">AN69*AT69</f>
        <v>0</v>
      </c>
      <c r="AY69" s="9" t="n">
        <f aca="false">IF($A69&gt;=AZ$25,IF($A69&lt;=AZ$26,$AI69,0),0)</f>
        <v>0</v>
      </c>
      <c r="AZ69" s="9" t="e">
        <f aca="false">BB69/AY69</f>
        <v>#DIV/0!</v>
      </c>
      <c r="BA69" s="1" t="n">
        <f aca="false">AY69*($B69+D$13)</f>
        <v>0</v>
      </c>
      <c r="BB69" s="33" t="n">
        <f aca="false">IF(ISNUMBER(((BA69/AY69)+D$14+$K69)*AY69),((BA69/AY69)+D$14+$K69)*AY69,0)</f>
        <v>0</v>
      </c>
      <c r="BC69" s="44" t="n">
        <f aca="false">IF(AY69=0,0,bsd(1,BD$27,AZ69,$P69,$M69,$N69,$AH69,0.1))</f>
        <v>0</v>
      </c>
      <c r="BD69" s="44" t="n">
        <f aca="false">IF(AY69=0,0,bsd(2,BD$27,AZ69,$P69,$M69,$N69,$AH69,0.1))</f>
        <v>0</v>
      </c>
      <c r="BE69" s="44" t="n">
        <f aca="false">IF(AY69=0,0,bsd(BD$28,BD$27,AZ69,$P69,$M69,$N69,$AH69,0.1))</f>
        <v>0</v>
      </c>
      <c r="BF69" s="45" t="n">
        <f aca="false">AY69*BC69</f>
        <v>0</v>
      </c>
      <c r="BG69" s="45" t="n">
        <f aca="false">AY69*BD69</f>
        <v>0</v>
      </c>
      <c r="BH69" s="45" t="n">
        <f aca="false">AY69*BE69</f>
        <v>0</v>
      </c>
      <c r="BJ69" s="9" t="n">
        <f aca="false">IF($A69&gt;=BK$25,IF($A69&lt;=BK$26,$AI69,0),0)</f>
        <v>0</v>
      </c>
      <c r="BK69" s="9" t="e">
        <f aca="false">BM69/BJ69</f>
        <v>#DIV/0!</v>
      </c>
      <c r="BL69" s="1" t="n">
        <f aca="false">BJ69*($B69+F$13)</f>
        <v>0</v>
      </c>
      <c r="BM69" s="33" t="n">
        <f aca="false">IF(ISNUMBER(((BL69/BJ69)+F$14+$R69)*BJ69),((BL69/BJ69)+F$14+$R69)*BJ69,0)</f>
        <v>0</v>
      </c>
      <c r="BN69" s="44" t="n">
        <f aca="false">IF(BJ69=0,0,bsd(1,BO$27,BK69,$W69,$T69,$U69,$AH69,0.1))</f>
        <v>0</v>
      </c>
      <c r="BO69" s="44" t="n">
        <f aca="false">IF(BJ69=0,0,bsd(2,BO$27,BK69,$W69,$T69,$U69,$AH69,0.1))</f>
        <v>0</v>
      </c>
      <c r="BP69" s="44" t="n">
        <f aca="false">IF(BJ69=0,0,bsd(BO$28,BO$27,BK69,$W69,$T69,$U69,$AH69,0.1))</f>
        <v>0</v>
      </c>
      <c r="BQ69" s="45" t="n">
        <f aca="false">BJ69*BN69</f>
        <v>0</v>
      </c>
      <c r="BR69" s="45" t="n">
        <f aca="false">BJ69*BO69</f>
        <v>0</v>
      </c>
      <c r="BS69" s="45" t="n">
        <f aca="false">BJ69*BP69</f>
        <v>0</v>
      </c>
      <c r="BU69" s="9" t="n">
        <f aca="false">IF($A69&gt;=BV$25,IF($A69&lt;=BV$26,$AI69,0),0)</f>
        <v>31</v>
      </c>
      <c r="BV69" s="9" t="n">
        <f aca="false">BX69/BU69</f>
        <v>3.206</v>
      </c>
      <c r="BW69" s="1" t="n">
        <f aca="false">BU69*($B69+H$13)</f>
        <v>107.756</v>
      </c>
      <c r="BX69" s="33" t="n">
        <f aca="false">IF(ISNUMBER(((BW69/BU69)+H$14+$Y69)*BU69),((BW69/BU69)+H$14+$Y69)*BU69,0)</f>
        <v>99.386</v>
      </c>
      <c r="BY69" s="44" t="e">
        <f aca="false">IF(BU69=0,0,bsd(1,BZ$27,BV69,$AD69,$AA69,$AB69,$AH69,0.1))</f>
        <v>#VALUE!</v>
      </c>
      <c r="BZ69" s="44" t="e">
        <f aca="false">IF(BU69=0,0,bsd(2,BZ$27,BV69,$AD69,$AA69,$AB69,$AH69,0.1))</f>
        <v>#VALUE!</v>
      </c>
      <c r="CA69" s="44" t="e">
        <f aca="false">IF(BU69=0,0,bsd(BZ$28,BZ$27,BV69,$AD69,$AA69,$AB69,$AH69,0.1))</f>
        <v>#VALUE!</v>
      </c>
      <c r="CB69" s="45" t="e">
        <f aca="false">BU69*BY69</f>
        <v>#VALUE!</v>
      </c>
      <c r="CC69" s="45" t="e">
        <f aca="false">BU69*BZ69</f>
        <v>#VALUE!</v>
      </c>
      <c r="CD69" s="45" t="e">
        <f aca="false">BU69*CA69</f>
        <v>#VALUE!</v>
      </c>
    </row>
    <row r="70" customFormat="false" ht="12.75" hidden="false" customHeight="false" outlineLevel="0" collapsed="false">
      <c r="A70" s="48" t="n">
        <f aca="false">DATE(YEAR(A69),MONTH(A69)+1,1)</f>
        <v>37987</v>
      </c>
      <c r="B70" s="40" t="n">
        <f aca="false">VLOOKUP(A70,STRADDLE,5,FALSE())</f>
        <v>3.664</v>
      </c>
      <c r="C70" s="4" t="n">
        <f aca="false">VLOOKUP(A70,STRADDLE,8,FALSE())</f>
        <v>0.29</v>
      </c>
      <c r="D70" s="40" t="n">
        <f aca="false">IF(D$28="nymex",0,VLOOKUP($A70,curvesettle,HLOOKUP(D$28,curvesettle,2,FALSE())))</f>
        <v>1.615</v>
      </c>
      <c r="E70" s="131" t="n">
        <f aca="false">IF(ISNUMBER(VLOOKUP($A70,VOLCURVES,HLOOKUP(D$28,VOLCURVES,2,FALSE()),FALSE())),VLOOKUP($A70,VOLCURVES,HLOOKUP(D$28,VOLCURVES,2,FALSE()),FALSE()),1)</f>
        <v>1.1</v>
      </c>
      <c r="F70" s="136" t="n">
        <f aca="false">IF(D$28="NYMEX",$AG70,$AF70)</f>
        <v>-7942</v>
      </c>
      <c r="G70" s="4" t="e">
        <f aca="false">(($C70+H70)*$E70)+B$15</f>
        <v>#DIV/0!</v>
      </c>
      <c r="H70" s="4" t="e">
        <f aca="false">IF($B$16=1,VLOOKUP($A70,SkewTable,HLOOKUP(ROUND(I70-AO70,1),SkewTable,2,FALSE()),FALSE())/100,0)</f>
        <v>#DIV/0!</v>
      </c>
      <c r="I70" s="41" t="n">
        <f aca="false">IF($B$19=4,$AO70,$B$18)</f>
        <v>12</v>
      </c>
      <c r="K70" s="40" t="n">
        <f aca="false">IF(K$28="nymex",0,VLOOKUP($A70,curvesettle,HLOOKUP(K$28,curvesettle,2,FALSE())))</f>
        <v>-0.0195</v>
      </c>
      <c r="L70" s="131" t="n">
        <f aca="false">IF(ISNUMBER(VLOOKUP($A70,VOLCURVES,HLOOKUP(K$28,VOLCURVES,2,FALSE()),FALSE())),VLOOKUP($A70,VOLCURVES,HLOOKUP(K$28,VOLCURVES,2,FALSE()),FALSE()),1)</f>
        <v>1</v>
      </c>
      <c r="M70" s="136" t="n">
        <f aca="false">IF(K$28="NYMEX",$AG70,$AF70)</f>
        <v>-7942</v>
      </c>
      <c r="N70" s="153" t="e">
        <f aca="false">(($C70+O70)*$L70)+D$15</f>
        <v>#DIV/0!</v>
      </c>
      <c r="O70" s="4" t="e">
        <f aca="false">IF($D$16=1,VLOOKUP($A70,SkewTable,HLOOKUP(ROUND(P70-AZ70,1),SkewTable,2,FALSE()),FALSE())/100,0)</f>
        <v>#DIV/0!</v>
      </c>
      <c r="P70" s="41" t="n">
        <f aca="false">IF($D$19=4,$AZ70,$D$18)</f>
        <v>3.75</v>
      </c>
      <c r="R70" s="40" t="n">
        <f aca="false">IF(R$28="nymex",0,VLOOKUP($A70,curvesettle,HLOOKUP(R$28,curvesettle,2,FALSE())))</f>
        <v>-0.0195</v>
      </c>
      <c r="S70" s="131" t="n">
        <f aca="false">IF(ISNUMBER(VLOOKUP($A70,VOLCURVES,HLOOKUP(R$28,VOLCURVES,2,FALSE()),FALSE())),VLOOKUP($A70,VOLCURVES,HLOOKUP(R$28,VOLCURVES,2,FALSE()),FALSE()),1)</f>
        <v>1</v>
      </c>
      <c r="T70" s="136" t="n">
        <f aca="false">IF(R$28="NYMEX",$AG70,$AF70)</f>
        <v>-7942</v>
      </c>
      <c r="U70" s="153" t="e">
        <f aca="false">(($C70+V70)*$S70)+F$15</f>
        <v>#DIV/0!</v>
      </c>
      <c r="V70" s="4" t="e">
        <f aca="false">IF($F$16=1,VLOOKUP($A70,SkewTable,HLOOKUP(ROUND(W70-BK70,1),SkewTable,2,FALSE()),FALSE())/100,0)</f>
        <v>#DIV/0!</v>
      </c>
      <c r="W70" s="41" t="n">
        <f aca="false">IF($F$19=4,$BK70,$F$18)</f>
        <v>3.5</v>
      </c>
      <c r="X70" s="136"/>
      <c r="Y70" s="40" t="n">
        <f aca="false">IF(Y$28="nymex",0,VLOOKUP($A70,curvesettle,HLOOKUP(Y$28,curvesettle,2,FALSE())))</f>
        <v>-0.27</v>
      </c>
      <c r="Z70" s="131" t="n">
        <f aca="false">IF(ISNUMBER(VLOOKUP($A70,VOLCURVES,HLOOKUP(Y$28,VOLCURVES,2,FALSE()),FALSE())),VLOOKUP($A70,VOLCURVES,HLOOKUP(Y$28,VOLCURVES,2,FALSE()),FALSE()),1)</f>
        <v>1</v>
      </c>
      <c r="AA70" s="136" t="n">
        <f aca="false">IF(Y$28="NYMEX",$AG70,$AF70)</f>
        <v>-7942</v>
      </c>
      <c r="AB70" s="4" t="e">
        <f aca="false">(($C70+AC70)*$Z70)+H$15</f>
        <v>#DIV/0!</v>
      </c>
      <c r="AC70" s="4" t="e">
        <f aca="false">IF($H$16=1,VLOOKUP($A70,SkewTable,HLOOKUP(ROUND(AD70-BV70,1),SkewTable,2,FALSE()),FALSE())/100,0)</f>
        <v>#DIV/0!</v>
      </c>
      <c r="AD70" s="41" t="n">
        <f aca="false">IF($H$19=4,$BV70,$H$18)</f>
        <v>3</v>
      </c>
      <c r="AF70" s="136" t="n">
        <f aca="false">VLOOKUP($A70,expiration,2,FALSE())-$B$2</f>
        <v>-7942</v>
      </c>
      <c r="AG70" s="136" t="n">
        <f aca="false">VLOOKUP($A70,expiration,3,FALSE())-$B$2</f>
        <v>-7945</v>
      </c>
      <c r="AH70" s="4" t="n">
        <f aca="false">VLOOKUP($A70,STRADDLE,12,FALSE())</f>
        <v>0.067357274878613</v>
      </c>
      <c r="AI70" s="43" t="n">
        <f aca="false">A71-A70</f>
        <v>31</v>
      </c>
      <c r="AL70" s="136"/>
      <c r="AM70" s="9"/>
      <c r="AN70" s="9" t="n">
        <f aca="false">IF($A70&gt;=AO$25,IF($A70&lt;=AO$26,$AI70,0),0)</f>
        <v>0</v>
      </c>
      <c r="AO70" s="9" t="e">
        <f aca="false">AQ70/AN70</f>
        <v>#DIV/0!</v>
      </c>
      <c r="AP70" s="1" t="n">
        <f aca="false">AN70*($B70+B$13)</f>
        <v>0</v>
      </c>
      <c r="AQ70" s="33" t="n">
        <f aca="false">IF(ISNUMBER(((AP70/AN70)+B$14+$D70)*AN70),((AP70/AN70)+B$14+$D70)*AN70,0)</f>
        <v>0</v>
      </c>
      <c r="AR70" s="44" t="n">
        <f aca="false">IF(AN70=0,0,bsd(1,AS$27,AO70,$I70,$F70,$G70,$AH70,0.1))</f>
        <v>0</v>
      </c>
      <c r="AS70" s="44" t="n">
        <f aca="false">IF(AN70=0,0,bsd(2,AS$27,AO70,$I70,$F70,$G70,$AH70,0.1))</f>
        <v>0</v>
      </c>
      <c r="AT70" s="44" t="n">
        <f aca="false">IF(AN70=0,0,bsd(AS$28,AS$27,AO70,$I70,$F70,$G70,$AH70,0.1))</f>
        <v>0</v>
      </c>
      <c r="AU70" s="45" t="n">
        <f aca="false">AN70*AR70</f>
        <v>0</v>
      </c>
      <c r="AV70" s="45" t="n">
        <f aca="false">AN70*AS70</f>
        <v>0</v>
      </c>
      <c r="AW70" s="45" t="n">
        <f aca="false">AN70*AT70</f>
        <v>0</v>
      </c>
      <c r="AY70" s="9" t="n">
        <f aca="false">IF($A70&gt;=AZ$25,IF($A70&lt;=AZ$26,$AI70,0),0)</f>
        <v>0</v>
      </c>
      <c r="AZ70" s="9" t="e">
        <f aca="false">BB70/AY70</f>
        <v>#DIV/0!</v>
      </c>
      <c r="BA70" s="1" t="n">
        <f aca="false">AY70*($B70+D$13)</f>
        <v>0</v>
      </c>
      <c r="BB70" s="33" t="n">
        <f aca="false">IF(ISNUMBER(((BA70/AY70)+D$14+$K70)*AY70),((BA70/AY70)+D$14+$K70)*AY70,0)</f>
        <v>0</v>
      </c>
      <c r="BC70" s="44" t="n">
        <f aca="false">IF(AY70=0,0,bsd(1,BD$27,AZ70,$P70,$M70,$N70,$AH70,0.1))</f>
        <v>0</v>
      </c>
      <c r="BD70" s="44" t="n">
        <f aca="false">IF(AY70=0,0,bsd(2,BD$27,AZ70,$P70,$M70,$N70,$AH70,0.1))</f>
        <v>0</v>
      </c>
      <c r="BE70" s="44" t="n">
        <f aca="false">IF(AY70=0,0,bsd(BD$28,BD$27,AZ70,$P70,$M70,$N70,$AH70,0.1))</f>
        <v>0</v>
      </c>
      <c r="BF70" s="45" t="n">
        <f aca="false">AY70*BC70</f>
        <v>0</v>
      </c>
      <c r="BG70" s="45" t="n">
        <f aca="false">AY70*BD70</f>
        <v>0</v>
      </c>
      <c r="BH70" s="45" t="n">
        <f aca="false">AY70*BE70</f>
        <v>0</v>
      </c>
      <c r="BJ70" s="9" t="n">
        <f aca="false">IF($A70&gt;=BK$25,IF($A70&lt;=BK$26,$AI70,0),0)</f>
        <v>0</v>
      </c>
      <c r="BK70" s="9" t="e">
        <f aca="false">BM70/BJ70</f>
        <v>#DIV/0!</v>
      </c>
      <c r="BL70" s="1" t="n">
        <f aca="false">BJ70*($B70+F$13)</f>
        <v>0</v>
      </c>
      <c r="BM70" s="33" t="n">
        <f aca="false">IF(ISNUMBER(((BL70/BJ70)+F$14+$R70)*BJ70),((BL70/BJ70)+F$14+$R70)*BJ70,0)</f>
        <v>0</v>
      </c>
      <c r="BN70" s="44" t="n">
        <f aca="false">IF(BJ70=0,0,bsd(1,BO$27,BK70,$W70,$T70,$U70,$AH70,0.1))</f>
        <v>0</v>
      </c>
      <c r="BO70" s="44" t="n">
        <f aca="false">IF(BJ70=0,0,bsd(2,BO$27,BK70,$W70,$T70,$U70,$AH70,0.1))</f>
        <v>0</v>
      </c>
      <c r="BP70" s="44" t="n">
        <f aca="false">IF(BJ70=0,0,bsd(BO$28,BO$27,BK70,$W70,$T70,$U70,$AH70,0.1))</f>
        <v>0</v>
      </c>
      <c r="BQ70" s="45" t="n">
        <f aca="false">BJ70*BN70</f>
        <v>0</v>
      </c>
      <c r="BR70" s="45" t="n">
        <f aca="false">BJ70*BO70</f>
        <v>0</v>
      </c>
      <c r="BS70" s="45" t="n">
        <f aca="false">BJ70*BP70</f>
        <v>0</v>
      </c>
      <c r="BU70" s="9" t="n">
        <f aca="false">IF($A70&gt;=BV$25,IF($A70&lt;=BV$26,$AI70,0),0)</f>
        <v>0</v>
      </c>
      <c r="BV70" s="9" t="e">
        <f aca="false">BX70/BU70</f>
        <v>#DIV/0!</v>
      </c>
      <c r="BW70" s="1" t="n">
        <f aca="false">BU70*($B70+H$13)</f>
        <v>0</v>
      </c>
      <c r="BX70" s="33" t="n">
        <f aca="false">IF(ISNUMBER(((BW70/BU70)+H$14+$Y70)*BU70),((BW70/BU70)+H$14+$Y70)*BU70,0)</f>
        <v>0</v>
      </c>
      <c r="BY70" s="44" t="n">
        <f aca="false">IF(BU70=0,0,bsd(1,BZ$27,BV70,$AD70,$AA70,$AB70,$AH70,0.1))</f>
        <v>0</v>
      </c>
      <c r="BZ70" s="44" t="n">
        <f aca="false">IF(BU70=0,0,bsd(2,BZ$27,BV70,$AD70,$AA70,$AB70,$AH70,0.1))</f>
        <v>0</v>
      </c>
      <c r="CA70" s="44" t="n">
        <f aca="false">IF(BU70=0,0,bsd(BZ$28,BZ$27,BV70,$AD70,$AA70,$AB70,$AH70,0.1))</f>
        <v>0</v>
      </c>
      <c r="CB70" s="45" t="n">
        <f aca="false">BU70*BY70</f>
        <v>0</v>
      </c>
      <c r="CC70" s="45" t="n">
        <f aca="false">BU70*BZ70</f>
        <v>0</v>
      </c>
      <c r="CD70" s="45" t="n">
        <f aca="false">BU70*CA70</f>
        <v>0</v>
      </c>
    </row>
    <row r="71" customFormat="false" ht="12.75" hidden="false" customHeight="false" outlineLevel="0" collapsed="false">
      <c r="A71" s="48" t="n">
        <f aca="false">DATE(YEAR(A70),MONTH(A70)+1,1)</f>
        <v>38018</v>
      </c>
      <c r="B71" s="40" t="n">
        <f aca="false">VLOOKUP(A71,STRADDLE,5,FALSE())</f>
        <v>3.506</v>
      </c>
      <c r="C71" s="4" t="n">
        <f aca="false">VLOOKUP(A71,STRADDLE,8,FALSE())</f>
        <v>0.2775</v>
      </c>
      <c r="D71" s="40" t="n">
        <f aca="false">IF(D$28="nymex",0,VLOOKUP($A71,curvesettle,HLOOKUP(D$28,curvesettle,2,FALSE())))</f>
        <v>1.565</v>
      </c>
      <c r="E71" s="131" t="n">
        <f aca="false">IF(ISNUMBER(VLOOKUP($A71,VOLCURVES,HLOOKUP(D$28,VOLCURVES,2,FALSE()),FALSE())),VLOOKUP($A71,VOLCURVES,HLOOKUP(D$28,VOLCURVES,2,FALSE()),FALSE()),1)</f>
        <v>1.1</v>
      </c>
      <c r="F71" s="136" t="n">
        <f aca="false">IF(D$28="NYMEX",$AG71,$AF71)</f>
        <v>-7912</v>
      </c>
      <c r="G71" s="4" t="e">
        <f aca="false">(($C71+H71)*$E71)+B$15</f>
        <v>#DIV/0!</v>
      </c>
      <c r="H71" s="4" t="e">
        <f aca="false">IF($B$16=1,VLOOKUP($A71,SkewTable,HLOOKUP(ROUND(I71-AO71,1),SkewTable,2,FALSE()),FALSE())/100,0)</f>
        <v>#DIV/0!</v>
      </c>
      <c r="I71" s="41" t="n">
        <f aca="false">IF($B$19=4,$AO71,$B$18)</f>
        <v>12</v>
      </c>
      <c r="K71" s="40" t="n">
        <f aca="false">IF(K$28="nymex",0,VLOOKUP($A71,curvesettle,HLOOKUP(K$28,curvesettle,2,FALSE())))</f>
        <v>-0.0195</v>
      </c>
      <c r="L71" s="131" t="n">
        <f aca="false">IF(ISNUMBER(VLOOKUP($A71,VOLCURVES,HLOOKUP(K$28,VOLCURVES,2,FALSE()),FALSE())),VLOOKUP($A71,VOLCURVES,HLOOKUP(K$28,VOLCURVES,2,FALSE()),FALSE()),1)</f>
        <v>1</v>
      </c>
      <c r="M71" s="136" t="n">
        <f aca="false">IF(K$28="NYMEX",$AG71,$AF71)</f>
        <v>-7912</v>
      </c>
      <c r="N71" s="153" t="e">
        <f aca="false">(($C71+O71)*$L71)+D$15</f>
        <v>#DIV/0!</v>
      </c>
      <c r="O71" s="4" t="e">
        <f aca="false">IF($D$16=1,VLOOKUP($A71,SkewTable,HLOOKUP(ROUND(P71-AZ71,1),SkewTable,2,FALSE()),FALSE())/100,0)</f>
        <v>#DIV/0!</v>
      </c>
      <c r="P71" s="41" t="n">
        <f aca="false">IF($D$19=4,$AZ71,$D$18)</f>
        <v>3.75</v>
      </c>
      <c r="R71" s="40" t="n">
        <f aca="false">IF(R$28="nymex",0,VLOOKUP($A71,curvesettle,HLOOKUP(R$28,curvesettle,2,FALSE())))</f>
        <v>-0.0195</v>
      </c>
      <c r="S71" s="131" t="n">
        <f aca="false">IF(ISNUMBER(VLOOKUP($A71,VOLCURVES,HLOOKUP(R$28,VOLCURVES,2,FALSE()),FALSE())),VLOOKUP($A71,VOLCURVES,HLOOKUP(R$28,VOLCURVES,2,FALSE()),FALSE()),1)</f>
        <v>1</v>
      </c>
      <c r="T71" s="136" t="n">
        <f aca="false">IF(R$28="NYMEX",$AG71,$AF71)</f>
        <v>-7912</v>
      </c>
      <c r="U71" s="153" t="e">
        <f aca="false">(($C71+V71)*$S71)+F$15</f>
        <v>#DIV/0!</v>
      </c>
      <c r="V71" s="4" t="e">
        <f aca="false">IF($F$16=1,VLOOKUP($A71,SkewTable,HLOOKUP(ROUND(W71-BK71,1),SkewTable,2,FALSE()),FALSE())/100,0)</f>
        <v>#DIV/0!</v>
      </c>
      <c r="W71" s="41" t="n">
        <f aca="false">IF($F$19=4,$BK71,$F$18)</f>
        <v>3.5</v>
      </c>
      <c r="X71" s="136"/>
      <c r="Y71" s="40" t="n">
        <f aca="false">IF(Y$28="nymex",0,VLOOKUP($A71,curvesettle,HLOOKUP(Y$28,curvesettle,2,FALSE())))</f>
        <v>-0.27</v>
      </c>
      <c r="Z71" s="131" t="n">
        <f aca="false">IF(ISNUMBER(VLOOKUP($A71,VOLCURVES,HLOOKUP(Y$28,VOLCURVES,2,FALSE()),FALSE())),VLOOKUP($A71,VOLCURVES,HLOOKUP(Y$28,VOLCURVES,2,FALSE()),FALSE()),1)</f>
        <v>1</v>
      </c>
      <c r="AA71" s="136" t="n">
        <f aca="false">IF(Y$28="NYMEX",$AG71,$AF71)</f>
        <v>-7912</v>
      </c>
      <c r="AB71" s="4" t="e">
        <f aca="false">(($C71+AC71)*$Z71)+H$15</f>
        <v>#DIV/0!</v>
      </c>
      <c r="AC71" s="4" t="e">
        <f aca="false">IF($H$16=1,VLOOKUP($A71,SkewTable,HLOOKUP(ROUND(AD71-BV71,1),SkewTable,2,FALSE()),FALSE())/100,0)</f>
        <v>#DIV/0!</v>
      </c>
      <c r="AD71" s="41" t="n">
        <f aca="false">IF($H$19=4,$BV71,$H$18)</f>
        <v>3</v>
      </c>
      <c r="AF71" s="136" t="n">
        <f aca="false">VLOOKUP($A71,expiration,2,FALSE())-$B$2</f>
        <v>-7912</v>
      </c>
      <c r="AG71" s="136" t="n">
        <f aca="false">VLOOKUP($A71,expiration,3,FALSE())-$B$2</f>
        <v>-7913</v>
      </c>
      <c r="AH71" s="4" t="n">
        <f aca="false">VLOOKUP($A71,STRADDLE,12,FALSE())</f>
        <v>0.067392584002109</v>
      </c>
      <c r="AI71" s="43" t="n">
        <f aca="false">A72-A71</f>
        <v>29</v>
      </c>
      <c r="AL71" s="136"/>
      <c r="AM71" s="9"/>
      <c r="AN71" s="9" t="n">
        <f aca="false">IF($A71&gt;=AO$25,IF($A71&lt;=AO$26,$AI71,0),0)</f>
        <v>0</v>
      </c>
      <c r="AO71" s="9" t="e">
        <f aca="false">AQ71/AN71</f>
        <v>#DIV/0!</v>
      </c>
      <c r="AP71" s="1" t="n">
        <f aca="false">AN71*($B71+B$13)</f>
        <v>0</v>
      </c>
      <c r="AQ71" s="33" t="n">
        <f aca="false">IF(ISNUMBER(((AP71/AN71)+B$14+$D71)*AN71),((AP71/AN71)+B$14+$D71)*AN71,0)</f>
        <v>0</v>
      </c>
      <c r="AR71" s="44" t="n">
        <f aca="false">IF(AN71=0,0,bsd(1,AS$27,AO71,$I71,$F71,$G71,$AH71,0.1))</f>
        <v>0</v>
      </c>
      <c r="AS71" s="44" t="n">
        <f aca="false">IF(AN71=0,0,bsd(2,AS$27,AO71,$I71,$F71,$G71,$AH71,0.1))</f>
        <v>0</v>
      </c>
      <c r="AT71" s="44" t="n">
        <f aca="false">IF(AN71=0,0,bsd(AS$28,AS$27,AO71,$I71,$F71,$G71,$AH71,0.1))</f>
        <v>0</v>
      </c>
      <c r="AU71" s="45" t="n">
        <f aca="false">AN71*AR71</f>
        <v>0</v>
      </c>
      <c r="AV71" s="45" t="n">
        <f aca="false">AN71*AS71</f>
        <v>0</v>
      </c>
      <c r="AW71" s="45" t="n">
        <f aca="false">AN71*AT71</f>
        <v>0</v>
      </c>
      <c r="AY71" s="9" t="n">
        <f aca="false">IF($A71&gt;=AZ$25,IF($A71&lt;=AZ$26,$AI71,0),0)</f>
        <v>0</v>
      </c>
      <c r="AZ71" s="9" t="e">
        <f aca="false">BB71/AY71</f>
        <v>#DIV/0!</v>
      </c>
      <c r="BA71" s="1" t="n">
        <f aca="false">AY71*($B71+D$13)</f>
        <v>0</v>
      </c>
      <c r="BB71" s="33" t="n">
        <f aca="false">IF(ISNUMBER(((BA71/AY71)+D$14+$K71)*AY71),((BA71/AY71)+D$14+$K71)*AY71,0)</f>
        <v>0</v>
      </c>
      <c r="BC71" s="44" t="n">
        <f aca="false">IF(AY71=0,0,bsd(1,BD$27,AZ71,$P71,$M71,$N71,$AH71,0.1))</f>
        <v>0</v>
      </c>
      <c r="BD71" s="44" t="n">
        <f aca="false">IF(AY71=0,0,bsd(2,BD$27,AZ71,$P71,$M71,$N71,$AH71,0.1))</f>
        <v>0</v>
      </c>
      <c r="BE71" s="44" t="n">
        <f aca="false">IF(AY71=0,0,bsd(BD$28,BD$27,AZ71,$P71,$M71,$N71,$AH71,0.1))</f>
        <v>0</v>
      </c>
      <c r="BF71" s="45" t="n">
        <f aca="false">AY71*BC71</f>
        <v>0</v>
      </c>
      <c r="BG71" s="45" t="n">
        <f aca="false">AY71*BD71</f>
        <v>0</v>
      </c>
      <c r="BH71" s="45" t="n">
        <f aca="false">AY71*BE71</f>
        <v>0</v>
      </c>
      <c r="BJ71" s="9" t="n">
        <f aca="false">IF($A71&gt;=BK$25,IF($A71&lt;=BK$26,$AI71,0),0)</f>
        <v>0</v>
      </c>
      <c r="BK71" s="9" t="e">
        <f aca="false">BM71/BJ71</f>
        <v>#DIV/0!</v>
      </c>
      <c r="BL71" s="1" t="n">
        <f aca="false">BJ71*($B71+F$13)</f>
        <v>0</v>
      </c>
      <c r="BM71" s="33" t="n">
        <f aca="false">IF(ISNUMBER(((BL71/BJ71)+F$14+$R71)*BJ71),((BL71/BJ71)+F$14+$R71)*BJ71,0)</f>
        <v>0</v>
      </c>
      <c r="BN71" s="44" t="n">
        <f aca="false">IF(BJ71=0,0,bsd(1,BO$27,BK71,$W71,$T71,$U71,$AH71,0.1))</f>
        <v>0</v>
      </c>
      <c r="BO71" s="44" t="n">
        <f aca="false">IF(BJ71=0,0,bsd(2,BO$27,BK71,$W71,$T71,$U71,$AH71,0.1))</f>
        <v>0</v>
      </c>
      <c r="BP71" s="44" t="n">
        <f aca="false">IF(BJ71=0,0,bsd(BO$28,BO$27,BK71,$W71,$T71,$U71,$AH71,0.1))</f>
        <v>0</v>
      </c>
      <c r="BQ71" s="45" t="n">
        <f aca="false">BJ71*BN71</f>
        <v>0</v>
      </c>
      <c r="BR71" s="45" t="n">
        <f aca="false">BJ71*BO71</f>
        <v>0</v>
      </c>
      <c r="BS71" s="45" t="n">
        <f aca="false">BJ71*BP71</f>
        <v>0</v>
      </c>
      <c r="BU71" s="9" t="n">
        <f aca="false">IF($A71&gt;=BV$25,IF($A71&lt;=BV$26,$AI71,0),0)</f>
        <v>0</v>
      </c>
      <c r="BV71" s="9" t="e">
        <f aca="false">BX71/BU71</f>
        <v>#DIV/0!</v>
      </c>
      <c r="BW71" s="1" t="n">
        <f aca="false">BU71*($B71+H$13)</f>
        <v>0</v>
      </c>
      <c r="BX71" s="33" t="n">
        <f aca="false">IF(ISNUMBER(((BW71/BU71)+H$14+$Y71)*BU71),((BW71/BU71)+H$14+$Y71)*BU71,0)</f>
        <v>0</v>
      </c>
      <c r="BY71" s="44" t="n">
        <f aca="false">IF(BU71=0,0,bsd(1,BZ$27,BV71,$AD71,$AA71,$AB71,$AH71,0.1))</f>
        <v>0</v>
      </c>
      <c r="BZ71" s="44" t="n">
        <f aca="false">IF(BU71=0,0,bsd(2,BZ$27,BV71,$AD71,$AA71,$AB71,$AH71,0.1))</f>
        <v>0</v>
      </c>
      <c r="CA71" s="44" t="n">
        <f aca="false">IF(BU71=0,0,bsd(BZ$28,BZ$27,BV71,$AD71,$AA71,$AB71,$AH71,0.1))</f>
        <v>0</v>
      </c>
      <c r="CB71" s="45" t="n">
        <f aca="false">BU71*BY71</f>
        <v>0</v>
      </c>
      <c r="CC71" s="45" t="n">
        <f aca="false">BU71*BZ71</f>
        <v>0</v>
      </c>
      <c r="CD71" s="45" t="n">
        <f aca="false">BU71*CA71</f>
        <v>0</v>
      </c>
    </row>
    <row r="72" customFormat="false" ht="12.75" hidden="false" customHeight="false" outlineLevel="0" collapsed="false">
      <c r="A72" s="48" t="n">
        <f aca="false">DATE(YEAR(A71),MONTH(A71)+1,1)</f>
        <v>38047</v>
      </c>
      <c r="B72" s="40" t="n">
        <f aca="false">VLOOKUP(A72,STRADDLE,5,FALSE())</f>
        <v>3.326</v>
      </c>
      <c r="C72" s="4" t="n">
        <f aca="false">VLOOKUP(A72,STRADDLE,8,FALSE())</f>
        <v>0.2775</v>
      </c>
      <c r="D72" s="40" t="n">
        <f aca="false">IF(D$28="nymex",0,VLOOKUP($A72,curvesettle,HLOOKUP(D$28,curvesettle,2,FALSE())))</f>
        <v>0.955</v>
      </c>
      <c r="E72" s="131" t="n">
        <f aca="false">IF(ISNUMBER(VLOOKUP($A72,VOLCURVES,HLOOKUP(D$28,VOLCURVES,2,FALSE()),FALSE())),VLOOKUP($A72,VOLCURVES,HLOOKUP(D$28,VOLCURVES,2,FALSE()),FALSE()),1)</f>
        <v>1.1</v>
      </c>
      <c r="F72" s="136" t="n">
        <f aca="false">IF(D$28="NYMEX",$AG72,$AF72)</f>
        <v>-7884</v>
      </c>
      <c r="G72" s="4" t="e">
        <f aca="false">(($C72+H72)*$E72)+B$15</f>
        <v>#DIV/0!</v>
      </c>
      <c r="H72" s="4" t="e">
        <f aca="false">IF($B$16=1,VLOOKUP($A72,SkewTable,HLOOKUP(ROUND(I72-AO72,1),SkewTable,2,FALSE()),FALSE())/100,0)</f>
        <v>#DIV/0!</v>
      </c>
      <c r="I72" s="41" t="n">
        <f aca="false">IF($B$19=4,$AO72,$B$18)</f>
        <v>12</v>
      </c>
      <c r="K72" s="40" t="n">
        <f aca="false">IF(K$28="nymex",0,VLOOKUP($A72,curvesettle,HLOOKUP(K$28,curvesettle,2,FALSE())))</f>
        <v>-0.0195</v>
      </c>
      <c r="L72" s="131" t="n">
        <f aca="false">IF(ISNUMBER(VLOOKUP($A72,VOLCURVES,HLOOKUP(K$28,VOLCURVES,2,FALSE()),FALSE())),VLOOKUP($A72,VOLCURVES,HLOOKUP(K$28,VOLCURVES,2,FALSE()),FALSE()),1)</f>
        <v>1</v>
      </c>
      <c r="M72" s="136" t="n">
        <f aca="false">IF(K$28="NYMEX",$AG72,$AF72)</f>
        <v>-7884</v>
      </c>
      <c r="N72" s="153" t="e">
        <f aca="false">(($C72+O72)*$L72)+D$15</f>
        <v>#DIV/0!</v>
      </c>
      <c r="O72" s="4" t="e">
        <f aca="false">IF($D$16=1,VLOOKUP($A72,SkewTable,HLOOKUP(ROUND(P72-AZ72,1),SkewTable,2,FALSE()),FALSE())/100,0)</f>
        <v>#DIV/0!</v>
      </c>
      <c r="P72" s="41" t="n">
        <f aca="false">IF($D$19=4,$AZ72,$D$18)</f>
        <v>3.75</v>
      </c>
      <c r="R72" s="40" t="n">
        <f aca="false">IF(R$28="nymex",0,VLOOKUP($A72,curvesettle,HLOOKUP(R$28,curvesettle,2,FALSE())))</f>
        <v>-0.0195</v>
      </c>
      <c r="S72" s="131" t="n">
        <f aca="false">IF(ISNUMBER(VLOOKUP($A72,VOLCURVES,HLOOKUP(R$28,VOLCURVES,2,FALSE()),FALSE())),VLOOKUP($A72,VOLCURVES,HLOOKUP(R$28,VOLCURVES,2,FALSE()),FALSE()),1)</f>
        <v>1</v>
      </c>
      <c r="T72" s="136" t="n">
        <f aca="false">IF(R$28="NYMEX",$AG72,$AF72)</f>
        <v>-7884</v>
      </c>
      <c r="U72" s="153" t="e">
        <f aca="false">(($C72+V72)*$S72)+F$15</f>
        <v>#DIV/0!</v>
      </c>
      <c r="V72" s="4" t="e">
        <f aca="false">IF($F$16=1,VLOOKUP($A72,SkewTable,HLOOKUP(ROUND(W72-BK72,1),SkewTable,2,FALSE()),FALSE())/100,0)</f>
        <v>#DIV/0!</v>
      </c>
      <c r="W72" s="41" t="n">
        <f aca="false">IF($F$19=4,$BK72,$F$18)</f>
        <v>3.5</v>
      </c>
      <c r="X72" s="136"/>
      <c r="Y72" s="40" t="n">
        <f aca="false">IF(Y$28="nymex",0,VLOOKUP($A72,curvesettle,HLOOKUP(Y$28,curvesettle,2,FALSE())))</f>
        <v>-0.27</v>
      </c>
      <c r="Z72" s="131" t="n">
        <f aca="false">IF(ISNUMBER(VLOOKUP($A72,VOLCURVES,HLOOKUP(Y$28,VOLCURVES,2,FALSE()),FALSE())),VLOOKUP($A72,VOLCURVES,HLOOKUP(Y$28,VOLCURVES,2,FALSE()),FALSE()),1)</f>
        <v>1</v>
      </c>
      <c r="AA72" s="136" t="n">
        <f aca="false">IF(Y$28="NYMEX",$AG72,$AF72)</f>
        <v>-7884</v>
      </c>
      <c r="AB72" s="4" t="e">
        <f aca="false">(($C72+AC72)*$Z72)+H$15</f>
        <v>#DIV/0!</v>
      </c>
      <c r="AC72" s="4" t="e">
        <f aca="false">IF($H$16=1,VLOOKUP($A72,SkewTable,HLOOKUP(ROUND(AD72-BV72,1),SkewTable,2,FALSE()),FALSE())/100,0)</f>
        <v>#DIV/0!</v>
      </c>
      <c r="AD72" s="41" t="n">
        <f aca="false">IF($H$19=4,$BV72,$H$18)</f>
        <v>3</v>
      </c>
      <c r="AF72" s="136" t="n">
        <f aca="false">VLOOKUP($A72,expiration,2,FALSE())-$B$2</f>
        <v>-7884</v>
      </c>
      <c r="AG72" s="136" t="n">
        <f aca="false">VLOOKUP($A72,expiration,3,FALSE())-$B$2</f>
        <v>-7885</v>
      </c>
      <c r="AH72" s="4" t="n">
        <f aca="false">VLOOKUP($A72,STRADDLE,12,FALSE())</f>
        <v>0.067425615118011</v>
      </c>
      <c r="AI72" s="43" t="n">
        <f aca="false">A73-A72</f>
        <v>31</v>
      </c>
      <c r="AL72" s="136"/>
      <c r="AM72" s="9"/>
      <c r="AN72" s="9" t="n">
        <f aca="false">IF($A72&gt;=AO$25,IF($A72&lt;=AO$26,$AI72,0),0)</f>
        <v>0</v>
      </c>
      <c r="AO72" s="9" t="e">
        <f aca="false">AQ72/AN72</f>
        <v>#DIV/0!</v>
      </c>
      <c r="AP72" s="1" t="n">
        <f aca="false">AN72*($B72+B$13)</f>
        <v>0</v>
      </c>
      <c r="AQ72" s="33" t="n">
        <f aca="false">IF(ISNUMBER(((AP72/AN72)+B$14+$D72)*AN72),((AP72/AN72)+B$14+$D72)*AN72,0)</f>
        <v>0</v>
      </c>
      <c r="AR72" s="44" t="n">
        <f aca="false">IF(AN72=0,0,bsd(1,AS$27,AO72,$I72,$F72,$G72,$AH72,0.1))</f>
        <v>0</v>
      </c>
      <c r="AS72" s="44" t="n">
        <f aca="false">IF(AN72=0,0,bsd(2,AS$27,AO72,$I72,$F72,$G72,$AH72,0.1))</f>
        <v>0</v>
      </c>
      <c r="AT72" s="44" t="n">
        <f aca="false">IF(AN72=0,0,bsd(AS$28,AS$27,AO72,$I72,$F72,$G72,$AH72,0.1))</f>
        <v>0</v>
      </c>
      <c r="AU72" s="45" t="n">
        <f aca="false">AN72*AR72</f>
        <v>0</v>
      </c>
      <c r="AV72" s="45" t="n">
        <f aca="false">AN72*AS72</f>
        <v>0</v>
      </c>
      <c r="AW72" s="45" t="n">
        <f aca="false">AN72*AT72</f>
        <v>0</v>
      </c>
      <c r="AY72" s="9" t="n">
        <f aca="false">IF($A72&gt;=AZ$25,IF($A72&lt;=AZ$26,$AI72,0),0)</f>
        <v>0</v>
      </c>
      <c r="AZ72" s="9" t="e">
        <f aca="false">BB72/AY72</f>
        <v>#DIV/0!</v>
      </c>
      <c r="BA72" s="1" t="n">
        <f aca="false">AY72*($B72+D$13)</f>
        <v>0</v>
      </c>
      <c r="BB72" s="33" t="n">
        <f aca="false">IF(ISNUMBER(((BA72/AY72)+D$14+$K72)*AY72),((BA72/AY72)+D$14+$K72)*AY72,0)</f>
        <v>0</v>
      </c>
      <c r="BC72" s="44" t="n">
        <f aca="false">IF(AY72=0,0,bsd(1,BD$27,AZ72,$P72,$M72,$N72,$AH72,0.1))</f>
        <v>0</v>
      </c>
      <c r="BD72" s="44" t="n">
        <f aca="false">IF(AY72=0,0,bsd(2,BD$27,AZ72,$P72,$M72,$N72,$AH72,0.1))</f>
        <v>0</v>
      </c>
      <c r="BE72" s="44" t="n">
        <f aca="false">IF(AY72=0,0,bsd(BD$28,BD$27,AZ72,$P72,$M72,$N72,$AH72,0.1))</f>
        <v>0</v>
      </c>
      <c r="BF72" s="45" t="n">
        <f aca="false">AY72*BC72</f>
        <v>0</v>
      </c>
      <c r="BG72" s="45" t="n">
        <f aca="false">AY72*BD72</f>
        <v>0</v>
      </c>
      <c r="BH72" s="45" t="n">
        <f aca="false">AY72*BE72</f>
        <v>0</v>
      </c>
      <c r="BJ72" s="9" t="n">
        <f aca="false">IF($A72&gt;=BK$25,IF($A72&lt;=BK$26,$AI72,0),0)</f>
        <v>0</v>
      </c>
      <c r="BK72" s="9" t="e">
        <f aca="false">BM72/BJ72</f>
        <v>#DIV/0!</v>
      </c>
      <c r="BL72" s="1" t="n">
        <f aca="false">BJ72*($B72+F$13)</f>
        <v>0</v>
      </c>
      <c r="BM72" s="33" t="n">
        <f aca="false">IF(ISNUMBER(((BL72/BJ72)+F$14+$R72)*BJ72),((BL72/BJ72)+F$14+$R72)*BJ72,0)</f>
        <v>0</v>
      </c>
      <c r="BN72" s="44" t="n">
        <f aca="false">IF(BJ72=0,0,bsd(1,BO$27,BK72,$W72,$T72,$U72,$AH72,0.1))</f>
        <v>0</v>
      </c>
      <c r="BO72" s="44" t="n">
        <f aca="false">IF(BJ72=0,0,bsd(2,BO$27,BK72,$W72,$T72,$U72,$AH72,0.1))</f>
        <v>0</v>
      </c>
      <c r="BP72" s="44" t="n">
        <f aca="false">IF(BJ72=0,0,bsd(BO$28,BO$27,BK72,$W72,$T72,$U72,$AH72,0.1))</f>
        <v>0</v>
      </c>
      <c r="BQ72" s="45" t="n">
        <f aca="false">BJ72*BN72</f>
        <v>0</v>
      </c>
      <c r="BR72" s="45" t="n">
        <f aca="false">BJ72*BO72</f>
        <v>0</v>
      </c>
      <c r="BS72" s="45" t="n">
        <f aca="false">BJ72*BP72</f>
        <v>0</v>
      </c>
      <c r="BU72" s="9" t="n">
        <f aca="false">IF($A72&gt;=BV$25,IF($A72&lt;=BV$26,$AI72,0),0)</f>
        <v>0</v>
      </c>
      <c r="BV72" s="9" t="e">
        <f aca="false">BX72/BU72</f>
        <v>#DIV/0!</v>
      </c>
      <c r="BW72" s="1" t="n">
        <f aca="false">BU72*($B72+H$13)</f>
        <v>0</v>
      </c>
      <c r="BX72" s="33" t="n">
        <f aca="false">IF(ISNUMBER(((BW72/BU72)+H$14+$Y72)*BU72),((BW72/BU72)+H$14+$Y72)*BU72,0)</f>
        <v>0</v>
      </c>
      <c r="BY72" s="44" t="n">
        <f aca="false">IF(BU72=0,0,bsd(1,BZ$27,BV72,$AD72,$AA72,$AB72,$AH72,0.1))</f>
        <v>0</v>
      </c>
      <c r="BZ72" s="44" t="n">
        <f aca="false">IF(BU72=0,0,bsd(2,BZ$27,BV72,$AD72,$AA72,$AB72,$AH72,0.1))</f>
        <v>0</v>
      </c>
      <c r="CA72" s="44" t="n">
        <f aca="false">IF(BU72=0,0,bsd(BZ$28,BZ$27,BV72,$AD72,$AA72,$AB72,$AH72,0.1))</f>
        <v>0</v>
      </c>
      <c r="CB72" s="45" t="n">
        <f aca="false">BU72*BY72</f>
        <v>0</v>
      </c>
      <c r="CC72" s="45" t="n">
        <f aca="false">BU72*BZ72</f>
        <v>0</v>
      </c>
      <c r="CD72" s="45" t="n">
        <f aca="false">BU72*CA72</f>
        <v>0</v>
      </c>
    </row>
    <row r="73" customFormat="false" ht="12.75" hidden="false" customHeight="false" outlineLevel="0" collapsed="false">
      <c r="A73" s="48" t="n">
        <f aca="false">DATE(YEAR(A72),MONTH(A72)+1,1)</f>
        <v>38078</v>
      </c>
      <c r="B73" s="40" t="n">
        <f aca="false">VLOOKUP(A73,STRADDLE,5,FALSE())</f>
        <v>3.139</v>
      </c>
      <c r="C73" s="4" t="n">
        <f aca="false">VLOOKUP(A73,STRADDLE,8,FALSE())</f>
        <v>0.2575</v>
      </c>
      <c r="D73" s="40" t="n">
        <f aca="false">IF(D$28="nymex",0,VLOOKUP($A73,curvesettle,HLOOKUP(D$28,curvesettle,2,FALSE())))</f>
        <v>0.45</v>
      </c>
      <c r="E73" s="131" t="n">
        <f aca="false">IF(ISNUMBER(VLOOKUP($A73,VOLCURVES,HLOOKUP(D$28,VOLCURVES,2,FALSE()),FALSE())),VLOOKUP($A73,VOLCURVES,HLOOKUP(D$28,VOLCURVES,2,FALSE()),FALSE()),1)</f>
        <v>0.98</v>
      </c>
      <c r="F73" s="136" t="n">
        <f aca="false">IF(D$28="NYMEX",$AG73,$AF73)</f>
        <v>-7851</v>
      </c>
      <c r="G73" s="4" t="e">
        <f aca="false">(($C73+H73)*$E73)+B$15</f>
        <v>#DIV/0!</v>
      </c>
      <c r="H73" s="4" t="e">
        <f aca="false">IF($B$16=1,VLOOKUP($A73,SkewTable,HLOOKUP(ROUND(I73-AO73,1),SkewTable,2,FALSE()),FALSE())/100,0)</f>
        <v>#DIV/0!</v>
      </c>
      <c r="I73" s="41" t="n">
        <f aca="false">IF($B$19=4,$AO73,$B$18)</f>
        <v>12</v>
      </c>
      <c r="K73" s="40" t="n">
        <f aca="false">IF(K$28="nymex",0,VLOOKUP($A73,curvesettle,HLOOKUP(K$28,curvesettle,2,FALSE())))</f>
        <v>-0.017</v>
      </c>
      <c r="L73" s="131" t="n">
        <f aca="false">IF(ISNUMBER(VLOOKUP($A73,VOLCURVES,HLOOKUP(K$28,VOLCURVES,2,FALSE()),FALSE())),VLOOKUP($A73,VOLCURVES,HLOOKUP(K$28,VOLCURVES,2,FALSE()),FALSE()),1)</f>
        <v>1</v>
      </c>
      <c r="M73" s="136" t="n">
        <f aca="false">IF(K$28="NYMEX",$AG73,$AF73)</f>
        <v>-7851</v>
      </c>
      <c r="N73" s="153" t="e">
        <f aca="false">(($C73+O73)*$L73)+D$15</f>
        <v>#DIV/0!</v>
      </c>
      <c r="O73" s="4" t="e">
        <f aca="false">IF($D$16=1,VLOOKUP($A73,SkewTable,HLOOKUP(ROUND(P73-AZ73,1),SkewTable,2,FALSE()),FALSE())/100,0)</f>
        <v>#DIV/0!</v>
      </c>
      <c r="P73" s="41" t="n">
        <f aca="false">IF($D$19=4,$AZ73,$D$18)</f>
        <v>3.75</v>
      </c>
      <c r="R73" s="40" t="n">
        <f aca="false">IF(R$28="nymex",0,VLOOKUP($A73,curvesettle,HLOOKUP(R$28,curvesettle,2,FALSE())))</f>
        <v>-0.017</v>
      </c>
      <c r="S73" s="131" t="n">
        <f aca="false">IF(ISNUMBER(VLOOKUP($A73,VOLCURVES,HLOOKUP(R$28,VOLCURVES,2,FALSE()),FALSE())),VLOOKUP($A73,VOLCURVES,HLOOKUP(R$28,VOLCURVES,2,FALSE()),FALSE()),1)</f>
        <v>1</v>
      </c>
      <c r="T73" s="136" t="n">
        <f aca="false">IF(R$28="NYMEX",$AG73,$AF73)</f>
        <v>-7851</v>
      </c>
      <c r="U73" s="153" t="e">
        <f aca="false">(($C73+V73)*$S73)+F$15</f>
        <v>#DIV/0!</v>
      </c>
      <c r="V73" s="4" t="e">
        <f aca="false">IF($F$16=1,VLOOKUP($A73,SkewTable,HLOOKUP(ROUND(W73-BK73,1),SkewTable,2,FALSE()),FALSE())/100,0)</f>
        <v>#DIV/0!</v>
      </c>
      <c r="W73" s="41" t="n">
        <f aca="false">IF($F$19=4,$BK73,$F$18)</f>
        <v>3.5</v>
      </c>
      <c r="X73" s="136"/>
      <c r="Y73" s="40" t="n">
        <f aca="false">IF(Y$28="nymex",0,VLOOKUP($A73,curvesettle,HLOOKUP(Y$28,curvesettle,2,FALSE())))</f>
        <v>-0.345</v>
      </c>
      <c r="Z73" s="131" t="n">
        <f aca="false">IF(ISNUMBER(VLOOKUP($A73,VOLCURVES,HLOOKUP(Y$28,VOLCURVES,2,FALSE()),FALSE())),VLOOKUP($A73,VOLCURVES,HLOOKUP(Y$28,VOLCURVES,2,FALSE()),FALSE()),1)</f>
        <v>1</v>
      </c>
      <c r="AA73" s="136" t="n">
        <f aca="false">IF(Y$28="NYMEX",$AG73,$AF73)</f>
        <v>-7851</v>
      </c>
      <c r="AB73" s="4" t="e">
        <f aca="false">(($C73+AC73)*$Z73)+H$15</f>
        <v>#DIV/0!</v>
      </c>
      <c r="AC73" s="4" t="e">
        <f aca="false">IF($H$16=1,VLOOKUP($A73,SkewTable,HLOOKUP(ROUND(AD73-BV73,1),SkewTable,2,FALSE()),FALSE())/100,0)</f>
        <v>#DIV/0!</v>
      </c>
      <c r="AD73" s="41" t="n">
        <f aca="false">IF($H$19=4,$BV73,$H$18)</f>
        <v>3</v>
      </c>
      <c r="AF73" s="136" t="n">
        <f aca="false">VLOOKUP($A73,expiration,2,FALSE())-$B$2</f>
        <v>-7851</v>
      </c>
      <c r="AG73" s="136" t="n">
        <f aca="false">VLOOKUP($A73,expiration,3,FALSE())-$B$2</f>
        <v>-7854</v>
      </c>
      <c r="AH73" s="4" t="n">
        <f aca="false">VLOOKUP($A73,STRADDLE,12,FALSE())</f>
        <v>0.067454837668858</v>
      </c>
      <c r="AI73" s="43" t="n">
        <f aca="false">A74-A73</f>
        <v>30</v>
      </c>
      <c r="AL73" s="136"/>
      <c r="AM73" s="9"/>
      <c r="AN73" s="9" t="n">
        <f aca="false">IF($A73&gt;=AO$25,IF($A73&lt;=AO$26,$AI73,0),0)</f>
        <v>0</v>
      </c>
      <c r="AO73" s="9" t="e">
        <f aca="false">AQ73/AN73</f>
        <v>#DIV/0!</v>
      </c>
      <c r="AP73" s="1" t="n">
        <f aca="false">AN73*($B73+B$13)</f>
        <v>0</v>
      </c>
      <c r="AQ73" s="33" t="n">
        <f aca="false">IF(ISNUMBER(((AP73/AN73)+B$14+$D73)*AN73),((AP73/AN73)+B$14+$D73)*AN73,0)</f>
        <v>0</v>
      </c>
      <c r="AR73" s="44" t="n">
        <f aca="false">IF(AN73=0,0,bsd(1,AS$27,AO73,$I73,$F73,$G73,$AH73,0.1))</f>
        <v>0</v>
      </c>
      <c r="AS73" s="44" t="n">
        <f aca="false">IF(AN73=0,0,bsd(2,AS$27,AO73,$I73,$F73,$G73,$AH73,0.1))</f>
        <v>0</v>
      </c>
      <c r="AT73" s="44" t="n">
        <f aca="false">IF(AN73=0,0,bsd(AS$28,AS$27,AO73,$I73,$F73,$G73,$AH73,0.1))</f>
        <v>0</v>
      </c>
      <c r="AU73" s="45" t="n">
        <f aca="false">AN73*AR73</f>
        <v>0</v>
      </c>
      <c r="AV73" s="45" t="n">
        <f aca="false">AN73*AS73</f>
        <v>0</v>
      </c>
      <c r="AW73" s="45" t="n">
        <f aca="false">AN73*AT73</f>
        <v>0</v>
      </c>
      <c r="AY73" s="9" t="n">
        <f aca="false">IF($A73&gt;=AZ$25,IF($A73&lt;=AZ$26,$AI73,0),0)</f>
        <v>0</v>
      </c>
      <c r="AZ73" s="9" t="e">
        <f aca="false">BB73/AY73</f>
        <v>#DIV/0!</v>
      </c>
      <c r="BA73" s="1" t="n">
        <f aca="false">AY73*($B73+D$13)</f>
        <v>0</v>
      </c>
      <c r="BB73" s="33" t="n">
        <f aca="false">IF(ISNUMBER(((BA73/AY73)+D$14+$K73)*AY73),((BA73/AY73)+D$14+$K73)*AY73,0)</f>
        <v>0</v>
      </c>
      <c r="BC73" s="44" t="n">
        <f aca="false">IF(AY73=0,0,bsd(1,BD$27,AZ73,$P73,$M73,$N73,$AH73,0.1))</f>
        <v>0</v>
      </c>
      <c r="BD73" s="44" t="n">
        <f aca="false">IF(AY73=0,0,bsd(2,BD$27,AZ73,$P73,$M73,$N73,$AH73,0.1))</f>
        <v>0</v>
      </c>
      <c r="BE73" s="44" t="n">
        <f aca="false">IF(AY73=0,0,bsd(BD$28,BD$27,AZ73,$P73,$M73,$N73,$AH73,0.1))</f>
        <v>0</v>
      </c>
      <c r="BF73" s="45" t="n">
        <f aca="false">AY73*BC73</f>
        <v>0</v>
      </c>
      <c r="BG73" s="45" t="n">
        <f aca="false">AY73*BD73</f>
        <v>0</v>
      </c>
      <c r="BH73" s="45" t="n">
        <f aca="false">AY73*BE73</f>
        <v>0</v>
      </c>
      <c r="BJ73" s="9" t="n">
        <f aca="false">IF($A73&gt;=BK$25,IF($A73&lt;=BK$26,$AI73,0),0)</f>
        <v>0</v>
      </c>
      <c r="BK73" s="9" t="e">
        <f aca="false">BM73/BJ73</f>
        <v>#DIV/0!</v>
      </c>
      <c r="BL73" s="1" t="n">
        <f aca="false">BJ73*($B73+F$13)</f>
        <v>0</v>
      </c>
      <c r="BM73" s="33" t="n">
        <f aca="false">IF(ISNUMBER(((BL73/BJ73)+F$14+$R73)*BJ73),((BL73/BJ73)+F$14+$R73)*BJ73,0)</f>
        <v>0</v>
      </c>
      <c r="BN73" s="44" t="n">
        <f aca="false">IF(BJ73=0,0,bsd(1,BO$27,BK73,$W73,$T73,$U73,$AH73,0.1))</f>
        <v>0</v>
      </c>
      <c r="BO73" s="44" t="n">
        <f aca="false">IF(BJ73=0,0,bsd(2,BO$27,BK73,$W73,$T73,$U73,$AH73,0.1))</f>
        <v>0</v>
      </c>
      <c r="BP73" s="44" t="n">
        <f aca="false">IF(BJ73=0,0,bsd(BO$28,BO$27,BK73,$W73,$T73,$U73,$AH73,0.1))</f>
        <v>0</v>
      </c>
      <c r="BQ73" s="45" t="n">
        <f aca="false">BJ73*BN73</f>
        <v>0</v>
      </c>
      <c r="BR73" s="45" t="n">
        <f aca="false">BJ73*BO73</f>
        <v>0</v>
      </c>
      <c r="BS73" s="45" t="n">
        <f aca="false">BJ73*BP73</f>
        <v>0</v>
      </c>
      <c r="BU73" s="9" t="n">
        <f aca="false">IF($A73&gt;=BV$25,IF($A73&lt;=BV$26,$AI73,0),0)</f>
        <v>0</v>
      </c>
      <c r="BV73" s="9" t="e">
        <f aca="false">BX73/BU73</f>
        <v>#DIV/0!</v>
      </c>
      <c r="BW73" s="1" t="n">
        <f aca="false">BU73*($B73+H$13)</f>
        <v>0</v>
      </c>
      <c r="BX73" s="33" t="n">
        <f aca="false">IF(ISNUMBER(((BW73/BU73)+H$14+$Y73)*BU73),((BW73/BU73)+H$14+$Y73)*BU73,0)</f>
        <v>0</v>
      </c>
      <c r="BY73" s="44" t="n">
        <f aca="false">IF(BU73=0,0,bsd(1,BZ$27,BV73,$AD73,$AA73,$AB73,$AH73,0.1))</f>
        <v>0</v>
      </c>
      <c r="BZ73" s="44" t="n">
        <f aca="false">IF(BU73=0,0,bsd(2,BZ$27,BV73,$AD73,$AA73,$AB73,$AH73,0.1))</f>
        <v>0</v>
      </c>
      <c r="CA73" s="44" t="n">
        <f aca="false">IF(BU73=0,0,bsd(BZ$28,BZ$27,BV73,$AD73,$AA73,$AB73,$AH73,0.1))</f>
        <v>0</v>
      </c>
      <c r="CB73" s="45" t="n">
        <f aca="false">BU73*BY73</f>
        <v>0</v>
      </c>
      <c r="CC73" s="45" t="n">
        <f aca="false">BU73*BZ73</f>
        <v>0</v>
      </c>
      <c r="CD73" s="45" t="n">
        <f aca="false">BU73*CA73</f>
        <v>0</v>
      </c>
    </row>
    <row r="74" customFormat="false" ht="12.75" hidden="false" customHeight="false" outlineLevel="0" collapsed="false">
      <c r="A74" s="48" t="n">
        <f aca="false">DATE(YEAR(A73),MONTH(A73)+1,1)</f>
        <v>38108</v>
      </c>
      <c r="B74" s="40" t="n">
        <f aca="false">VLOOKUP(A74,STRADDLE,5,FALSE())</f>
        <v>3.09</v>
      </c>
      <c r="C74" s="4" t="n">
        <f aca="false">VLOOKUP(A74,STRADDLE,8,FALSE())</f>
        <v>0.2575</v>
      </c>
      <c r="D74" s="40" t="n">
        <f aca="false">IF(D$28="nymex",0,VLOOKUP($A74,curvesettle,HLOOKUP(D$28,curvesettle,2,FALSE())))</f>
        <v>0.405</v>
      </c>
      <c r="E74" s="131" t="n">
        <f aca="false">IF(ISNUMBER(VLOOKUP($A74,VOLCURVES,HLOOKUP(D$28,VOLCURVES,2,FALSE()),FALSE())),VLOOKUP($A74,VOLCURVES,HLOOKUP(D$28,VOLCURVES,2,FALSE()),FALSE()),1)</f>
        <v>0.98</v>
      </c>
      <c r="F74" s="136" t="n">
        <f aca="false">IF(D$28="NYMEX",$AG74,$AF74)</f>
        <v>-7821</v>
      </c>
      <c r="G74" s="4" t="e">
        <f aca="false">(($C74+H74)*$E74)+B$15</f>
        <v>#DIV/0!</v>
      </c>
      <c r="H74" s="4" t="e">
        <f aca="false">IF($B$16=1,VLOOKUP($A74,SkewTable,HLOOKUP(ROUND(I74-AO74,1),SkewTable,2,FALSE()),FALSE())/100,0)</f>
        <v>#DIV/0!</v>
      </c>
      <c r="I74" s="41" t="n">
        <f aca="false">IF($B$19=4,$AO74,$B$18)</f>
        <v>12</v>
      </c>
      <c r="K74" s="40" t="n">
        <f aca="false">IF(K$28="nymex",0,VLOOKUP($A74,curvesettle,HLOOKUP(K$28,curvesettle,2,FALSE())))</f>
        <v>-0.017</v>
      </c>
      <c r="L74" s="131" t="n">
        <f aca="false">IF(ISNUMBER(VLOOKUP($A74,VOLCURVES,HLOOKUP(K$28,VOLCURVES,2,FALSE()),FALSE())),VLOOKUP($A74,VOLCURVES,HLOOKUP(K$28,VOLCURVES,2,FALSE()),FALSE()),1)</f>
        <v>1</v>
      </c>
      <c r="M74" s="136" t="n">
        <f aca="false">IF(K$28="NYMEX",$AG74,$AF74)</f>
        <v>-7821</v>
      </c>
      <c r="N74" s="153" t="e">
        <f aca="false">(($C74+O74)*$L74)+D$15</f>
        <v>#DIV/0!</v>
      </c>
      <c r="O74" s="4" t="e">
        <f aca="false">IF($D$16=1,VLOOKUP($A74,SkewTable,HLOOKUP(ROUND(P74-AZ74,1),SkewTable,2,FALSE()),FALSE())/100,0)</f>
        <v>#DIV/0!</v>
      </c>
      <c r="P74" s="41" t="n">
        <f aca="false">IF($D$19=4,$AZ74,$D$18)</f>
        <v>3.75</v>
      </c>
      <c r="R74" s="40" t="n">
        <f aca="false">IF(R$28="nymex",0,VLOOKUP($A74,curvesettle,HLOOKUP(R$28,curvesettle,2,FALSE())))</f>
        <v>-0.017</v>
      </c>
      <c r="S74" s="131" t="n">
        <f aca="false">IF(ISNUMBER(VLOOKUP($A74,VOLCURVES,HLOOKUP(R$28,VOLCURVES,2,FALSE()),FALSE())),VLOOKUP($A74,VOLCURVES,HLOOKUP(R$28,VOLCURVES,2,FALSE()),FALSE()),1)</f>
        <v>1</v>
      </c>
      <c r="T74" s="136" t="n">
        <f aca="false">IF(R$28="NYMEX",$AG74,$AF74)</f>
        <v>-7821</v>
      </c>
      <c r="U74" s="153" t="e">
        <f aca="false">(($C74+V74)*$S74)+F$15</f>
        <v>#DIV/0!</v>
      </c>
      <c r="V74" s="4" t="e">
        <f aca="false">IF($F$16=1,VLOOKUP($A74,SkewTable,HLOOKUP(ROUND(W74-BK74,1),SkewTable,2,FALSE()),FALSE())/100,0)</f>
        <v>#DIV/0!</v>
      </c>
      <c r="W74" s="41" t="n">
        <f aca="false">IF($F$19=4,$BK74,$F$18)</f>
        <v>3.5</v>
      </c>
      <c r="X74" s="136"/>
      <c r="Y74" s="40" t="n">
        <f aca="false">IF(Y$28="nymex",0,VLOOKUP($A74,curvesettle,HLOOKUP(Y$28,curvesettle,2,FALSE())))</f>
        <v>-0.345</v>
      </c>
      <c r="Z74" s="131" t="n">
        <f aca="false">IF(ISNUMBER(VLOOKUP($A74,VOLCURVES,HLOOKUP(Y$28,VOLCURVES,2,FALSE()),FALSE())),VLOOKUP($A74,VOLCURVES,HLOOKUP(Y$28,VOLCURVES,2,FALSE()),FALSE()),1)</f>
        <v>1</v>
      </c>
      <c r="AA74" s="136" t="n">
        <f aca="false">IF(Y$28="NYMEX",$AG74,$AF74)</f>
        <v>-7821</v>
      </c>
      <c r="AB74" s="4" t="e">
        <f aca="false">(($C74+AC74)*$Z74)+H$15</f>
        <v>#DIV/0!</v>
      </c>
      <c r="AC74" s="4" t="e">
        <f aca="false">IF($H$16=1,VLOOKUP($A74,SkewTable,HLOOKUP(ROUND(AD74-BV74,1),SkewTable,2,FALSE()),FALSE())/100,0)</f>
        <v>#DIV/0!</v>
      </c>
      <c r="AD74" s="41" t="n">
        <f aca="false">IF($H$19=4,$BV74,$H$18)</f>
        <v>3</v>
      </c>
      <c r="AF74" s="136" t="n">
        <f aca="false">VLOOKUP($A74,expiration,2,FALSE())-$B$2</f>
        <v>-7821</v>
      </c>
      <c r="AG74" s="136" t="n">
        <f aca="false">VLOOKUP($A74,expiration,3,FALSE())-$B$2</f>
        <v>-7822</v>
      </c>
      <c r="AH74" s="4" t="n">
        <f aca="false">VLOOKUP($A74,STRADDLE,12,FALSE())</f>
        <v>0.067476834642469</v>
      </c>
      <c r="AI74" s="43" t="n">
        <f aca="false">A75-A74</f>
        <v>31</v>
      </c>
      <c r="AL74" s="136"/>
      <c r="AM74" s="9"/>
      <c r="AN74" s="9" t="n">
        <f aca="false">IF($A74&gt;=AO$25,IF($A74&lt;=AO$26,$AI74,0),0)</f>
        <v>0</v>
      </c>
      <c r="AO74" s="9" t="e">
        <f aca="false">AQ74/AN74</f>
        <v>#DIV/0!</v>
      </c>
      <c r="AP74" s="1" t="n">
        <f aca="false">AN74*($B74+B$13)</f>
        <v>0</v>
      </c>
      <c r="AQ74" s="33" t="n">
        <f aca="false">IF(ISNUMBER(((AP74/AN74)+B$14+$D74)*AN74),((AP74/AN74)+B$14+$D74)*AN74,0)</f>
        <v>0</v>
      </c>
      <c r="AR74" s="44" t="n">
        <f aca="false">IF(AN74=0,0,bsd(1,AS$27,AO74,$I74,$F74,$G74,$AH74,0.1))</f>
        <v>0</v>
      </c>
      <c r="AS74" s="44" t="n">
        <f aca="false">IF(AN74=0,0,bsd(2,AS$27,AO74,$I74,$F74,$G74,$AH74,0.1))</f>
        <v>0</v>
      </c>
      <c r="AT74" s="44" t="n">
        <f aca="false">IF(AN74=0,0,bsd(AS$28,AS$27,AO74,$I74,$F74,$G74,$AH74,0.1))</f>
        <v>0</v>
      </c>
      <c r="AU74" s="45" t="n">
        <f aca="false">AN74*AR74</f>
        <v>0</v>
      </c>
      <c r="AV74" s="45" t="n">
        <f aca="false">AN74*AS74</f>
        <v>0</v>
      </c>
      <c r="AW74" s="45" t="n">
        <f aca="false">AN74*AT74</f>
        <v>0</v>
      </c>
      <c r="AY74" s="9" t="n">
        <f aca="false">IF($A74&gt;=AZ$25,IF($A74&lt;=AZ$26,$AI74,0),0)</f>
        <v>0</v>
      </c>
      <c r="AZ74" s="9" t="e">
        <f aca="false">BB74/AY74</f>
        <v>#DIV/0!</v>
      </c>
      <c r="BA74" s="1" t="n">
        <f aca="false">AY74*($B74+D$13)</f>
        <v>0</v>
      </c>
      <c r="BB74" s="33" t="n">
        <f aca="false">IF(ISNUMBER(((BA74/AY74)+D$14+$K74)*AY74),((BA74/AY74)+D$14+$K74)*AY74,0)</f>
        <v>0</v>
      </c>
      <c r="BC74" s="44" t="n">
        <f aca="false">IF(AY74=0,0,bsd(1,BD$27,AZ74,$P74,$M74,$N74,$AH74,0.1))</f>
        <v>0</v>
      </c>
      <c r="BD74" s="44" t="n">
        <f aca="false">IF(AY74=0,0,bsd(2,BD$27,AZ74,$P74,$M74,$N74,$AH74,0.1))</f>
        <v>0</v>
      </c>
      <c r="BE74" s="44" t="n">
        <f aca="false">IF(AY74=0,0,bsd(BD$28,BD$27,AZ74,$P74,$M74,$N74,$AH74,0.1))</f>
        <v>0</v>
      </c>
      <c r="BF74" s="45" t="n">
        <f aca="false">AY74*BC74</f>
        <v>0</v>
      </c>
      <c r="BG74" s="45" t="n">
        <f aca="false">AY74*BD74</f>
        <v>0</v>
      </c>
      <c r="BH74" s="45" t="n">
        <f aca="false">AY74*BE74</f>
        <v>0</v>
      </c>
      <c r="BJ74" s="9" t="n">
        <f aca="false">IF($A74&gt;=BK$25,IF($A74&lt;=BK$26,$AI74,0),0)</f>
        <v>0</v>
      </c>
      <c r="BK74" s="9" t="e">
        <f aca="false">BM74/BJ74</f>
        <v>#DIV/0!</v>
      </c>
      <c r="BL74" s="1" t="n">
        <f aca="false">BJ74*($B74+F$13)</f>
        <v>0</v>
      </c>
      <c r="BM74" s="33" t="n">
        <f aca="false">IF(ISNUMBER(((BL74/BJ74)+F$14+$R74)*BJ74),((BL74/BJ74)+F$14+$R74)*BJ74,0)</f>
        <v>0</v>
      </c>
      <c r="BN74" s="44" t="n">
        <f aca="false">IF(BJ74=0,0,bsd(1,BO$27,BK74,$W74,$T74,$U74,$AH74,0.1))</f>
        <v>0</v>
      </c>
      <c r="BO74" s="44" t="n">
        <f aca="false">IF(BJ74=0,0,bsd(2,BO$27,BK74,$W74,$T74,$U74,$AH74,0.1))</f>
        <v>0</v>
      </c>
      <c r="BP74" s="44" t="n">
        <f aca="false">IF(BJ74=0,0,bsd(BO$28,BO$27,BK74,$W74,$T74,$U74,$AH74,0.1))</f>
        <v>0</v>
      </c>
      <c r="BQ74" s="45" t="n">
        <f aca="false">BJ74*BN74</f>
        <v>0</v>
      </c>
      <c r="BR74" s="45" t="n">
        <f aca="false">BJ74*BO74</f>
        <v>0</v>
      </c>
      <c r="BS74" s="45" t="n">
        <f aca="false">BJ74*BP74</f>
        <v>0</v>
      </c>
      <c r="BU74" s="9" t="n">
        <f aca="false">IF($A74&gt;=BV$25,IF($A74&lt;=BV$26,$AI74,0),0)</f>
        <v>0</v>
      </c>
      <c r="BV74" s="9" t="e">
        <f aca="false">BX74/BU74</f>
        <v>#DIV/0!</v>
      </c>
      <c r="BW74" s="1" t="n">
        <f aca="false">BU74*($B74+H$13)</f>
        <v>0</v>
      </c>
      <c r="BX74" s="33" t="n">
        <f aca="false">IF(ISNUMBER(((BW74/BU74)+H$14+$Y74)*BU74),((BW74/BU74)+H$14+$Y74)*BU74,0)</f>
        <v>0</v>
      </c>
      <c r="BY74" s="44" t="n">
        <f aca="false">IF(BU74=0,0,bsd(1,BZ$27,BV74,$AD74,$AA74,$AB74,$AH74,0.1))</f>
        <v>0</v>
      </c>
      <c r="BZ74" s="44" t="n">
        <f aca="false">IF(BU74=0,0,bsd(2,BZ$27,BV74,$AD74,$AA74,$AB74,$AH74,0.1))</f>
        <v>0</v>
      </c>
      <c r="CA74" s="44" t="n">
        <f aca="false">IF(BU74=0,0,bsd(BZ$28,BZ$27,BV74,$AD74,$AA74,$AB74,$AH74,0.1))</f>
        <v>0</v>
      </c>
      <c r="CB74" s="45" t="n">
        <f aca="false">BU74*BY74</f>
        <v>0</v>
      </c>
      <c r="CC74" s="45" t="n">
        <f aca="false">BU74*BZ74</f>
        <v>0</v>
      </c>
      <c r="CD74" s="45" t="n">
        <f aca="false">BU74*CA74</f>
        <v>0</v>
      </c>
    </row>
    <row r="75" customFormat="false" ht="12.75" hidden="false" customHeight="false" outlineLevel="0" collapsed="false">
      <c r="A75" s="48" t="n">
        <f aca="false">DATE(YEAR(A74),MONTH(A74)+1,1)</f>
        <v>38139</v>
      </c>
      <c r="B75" s="40" t="n">
        <f aca="false">VLOOKUP(A75,STRADDLE,5,FALSE())</f>
        <v>3.099</v>
      </c>
      <c r="C75" s="4" t="n">
        <f aca="false">VLOOKUP(A75,STRADDLE,8,FALSE())</f>
        <v>0.2575</v>
      </c>
      <c r="D75" s="40" t="n">
        <f aca="false">IF(D$28="nymex",0,VLOOKUP($A75,curvesettle,HLOOKUP(D$28,curvesettle,2,FALSE())))</f>
        <v>0.395</v>
      </c>
      <c r="E75" s="131" t="n">
        <f aca="false">IF(ISNUMBER(VLOOKUP($A75,VOLCURVES,HLOOKUP(D$28,VOLCURVES,2,FALSE()),FALSE())),VLOOKUP($A75,VOLCURVES,HLOOKUP(D$28,VOLCURVES,2,FALSE()),FALSE()),1)</f>
        <v>0.98</v>
      </c>
      <c r="F75" s="136" t="n">
        <f aca="false">IF(D$28="NYMEX",$AG75,$AF75)</f>
        <v>-7793</v>
      </c>
      <c r="G75" s="4" t="e">
        <f aca="false">(($C75+H75)*$E75)+B$15</f>
        <v>#DIV/0!</v>
      </c>
      <c r="H75" s="4" t="e">
        <f aca="false">IF($B$16=1,VLOOKUP($A75,SkewTable,HLOOKUP(ROUND(I75-AO75,1),SkewTable,2,FALSE()),FALSE())/100,0)</f>
        <v>#DIV/0!</v>
      </c>
      <c r="I75" s="41" t="n">
        <f aca="false">IF($B$19=4,$AO75,$B$18)</f>
        <v>12</v>
      </c>
      <c r="K75" s="40" t="n">
        <f aca="false">IF(K$28="nymex",0,VLOOKUP($A75,curvesettle,HLOOKUP(K$28,curvesettle,2,FALSE())))</f>
        <v>-0.017</v>
      </c>
      <c r="L75" s="131" t="n">
        <f aca="false">IF(ISNUMBER(VLOOKUP($A75,VOLCURVES,HLOOKUP(K$28,VOLCURVES,2,FALSE()),FALSE())),VLOOKUP($A75,VOLCURVES,HLOOKUP(K$28,VOLCURVES,2,FALSE()),FALSE()),1)</f>
        <v>1</v>
      </c>
      <c r="M75" s="136" t="n">
        <f aca="false">IF(K$28="NYMEX",$AG75,$AF75)</f>
        <v>-7793</v>
      </c>
      <c r="N75" s="153" t="e">
        <f aca="false">(($C75+O75)*$L75)+D$15</f>
        <v>#DIV/0!</v>
      </c>
      <c r="O75" s="4" t="e">
        <f aca="false">IF($D$16=1,VLOOKUP($A75,SkewTable,HLOOKUP(ROUND(P75-AZ75,1),SkewTable,2,FALSE()),FALSE())/100,0)</f>
        <v>#DIV/0!</v>
      </c>
      <c r="P75" s="41" t="n">
        <f aca="false">IF($D$19=4,$AZ75,$D$18)</f>
        <v>3.75</v>
      </c>
      <c r="R75" s="40" t="n">
        <f aca="false">IF(R$28="nymex",0,VLOOKUP($A75,curvesettle,HLOOKUP(R$28,curvesettle,2,FALSE())))</f>
        <v>-0.017</v>
      </c>
      <c r="S75" s="131" t="n">
        <f aca="false">IF(ISNUMBER(VLOOKUP($A75,VOLCURVES,HLOOKUP(R$28,VOLCURVES,2,FALSE()),FALSE())),VLOOKUP($A75,VOLCURVES,HLOOKUP(R$28,VOLCURVES,2,FALSE()),FALSE()),1)</f>
        <v>1</v>
      </c>
      <c r="T75" s="136" t="n">
        <f aca="false">IF(R$28="NYMEX",$AG75,$AF75)</f>
        <v>-7793</v>
      </c>
      <c r="U75" s="153" t="e">
        <f aca="false">(($C75+V75)*$S75)+F$15</f>
        <v>#DIV/0!</v>
      </c>
      <c r="V75" s="4" t="e">
        <f aca="false">IF($F$16=1,VLOOKUP($A75,SkewTable,HLOOKUP(ROUND(W75-BK75,1),SkewTable,2,FALSE()),FALSE())/100,0)</f>
        <v>#DIV/0!</v>
      </c>
      <c r="W75" s="41" t="n">
        <f aca="false">IF($F$19=4,$BK75,$F$18)</f>
        <v>3.5</v>
      </c>
      <c r="X75" s="136"/>
      <c r="Y75" s="40" t="n">
        <f aca="false">IF(Y$28="nymex",0,VLOOKUP($A75,curvesettle,HLOOKUP(Y$28,curvesettle,2,FALSE())))</f>
        <v>-0.345</v>
      </c>
      <c r="Z75" s="131" t="n">
        <f aca="false">IF(ISNUMBER(VLOOKUP($A75,VOLCURVES,HLOOKUP(Y$28,VOLCURVES,2,FALSE()),FALSE())),VLOOKUP($A75,VOLCURVES,HLOOKUP(Y$28,VOLCURVES,2,FALSE()),FALSE()),1)</f>
        <v>1</v>
      </c>
      <c r="AA75" s="136" t="n">
        <f aca="false">IF(Y$28="NYMEX",$AG75,$AF75)</f>
        <v>-7793</v>
      </c>
      <c r="AB75" s="4" t="e">
        <f aca="false">(($C75+AC75)*$Z75)+H$15</f>
        <v>#DIV/0!</v>
      </c>
      <c r="AC75" s="4" t="e">
        <f aca="false">IF($H$16=1,VLOOKUP($A75,SkewTable,HLOOKUP(ROUND(AD75-BV75,1),SkewTable,2,FALSE()),FALSE())/100,0)</f>
        <v>#DIV/0!</v>
      </c>
      <c r="AD75" s="41" t="n">
        <f aca="false">IF($H$19=4,$BV75,$H$18)</f>
        <v>3</v>
      </c>
      <c r="AF75" s="136" t="n">
        <f aca="false">VLOOKUP($A75,expiration,2,FALSE())-$B$2</f>
        <v>-7793</v>
      </c>
      <c r="AG75" s="136" t="n">
        <f aca="false">VLOOKUP($A75,expiration,3,FALSE())-$B$2</f>
        <v>-7794</v>
      </c>
      <c r="AH75" s="4" t="n">
        <f aca="false">VLOOKUP($A75,STRADDLE,12,FALSE())</f>
        <v>0.067499564848703</v>
      </c>
      <c r="AI75" s="43" t="n">
        <f aca="false">A76-A75</f>
        <v>30</v>
      </c>
      <c r="AL75" s="136"/>
      <c r="AM75" s="9"/>
      <c r="AN75" s="9" t="n">
        <f aca="false">IF($A75&gt;=AO$25,IF($A75&lt;=AO$26,$AI75,0),0)</f>
        <v>0</v>
      </c>
      <c r="AO75" s="9" t="e">
        <f aca="false">AQ75/AN75</f>
        <v>#DIV/0!</v>
      </c>
      <c r="AP75" s="1" t="n">
        <f aca="false">AN75*($B75+B$13)</f>
        <v>0</v>
      </c>
      <c r="AQ75" s="33" t="n">
        <f aca="false">IF(ISNUMBER(((AP75/AN75)+B$14+$D75)*AN75),((AP75/AN75)+B$14+$D75)*AN75,0)</f>
        <v>0</v>
      </c>
      <c r="AR75" s="44" t="n">
        <f aca="false">IF(AN75=0,0,bsd(1,AS$27,AO75,$I75,$F75,$G75,$AH75,0.1))</f>
        <v>0</v>
      </c>
      <c r="AS75" s="44" t="n">
        <f aca="false">IF(AN75=0,0,bsd(2,AS$27,AO75,$I75,$F75,$G75,$AH75,0.1))</f>
        <v>0</v>
      </c>
      <c r="AT75" s="44" t="n">
        <f aca="false">IF(AN75=0,0,bsd(AS$28,AS$27,AO75,$I75,$F75,$G75,$AH75,0.1))</f>
        <v>0</v>
      </c>
      <c r="AU75" s="45" t="n">
        <f aca="false">AN75*AR75</f>
        <v>0</v>
      </c>
      <c r="AV75" s="45" t="n">
        <f aca="false">AN75*AS75</f>
        <v>0</v>
      </c>
      <c r="AW75" s="45" t="n">
        <f aca="false">AN75*AT75</f>
        <v>0</v>
      </c>
      <c r="AY75" s="9" t="n">
        <f aca="false">IF($A75&gt;=AZ$25,IF($A75&lt;=AZ$26,$AI75,0),0)</f>
        <v>0</v>
      </c>
      <c r="AZ75" s="9" t="e">
        <f aca="false">BB75/AY75</f>
        <v>#DIV/0!</v>
      </c>
      <c r="BA75" s="1" t="n">
        <f aca="false">AY75*($B75+D$13)</f>
        <v>0</v>
      </c>
      <c r="BB75" s="33" t="n">
        <f aca="false">IF(ISNUMBER(((BA75/AY75)+D$14+$K75)*AY75),((BA75/AY75)+D$14+$K75)*AY75,0)</f>
        <v>0</v>
      </c>
      <c r="BC75" s="44" t="n">
        <f aca="false">IF(AY75=0,0,bsd(1,BD$27,AZ75,$P75,$M75,$N75,$AH75,0.1))</f>
        <v>0</v>
      </c>
      <c r="BD75" s="44" t="n">
        <f aca="false">IF(AY75=0,0,bsd(2,BD$27,AZ75,$P75,$M75,$N75,$AH75,0.1))</f>
        <v>0</v>
      </c>
      <c r="BE75" s="44" t="n">
        <f aca="false">IF(AY75=0,0,bsd(BD$28,BD$27,AZ75,$P75,$M75,$N75,$AH75,0.1))</f>
        <v>0</v>
      </c>
      <c r="BF75" s="45" t="n">
        <f aca="false">AY75*BC75</f>
        <v>0</v>
      </c>
      <c r="BG75" s="45" t="n">
        <f aca="false">AY75*BD75</f>
        <v>0</v>
      </c>
      <c r="BH75" s="45" t="n">
        <f aca="false">AY75*BE75</f>
        <v>0</v>
      </c>
      <c r="BJ75" s="9" t="n">
        <f aca="false">IF($A75&gt;=BK$25,IF($A75&lt;=BK$26,$AI75,0),0)</f>
        <v>0</v>
      </c>
      <c r="BK75" s="9" t="e">
        <f aca="false">BM75/BJ75</f>
        <v>#DIV/0!</v>
      </c>
      <c r="BL75" s="1" t="n">
        <f aca="false">BJ75*($B75+F$13)</f>
        <v>0</v>
      </c>
      <c r="BM75" s="33" t="n">
        <f aca="false">IF(ISNUMBER(((BL75/BJ75)+F$14+$R75)*BJ75),((BL75/BJ75)+F$14+$R75)*BJ75,0)</f>
        <v>0</v>
      </c>
      <c r="BN75" s="44" t="n">
        <f aca="false">IF(BJ75=0,0,bsd(1,BO$27,BK75,$W75,$T75,$U75,$AH75,0.1))</f>
        <v>0</v>
      </c>
      <c r="BO75" s="44" t="n">
        <f aca="false">IF(BJ75=0,0,bsd(2,BO$27,BK75,$W75,$T75,$U75,$AH75,0.1))</f>
        <v>0</v>
      </c>
      <c r="BP75" s="44" t="n">
        <f aca="false">IF(BJ75=0,0,bsd(BO$28,BO$27,BK75,$W75,$T75,$U75,$AH75,0.1))</f>
        <v>0</v>
      </c>
      <c r="BQ75" s="45" t="n">
        <f aca="false">BJ75*BN75</f>
        <v>0</v>
      </c>
      <c r="BR75" s="45" t="n">
        <f aca="false">BJ75*BO75</f>
        <v>0</v>
      </c>
      <c r="BS75" s="45" t="n">
        <f aca="false">BJ75*BP75</f>
        <v>0</v>
      </c>
      <c r="BU75" s="9" t="n">
        <f aca="false">IF($A75&gt;=BV$25,IF($A75&lt;=BV$26,$AI75,0),0)</f>
        <v>0</v>
      </c>
      <c r="BV75" s="9" t="e">
        <f aca="false">BX75/BU75</f>
        <v>#DIV/0!</v>
      </c>
      <c r="BW75" s="1" t="n">
        <f aca="false">BU75*($B75+H$13)</f>
        <v>0</v>
      </c>
      <c r="BX75" s="33" t="n">
        <f aca="false">IF(ISNUMBER(((BW75/BU75)+H$14+$Y75)*BU75),((BW75/BU75)+H$14+$Y75)*BU75,0)</f>
        <v>0</v>
      </c>
      <c r="BY75" s="44" t="n">
        <f aca="false">IF(BU75=0,0,bsd(1,BZ$27,BV75,$AD75,$AA75,$AB75,$AH75,0.1))</f>
        <v>0</v>
      </c>
      <c r="BZ75" s="44" t="n">
        <f aca="false">IF(BU75=0,0,bsd(2,BZ$27,BV75,$AD75,$AA75,$AB75,$AH75,0.1))</f>
        <v>0</v>
      </c>
      <c r="CA75" s="44" t="n">
        <f aca="false">IF(BU75=0,0,bsd(BZ$28,BZ$27,BV75,$AD75,$AA75,$AB75,$AH75,0.1))</f>
        <v>0</v>
      </c>
      <c r="CB75" s="45" t="n">
        <f aca="false">BU75*BY75</f>
        <v>0</v>
      </c>
      <c r="CC75" s="45" t="n">
        <f aca="false">BU75*BZ75</f>
        <v>0</v>
      </c>
      <c r="CD75" s="45" t="n">
        <f aca="false">BU75*CA75</f>
        <v>0</v>
      </c>
    </row>
    <row r="76" customFormat="false" ht="12.75" hidden="false" customHeight="false" outlineLevel="0" collapsed="false">
      <c r="A76" s="48" t="n">
        <f aca="false">DATE(YEAR(A75),MONTH(A75)+1,1)</f>
        <v>38169</v>
      </c>
      <c r="B76" s="40" t="n">
        <f aca="false">VLOOKUP(A76,STRADDLE,5,FALSE())</f>
        <v>3.107</v>
      </c>
      <c r="C76" s="4" t="n">
        <f aca="false">VLOOKUP(A76,STRADDLE,8,FALSE())</f>
        <v>0.255</v>
      </c>
      <c r="D76" s="40" t="n">
        <f aca="false">IF(D$28="nymex",0,VLOOKUP($A76,curvesettle,HLOOKUP(D$28,curvesettle,2,FALSE())))</f>
        <v>0.43</v>
      </c>
      <c r="E76" s="131" t="n">
        <f aca="false">IF(ISNUMBER(VLOOKUP($A76,VOLCURVES,HLOOKUP(D$28,VOLCURVES,2,FALSE()),FALSE())),VLOOKUP($A76,VOLCURVES,HLOOKUP(D$28,VOLCURVES,2,FALSE()),FALSE()),1)</f>
        <v>0.98</v>
      </c>
      <c r="F76" s="136" t="n">
        <f aca="false">IF(D$28="NYMEX",$AG76,$AF76)</f>
        <v>-7760</v>
      </c>
      <c r="G76" s="4" t="e">
        <f aca="false">(($C76+H76)*$E76)+B$15</f>
        <v>#DIV/0!</v>
      </c>
      <c r="H76" s="4" t="e">
        <f aca="false">IF($B$16=1,VLOOKUP($A76,SkewTable,HLOOKUP(ROUND(I76-AO76,1),SkewTable,2,FALSE()),FALSE())/100,0)</f>
        <v>#DIV/0!</v>
      </c>
      <c r="I76" s="41" t="n">
        <f aca="false">IF($B$19=4,$AO76,$B$18)</f>
        <v>12</v>
      </c>
      <c r="K76" s="40" t="n">
        <f aca="false">IF(K$28="nymex",0,VLOOKUP($A76,curvesettle,HLOOKUP(K$28,curvesettle,2,FALSE())))</f>
        <v>-0.017</v>
      </c>
      <c r="L76" s="131" t="n">
        <f aca="false">IF(ISNUMBER(VLOOKUP($A76,VOLCURVES,HLOOKUP(K$28,VOLCURVES,2,FALSE()),FALSE())),VLOOKUP($A76,VOLCURVES,HLOOKUP(K$28,VOLCURVES,2,FALSE()),FALSE()),1)</f>
        <v>1</v>
      </c>
      <c r="M76" s="136" t="n">
        <f aca="false">IF(K$28="NYMEX",$AG76,$AF76)</f>
        <v>-7760</v>
      </c>
      <c r="N76" s="153" t="e">
        <f aca="false">(($C76+O76)*$L76)+D$15</f>
        <v>#DIV/0!</v>
      </c>
      <c r="O76" s="4" t="e">
        <f aca="false">IF($D$16=1,VLOOKUP($A76,SkewTable,HLOOKUP(ROUND(P76-AZ76,1),SkewTable,2,FALSE()),FALSE())/100,0)</f>
        <v>#DIV/0!</v>
      </c>
      <c r="P76" s="41" t="n">
        <f aca="false">IF($D$19=4,$AZ76,$D$18)</f>
        <v>3.75</v>
      </c>
      <c r="R76" s="40" t="n">
        <f aca="false">IF(R$28="nymex",0,VLOOKUP($A76,curvesettle,HLOOKUP(R$28,curvesettle,2,FALSE())))</f>
        <v>-0.017</v>
      </c>
      <c r="S76" s="131" t="n">
        <f aca="false">IF(ISNUMBER(VLOOKUP($A76,VOLCURVES,HLOOKUP(R$28,VOLCURVES,2,FALSE()),FALSE())),VLOOKUP($A76,VOLCURVES,HLOOKUP(R$28,VOLCURVES,2,FALSE()),FALSE()),1)</f>
        <v>1</v>
      </c>
      <c r="T76" s="136" t="n">
        <f aca="false">IF(R$28="NYMEX",$AG76,$AF76)</f>
        <v>-7760</v>
      </c>
      <c r="U76" s="153" t="e">
        <f aca="false">(($C76+V76)*$S76)+F$15</f>
        <v>#DIV/0!</v>
      </c>
      <c r="V76" s="4" t="e">
        <f aca="false">IF($F$16=1,VLOOKUP($A76,SkewTable,HLOOKUP(ROUND(W76-BK76,1),SkewTable,2,FALSE()),FALSE())/100,0)</f>
        <v>#DIV/0!</v>
      </c>
      <c r="W76" s="41" t="n">
        <f aca="false">IF($F$19=4,$BK76,$F$18)</f>
        <v>3.5</v>
      </c>
      <c r="X76" s="136"/>
      <c r="Y76" s="40" t="n">
        <f aca="false">IF(Y$28="nymex",0,VLOOKUP($A76,curvesettle,HLOOKUP(Y$28,curvesettle,2,FALSE())))</f>
        <v>-0.345</v>
      </c>
      <c r="Z76" s="131" t="n">
        <f aca="false">IF(ISNUMBER(VLOOKUP($A76,VOLCURVES,HLOOKUP(Y$28,VOLCURVES,2,FALSE()),FALSE())),VLOOKUP($A76,VOLCURVES,HLOOKUP(Y$28,VOLCURVES,2,FALSE()),FALSE()),1)</f>
        <v>1</v>
      </c>
      <c r="AA76" s="136" t="n">
        <f aca="false">IF(Y$28="NYMEX",$AG76,$AF76)</f>
        <v>-7760</v>
      </c>
      <c r="AB76" s="4" t="e">
        <f aca="false">(($C76+AC76)*$Z76)+H$15</f>
        <v>#DIV/0!</v>
      </c>
      <c r="AC76" s="4" t="e">
        <f aca="false">IF($H$16=1,VLOOKUP($A76,SkewTable,HLOOKUP(ROUND(AD76-BV76,1),SkewTable,2,FALSE()),FALSE())/100,0)</f>
        <v>#DIV/0!</v>
      </c>
      <c r="AD76" s="41" t="n">
        <f aca="false">IF($H$19=4,$BV76,$H$18)</f>
        <v>3</v>
      </c>
      <c r="AF76" s="136" t="n">
        <f aca="false">VLOOKUP($A76,expiration,2,FALSE())-$B$2</f>
        <v>-7760</v>
      </c>
      <c r="AG76" s="136" t="n">
        <f aca="false">VLOOKUP($A76,expiration,3,FALSE())-$B$2</f>
        <v>-7763</v>
      </c>
      <c r="AH76" s="4" t="n">
        <f aca="false">VLOOKUP($A76,STRADDLE,12,FALSE())</f>
        <v>0.06753426580475</v>
      </c>
      <c r="AI76" s="43" t="n">
        <f aca="false">A77-A76</f>
        <v>31</v>
      </c>
      <c r="AL76" s="136"/>
      <c r="AM76" s="9"/>
      <c r="AN76" s="9" t="n">
        <f aca="false">IF($A76&gt;=AO$25,IF($A76&lt;=AO$26,$AI76,0),0)</f>
        <v>0</v>
      </c>
      <c r="AO76" s="9" t="e">
        <f aca="false">AQ76/AN76</f>
        <v>#DIV/0!</v>
      </c>
      <c r="AP76" s="1" t="n">
        <f aca="false">AN76*($B76+B$13)</f>
        <v>0</v>
      </c>
      <c r="AQ76" s="33" t="n">
        <f aca="false">IF(ISNUMBER(((AP76/AN76)+B$14+$D76)*AN76),((AP76/AN76)+B$14+$D76)*AN76,0)</f>
        <v>0</v>
      </c>
      <c r="AR76" s="44" t="n">
        <f aca="false">IF(AN76=0,0,bsd(1,AS$27,AO76,$I76,$F76,$G76,$AH76,0.1))</f>
        <v>0</v>
      </c>
      <c r="AS76" s="44" t="n">
        <f aca="false">IF(AN76=0,0,bsd(2,AS$27,AO76,$I76,$F76,$G76,$AH76,0.1))</f>
        <v>0</v>
      </c>
      <c r="AT76" s="44" t="n">
        <f aca="false">IF(AN76=0,0,bsd(AS$28,AS$27,AO76,$I76,$F76,$G76,$AH76,0.1))</f>
        <v>0</v>
      </c>
      <c r="AU76" s="45" t="n">
        <f aca="false">AN76*AR76</f>
        <v>0</v>
      </c>
      <c r="AV76" s="45" t="n">
        <f aca="false">AN76*AS76</f>
        <v>0</v>
      </c>
      <c r="AW76" s="45" t="n">
        <f aca="false">AN76*AT76</f>
        <v>0</v>
      </c>
      <c r="AY76" s="9" t="n">
        <f aca="false">IF($A76&gt;=AZ$25,IF($A76&lt;=AZ$26,$AI76,0),0)</f>
        <v>0</v>
      </c>
      <c r="AZ76" s="9" t="e">
        <f aca="false">BB76/AY76</f>
        <v>#DIV/0!</v>
      </c>
      <c r="BA76" s="1" t="n">
        <f aca="false">AY76*($B76+D$13)</f>
        <v>0</v>
      </c>
      <c r="BB76" s="33" t="n">
        <f aca="false">IF(ISNUMBER(((BA76/AY76)+D$14+$K76)*AY76),((BA76/AY76)+D$14+$K76)*AY76,0)</f>
        <v>0</v>
      </c>
      <c r="BC76" s="44" t="n">
        <f aca="false">IF(AY76=0,0,bsd(1,BD$27,AZ76,$P76,$M76,$N76,$AH76,0.1))</f>
        <v>0</v>
      </c>
      <c r="BD76" s="44" t="n">
        <f aca="false">IF(AY76=0,0,bsd(2,BD$27,AZ76,$P76,$M76,$N76,$AH76,0.1))</f>
        <v>0</v>
      </c>
      <c r="BE76" s="44" t="n">
        <f aca="false">IF(AY76=0,0,bsd(BD$28,BD$27,AZ76,$P76,$M76,$N76,$AH76,0.1))</f>
        <v>0</v>
      </c>
      <c r="BF76" s="45" t="n">
        <f aca="false">AY76*BC76</f>
        <v>0</v>
      </c>
      <c r="BG76" s="45" t="n">
        <f aca="false">AY76*BD76</f>
        <v>0</v>
      </c>
      <c r="BH76" s="45" t="n">
        <f aca="false">AY76*BE76</f>
        <v>0</v>
      </c>
      <c r="BJ76" s="9" t="n">
        <f aca="false">IF($A76&gt;=BK$25,IF($A76&lt;=BK$26,$AI76,0),0)</f>
        <v>0</v>
      </c>
      <c r="BK76" s="9" t="e">
        <f aca="false">BM76/BJ76</f>
        <v>#DIV/0!</v>
      </c>
      <c r="BL76" s="1" t="n">
        <f aca="false">BJ76*($B76+F$13)</f>
        <v>0</v>
      </c>
      <c r="BM76" s="33" t="n">
        <f aca="false">IF(ISNUMBER(((BL76/BJ76)+F$14+$R76)*BJ76),((BL76/BJ76)+F$14+$R76)*BJ76,0)</f>
        <v>0</v>
      </c>
      <c r="BN76" s="44" t="n">
        <f aca="false">IF(BJ76=0,0,bsd(1,BO$27,BK76,$W76,$T76,$U76,$AH76,0.1))</f>
        <v>0</v>
      </c>
      <c r="BO76" s="44" t="n">
        <f aca="false">IF(BJ76=0,0,bsd(2,BO$27,BK76,$W76,$T76,$U76,$AH76,0.1))</f>
        <v>0</v>
      </c>
      <c r="BP76" s="44" t="n">
        <f aca="false">IF(BJ76=0,0,bsd(BO$28,BO$27,BK76,$W76,$T76,$U76,$AH76,0.1))</f>
        <v>0</v>
      </c>
      <c r="BQ76" s="45" t="n">
        <f aca="false">BJ76*BN76</f>
        <v>0</v>
      </c>
      <c r="BR76" s="45" t="n">
        <f aca="false">BJ76*BO76</f>
        <v>0</v>
      </c>
      <c r="BS76" s="45" t="n">
        <f aca="false">BJ76*BP76</f>
        <v>0</v>
      </c>
      <c r="BU76" s="9" t="n">
        <f aca="false">IF($A76&gt;=BV$25,IF($A76&lt;=BV$26,$AI76,0),0)</f>
        <v>0</v>
      </c>
      <c r="BV76" s="9" t="e">
        <f aca="false">BX76/BU76</f>
        <v>#DIV/0!</v>
      </c>
      <c r="BW76" s="1" t="n">
        <f aca="false">BU76*($B76+H$13)</f>
        <v>0</v>
      </c>
      <c r="BX76" s="33" t="n">
        <f aca="false">IF(ISNUMBER(((BW76/BU76)+H$14+$Y76)*BU76),((BW76/BU76)+H$14+$Y76)*BU76,0)</f>
        <v>0</v>
      </c>
      <c r="BY76" s="44" t="n">
        <f aca="false">IF(BU76=0,0,bsd(1,BZ$27,BV76,$AD76,$AA76,$AB76,$AH76,0.1))</f>
        <v>0</v>
      </c>
      <c r="BZ76" s="44" t="n">
        <f aca="false">IF(BU76=0,0,bsd(2,BZ$27,BV76,$AD76,$AA76,$AB76,$AH76,0.1))</f>
        <v>0</v>
      </c>
      <c r="CA76" s="44" t="n">
        <f aca="false">IF(BU76=0,0,bsd(BZ$28,BZ$27,BV76,$AD76,$AA76,$AB76,$AH76,0.1))</f>
        <v>0</v>
      </c>
      <c r="CB76" s="45" t="n">
        <f aca="false">BU76*BY76</f>
        <v>0</v>
      </c>
      <c r="CC76" s="45" t="n">
        <f aca="false">BU76*BZ76</f>
        <v>0</v>
      </c>
      <c r="CD76" s="45" t="n">
        <f aca="false">BU76*CA76</f>
        <v>0</v>
      </c>
    </row>
    <row r="77" customFormat="false" ht="12.75" hidden="false" customHeight="false" outlineLevel="0" collapsed="false">
      <c r="A77" s="48" t="n">
        <f aca="false">DATE(YEAR(A76),MONTH(A76)+1,1)</f>
        <v>38200</v>
      </c>
      <c r="B77" s="40" t="n">
        <f aca="false">VLOOKUP(A77,STRADDLE,5,FALSE())</f>
        <v>3.114</v>
      </c>
      <c r="C77" s="4" t="n">
        <f aca="false">VLOOKUP(A77,STRADDLE,8,FALSE())</f>
        <v>0.255</v>
      </c>
      <c r="D77" s="40" t="n">
        <f aca="false">IF(D$28="nymex",0,VLOOKUP($A77,curvesettle,HLOOKUP(D$28,curvesettle,2,FALSE())))</f>
        <v>0.495</v>
      </c>
      <c r="E77" s="131" t="n">
        <f aca="false">IF(ISNUMBER(VLOOKUP($A77,VOLCURVES,HLOOKUP(D$28,VOLCURVES,2,FALSE()),FALSE())),VLOOKUP($A77,VOLCURVES,HLOOKUP(D$28,VOLCURVES,2,FALSE()),FALSE()),1)</f>
        <v>0.98</v>
      </c>
      <c r="F77" s="136" t="n">
        <f aca="false">IF(D$28="NYMEX",$AG77,$AF77)</f>
        <v>-7730</v>
      </c>
      <c r="G77" s="4" t="e">
        <f aca="false">(($C77+H77)*$E77)+B$15</f>
        <v>#DIV/0!</v>
      </c>
      <c r="H77" s="4" t="e">
        <f aca="false">IF($B$16=1,VLOOKUP($A77,SkewTable,HLOOKUP(ROUND(I77-AO77,1),SkewTable,2,FALSE()),FALSE())/100,0)</f>
        <v>#DIV/0!</v>
      </c>
      <c r="I77" s="41" t="n">
        <f aca="false">IF($B$19=4,$AO77,$B$18)</f>
        <v>12</v>
      </c>
      <c r="K77" s="40" t="n">
        <f aca="false">IF(K$28="nymex",0,VLOOKUP($A77,curvesettle,HLOOKUP(K$28,curvesettle,2,FALSE())))</f>
        <v>-0.017</v>
      </c>
      <c r="L77" s="131" t="n">
        <f aca="false">IF(ISNUMBER(VLOOKUP($A77,VOLCURVES,HLOOKUP(K$28,VOLCURVES,2,FALSE()),FALSE())),VLOOKUP($A77,VOLCURVES,HLOOKUP(K$28,VOLCURVES,2,FALSE()),FALSE()),1)</f>
        <v>1</v>
      </c>
      <c r="M77" s="136" t="n">
        <f aca="false">IF(K$28="NYMEX",$AG77,$AF77)</f>
        <v>-7730</v>
      </c>
      <c r="N77" s="153" t="e">
        <f aca="false">(($C77+O77)*$L77)+D$15</f>
        <v>#DIV/0!</v>
      </c>
      <c r="O77" s="4" t="e">
        <f aca="false">IF($D$16=1,VLOOKUP($A77,SkewTable,HLOOKUP(ROUND(P77-AZ77,1),SkewTable,2,FALSE()),FALSE())/100,0)</f>
        <v>#DIV/0!</v>
      </c>
      <c r="P77" s="41" t="n">
        <f aca="false">IF($D$19=4,$AZ77,$D$18)</f>
        <v>3.75</v>
      </c>
      <c r="R77" s="40" t="n">
        <f aca="false">IF(R$28="nymex",0,VLOOKUP($A77,curvesettle,HLOOKUP(R$28,curvesettle,2,FALSE())))</f>
        <v>-0.017</v>
      </c>
      <c r="S77" s="131" t="n">
        <f aca="false">IF(ISNUMBER(VLOOKUP($A77,VOLCURVES,HLOOKUP(R$28,VOLCURVES,2,FALSE()),FALSE())),VLOOKUP($A77,VOLCURVES,HLOOKUP(R$28,VOLCURVES,2,FALSE()),FALSE()),1)</f>
        <v>1</v>
      </c>
      <c r="T77" s="136" t="n">
        <f aca="false">IF(R$28="NYMEX",$AG77,$AF77)</f>
        <v>-7730</v>
      </c>
      <c r="U77" s="153" t="e">
        <f aca="false">(($C77+V77)*$S77)+F$15</f>
        <v>#DIV/0!</v>
      </c>
      <c r="V77" s="4" t="e">
        <f aca="false">IF($F$16=1,VLOOKUP($A77,SkewTable,HLOOKUP(ROUND(W77-BK77,1),SkewTable,2,FALSE()),FALSE())/100,0)</f>
        <v>#DIV/0!</v>
      </c>
      <c r="W77" s="41" t="n">
        <f aca="false">IF($F$19=4,$BK77,$F$18)</f>
        <v>3.5</v>
      </c>
      <c r="X77" s="136"/>
      <c r="Y77" s="40" t="n">
        <f aca="false">IF(Y$28="nymex",0,VLOOKUP($A77,curvesettle,HLOOKUP(Y$28,curvesettle,2,FALSE())))</f>
        <v>-0.345</v>
      </c>
      <c r="Z77" s="131" t="n">
        <f aca="false">IF(ISNUMBER(VLOOKUP($A77,VOLCURVES,HLOOKUP(Y$28,VOLCURVES,2,FALSE()),FALSE())),VLOOKUP($A77,VOLCURVES,HLOOKUP(Y$28,VOLCURVES,2,FALSE()),FALSE()),1)</f>
        <v>1</v>
      </c>
      <c r="AA77" s="136" t="n">
        <f aca="false">IF(Y$28="NYMEX",$AG77,$AF77)</f>
        <v>-7730</v>
      </c>
      <c r="AB77" s="4" t="e">
        <f aca="false">(($C77+AC77)*$Z77)+H$15</f>
        <v>#DIV/0!</v>
      </c>
      <c r="AC77" s="4" t="e">
        <f aca="false">IF($H$16=1,VLOOKUP($A77,SkewTable,HLOOKUP(ROUND(AD77-BV77,1),SkewTable,2,FALSE()),FALSE())/100,0)</f>
        <v>#DIV/0!</v>
      </c>
      <c r="AD77" s="41" t="n">
        <f aca="false">IF($H$19=4,$BV77,$H$18)</f>
        <v>3</v>
      </c>
      <c r="AF77" s="136" t="n">
        <f aca="false">VLOOKUP($A77,expiration,2,FALSE())-$B$2</f>
        <v>-7730</v>
      </c>
      <c r="AG77" s="136" t="n">
        <f aca="false">VLOOKUP($A77,expiration,3,FALSE())-$B$2</f>
        <v>-7731</v>
      </c>
      <c r="AH77" s="4" t="n">
        <f aca="false">VLOOKUP($A77,STRADDLE,12,FALSE())</f>
        <v>0.067585126257915</v>
      </c>
      <c r="AI77" s="43" t="n">
        <f aca="false">A78-A77</f>
        <v>31</v>
      </c>
      <c r="AL77" s="136"/>
      <c r="AM77" s="9"/>
      <c r="AN77" s="9" t="n">
        <f aca="false">IF($A77&gt;=AO$25,IF($A77&lt;=AO$26,$AI77,0),0)</f>
        <v>0</v>
      </c>
      <c r="AO77" s="9" t="e">
        <f aca="false">AQ77/AN77</f>
        <v>#DIV/0!</v>
      </c>
      <c r="AP77" s="1" t="n">
        <f aca="false">AN77*($B77+B$13)</f>
        <v>0</v>
      </c>
      <c r="AQ77" s="33" t="n">
        <f aca="false">IF(ISNUMBER(((AP77/AN77)+B$14+$D77)*AN77),((AP77/AN77)+B$14+$D77)*AN77,0)</f>
        <v>0</v>
      </c>
      <c r="AR77" s="44" t="n">
        <f aca="false">IF(AN77=0,0,bsd(1,AS$27,AO77,$I77,$F77,$G77,$AH77,0.1))</f>
        <v>0</v>
      </c>
      <c r="AS77" s="44" t="n">
        <f aca="false">IF(AN77=0,0,bsd(2,AS$27,AO77,$I77,$F77,$G77,$AH77,0.1))</f>
        <v>0</v>
      </c>
      <c r="AT77" s="44" t="n">
        <f aca="false">IF(AN77=0,0,bsd(AS$28,AS$27,AO77,$I77,$F77,$G77,$AH77,0.1))</f>
        <v>0</v>
      </c>
      <c r="AU77" s="45" t="n">
        <f aca="false">AN77*AR77</f>
        <v>0</v>
      </c>
      <c r="AV77" s="45" t="n">
        <f aca="false">AN77*AS77</f>
        <v>0</v>
      </c>
      <c r="AW77" s="45" t="n">
        <f aca="false">AN77*AT77</f>
        <v>0</v>
      </c>
      <c r="AY77" s="9" t="n">
        <f aca="false">IF($A77&gt;=AZ$25,IF($A77&lt;=AZ$26,$AI77,0),0)</f>
        <v>0</v>
      </c>
      <c r="AZ77" s="9" t="e">
        <f aca="false">BB77/AY77</f>
        <v>#DIV/0!</v>
      </c>
      <c r="BA77" s="1" t="n">
        <f aca="false">AY77*($B77+D$13)</f>
        <v>0</v>
      </c>
      <c r="BB77" s="33" t="n">
        <f aca="false">IF(ISNUMBER(((BA77/AY77)+D$14+$K77)*AY77),((BA77/AY77)+D$14+$K77)*AY77,0)</f>
        <v>0</v>
      </c>
      <c r="BC77" s="44" t="n">
        <f aca="false">IF(AY77=0,0,bsd(1,BD$27,AZ77,$P77,$M77,$N77,$AH77,0.1))</f>
        <v>0</v>
      </c>
      <c r="BD77" s="44" t="n">
        <f aca="false">IF(AY77=0,0,bsd(2,BD$27,AZ77,$P77,$M77,$N77,$AH77,0.1))</f>
        <v>0</v>
      </c>
      <c r="BE77" s="44" t="n">
        <f aca="false">IF(AY77=0,0,bsd(BD$28,BD$27,AZ77,$P77,$M77,$N77,$AH77,0.1))</f>
        <v>0</v>
      </c>
      <c r="BF77" s="45" t="n">
        <f aca="false">AY77*BC77</f>
        <v>0</v>
      </c>
      <c r="BG77" s="45" t="n">
        <f aca="false">AY77*BD77</f>
        <v>0</v>
      </c>
      <c r="BH77" s="45" t="n">
        <f aca="false">AY77*BE77</f>
        <v>0</v>
      </c>
      <c r="BJ77" s="9" t="n">
        <f aca="false">IF($A77&gt;=BK$25,IF($A77&lt;=BK$26,$AI77,0),0)</f>
        <v>0</v>
      </c>
      <c r="BK77" s="9" t="e">
        <f aca="false">BM77/BJ77</f>
        <v>#DIV/0!</v>
      </c>
      <c r="BL77" s="1" t="n">
        <f aca="false">BJ77*($B77+F$13)</f>
        <v>0</v>
      </c>
      <c r="BM77" s="33" t="n">
        <f aca="false">IF(ISNUMBER(((BL77/BJ77)+F$14+$R77)*BJ77),((BL77/BJ77)+F$14+$R77)*BJ77,0)</f>
        <v>0</v>
      </c>
      <c r="BN77" s="44" t="n">
        <f aca="false">IF(BJ77=0,0,bsd(1,BO$27,BK77,$W77,$T77,$U77,$AH77,0.1))</f>
        <v>0</v>
      </c>
      <c r="BO77" s="44" t="n">
        <f aca="false">IF(BJ77=0,0,bsd(2,BO$27,BK77,$W77,$T77,$U77,$AH77,0.1))</f>
        <v>0</v>
      </c>
      <c r="BP77" s="44" t="n">
        <f aca="false">IF(BJ77=0,0,bsd(BO$28,BO$27,BK77,$W77,$T77,$U77,$AH77,0.1))</f>
        <v>0</v>
      </c>
      <c r="BQ77" s="45" t="n">
        <f aca="false">BJ77*BN77</f>
        <v>0</v>
      </c>
      <c r="BR77" s="45" t="n">
        <f aca="false">BJ77*BO77</f>
        <v>0</v>
      </c>
      <c r="BS77" s="45" t="n">
        <f aca="false">BJ77*BP77</f>
        <v>0</v>
      </c>
      <c r="BU77" s="9" t="n">
        <f aca="false">IF($A77&gt;=BV$25,IF($A77&lt;=BV$26,$AI77,0),0)</f>
        <v>0</v>
      </c>
      <c r="BV77" s="9" t="e">
        <f aca="false">BX77/BU77</f>
        <v>#DIV/0!</v>
      </c>
      <c r="BW77" s="1" t="n">
        <f aca="false">BU77*($B77+H$13)</f>
        <v>0</v>
      </c>
      <c r="BX77" s="33" t="n">
        <f aca="false">IF(ISNUMBER(((BW77/BU77)+H$14+$Y77)*BU77),((BW77/BU77)+H$14+$Y77)*BU77,0)</f>
        <v>0</v>
      </c>
      <c r="BY77" s="44" t="n">
        <f aca="false">IF(BU77=0,0,bsd(1,BZ$27,BV77,$AD77,$AA77,$AB77,$AH77,0.1))</f>
        <v>0</v>
      </c>
      <c r="BZ77" s="44" t="n">
        <f aca="false">IF(BU77=0,0,bsd(2,BZ$27,BV77,$AD77,$AA77,$AB77,$AH77,0.1))</f>
        <v>0</v>
      </c>
      <c r="CA77" s="44" t="n">
        <f aca="false">IF(BU77=0,0,bsd(BZ$28,BZ$27,BV77,$AD77,$AA77,$AB77,$AH77,0.1))</f>
        <v>0</v>
      </c>
      <c r="CB77" s="45" t="n">
        <f aca="false">BU77*BY77</f>
        <v>0</v>
      </c>
      <c r="CC77" s="45" t="n">
        <f aca="false">BU77*BZ77</f>
        <v>0</v>
      </c>
      <c r="CD77" s="45" t="n">
        <f aca="false">BU77*CA77</f>
        <v>0</v>
      </c>
    </row>
    <row r="78" customFormat="false" ht="12.75" hidden="false" customHeight="false" outlineLevel="0" collapsed="false">
      <c r="A78" s="48" t="n">
        <f aca="false">DATE(YEAR(A77),MONTH(A77)+1,1)</f>
        <v>38231</v>
      </c>
      <c r="B78" s="40" t="n">
        <f aca="false">VLOOKUP(A78,STRADDLE,5,FALSE())</f>
        <v>3.103</v>
      </c>
      <c r="C78" s="4" t="n">
        <f aca="false">VLOOKUP(A78,STRADDLE,8,FALSE())</f>
        <v>0.255</v>
      </c>
      <c r="D78" s="40" t="n">
        <f aca="false">IF(D$28="nymex",0,VLOOKUP($A78,curvesettle,HLOOKUP(D$28,curvesettle,2,FALSE())))</f>
        <v>0.395</v>
      </c>
      <c r="E78" s="131" t="n">
        <f aca="false">IF(ISNUMBER(VLOOKUP($A78,VOLCURVES,HLOOKUP(D$28,VOLCURVES,2,FALSE()),FALSE())),VLOOKUP($A78,VOLCURVES,HLOOKUP(D$28,VOLCURVES,2,FALSE()),FALSE()),1)</f>
        <v>0.98</v>
      </c>
      <c r="F78" s="136" t="n">
        <f aca="false">IF(D$28="NYMEX",$AG78,$AF78)</f>
        <v>-7700</v>
      </c>
      <c r="G78" s="4" t="e">
        <f aca="false">(($C78+H78)*$E78)+B$15</f>
        <v>#DIV/0!</v>
      </c>
      <c r="H78" s="4" t="e">
        <f aca="false">IF($B$16=1,VLOOKUP($A78,SkewTable,HLOOKUP(ROUND(I78-AO78,1),SkewTable,2,FALSE()),FALSE())/100,0)</f>
        <v>#DIV/0!</v>
      </c>
      <c r="I78" s="41" t="n">
        <f aca="false">IF($B$19=4,$AO78,$B$18)</f>
        <v>12</v>
      </c>
      <c r="K78" s="40" t="n">
        <f aca="false">IF(K$28="nymex",0,VLOOKUP($A78,curvesettle,HLOOKUP(K$28,curvesettle,2,FALSE())))</f>
        <v>-0.017</v>
      </c>
      <c r="L78" s="131" t="n">
        <f aca="false">IF(ISNUMBER(VLOOKUP($A78,VOLCURVES,HLOOKUP(K$28,VOLCURVES,2,FALSE()),FALSE())),VLOOKUP($A78,VOLCURVES,HLOOKUP(K$28,VOLCURVES,2,FALSE()),FALSE()),1)</f>
        <v>1</v>
      </c>
      <c r="M78" s="136" t="n">
        <f aca="false">IF(K$28="NYMEX",$AG78,$AF78)</f>
        <v>-7700</v>
      </c>
      <c r="N78" s="153" t="e">
        <f aca="false">(($C78+O78)*$L78)+D$15</f>
        <v>#DIV/0!</v>
      </c>
      <c r="O78" s="4" t="e">
        <f aca="false">IF($D$16=1,VLOOKUP($A78,SkewTable,HLOOKUP(ROUND(P78-AZ78,1),SkewTable,2,FALSE()),FALSE())/100,0)</f>
        <v>#DIV/0!</v>
      </c>
      <c r="P78" s="41" t="n">
        <f aca="false">IF($D$19=4,$AZ78,$D$18)</f>
        <v>3.75</v>
      </c>
      <c r="R78" s="40" t="n">
        <f aca="false">IF(R$28="nymex",0,VLOOKUP($A78,curvesettle,HLOOKUP(R$28,curvesettle,2,FALSE())))</f>
        <v>-0.017</v>
      </c>
      <c r="S78" s="131" t="n">
        <f aca="false">IF(ISNUMBER(VLOOKUP($A78,VOLCURVES,HLOOKUP(R$28,VOLCURVES,2,FALSE()),FALSE())),VLOOKUP($A78,VOLCURVES,HLOOKUP(R$28,VOLCURVES,2,FALSE()),FALSE()),1)</f>
        <v>1</v>
      </c>
      <c r="T78" s="136" t="n">
        <f aca="false">IF(R$28="NYMEX",$AG78,$AF78)</f>
        <v>-7700</v>
      </c>
      <c r="U78" s="153" t="e">
        <f aca="false">(($C78+V78)*$S78)+F$15</f>
        <v>#DIV/0!</v>
      </c>
      <c r="V78" s="4" t="e">
        <f aca="false">IF($F$16=1,VLOOKUP($A78,SkewTable,HLOOKUP(ROUND(W78-BK78,1),SkewTable,2,FALSE()),FALSE())/100,0)</f>
        <v>#DIV/0!</v>
      </c>
      <c r="W78" s="41" t="n">
        <f aca="false">IF($F$19=4,$BK78,$F$18)</f>
        <v>3.5</v>
      </c>
      <c r="X78" s="136"/>
      <c r="Y78" s="40" t="n">
        <f aca="false">IF(Y$28="nymex",0,VLOOKUP($A78,curvesettle,HLOOKUP(Y$28,curvesettle,2,FALSE())))</f>
        <v>-0.345</v>
      </c>
      <c r="Z78" s="131" t="n">
        <f aca="false">IF(ISNUMBER(VLOOKUP($A78,VOLCURVES,HLOOKUP(Y$28,VOLCURVES,2,FALSE()),FALSE())),VLOOKUP($A78,VOLCURVES,HLOOKUP(Y$28,VOLCURVES,2,FALSE()),FALSE()),1)</f>
        <v>1</v>
      </c>
      <c r="AA78" s="136" t="n">
        <f aca="false">IF(Y$28="NYMEX",$AG78,$AF78)</f>
        <v>-7700</v>
      </c>
      <c r="AB78" s="4" t="e">
        <f aca="false">(($C78+AC78)*$Z78)+H$15</f>
        <v>#DIV/0!</v>
      </c>
      <c r="AC78" s="4" t="e">
        <f aca="false">IF($H$16=1,VLOOKUP($A78,SkewTable,HLOOKUP(ROUND(AD78-BV78,1),SkewTable,2,FALSE()),FALSE())/100,0)</f>
        <v>#DIV/0!</v>
      </c>
      <c r="AD78" s="41" t="n">
        <f aca="false">IF($H$19=4,$BV78,$H$18)</f>
        <v>3</v>
      </c>
      <c r="AF78" s="136" t="n">
        <f aca="false">VLOOKUP($A78,expiration,2,FALSE())-$B$2</f>
        <v>-7700</v>
      </c>
      <c r="AG78" s="136" t="n">
        <f aca="false">VLOOKUP($A78,expiration,3,FALSE())-$B$2</f>
        <v>-7701</v>
      </c>
      <c r="AH78" s="4" t="n">
        <f aca="false">VLOOKUP($A78,STRADDLE,12,FALSE())</f>
        <v>0.067635986711935</v>
      </c>
      <c r="AI78" s="43" t="n">
        <f aca="false">A79-A78</f>
        <v>30</v>
      </c>
      <c r="AL78" s="136"/>
      <c r="AM78" s="9"/>
      <c r="AN78" s="9" t="n">
        <f aca="false">IF($A78&gt;=AO$25,IF($A78&lt;=AO$26,$AI78,0),0)</f>
        <v>0</v>
      </c>
      <c r="AO78" s="9" t="e">
        <f aca="false">AQ78/AN78</f>
        <v>#DIV/0!</v>
      </c>
      <c r="AP78" s="1" t="n">
        <f aca="false">AN78*($B78+B$13)</f>
        <v>0</v>
      </c>
      <c r="AQ78" s="33" t="n">
        <f aca="false">IF(ISNUMBER(((AP78/AN78)+B$14+$D78)*AN78),((AP78/AN78)+B$14+$D78)*AN78,0)</f>
        <v>0</v>
      </c>
      <c r="AR78" s="44" t="n">
        <f aca="false">IF(AN78=0,0,bsd(1,AS$27,AO78,$I78,$F78,$G78,$AH78,0.1))</f>
        <v>0</v>
      </c>
      <c r="AS78" s="44" t="n">
        <f aca="false">IF(AN78=0,0,bsd(2,AS$27,AO78,$I78,$F78,$G78,$AH78,0.1))</f>
        <v>0</v>
      </c>
      <c r="AT78" s="44" t="n">
        <f aca="false">IF(AN78=0,0,bsd(AS$28,AS$27,AO78,$I78,$F78,$G78,$AH78,0.1))</f>
        <v>0</v>
      </c>
      <c r="AU78" s="45" t="n">
        <f aca="false">AN78*AR78</f>
        <v>0</v>
      </c>
      <c r="AV78" s="45" t="n">
        <f aca="false">AN78*AS78</f>
        <v>0</v>
      </c>
      <c r="AW78" s="45" t="n">
        <f aca="false">AN78*AT78</f>
        <v>0</v>
      </c>
      <c r="AY78" s="9" t="n">
        <f aca="false">IF($A78&gt;=AZ$25,IF($A78&lt;=AZ$26,$AI78,0),0)</f>
        <v>0</v>
      </c>
      <c r="AZ78" s="9" t="e">
        <f aca="false">BB78/AY78</f>
        <v>#DIV/0!</v>
      </c>
      <c r="BA78" s="1" t="n">
        <f aca="false">AY78*($B78+D$13)</f>
        <v>0</v>
      </c>
      <c r="BB78" s="33" t="n">
        <f aca="false">IF(ISNUMBER(((BA78/AY78)+D$14+$K78)*AY78),((BA78/AY78)+D$14+$K78)*AY78,0)</f>
        <v>0</v>
      </c>
      <c r="BC78" s="44" t="n">
        <f aca="false">IF(AY78=0,0,bsd(1,BD$27,AZ78,$P78,$M78,$N78,$AH78,0.1))</f>
        <v>0</v>
      </c>
      <c r="BD78" s="44" t="n">
        <f aca="false">IF(AY78=0,0,bsd(2,BD$27,AZ78,$P78,$M78,$N78,$AH78,0.1))</f>
        <v>0</v>
      </c>
      <c r="BE78" s="44" t="n">
        <f aca="false">IF(AY78=0,0,bsd(BD$28,BD$27,AZ78,$P78,$M78,$N78,$AH78,0.1))</f>
        <v>0</v>
      </c>
      <c r="BF78" s="45" t="n">
        <f aca="false">AY78*BC78</f>
        <v>0</v>
      </c>
      <c r="BG78" s="45" t="n">
        <f aca="false">AY78*BD78</f>
        <v>0</v>
      </c>
      <c r="BH78" s="45" t="n">
        <f aca="false">AY78*BE78</f>
        <v>0</v>
      </c>
      <c r="BJ78" s="9" t="n">
        <f aca="false">IF($A78&gt;=BK$25,IF($A78&lt;=BK$26,$AI78,0),0)</f>
        <v>0</v>
      </c>
      <c r="BK78" s="9" t="e">
        <f aca="false">BM78/BJ78</f>
        <v>#DIV/0!</v>
      </c>
      <c r="BL78" s="1" t="n">
        <f aca="false">BJ78*($B78+F$13)</f>
        <v>0</v>
      </c>
      <c r="BM78" s="33" t="n">
        <f aca="false">IF(ISNUMBER(((BL78/BJ78)+F$14+$R78)*BJ78),((BL78/BJ78)+F$14+$R78)*BJ78,0)</f>
        <v>0</v>
      </c>
      <c r="BN78" s="44" t="n">
        <f aca="false">IF(BJ78=0,0,bsd(1,BO$27,BK78,$W78,$T78,$U78,$AH78,0.1))</f>
        <v>0</v>
      </c>
      <c r="BO78" s="44" t="n">
        <f aca="false">IF(BJ78=0,0,bsd(2,BO$27,BK78,$W78,$T78,$U78,$AH78,0.1))</f>
        <v>0</v>
      </c>
      <c r="BP78" s="44" t="n">
        <f aca="false">IF(BJ78=0,0,bsd(BO$28,BO$27,BK78,$W78,$T78,$U78,$AH78,0.1))</f>
        <v>0</v>
      </c>
      <c r="BQ78" s="45" t="n">
        <f aca="false">BJ78*BN78</f>
        <v>0</v>
      </c>
      <c r="BR78" s="45" t="n">
        <f aca="false">BJ78*BO78</f>
        <v>0</v>
      </c>
      <c r="BS78" s="45" t="n">
        <f aca="false">BJ78*BP78</f>
        <v>0</v>
      </c>
      <c r="BU78" s="9" t="n">
        <f aca="false">IF($A78&gt;=BV$25,IF($A78&lt;=BV$26,$AI78,0),0)</f>
        <v>0</v>
      </c>
      <c r="BV78" s="9" t="e">
        <f aca="false">BX78/BU78</f>
        <v>#DIV/0!</v>
      </c>
      <c r="BW78" s="1" t="n">
        <f aca="false">BU78*($B78+H$13)</f>
        <v>0</v>
      </c>
      <c r="BX78" s="33" t="n">
        <f aca="false">IF(ISNUMBER(((BW78/BU78)+H$14+$Y78)*BU78),((BW78/BU78)+H$14+$Y78)*BU78,0)</f>
        <v>0</v>
      </c>
      <c r="BY78" s="44" t="n">
        <f aca="false">IF(BU78=0,0,bsd(1,BZ$27,BV78,$AD78,$AA78,$AB78,$AH78,0.1))</f>
        <v>0</v>
      </c>
      <c r="BZ78" s="44" t="n">
        <f aca="false">IF(BU78=0,0,bsd(2,BZ$27,BV78,$AD78,$AA78,$AB78,$AH78,0.1))</f>
        <v>0</v>
      </c>
      <c r="CA78" s="44" t="n">
        <f aca="false">IF(BU78=0,0,bsd(BZ$28,BZ$27,BV78,$AD78,$AA78,$AB78,$AH78,0.1))</f>
        <v>0</v>
      </c>
      <c r="CB78" s="45" t="n">
        <f aca="false">BU78*BY78</f>
        <v>0</v>
      </c>
      <c r="CC78" s="45" t="n">
        <f aca="false">BU78*BZ78</f>
        <v>0</v>
      </c>
      <c r="CD78" s="45" t="n">
        <f aca="false">BU78*CA78</f>
        <v>0</v>
      </c>
    </row>
    <row r="79" customFormat="false" ht="12.75" hidden="false" customHeight="false" outlineLevel="0" collapsed="false">
      <c r="A79" s="48" t="n">
        <f aca="false">DATE(YEAR(A78),MONTH(A78)+1,1)</f>
        <v>38261</v>
      </c>
      <c r="B79" s="40" t="n">
        <f aca="false">VLOOKUP(A79,STRADDLE,5,FALSE())</f>
        <v>3.125</v>
      </c>
      <c r="C79" s="4" t="n">
        <f aca="false">VLOOKUP(A79,STRADDLE,8,FALSE())</f>
        <v>0.255</v>
      </c>
      <c r="D79" s="40" t="n">
        <f aca="false">IF(D$28="nymex",0,VLOOKUP($A79,curvesettle,HLOOKUP(D$28,curvesettle,2,FALSE())))</f>
        <v>0.461</v>
      </c>
      <c r="E79" s="131" t="n">
        <f aca="false">IF(ISNUMBER(VLOOKUP($A79,VOLCURVES,HLOOKUP(D$28,VOLCURVES,2,FALSE()),FALSE())),VLOOKUP($A79,VOLCURVES,HLOOKUP(D$28,VOLCURVES,2,FALSE()),FALSE()),1)</f>
        <v>0.98</v>
      </c>
      <c r="F79" s="136" t="n">
        <f aca="false">IF(D$28="NYMEX",$AG79,$AF79)</f>
        <v>-7668</v>
      </c>
      <c r="G79" s="4" t="e">
        <f aca="false">(($C79+H79)*$E79)+B$15</f>
        <v>#DIV/0!</v>
      </c>
      <c r="H79" s="4" t="e">
        <f aca="false">IF($B$16=1,VLOOKUP($A79,SkewTable,HLOOKUP(ROUND(I79-AO79,1),SkewTable,2,FALSE()),FALSE())/100,0)</f>
        <v>#DIV/0!</v>
      </c>
      <c r="I79" s="41" t="n">
        <f aca="false">IF($B$19=4,$AO79,$B$18)</f>
        <v>12</v>
      </c>
      <c r="K79" s="40" t="n">
        <f aca="false">IF(K$28="nymex",0,VLOOKUP($A79,curvesettle,HLOOKUP(K$28,curvesettle,2,FALSE())))</f>
        <v>-0.017</v>
      </c>
      <c r="L79" s="131" t="n">
        <f aca="false">IF(ISNUMBER(VLOOKUP($A79,VOLCURVES,HLOOKUP(K$28,VOLCURVES,2,FALSE()),FALSE())),VLOOKUP($A79,VOLCURVES,HLOOKUP(K$28,VOLCURVES,2,FALSE()),FALSE()),1)</f>
        <v>1</v>
      </c>
      <c r="M79" s="136" t="n">
        <f aca="false">IF(K$28="NYMEX",$AG79,$AF79)</f>
        <v>-7668</v>
      </c>
      <c r="N79" s="153" t="e">
        <f aca="false">(($C79+O79)*$L79)+D$15</f>
        <v>#DIV/0!</v>
      </c>
      <c r="O79" s="4" t="e">
        <f aca="false">IF($D$16=1,VLOOKUP($A79,SkewTable,HLOOKUP(ROUND(P79-AZ79,1),SkewTable,2,FALSE()),FALSE())/100,0)</f>
        <v>#DIV/0!</v>
      </c>
      <c r="P79" s="41" t="n">
        <f aca="false">IF($D$19=4,$AZ79,$D$18)</f>
        <v>3.75</v>
      </c>
      <c r="R79" s="40" t="n">
        <f aca="false">IF(R$28="nymex",0,VLOOKUP($A79,curvesettle,HLOOKUP(R$28,curvesettle,2,FALSE())))</f>
        <v>-0.017</v>
      </c>
      <c r="S79" s="131" t="n">
        <f aca="false">IF(ISNUMBER(VLOOKUP($A79,VOLCURVES,HLOOKUP(R$28,VOLCURVES,2,FALSE()),FALSE())),VLOOKUP($A79,VOLCURVES,HLOOKUP(R$28,VOLCURVES,2,FALSE()),FALSE()),1)</f>
        <v>1</v>
      </c>
      <c r="T79" s="136" t="n">
        <f aca="false">IF(R$28="NYMEX",$AG79,$AF79)</f>
        <v>-7668</v>
      </c>
      <c r="U79" s="153" t="e">
        <f aca="false">(($C79+V79)*$S79)+F$15</f>
        <v>#DIV/0!</v>
      </c>
      <c r="V79" s="4" t="e">
        <f aca="false">IF($F$16=1,VLOOKUP($A79,SkewTable,HLOOKUP(ROUND(W79-BK79,1),SkewTable,2,FALSE()),FALSE())/100,0)</f>
        <v>#DIV/0!</v>
      </c>
      <c r="W79" s="41" t="n">
        <f aca="false">IF($F$19=4,$BK79,$F$18)</f>
        <v>3.5</v>
      </c>
      <c r="X79" s="136"/>
      <c r="Y79" s="40" t="n">
        <f aca="false">IF(Y$28="nymex",0,VLOOKUP($A79,curvesettle,HLOOKUP(Y$28,curvesettle,2,FALSE())))</f>
        <v>-0.345</v>
      </c>
      <c r="Z79" s="131" t="n">
        <f aca="false">IF(ISNUMBER(VLOOKUP($A79,VOLCURVES,HLOOKUP(Y$28,VOLCURVES,2,FALSE()),FALSE())),VLOOKUP($A79,VOLCURVES,HLOOKUP(Y$28,VOLCURVES,2,FALSE()),FALSE()),1)</f>
        <v>1</v>
      </c>
      <c r="AA79" s="136" t="n">
        <f aca="false">IF(Y$28="NYMEX",$AG79,$AF79)</f>
        <v>-7668</v>
      </c>
      <c r="AB79" s="4" t="e">
        <f aca="false">(($C79+AC79)*$Z79)+H$15</f>
        <v>#DIV/0!</v>
      </c>
      <c r="AC79" s="4" t="e">
        <f aca="false">IF($H$16=1,VLOOKUP($A79,SkewTable,HLOOKUP(ROUND(AD79-BV79,1),SkewTable,2,FALSE()),FALSE())/100,0)</f>
        <v>#DIV/0!</v>
      </c>
      <c r="AD79" s="41" t="n">
        <f aca="false">IF($H$19=4,$BV79,$H$18)</f>
        <v>3</v>
      </c>
      <c r="AF79" s="136" t="n">
        <f aca="false">VLOOKUP($A79,expiration,2,FALSE())-$B$2</f>
        <v>-7668</v>
      </c>
      <c r="AG79" s="136" t="n">
        <f aca="false">VLOOKUP($A79,expiration,3,FALSE())-$B$2</f>
        <v>-7669</v>
      </c>
      <c r="AH79" s="4" t="n">
        <f aca="false">VLOOKUP($A79,STRADDLE,12,FALSE())</f>
        <v>0.067685206506965</v>
      </c>
      <c r="AI79" s="43" t="n">
        <f aca="false">A80-A79</f>
        <v>31</v>
      </c>
      <c r="AL79" s="136"/>
      <c r="AM79" s="9"/>
      <c r="AN79" s="9" t="n">
        <f aca="false">IF($A79&gt;=AO$25,IF($A79&lt;=AO$26,$AI79,0),0)</f>
        <v>0</v>
      </c>
      <c r="AO79" s="9" t="e">
        <f aca="false">AQ79/AN79</f>
        <v>#DIV/0!</v>
      </c>
      <c r="AP79" s="1" t="n">
        <f aca="false">AN79*($B79+B$13)</f>
        <v>0</v>
      </c>
      <c r="AQ79" s="33" t="n">
        <f aca="false">IF(ISNUMBER(((AP79/AN79)+B$14+$D79)*AN79),((AP79/AN79)+B$14+$D79)*AN79,0)</f>
        <v>0</v>
      </c>
      <c r="AR79" s="44" t="n">
        <f aca="false">IF(AN79=0,0,bsd(1,AS$27,AO79,$I79,$F79,$G79,$AH79,0.1))</f>
        <v>0</v>
      </c>
      <c r="AS79" s="44" t="n">
        <f aca="false">IF(AN79=0,0,bsd(2,AS$27,AO79,$I79,$F79,$G79,$AH79,0.1))</f>
        <v>0</v>
      </c>
      <c r="AT79" s="44" t="n">
        <f aca="false">IF(AN79=0,0,bsd(AS$28,AS$27,AO79,$I79,$F79,$G79,$AH79,0.1))</f>
        <v>0</v>
      </c>
      <c r="AU79" s="45" t="n">
        <f aca="false">AN79*AR79</f>
        <v>0</v>
      </c>
      <c r="AV79" s="45" t="n">
        <f aca="false">AN79*AS79</f>
        <v>0</v>
      </c>
      <c r="AW79" s="45" t="n">
        <f aca="false">AN79*AT79</f>
        <v>0</v>
      </c>
      <c r="AY79" s="9" t="n">
        <f aca="false">IF($A79&gt;=AZ$25,IF($A79&lt;=AZ$26,$AI79,0),0)</f>
        <v>0</v>
      </c>
      <c r="AZ79" s="9" t="e">
        <f aca="false">BB79/AY79</f>
        <v>#DIV/0!</v>
      </c>
      <c r="BA79" s="1" t="n">
        <f aca="false">AY79*($B79+D$13)</f>
        <v>0</v>
      </c>
      <c r="BB79" s="33" t="n">
        <f aca="false">IF(ISNUMBER(((BA79/AY79)+D$14+$K79)*AY79),((BA79/AY79)+D$14+$K79)*AY79,0)</f>
        <v>0</v>
      </c>
      <c r="BC79" s="44" t="n">
        <f aca="false">IF(AY79=0,0,bsd(1,BD$27,AZ79,$P79,$M79,$N79,$AH79,0.1))</f>
        <v>0</v>
      </c>
      <c r="BD79" s="44" t="n">
        <f aca="false">IF(AY79=0,0,bsd(2,BD$27,AZ79,$P79,$M79,$N79,$AH79,0.1))</f>
        <v>0</v>
      </c>
      <c r="BE79" s="44" t="n">
        <f aca="false">IF(AY79=0,0,bsd(BD$28,BD$27,AZ79,$P79,$M79,$N79,$AH79,0.1))</f>
        <v>0</v>
      </c>
      <c r="BF79" s="45" t="n">
        <f aca="false">AY79*BC79</f>
        <v>0</v>
      </c>
      <c r="BG79" s="45" t="n">
        <f aca="false">AY79*BD79</f>
        <v>0</v>
      </c>
      <c r="BH79" s="45" t="n">
        <f aca="false">AY79*BE79</f>
        <v>0</v>
      </c>
      <c r="BJ79" s="9" t="n">
        <f aca="false">IF($A79&gt;=BK$25,IF($A79&lt;=BK$26,$AI79,0),0)</f>
        <v>0</v>
      </c>
      <c r="BK79" s="9" t="e">
        <f aca="false">BM79/BJ79</f>
        <v>#DIV/0!</v>
      </c>
      <c r="BL79" s="1" t="n">
        <f aca="false">BJ79*($B79+F$13)</f>
        <v>0</v>
      </c>
      <c r="BM79" s="33" t="n">
        <f aca="false">IF(ISNUMBER(((BL79/BJ79)+F$14+$R79)*BJ79),((BL79/BJ79)+F$14+$R79)*BJ79,0)</f>
        <v>0</v>
      </c>
      <c r="BN79" s="44" t="n">
        <f aca="false">IF(BJ79=0,0,bsd(1,BO$27,BK79,$W79,$T79,$U79,$AH79,0.1))</f>
        <v>0</v>
      </c>
      <c r="BO79" s="44" t="n">
        <f aca="false">IF(BJ79=0,0,bsd(2,BO$27,BK79,$W79,$T79,$U79,$AH79,0.1))</f>
        <v>0</v>
      </c>
      <c r="BP79" s="44" t="n">
        <f aca="false">IF(BJ79=0,0,bsd(BO$28,BO$27,BK79,$W79,$T79,$U79,$AH79,0.1))</f>
        <v>0</v>
      </c>
      <c r="BQ79" s="45" t="n">
        <f aca="false">BJ79*BN79</f>
        <v>0</v>
      </c>
      <c r="BR79" s="45" t="n">
        <f aca="false">BJ79*BO79</f>
        <v>0</v>
      </c>
      <c r="BS79" s="45" t="n">
        <f aca="false">BJ79*BP79</f>
        <v>0</v>
      </c>
      <c r="BU79" s="9" t="n">
        <f aca="false">IF($A79&gt;=BV$25,IF($A79&lt;=BV$26,$AI79,0),0)</f>
        <v>0</v>
      </c>
      <c r="BV79" s="9" t="e">
        <f aca="false">BX79/BU79</f>
        <v>#DIV/0!</v>
      </c>
      <c r="BW79" s="1" t="n">
        <f aca="false">BU79*($B79+H$13)</f>
        <v>0</v>
      </c>
      <c r="BX79" s="33" t="n">
        <f aca="false">IF(ISNUMBER(((BW79/BU79)+H$14+$Y79)*BU79),((BW79/BU79)+H$14+$Y79)*BU79,0)</f>
        <v>0</v>
      </c>
      <c r="BY79" s="44" t="n">
        <f aca="false">IF(BU79=0,0,bsd(1,BZ$27,BV79,$AD79,$AA79,$AB79,$AH79,0.1))</f>
        <v>0</v>
      </c>
      <c r="BZ79" s="44" t="n">
        <f aca="false">IF(BU79=0,0,bsd(2,BZ$27,BV79,$AD79,$AA79,$AB79,$AH79,0.1))</f>
        <v>0</v>
      </c>
      <c r="CA79" s="44" t="n">
        <f aca="false">IF(BU79=0,0,bsd(BZ$28,BZ$27,BV79,$AD79,$AA79,$AB79,$AH79,0.1))</f>
        <v>0</v>
      </c>
      <c r="CB79" s="45" t="n">
        <f aca="false">BU79*BY79</f>
        <v>0</v>
      </c>
      <c r="CC79" s="45" t="n">
        <f aca="false">BU79*BZ79</f>
        <v>0</v>
      </c>
      <c r="CD79" s="45" t="n">
        <f aca="false">BU79*CA79</f>
        <v>0</v>
      </c>
    </row>
    <row r="80" customFormat="false" ht="12.75" hidden="false" customHeight="false" outlineLevel="0" collapsed="false">
      <c r="A80" s="48" t="n">
        <f aca="false">DATE(YEAR(A79),MONTH(A79)+1,1)</f>
        <v>38292</v>
      </c>
      <c r="B80" s="40" t="n">
        <f aca="false">VLOOKUP(A80,STRADDLE,5,FALSE())</f>
        <v>3.212</v>
      </c>
      <c r="C80" s="4" t="n">
        <f aca="false">VLOOKUP(A80,STRADDLE,8,FALSE())</f>
        <v>0.2575</v>
      </c>
      <c r="D80" s="40" t="n">
        <f aca="false">IF(D$28="nymex",0,VLOOKUP($A80,curvesettle,HLOOKUP(D$28,curvesettle,2,FALSE())))</f>
        <v>0.88</v>
      </c>
      <c r="E80" s="131" t="n">
        <f aca="false">IF(ISNUMBER(VLOOKUP($A80,VOLCURVES,HLOOKUP(D$28,VOLCURVES,2,FALSE()),FALSE())),VLOOKUP($A80,VOLCURVES,HLOOKUP(D$28,VOLCURVES,2,FALSE()),FALSE()),1)</f>
        <v>1.1</v>
      </c>
      <c r="F80" s="136" t="n">
        <f aca="false">IF(D$28="NYMEX",$AG80,$AF80)</f>
        <v>-7639</v>
      </c>
      <c r="G80" s="4" t="e">
        <f aca="false">(($C80+H80)*$E80)+B$15</f>
        <v>#DIV/0!</v>
      </c>
      <c r="H80" s="4" t="e">
        <f aca="false">IF($B$16=1,VLOOKUP($A80,SkewTable,HLOOKUP(ROUND(I80-AO80,1),SkewTable,2,FALSE()),FALSE())/100,0)</f>
        <v>#DIV/0!</v>
      </c>
      <c r="I80" s="41" t="n">
        <f aca="false">IF($B$19=4,$AO80,$B$18)</f>
        <v>12</v>
      </c>
      <c r="K80" s="40" t="n">
        <f aca="false">IF(K$28="nymex",0,VLOOKUP($A80,curvesettle,HLOOKUP(K$28,curvesettle,2,FALSE())))</f>
        <v>-0.0185</v>
      </c>
      <c r="L80" s="131" t="n">
        <f aca="false">IF(ISNUMBER(VLOOKUP($A80,VOLCURVES,HLOOKUP(K$28,VOLCURVES,2,FALSE()),FALSE())),VLOOKUP($A80,VOLCURVES,HLOOKUP(K$28,VOLCURVES,2,FALSE()),FALSE()),1)</f>
        <v>1</v>
      </c>
      <c r="M80" s="136" t="n">
        <f aca="false">IF(K$28="NYMEX",$AG80,$AF80)</f>
        <v>-7639</v>
      </c>
      <c r="N80" s="153" t="e">
        <f aca="false">(($C80+O80)*$L80)+D$15</f>
        <v>#DIV/0!</v>
      </c>
      <c r="O80" s="4" t="e">
        <f aca="false">IF($D$16=1,VLOOKUP($A80,SkewTable,HLOOKUP(ROUND(P80-AZ80,1),SkewTable,2,FALSE()),FALSE())/100,0)</f>
        <v>#DIV/0!</v>
      </c>
      <c r="P80" s="41" t="n">
        <f aca="false">IF($D$19=4,$AZ80,$D$18)</f>
        <v>3.75</v>
      </c>
      <c r="R80" s="40" t="n">
        <f aca="false">IF(R$28="nymex",0,VLOOKUP($A80,curvesettle,HLOOKUP(R$28,curvesettle,2,FALSE())))</f>
        <v>-0.0185</v>
      </c>
      <c r="S80" s="131" t="n">
        <f aca="false">IF(ISNUMBER(VLOOKUP($A80,VOLCURVES,HLOOKUP(R$28,VOLCURVES,2,FALSE()),FALSE())),VLOOKUP($A80,VOLCURVES,HLOOKUP(R$28,VOLCURVES,2,FALSE()),FALSE()),1)</f>
        <v>1</v>
      </c>
      <c r="T80" s="136" t="n">
        <f aca="false">IF(R$28="NYMEX",$AG80,$AF80)</f>
        <v>-7639</v>
      </c>
      <c r="U80" s="153" t="e">
        <f aca="false">(($C80+V80)*$S80)+F$15</f>
        <v>#DIV/0!</v>
      </c>
      <c r="V80" s="4" t="e">
        <f aca="false">IF($F$16=1,VLOOKUP($A80,SkewTable,HLOOKUP(ROUND(W80-BK80,1),SkewTable,2,FALSE()),FALSE())/100,0)</f>
        <v>#DIV/0!</v>
      </c>
      <c r="W80" s="41" t="n">
        <f aca="false">IF($F$19=4,$BK80,$F$18)</f>
        <v>3.5</v>
      </c>
      <c r="X80" s="136"/>
      <c r="Y80" s="40" t="n">
        <f aca="false">IF(Y$28="nymex",0,VLOOKUP($A80,curvesettle,HLOOKUP(Y$28,curvesettle,2,FALSE())))</f>
        <v>-0.26</v>
      </c>
      <c r="Z80" s="131" t="n">
        <f aca="false">IF(ISNUMBER(VLOOKUP($A80,VOLCURVES,HLOOKUP(Y$28,VOLCURVES,2,FALSE()),FALSE())),VLOOKUP($A80,VOLCURVES,HLOOKUP(Y$28,VOLCURVES,2,FALSE()),FALSE()),1)</f>
        <v>1</v>
      </c>
      <c r="AA80" s="136" t="n">
        <f aca="false">IF(Y$28="NYMEX",$AG80,$AF80)</f>
        <v>-7639</v>
      </c>
      <c r="AB80" s="4" t="e">
        <f aca="false">(($C80+AC80)*$Z80)+H$15</f>
        <v>#DIV/0!</v>
      </c>
      <c r="AC80" s="4" t="e">
        <f aca="false">IF($H$16=1,VLOOKUP($A80,SkewTable,HLOOKUP(ROUND(AD80-BV80,1),SkewTable,2,FALSE()),FALSE())/100,0)</f>
        <v>#DIV/0!</v>
      </c>
      <c r="AD80" s="41" t="n">
        <f aca="false">IF($H$19=4,$BV80,$H$18)</f>
        <v>3</v>
      </c>
      <c r="AF80" s="136" t="n">
        <f aca="false">VLOOKUP($A80,expiration,2,FALSE())-$B$2</f>
        <v>-7639</v>
      </c>
      <c r="AG80" s="136" t="n">
        <f aca="false">VLOOKUP($A80,expiration,3,FALSE())-$B$2</f>
        <v>-7640</v>
      </c>
      <c r="AH80" s="4" t="n">
        <f aca="false">VLOOKUP($A80,STRADDLE,12,FALSE())</f>
        <v>0.067736066962671</v>
      </c>
      <c r="AI80" s="43" t="n">
        <f aca="false">A81-A80</f>
        <v>30</v>
      </c>
      <c r="AL80" s="136"/>
      <c r="AM80" s="9"/>
      <c r="AN80" s="9" t="n">
        <f aca="false">IF($A80&gt;=AO$25,IF($A80&lt;=AO$26,$AI80,0),0)</f>
        <v>0</v>
      </c>
      <c r="AO80" s="9" t="e">
        <f aca="false">AQ80/AN80</f>
        <v>#DIV/0!</v>
      </c>
      <c r="AP80" s="1" t="n">
        <f aca="false">AN80*($B80+B$13)</f>
        <v>0</v>
      </c>
      <c r="AQ80" s="33" t="n">
        <f aca="false">IF(ISNUMBER(((AP80/AN80)+B$14+$D80)*AN80),((AP80/AN80)+B$14+$D80)*AN80,0)</f>
        <v>0</v>
      </c>
      <c r="AR80" s="44" t="n">
        <f aca="false">IF(AN80=0,0,bsd(1,AS$27,AO80,$I80,$F80,$G80,$AH80,0.1))</f>
        <v>0</v>
      </c>
      <c r="AS80" s="44" t="n">
        <f aca="false">IF(AN80=0,0,bsd(2,AS$27,AO80,$I80,$F80,$G80,$AH80,0.1))</f>
        <v>0</v>
      </c>
      <c r="AT80" s="44" t="n">
        <f aca="false">IF(AN80=0,0,bsd(AS$28,AS$27,AO80,$I80,$F80,$G80,$AH80,0.1))</f>
        <v>0</v>
      </c>
      <c r="AU80" s="45" t="n">
        <f aca="false">AN80*AR80</f>
        <v>0</v>
      </c>
      <c r="AV80" s="45" t="n">
        <f aca="false">AN80*AS80</f>
        <v>0</v>
      </c>
      <c r="AW80" s="45" t="n">
        <f aca="false">AN80*AT80</f>
        <v>0</v>
      </c>
      <c r="AY80" s="9" t="n">
        <f aca="false">IF($A80&gt;=AZ$25,IF($A80&lt;=AZ$26,$AI80,0),0)</f>
        <v>0</v>
      </c>
      <c r="AZ80" s="9" t="e">
        <f aca="false">BB80/AY80</f>
        <v>#DIV/0!</v>
      </c>
      <c r="BA80" s="1" t="n">
        <f aca="false">AY80*($B80+D$13)</f>
        <v>0</v>
      </c>
      <c r="BB80" s="33" t="n">
        <f aca="false">IF(ISNUMBER(((BA80/AY80)+D$14+$K80)*AY80),((BA80/AY80)+D$14+$K80)*AY80,0)</f>
        <v>0</v>
      </c>
      <c r="BC80" s="44" t="n">
        <f aca="false">IF(AY80=0,0,bsd(1,BD$27,AZ80,$P80,$M80,$N80,$AH80,0.1))</f>
        <v>0</v>
      </c>
      <c r="BD80" s="44" t="n">
        <f aca="false">IF(AY80=0,0,bsd(2,BD$27,AZ80,$P80,$M80,$N80,$AH80,0.1))</f>
        <v>0</v>
      </c>
      <c r="BE80" s="44" t="n">
        <f aca="false">IF(AY80=0,0,bsd(BD$28,BD$27,AZ80,$P80,$M80,$N80,$AH80,0.1))</f>
        <v>0</v>
      </c>
      <c r="BF80" s="45" t="n">
        <f aca="false">AY80*BC80</f>
        <v>0</v>
      </c>
      <c r="BG80" s="45" t="n">
        <f aca="false">AY80*BD80</f>
        <v>0</v>
      </c>
      <c r="BH80" s="45" t="n">
        <f aca="false">AY80*BE80</f>
        <v>0</v>
      </c>
      <c r="BJ80" s="9" t="n">
        <f aca="false">IF($A80&gt;=BK$25,IF($A80&lt;=BK$26,$AI80,0),0)</f>
        <v>0</v>
      </c>
      <c r="BK80" s="9" t="e">
        <f aca="false">BM80/BJ80</f>
        <v>#DIV/0!</v>
      </c>
      <c r="BL80" s="1" t="n">
        <f aca="false">BJ80*($B80+F$13)</f>
        <v>0</v>
      </c>
      <c r="BM80" s="33" t="n">
        <f aca="false">IF(ISNUMBER(((BL80/BJ80)+F$14+$R80)*BJ80),((BL80/BJ80)+F$14+$R80)*BJ80,0)</f>
        <v>0</v>
      </c>
      <c r="BN80" s="44" t="n">
        <f aca="false">IF(BJ80=0,0,bsd(1,BO$27,BK80,$W80,$T80,$U80,$AH80,0.1))</f>
        <v>0</v>
      </c>
      <c r="BO80" s="44" t="n">
        <f aca="false">IF(BJ80=0,0,bsd(2,BO$27,BK80,$W80,$T80,$U80,$AH80,0.1))</f>
        <v>0</v>
      </c>
      <c r="BP80" s="44" t="n">
        <f aca="false">IF(BJ80=0,0,bsd(BO$28,BO$27,BK80,$W80,$T80,$U80,$AH80,0.1))</f>
        <v>0</v>
      </c>
      <c r="BQ80" s="45" t="n">
        <f aca="false">BJ80*BN80</f>
        <v>0</v>
      </c>
      <c r="BR80" s="45" t="n">
        <f aca="false">BJ80*BO80</f>
        <v>0</v>
      </c>
      <c r="BS80" s="45" t="n">
        <f aca="false">BJ80*BP80</f>
        <v>0</v>
      </c>
      <c r="BU80" s="9" t="n">
        <f aca="false">IF($A80&gt;=BV$25,IF($A80&lt;=BV$26,$AI80,0),0)</f>
        <v>0</v>
      </c>
      <c r="BV80" s="9" t="e">
        <f aca="false">BX80/BU80</f>
        <v>#DIV/0!</v>
      </c>
      <c r="BW80" s="1" t="n">
        <f aca="false">BU80*($B80+H$13)</f>
        <v>0</v>
      </c>
      <c r="BX80" s="33" t="n">
        <f aca="false">IF(ISNUMBER(((BW80/BU80)+H$14+$Y80)*BU80),((BW80/BU80)+H$14+$Y80)*BU80,0)</f>
        <v>0</v>
      </c>
      <c r="BY80" s="44" t="n">
        <f aca="false">IF(BU80=0,0,bsd(1,BZ$27,BV80,$AD80,$AA80,$AB80,$AH80,0.1))</f>
        <v>0</v>
      </c>
      <c r="BZ80" s="44" t="n">
        <f aca="false">IF(BU80=0,0,bsd(2,BZ$27,BV80,$AD80,$AA80,$AB80,$AH80,0.1))</f>
        <v>0</v>
      </c>
      <c r="CA80" s="44" t="n">
        <f aca="false">IF(BU80=0,0,bsd(BZ$28,BZ$27,BV80,$AD80,$AA80,$AB80,$AH80,0.1))</f>
        <v>0</v>
      </c>
      <c r="CB80" s="45" t="n">
        <f aca="false">BU80*BY80</f>
        <v>0</v>
      </c>
      <c r="CC80" s="45" t="n">
        <f aca="false">BU80*BZ80</f>
        <v>0</v>
      </c>
      <c r="CD80" s="45" t="n">
        <f aca="false">BU80*CA80</f>
        <v>0</v>
      </c>
    </row>
    <row r="81" customFormat="false" ht="12.75" hidden="false" customHeight="false" outlineLevel="0" collapsed="false">
      <c r="A81" s="48" t="n">
        <f aca="false">DATE(YEAR(A80),MONTH(A80)+1,1)</f>
        <v>38322</v>
      </c>
      <c r="B81" s="40" t="n">
        <f aca="false">VLOOKUP(A81,STRADDLE,5,FALSE())</f>
        <v>3.285</v>
      </c>
      <c r="C81" s="4" t="n">
        <f aca="false">VLOOKUP(A81,STRADDLE,8,FALSE())</f>
        <v>0.26</v>
      </c>
      <c r="D81" s="40" t="n">
        <f aca="false">IF(D$28="nymex",0,VLOOKUP($A81,curvesettle,HLOOKUP(D$28,curvesettle,2,FALSE())))</f>
        <v>1.3</v>
      </c>
      <c r="E81" s="131" t="n">
        <f aca="false">IF(ISNUMBER(VLOOKUP($A81,VOLCURVES,HLOOKUP(D$28,VOLCURVES,2,FALSE()),FALSE())),VLOOKUP($A81,VOLCURVES,HLOOKUP(D$28,VOLCURVES,2,FALSE()),FALSE()),1)</f>
        <v>1.1</v>
      </c>
      <c r="F81" s="136" t="n">
        <f aca="false">IF(D$28="NYMEX",$AG81,$AF81)</f>
        <v>-7609</v>
      </c>
      <c r="G81" s="4" t="e">
        <f aca="false">(($C81+H81)*$E81)+B$15</f>
        <v>#DIV/0!</v>
      </c>
      <c r="H81" s="4" t="e">
        <f aca="false">IF($B$16=1,VLOOKUP($A81,SkewTable,HLOOKUP(ROUND(I81-AO81,1),SkewTable,2,FALSE()),FALSE())/100,0)</f>
        <v>#DIV/0!</v>
      </c>
      <c r="I81" s="41" t="n">
        <f aca="false">IF($B$19=4,$AO81,$B$18)</f>
        <v>12</v>
      </c>
      <c r="K81" s="40" t="n">
        <f aca="false">IF(K$28="nymex",0,VLOOKUP($A81,curvesettle,HLOOKUP(K$28,curvesettle,2,FALSE())))</f>
        <v>-0.0185</v>
      </c>
      <c r="L81" s="131" t="n">
        <f aca="false">IF(ISNUMBER(VLOOKUP($A81,VOLCURVES,HLOOKUP(K$28,VOLCURVES,2,FALSE()),FALSE())),VLOOKUP($A81,VOLCURVES,HLOOKUP(K$28,VOLCURVES,2,FALSE()),FALSE()),1)</f>
        <v>1</v>
      </c>
      <c r="M81" s="136" t="n">
        <f aca="false">IF(K$28="NYMEX",$AG81,$AF81)</f>
        <v>-7609</v>
      </c>
      <c r="N81" s="153" t="e">
        <f aca="false">(($C81+O81)*$L81)+D$15</f>
        <v>#DIV/0!</v>
      </c>
      <c r="O81" s="4" t="e">
        <f aca="false">IF($D$16=1,VLOOKUP($A81,SkewTable,HLOOKUP(ROUND(P81-AZ81,1),SkewTable,2,FALSE()),FALSE())/100,0)</f>
        <v>#DIV/0!</v>
      </c>
      <c r="P81" s="41" t="n">
        <f aca="false">IF($D$19=4,$AZ81,$D$18)</f>
        <v>3.75</v>
      </c>
      <c r="R81" s="40" t="n">
        <f aca="false">IF(R$28="nymex",0,VLOOKUP($A81,curvesettle,HLOOKUP(R$28,curvesettle,2,FALSE())))</f>
        <v>-0.0185</v>
      </c>
      <c r="S81" s="131" t="n">
        <f aca="false">IF(ISNUMBER(VLOOKUP($A81,VOLCURVES,HLOOKUP(R$28,VOLCURVES,2,FALSE()),FALSE())),VLOOKUP($A81,VOLCURVES,HLOOKUP(R$28,VOLCURVES,2,FALSE()),FALSE()),1)</f>
        <v>1</v>
      </c>
      <c r="T81" s="136" t="n">
        <f aca="false">IF(R$28="NYMEX",$AG81,$AF81)</f>
        <v>-7609</v>
      </c>
      <c r="U81" s="153" t="e">
        <f aca="false">(($C81+V81)*$S81)+F$15</f>
        <v>#DIV/0!</v>
      </c>
      <c r="V81" s="4" t="e">
        <f aca="false">IF($F$16=1,VLOOKUP($A81,SkewTable,HLOOKUP(ROUND(W81-BK81,1),SkewTable,2,FALSE()),FALSE())/100,0)</f>
        <v>#DIV/0!</v>
      </c>
      <c r="W81" s="41" t="n">
        <f aca="false">IF($F$19=4,$BK81,$F$18)</f>
        <v>3.5</v>
      </c>
      <c r="X81" s="136"/>
      <c r="Y81" s="40" t="n">
        <f aca="false">IF(Y$28="nymex",0,VLOOKUP($A81,curvesettle,HLOOKUP(Y$28,curvesettle,2,FALSE())))</f>
        <v>-0.26</v>
      </c>
      <c r="Z81" s="131" t="n">
        <f aca="false">IF(ISNUMBER(VLOOKUP($A81,VOLCURVES,HLOOKUP(Y$28,VOLCURVES,2,FALSE()),FALSE())),VLOOKUP($A81,VOLCURVES,HLOOKUP(Y$28,VOLCURVES,2,FALSE()),FALSE()),1)</f>
        <v>1</v>
      </c>
      <c r="AA81" s="136" t="n">
        <f aca="false">IF(Y$28="NYMEX",$AG81,$AF81)</f>
        <v>-7609</v>
      </c>
      <c r="AB81" s="4" t="e">
        <f aca="false">(($C81+AC81)*$Z81)+H$15</f>
        <v>#DIV/0!</v>
      </c>
      <c r="AC81" s="4" t="e">
        <f aca="false">IF($H$16=1,VLOOKUP($A81,SkewTable,HLOOKUP(ROUND(AD81-BV81,1),SkewTable,2,FALSE()),FALSE())/100,0)</f>
        <v>#DIV/0!</v>
      </c>
      <c r="AD81" s="41" t="n">
        <f aca="false">IF($H$19=4,$BV81,$H$18)</f>
        <v>3</v>
      </c>
      <c r="AF81" s="136" t="n">
        <f aca="false">VLOOKUP($A81,expiration,2,FALSE())-$B$2</f>
        <v>-7609</v>
      </c>
      <c r="AG81" s="136" t="n">
        <f aca="false">VLOOKUP($A81,expiration,3,FALSE())-$B$2</f>
        <v>-7611</v>
      </c>
      <c r="AH81" s="4" t="n">
        <f aca="false">VLOOKUP($A81,STRADDLE,12,FALSE())</f>
        <v>0.067785286759331</v>
      </c>
      <c r="AI81" s="43" t="n">
        <f aca="false">A82-A81</f>
        <v>31</v>
      </c>
      <c r="AL81" s="136"/>
      <c r="AM81" s="9"/>
      <c r="AN81" s="9" t="n">
        <f aca="false">IF($A81&gt;=AO$25,IF($A81&lt;=AO$26,$AI81,0),0)</f>
        <v>0</v>
      </c>
      <c r="AO81" s="9" t="e">
        <f aca="false">AQ81/AN81</f>
        <v>#DIV/0!</v>
      </c>
      <c r="AP81" s="1" t="n">
        <f aca="false">AN81*($B81+B$13)</f>
        <v>0</v>
      </c>
      <c r="AQ81" s="33" t="n">
        <f aca="false">IF(ISNUMBER(((AP81/AN81)+B$14+$D81)*AN81),((AP81/AN81)+B$14+$D81)*AN81,0)</f>
        <v>0</v>
      </c>
      <c r="AR81" s="44" t="n">
        <f aca="false">IF(AN81=0,0,bsd(1,AS$27,AO81,$I81,$F81,$G81,$AH81,0.1))</f>
        <v>0</v>
      </c>
      <c r="AS81" s="44" t="n">
        <f aca="false">IF(AN81=0,0,bsd(2,AS$27,AO81,$I81,$F81,$G81,$AH81,0.1))</f>
        <v>0</v>
      </c>
      <c r="AT81" s="44" t="n">
        <f aca="false">IF(AN81=0,0,bsd(AS$28,AS$27,AO81,$I81,$F81,$G81,$AH81,0.1))</f>
        <v>0</v>
      </c>
      <c r="AU81" s="45" t="n">
        <f aca="false">AN81*AR81</f>
        <v>0</v>
      </c>
      <c r="AV81" s="45" t="n">
        <f aca="false">AN81*AS81</f>
        <v>0</v>
      </c>
      <c r="AW81" s="45" t="n">
        <f aca="false">AN81*AT81</f>
        <v>0</v>
      </c>
      <c r="AY81" s="9" t="n">
        <f aca="false">IF($A81&gt;=AZ$25,IF($A81&lt;=AZ$26,$AI81,0),0)</f>
        <v>0</v>
      </c>
      <c r="AZ81" s="9" t="e">
        <f aca="false">BB81/AY81</f>
        <v>#DIV/0!</v>
      </c>
      <c r="BA81" s="1" t="n">
        <f aca="false">AY81*($B81+D$13)</f>
        <v>0</v>
      </c>
      <c r="BB81" s="33" t="n">
        <f aca="false">IF(ISNUMBER(((BA81/AY81)+D$14+$K81)*AY81),((BA81/AY81)+D$14+$K81)*AY81,0)</f>
        <v>0</v>
      </c>
      <c r="BC81" s="44" t="n">
        <f aca="false">IF(AY81=0,0,bsd(1,BD$27,AZ81,$P81,$M81,$N81,$AH81,0.1))</f>
        <v>0</v>
      </c>
      <c r="BD81" s="44" t="n">
        <f aca="false">IF(AY81=0,0,bsd(2,BD$27,AZ81,$P81,$M81,$N81,$AH81,0.1))</f>
        <v>0</v>
      </c>
      <c r="BE81" s="44" t="n">
        <f aca="false">IF(AY81=0,0,bsd(BD$28,BD$27,AZ81,$P81,$M81,$N81,$AH81,0.1))</f>
        <v>0</v>
      </c>
      <c r="BF81" s="45" t="n">
        <f aca="false">AY81*BC81</f>
        <v>0</v>
      </c>
      <c r="BG81" s="45" t="n">
        <f aca="false">AY81*BD81</f>
        <v>0</v>
      </c>
      <c r="BH81" s="45" t="n">
        <f aca="false">AY81*BE81</f>
        <v>0</v>
      </c>
      <c r="BJ81" s="9" t="n">
        <f aca="false">IF($A81&gt;=BK$25,IF($A81&lt;=BK$26,$AI81,0),0)</f>
        <v>0</v>
      </c>
      <c r="BK81" s="9" t="e">
        <f aca="false">BM81/BJ81</f>
        <v>#DIV/0!</v>
      </c>
      <c r="BL81" s="1" t="n">
        <f aca="false">BJ81*($B81+F$13)</f>
        <v>0</v>
      </c>
      <c r="BM81" s="33" t="n">
        <f aca="false">IF(ISNUMBER(((BL81/BJ81)+F$14+$R81)*BJ81),((BL81/BJ81)+F$14+$R81)*BJ81,0)</f>
        <v>0</v>
      </c>
      <c r="BN81" s="44" t="n">
        <f aca="false">IF(BJ81=0,0,bsd(1,BO$27,BK81,$W81,$T81,$U81,$AH81,0.1))</f>
        <v>0</v>
      </c>
      <c r="BO81" s="44" t="n">
        <f aca="false">IF(BJ81=0,0,bsd(2,BO$27,BK81,$W81,$T81,$U81,$AH81,0.1))</f>
        <v>0</v>
      </c>
      <c r="BP81" s="44" t="n">
        <f aca="false">IF(BJ81=0,0,bsd(BO$28,BO$27,BK81,$W81,$T81,$U81,$AH81,0.1))</f>
        <v>0</v>
      </c>
      <c r="BQ81" s="45" t="n">
        <f aca="false">BJ81*BN81</f>
        <v>0</v>
      </c>
      <c r="BR81" s="45" t="n">
        <f aca="false">BJ81*BO81</f>
        <v>0</v>
      </c>
      <c r="BS81" s="45" t="n">
        <f aca="false">BJ81*BP81</f>
        <v>0</v>
      </c>
      <c r="BU81" s="9" t="n">
        <f aca="false">IF($A81&gt;=BV$25,IF($A81&lt;=BV$26,$AI81,0),0)</f>
        <v>0</v>
      </c>
      <c r="BV81" s="9" t="e">
        <f aca="false">BX81/BU81</f>
        <v>#DIV/0!</v>
      </c>
      <c r="BW81" s="1" t="n">
        <f aca="false">BU81*($B81+H$13)</f>
        <v>0</v>
      </c>
      <c r="BX81" s="33" t="n">
        <f aca="false">IF(ISNUMBER(((BW81/BU81)+H$14+$Y81)*BU81),((BW81/BU81)+H$14+$Y81)*BU81,0)</f>
        <v>0</v>
      </c>
      <c r="BY81" s="44" t="n">
        <f aca="false">IF(BU81=0,0,bsd(1,BZ$27,BV81,$AD81,$AA81,$AB81,$AH81,0.1))</f>
        <v>0</v>
      </c>
      <c r="BZ81" s="44" t="n">
        <f aca="false">IF(BU81=0,0,bsd(2,BZ$27,BV81,$AD81,$AA81,$AB81,$AH81,0.1))</f>
        <v>0</v>
      </c>
      <c r="CA81" s="44" t="n">
        <f aca="false">IF(BU81=0,0,bsd(BZ$28,BZ$27,BV81,$AD81,$AA81,$AB81,$AH81,0.1))</f>
        <v>0</v>
      </c>
      <c r="CB81" s="45" t="n">
        <f aca="false">BU81*BY81</f>
        <v>0</v>
      </c>
      <c r="CC81" s="45" t="n">
        <f aca="false">BU81*BZ81</f>
        <v>0</v>
      </c>
      <c r="CD81" s="45" t="n">
        <f aca="false">BU81*CA81</f>
        <v>0</v>
      </c>
    </row>
    <row r="82" customFormat="false" ht="12.75" hidden="false" customHeight="false" outlineLevel="0" collapsed="false">
      <c r="A82" s="48" t="n">
        <f aca="false">DATE(YEAR(A81),MONTH(A81)+1,1)</f>
        <v>38353</v>
      </c>
      <c r="B82" s="40" t="n">
        <f aca="false">VLOOKUP(A82,STRADDLE,5,FALSE())</f>
        <v>3.581</v>
      </c>
      <c r="C82" s="4" t="n">
        <f aca="false">VLOOKUP(A82,STRADDLE,8,FALSE())</f>
        <v>0.265</v>
      </c>
      <c r="D82" s="40" t="n">
        <f aca="false">IF(D$28="nymex",0,VLOOKUP($A82,curvesettle,HLOOKUP(D$28,curvesettle,2,FALSE())))</f>
        <v>1.63</v>
      </c>
      <c r="E82" s="131" t="n">
        <f aca="false">IF(ISNUMBER(VLOOKUP($A82,VOLCURVES,HLOOKUP(D$28,VOLCURVES,2,FALSE()),FALSE())),VLOOKUP($A82,VOLCURVES,HLOOKUP(D$28,VOLCURVES,2,FALSE()),FALSE()),1)</f>
        <v>1.1</v>
      </c>
      <c r="F82" s="136" t="n">
        <f aca="false">IF(D$28="NYMEX",$AG82,$AF82)</f>
        <v>-7577</v>
      </c>
      <c r="G82" s="4" t="e">
        <f aca="false">(($C82+H82)*$E82)+B$15</f>
        <v>#DIV/0!</v>
      </c>
      <c r="H82" s="4" t="e">
        <f aca="false">IF($B$16=1,VLOOKUP($A82,SkewTable,HLOOKUP(ROUND(I82-AO82,1),SkewTable,2,FALSE()),FALSE())/100,0)</f>
        <v>#DIV/0!</v>
      </c>
      <c r="I82" s="41" t="n">
        <f aca="false">IF($B$19=4,$AO82,$B$18)</f>
        <v>12</v>
      </c>
      <c r="K82" s="40" t="n">
        <f aca="false">IF(K$28="nymex",0,VLOOKUP($A82,curvesettle,HLOOKUP(K$28,curvesettle,2,FALSE())))</f>
        <v>-0.0185</v>
      </c>
      <c r="L82" s="131" t="n">
        <f aca="false">IF(ISNUMBER(VLOOKUP($A82,VOLCURVES,HLOOKUP(K$28,VOLCURVES,2,FALSE()),FALSE())),VLOOKUP($A82,VOLCURVES,HLOOKUP(K$28,VOLCURVES,2,FALSE()),FALSE()),1)</f>
        <v>1</v>
      </c>
      <c r="M82" s="136" t="n">
        <f aca="false">IF(K$28="NYMEX",$AG82,$AF82)</f>
        <v>-7577</v>
      </c>
      <c r="N82" s="153" t="e">
        <f aca="false">(($C82+O82)*$L82)+D$15</f>
        <v>#DIV/0!</v>
      </c>
      <c r="O82" s="4" t="e">
        <f aca="false">IF($D$16=1,VLOOKUP($A82,SkewTable,HLOOKUP(ROUND(P82-AZ82,1),SkewTable,2,FALSE()),FALSE())/100,0)</f>
        <v>#DIV/0!</v>
      </c>
      <c r="P82" s="41" t="n">
        <f aca="false">IF($D$19=4,$AZ82,$D$18)</f>
        <v>3.75</v>
      </c>
      <c r="R82" s="40" t="n">
        <f aca="false">IF(R$28="nymex",0,VLOOKUP($A82,curvesettle,HLOOKUP(R$28,curvesettle,2,FALSE())))</f>
        <v>-0.0185</v>
      </c>
      <c r="S82" s="131" t="n">
        <f aca="false">IF(ISNUMBER(VLOOKUP($A82,VOLCURVES,HLOOKUP(R$28,VOLCURVES,2,FALSE()),FALSE())),VLOOKUP($A82,VOLCURVES,HLOOKUP(R$28,VOLCURVES,2,FALSE()),FALSE()),1)</f>
        <v>1</v>
      </c>
      <c r="T82" s="136" t="n">
        <f aca="false">IF(R$28="NYMEX",$AG82,$AF82)</f>
        <v>-7577</v>
      </c>
      <c r="U82" s="153" t="e">
        <f aca="false">(($C82+V82)*$S82)+F$15</f>
        <v>#DIV/0!</v>
      </c>
      <c r="V82" s="4" t="e">
        <f aca="false">IF($F$16=1,VLOOKUP($A82,SkewTable,HLOOKUP(ROUND(W82-BK82,1),SkewTable,2,FALSE()),FALSE())/100,0)</f>
        <v>#DIV/0!</v>
      </c>
      <c r="W82" s="41" t="n">
        <f aca="false">IF($F$19=4,$BK82,$F$18)</f>
        <v>3.5</v>
      </c>
      <c r="X82" s="136"/>
      <c r="Y82" s="40" t="n">
        <f aca="false">IF(Y$28="nymex",0,VLOOKUP($A82,curvesettle,HLOOKUP(Y$28,curvesettle,2,FALSE())))</f>
        <v>-0.26</v>
      </c>
      <c r="Z82" s="131" t="n">
        <f aca="false">IF(ISNUMBER(VLOOKUP($A82,VOLCURVES,HLOOKUP(Y$28,VOLCURVES,2,FALSE()),FALSE())),VLOOKUP($A82,VOLCURVES,HLOOKUP(Y$28,VOLCURVES,2,FALSE()),FALSE()),1)</f>
        <v>1</v>
      </c>
      <c r="AA82" s="136" t="n">
        <f aca="false">IF(Y$28="NYMEX",$AG82,$AF82)</f>
        <v>-7577</v>
      </c>
      <c r="AB82" s="4" t="e">
        <f aca="false">(($C82+AC82)*$Z82)+H$15</f>
        <v>#DIV/0!</v>
      </c>
      <c r="AC82" s="4" t="e">
        <f aca="false">IF($H$16=1,VLOOKUP($A82,SkewTable,HLOOKUP(ROUND(AD82-BV82,1),SkewTable,2,FALSE()),FALSE())/100,0)</f>
        <v>#DIV/0!</v>
      </c>
      <c r="AD82" s="41" t="n">
        <f aca="false">IF($H$19=4,$BV82,$H$18)</f>
        <v>3</v>
      </c>
      <c r="AF82" s="136" t="n">
        <f aca="false">VLOOKUP($A82,expiration,2,FALSE())-$B$2</f>
        <v>-7577</v>
      </c>
      <c r="AG82" s="136" t="n">
        <f aca="false">VLOOKUP($A82,expiration,3,FALSE())-$B$2</f>
        <v>-7578</v>
      </c>
      <c r="AH82" s="4" t="n">
        <f aca="false">VLOOKUP($A82,STRADDLE,12,FALSE())</f>
        <v>0.067836147216722</v>
      </c>
      <c r="AI82" s="43" t="n">
        <f aca="false">A83-A82</f>
        <v>31</v>
      </c>
      <c r="AL82" s="136"/>
      <c r="AM82" s="9"/>
      <c r="AN82" s="9" t="n">
        <f aca="false">IF($A82&gt;=AO$25,IF($A82&lt;=AO$26,$AI82,0),0)</f>
        <v>0</v>
      </c>
      <c r="AO82" s="9" t="e">
        <f aca="false">AQ82/AN82</f>
        <v>#DIV/0!</v>
      </c>
      <c r="AP82" s="1" t="n">
        <f aca="false">AN82*($B82+B$13)</f>
        <v>0</v>
      </c>
      <c r="AQ82" s="33" t="n">
        <f aca="false">IF(ISNUMBER(((AP82/AN82)+B$14+$D82)*AN82),((AP82/AN82)+B$14+$D82)*AN82,0)</f>
        <v>0</v>
      </c>
      <c r="AR82" s="44" t="n">
        <f aca="false">IF(AN82=0,0,bsd(1,AS$27,AO82,$I82,$F82,$G82,$AH82,0.1))</f>
        <v>0</v>
      </c>
      <c r="AS82" s="44" t="n">
        <f aca="false">IF(AN82=0,0,bsd(2,AS$27,AO82,$I82,$F82,$G82,$AH82,0.1))</f>
        <v>0</v>
      </c>
      <c r="AT82" s="44" t="n">
        <f aca="false">IF(AN82=0,0,bsd(AS$28,AS$27,AO82,$I82,$F82,$G82,$AH82,0.1))</f>
        <v>0</v>
      </c>
      <c r="AU82" s="45" t="n">
        <f aca="false">AN82*AR82</f>
        <v>0</v>
      </c>
      <c r="AV82" s="45" t="n">
        <f aca="false">AN82*AS82</f>
        <v>0</v>
      </c>
      <c r="AW82" s="45" t="n">
        <f aca="false">AN82*AT82</f>
        <v>0</v>
      </c>
      <c r="AY82" s="9" t="n">
        <f aca="false">IF($A82&gt;=AZ$25,IF($A82&lt;=AZ$26,$AI82,0),0)</f>
        <v>0</v>
      </c>
      <c r="AZ82" s="9" t="e">
        <f aca="false">BB82/AY82</f>
        <v>#DIV/0!</v>
      </c>
      <c r="BA82" s="1" t="n">
        <f aca="false">AY82*($B82+D$13)</f>
        <v>0</v>
      </c>
      <c r="BB82" s="33" t="n">
        <f aca="false">IF(ISNUMBER(((BA82/AY82)+D$14+$K82)*AY82),((BA82/AY82)+D$14+$K82)*AY82,0)</f>
        <v>0</v>
      </c>
      <c r="BC82" s="44" t="n">
        <f aca="false">IF(AY82=0,0,bsd(1,BD$27,AZ82,$P82,$M82,$N82,$AH82,0.1))</f>
        <v>0</v>
      </c>
      <c r="BD82" s="44" t="n">
        <f aca="false">IF(AY82=0,0,bsd(2,BD$27,AZ82,$P82,$M82,$N82,$AH82,0.1))</f>
        <v>0</v>
      </c>
      <c r="BE82" s="44" t="n">
        <f aca="false">IF(AY82=0,0,bsd(BD$28,BD$27,AZ82,$P82,$M82,$N82,$AH82,0.1))</f>
        <v>0</v>
      </c>
      <c r="BF82" s="45" t="n">
        <f aca="false">AY82*BC82</f>
        <v>0</v>
      </c>
      <c r="BG82" s="45" t="n">
        <f aca="false">AY82*BD82</f>
        <v>0</v>
      </c>
      <c r="BH82" s="45" t="n">
        <f aca="false">AY82*BE82</f>
        <v>0</v>
      </c>
      <c r="BJ82" s="9" t="n">
        <f aca="false">IF($A82&gt;=BK$25,IF($A82&lt;=BK$26,$AI82,0),0)</f>
        <v>0</v>
      </c>
      <c r="BK82" s="9" t="e">
        <f aca="false">BM82/BJ82</f>
        <v>#DIV/0!</v>
      </c>
      <c r="BL82" s="1" t="n">
        <f aca="false">BJ82*($B82+F$13)</f>
        <v>0</v>
      </c>
      <c r="BM82" s="33" t="n">
        <f aca="false">IF(ISNUMBER(((BL82/BJ82)+F$14+$R82)*BJ82),((BL82/BJ82)+F$14+$R82)*BJ82,0)</f>
        <v>0</v>
      </c>
      <c r="BN82" s="44" t="n">
        <f aca="false">IF(BJ82=0,0,bsd(1,BO$27,BK82,$W82,$T82,$U82,$AH82,0.1))</f>
        <v>0</v>
      </c>
      <c r="BO82" s="44" t="n">
        <f aca="false">IF(BJ82=0,0,bsd(2,BO$27,BK82,$W82,$T82,$U82,$AH82,0.1))</f>
        <v>0</v>
      </c>
      <c r="BP82" s="44" t="n">
        <f aca="false">IF(BJ82=0,0,bsd(BO$28,BO$27,BK82,$W82,$T82,$U82,$AH82,0.1))</f>
        <v>0</v>
      </c>
      <c r="BQ82" s="45" t="n">
        <f aca="false">BJ82*BN82</f>
        <v>0</v>
      </c>
      <c r="BR82" s="45" t="n">
        <f aca="false">BJ82*BO82</f>
        <v>0</v>
      </c>
      <c r="BS82" s="45" t="n">
        <f aca="false">BJ82*BP82</f>
        <v>0</v>
      </c>
      <c r="BU82" s="9" t="n">
        <f aca="false">IF($A82&gt;=BV$25,IF($A82&lt;=BV$26,$AI82,0),0)</f>
        <v>0</v>
      </c>
      <c r="BV82" s="9" t="e">
        <f aca="false">BX82/BU82</f>
        <v>#DIV/0!</v>
      </c>
      <c r="BW82" s="1" t="n">
        <f aca="false">BU82*($B82+H$13)</f>
        <v>0</v>
      </c>
      <c r="BX82" s="33" t="n">
        <f aca="false">IF(ISNUMBER(((BW82/BU82)+H$14+$Y82)*BU82),((BW82/BU82)+H$14+$Y82)*BU82,0)</f>
        <v>0</v>
      </c>
      <c r="BY82" s="44" t="n">
        <f aca="false">IF(BU82=0,0,bsd(1,BZ$27,BV82,$AD82,$AA82,$AB82,$AH82,0.1))</f>
        <v>0</v>
      </c>
      <c r="BZ82" s="44" t="n">
        <f aca="false">IF(BU82=0,0,bsd(2,BZ$27,BV82,$AD82,$AA82,$AB82,$AH82,0.1))</f>
        <v>0</v>
      </c>
      <c r="CA82" s="44" t="n">
        <f aca="false">IF(BU82=0,0,bsd(BZ$28,BZ$27,BV82,$AD82,$AA82,$AB82,$AH82,0.1))</f>
        <v>0</v>
      </c>
      <c r="CB82" s="45" t="n">
        <f aca="false">BU82*BY82</f>
        <v>0</v>
      </c>
      <c r="CC82" s="45" t="n">
        <f aca="false">BU82*BZ82</f>
        <v>0</v>
      </c>
      <c r="CD82" s="45" t="n">
        <f aca="false">BU82*CA82</f>
        <v>0</v>
      </c>
    </row>
    <row r="83" customFormat="false" ht="12.75" hidden="false" customHeight="false" outlineLevel="0" collapsed="false">
      <c r="A83" s="48" t="n">
        <f aca="false">DATE(YEAR(A82),MONTH(A82)+1,1)</f>
        <v>38384</v>
      </c>
      <c r="B83" s="40" t="n">
        <f aca="false">VLOOKUP(A83,STRADDLE,5,FALSE())</f>
        <v>3.427</v>
      </c>
      <c r="C83" s="4" t="n">
        <f aca="false">VLOOKUP(A83,STRADDLE,8,FALSE())</f>
        <v>0.2525</v>
      </c>
      <c r="D83" s="40" t="n">
        <f aca="false">IF(D$28="nymex",0,VLOOKUP($A83,curvesettle,HLOOKUP(D$28,curvesettle,2,FALSE())))</f>
        <v>1.58</v>
      </c>
      <c r="E83" s="131" t="n">
        <f aca="false">IF(ISNUMBER(VLOOKUP($A83,VOLCURVES,HLOOKUP(D$28,VOLCURVES,2,FALSE()),FALSE())),VLOOKUP($A83,VOLCURVES,HLOOKUP(D$28,VOLCURVES,2,FALSE()),FALSE()),1)</f>
        <v>1.1</v>
      </c>
      <c r="F83" s="136" t="n">
        <f aca="false">IF(D$28="NYMEX",$AG83,$AF83)</f>
        <v>-7547</v>
      </c>
      <c r="G83" s="4" t="e">
        <f aca="false">(($C83+H83)*$E83)+B$15</f>
        <v>#DIV/0!</v>
      </c>
      <c r="H83" s="4" t="e">
        <f aca="false">IF($B$16=1,VLOOKUP($A83,SkewTable,HLOOKUP(ROUND(I83-AO83,1),SkewTable,2,FALSE()),FALSE())/100,0)</f>
        <v>#DIV/0!</v>
      </c>
      <c r="I83" s="41" t="n">
        <f aca="false">IF($B$19=4,$AO83,$B$18)</f>
        <v>12</v>
      </c>
      <c r="K83" s="40" t="n">
        <f aca="false">IF(K$28="nymex",0,VLOOKUP($A83,curvesettle,HLOOKUP(K$28,curvesettle,2,FALSE())))</f>
        <v>-0.0185</v>
      </c>
      <c r="L83" s="131" t="n">
        <f aca="false">IF(ISNUMBER(VLOOKUP($A83,VOLCURVES,HLOOKUP(K$28,VOLCURVES,2,FALSE()),FALSE())),VLOOKUP($A83,VOLCURVES,HLOOKUP(K$28,VOLCURVES,2,FALSE()),FALSE()),1)</f>
        <v>1</v>
      </c>
      <c r="M83" s="136" t="n">
        <f aca="false">IF(K$28="NYMEX",$AG83,$AF83)</f>
        <v>-7547</v>
      </c>
      <c r="N83" s="153" t="e">
        <f aca="false">(($C83+O83)*$L83)+D$15</f>
        <v>#DIV/0!</v>
      </c>
      <c r="O83" s="4" t="e">
        <f aca="false">IF($D$16=1,VLOOKUP($A83,SkewTable,HLOOKUP(ROUND(P83-AZ83,1),SkewTable,2,FALSE()),FALSE())/100,0)</f>
        <v>#DIV/0!</v>
      </c>
      <c r="P83" s="41" t="n">
        <f aca="false">IF($D$19=4,$AZ83,$D$18)</f>
        <v>3.75</v>
      </c>
      <c r="R83" s="40" t="n">
        <f aca="false">IF(R$28="nymex",0,VLOOKUP($A83,curvesettle,HLOOKUP(R$28,curvesettle,2,FALSE())))</f>
        <v>-0.0185</v>
      </c>
      <c r="S83" s="131" t="n">
        <f aca="false">IF(ISNUMBER(VLOOKUP($A83,VOLCURVES,HLOOKUP(R$28,VOLCURVES,2,FALSE()),FALSE())),VLOOKUP($A83,VOLCURVES,HLOOKUP(R$28,VOLCURVES,2,FALSE()),FALSE()),1)</f>
        <v>1</v>
      </c>
      <c r="T83" s="136" t="n">
        <f aca="false">IF(R$28="NYMEX",$AG83,$AF83)</f>
        <v>-7547</v>
      </c>
      <c r="U83" s="153" t="e">
        <f aca="false">(($C83+V83)*$S83)+F$15</f>
        <v>#DIV/0!</v>
      </c>
      <c r="V83" s="4" t="e">
        <f aca="false">IF($F$16=1,VLOOKUP($A83,SkewTable,HLOOKUP(ROUND(W83-BK83,1),SkewTable,2,FALSE()),FALSE())/100,0)</f>
        <v>#DIV/0!</v>
      </c>
      <c r="W83" s="41" t="n">
        <f aca="false">IF($F$19=4,$BK83,$F$18)</f>
        <v>3.5</v>
      </c>
      <c r="X83" s="136"/>
      <c r="Y83" s="40" t="n">
        <f aca="false">IF(Y$28="nymex",0,VLOOKUP($A83,curvesettle,HLOOKUP(Y$28,curvesettle,2,FALSE())))</f>
        <v>-0.26</v>
      </c>
      <c r="Z83" s="131" t="n">
        <f aca="false">IF(ISNUMBER(VLOOKUP($A83,VOLCURVES,HLOOKUP(Y$28,VOLCURVES,2,FALSE()),FALSE())),VLOOKUP($A83,VOLCURVES,HLOOKUP(Y$28,VOLCURVES,2,FALSE()),FALSE()),1)</f>
        <v>1</v>
      </c>
      <c r="AA83" s="136" t="n">
        <f aca="false">IF(Y$28="NYMEX",$AG83,$AF83)</f>
        <v>-7547</v>
      </c>
      <c r="AB83" s="4" t="e">
        <f aca="false">(($C83+AC83)*$Z83)+H$15</f>
        <v>#DIV/0!</v>
      </c>
      <c r="AC83" s="4" t="e">
        <f aca="false">IF($H$16=1,VLOOKUP($A83,SkewTable,HLOOKUP(ROUND(AD83-BV83,1),SkewTable,2,FALSE()),FALSE())/100,0)</f>
        <v>#DIV/0!</v>
      </c>
      <c r="AD83" s="41" t="n">
        <f aca="false">IF($H$19=4,$BV83,$H$18)</f>
        <v>3</v>
      </c>
      <c r="AF83" s="136" t="n">
        <f aca="false">VLOOKUP($A83,expiration,2,FALSE())-$B$2</f>
        <v>-7547</v>
      </c>
      <c r="AG83" s="136" t="n">
        <f aca="false">VLOOKUP($A83,expiration,3,FALSE())-$B$2</f>
        <v>-7548</v>
      </c>
      <c r="AH83" s="4" t="n">
        <f aca="false">VLOOKUP($A83,STRADDLE,12,FALSE())</f>
        <v>0.06788700767497</v>
      </c>
      <c r="AI83" s="43" t="n">
        <f aca="false">A84-A83</f>
        <v>28</v>
      </c>
      <c r="AL83" s="136"/>
      <c r="AM83" s="9"/>
      <c r="AN83" s="9" t="n">
        <f aca="false">IF($A83&gt;=AO$25,IF($A83&lt;=AO$26,$AI83,0),0)</f>
        <v>0</v>
      </c>
      <c r="AO83" s="9" t="e">
        <f aca="false">AQ83/AN83</f>
        <v>#DIV/0!</v>
      </c>
      <c r="AP83" s="1" t="n">
        <f aca="false">AN83*($B83+B$13)</f>
        <v>0</v>
      </c>
      <c r="AQ83" s="33" t="n">
        <f aca="false">IF(ISNUMBER(((AP83/AN83)+B$14+$D83)*AN83),((AP83/AN83)+B$14+$D83)*AN83,0)</f>
        <v>0</v>
      </c>
      <c r="AR83" s="44" t="n">
        <f aca="false">IF(AN83=0,0,bsd(1,AS$27,AO83,$I83,$F83,$G83,$AH83,0.1))</f>
        <v>0</v>
      </c>
      <c r="AS83" s="44" t="n">
        <f aca="false">IF(AN83=0,0,bsd(2,AS$27,AO83,$I83,$F83,$G83,$AH83,0.1))</f>
        <v>0</v>
      </c>
      <c r="AT83" s="44" t="n">
        <f aca="false">IF(AN83=0,0,bsd(AS$28,AS$27,AO83,$I83,$F83,$G83,$AH83,0.1))</f>
        <v>0</v>
      </c>
      <c r="AU83" s="45" t="n">
        <f aca="false">AN83*AR83</f>
        <v>0</v>
      </c>
      <c r="AV83" s="45" t="n">
        <f aca="false">AN83*AS83</f>
        <v>0</v>
      </c>
      <c r="AW83" s="45" t="n">
        <f aca="false">AN83*AT83</f>
        <v>0</v>
      </c>
      <c r="AY83" s="9" t="n">
        <f aca="false">IF($A83&gt;=AZ$25,IF($A83&lt;=AZ$26,$AI83,0),0)</f>
        <v>0</v>
      </c>
      <c r="AZ83" s="9" t="e">
        <f aca="false">BB83/AY83</f>
        <v>#DIV/0!</v>
      </c>
      <c r="BA83" s="1" t="n">
        <f aca="false">AY83*($B83+D$13)</f>
        <v>0</v>
      </c>
      <c r="BB83" s="33" t="n">
        <f aca="false">IF(ISNUMBER(((BA83/AY83)+D$14+$K83)*AY83),((BA83/AY83)+D$14+$K83)*AY83,0)</f>
        <v>0</v>
      </c>
      <c r="BC83" s="44" t="n">
        <f aca="false">IF(AY83=0,0,bsd(1,BD$27,AZ83,$P83,$M83,$N83,$AH83,0.1))</f>
        <v>0</v>
      </c>
      <c r="BD83" s="44" t="n">
        <f aca="false">IF(AY83=0,0,bsd(2,BD$27,AZ83,$P83,$M83,$N83,$AH83,0.1))</f>
        <v>0</v>
      </c>
      <c r="BE83" s="44" t="n">
        <f aca="false">IF(AY83=0,0,bsd(BD$28,BD$27,AZ83,$P83,$M83,$N83,$AH83,0.1))</f>
        <v>0</v>
      </c>
      <c r="BF83" s="45" t="n">
        <f aca="false">AY83*BC83</f>
        <v>0</v>
      </c>
      <c r="BG83" s="45" t="n">
        <f aca="false">AY83*BD83</f>
        <v>0</v>
      </c>
      <c r="BH83" s="45" t="n">
        <f aca="false">AY83*BE83</f>
        <v>0</v>
      </c>
      <c r="BJ83" s="9" t="n">
        <f aca="false">IF($A83&gt;=BK$25,IF($A83&lt;=BK$26,$AI83,0),0)</f>
        <v>0</v>
      </c>
      <c r="BK83" s="9" t="e">
        <f aca="false">BM83/BJ83</f>
        <v>#DIV/0!</v>
      </c>
      <c r="BL83" s="1" t="n">
        <f aca="false">BJ83*($B83+F$13)</f>
        <v>0</v>
      </c>
      <c r="BM83" s="33" t="n">
        <f aca="false">IF(ISNUMBER(((BL83/BJ83)+F$14+$R83)*BJ83),((BL83/BJ83)+F$14+$R83)*BJ83,0)</f>
        <v>0</v>
      </c>
      <c r="BN83" s="44" t="n">
        <f aca="false">IF(BJ83=0,0,bsd(1,BO$27,BK83,$W83,$T83,$U83,$AH83,0.1))</f>
        <v>0</v>
      </c>
      <c r="BO83" s="44" t="n">
        <f aca="false">IF(BJ83=0,0,bsd(2,BO$27,BK83,$W83,$T83,$U83,$AH83,0.1))</f>
        <v>0</v>
      </c>
      <c r="BP83" s="44" t="n">
        <f aca="false">IF(BJ83=0,0,bsd(BO$28,BO$27,BK83,$W83,$T83,$U83,$AH83,0.1))</f>
        <v>0</v>
      </c>
      <c r="BQ83" s="45" t="n">
        <f aca="false">BJ83*BN83</f>
        <v>0</v>
      </c>
      <c r="BR83" s="45" t="n">
        <f aca="false">BJ83*BO83</f>
        <v>0</v>
      </c>
      <c r="BS83" s="45" t="n">
        <f aca="false">BJ83*BP83</f>
        <v>0</v>
      </c>
      <c r="BU83" s="9" t="n">
        <f aca="false">IF($A83&gt;=BV$25,IF($A83&lt;=BV$26,$AI83,0),0)</f>
        <v>0</v>
      </c>
      <c r="BV83" s="9" t="e">
        <f aca="false">BX83/BU83</f>
        <v>#DIV/0!</v>
      </c>
      <c r="BW83" s="1" t="n">
        <f aca="false">BU83*($B83+H$13)</f>
        <v>0</v>
      </c>
      <c r="BX83" s="33" t="n">
        <f aca="false">IF(ISNUMBER(((BW83/BU83)+H$14+$Y83)*BU83),((BW83/BU83)+H$14+$Y83)*BU83,0)</f>
        <v>0</v>
      </c>
      <c r="BY83" s="44" t="n">
        <f aca="false">IF(BU83=0,0,bsd(1,BZ$27,BV83,$AD83,$AA83,$AB83,$AH83,0.1))</f>
        <v>0</v>
      </c>
      <c r="BZ83" s="44" t="n">
        <f aca="false">IF(BU83=0,0,bsd(2,BZ$27,BV83,$AD83,$AA83,$AB83,$AH83,0.1))</f>
        <v>0</v>
      </c>
      <c r="CA83" s="44" t="n">
        <f aca="false">IF(BU83=0,0,bsd(BZ$28,BZ$27,BV83,$AD83,$AA83,$AB83,$AH83,0.1))</f>
        <v>0</v>
      </c>
      <c r="CB83" s="45" t="n">
        <f aca="false">BU83*BY83</f>
        <v>0</v>
      </c>
      <c r="CC83" s="45" t="n">
        <f aca="false">BU83*BZ83</f>
        <v>0</v>
      </c>
      <c r="CD83" s="45" t="n">
        <f aca="false">BU83*CA83</f>
        <v>0</v>
      </c>
    </row>
    <row r="84" customFormat="false" ht="12.75" hidden="false" customHeight="false" outlineLevel="0" collapsed="false">
      <c r="A84" s="48" t="n">
        <f aca="false">DATE(YEAR(A83),MONTH(A83)+1,1)</f>
        <v>38412</v>
      </c>
      <c r="B84" s="40" t="n">
        <f aca="false">VLOOKUP(A84,STRADDLE,5,FALSE())</f>
        <v>3.25</v>
      </c>
      <c r="C84" s="4" t="n">
        <f aca="false">VLOOKUP(A84,STRADDLE,8,FALSE())</f>
        <v>0.2475</v>
      </c>
      <c r="D84" s="40" t="n">
        <f aca="false">IF(D$28="nymex",0,VLOOKUP($A84,curvesettle,HLOOKUP(D$28,curvesettle,2,FALSE())))</f>
        <v>0.96</v>
      </c>
      <c r="E84" s="131" t="n">
        <f aca="false">IF(ISNUMBER(VLOOKUP($A84,VOLCURVES,HLOOKUP(D$28,VOLCURVES,2,FALSE()),FALSE())),VLOOKUP($A84,VOLCURVES,HLOOKUP(D$28,VOLCURVES,2,FALSE()),FALSE()),1)</f>
        <v>1.1</v>
      </c>
      <c r="F84" s="136" t="n">
        <f aca="false">IF(D$28="NYMEX",$AG84,$AF84)</f>
        <v>-7519</v>
      </c>
      <c r="G84" s="4" t="e">
        <f aca="false">(($C84+H84)*$E84)+B$15</f>
        <v>#DIV/0!</v>
      </c>
      <c r="H84" s="4" t="e">
        <f aca="false">IF($B$16=1,VLOOKUP($A84,SkewTable,HLOOKUP(ROUND(I84-AO84,1),SkewTable,2,FALSE()),FALSE())/100,0)</f>
        <v>#DIV/0!</v>
      </c>
      <c r="I84" s="41" t="n">
        <f aca="false">IF($B$19=4,$AO84,$B$18)</f>
        <v>12</v>
      </c>
      <c r="K84" s="40" t="n">
        <f aca="false">IF(K$28="nymex",0,VLOOKUP($A84,curvesettle,HLOOKUP(K$28,curvesettle,2,FALSE())))</f>
        <v>-0.0185</v>
      </c>
      <c r="L84" s="131" t="n">
        <f aca="false">IF(ISNUMBER(VLOOKUP($A84,VOLCURVES,HLOOKUP(K$28,VOLCURVES,2,FALSE()),FALSE())),VLOOKUP($A84,VOLCURVES,HLOOKUP(K$28,VOLCURVES,2,FALSE()),FALSE()),1)</f>
        <v>1</v>
      </c>
      <c r="M84" s="136" t="n">
        <f aca="false">IF(K$28="NYMEX",$AG84,$AF84)</f>
        <v>-7519</v>
      </c>
      <c r="N84" s="153" t="e">
        <f aca="false">(($C84+O84)*$L84)+D$15</f>
        <v>#DIV/0!</v>
      </c>
      <c r="O84" s="4" t="e">
        <f aca="false">IF($D$16=1,VLOOKUP($A84,SkewTable,HLOOKUP(ROUND(P84-AZ84,1),SkewTable,2,FALSE()),FALSE())/100,0)</f>
        <v>#DIV/0!</v>
      </c>
      <c r="P84" s="41" t="n">
        <f aca="false">IF($D$19=4,$AZ84,$D$18)</f>
        <v>3.75</v>
      </c>
      <c r="R84" s="40" t="n">
        <f aca="false">IF(R$28="nymex",0,VLOOKUP($A84,curvesettle,HLOOKUP(R$28,curvesettle,2,FALSE())))</f>
        <v>-0.0185</v>
      </c>
      <c r="S84" s="131" t="n">
        <f aca="false">IF(ISNUMBER(VLOOKUP($A84,VOLCURVES,HLOOKUP(R$28,VOLCURVES,2,FALSE()),FALSE())),VLOOKUP($A84,VOLCURVES,HLOOKUP(R$28,VOLCURVES,2,FALSE()),FALSE()),1)</f>
        <v>1</v>
      </c>
      <c r="T84" s="136" t="n">
        <f aca="false">IF(R$28="NYMEX",$AG84,$AF84)</f>
        <v>-7519</v>
      </c>
      <c r="U84" s="153" t="e">
        <f aca="false">(($C84+V84)*$S84)+F$15</f>
        <v>#DIV/0!</v>
      </c>
      <c r="V84" s="4" t="e">
        <f aca="false">IF($F$16=1,VLOOKUP($A84,SkewTable,HLOOKUP(ROUND(W84-BK84,1),SkewTable,2,FALSE()),FALSE())/100,0)</f>
        <v>#DIV/0!</v>
      </c>
      <c r="W84" s="41" t="n">
        <f aca="false">IF($F$19=4,$BK84,$F$18)</f>
        <v>3.5</v>
      </c>
      <c r="X84" s="136"/>
      <c r="Y84" s="40" t="n">
        <f aca="false">IF(Y$28="nymex",0,VLOOKUP($A84,curvesettle,HLOOKUP(Y$28,curvesettle,2,FALSE())))</f>
        <v>-0.26</v>
      </c>
      <c r="Z84" s="131" t="n">
        <f aca="false">IF(ISNUMBER(VLOOKUP($A84,VOLCURVES,HLOOKUP(Y$28,VOLCURVES,2,FALSE()),FALSE())),VLOOKUP($A84,VOLCURVES,HLOOKUP(Y$28,VOLCURVES,2,FALSE()),FALSE()),1)</f>
        <v>1</v>
      </c>
      <c r="AA84" s="136" t="n">
        <f aca="false">IF(Y$28="NYMEX",$AG84,$AF84)</f>
        <v>-7519</v>
      </c>
      <c r="AB84" s="4" t="e">
        <f aca="false">(($C84+AC84)*$Z84)+H$15</f>
        <v>#DIV/0!</v>
      </c>
      <c r="AC84" s="4" t="e">
        <f aca="false">IF($H$16=1,VLOOKUP($A84,SkewTable,HLOOKUP(ROUND(AD84-BV84,1),SkewTable,2,FALSE()),FALSE())/100,0)</f>
        <v>#DIV/0!</v>
      </c>
      <c r="AD84" s="41" t="n">
        <f aca="false">IF($H$19=4,$BV84,$H$18)</f>
        <v>3</v>
      </c>
      <c r="AF84" s="136" t="n">
        <f aca="false">VLOOKUP($A84,expiration,2,FALSE())-$B$2</f>
        <v>-7519</v>
      </c>
      <c r="AG84" s="136" t="n">
        <f aca="false">VLOOKUP($A84,expiration,3,FALSE())-$B$2</f>
        <v>-7520</v>
      </c>
      <c r="AH84" s="4" t="n">
        <f aca="false">VLOOKUP($A84,STRADDLE,12,FALSE())</f>
        <v>0.067932946154122</v>
      </c>
      <c r="AI84" s="43" t="n">
        <f aca="false">A85-A84</f>
        <v>31</v>
      </c>
      <c r="AL84" s="136"/>
      <c r="AM84" s="9"/>
      <c r="AN84" s="9" t="n">
        <f aca="false">IF($A84&gt;=AO$25,IF($A84&lt;=AO$26,$AI84,0),0)</f>
        <v>0</v>
      </c>
      <c r="AO84" s="9" t="e">
        <f aca="false">AQ84/AN84</f>
        <v>#DIV/0!</v>
      </c>
      <c r="AP84" s="1" t="n">
        <f aca="false">AN84*($B84+B$13)</f>
        <v>0</v>
      </c>
      <c r="AQ84" s="33" t="n">
        <f aca="false">IF(ISNUMBER(((AP84/AN84)+B$14+$D84)*AN84),((AP84/AN84)+B$14+$D84)*AN84,0)</f>
        <v>0</v>
      </c>
      <c r="AR84" s="44" t="n">
        <f aca="false">IF(AN84=0,0,bsd(1,AS$27,AO84,$I84,$F84,$G84,$AH84,0.1))</f>
        <v>0</v>
      </c>
      <c r="AS84" s="44" t="n">
        <f aca="false">IF(AN84=0,0,bsd(2,AS$27,AO84,$I84,$F84,$G84,$AH84,0.1))</f>
        <v>0</v>
      </c>
      <c r="AT84" s="44" t="n">
        <f aca="false">IF(AN84=0,0,bsd(AS$28,AS$27,AO84,$I84,$F84,$G84,$AH84,0.1))</f>
        <v>0</v>
      </c>
      <c r="AU84" s="45" t="n">
        <f aca="false">AN84*AR84</f>
        <v>0</v>
      </c>
      <c r="AV84" s="45" t="n">
        <f aca="false">AN84*AS84</f>
        <v>0</v>
      </c>
      <c r="AW84" s="45" t="n">
        <f aca="false">AN84*AT84</f>
        <v>0</v>
      </c>
      <c r="AY84" s="9" t="n">
        <f aca="false">IF($A84&gt;=AZ$25,IF($A84&lt;=AZ$26,$AI84,0),0)</f>
        <v>0</v>
      </c>
      <c r="AZ84" s="9" t="e">
        <f aca="false">BB84/AY84</f>
        <v>#DIV/0!</v>
      </c>
      <c r="BA84" s="1" t="n">
        <f aca="false">AY84*($B84+D$13)</f>
        <v>0</v>
      </c>
      <c r="BB84" s="33" t="n">
        <f aca="false">IF(ISNUMBER(((BA84/AY84)+D$14+$K84)*AY84),((BA84/AY84)+D$14+$K84)*AY84,0)</f>
        <v>0</v>
      </c>
      <c r="BC84" s="44" t="n">
        <f aca="false">IF(AY84=0,0,bsd(1,BD$27,AZ84,$P84,$M84,$N84,$AH84,0.1))</f>
        <v>0</v>
      </c>
      <c r="BD84" s="44" t="n">
        <f aca="false">IF(AY84=0,0,bsd(2,BD$27,AZ84,$P84,$M84,$N84,$AH84,0.1))</f>
        <v>0</v>
      </c>
      <c r="BE84" s="44" t="n">
        <f aca="false">IF(AY84=0,0,bsd(BD$28,BD$27,AZ84,$P84,$M84,$N84,$AH84,0.1))</f>
        <v>0</v>
      </c>
      <c r="BF84" s="45" t="n">
        <f aca="false">AY84*BC84</f>
        <v>0</v>
      </c>
      <c r="BG84" s="45" t="n">
        <f aca="false">AY84*BD84</f>
        <v>0</v>
      </c>
      <c r="BH84" s="45" t="n">
        <f aca="false">AY84*BE84</f>
        <v>0</v>
      </c>
      <c r="BJ84" s="9" t="n">
        <f aca="false">IF($A84&gt;=BK$25,IF($A84&lt;=BK$26,$AI84,0),0)</f>
        <v>0</v>
      </c>
      <c r="BK84" s="9" t="e">
        <f aca="false">BM84/BJ84</f>
        <v>#DIV/0!</v>
      </c>
      <c r="BL84" s="1" t="n">
        <f aca="false">BJ84*($B84+F$13)</f>
        <v>0</v>
      </c>
      <c r="BM84" s="33" t="n">
        <f aca="false">IF(ISNUMBER(((BL84/BJ84)+F$14+$R84)*BJ84),((BL84/BJ84)+F$14+$R84)*BJ84,0)</f>
        <v>0</v>
      </c>
      <c r="BN84" s="44" t="n">
        <f aca="false">IF(BJ84=0,0,bsd(1,BO$27,BK84,$W84,$T84,$U84,$AH84,0.1))</f>
        <v>0</v>
      </c>
      <c r="BO84" s="44" t="n">
        <f aca="false">IF(BJ84=0,0,bsd(2,BO$27,BK84,$W84,$T84,$U84,$AH84,0.1))</f>
        <v>0</v>
      </c>
      <c r="BP84" s="44" t="n">
        <f aca="false">IF(BJ84=0,0,bsd(BO$28,BO$27,BK84,$W84,$T84,$U84,$AH84,0.1))</f>
        <v>0</v>
      </c>
      <c r="BQ84" s="45" t="n">
        <f aca="false">BJ84*BN84</f>
        <v>0</v>
      </c>
      <c r="BR84" s="45" t="n">
        <f aca="false">BJ84*BO84</f>
        <v>0</v>
      </c>
      <c r="BS84" s="45" t="n">
        <f aca="false">BJ84*BP84</f>
        <v>0</v>
      </c>
      <c r="BU84" s="9" t="n">
        <f aca="false">IF($A84&gt;=BV$25,IF($A84&lt;=BV$26,$AI84,0),0)</f>
        <v>0</v>
      </c>
      <c r="BV84" s="9" t="e">
        <f aca="false">BX84/BU84</f>
        <v>#DIV/0!</v>
      </c>
      <c r="BW84" s="1" t="n">
        <f aca="false">BU84*($B84+H$13)</f>
        <v>0</v>
      </c>
      <c r="BX84" s="33" t="n">
        <f aca="false">IF(ISNUMBER(((BW84/BU84)+H$14+$Y84)*BU84),((BW84/BU84)+H$14+$Y84)*BU84,0)</f>
        <v>0</v>
      </c>
      <c r="BY84" s="44" t="n">
        <f aca="false">IF(BU84=0,0,bsd(1,BZ$27,BV84,$AD84,$AA84,$AB84,$AH84,0.1))</f>
        <v>0</v>
      </c>
      <c r="BZ84" s="44" t="n">
        <f aca="false">IF(BU84=0,0,bsd(2,BZ$27,BV84,$AD84,$AA84,$AB84,$AH84,0.1))</f>
        <v>0</v>
      </c>
      <c r="CA84" s="44" t="n">
        <f aca="false">IF(BU84=0,0,bsd(BZ$28,BZ$27,BV84,$AD84,$AA84,$AB84,$AH84,0.1))</f>
        <v>0</v>
      </c>
      <c r="CB84" s="45" t="n">
        <f aca="false">BU84*BY84</f>
        <v>0</v>
      </c>
      <c r="CC84" s="45" t="n">
        <f aca="false">BU84*BZ84</f>
        <v>0</v>
      </c>
      <c r="CD84" s="45" t="n">
        <f aca="false">BU84*CA84</f>
        <v>0</v>
      </c>
    </row>
    <row r="85" customFormat="false" ht="12.75" hidden="false" customHeight="false" outlineLevel="0" collapsed="false">
      <c r="A85" s="48" t="n">
        <f aca="false">DATE(YEAR(A84),MONTH(A84)+1,1)</f>
        <v>38443</v>
      </c>
      <c r="B85" s="40" t="n">
        <f aca="false">VLOOKUP(A85,STRADDLE,5,FALSE())</f>
        <v>3.066</v>
      </c>
      <c r="C85" s="4" t="n">
        <f aca="false">VLOOKUP(A85,STRADDLE,8,FALSE())</f>
        <v>0.235</v>
      </c>
      <c r="D85" s="40" t="n">
        <f aca="false">IF(D$28="nymex",0,VLOOKUP($A85,curvesettle,HLOOKUP(D$28,curvesettle,2,FALSE())))</f>
        <v>0.45</v>
      </c>
      <c r="E85" s="131" t="n">
        <f aca="false">IF(ISNUMBER(VLOOKUP($A85,VOLCURVES,HLOOKUP(D$28,VOLCURVES,2,FALSE()),FALSE())),VLOOKUP($A85,VOLCURVES,HLOOKUP(D$28,VOLCURVES,2,FALSE()),FALSE()),1)</f>
        <v>0.98</v>
      </c>
      <c r="F85" s="136" t="n">
        <f aca="false">IF(D$28="NYMEX",$AG85,$AF85)</f>
        <v>-7486</v>
      </c>
      <c r="G85" s="4" t="e">
        <f aca="false">(($C85+H85)*$E85)+B$15</f>
        <v>#DIV/0!</v>
      </c>
      <c r="H85" s="4" t="e">
        <f aca="false">IF($B$16=1,VLOOKUP($A85,SkewTable,HLOOKUP(ROUND(I85-AO85,1),SkewTable,2,FALSE()),FALSE())/100,0)</f>
        <v>#DIV/0!</v>
      </c>
      <c r="I85" s="41" t="n">
        <f aca="false">IF($B$19=4,$AO85,$B$18)</f>
        <v>12</v>
      </c>
      <c r="K85" s="40" t="n">
        <f aca="false">IF(K$28="nymex",0,VLOOKUP($A85,curvesettle,HLOOKUP(K$28,curvesettle,2,FALSE())))</f>
        <v>-0.016</v>
      </c>
      <c r="L85" s="131" t="n">
        <f aca="false">IF(ISNUMBER(VLOOKUP($A85,VOLCURVES,HLOOKUP(K$28,VOLCURVES,2,FALSE()),FALSE())),VLOOKUP($A85,VOLCURVES,HLOOKUP(K$28,VOLCURVES,2,FALSE()),FALSE()),1)</f>
        <v>1</v>
      </c>
      <c r="M85" s="136" t="n">
        <f aca="false">IF(K$28="NYMEX",$AG85,$AF85)</f>
        <v>-7486</v>
      </c>
      <c r="N85" s="153" t="e">
        <f aca="false">(($C85+O85)*$L85)+D$15</f>
        <v>#DIV/0!</v>
      </c>
      <c r="O85" s="4" t="e">
        <f aca="false">IF($D$16=1,VLOOKUP($A85,SkewTable,HLOOKUP(ROUND(P85-AZ85,1),SkewTable,2,FALSE()),FALSE())/100,0)</f>
        <v>#DIV/0!</v>
      </c>
      <c r="P85" s="41" t="n">
        <f aca="false">IF($D$19=4,$AZ85,$D$18)</f>
        <v>3.75</v>
      </c>
      <c r="R85" s="40" t="n">
        <f aca="false">IF(R$28="nymex",0,VLOOKUP($A85,curvesettle,HLOOKUP(R$28,curvesettle,2,FALSE())))</f>
        <v>-0.016</v>
      </c>
      <c r="S85" s="131" t="n">
        <f aca="false">IF(ISNUMBER(VLOOKUP($A85,VOLCURVES,HLOOKUP(R$28,VOLCURVES,2,FALSE()),FALSE())),VLOOKUP($A85,VOLCURVES,HLOOKUP(R$28,VOLCURVES,2,FALSE()),FALSE()),1)</f>
        <v>1</v>
      </c>
      <c r="T85" s="136" t="n">
        <f aca="false">IF(R$28="NYMEX",$AG85,$AF85)</f>
        <v>-7486</v>
      </c>
      <c r="U85" s="153" t="e">
        <f aca="false">(($C85+V85)*$S85)+F$15</f>
        <v>#DIV/0!</v>
      </c>
      <c r="V85" s="4" t="e">
        <f aca="false">IF($F$16=1,VLOOKUP($A85,SkewTable,HLOOKUP(ROUND(W85-BK85,1),SkewTable,2,FALSE()),FALSE())/100,0)</f>
        <v>#DIV/0!</v>
      </c>
      <c r="W85" s="41" t="n">
        <f aca="false">IF($F$19=4,$BK85,$F$18)</f>
        <v>3.5</v>
      </c>
      <c r="X85" s="136"/>
      <c r="Y85" s="40" t="n">
        <f aca="false">IF(Y$28="nymex",0,VLOOKUP($A85,curvesettle,HLOOKUP(Y$28,curvesettle,2,FALSE())))</f>
        <v>-0.335</v>
      </c>
      <c r="Z85" s="131" t="n">
        <f aca="false">IF(ISNUMBER(VLOOKUP($A85,VOLCURVES,HLOOKUP(Y$28,VOLCURVES,2,FALSE()),FALSE())),VLOOKUP($A85,VOLCURVES,HLOOKUP(Y$28,VOLCURVES,2,FALSE()),FALSE()),1)</f>
        <v>1</v>
      </c>
      <c r="AA85" s="136" t="n">
        <f aca="false">IF(Y$28="NYMEX",$AG85,$AF85)</f>
        <v>-7486</v>
      </c>
      <c r="AB85" s="4" t="e">
        <f aca="false">(($C85+AC85)*$Z85)+H$15</f>
        <v>#DIV/0!</v>
      </c>
      <c r="AC85" s="4" t="e">
        <f aca="false">IF($H$16=1,VLOOKUP($A85,SkewTable,HLOOKUP(ROUND(AD85-BV85,1),SkewTable,2,FALSE()),FALSE())/100,0)</f>
        <v>#DIV/0!</v>
      </c>
      <c r="AD85" s="41" t="n">
        <f aca="false">IF($H$19=4,$BV85,$H$18)</f>
        <v>3</v>
      </c>
      <c r="AF85" s="136" t="n">
        <f aca="false">VLOOKUP($A85,expiration,2,FALSE())-$B$2</f>
        <v>-7486</v>
      </c>
      <c r="AG85" s="136" t="n">
        <f aca="false">VLOOKUP($A85,expiration,3,FALSE())-$B$2</f>
        <v>-7487</v>
      </c>
      <c r="AH85" s="4" t="n">
        <f aca="false">VLOOKUP($A85,STRADDLE,12,FALSE())</f>
        <v>0.067983806614</v>
      </c>
      <c r="AI85" s="43" t="n">
        <f aca="false">A86-A85</f>
        <v>30</v>
      </c>
      <c r="AL85" s="136"/>
      <c r="AM85" s="9"/>
      <c r="AN85" s="9" t="n">
        <f aca="false">IF($A85&gt;=AO$25,IF($A85&lt;=AO$26,$AI85,0),0)</f>
        <v>0</v>
      </c>
      <c r="AO85" s="9" t="e">
        <f aca="false">AQ85/AN85</f>
        <v>#DIV/0!</v>
      </c>
      <c r="AP85" s="1" t="n">
        <f aca="false">AN85*($B85+B$13)</f>
        <v>0</v>
      </c>
      <c r="AQ85" s="33" t="n">
        <f aca="false">IF(ISNUMBER(((AP85/AN85)+B$14+$D85)*AN85),((AP85/AN85)+B$14+$D85)*AN85,0)</f>
        <v>0</v>
      </c>
      <c r="AR85" s="44" t="n">
        <f aca="false">IF(AN85=0,0,bsd(1,AS$27,AO85,$I85,$F85,$G85,$AH85,0.1))</f>
        <v>0</v>
      </c>
      <c r="AS85" s="44" t="n">
        <f aca="false">IF(AN85=0,0,bsd(2,AS$27,AO85,$I85,$F85,$G85,$AH85,0.1))</f>
        <v>0</v>
      </c>
      <c r="AT85" s="44" t="n">
        <f aca="false">IF(AN85=0,0,bsd(AS$28,AS$27,AO85,$I85,$F85,$G85,$AH85,0.1))</f>
        <v>0</v>
      </c>
      <c r="AU85" s="45" t="n">
        <f aca="false">AN85*AR85</f>
        <v>0</v>
      </c>
      <c r="AV85" s="45" t="n">
        <f aca="false">AN85*AS85</f>
        <v>0</v>
      </c>
      <c r="AW85" s="45" t="n">
        <f aca="false">AN85*AT85</f>
        <v>0</v>
      </c>
      <c r="AY85" s="9" t="n">
        <f aca="false">IF($A85&gt;=AZ$25,IF($A85&lt;=AZ$26,$AI85,0),0)</f>
        <v>0</v>
      </c>
      <c r="AZ85" s="9" t="e">
        <f aca="false">BB85/AY85</f>
        <v>#DIV/0!</v>
      </c>
      <c r="BA85" s="1" t="n">
        <f aca="false">AY85*($B85+D$13)</f>
        <v>0</v>
      </c>
      <c r="BB85" s="33" t="n">
        <f aca="false">IF(ISNUMBER(((BA85/AY85)+D$14+$K85)*AY85),((BA85/AY85)+D$14+$K85)*AY85,0)</f>
        <v>0</v>
      </c>
      <c r="BC85" s="44" t="n">
        <f aca="false">IF(AY85=0,0,bsd(1,BD$27,AZ85,$P85,$M85,$N85,$AH85,0.1))</f>
        <v>0</v>
      </c>
      <c r="BD85" s="44" t="n">
        <f aca="false">IF(AY85=0,0,bsd(2,BD$27,AZ85,$P85,$M85,$N85,$AH85,0.1))</f>
        <v>0</v>
      </c>
      <c r="BE85" s="44" t="n">
        <f aca="false">IF(AY85=0,0,bsd(BD$28,BD$27,AZ85,$P85,$M85,$N85,$AH85,0.1))</f>
        <v>0</v>
      </c>
      <c r="BF85" s="45" t="n">
        <f aca="false">AY85*BC85</f>
        <v>0</v>
      </c>
      <c r="BG85" s="45" t="n">
        <f aca="false">AY85*BD85</f>
        <v>0</v>
      </c>
      <c r="BH85" s="45" t="n">
        <f aca="false">AY85*BE85</f>
        <v>0</v>
      </c>
      <c r="BJ85" s="9" t="n">
        <f aca="false">IF($A85&gt;=BK$25,IF($A85&lt;=BK$26,$AI85,0),0)</f>
        <v>0</v>
      </c>
      <c r="BK85" s="9" t="e">
        <f aca="false">BM85/BJ85</f>
        <v>#DIV/0!</v>
      </c>
      <c r="BL85" s="1" t="n">
        <f aca="false">BJ85*($B85+F$13)</f>
        <v>0</v>
      </c>
      <c r="BM85" s="33" t="n">
        <f aca="false">IF(ISNUMBER(((BL85/BJ85)+F$14+$R85)*BJ85),((BL85/BJ85)+F$14+$R85)*BJ85,0)</f>
        <v>0</v>
      </c>
      <c r="BN85" s="44" t="n">
        <f aca="false">IF(BJ85=0,0,bsd(1,BO$27,BK85,$W85,$T85,$U85,$AH85,0.1))</f>
        <v>0</v>
      </c>
      <c r="BO85" s="44" t="n">
        <f aca="false">IF(BJ85=0,0,bsd(2,BO$27,BK85,$W85,$T85,$U85,$AH85,0.1))</f>
        <v>0</v>
      </c>
      <c r="BP85" s="44" t="n">
        <f aca="false">IF(BJ85=0,0,bsd(BO$28,BO$27,BK85,$W85,$T85,$U85,$AH85,0.1))</f>
        <v>0</v>
      </c>
      <c r="BQ85" s="45" t="n">
        <f aca="false">BJ85*BN85</f>
        <v>0</v>
      </c>
      <c r="BR85" s="45" t="n">
        <f aca="false">BJ85*BO85</f>
        <v>0</v>
      </c>
      <c r="BS85" s="45" t="n">
        <f aca="false">BJ85*BP85</f>
        <v>0</v>
      </c>
      <c r="BU85" s="9" t="n">
        <f aca="false">IF($A85&gt;=BV$25,IF($A85&lt;=BV$26,$AI85,0),0)</f>
        <v>0</v>
      </c>
      <c r="BV85" s="9" t="e">
        <f aca="false">BX85/BU85</f>
        <v>#DIV/0!</v>
      </c>
      <c r="BW85" s="1" t="n">
        <f aca="false">BU85*($B85+H$13)</f>
        <v>0</v>
      </c>
      <c r="BX85" s="33" t="n">
        <f aca="false">IF(ISNUMBER(((BW85/BU85)+H$14+$Y85)*BU85),((BW85/BU85)+H$14+$Y85)*BU85,0)</f>
        <v>0</v>
      </c>
      <c r="BY85" s="44" t="n">
        <f aca="false">IF(BU85=0,0,bsd(1,BZ$27,BV85,$AD85,$AA85,$AB85,$AH85,0.1))</f>
        <v>0</v>
      </c>
      <c r="BZ85" s="44" t="n">
        <f aca="false">IF(BU85=0,0,bsd(2,BZ$27,BV85,$AD85,$AA85,$AB85,$AH85,0.1))</f>
        <v>0</v>
      </c>
      <c r="CA85" s="44" t="n">
        <f aca="false">IF(BU85=0,0,bsd(BZ$28,BZ$27,BV85,$AD85,$AA85,$AB85,$AH85,0.1))</f>
        <v>0</v>
      </c>
      <c r="CB85" s="45" t="n">
        <f aca="false">BU85*BY85</f>
        <v>0</v>
      </c>
      <c r="CC85" s="45" t="n">
        <f aca="false">BU85*BZ85</f>
        <v>0</v>
      </c>
      <c r="CD85" s="45" t="n">
        <f aca="false">BU85*CA85</f>
        <v>0</v>
      </c>
    </row>
    <row r="86" customFormat="false" ht="12.75" hidden="false" customHeight="false" outlineLevel="0" collapsed="false">
      <c r="A86" s="48" t="n">
        <f aca="false">DATE(YEAR(A85),MONTH(A85)+1,1)</f>
        <v>38473</v>
      </c>
      <c r="B86" s="40" t="n">
        <f aca="false">VLOOKUP(A86,STRADDLE,5,FALSE())</f>
        <v>3.018</v>
      </c>
      <c r="C86" s="4" t="n">
        <f aca="false">VLOOKUP(A86,STRADDLE,8,FALSE())</f>
        <v>0.235</v>
      </c>
      <c r="D86" s="40" t="n">
        <f aca="false">IF(D$28="nymex",0,VLOOKUP($A86,curvesettle,HLOOKUP(D$28,curvesettle,2,FALSE())))</f>
        <v>0.405</v>
      </c>
      <c r="E86" s="131" t="n">
        <f aca="false">IF(ISNUMBER(VLOOKUP($A86,VOLCURVES,HLOOKUP(D$28,VOLCURVES,2,FALSE()),FALSE())),VLOOKUP($A86,VOLCURVES,HLOOKUP(D$28,VOLCURVES,2,FALSE()),FALSE()),1)</f>
        <v>0.98</v>
      </c>
      <c r="F86" s="136" t="n">
        <f aca="false">IF(D$28="NYMEX",$AG86,$AF86)</f>
        <v>-7457</v>
      </c>
      <c r="G86" s="4" t="e">
        <f aca="false">(($C86+H86)*$E86)+B$15</f>
        <v>#DIV/0!</v>
      </c>
      <c r="H86" s="4" t="e">
        <f aca="false">IF($B$16=1,VLOOKUP($A86,SkewTable,HLOOKUP(ROUND(I86-AO86,1),SkewTable,2,FALSE()),FALSE())/100,0)</f>
        <v>#DIV/0!</v>
      </c>
      <c r="I86" s="41" t="n">
        <f aca="false">IF($B$19=4,$AO86,$B$18)</f>
        <v>12</v>
      </c>
      <c r="K86" s="40" t="n">
        <f aca="false">IF(K$28="nymex",0,VLOOKUP($A86,curvesettle,HLOOKUP(K$28,curvesettle,2,FALSE())))</f>
        <v>-0.016</v>
      </c>
      <c r="L86" s="131" t="n">
        <f aca="false">IF(ISNUMBER(VLOOKUP($A86,VOLCURVES,HLOOKUP(K$28,VOLCURVES,2,FALSE()),FALSE())),VLOOKUP($A86,VOLCURVES,HLOOKUP(K$28,VOLCURVES,2,FALSE()),FALSE()),1)</f>
        <v>1</v>
      </c>
      <c r="M86" s="136" t="n">
        <f aca="false">IF(K$28="NYMEX",$AG86,$AF86)</f>
        <v>-7457</v>
      </c>
      <c r="N86" s="153" t="e">
        <f aca="false">(($C86+O86)*$L86)+D$15</f>
        <v>#DIV/0!</v>
      </c>
      <c r="O86" s="4" t="e">
        <f aca="false">IF($D$16=1,VLOOKUP($A86,SkewTable,HLOOKUP(ROUND(P86-AZ86,1),SkewTable,2,FALSE()),FALSE())/100,0)</f>
        <v>#DIV/0!</v>
      </c>
      <c r="P86" s="41" t="n">
        <f aca="false">IF($D$19=4,$AZ86,$D$18)</f>
        <v>3.75</v>
      </c>
      <c r="R86" s="40" t="n">
        <f aca="false">IF(R$28="nymex",0,VLOOKUP($A86,curvesettle,HLOOKUP(R$28,curvesettle,2,FALSE())))</f>
        <v>-0.016</v>
      </c>
      <c r="S86" s="131" t="n">
        <f aca="false">IF(ISNUMBER(VLOOKUP($A86,VOLCURVES,HLOOKUP(R$28,VOLCURVES,2,FALSE()),FALSE())),VLOOKUP($A86,VOLCURVES,HLOOKUP(R$28,VOLCURVES,2,FALSE()),FALSE()),1)</f>
        <v>1</v>
      </c>
      <c r="T86" s="136" t="n">
        <f aca="false">IF(R$28="NYMEX",$AG86,$AF86)</f>
        <v>-7457</v>
      </c>
      <c r="U86" s="153" t="e">
        <f aca="false">(($C86+V86)*$S86)+F$15</f>
        <v>#DIV/0!</v>
      </c>
      <c r="V86" s="4" t="e">
        <f aca="false">IF($F$16=1,VLOOKUP($A86,SkewTable,HLOOKUP(ROUND(W86-BK86,1),SkewTable,2,FALSE()),FALSE())/100,0)</f>
        <v>#DIV/0!</v>
      </c>
      <c r="W86" s="41" t="n">
        <f aca="false">IF($F$19=4,$BK86,$F$18)</f>
        <v>3.5</v>
      </c>
      <c r="X86" s="136"/>
      <c r="Y86" s="40" t="n">
        <f aca="false">IF(Y$28="nymex",0,VLOOKUP($A86,curvesettle,HLOOKUP(Y$28,curvesettle,2,FALSE())))</f>
        <v>-0.335</v>
      </c>
      <c r="Z86" s="131" t="n">
        <f aca="false">IF(ISNUMBER(VLOOKUP($A86,VOLCURVES,HLOOKUP(Y$28,VOLCURVES,2,FALSE()),FALSE())),VLOOKUP($A86,VOLCURVES,HLOOKUP(Y$28,VOLCURVES,2,FALSE()),FALSE()),1)</f>
        <v>1</v>
      </c>
      <c r="AA86" s="136" t="n">
        <f aca="false">IF(Y$28="NYMEX",$AG86,$AF86)</f>
        <v>-7457</v>
      </c>
      <c r="AB86" s="4" t="e">
        <f aca="false">(($C86+AC86)*$Z86)+H$15</f>
        <v>#DIV/0!</v>
      </c>
      <c r="AC86" s="4" t="e">
        <f aca="false">IF($H$16=1,VLOOKUP($A86,SkewTable,HLOOKUP(ROUND(AD86-BV86,1),SkewTable,2,FALSE()),FALSE())/100,0)</f>
        <v>#DIV/0!</v>
      </c>
      <c r="AD86" s="41" t="n">
        <f aca="false">IF($H$19=4,$BV86,$H$18)</f>
        <v>3</v>
      </c>
      <c r="AF86" s="136" t="n">
        <f aca="false">VLOOKUP($A86,expiration,2,FALSE())-$B$2</f>
        <v>-7457</v>
      </c>
      <c r="AG86" s="136" t="n">
        <f aca="false">VLOOKUP($A86,expiration,3,FALSE())-$B$2</f>
        <v>-7458</v>
      </c>
      <c r="AH86" s="4" t="n">
        <f aca="false">VLOOKUP($A86,STRADDLE,12,FALSE())</f>
        <v>0.068033026414695</v>
      </c>
      <c r="AI86" s="43" t="n">
        <f aca="false">A87-A86</f>
        <v>31</v>
      </c>
      <c r="AL86" s="136"/>
      <c r="AM86" s="9"/>
      <c r="AN86" s="9" t="n">
        <f aca="false">IF($A86&gt;=AO$25,IF($A86&lt;=AO$26,$AI86,0),0)</f>
        <v>0</v>
      </c>
      <c r="AO86" s="9" t="e">
        <f aca="false">AQ86/AN86</f>
        <v>#DIV/0!</v>
      </c>
      <c r="AP86" s="1" t="n">
        <f aca="false">AN86*($B86+B$13)</f>
        <v>0</v>
      </c>
      <c r="AQ86" s="33" t="n">
        <f aca="false">IF(ISNUMBER(((AP86/AN86)+B$14+$D86)*AN86),((AP86/AN86)+B$14+$D86)*AN86,0)</f>
        <v>0</v>
      </c>
      <c r="AR86" s="44" t="n">
        <f aca="false">IF(AN86=0,0,bsd(1,AS$27,AO86,$I86,$F86,$G86,$AH86,0.1))</f>
        <v>0</v>
      </c>
      <c r="AS86" s="44" t="n">
        <f aca="false">IF(AN86=0,0,bsd(2,AS$27,AO86,$I86,$F86,$G86,$AH86,0.1))</f>
        <v>0</v>
      </c>
      <c r="AT86" s="44" t="n">
        <f aca="false">IF(AN86=0,0,bsd(AS$28,AS$27,AO86,$I86,$F86,$G86,$AH86,0.1))</f>
        <v>0</v>
      </c>
      <c r="AU86" s="45" t="n">
        <f aca="false">AN86*AR86</f>
        <v>0</v>
      </c>
      <c r="AV86" s="45" t="n">
        <f aca="false">AN86*AS86</f>
        <v>0</v>
      </c>
      <c r="AW86" s="45" t="n">
        <f aca="false">AN86*AT86</f>
        <v>0</v>
      </c>
      <c r="AY86" s="9" t="n">
        <f aca="false">IF($A86&gt;=AZ$25,IF($A86&lt;=AZ$26,$AI86,0),0)</f>
        <v>0</v>
      </c>
      <c r="AZ86" s="9" t="e">
        <f aca="false">BB86/AY86</f>
        <v>#DIV/0!</v>
      </c>
      <c r="BA86" s="1" t="n">
        <f aca="false">AY86*($B86+D$13)</f>
        <v>0</v>
      </c>
      <c r="BB86" s="33" t="n">
        <f aca="false">IF(ISNUMBER(((BA86/AY86)+D$14+$K86)*AY86),((BA86/AY86)+D$14+$K86)*AY86,0)</f>
        <v>0</v>
      </c>
      <c r="BC86" s="44" t="n">
        <f aca="false">IF(AY86=0,0,bsd(1,BD$27,AZ86,$P86,$M86,$N86,$AH86,0.1))</f>
        <v>0</v>
      </c>
      <c r="BD86" s="44" t="n">
        <f aca="false">IF(AY86=0,0,bsd(2,BD$27,AZ86,$P86,$M86,$N86,$AH86,0.1))</f>
        <v>0</v>
      </c>
      <c r="BE86" s="44" t="n">
        <f aca="false">IF(AY86=0,0,bsd(BD$28,BD$27,AZ86,$P86,$M86,$N86,$AH86,0.1))</f>
        <v>0</v>
      </c>
      <c r="BF86" s="45" t="n">
        <f aca="false">AY86*BC86</f>
        <v>0</v>
      </c>
      <c r="BG86" s="45" t="n">
        <f aca="false">AY86*BD86</f>
        <v>0</v>
      </c>
      <c r="BH86" s="45" t="n">
        <f aca="false">AY86*BE86</f>
        <v>0</v>
      </c>
      <c r="BJ86" s="9" t="n">
        <f aca="false">IF($A86&gt;=BK$25,IF($A86&lt;=BK$26,$AI86,0),0)</f>
        <v>0</v>
      </c>
      <c r="BK86" s="9" t="e">
        <f aca="false">BM86/BJ86</f>
        <v>#DIV/0!</v>
      </c>
      <c r="BL86" s="1" t="n">
        <f aca="false">BJ86*($B86+F$13)</f>
        <v>0</v>
      </c>
      <c r="BM86" s="33" t="n">
        <f aca="false">IF(ISNUMBER(((BL86/BJ86)+F$14+$R86)*BJ86),((BL86/BJ86)+F$14+$R86)*BJ86,0)</f>
        <v>0</v>
      </c>
      <c r="BN86" s="44" t="n">
        <f aca="false">IF(BJ86=0,0,bsd(1,BO$27,BK86,$W86,$T86,$U86,$AH86,0.1))</f>
        <v>0</v>
      </c>
      <c r="BO86" s="44" t="n">
        <f aca="false">IF(BJ86=0,0,bsd(2,BO$27,BK86,$W86,$T86,$U86,$AH86,0.1))</f>
        <v>0</v>
      </c>
      <c r="BP86" s="44" t="n">
        <f aca="false">IF(BJ86=0,0,bsd(BO$28,BO$27,BK86,$W86,$T86,$U86,$AH86,0.1))</f>
        <v>0</v>
      </c>
      <c r="BQ86" s="45" t="n">
        <f aca="false">BJ86*BN86</f>
        <v>0</v>
      </c>
      <c r="BR86" s="45" t="n">
        <f aca="false">BJ86*BO86</f>
        <v>0</v>
      </c>
      <c r="BS86" s="45" t="n">
        <f aca="false">BJ86*BP86</f>
        <v>0</v>
      </c>
      <c r="BU86" s="9" t="n">
        <f aca="false">IF($A86&gt;=BV$25,IF($A86&lt;=BV$26,$AI86,0),0)</f>
        <v>0</v>
      </c>
      <c r="BV86" s="9" t="e">
        <f aca="false">BX86/BU86</f>
        <v>#DIV/0!</v>
      </c>
      <c r="BW86" s="1" t="n">
        <f aca="false">BU86*($B86+H$13)</f>
        <v>0</v>
      </c>
      <c r="BX86" s="33" t="n">
        <f aca="false">IF(ISNUMBER(((BW86/BU86)+H$14+$Y86)*BU86),((BW86/BU86)+H$14+$Y86)*BU86,0)</f>
        <v>0</v>
      </c>
      <c r="BY86" s="44" t="n">
        <f aca="false">IF(BU86=0,0,bsd(1,BZ$27,BV86,$AD86,$AA86,$AB86,$AH86,0.1))</f>
        <v>0</v>
      </c>
      <c r="BZ86" s="44" t="n">
        <f aca="false">IF(BU86=0,0,bsd(2,BZ$27,BV86,$AD86,$AA86,$AB86,$AH86,0.1))</f>
        <v>0</v>
      </c>
      <c r="CA86" s="44" t="n">
        <f aca="false">IF(BU86=0,0,bsd(BZ$28,BZ$27,BV86,$AD86,$AA86,$AB86,$AH86,0.1))</f>
        <v>0</v>
      </c>
      <c r="CB86" s="45" t="n">
        <f aca="false">BU86*BY86</f>
        <v>0</v>
      </c>
      <c r="CC86" s="45" t="n">
        <f aca="false">BU86*BZ86</f>
        <v>0</v>
      </c>
      <c r="CD86" s="45" t="n">
        <f aca="false">BU86*CA86</f>
        <v>0</v>
      </c>
    </row>
    <row r="87" customFormat="false" ht="12.75" hidden="false" customHeight="false" outlineLevel="0" collapsed="false">
      <c r="A87" s="48" t="n">
        <f aca="false">DATE(YEAR(A86),MONTH(A86)+1,1)</f>
        <v>38504</v>
      </c>
      <c r="B87" s="40" t="n">
        <f aca="false">VLOOKUP(A87,STRADDLE,5,FALSE())</f>
        <v>3.028</v>
      </c>
      <c r="C87" s="4" t="n">
        <f aca="false">VLOOKUP(A87,STRADDLE,8,FALSE())</f>
        <v>0.2325</v>
      </c>
      <c r="D87" s="40" t="n">
        <f aca="false">IF(D$28="nymex",0,VLOOKUP($A87,curvesettle,HLOOKUP(D$28,curvesettle,2,FALSE())))</f>
        <v>0.395</v>
      </c>
      <c r="E87" s="131" t="n">
        <f aca="false">IF(ISNUMBER(VLOOKUP($A87,VOLCURVES,HLOOKUP(D$28,VOLCURVES,2,FALSE()),FALSE())),VLOOKUP($A87,VOLCURVES,HLOOKUP(D$28,VOLCURVES,2,FALSE()),FALSE()),1)</f>
        <v>0.98</v>
      </c>
      <c r="F87" s="136" t="n">
        <f aca="false">IF(D$28="NYMEX",$AG87,$AF87)</f>
        <v>-7428</v>
      </c>
      <c r="G87" s="4" t="e">
        <f aca="false">(($C87+H87)*$E87)+B$15</f>
        <v>#DIV/0!</v>
      </c>
      <c r="H87" s="4" t="e">
        <f aca="false">IF($B$16=1,VLOOKUP($A87,SkewTable,HLOOKUP(ROUND(I87-AO87,1),SkewTable,2,FALSE()),FALSE())/100,0)</f>
        <v>#DIV/0!</v>
      </c>
      <c r="I87" s="41" t="n">
        <f aca="false">IF($B$19=4,$AO87,$B$18)</f>
        <v>12</v>
      </c>
      <c r="K87" s="40" t="n">
        <f aca="false">IF(K$28="nymex",0,VLOOKUP($A87,curvesettle,HLOOKUP(K$28,curvesettle,2,FALSE())))</f>
        <v>-0.016</v>
      </c>
      <c r="L87" s="131" t="n">
        <f aca="false">IF(ISNUMBER(VLOOKUP($A87,VOLCURVES,HLOOKUP(K$28,VOLCURVES,2,FALSE()),FALSE())),VLOOKUP($A87,VOLCURVES,HLOOKUP(K$28,VOLCURVES,2,FALSE()),FALSE()),1)</f>
        <v>1</v>
      </c>
      <c r="M87" s="136" t="n">
        <f aca="false">IF(K$28="NYMEX",$AG87,$AF87)</f>
        <v>-7428</v>
      </c>
      <c r="N87" s="153" t="e">
        <f aca="false">(($C87+O87)*$L87)+D$15</f>
        <v>#DIV/0!</v>
      </c>
      <c r="O87" s="4" t="e">
        <f aca="false">IF($D$16=1,VLOOKUP($A87,SkewTable,HLOOKUP(ROUND(P87-AZ87,1),SkewTable,2,FALSE()),FALSE())/100,0)</f>
        <v>#DIV/0!</v>
      </c>
      <c r="P87" s="41" t="n">
        <f aca="false">IF($D$19=4,$AZ87,$D$18)</f>
        <v>3.75</v>
      </c>
      <c r="R87" s="40" t="n">
        <f aca="false">IF(R$28="nymex",0,VLOOKUP($A87,curvesettle,HLOOKUP(R$28,curvesettle,2,FALSE())))</f>
        <v>-0.016</v>
      </c>
      <c r="S87" s="131" t="n">
        <f aca="false">IF(ISNUMBER(VLOOKUP($A87,VOLCURVES,HLOOKUP(R$28,VOLCURVES,2,FALSE()),FALSE())),VLOOKUP($A87,VOLCURVES,HLOOKUP(R$28,VOLCURVES,2,FALSE()),FALSE()),1)</f>
        <v>1</v>
      </c>
      <c r="T87" s="136" t="n">
        <f aca="false">IF(R$28="NYMEX",$AG87,$AF87)</f>
        <v>-7428</v>
      </c>
      <c r="U87" s="153" t="e">
        <f aca="false">(($C87+V87)*$S87)+F$15</f>
        <v>#DIV/0!</v>
      </c>
      <c r="V87" s="4" t="e">
        <f aca="false">IF($F$16=1,VLOOKUP($A87,SkewTable,HLOOKUP(ROUND(W87-BK87,1),SkewTable,2,FALSE()),FALSE())/100,0)</f>
        <v>#DIV/0!</v>
      </c>
      <c r="W87" s="41" t="n">
        <f aca="false">IF($F$19=4,$BK87,$F$18)</f>
        <v>3.5</v>
      </c>
      <c r="X87" s="136"/>
      <c r="Y87" s="40" t="n">
        <f aca="false">IF(Y$28="nymex",0,VLOOKUP($A87,curvesettle,HLOOKUP(Y$28,curvesettle,2,FALSE())))</f>
        <v>-0.335</v>
      </c>
      <c r="Z87" s="131" t="n">
        <f aca="false">IF(ISNUMBER(VLOOKUP($A87,VOLCURVES,HLOOKUP(Y$28,VOLCURVES,2,FALSE()),FALSE())),VLOOKUP($A87,VOLCURVES,HLOOKUP(Y$28,VOLCURVES,2,FALSE()),FALSE()),1)</f>
        <v>1</v>
      </c>
      <c r="AA87" s="136" t="n">
        <f aca="false">IF(Y$28="NYMEX",$AG87,$AF87)</f>
        <v>-7428</v>
      </c>
      <c r="AB87" s="4" t="e">
        <f aca="false">(($C87+AC87)*$Z87)+H$15</f>
        <v>#DIV/0!</v>
      </c>
      <c r="AC87" s="4" t="e">
        <f aca="false">IF($H$16=1,VLOOKUP($A87,SkewTable,HLOOKUP(ROUND(AD87-BV87,1),SkewTable,2,FALSE()),FALSE())/100,0)</f>
        <v>#DIV/0!</v>
      </c>
      <c r="AD87" s="41" t="n">
        <f aca="false">IF($H$19=4,$BV87,$H$18)</f>
        <v>3</v>
      </c>
      <c r="AF87" s="136" t="n">
        <f aca="false">VLOOKUP($A87,expiration,2,FALSE())-$B$2</f>
        <v>-7428</v>
      </c>
      <c r="AG87" s="136" t="n">
        <f aca="false">VLOOKUP($A87,expiration,3,FALSE())-$B$2</f>
        <v>-7429</v>
      </c>
      <c r="AH87" s="4" t="n">
        <f aca="false">VLOOKUP($A87,STRADDLE,12,FALSE())</f>
        <v>0.068083886876256</v>
      </c>
      <c r="AI87" s="43" t="n">
        <f aca="false">A88-A87</f>
        <v>30</v>
      </c>
      <c r="AL87" s="136"/>
      <c r="AM87" s="9"/>
      <c r="AN87" s="9" t="n">
        <f aca="false">IF($A87&gt;=AO$25,IF($A87&lt;=AO$26,$AI87,0),0)</f>
        <v>0</v>
      </c>
      <c r="AO87" s="9" t="e">
        <f aca="false">AQ87/AN87</f>
        <v>#DIV/0!</v>
      </c>
      <c r="AP87" s="1" t="n">
        <f aca="false">AN87*($B87+B$13)</f>
        <v>0</v>
      </c>
      <c r="AQ87" s="33" t="n">
        <f aca="false">IF(ISNUMBER(((AP87/AN87)+B$14+$D87)*AN87),((AP87/AN87)+B$14+$D87)*AN87,0)</f>
        <v>0</v>
      </c>
      <c r="AR87" s="44" t="n">
        <f aca="false">IF(AN87=0,0,bsd(1,AS$27,AO87,$I87,$F87,$G87,$AH87,0.1))</f>
        <v>0</v>
      </c>
      <c r="AS87" s="44" t="n">
        <f aca="false">IF(AN87=0,0,bsd(2,AS$27,AO87,$I87,$F87,$G87,$AH87,0.1))</f>
        <v>0</v>
      </c>
      <c r="AT87" s="44" t="n">
        <f aca="false">IF(AN87=0,0,bsd(AS$28,AS$27,AO87,$I87,$F87,$G87,$AH87,0.1))</f>
        <v>0</v>
      </c>
      <c r="AU87" s="45" t="n">
        <f aca="false">AN87*AR87</f>
        <v>0</v>
      </c>
      <c r="AV87" s="45" t="n">
        <f aca="false">AN87*AS87</f>
        <v>0</v>
      </c>
      <c r="AW87" s="45" t="n">
        <f aca="false">AN87*AT87</f>
        <v>0</v>
      </c>
      <c r="AY87" s="9" t="n">
        <f aca="false">IF($A87&gt;=AZ$25,IF($A87&lt;=AZ$26,$AI87,0),0)</f>
        <v>0</v>
      </c>
      <c r="AZ87" s="9" t="e">
        <f aca="false">BB87/AY87</f>
        <v>#DIV/0!</v>
      </c>
      <c r="BA87" s="1" t="n">
        <f aca="false">AY87*($B87+D$13)</f>
        <v>0</v>
      </c>
      <c r="BB87" s="33" t="n">
        <f aca="false">IF(ISNUMBER(((BA87/AY87)+D$14+$K87)*AY87),((BA87/AY87)+D$14+$K87)*AY87,0)</f>
        <v>0</v>
      </c>
      <c r="BC87" s="44" t="n">
        <f aca="false">IF(AY87=0,0,bsd(1,BD$27,AZ87,$P87,$M87,$N87,$AH87,0.1))</f>
        <v>0</v>
      </c>
      <c r="BD87" s="44" t="n">
        <f aca="false">IF(AY87=0,0,bsd(2,BD$27,AZ87,$P87,$M87,$N87,$AH87,0.1))</f>
        <v>0</v>
      </c>
      <c r="BE87" s="44" t="n">
        <f aca="false">IF(AY87=0,0,bsd(BD$28,BD$27,AZ87,$P87,$M87,$N87,$AH87,0.1))</f>
        <v>0</v>
      </c>
      <c r="BF87" s="45" t="n">
        <f aca="false">AY87*BC87</f>
        <v>0</v>
      </c>
      <c r="BG87" s="45" t="n">
        <f aca="false">AY87*BD87</f>
        <v>0</v>
      </c>
      <c r="BH87" s="45" t="n">
        <f aca="false">AY87*BE87</f>
        <v>0</v>
      </c>
      <c r="BJ87" s="9" t="n">
        <f aca="false">IF($A87&gt;=BK$25,IF($A87&lt;=BK$26,$AI87,0),0)</f>
        <v>0</v>
      </c>
      <c r="BK87" s="9" t="e">
        <f aca="false">BM87/BJ87</f>
        <v>#DIV/0!</v>
      </c>
      <c r="BL87" s="1" t="n">
        <f aca="false">BJ87*($B87+F$13)</f>
        <v>0</v>
      </c>
      <c r="BM87" s="33" t="n">
        <f aca="false">IF(ISNUMBER(((BL87/BJ87)+F$14+$R87)*BJ87),((BL87/BJ87)+F$14+$R87)*BJ87,0)</f>
        <v>0</v>
      </c>
      <c r="BN87" s="44" t="n">
        <f aca="false">IF(BJ87=0,0,bsd(1,BO$27,BK87,$W87,$T87,$U87,$AH87,0.1))</f>
        <v>0</v>
      </c>
      <c r="BO87" s="44" t="n">
        <f aca="false">IF(BJ87=0,0,bsd(2,BO$27,BK87,$W87,$T87,$U87,$AH87,0.1))</f>
        <v>0</v>
      </c>
      <c r="BP87" s="44" t="n">
        <f aca="false">IF(BJ87=0,0,bsd(BO$28,BO$27,BK87,$W87,$T87,$U87,$AH87,0.1))</f>
        <v>0</v>
      </c>
      <c r="BQ87" s="45" t="n">
        <f aca="false">BJ87*BN87</f>
        <v>0</v>
      </c>
      <c r="BR87" s="45" t="n">
        <f aca="false">BJ87*BO87</f>
        <v>0</v>
      </c>
      <c r="BS87" s="45" t="n">
        <f aca="false">BJ87*BP87</f>
        <v>0</v>
      </c>
      <c r="BU87" s="9" t="n">
        <f aca="false">IF($A87&gt;=BV$25,IF($A87&lt;=BV$26,$AI87,0),0)</f>
        <v>0</v>
      </c>
      <c r="BV87" s="9" t="e">
        <f aca="false">BX87/BU87</f>
        <v>#DIV/0!</v>
      </c>
      <c r="BW87" s="1" t="n">
        <f aca="false">BU87*($B87+H$13)</f>
        <v>0</v>
      </c>
      <c r="BX87" s="33" t="n">
        <f aca="false">IF(ISNUMBER(((BW87/BU87)+H$14+$Y87)*BU87),((BW87/BU87)+H$14+$Y87)*BU87,0)</f>
        <v>0</v>
      </c>
      <c r="BY87" s="44" t="n">
        <f aca="false">IF(BU87=0,0,bsd(1,BZ$27,BV87,$AD87,$AA87,$AB87,$AH87,0.1))</f>
        <v>0</v>
      </c>
      <c r="BZ87" s="44" t="n">
        <f aca="false">IF(BU87=0,0,bsd(2,BZ$27,BV87,$AD87,$AA87,$AB87,$AH87,0.1))</f>
        <v>0</v>
      </c>
      <c r="CA87" s="44" t="n">
        <f aca="false">IF(BU87=0,0,bsd(BZ$28,BZ$27,BV87,$AD87,$AA87,$AB87,$AH87,0.1))</f>
        <v>0</v>
      </c>
      <c r="CB87" s="45" t="n">
        <f aca="false">BU87*BY87</f>
        <v>0</v>
      </c>
      <c r="CC87" s="45" t="n">
        <f aca="false">BU87*BZ87</f>
        <v>0</v>
      </c>
      <c r="CD87" s="45" t="n">
        <f aca="false">BU87*CA87</f>
        <v>0</v>
      </c>
    </row>
    <row r="88" customFormat="false" ht="12.75" hidden="false" customHeight="false" outlineLevel="0" collapsed="false">
      <c r="A88" s="48" t="n">
        <f aca="false">DATE(YEAR(A87),MONTH(A87)+1,1)</f>
        <v>38534</v>
      </c>
      <c r="B88" s="40" t="n">
        <f aca="false">VLOOKUP(A88,STRADDLE,5,FALSE())</f>
        <v>3.036</v>
      </c>
      <c r="C88" s="4" t="n">
        <f aca="false">VLOOKUP(A88,STRADDLE,8,FALSE())</f>
        <v>0.2325</v>
      </c>
      <c r="D88" s="40" t="n">
        <f aca="false">IF(D$28="nymex",0,VLOOKUP($A88,curvesettle,HLOOKUP(D$28,curvesettle,2,FALSE())))</f>
        <v>0.43</v>
      </c>
      <c r="E88" s="131" t="n">
        <f aca="false">IF(ISNUMBER(VLOOKUP($A88,VOLCURVES,HLOOKUP(D$28,VOLCURVES,2,FALSE()),FALSE())),VLOOKUP($A88,VOLCURVES,HLOOKUP(D$28,VOLCURVES,2,FALSE()),FALSE()),1)</f>
        <v>0.98</v>
      </c>
      <c r="F88" s="136" t="n">
        <f aca="false">IF(D$28="NYMEX",$AG88,$AF88)</f>
        <v>-7395</v>
      </c>
      <c r="G88" s="4" t="e">
        <f aca="false">(($C88+H88)*$E88)+B$15</f>
        <v>#DIV/0!</v>
      </c>
      <c r="H88" s="4" t="e">
        <f aca="false">IF($B$16=1,VLOOKUP($A88,SkewTable,HLOOKUP(ROUND(I88-AO88,1),SkewTable,2,FALSE()),FALSE())/100,0)</f>
        <v>#DIV/0!</v>
      </c>
      <c r="I88" s="41" t="n">
        <f aca="false">IF($B$19=4,$AO88,$B$18)</f>
        <v>12</v>
      </c>
      <c r="K88" s="40" t="n">
        <f aca="false">IF(K$28="nymex",0,VLOOKUP($A88,curvesettle,HLOOKUP(K$28,curvesettle,2,FALSE())))</f>
        <v>-0.016</v>
      </c>
      <c r="L88" s="131" t="n">
        <f aca="false">IF(ISNUMBER(VLOOKUP($A88,VOLCURVES,HLOOKUP(K$28,VOLCURVES,2,FALSE()),FALSE())),VLOOKUP($A88,VOLCURVES,HLOOKUP(K$28,VOLCURVES,2,FALSE()),FALSE()),1)</f>
        <v>1</v>
      </c>
      <c r="M88" s="136" t="n">
        <f aca="false">IF(K$28="NYMEX",$AG88,$AF88)</f>
        <v>-7395</v>
      </c>
      <c r="N88" s="153" t="e">
        <f aca="false">(($C88+O88)*$L88)+D$15</f>
        <v>#DIV/0!</v>
      </c>
      <c r="O88" s="4" t="e">
        <f aca="false">IF($D$16=1,VLOOKUP($A88,SkewTable,HLOOKUP(ROUND(P88-AZ88,1),SkewTable,2,FALSE()),FALSE())/100,0)</f>
        <v>#DIV/0!</v>
      </c>
      <c r="P88" s="41" t="n">
        <f aca="false">IF($D$19=4,$AZ88,$D$18)</f>
        <v>3.75</v>
      </c>
      <c r="R88" s="40" t="n">
        <f aca="false">IF(R$28="nymex",0,VLOOKUP($A88,curvesettle,HLOOKUP(R$28,curvesettle,2,FALSE())))</f>
        <v>-0.016</v>
      </c>
      <c r="S88" s="131" t="n">
        <f aca="false">IF(ISNUMBER(VLOOKUP($A88,VOLCURVES,HLOOKUP(R$28,VOLCURVES,2,FALSE()),FALSE())),VLOOKUP($A88,VOLCURVES,HLOOKUP(R$28,VOLCURVES,2,FALSE()),FALSE()),1)</f>
        <v>1</v>
      </c>
      <c r="T88" s="136" t="n">
        <f aca="false">IF(R$28="NYMEX",$AG88,$AF88)</f>
        <v>-7395</v>
      </c>
      <c r="U88" s="153" t="e">
        <f aca="false">(($C88+V88)*$S88)+F$15</f>
        <v>#DIV/0!</v>
      </c>
      <c r="V88" s="4" t="e">
        <f aca="false">IF($F$16=1,VLOOKUP($A88,SkewTable,HLOOKUP(ROUND(W88-BK88,1),SkewTable,2,FALSE()),FALSE())/100,0)</f>
        <v>#DIV/0!</v>
      </c>
      <c r="W88" s="41" t="n">
        <f aca="false">IF($F$19=4,$BK88,$F$18)</f>
        <v>3.5</v>
      </c>
      <c r="X88" s="136"/>
      <c r="Y88" s="40" t="n">
        <f aca="false">IF(Y$28="nymex",0,VLOOKUP($A88,curvesettle,HLOOKUP(Y$28,curvesettle,2,FALSE())))</f>
        <v>-0.335</v>
      </c>
      <c r="Z88" s="131" t="n">
        <f aca="false">IF(ISNUMBER(VLOOKUP($A88,VOLCURVES,HLOOKUP(Y$28,VOLCURVES,2,FALSE()),FALSE())),VLOOKUP($A88,VOLCURVES,HLOOKUP(Y$28,VOLCURVES,2,FALSE()),FALSE()),1)</f>
        <v>1</v>
      </c>
      <c r="AA88" s="136" t="n">
        <f aca="false">IF(Y$28="NYMEX",$AG88,$AF88)</f>
        <v>-7395</v>
      </c>
      <c r="AB88" s="4" t="e">
        <f aca="false">(($C88+AC88)*$Z88)+H$15</f>
        <v>#DIV/0!</v>
      </c>
      <c r="AC88" s="4" t="e">
        <f aca="false">IF($H$16=1,VLOOKUP($A88,SkewTable,HLOOKUP(ROUND(AD88-BV88,1),SkewTable,2,FALSE()),FALSE())/100,0)</f>
        <v>#DIV/0!</v>
      </c>
      <c r="AD88" s="41" t="n">
        <f aca="false">IF($H$19=4,$BV88,$H$18)</f>
        <v>3</v>
      </c>
      <c r="AF88" s="136" t="n">
        <f aca="false">VLOOKUP($A88,expiration,2,FALSE())-$B$2</f>
        <v>-7395</v>
      </c>
      <c r="AG88" s="136" t="n">
        <f aca="false">VLOOKUP($A88,expiration,3,FALSE())-$B$2</f>
        <v>-7396</v>
      </c>
      <c r="AH88" s="4" t="n">
        <f aca="false">VLOOKUP($A88,STRADDLE,12,FALSE())</f>
        <v>0.068133106678583</v>
      </c>
      <c r="AI88" s="43" t="n">
        <f aca="false">A89-A88</f>
        <v>31</v>
      </c>
      <c r="AL88" s="136"/>
      <c r="AM88" s="9"/>
      <c r="AN88" s="9" t="n">
        <f aca="false">IF($A88&gt;=AO$25,IF($A88&lt;=AO$26,$AI88,0),0)</f>
        <v>0</v>
      </c>
      <c r="AO88" s="9" t="e">
        <f aca="false">AQ88/AN88</f>
        <v>#DIV/0!</v>
      </c>
      <c r="AP88" s="1" t="n">
        <f aca="false">AN88*($B88+B$13)</f>
        <v>0</v>
      </c>
      <c r="AQ88" s="33" t="n">
        <f aca="false">IF(ISNUMBER(((AP88/AN88)+B$14+$D88)*AN88),((AP88/AN88)+B$14+$D88)*AN88,0)</f>
        <v>0</v>
      </c>
      <c r="AR88" s="44" t="n">
        <f aca="false">IF(AN88=0,0,bsd(1,AS$27,AO88,$I88,$F88,$G88,$AH88,0.1))</f>
        <v>0</v>
      </c>
      <c r="AS88" s="44" t="n">
        <f aca="false">IF(AN88=0,0,bsd(2,AS$27,AO88,$I88,$F88,$G88,$AH88,0.1))</f>
        <v>0</v>
      </c>
      <c r="AT88" s="44" t="n">
        <f aca="false">IF(AN88=0,0,bsd(AS$28,AS$27,AO88,$I88,$F88,$G88,$AH88,0.1))</f>
        <v>0</v>
      </c>
      <c r="AU88" s="45" t="n">
        <f aca="false">AN88*AR88</f>
        <v>0</v>
      </c>
      <c r="AV88" s="45" t="n">
        <f aca="false">AN88*AS88</f>
        <v>0</v>
      </c>
      <c r="AW88" s="45" t="n">
        <f aca="false">AN88*AT88</f>
        <v>0</v>
      </c>
      <c r="AY88" s="9" t="n">
        <f aca="false">IF($A88&gt;=AZ$25,IF($A88&lt;=AZ$26,$AI88,0),0)</f>
        <v>0</v>
      </c>
      <c r="AZ88" s="9" t="e">
        <f aca="false">BB88/AY88</f>
        <v>#DIV/0!</v>
      </c>
      <c r="BA88" s="1" t="n">
        <f aca="false">AY88*($B88+D$13)</f>
        <v>0</v>
      </c>
      <c r="BB88" s="33" t="n">
        <f aca="false">IF(ISNUMBER(((BA88/AY88)+D$14+$K88)*AY88),((BA88/AY88)+D$14+$K88)*AY88,0)</f>
        <v>0</v>
      </c>
      <c r="BC88" s="44" t="n">
        <f aca="false">IF(AY88=0,0,bsd(1,BD$27,AZ88,$P88,$M88,$N88,$AH88,0.1))</f>
        <v>0</v>
      </c>
      <c r="BD88" s="44" t="n">
        <f aca="false">IF(AY88=0,0,bsd(2,BD$27,AZ88,$P88,$M88,$N88,$AH88,0.1))</f>
        <v>0</v>
      </c>
      <c r="BE88" s="44" t="n">
        <f aca="false">IF(AY88=0,0,bsd(BD$28,BD$27,AZ88,$P88,$M88,$N88,$AH88,0.1))</f>
        <v>0</v>
      </c>
      <c r="BF88" s="45" t="n">
        <f aca="false">AY88*BC88</f>
        <v>0</v>
      </c>
      <c r="BG88" s="45" t="n">
        <f aca="false">AY88*BD88</f>
        <v>0</v>
      </c>
      <c r="BH88" s="45" t="n">
        <f aca="false">AY88*BE88</f>
        <v>0</v>
      </c>
      <c r="BJ88" s="9" t="n">
        <f aca="false">IF($A88&gt;=BK$25,IF($A88&lt;=BK$26,$AI88,0),0)</f>
        <v>0</v>
      </c>
      <c r="BK88" s="9" t="e">
        <f aca="false">BM88/BJ88</f>
        <v>#DIV/0!</v>
      </c>
      <c r="BL88" s="1" t="n">
        <f aca="false">BJ88*($B88+F$13)</f>
        <v>0</v>
      </c>
      <c r="BM88" s="33" t="n">
        <f aca="false">IF(ISNUMBER(((BL88/BJ88)+F$14+$R88)*BJ88),((BL88/BJ88)+F$14+$R88)*BJ88,0)</f>
        <v>0</v>
      </c>
      <c r="BN88" s="44" t="n">
        <f aca="false">IF(BJ88=0,0,bsd(1,BO$27,BK88,$W88,$T88,$U88,$AH88,0.1))</f>
        <v>0</v>
      </c>
      <c r="BO88" s="44" t="n">
        <f aca="false">IF(BJ88=0,0,bsd(2,BO$27,BK88,$W88,$T88,$U88,$AH88,0.1))</f>
        <v>0</v>
      </c>
      <c r="BP88" s="44" t="n">
        <f aca="false">IF(BJ88=0,0,bsd(BO$28,BO$27,BK88,$W88,$T88,$U88,$AH88,0.1))</f>
        <v>0</v>
      </c>
      <c r="BQ88" s="45" t="n">
        <f aca="false">BJ88*BN88</f>
        <v>0</v>
      </c>
      <c r="BR88" s="45" t="n">
        <f aca="false">BJ88*BO88</f>
        <v>0</v>
      </c>
      <c r="BS88" s="45" t="n">
        <f aca="false">BJ88*BP88</f>
        <v>0</v>
      </c>
      <c r="BU88" s="9" t="n">
        <f aca="false">IF($A88&gt;=BV$25,IF($A88&lt;=BV$26,$AI88,0),0)</f>
        <v>0</v>
      </c>
      <c r="BV88" s="9" t="e">
        <f aca="false">BX88/BU88</f>
        <v>#DIV/0!</v>
      </c>
      <c r="BW88" s="1" t="n">
        <f aca="false">BU88*($B88+H$13)</f>
        <v>0</v>
      </c>
      <c r="BX88" s="33" t="n">
        <f aca="false">IF(ISNUMBER(((BW88/BU88)+H$14+$Y88)*BU88),((BW88/BU88)+H$14+$Y88)*BU88,0)</f>
        <v>0</v>
      </c>
      <c r="BY88" s="44" t="n">
        <f aca="false">IF(BU88=0,0,bsd(1,BZ$27,BV88,$AD88,$AA88,$AB88,$AH88,0.1))</f>
        <v>0</v>
      </c>
      <c r="BZ88" s="44" t="n">
        <f aca="false">IF(BU88=0,0,bsd(2,BZ$27,BV88,$AD88,$AA88,$AB88,$AH88,0.1))</f>
        <v>0</v>
      </c>
      <c r="CA88" s="44" t="n">
        <f aca="false">IF(BU88=0,0,bsd(BZ$28,BZ$27,BV88,$AD88,$AA88,$AB88,$AH88,0.1))</f>
        <v>0</v>
      </c>
      <c r="CB88" s="45" t="n">
        <f aca="false">BU88*BY88</f>
        <v>0</v>
      </c>
      <c r="CC88" s="45" t="n">
        <f aca="false">BU88*BZ88</f>
        <v>0</v>
      </c>
      <c r="CD88" s="45" t="n">
        <f aca="false">BU88*CA88</f>
        <v>0</v>
      </c>
    </row>
    <row r="89" customFormat="false" ht="12.75" hidden="false" customHeight="false" outlineLevel="0" collapsed="false">
      <c r="A89" s="48" t="n">
        <f aca="false">DATE(YEAR(A88),MONTH(A88)+1,1)</f>
        <v>38565</v>
      </c>
      <c r="B89" s="40" t="n">
        <f aca="false">VLOOKUP(A89,STRADDLE,5,FALSE())</f>
        <v>3.043</v>
      </c>
      <c r="C89" s="4" t="n">
        <f aca="false">VLOOKUP(A89,STRADDLE,8,FALSE())</f>
        <v>0.2325</v>
      </c>
      <c r="D89" s="40" t="n">
        <f aca="false">IF(D$28="nymex",0,VLOOKUP($A89,curvesettle,HLOOKUP(D$28,curvesettle,2,FALSE())))</f>
        <v>0.495</v>
      </c>
      <c r="E89" s="131" t="n">
        <f aca="false">IF(ISNUMBER(VLOOKUP($A89,VOLCURVES,HLOOKUP(D$28,VOLCURVES,2,FALSE()),FALSE())),VLOOKUP($A89,VOLCURVES,HLOOKUP(D$28,VOLCURVES,2,FALSE()),FALSE()),1)</f>
        <v>0.98</v>
      </c>
      <c r="F89" s="136" t="n">
        <f aca="false">IF(D$28="NYMEX",$AG89,$AF89)</f>
        <v>-7366</v>
      </c>
      <c r="G89" s="4" t="e">
        <f aca="false">(($C89+H89)*$E89)+B$15</f>
        <v>#DIV/0!</v>
      </c>
      <c r="H89" s="4" t="e">
        <f aca="false">IF($B$16=1,VLOOKUP($A89,SkewTable,HLOOKUP(ROUND(I89-AO89,1),SkewTable,2,FALSE()),FALSE())/100,0)</f>
        <v>#DIV/0!</v>
      </c>
      <c r="I89" s="41" t="n">
        <f aca="false">IF($B$19=4,$AO89,$B$18)</f>
        <v>12</v>
      </c>
      <c r="K89" s="40" t="n">
        <f aca="false">IF(K$28="nymex",0,VLOOKUP($A89,curvesettle,HLOOKUP(K$28,curvesettle,2,FALSE())))</f>
        <v>-0.016</v>
      </c>
      <c r="L89" s="131" t="n">
        <f aca="false">IF(ISNUMBER(VLOOKUP($A89,VOLCURVES,HLOOKUP(K$28,VOLCURVES,2,FALSE()),FALSE())),VLOOKUP($A89,VOLCURVES,HLOOKUP(K$28,VOLCURVES,2,FALSE()),FALSE()),1)</f>
        <v>1</v>
      </c>
      <c r="M89" s="136" t="n">
        <f aca="false">IF(K$28="NYMEX",$AG89,$AF89)</f>
        <v>-7366</v>
      </c>
      <c r="N89" s="153" t="e">
        <f aca="false">(($C89+O89)*$L89)+D$15</f>
        <v>#DIV/0!</v>
      </c>
      <c r="O89" s="4" t="e">
        <f aca="false">IF($D$16=1,VLOOKUP($A89,SkewTable,HLOOKUP(ROUND(P89-AZ89,1),SkewTable,2,FALSE()),FALSE())/100,0)</f>
        <v>#DIV/0!</v>
      </c>
      <c r="P89" s="41" t="n">
        <f aca="false">IF($D$19=4,$AZ89,$D$18)</f>
        <v>3.75</v>
      </c>
      <c r="R89" s="40" t="n">
        <f aca="false">IF(R$28="nymex",0,VLOOKUP($A89,curvesettle,HLOOKUP(R$28,curvesettle,2,FALSE())))</f>
        <v>-0.016</v>
      </c>
      <c r="S89" s="131" t="n">
        <f aca="false">IF(ISNUMBER(VLOOKUP($A89,VOLCURVES,HLOOKUP(R$28,VOLCURVES,2,FALSE()),FALSE())),VLOOKUP($A89,VOLCURVES,HLOOKUP(R$28,VOLCURVES,2,FALSE()),FALSE()),1)</f>
        <v>1</v>
      </c>
      <c r="T89" s="136" t="n">
        <f aca="false">IF(R$28="NYMEX",$AG89,$AF89)</f>
        <v>-7366</v>
      </c>
      <c r="U89" s="153" t="e">
        <f aca="false">(($C89+V89)*$S89)+F$15</f>
        <v>#DIV/0!</v>
      </c>
      <c r="V89" s="4" t="e">
        <f aca="false">IF($F$16=1,VLOOKUP($A89,SkewTable,HLOOKUP(ROUND(W89-BK89,1),SkewTable,2,FALSE()),FALSE())/100,0)</f>
        <v>#DIV/0!</v>
      </c>
      <c r="W89" s="41" t="n">
        <f aca="false">IF($F$19=4,$BK89,$F$18)</f>
        <v>3.5</v>
      </c>
      <c r="X89" s="136"/>
      <c r="Y89" s="40" t="n">
        <f aca="false">IF(Y$28="nymex",0,VLOOKUP($A89,curvesettle,HLOOKUP(Y$28,curvesettle,2,FALSE())))</f>
        <v>-0.335</v>
      </c>
      <c r="Z89" s="131" t="n">
        <f aca="false">IF(ISNUMBER(VLOOKUP($A89,VOLCURVES,HLOOKUP(Y$28,VOLCURVES,2,FALSE()),FALSE())),VLOOKUP($A89,VOLCURVES,HLOOKUP(Y$28,VOLCURVES,2,FALSE()),FALSE()),1)</f>
        <v>1</v>
      </c>
      <c r="AA89" s="136" t="n">
        <f aca="false">IF(Y$28="NYMEX",$AG89,$AF89)</f>
        <v>-7366</v>
      </c>
      <c r="AB89" s="4" t="e">
        <f aca="false">(($C89+AC89)*$Z89)+H$15</f>
        <v>#DIV/0!</v>
      </c>
      <c r="AC89" s="4" t="e">
        <f aca="false">IF($H$16=1,VLOOKUP($A89,SkewTable,HLOOKUP(ROUND(AD89-BV89,1),SkewTable,2,FALSE()),FALSE())/100,0)</f>
        <v>#DIV/0!</v>
      </c>
      <c r="AD89" s="41" t="n">
        <f aca="false">IF($H$19=4,$BV89,$H$18)</f>
        <v>3</v>
      </c>
      <c r="AF89" s="136" t="n">
        <f aca="false">VLOOKUP($A89,expiration,2,FALSE())-$B$2</f>
        <v>-7366</v>
      </c>
      <c r="AG89" s="136" t="n">
        <f aca="false">VLOOKUP($A89,expiration,3,FALSE())-$B$2</f>
        <v>-7367</v>
      </c>
      <c r="AH89" s="4" t="n">
        <f aca="false">VLOOKUP($A89,STRADDLE,12,FALSE())</f>
        <v>0.068183967141829</v>
      </c>
      <c r="AI89" s="43" t="n">
        <f aca="false">A90-A89</f>
        <v>31</v>
      </c>
      <c r="AL89" s="136"/>
      <c r="AM89" s="9"/>
      <c r="AN89" s="9" t="n">
        <f aca="false">IF($A89&gt;=AO$25,IF($A89&lt;=AO$26,$AI89,0),0)</f>
        <v>0</v>
      </c>
      <c r="AO89" s="9" t="e">
        <f aca="false">AQ89/AN89</f>
        <v>#DIV/0!</v>
      </c>
      <c r="AP89" s="1" t="n">
        <f aca="false">AN89*($B89+B$13)</f>
        <v>0</v>
      </c>
      <c r="AQ89" s="33" t="n">
        <f aca="false">IF(ISNUMBER(((AP89/AN89)+B$14+$D89)*AN89),((AP89/AN89)+B$14+$D89)*AN89,0)</f>
        <v>0</v>
      </c>
      <c r="AR89" s="44" t="n">
        <f aca="false">IF(AN89=0,0,bsd(1,AS$27,AO89,$I89,$F89,$G89,$AH89,0.1))</f>
        <v>0</v>
      </c>
      <c r="AS89" s="44" t="n">
        <f aca="false">IF(AN89=0,0,bsd(2,AS$27,AO89,$I89,$F89,$G89,$AH89,0.1))</f>
        <v>0</v>
      </c>
      <c r="AT89" s="44" t="n">
        <f aca="false">IF(AN89=0,0,bsd(AS$28,AS$27,AO89,$I89,$F89,$G89,$AH89,0.1))</f>
        <v>0</v>
      </c>
      <c r="AU89" s="45" t="n">
        <f aca="false">AN89*AR89</f>
        <v>0</v>
      </c>
      <c r="AV89" s="45" t="n">
        <f aca="false">AN89*AS89</f>
        <v>0</v>
      </c>
      <c r="AW89" s="45" t="n">
        <f aca="false">AN89*AT89</f>
        <v>0</v>
      </c>
      <c r="AY89" s="9" t="n">
        <f aca="false">IF($A89&gt;=AZ$25,IF($A89&lt;=AZ$26,$AI89,0),0)</f>
        <v>0</v>
      </c>
      <c r="AZ89" s="9" t="e">
        <f aca="false">BB89/AY89</f>
        <v>#DIV/0!</v>
      </c>
      <c r="BA89" s="1" t="n">
        <f aca="false">AY89*($B89+D$13)</f>
        <v>0</v>
      </c>
      <c r="BB89" s="33" t="n">
        <f aca="false">IF(ISNUMBER(((BA89/AY89)+D$14+$K89)*AY89),((BA89/AY89)+D$14+$K89)*AY89,0)</f>
        <v>0</v>
      </c>
      <c r="BC89" s="44" t="n">
        <f aca="false">IF(AY89=0,0,bsd(1,BD$27,AZ89,$P89,$M89,$N89,$AH89,0.1))</f>
        <v>0</v>
      </c>
      <c r="BD89" s="44" t="n">
        <f aca="false">IF(AY89=0,0,bsd(2,BD$27,AZ89,$P89,$M89,$N89,$AH89,0.1))</f>
        <v>0</v>
      </c>
      <c r="BE89" s="44" t="n">
        <f aca="false">IF(AY89=0,0,bsd(BD$28,BD$27,AZ89,$P89,$M89,$N89,$AH89,0.1))</f>
        <v>0</v>
      </c>
      <c r="BF89" s="45" t="n">
        <f aca="false">AY89*BC89</f>
        <v>0</v>
      </c>
      <c r="BG89" s="45" t="n">
        <f aca="false">AY89*BD89</f>
        <v>0</v>
      </c>
      <c r="BH89" s="45" t="n">
        <f aca="false">AY89*BE89</f>
        <v>0</v>
      </c>
      <c r="BJ89" s="9" t="n">
        <f aca="false">IF($A89&gt;=BK$25,IF($A89&lt;=BK$26,$AI89,0),0)</f>
        <v>0</v>
      </c>
      <c r="BK89" s="9" t="e">
        <f aca="false">BM89/BJ89</f>
        <v>#DIV/0!</v>
      </c>
      <c r="BL89" s="1" t="n">
        <f aca="false">BJ89*($B89+F$13)</f>
        <v>0</v>
      </c>
      <c r="BM89" s="33" t="n">
        <f aca="false">IF(ISNUMBER(((BL89/BJ89)+F$14+$R89)*BJ89),((BL89/BJ89)+F$14+$R89)*BJ89,0)</f>
        <v>0</v>
      </c>
      <c r="BN89" s="44" t="n">
        <f aca="false">IF(BJ89=0,0,bsd(1,BO$27,BK89,$W89,$T89,$U89,$AH89,0.1))</f>
        <v>0</v>
      </c>
      <c r="BO89" s="44" t="n">
        <f aca="false">IF(BJ89=0,0,bsd(2,BO$27,BK89,$W89,$T89,$U89,$AH89,0.1))</f>
        <v>0</v>
      </c>
      <c r="BP89" s="44" t="n">
        <f aca="false">IF(BJ89=0,0,bsd(BO$28,BO$27,BK89,$W89,$T89,$U89,$AH89,0.1))</f>
        <v>0</v>
      </c>
      <c r="BQ89" s="45" t="n">
        <f aca="false">BJ89*BN89</f>
        <v>0</v>
      </c>
      <c r="BR89" s="45" t="n">
        <f aca="false">BJ89*BO89</f>
        <v>0</v>
      </c>
      <c r="BS89" s="45" t="n">
        <f aca="false">BJ89*BP89</f>
        <v>0</v>
      </c>
      <c r="BU89" s="9" t="n">
        <f aca="false">IF($A89&gt;=BV$25,IF($A89&lt;=BV$26,$AI89,0),0)</f>
        <v>0</v>
      </c>
      <c r="BV89" s="9" t="e">
        <f aca="false">BX89/BU89</f>
        <v>#DIV/0!</v>
      </c>
      <c r="BW89" s="1" t="n">
        <f aca="false">BU89*($B89+H$13)</f>
        <v>0</v>
      </c>
      <c r="BX89" s="33" t="n">
        <f aca="false">IF(ISNUMBER(((BW89/BU89)+H$14+$Y89)*BU89),((BW89/BU89)+H$14+$Y89)*BU89,0)</f>
        <v>0</v>
      </c>
      <c r="BY89" s="44" t="n">
        <f aca="false">IF(BU89=0,0,bsd(1,BZ$27,BV89,$AD89,$AA89,$AB89,$AH89,0.1))</f>
        <v>0</v>
      </c>
      <c r="BZ89" s="44" t="n">
        <f aca="false">IF(BU89=0,0,bsd(2,BZ$27,BV89,$AD89,$AA89,$AB89,$AH89,0.1))</f>
        <v>0</v>
      </c>
      <c r="CA89" s="44" t="n">
        <f aca="false">IF(BU89=0,0,bsd(BZ$28,BZ$27,BV89,$AD89,$AA89,$AB89,$AH89,0.1))</f>
        <v>0</v>
      </c>
      <c r="CB89" s="45" t="n">
        <f aca="false">BU89*BY89</f>
        <v>0</v>
      </c>
      <c r="CC89" s="45" t="n">
        <f aca="false">BU89*BZ89</f>
        <v>0</v>
      </c>
      <c r="CD89" s="45" t="n">
        <f aca="false">BU89*CA89</f>
        <v>0</v>
      </c>
    </row>
    <row r="90" customFormat="false" ht="12.75" hidden="false" customHeight="false" outlineLevel="0" collapsed="false">
      <c r="A90" s="48" t="n">
        <f aca="false">DATE(YEAR(A89),MONTH(A89)+1,1)</f>
        <v>38596</v>
      </c>
      <c r="B90" s="40" t="n">
        <f aca="false">VLOOKUP(A90,STRADDLE,5,FALSE())</f>
        <v>3.031</v>
      </c>
      <c r="C90" s="4" t="n">
        <f aca="false">VLOOKUP(A90,STRADDLE,8,FALSE())</f>
        <v>0.2325</v>
      </c>
      <c r="D90" s="40" t="n">
        <f aca="false">IF(D$28="nymex",0,VLOOKUP($A90,curvesettle,HLOOKUP(D$28,curvesettle,2,FALSE())))</f>
        <v>0.395</v>
      </c>
      <c r="E90" s="131" t="n">
        <f aca="false">IF(ISNUMBER(VLOOKUP($A90,VOLCURVES,HLOOKUP(D$28,VOLCURVES,2,FALSE()),FALSE())),VLOOKUP($A90,VOLCURVES,HLOOKUP(D$28,VOLCURVES,2,FALSE()),FALSE()),1)</f>
        <v>0.98</v>
      </c>
      <c r="F90" s="136" t="n">
        <f aca="false">IF(D$28="NYMEX",$AG90,$AF90)</f>
        <v>-7333</v>
      </c>
      <c r="G90" s="4" t="e">
        <f aca="false">(($C90+H90)*$E90)+B$15</f>
        <v>#DIV/0!</v>
      </c>
      <c r="H90" s="4" t="e">
        <f aca="false">IF($B$16=1,VLOOKUP($A90,SkewTable,HLOOKUP(ROUND(I90-AO90,1),SkewTable,2,FALSE()),FALSE())/100,0)</f>
        <v>#DIV/0!</v>
      </c>
      <c r="I90" s="41" t="n">
        <f aca="false">IF($B$19=4,$AO90,$B$18)</f>
        <v>12</v>
      </c>
      <c r="K90" s="40" t="n">
        <f aca="false">IF(K$28="nymex",0,VLOOKUP($A90,curvesettle,HLOOKUP(K$28,curvesettle,2,FALSE())))</f>
        <v>-0.016</v>
      </c>
      <c r="L90" s="131" t="n">
        <f aca="false">IF(ISNUMBER(VLOOKUP($A90,VOLCURVES,HLOOKUP(K$28,VOLCURVES,2,FALSE()),FALSE())),VLOOKUP($A90,VOLCURVES,HLOOKUP(K$28,VOLCURVES,2,FALSE()),FALSE()),1)</f>
        <v>1</v>
      </c>
      <c r="M90" s="136" t="n">
        <f aca="false">IF(K$28="NYMEX",$AG90,$AF90)</f>
        <v>-7333</v>
      </c>
      <c r="N90" s="153" t="e">
        <f aca="false">(($C90+O90)*$L90)+D$15</f>
        <v>#DIV/0!</v>
      </c>
      <c r="O90" s="4" t="e">
        <f aca="false">IF($D$16=1,VLOOKUP($A90,SkewTable,HLOOKUP(ROUND(P90-AZ90,1),SkewTable,2,FALSE()),FALSE())/100,0)</f>
        <v>#DIV/0!</v>
      </c>
      <c r="P90" s="41" t="n">
        <f aca="false">IF($D$19=4,$AZ90,$D$18)</f>
        <v>3.75</v>
      </c>
      <c r="R90" s="40" t="n">
        <f aca="false">IF(R$28="nymex",0,VLOOKUP($A90,curvesettle,HLOOKUP(R$28,curvesettle,2,FALSE())))</f>
        <v>-0.016</v>
      </c>
      <c r="S90" s="131" t="n">
        <f aca="false">IF(ISNUMBER(VLOOKUP($A90,VOLCURVES,HLOOKUP(R$28,VOLCURVES,2,FALSE()),FALSE())),VLOOKUP($A90,VOLCURVES,HLOOKUP(R$28,VOLCURVES,2,FALSE()),FALSE()),1)</f>
        <v>1</v>
      </c>
      <c r="T90" s="136" t="n">
        <f aca="false">IF(R$28="NYMEX",$AG90,$AF90)</f>
        <v>-7333</v>
      </c>
      <c r="U90" s="153" t="e">
        <f aca="false">(($C90+V90)*$S90)+F$15</f>
        <v>#DIV/0!</v>
      </c>
      <c r="V90" s="4" t="e">
        <f aca="false">IF($F$16=1,VLOOKUP($A90,SkewTable,HLOOKUP(ROUND(W90-BK90,1),SkewTable,2,FALSE()),FALSE())/100,0)</f>
        <v>#DIV/0!</v>
      </c>
      <c r="W90" s="41" t="n">
        <f aca="false">IF($F$19=4,$BK90,$F$18)</f>
        <v>3.5</v>
      </c>
      <c r="X90" s="136"/>
      <c r="Y90" s="40" t="n">
        <f aca="false">IF(Y$28="nymex",0,VLOOKUP($A90,curvesettle,HLOOKUP(Y$28,curvesettle,2,FALSE())))</f>
        <v>-0.335</v>
      </c>
      <c r="Z90" s="131" t="n">
        <f aca="false">IF(ISNUMBER(VLOOKUP($A90,VOLCURVES,HLOOKUP(Y$28,VOLCURVES,2,FALSE()),FALSE())),VLOOKUP($A90,VOLCURVES,HLOOKUP(Y$28,VOLCURVES,2,FALSE()),FALSE()),1)</f>
        <v>1</v>
      </c>
      <c r="AA90" s="136" t="n">
        <f aca="false">IF(Y$28="NYMEX",$AG90,$AF90)</f>
        <v>-7333</v>
      </c>
      <c r="AB90" s="4" t="e">
        <f aca="false">(($C90+AC90)*$Z90)+H$15</f>
        <v>#DIV/0!</v>
      </c>
      <c r="AC90" s="4" t="e">
        <f aca="false">IF($H$16=1,VLOOKUP($A90,SkewTable,HLOOKUP(ROUND(AD90-BV90,1),SkewTable,2,FALSE()),FALSE())/100,0)</f>
        <v>#DIV/0!</v>
      </c>
      <c r="AD90" s="41" t="n">
        <f aca="false">IF($H$19=4,$BV90,$H$18)</f>
        <v>3</v>
      </c>
      <c r="AF90" s="136" t="n">
        <f aca="false">VLOOKUP($A90,expiration,2,FALSE())-$B$2</f>
        <v>-7333</v>
      </c>
      <c r="AG90" s="136" t="n">
        <f aca="false">VLOOKUP($A90,expiration,3,FALSE())-$B$2</f>
        <v>-7336</v>
      </c>
      <c r="AH90" s="4" t="n">
        <f aca="false">VLOOKUP($A90,STRADDLE,12,FALSE())</f>
        <v>0.068234827605931</v>
      </c>
      <c r="AI90" s="43" t="n">
        <f aca="false">A91-A90</f>
        <v>30</v>
      </c>
      <c r="AL90" s="136"/>
      <c r="AM90" s="9"/>
      <c r="AN90" s="9" t="n">
        <f aca="false">IF($A90&gt;=AO$25,IF($A90&lt;=AO$26,$AI90,0),0)</f>
        <v>0</v>
      </c>
      <c r="AO90" s="9" t="e">
        <f aca="false">AQ90/AN90</f>
        <v>#DIV/0!</v>
      </c>
      <c r="AP90" s="1" t="n">
        <f aca="false">AN90*($B90+B$13)</f>
        <v>0</v>
      </c>
      <c r="AQ90" s="33" t="n">
        <f aca="false">IF(ISNUMBER(((AP90/AN90)+B$14+$D90)*AN90),((AP90/AN90)+B$14+$D90)*AN90,0)</f>
        <v>0</v>
      </c>
      <c r="AR90" s="44" t="n">
        <f aca="false">IF(AN90=0,0,bsd(1,AS$27,AO90,$I90,$F90,$G90,$AH90,0.1))</f>
        <v>0</v>
      </c>
      <c r="AS90" s="44" t="n">
        <f aca="false">IF(AN90=0,0,bsd(2,AS$27,AO90,$I90,$F90,$G90,$AH90,0.1))</f>
        <v>0</v>
      </c>
      <c r="AT90" s="44" t="n">
        <f aca="false">IF(AN90=0,0,bsd(AS$28,AS$27,AO90,$I90,$F90,$G90,$AH90,0.1))</f>
        <v>0</v>
      </c>
      <c r="AU90" s="45" t="n">
        <f aca="false">AN90*AR90</f>
        <v>0</v>
      </c>
      <c r="AV90" s="45" t="n">
        <f aca="false">AN90*AS90</f>
        <v>0</v>
      </c>
      <c r="AW90" s="45" t="n">
        <f aca="false">AN90*AT90</f>
        <v>0</v>
      </c>
      <c r="AY90" s="9" t="n">
        <f aca="false">IF($A90&gt;=AZ$25,IF($A90&lt;=AZ$26,$AI90,0),0)</f>
        <v>0</v>
      </c>
      <c r="AZ90" s="9" t="e">
        <f aca="false">BB90/AY90</f>
        <v>#DIV/0!</v>
      </c>
      <c r="BA90" s="1" t="n">
        <f aca="false">AY90*($B90+D$13)</f>
        <v>0</v>
      </c>
      <c r="BB90" s="33" t="n">
        <f aca="false">IF(ISNUMBER(((BA90/AY90)+D$14+$K90)*AY90),((BA90/AY90)+D$14+$K90)*AY90,0)</f>
        <v>0</v>
      </c>
      <c r="BC90" s="44" t="n">
        <f aca="false">IF(AY90=0,0,bsd(1,BD$27,AZ90,$P90,$M90,$N90,$AH90,0.1))</f>
        <v>0</v>
      </c>
      <c r="BD90" s="44" t="n">
        <f aca="false">IF(AY90=0,0,bsd(2,BD$27,AZ90,$P90,$M90,$N90,$AH90,0.1))</f>
        <v>0</v>
      </c>
      <c r="BE90" s="44" t="n">
        <f aca="false">IF(AY90=0,0,bsd(BD$28,BD$27,AZ90,$P90,$M90,$N90,$AH90,0.1))</f>
        <v>0</v>
      </c>
      <c r="BF90" s="45" t="n">
        <f aca="false">AY90*BC90</f>
        <v>0</v>
      </c>
      <c r="BG90" s="45" t="n">
        <f aca="false">AY90*BD90</f>
        <v>0</v>
      </c>
      <c r="BH90" s="45" t="n">
        <f aca="false">AY90*BE90</f>
        <v>0</v>
      </c>
      <c r="BJ90" s="9" t="n">
        <f aca="false">IF($A90&gt;=BK$25,IF($A90&lt;=BK$26,$AI90,0),0)</f>
        <v>0</v>
      </c>
      <c r="BK90" s="9" t="e">
        <f aca="false">BM90/BJ90</f>
        <v>#DIV/0!</v>
      </c>
      <c r="BL90" s="1" t="n">
        <f aca="false">BJ90*($B90+F$13)</f>
        <v>0</v>
      </c>
      <c r="BM90" s="33" t="n">
        <f aca="false">IF(ISNUMBER(((BL90/BJ90)+F$14+$R90)*BJ90),((BL90/BJ90)+F$14+$R90)*BJ90,0)</f>
        <v>0</v>
      </c>
      <c r="BN90" s="44" t="n">
        <f aca="false">IF(BJ90=0,0,bsd(1,BO$27,BK90,$W90,$T90,$U90,$AH90,0.1))</f>
        <v>0</v>
      </c>
      <c r="BO90" s="44" t="n">
        <f aca="false">IF(BJ90=0,0,bsd(2,BO$27,BK90,$W90,$T90,$U90,$AH90,0.1))</f>
        <v>0</v>
      </c>
      <c r="BP90" s="44" t="n">
        <f aca="false">IF(BJ90=0,0,bsd(BO$28,BO$27,BK90,$W90,$T90,$U90,$AH90,0.1))</f>
        <v>0</v>
      </c>
      <c r="BQ90" s="45" t="n">
        <f aca="false">BJ90*BN90</f>
        <v>0</v>
      </c>
      <c r="BR90" s="45" t="n">
        <f aca="false">BJ90*BO90</f>
        <v>0</v>
      </c>
      <c r="BS90" s="45" t="n">
        <f aca="false">BJ90*BP90</f>
        <v>0</v>
      </c>
      <c r="BU90" s="9" t="n">
        <f aca="false">IF($A90&gt;=BV$25,IF($A90&lt;=BV$26,$AI90,0),0)</f>
        <v>0</v>
      </c>
      <c r="BV90" s="9" t="e">
        <f aca="false">BX90/BU90</f>
        <v>#DIV/0!</v>
      </c>
      <c r="BW90" s="1" t="n">
        <f aca="false">BU90*($B90+H$13)</f>
        <v>0</v>
      </c>
      <c r="BX90" s="33" t="n">
        <f aca="false">IF(ISNUMBER(((BW90/BU90)+H$14+$Y90)*BU90),((BW90/BU90)+H$14+$Y90)*BU90,0)</f>
        <v>0</v>
      </c>
      <c r="BY90" s="44" t="n">
        <f aca="false">IF(BU90=0,0,bsd(1,BZ$27,BV90,$AD90,$AA90,$AB90,$AH90,0.1))</f>
        <v>0</v>
      </c>
      <c r="BZ90" s="44" t="n">
        <f aca="false">IF(BU90=0,0,bsd(2,BZ$27,BV90,$AD90,$AA90,$AB90,$AH90,0.1))</f>
        <v>0</v>
      </c>
      <c r="CA90" s="44" t="n">
        <f aca="false">IF(BU90=0,0,bsd(BZ$28,BZ$27,BV90,$AD90,$AA90,$AB90,$AH90,0.1))</f>
        <v>0</v>
      </c>
      <c r="CB90" s="45" t="n">
        <f aca="false">BU90*BY90</f>
        <v>0</v>
      </c>
      <c r="CC90" s="45" t="n">
        <f aca="false">BU90*BZ90</f>
        <v>0</v>
      </c>
      <c r="CD90" s="45" t="n">
        <f aca="false">BU90*CA90</f>
        <v>0</v>
      </c>
    </row>
    <row r="91" customFormat="false" ht="12.75" hidden="false" customHeight="false" outlineLevel="0" collapsed="false">
      <c r="A91" s="48" t="n">
        <f aca="false">DATE(YEAR(A90),MONTH(A90)+1,1)</f>
        <v>38626</v>
      </c>
      <c r="B91" s="40" t="n">
        <f aca="false">VLOOKUP(A91,STRADDLE,5,FALSE())</f>
        <v>3.052</v>
      </c>
      <c r="C91" s="4" t="n">
        <f aca="false">VLOOKUP(A91,STRADDLE,8,FALSE())</f>
        <v>0.2325</v>
      </c>
      <c r="D91" s="40" t="n">
        <f aca="false">IF(D$28="nymex",0,VLOOKUP($A91,curvesettle,HLOOKUP(D$28,curvesettle,2,FALSE())))</f>
        <v>0.461</v>
      </c>
      <c r="E91" s="131" t="n">
        <f aca="false">IF(ISNUMBER(VLOOKUP($A91,VOLCURVES,HLOOKUP(D$28,VOLCURVES,2,FALSE()),FALSE())),VLOOKUP($A91,VOLCURVES,HLOOKUP(D$28,VOLCURVES,2,FALSE()),FALSE()),1)</f>
        <v>0.98</v>
      </c>
      <c r="F91" s="136" t="n">
        <f aca="false">IF(D$28="NYMEX",$AG91,$AF91)</f>
        <v>-7303</v>
      </c>
      <c r="G91" s="4" t="e">
        <f aca="false">(($C91+H91)*$E91)+B$15</f>
        <v>#DIV/0!</v>
      </c>
      <c r="H91" s="4" t="e">
        <f aca="false">IF($B$16=1,VLOOKUP($A91,SkewTable,HLOOKUP(ROUND(I91-AO91,1),SkewTable,2,FALSE()),FALSE())/100,0)</f>
        <v>#DIV/0!</v>
      </c>
      <c r="I91" s="41" t="n">
        <f aca="false">IF($B$19=4,$AO91,$B$18)</f>
        <v>12</v>
      </c>
      <c r="K91" s="40" t="n">
        <f aca="false">IF(K$28="nymex",0,VLOOKUP($A91,curvesettle,HLOOKUP(K$28,curvesettle,2,FALSE())))</f>
        <v>-0.016</v>
      </c>
      <c r="L91" s="131" t="n">
        <f aca="false">IF(ISNUMBER(VLOOKUP($A91,VOLCURVES,HLOOKUP(K$28,VOLCURVES,2,FALSE()),FALSE())),VLOOKUP($A91,VOLCURVES,HLOOKUP(K$28,VOLCURVES,2,FALSE()),FALSE()),1)</f>
        <v>1</v>
      </c>
      <c r="M91" s="136" t="n">
        <f aca="false">IF(K$28="NYMEX",$AG91,$AF91)</f>
        <v>-7303</v>
      </c>
      <c r="N91" s="153" t="e">
        <f aca="false">(($C91+O91)*$L91)+D$15</f>
        <v>#DIV/0!</v>
      </c>
      <c r="O91" s="4" t="e">
        <f aca="false">IF($D$16=1,VLOOKUP($A91,SkewTable,HLOOKUP(ROUND(P91-AZ91,1),SkewTable,2,FALSE()),FALSE())/100,0)</f>
        <v>#DIV/0!</v>
      </c>
      <c r="P91" s="41" t="n">
        <f aca="false">IF($D$19=4,$AZ91,$D$18)</f>
        <v>3.75</v>
      </c>
      <c r="R91" s="40" t="n">
        <f aca="false">IF(R$28="nymex",0,VLOOKUP($A91,curvesettle,HLOOKUP(R$28,curvesettle,2,FALSE())))</f>
        <v>-0.016</v>
      </c>
      <c r="S91" s="131" t="n">
        <f aca="false">IF(ISNUMBER(VLOOKUP($A91,VOLCURVES,HLOOKUP(R$28,VOLCURVES,2,FALSE()),FALSE())),VLOOKUP($A91,VOLCURVES,HLOOKUP(R$28,VOLCURVES,2,FALSE()),FALSE()),1)</f>
        <v>1</v>
      </c>
      <c r="T91" s="136" t="n">
        <f aca="false">IF(R$28="NYMEX",$AG91,$AF91)</f>
        <v>-7303</v>
      </c>
      <c r="U91" s="153" t="e">
        <f aca="false">(($C91+V91)*$S91)+F$15</f>
        <v>#DIV/0!</v>
      </c>
      <c r="V91" s="4" t="e">
        <f aca="false">IF($F$16=1,VLOOKUP($A91,SkewTable,HLOOKUP(ROUND(W91-BK91,1),SkewTable,2,FALSE()),FALSE())/100,0)</f>
        <v>#DIV/0!</v>
      </c>
      <c r="W91" s="41" t="n">
        <f aca="false">IF($F$19=4,$BK91,$F$18)</f>
        <v>3.5</v>
      </c>
      <c r="X91" s="136"/>
      <c r="Y91" s="40" t="n">
        <f aca="false">IF(Y$28="nymex",0,VLOOKUP($A91,curvesettle,HLOOKUP(Y$28,curvesettle,2,FALSE())))</f>
        <v>-0.335</v>
      </c>
      <c r="Z91" s="131" t="n">
        <f aca="false">IF(ISNUMBER(VLOOKUP($A91,VOLCURVES,HLOOKUP(Y$28,VOLCURVES,2,FALSE()),FALSE())),VLOOKUP($A91,VOLCURVES,HLOOKUP(Y$28,VOLCURVES,2,FALSE()),FALSE()),1)</f>
        <v>1</v>
      </c>
      <c r="AA91" s="136" t="n">
        <f aca="false">IF(Y$28="NYMEX",$AG91,$AF91)</f>
        <v>-7303</v>
      </c>
      <c r="AB91" s="4" t="e">
        <f aca="false">(($C91+AC91)*$Z91)+H$15</f>
        <v>#DIV/0!</v>
      </c>
      <c r="AC91" s="4" t="e">
        <f aca="false">IF($H$16=1,VLOOKUP($A91,SkewTable,HLOOKUP(ROUND(AD91-BV91,1),SkewTable,2,FALSE()),FALSE())/100,0)</f>
        <v>#DIV/0!</v>
      </c>
      <c r="AD91" s="41" t="n">
        <f aca="false">IF($H$19=4,$BV91,$H$18)</f>
        <v>3</v>
      </c>
      <c r="AF91" s="136" t="n">
        <f aca="false">VLOOKUP($A91,expiration,2,FALSE())-$B$2</f>
        <v>-7303</v>
      </c>
      <c r="AG91" s="136" t="n">
        <f aca="false">VLOOKUP($A91,expiration,3,FALSE())-$B$2</f>
        <v>-7304</v>
      </c>
      <c r="AH91" s="4" t="n">
        <f aca="false">VLOOKUP($A91,STRADDLE,12,FALSE())</f>
        <v>0.068284220896026</v>
      </c>
      <c r="AI91" s="43" t="n">
        <f aca="false">A92-A91</f>
        <v>31</v>
      </c>
      <c r="AL91" s="136"/>
      <c r="AM91" s="9"/>
      <c r="AN91" s="9" t="n">
        <f aca="false">IF($A91&gt;=AO$25,IF($A91&lt;=AO$26,$AI91,0),0)</f>
        <v>0</v>
      </c>
      <c r="AO91" s="9" t="e">
        <f aca="false">AQ91/AN91</f>
        <v>#DIV/0!</v>
      </c>
      <c r="AP91" s="1" t="n">
        <f aca="false">AN91*($B91+B$13)</f>
        <v>0</v>
      </c>
      <c r="AQ91" s="33" t="n">
        <f aca="false">IF(ISNUMBER(((AP91/AN91)+B$14+$D91)*AN91),((AP91/AN91)+B$14+$D91)*AN91,0)</f>
        <v>0</v>
      </c>
      <c r="AR91" s="44" t="n">
        <f aca="false">IF(AN91=0,0,bsd(1,AS$27,AO91,$I91,$F91,$G91,$AH91,0.1))</f>
        <v>0</v>
      </c>
      <c r="AS91" s="44" t="n">
        <f aca="false">IF(AN91=0,0,bsd(2,AS$27,AO91,$I91,$F91,$G91,$AH91,0.1))</f>
        <v>0</v>
      </c>
      <c r="AT91" s="44" t="n">
        <f aca="false">IF(AN91=0,0,bsd(AS$28,AS$27,AO91,$I91,$F91,$G91,$AH91,0.1))</f>
        <v>0</v>
      </c>
      <c r="AU91" s="45" t="n">
        <f aca="false">AN91*AR91</f>
        <v>0</v>
      </c>
      <c r="AV91" s="45" t="n">
        <f aca="false">AN91*AS91</f>
        <v>0</v>
      </c>
      <c r="AW91" s="45" t="n">
        <f aca="false">AN91*AT91</f>
        <v>0</v>
      </c>
      <c r="AY91" s="9" t="n">
        <f aca="false">IF($A91&gt;=AZ$25,IF($A91&lt;=AZ$26,$AI91,0),0)</f>
        <v>0</v>
      </c>
      <c r="AZ91" s="9" t="e">
        <f aca="false">BB91/AY91</f>
        <v>#DIV/0!</v>
      </c>
      <c r="BA91" s="1" t="n">
        <f aca="false">AY91*($B91+D$13)</f>
        <v>0</v>
      </c>
      <c r="BB91" s="33" t="n">
        <f aca="false">IF(ISNUMBER(((BA91/AY91)+D$14+$K91)*AY91),((BA91/AY91)+D$14+$K91)*AY91,0)</f>
        <v>0</v>
      </c>
      <c r="BC91" s="44" t="n">
        <f aca="false">IF(AY91=0,0,bsd(1,BD$27,AZ91,$P91,$M91,$N91,$AH91,0.1))</f>
        <v>0</v>
      </c>
      <c r="BD91" s="44" t="n">
        <f aca="false">IF(AY91=0,0,bsd(2,BD$27,AZ91,$P91,$M91,$N91,$AH91,0.1))</f>
        <v>0</v>
      </c>
      <c r="BE91" s="44" t="n">
        <f aca="false">IF(AY91=0,0,bsd(BD$28,BD$27,AZ91,$P91,$M91,$N91,$AH91,0.1))</f>
        <v>0</v>
      </c>
      <c r="BF91" s="45" t="n">
        <f aca="false">AY91*BC91</f>
        <v>0</v>
      </c>
      <c r="BG91" s="45" t="n">
        <f aca="false">AY91*BD91</f>
        <v>0</v>
      </c>
      <c r="BH91" s="45" t="n">
        <f aca="false">AY91*BE91</f>
        <v>0</v>
      </c>
      <c r="BJ91" s="9" t="n">
        <f aca="false">IF($A91&gt;=BK$25,IF($A91&lt;=BK$26,$AI91,0),0)</f>
        <v>0</v>
      </c>
      <c r="BK91" s="9" t="e">
        <f aca="false">BM91/BJ91</f>
        <v>#DIV/0!</v>
      </c>
      <c r="BL91" s="1" t="n">
        <f aca="false">BJ91*($B91+F$13)</f>
        <v>0</v>
      </c>
      <c r="BM91" s="33" t="n">
        <f aca="false">IF(ISNUMBER(((BL91/BJ91)+F$14+$R91)*BJ91),((BL91/BJ91)+F$14+$R91)*BJ91,0)</f>
        <v>0</v>
      </c>
      <c r="BN91" s="44" t="n">
        <f aca="false">IF(BJ91=0,0,bsd(1,BO$27,BK91,$W91,$T91,$U91,$AH91,0.1))</f>
        <v>0</v>
      </c>
      <c r="BO91" s="44" t="n">
        <f aca="false">IF(BJ91=0,0,bsd(2,BO$27,BK91,$W91,$T91,$U91,$AH91,0.1))</f>
        <v>0</v>
      </c>
      <c r="BP91" s="44" t="n">
        <f aca="false">IF(BJ91=0,0,bsd(BO$28,BO$27,BK91,$W91,$T91,$U91,$AH91,0.1))</f>
        <v>0</v>
      </c>
      <c r="BQ91" s="45" t="n">
        <f aca="false">BJ91*BN91</f>
        <v>0</v>
      </c>
      <c r="BR91" s="45" t="n">
        <f aca="false">BJ91*BO91</f>
        <v>0</v>
      </c>
      <c r="BS91" s="45" t="n">
        <f aca="false">BJ91*BP91</f>
        <v>0</v>
      </c>
      <c r="BU91" s="9" t="n">
        <f aca="false">IF($A91&gt;=BV$25,IF($A91&lt;=BV$26,$AI91,0),0)</f>
        <v>0</v>
      </c>
      <c r="BV91" s="9" t="e">
        <f aca="false">BX91/BU91</f>
        <v>#DIV/0!</v>
      </c>
      <c r="BW91" s="1" t="n">
        <f aca="false">BU91*($B91+H$13)</f>
        <v>0</v>
      </c>
      <c r="BX91" s="33" t="n">
        <f aca="false">IF(ISNUMBER(((BW91/BU91)+H$14+$Y91)*BU91),((BW91/BU91)+H$14+$Y91)*BU91,0)</f>
        <v>0</v>
      </c>
      <c r="BY91" s="44" t="n">
        <f aca="false">IF(BU91=0,0,bsd(1,BZ$27,BV91,$AD91,$AA91,$AB91,$AH91,0.1))</f>
        <v>0</v>
      </c>
      <c r="BZ91" s="44" t="n">
        <f aca="false">IF(BU91=0,0,bsd(2,BZ$27,BV91,$AD91,$AA91,$AB91,$AH91,0.1))</f>
        <v>0</v>
      </c>
      <c r="CA91" s="44" t="n">
        <f aca="false">IF(BU91=0,0,bsd(BZ$28,BZ$27,BV91,$AD91,$AA91,$AB91,$AH91,0.1))</f>
        <v>0</v>
      </c>
      <c r="CB91" s="45" t="n">
        <f aca="false">BU91*BY91</f>
        <v>0</v>
      </c>
      <c r="CC91" s="45" t="n">
        <f aca="false">BU91*BZ91</f>
        <v>0</v>
      </c>
      <c r="CD91" s="45" t="n">
        <f aca="false">BU91*CA91</f>
        <v>0</v>
      </c>
    </row>
    <row r="92" customFormat="false" ht="12.75" hidden="false" customHeight="false" outlineLevel="0" collapsed="false">
      <c r="A92" s="48" t="n">
        <f aca="false">DATE(YEAR(A91),MONTH(A91)+1,1)</f>
        <v>38657</v>
      </c>
      <c r="B92" s="40" t="n">
        <f aca="false">VLOOKUP(A92,STRADDLE,5,FALSE())</f>
        <v>3.134</v>
      </c>
      <c r="C92" s="4" t="n">
        <f aca="false">VLOOKUP(A92,STRADDLE,8,FALSE())</f>
        <v>0.2325</v>
      </c>
      <c r="D92" s="40" t="n">
        <f aca="false">IF(D$28="nymex",0,VLOOKUP($A92,curvesettle,HLOOKUP(D$28,curvesettle,2,FALSE())))</f>
        <v>0.885</v>
      </c>
      <c r="E92" s="131" t="n">
        <f aca="false">IF(ISNUMBER(VLOOKUP($A92,VOLCURVES,HLOOKUP(D$28,VOLCURVES,2,FALSE()),FALSE())),VLOOKUP($A92,VOLCURVES,HLOOKUP(D$28,VOLCURVES,2,FALSE()),FALSE()),1)</f>
        <v>1.1</v>
      </c>
      <c r="F92" s="136" t="n">
        <f aca="false">IF(D$28="NYMEX",$AG92,$AF92)</f>
        <v>-7274</v>
      </c>
      <c r="G92" s="4" t="e">
        <f aca="false">(($C92+H92)*$E92)+B$15</f>
        <v>#DIV/0!</v>
      </c>
      <c r="H92" s="4" t="e">
        <f aca="false">IF($B$16=1,VLOOKUP($A92,SkewTable,HLOOKUP(ROUND(I92-AO92,1),SkewTable,2,FALSE()),FALSE())/100,0)</f>
        <v>#DIV/0!</v>
      </c>
      <c r="I92" s="41" t="n">
        <f aca="false">IF($B$19=4,$AO92,$B$18)</f>
        <v>12</v>
      </c>
      <c r="K92" s="40" t="n">
        <f aca="false">IF(K$28="nymex",0,VLOOKUP($A92,curvesettle,HLOOKUP(K$28,curvesettle,2,FALSE())))</f>
        <v>-0.0175</v>
      </c>
      <c r="L92" s="131" t="n">
        <f aca="false">IF(ISNUMBER(VLOOKUP($A92,VOLCURVES,HLOOKUP(K$28,VOLCURVES,2,FALSE()),FALSE())),VLOOKUP($A92,VOLCURVES,HLOOKUP(K$28,VOLCURVES,2,FALSE()),FALSE()),1)</f>
        <v>1</v>
      </c>
      <c r="M92" s="136" t="n">
        <f aca="false">IF(K$28="NYMEX",$AG92,$AF92)</f>
        <v>-7274</v>
      </c>
      <c r="N92" s="153" t="e">
        <f aca="false">(($C92+O92)*$L92)+D$15</f>
        <v>#DIV/0!</v>
      </c>
      <c r="O92" s="4" t="e">
        <f aca="false">IF($D$16=1,VLOOKUP($A92,SkewTable,HLOOKUP(ROUND(P92-AZ92,1),SkewTable,2,FALSE()),FALSE())/100,0)</f>
        <v>#DIV/0!</v>
      </c>
      <c r="P92" s="41" t="n">
        <f aca="false">IF($D$19=4,$AZ92,$D$18)</f>
        <v>3.75</v>
      </c>
      <c r="R92" s="40" t="n">
        <f aca="false">IF(R$28="nymex",0,VLOOKUP($A92,curvesettle,HLOOKUP(R$28,curvesettle,2,FALSE())))</f>
        <v>-0.0175</v>
      </c>
      <c r="S92" s="131" t="n">
        <f aca="false">IF(ISNUMBER(VLOOKUP($A92,VOLCURVES,HLOOKUP(R$28,VOLCURVES,2,FALSE()),FALSE())),VLOOKUP($A92,VOLCURVES,HLOOKUP(R$28,VOLCURVES,2,FALSE()),FALSE()),1)</f>
        <v>1</v>
      </c>
      <c r="T92" s="136" t="n">
        <f aca="false">IF(R$28="NYMEX",$AG92,$AF92)</f>
        <v>-7274</v>
      </c>
      <c r="U92" s="153" t="e">
        <f aca="false">(($C92+V92)*$S92)+F$15</f>
        <v>#DIV/0!</v>
      </c>
      <c r="V92" s="4" t="e">
        <f aca="false">IF($F$16=1,VLOOKUP($A92,SkewTable,HLOOKUP(ROUND(W92-BK92,1),SkewTable,2,FALSE()),FALSE())/100,0)</f>
        <v>#DIV/0!</v>
      </c>
      <c r="W92" s="41" t="n">
        <f aca="false">IF($F$19=4,$BK92,$F$18)</f>
        <v>3.5</v>
      </c>
      <c r="X92" s="136"/>
      <c r="Y92" s="40" t="n">
        <f aca="false">IF(Y$28="nymex",0,VLOOKUP($A92,curvesettle,HLOOKUP(Y$28,curvesettle,2,FALSE())))</f>
        <v>-0.26</v>
      </c>
      <c r="Z92" s="131" t="n">
        <f aca="false">IF(ISNUMBER(VLOOKUP($A92,VOLCURVES,HLOOKUP(Y$28,VOLCURVES,2,FALSE()),FALSE())),VLOOKUP($A92,VOLCURVES,HLOOKUP(Y$28,VOLCURVES,2,FALSE()),FALSE()),1)</f>
        <v>1</v>
      </c>
      <c r="AA92" s="136" t="n">
        <f aca="false">IF(Y$28="NYMEX",$AG92,$AF92)</f>
        <v>-7274</v>
      </c>
      <c r="AB92" s="4" t="e">
        <f aca="false">(($C92+AC92)*$Z92)+H$15</f>
        <v>#DIV/0!</v>
      </c>
      <c r="AC92" s="4" t="e">
        <f aca="false">IF($H$16=1,VLOOKUP($A92,SkewTable,HLOOKUP(ROUND(AD92-BV92,1),SkewTable,2,FALSE()),FALSE())/100,0)</f>
        <v>#DIV/0!</v>
      </c>
      <c r="AD92" s="41" t="n">
        <f aca="false">IF($H$19=4,$BV92,$H$18)</f>
        <v>3</v>
      </c>
      <c r="AF92" s="136" t="n">
        <f aca="false">VLOOKUP($A92,expiration,2,FALSE())-$B$2</f>
        <v>-7274</v>
      </c>
      <c r="AG92" s="136" t="n">
        <f aca="false">VLOOKUP($A92,expiration,3,FALSE())-$B$2</f>
        <v>-7275</v>
      </c>
      <c r="AH92" s="4" t="n">
        <f aca="false">VLOOKUP($A92,STRADDLE,12,FALSE())</f>
        <v>0.068335570274971</v>
      </c>
      <c r="AI92" s="43" t="n">
        <f aca="false">A93-A92</f>
        <v>30</v>
      </c>
      <c r="AL92" s="136"/>
      <c r="AM92" s="9"/>
      <c r="AN92" s="9" t="n">
        <f aca="false">IF($A92&gt;=AO$25,IF($A92&lt;=AO$26,$AI92,0),0)</f>
        <v>0</v>
      </c>
      <c r="AO92" s="9" t="e">
        <f aca="false">AQ92/AN92</f>
        <v>#DIV/0!</v>
      </c>
      <c r="AP92" s="1" t="n">
        <f aca="false">AN92*($B92+B$13)</f>
        <v>0</v>
      </c>
      <c r="AQ92" s="33" t="n">
        <f aca="false">IF(ISNUMBER(((AP92/AN92)+B$14+$D92)*AN92),((AP92/AN92)+B$14+$D92)*AN92,0)</f>
        <v>0</v>
      </c>
      <c r="AR92" s="44" t="n">
        <f aca="false">IF(AN92=0,0,bsd(1,AS$27,AO92,$I92,$F92,$G92,$AH92,0.1))</f>
        <v>0</v>
      </c>
      <c r="AS92" s="44" t="n">
        <f aca="false">IF(AN92=0,0,bsd(2,AS$27,AO92,$I92,$F92,$G92,$AH92,0.1))</f>
        <v>0</v>
      </c>
      <c r="AT92" s="44" t="n">
        <f aca="false">IF(AN92=0,0,bsd(AS$28,AS$27,AO92,$I92,$F92,$G92,$AH92,0.1))</f>
        <v>0</v>
      </c>
      <c r="AU92" s="45" t="n">
        <f aca="false">AN92*AR92</f>
        <v>0</v>
      </c>
      <c r="AV92" s="45" t="n">
        <f aca="false">AN92*AS92</f>
        <v>0</v>
      </c>
      <c r="AW92" s="45" t="n">
        <f aca="false">AN92*AT92</f>
        <v>0</v>
      </c>
      <c r="AY92" s="9" t="n">
        <f aca="false">IF($A92&gt;=AZ$25,IF($A92&lt;=AZ$26,$AI92,0),0)</f>
        <v>0</v>
      </c>
      <c r="AZ92" s="9" t="e">
        <f aca="false">BB92/AY92</f>
        <v>#DIV/0!</v>
      </c>
      <c r="BA92" s="1" t="n">
        <f aca="false">AY92*($B92+D$13)</f>
        <v>0</v>
      </c>
      <c r="BB92" s="33" t="n">
        <f aca="false">IF(ISNUMBER(((BA92/AY92)+D$14+$K92)*AY92),((BA92/AY92)+D$14+$K92)*AY92,0)</f>
        <v>0</v>
      </c>
      <c r="BC92" s="44" t="n">
        <f aca="false">IF(AY92=0,0,bsd(1,BD$27,AZ92,$P92,$M92,$N92,$AH92,0.1))</f>
        <v>0</v>
      </c>
      <c r="BD92" s="44" t="n">
        <f aca="false">IF(AY92=0,0,bsd(2,BD$27,AZ92,$P92,$M92,$N92,$AH92,0.1))</f>
        <v>0</v>
      </c>
      <c r="BE92" s="44" t="n">
        <f aca="false">IF(AY92=0,0,bsd(BD$28,BD$27,AZ92,$P92,$M92,$N92,$AH92,0.1))</f>
        <v>0</v>
      </c>
      <c r="BF92" s="45" t="n">
        <f aca="false">AY92*BC92</f>
        <v>0</v>
      </c>
      <c r="BG92" s="45" t="n">
        <f aca="false">AY92*BD92</f>
        <v>0</v>
      </c>
      <c r="BH92" s="45" t="n">
        <f aca="false">AY92*BE92</f>
        <v>0</v>
      </c>
      <c r="BJ92" s="9" t="n">
        <f aca="false">IF($A92&gt;=BK$25,IF($A92&lt;=BK$26,$AI92,0),0)</f>
        <v>0</v>
      </c>
      <c r="BK92" s="9" t="e">
        <f aca="false">BM92/BJ92</f>
        <v>#DIV/0!</v>
      </c>
      <c r="BL92" s="1" t="n">
        <f aca="false">BJ92*($B92+F$13)</f>
        <v>0</v>
      </c>
      <c r="BM92" s="33" t="n">
        <f aca="false">IF(ISNUMBER(((BL92/BJ92)+F$14+$R92)*BJ92),((BL92/BJ92)+F$14+$R92)*BJ92,0)</f>
        <v>0</v>
      </c>
      <c r="BN92" s="44" t="n">
        <f aca="false">IF(BJ92=0,0,bsd(1,BO$27,BK92,$W92,$T92,$U92,$AH92,0.1))</f>
        <v>0</v>
      </c>
      <c r="BO92" s="44" t="n">
        <f aca="false">IF(BJ92=0,0,bsd(2,BO$27,BK92,$W92,$T92,$U92,$AH92,0.1))</f>
        <v>0</v>
      </c>
      <c r="BP92" s="44" t="n">
        <f aca="false">IF(BJ92=0,0,bsd(BO$28,BO$27,BK92,$W92,$T92,$U92,$AH92,0.1))</f>
        <v>0</v>
      </c>
      <c r="BQ92" s="45" t="n">
        <f aca="false">BJ92*BN92</f>
        <v>0</v>
      </c>
      <c r="BR92" s="45" t="n">
        <f aca="false">BJ92*BO92</f>
        <v>0</v>
      </c>
      <c r="BS92" s="45" t="n">
        <f aca="false">BJ92*BP92</f>
        <v>0</v>
      </c>
      <c r="BU92" s="9" t="n">
        <f aca="false">IF($A92&gt;=BV$25,IF($A92&lt;=BV$26,$AI92,0),0)</f>
        <v>0</v>
      </c>
      <c r="BV92" s="9" t="e">
        <f aca="false">BX92/BU92</f>
        <v>#DIV/0!</v>
      </c>
      <c r="BW92" s="1" t="n">
        <f aca="false">BU92*($B92+H$13)</f>
        <v>0</v>
      </c>
      <c r="BX92" s="33" t="n">
        <f aca="false">IF(ISNUMBER(((BW92/BU92)+H$14+$Y92)*BU92),((BW92/BU92)+H$14+$Y92)*BU92,0)</f>
        <v>0</v>
      </c>
      <c r="BY92" s="44" t="n">
        <f aca="false">IF(BU92=0,0,bsd(1,BZ$27,BV92,$AD92,$AA92,$AB92,$AH92,0.1))</f>
        <v>0</v>
      </c>
      <c r="BZ92" s="44" t="n">
        <f aca="false">IF(BU92=0,0,bsd(2,BZ$27,BV92,$AD92,$AA92,$AB92,$AH92,0.1))</f>
        <v>0</v>
      </c>
      <c r="CA92" s="44" t="n">
        <f aca="false">IF(BU92=0,0,bsd(BZ$28,BZ$27,BV92,$AD92,$AA92,$AB92,$AH92,0.1))</f>
        <v>0</v>
      </c>
      <c r="CB92" s="45" t="n">
        <f aca="false">BU92*BY92</f>
        <v>0</v>
      </c>
      <c r="CC92" s="45" t="n">
        <f aca="false">BU92*BZ92</f>
        <v>0</v>
      </c>
      <c r="CD92" s="45" t="n">
        <f aca="false">BU92*CA92</f>
        <v>0</v>
      </c>
    </row>
    <row r="93" customFormat="false" ht="12.75" hidden="false" customHeight="false" outlineLevel="0" collapsed="false">
      <c r="A93" s="48" t="n">
        <f aca="false">DATE(YEAR(A92),MONTH(A92)+1,1)</f>
        <v>38687</v>
      </c>
      <c r="B93" s="40" t="n">
        <f aca="false">VLOOKUP(A93,STRADDLE,5,FALSE())</f>
        <v>3.204</v>
      </c>
      <c r="C93" s="4" t="n">
        <f aca="false">VLOOKUP(A93,STRADDLE,8,FALSE())</f>
        <v>0.235</v>
      </c>
      <c r="D93" s="40" t="n">
        <f aca="false">IF(D$28="nymex",0,VLOOKUP($A93,curvesettle,HLOOKUP(D$28,curvesettle,2,FALSE())))</f>
        <v>1.31</v>
      </c>
      <c r="E93" s="131" t="n">
        <f aca="false">IF(ISNUMBER(VLOOKUP($A93,VOLCURVES,HLOOKUP(D$28,VOLCURVES,2,FALSE()),FALSE())),VLOOKUP($A93,VOLCURVES,HLOOKUP(D$28,VOLCURVES,2,FALSE()),FALSE()),1)</f>
        <v>1.1</v>
      </c>
      <c r="F93" s="136" t="n">
        <f aca="false">IF(D$28="NYMEX",$AG93,$AF93)</f>
        <v>-7242</v>
      </c>
      <c r="G93" s="4" t="e">
        <f aca="false">(($C93+H93)*$E93)+B$15</f>
        <v>#DIV/0!</v>
      </c>
      <c r="H93" s="4" t="e">
        <f aca="false">IF($B$16=1,VLOOKUP($A93,SkewTable,HLOOKUP(ROUND(I93-AO93,1),SkewTable,2,FALSE()),FALSE())/100,0)</f>
        <v>#DIV/0!</v>
      </c>
      <c r="I93" s="41" t="n">
        <f aca="false">IF($B$19=4,$AO93,$B$18)</f>
        <v>12</v>
      </c>
      <c r="K93" s="40" t="n">
        <f aca="false">IF(K$28="nymex",0,VLOOKUP($A93,curvesettle,HLOOKUP(K$28,curvesettle,2,FALSE())))</f>
        <v>-0.0175</v>
      </c>
      <c r="L93" s="131" t="n">
        <f aca="false">IF(ISNUMBER(VLOOKUP($A93,VOLCURVES,HLOOKUP(K$28,VOLCURVES,2,FALSE()),FALSE())),VLOOKUP($A93,VOLCURVES,HLOOKUP(K$28,VOLCURVES,2,FALSE()),FALSE()),1)</f>
        <v>1</v>
      </c>
      <c r="M93" s="136" t="n">
        <f aca="false">IF(K$28="NYMEX",$AG93,$AF93)</f>
        <v>-7242</v>
      </c>
      <c r="N93" s="153" t="e">
        <f aca="false">(($C93+O93)*$L93)+D$15</f>
        <v>#DIV/0!</v>
      </c>
      <c r="O93" s="4" t="e">
        <f aca="false">IF($D$16=1,VLOOKUP($A93,SkewTable,HLOOKUP(ROUND(P93-AZ93,1),SkewTable,2,FALSE()),FALSE())/100,0)</f>
        <v>#DIV/0!</v>
      </c>
      <c r="P93" s="41" t="n">
        <f aca="false">IF($D$19=4,$AZ93,$D$18)</f>
        <v>3.75</v>
      </c>
      <c r="R93" s="40" t="n">
        <f aca="false">IF(R$28="nymex",0,VLOOKUP($A93,curvesettle,HLOOKUP(R$28,curvesettle,2,FALSE())))</f>
        <v>-0.0175</v>
      </c>
      <c r="S93" s="131" t="n">
        <f aca="false">IF(ISNUMBER(VLOOKUP($A93,VOLCURVES,HLOOKUP(R$28,VOLCURVES,2,FALSE()),FALSE())),VLOOKUP($A93,VOLCURVES,HLOOKUP(R$28,VOLCURVES,2,FALSE()),FALSE()),1)</f>
        <v>1</v>
      </c>
      <c r="T93" s="136" t="n">
        <f aca="false">IF(R$28="NYMEX",$AG93,$AF93)</f>
        <v>-7242</v>
      </c>
      <c r="U93" s="153" t="e">
        <f aca="false">(($C93+V93)*$S93)+F$15</f>
        <v>#DIV/0!</v>
      </c>
      <c r="V93" s="4" t="e">
        <f aca="false">IF($F$16=1,VLOOKUP($A93,SkewTable,HLOOKUP(ROUND(W93-BK93,1),SkewTable,2,FALSE()),FALSE())/100,0)</f>
        <v>#DIV/0!</v>
      </c>
      <c r="W93" s="41" t="n">
        <f aca="false">IF($F$19=4,$BK93,$F$18)</f>
        <v>3.5</v>
      </c>
      <c r="X93" s="136"/>
      <c r="Y93" s="40" t="n">
        <f aca="false">IF(Y$28="nymex",0,VLOOKUP($A93,curvesettle,HLOOKUP(Y$28,curvesettle,2,FALSE())))</f>
        <v>-0.26</v>
      </c>
      <c r="Z93" s="131" t="n">
        <f aca="false">IF(ISNUMBER(VLOOKUP($A93,VOLCURVES,HLOOKUP(Y$28,VOLCURVES,2,FALSE()),FALSE())),VLOOKUP($A93,VOLCURVES,HLOOKUP(Y$28,VOLCURVES,2,FALSE()),FALSE()),1)</f>
        <v>1</v>
      </c>
      <c r="AA93" s="136" t="n">
        <f aca="false">IF(Y$28="NYMEX",$AG93,$AF93)</f>
        <v>-7242</v>
      </c>
      <c r="AB93" s="4" t="e">
        <f aca="false">(($C93+AC93)*$Z93)+H$15</f>
        <v>#DIV/0!</v>
      </c>
      <c r="AC93" s="4" t="e">
        <f aca="false">IF($H$16=1,VLOOKUP($A93,SkewTable,HLOOKUP(ROUND(AD93-BV93,1),SkewTable,2,FALSE()),FALSE())/100,0)</f>
        <v>#DIV/0!</v>
      </c>
      <c r="AD93" s="41" t="n">
        <f aca="false">IF($H$19=4,$BV93,$H$18)</f>
        <v>3</v>
      </c>
      <c r="AF93" s="136" t="n">
        <f aca="false">VLOOKUP($A93,expiration,2,FALSE())-$B$2</f>
        <v>-7242</v>
      </c>
      <c r="AG93" s="136" t="n">
        <f aca="false">VLOOKUP($A93,expiration,3,FALSE())-$B$2</f>
        <v>-7245</v>
      </c>
      <c r="AH93" s="4" t="n">
        <f aca="false">VLOOKUP($A93,STRADDLE,12,FALSE())</f>
        <v>0.068385263223168</v>
      </c>
      <c r="AI93" s="43" t="n">
        <f aca="false">A94-A93</f>
        <v>31</v>
      </c>
      <c r="AL93" s="136"/>
      <c r="AM93" s="9"/>
      <c r="AN93" s="9" t="n">
        <f aca="false">IF($A93&gt;=AO$25,IF($A93&lt;=AO$26,$AI93,0),0)</f>
        <v>0</v>
      </c>
      <c r="AO93" s="9" t="e">
        <f aca="false">AQ93/AN93</f>
        <v>#DIV/0!</v>
      </c>
      <c r="AP93" s="1" t="n">
        <f aca="false">AN93*($B93+B$13)</f>
        <v>0</v>
      </c>
      <c r="AQ93" s="33" t="n">
        <f aca="false">IF(ISNUMBER(((AP93/AN93)+B$14+$D93)*AN93),((AP93/AN93)+B$14+$D93)*AN93,0)</f>
        <v>0</v>
      </c>
      <c r="AR93" s="44" t="n">
        <f aca="false">IF(AN93=0,0,bsd(1,AS$27,AO93,$I93,$F93,$G93,$AH93,0.1))</f>
        <v>0</v>
      </c>
      <c r="AS93" s="44" t="n">
        <f aca="false">IF(AN93=0,0,bsd(2,AS$27,AO93,$I93,$F93,$G93,$AH93,0.1))</f>
        <v>0</v>
      </c>
      <c r="AT93" s="44" t="n">
        <f aca="false">IF(AN93=0,0,bsd(AS$28,AS$27,AO93,$I93,$F93,$G93,$AH93,0.1))</f>
        <v>0</v>
      </c>
      <c r="AU93" s="45" t="n">
        <f aca="false">AN93*AR93</f>
        <v>0</v>
      </c>
      <c r="AV93" s="45" t="n">
        <f aca="false">AN93*AS93</f>
        <v>0</v>
      </c>
      <c r="AW93" s="45" t="n">
        <f aca="false">AN93*AT93</f>
        <v>0</v>
      </c>
      <c r="AY93" s="9" t="n">
        <f aca="false">IF($A93&gt;=AZ$25,IF($A93&lt;=AZ$26,$AI93,0),0)</f>
        <v>0</v>
      </c>
      <c r="AZ93" s="9" t="e">
        <f aca="false">BB93/AY93</f>
        <v>#DIV/0!</v>
      </c>
      <c r="BA93" s="1" t="n">
        <f aca="false">AY93*($B93+D$13)</f>
        <v>0</v>
      </c>
      <c r="BB93" s="33" t="n">
        <f aca="false">IF(ISNUMBER(((BA93/AY93)+D$14+$K93)*AY93),((BA93/AY93)+D$14+$K93)*AY93,0)</f>
        <v>0</v>
      </c>
      <c r="BC93" s="44" t="n">
        <f aca="false">IF(AY93=0,0,bsd(1,BD$27,AZ93,$P93,$M93,$N93,$AH93,0.1))</f>
        <v>0</v>
      </c>
      <c r="BD93" s="44" t="n">
        <f aca="false">IF(AY93=0,0,bsd(2,BD$27,AZ93,$P93,$M93,$N93,$AH93,0.1))</f>
        <v>0</v>
      </c>
      <c r="BE93" s="44" t="n">
        <f aca="false">IF(AY93=0,0,bsd(BD$28,BD$27,AZ93,$P93,$M93,$N93,$AH93,0.1))</f>
        <v>0</v>
      </c>
      <c r="BF93" s="45" t="n">
        <f aca="false">AY93*BC93</f>
        <v>0</v>
      </c>
      <c r="BG93" s="45" t="n">
        <f aca="false">AY93*BD93</f>
        <v>0</v>
      </c>
      <c r="BH93" s="45" t="n">
        <f aca="false">AY93*BE93</f>
        <v>0</v>
      </c>
      <c r="BJ93" s="9" t="n">
        <f aca="false">IF($A93&gt;=BK$25,IF($A93&lt;=BK$26,$AI93,0),0)</f>
        <v>0</v>
      </c>
      <c r="BK93" s="9" t="e">
        <f aca="false">BM93/BJ93</f>
        <v>#DIV/0!</v>
      </c>
      <c r="BL93" s="1" t="n">
        <f aca="false">BJ93*($B93+F$13)</f>
        <v>0</v>
      </c>
      <c r="BM93" s="33" t="n">
        <f aca="false">IF(ISNUMBER(((BL93/BJ93)+F$14+$R93)*BJ93),((BL93/BJ93)+F$14+$R93)*BJ93,0)</f>
        <v>0</v>
      </c>
      <c r="BN93" s="44" t="n">
        <f aca="false">IF(BJ93=0,0,bsd(1,BO$27,BK93,$W93,$T93,$U93,$AH93,0.1))</f>
        <v>0</v>
      </c>
      <c r="BO93" s="44" t="n">
        <f aca="false">IF(BJ93=0,0,bsd(2,BO$27,BK93,$W93,$T93,$U93,$AH93,0.1))</f>
        <v>0</v>
      </c>
      <c r="BP93" s="44" t="n">
        <f aca="false">IF(BJ93=0,0,bsd(BO$28,BO$27,BK93,$W93,$T93,$U93,$AH93,0.1))</f>
        <v>0</v>
      </c>
      <c r="BQ93" s="45" t="n">
        <f aca="false">BJ93*BN93</f>
        <v>0</v>
      </c>
      <c r="BR93" s="45" t="n">
        <f aca="false">BJ93*BO93</f>
        <v>0</v>
      </c>
      <c r="BS93" s="45" t="n">
        <f aca="false">BJ93*BP93</f>
        <v>0</v>
      </c>
      <c r="BU93" s="9" t="n">
        <f aca="false">IF($A93&gt;=BV$25,IF($A93&lt;=BV$26,$AI93,0),0)</f>
        <v>0</v>
      </c>
      <c r="BV93" s="9" t="e">
        <f aca="false">BX93/BU93</f>
        <v>#DIV/0!</v>
      </c>
      <c r="BW93" s="1" t="n">
        <f aca="false">BU93*($B93+H$13)</f>
        <v>0</v>
      </c>
      <c r="BX93" s="33" t="n">
        <f aca="false">IF(ISNUMBER(((BW93/BU93)+H$14+$Y93)*BU93),((BW93/BU93)+H$14+$Y93)*BU93,0)</f>
        <v>0</v>
      </c>
      <c r="BY93" s="44" t="n">
        <f aca="false">IF(BU93=0,0,bsd(1,BZ$27,BV93,$AD93,$AA93,$AB93,$AH93,0.1))</f>
        <v>0</v>
      </c>
      <c r="BZ93" s="44" t="n">
        <f aca="false">IF(BU93=0,0,bsd(2,BZ$27,BV93,$AD93,$AA93,$AB93,$AH93,0.1))</f>
        <v>0</v>
      </c>
      <c r="CA93" s="44" t="n">
        <f aca="false">IF(BU93=0,0,bsd(BZ$28,BZ$27,BV93,$AD93,$AA93,$AB93,$AH93,0.1))</f>
        <v>0</v>
      </c>
      <c r="CB93" s="45" t="n">
        <f aca="false">BU93*BY93</f>
        <v>0</v>
      </c>
      <c r="CC93" s="45" t="n">
        <f aca="false">BU93*BZ93</f>
        <v>0</v>
      </c>
      <c r="CD93" s="45" t="n">
        <f aca="false">BU93*CA93</f>
        <v>0</v>
      </c>
    </row>
    <row r="94" customFormat="false" ht="12.75" hidden="false" customHeight="false" outlineLevel="0" collapsed="false">
      <c r="A94" s="48" t="n">
        <f aca="false">DATE(YEAR(A93),MONTH(A93)+1,1)</f>
        <v>38718</v>
      </c>
      <c r="B94" s="40" t="n">
        <f aca="false">VLOOKUP(A94,STRADDLE,5,FALSE())</f>
        <v>3.558</v>
      </c>
      <c r="C94" s="4" t="n">
        <f aca="false">VLOOKUP(A94,STRADDLE,8,FALSE())</f>
        <v>0.235</v>
      </c>
      <c r="D94" s="40" t="n">
        <f aca="false">IF(D$28="nymex",0,VLOOKUP($A94,curvesettle,HLOOKUP(D$28,curvesettle,2,FALSE())))</f>
        <v>1.645</v>
      </c>
      <c r="E94" s="131" t="n">
        <f aca="false">IF(ISNUMBER(VLOOKUP($A94,VOLCURVES,HLOOKUP(D$28,VOLCURVES,2,FALSE()),FALSE())),VLOOKUP($A94,VOLCURVES,HLOOKUP(D$28,VOLCURVES,2,FALSE()),FALSE()),1)</f>
        <v>1.1</v>
      </c>
      <c r="F94" s="136" t="n">
        <f aca="false">IF(D$28="NYMEX",$AG94,$AF94)</f>
        <v>-7212</v>
      </c>
      <c r="G94" s="4" t="e">
        <f aca="false">(($C94+H94)*$E94)+B$15</f>
        <v>#DIV/0!</v>
      </c>
      <c r="H94" s="4" t="e">
        <f aca="false">IF($B$16=1,VLOOKUP($A94,SkewTable,HLOOKUP(ROUND(I94-AO94,1),SkewTable,2,FALSE()),FALSE())/100,0)</f>
        <v>#DIV/0!</v>
      </c>
      <c r="I94" s="41" t="n">
        <f aca="false">IF($B$19=4,$AO94,$B$18)</f>
        <v>12</v>
      </c>
      <c r="K94" s="40" t="n">
        <f aca="false">IF(K$28="nymex",0,VLOOKUP($A94,curvesettle,HLOOKUP(K$28,curvesettle,2,FALSE())))</f>
        <v>-0.0175</v>
      </c>
      <c r="L94" s="131" t="n">
        <f aca="false">IF(ISNUMBER(VLOOKUP($A94,VOLCURVES,HLOOKUP(K$28,VOLCURVES,2,FALSE()),FALSE())),VLOOKUP($A94,VOLCURVES,HLOOKUP(K$28,VOLCURVES,2,FALSE()),FALSE()),1)</f>
        <v>1</v>
      </c>
      <c r="M94" s="136" t="n">
        <f aca="false">IF(K$28="NYMEX",$AG94,$AF94)</f>
        <v>-7212</v>
      </c>
      <c r="N94" s="153" t="e">
        <f aca="false">(($C94+O94)*$L94)+D$15</f>
        <v>#DIV/0!</v>
      </c>
      <c r="O94" s="4" t="e">
        <f aca="false">IF($D$16=1,VLOOKUP($A94,SkewTable,HLOOKUP(ROUND(P94-AZ94,1),SkewTable,2,FALSE()),FALSE())/100,0)</f>
        <v>#DIV/0!</v>
      </c>
      <c r="P94" s="41" t="n">
        <f aca="false">IF($D$19=4,$AZ94,$D$18)</f>
        <v>3.75</v>
      </c>
      <c r="R94" s="40" t="n">
        <f aca="false">IF(R$28="nymex",0,VLOOKUP($A94,curvesettle,HLOOKUP(R$28,curvesettle,2,FALSE())))</f>
        <v>-0.0175</v>
      </c>
      <c r="S94" s="131" t="n">
        <f aca="false">IF(ISNUMBER(VLOOKUP($A94,VOLCURVES,HLOOKUP(R$28,VOLCURVES,2,FALSE()),FALSE())),VLOOKUP($A94,VOLCURVES,HLOOKUP(R$28,VOLCURVES,2,FALSE()),FALSE()),1)</f>
        <v>1</v>
      </c>
      <c r="T94" s="136" t="n">
        <f aca="false">IF(R$28="NYMEX",$AG94,$AF94)</f>
        <v>-7212</v>
      </c>
      <c r="U94" s="153" t="e">
        <f aca="false">(($C94+V94)*$S94)+F$15</f>
        <v>#DIV/0!</v>
      </c>
      <c r="V94" s="4" t="e">
        <f aca="false">IF($F$16=1,VLOOKUP($A94,SkewTable,HLOOKUP(ROUND(W94-BK94,1),SkewTable,2,FALSE()),FALSE())/100,0)</f>
        <v>#DIV/0!</v>
      </c>
      <c r="W94" s="41" t="n">
        <f aca="false">IF($F$19=4,$BK94,$F$18)</f>
        <v>3.5</v>
      </c>
      <c r="X94" s="136"/>
      <c r="Y94" s="40" t="n">
        <f aca="false">IF(Y$28="nymex",0,VLOOKUP($A94,curvesettle,HLOOKUP(Y$28,curvesettle,2,FALSE())))</f>
        <v>-0.26</v>
      </c>
      <c r="Z94" s="131" t="n">
        <f aca="false">IF(ISNUMBER(VLOOKUP($A94,VOLCURVES,HLOOKUP(Y$28,VOLCURVES,2,FALSE()),FALSE())),VLOOKUP($A94,VOLCURVES,HLOOKUP(Y$28,VOLCURVES,2,FALSE()),FALSE()),1)</f>
        <v>1</v>
      </c>
      <c r="AA94" s="136" t="n">
        <f aca="false">IF(Y$28="NYMEX",$AG94,$AF94)</f>
        <v>-7212</v>
      </c>
      <c r="AB94" s="4" t="e">
        <f aca="false">(($C94+AC94)*$Z94)+H$15</f>
        <v>#DIV/0!</v>
      </c>
      <c r="AC94" s="4" t="e">
        <f aca="false">IF($H$16=1,VLOOKUP($A94,SkewTable,HLOOKUP(ROUND(AD94-BV94,1),SkewTable,2,FALSE()),FALSE())/100,0)</f>
        <v>#DIV/0!</v>
      </c>
      <c r="AD94" s="41" t="n">
        <f aca="false">IF($H$19=4,$BV94,$H$18)</f>
        <v>3</v>
      </c>
      <c r="AF94" s="136" t="n">
        <f aca="false">VLOOKUP($A94,expiration,2,FALSE())-$B$2</f>
        <v>-7212</v>
      </c>
      <c r="AG94" s="136" t="n">
        <f aca="false">VLOOKUP($A94,expiration,3,FALSE())-$B$2</f>
        <v>-7213</v>
      </c>
      <c r="AH94" s="4" t="n">
        <f aca="false">VLOOKUP($A94,STRADDLE,12,FALSE())</f>
        <v>0.06843661260383</v>
      </c>
      <c r="AI94" s="43" t="n">
        <f aca="false">A95-A94</f>
        <v>31</v>
      </c>
      <c r="AL94" s="136"/>
      <c r="AM94" s="9"/>
      <c r="AN94" s="9" t="n">
        <f aca="false">IF($A94&gt;=AO$25,IF($A94&lt;=AO$26,$AI94,0),0)</f>
        <v>0</v>
      </c>
      <c r="AO94" s="9" t="e">
        <f aca="false">AQ94/AN94</f>
        <v>#DIV/0!</v>
      </c>
      <c r="AP94" s="1" t="n">
        <f aca="false">AN94*($B94+B$13)</f>
        <v>0</v>
      </c>
      <c r="AQ94" s="33" t="n">
        <f aca="false">IF(ISNUMBER(((AP94/AN94)+B$14+$D94)*AN94),((AP94/AN94)+B$14+$D94)*AN94,0)</f>
        <v>0</v>
      </c>
      <c r="AR94" s="44" t="n">
        <f aca="false">IF(AN94=0,0,bsd(1,AS$27,AO94,$I94,$F94,$G94,$AH94,0.1))</f>
        <v>0</v>
      </c>
      <c r="AS94" s="44" t="n">
        <f aca="false">IF(AN94=0,0,bsd(2,AS$27,AO94,$I94,$F94,$G94,$AH94,0.1))</f>
        <v>0</v>
      </c>
      <c r="AT94" s="44" t="n">
        <f aca="false">IF(AN94=0,0,bsd(AS$28,AS$27,AO94,$I94,$F94,$G94,$AH94,0.1))</f>
        <v>0</v>
      </c>
      <c r="AU94" s="45" t="n">
        <f aca="false">AN94*AR94</f>
        <v>0</v>
      </c>
      <c r="AV94" s="45" t="n">
        <f aca="false">AN94*AS94</f>
        <v>0</v>
      </c>
      <c r="AW94" s="45" t="n">
        <f aca="false">AN94*AT94</f>
        <v>0</v>
      </c>
      <c r="AY94" s="9" t="n">
        <f aca="false">IF($A94&gt;=AZ$25,IF($A94&lt;=AZ$26,$AI94,0),0)</f>
        <v>0</v>
      </c>
      <c r="AZ94" s="9" t="e">
        <f aca="false">BB94/AY94</f>
        <v>#DIV/0!</v>
      </c>
      <c r="BA94" s="1" t="n">
        <f aca="false">AY94*($B94+D$13)</f>
        <v>0</v>
      </c>
      <c r="BB94" s="33" t="n">
        <f aca="false">IF(ISNUMBER(((BA94/AY94)+D$14+$K94)*AY94),((BA94/AY94)+D$14+$K94)*AY94,0)</f>
        <v>0</v>
      </c>
      <c r="BC94" s="44" t="n">
        <f aca="false">IF(AY94=0,0,bsd(1,BD$27,AZ94,$P94,$M94,$N94,$AH94,0.1))</f>
        <v>0</v>
      </c>
      <c r="BD94" s="44" t="n">
        <f aca="false">IF(AY94=0,0,bsd(2,BD$27,AZ94,$P94,$M94,$N94,$AH94,0.1))</f>
        <v>0</v>
      </c>
      <c r="BE94" s="44" t="n">
        <f aca="false">IF(AY94=0,0,bsd(BD$28,BD$27,AZ94,$P94,$M94,$N94,$AH94,0.1))</f>
        <v>0</v>
      </c>
      <c r="BF94" s="45" t="n">
        <f aca="false">AY94*BC94</f>
        <v>0</v>
      </c>
      <c r="BG94" s="45" t="n">
        <f aca="false">AY94*BD94</f>
        <v>0</v>
      </c>
      <c r="BH94" s="45" t="n">
        <f aca="false">AY94*BE94</f>
        <v>0</v>
      </c>
      <c r="BJ94" s="9" t="n">
        <f aca="false">IF($A94&gt;=BK$25,IF($A94&lt;=BK$26,$AI94,0),0)</f>
        <v>0</v>
      </c>
      <c r="BK94" s="9" t="e">
        <f aca="false">BM94/BJ94</f>
        <v>#DIV/0!</v>
      </c>
      <c r="BL94" s="1" t="n">
        <f aca="false">BJ94*($B94+F$13)</f>
        <v>0</v>
      </c>
      <c r="BM94" s="33" t="n">
        <f aca="false">IF(ISNUMBER(((BL94/BJ94)+F$14+$R94)*BJ94),((BL94/BJ94)+F$14+$R94)*BJ94,0)</f>
        <v>0</v>
      </c>
      <c r="BN94" s="44" t="n">
        <f aca="false">IF(BJ94=0,0,bsd(1,BO$27,BK94,$W94,$T94,$U94,$AH94,0.1))</f>
        <v>0</v>
      </c>
      <c r="BO94" s="44" t="n">
        <f aca="false">IF(BJ94=0,0,bsd(2,BO$27,BK94,$W94,$T94,$U94,$AH94,0.1))</f>
        <v>0</v>
      </c>
      <c r="BP94" s="44" t="n">
        <f aca="false">IF(BJ94=0,0,bsd(BO$28,BO$27,BK94,$W94,$T94,$U94,$AH94,0.1))</f>
        <v>0</v>
      </c>
      <c r="BQ94" s="45" t="n">
        <f aca="false">BJ94*BN94</f>
        <v>0</v>
      </c>
      <c r="BR94" s="45" t="n">
        <f aca="false">BJ94*BO94</f>
        <v>0</v>
      </c>
      <c r="BS94" s="45" t="n">
        <f aca="false">BJ94*BP94</f>
        <v>0</v>
      </c>
      <c r="BU94" s="9" t="n">
        <f aca="false">IF($A94&gt;=BV$25,IF($A94&lt;=BV$26,$AI94,0),0)</f>
        <v>0</v>
      </c>
      <c r="BV94" s="9" t="e">
        <f aca="false">BX94/BU94</f>
        <v>#DIV/0!</v>
      </c>
      <c r="BW94" s="1" t="n">
        <f aca="false">BU94*($B94+H$13)</f>
        <v>0</v>
      </c>
      <c r="BX94" s="33" t="n">
        <f aca="false">IF(ISNUMBER(((BW94/BU94)+H$14+$Y94)*BU94),((BW94/BU94)+H$14+$Y94)*BU94,0)</f>
        <v>0</v>
      </c>
      <c r="BY94" s="44" t="n">
        <f aca="false">IF(BU94=0,0,bsd(1,BZ$27,BV94,$AD94,$AA94,$AB94,$AH94,0.1))</f>
        <v>0</v>
      </c>
      <c r="BZ94" s="44" t="n">
        <f aca="false">IF(BU94=0,0,bsd(2,BZ$27,BV94,$AD94,$AA94,$AB94,$AH94,0.1))</f>
        <v>0</v>
      </c>
      <c r="CA94" s="44" t="n">
        <f aca="false">IF(BU94=0,0,bsd(BZ$28,BZ$27,BV94,$AD94,$AA94,$AB94,$AH94,0.1))</f>
        <v>0</v>
      </c>
      <c r="CB94" s="45" t="n">
        <f aca="false">BU94*BY94</f>
        <v>0</v>
      </c>
      <c r="CC94" s="45" t="n">
        <f aca="false">BU94*BZ94</f>
        <v>0</v>
      </c>
      <c r="CD94" s="45" t="n">
        <f aca="false">BU94*CA94</f>
        <v>0</v>
      </c>
    </row>
    <row r="95" customFormat="false" ht="12.75" hidden="false" customHeight="false" outlineLevel="0" collapsed="false">
      <c r="A95" s="48" t="n">
        <f aca="false">DATE(YEAR(A94),MONTH(A94)+1,1)</f>
        <v>38749</v>
      </c>
      <c r="B95" s="40" t="n">
        <f aca="false">VLOOKUP(A95,STRADDLE,5,FALSE())</f>
        <v>3.408</v>
      </c>
      <c r="C95" s="4" t="n">
        <f aca="false">VLOOKUP(A95,STRADDLE,8,FALSE())</f>
        <v>0.2325</v>
      </c>
      <c r="D95" s="40" t="n">
        <f aca="false">IF(D$28="nymex",0,VLOOKUP($A95,curvesettle,HLOOKUP(D$28,curvesettle,2,FALSE())))</f>
        <v>1.595</v>
      </c>
      <c r="E95" s="131" t="n">
        <f aca="false">IF(ISNUMBER(VLOOKUP($A95,VOLCURVES,HLOOKUP(D$28,VOLCURVES,2,FALSE()),FALSE())),VLOOKUP($A95,VOLCURVES,HLOOKUP(D$28,VOLCURVES,2,FALSE()),FALSE()),1)</f>
        <v>1.1</v>
      </c>
      <c r="F95" s="136" t="n">
        <f aca="false">IF(D$28="NYMEX",$AG95,$AF95)</f>
        <v>-7182</v>
      </c>
      <c r="G95" s="4" t="e">
        <f aca="false">(($C95+H95)*$E95)+B$15</f>
        <v>#DIV/0!</v>
      </c>
      <c r="H95" s="4" t="e">
        <f aca="false">IF($B$16=1,VLOOKUP($A95,SkewTable,HLOOKUP(ROUND(I95-AO95,1),SkewTable,2,FALSE()),FALSE())/100,0)</f>
        <v>#DIV/0!</v>
      </c>
      <c r="I95" s="41" t="n">
        <f aca="false">IF($B$19=4,$AO95,$B$18)</f>
        <v>12</v>
      </c>
      <c r="K95" s="40" t="n">
        <f aca="false">IF(K$28="nymex",0,VLOOKUP($A95,curvesettle,HLOOKUP(K$28,curvesettle,2,FALSE())))</f>
        <v>-0.0175</v>
      </c>
      <c r="L95" s="131" t="n">
        <f aca="false">IF(ISNUMBER(VLOOKUP($A95,VOLCURVES,HLOOKUP(K$28,VOLCURVES,2,FALSE()),FALSE())),VLOOKUP($A95,VOLCURVES,HLOOKUP(K$28,VOLCURVES,2,FALSE()),FALSE()),1)</f>
        <v>1</v>
      </c>
      <c r="M95" s="136" t="n">
        <f aca="false">IF(K$28="NYMEX",$AG95,$AF95)</f>
        <v>-7182</v>
      </c>
      <c r="N95" s="153" t="e">
        <f aca="false">(($C95+O95)*$L95)+D$15</f>
        <v>#DIV/0!</v>
      </c>
      <c r="O95" s="4" t="e">
        <f aca="false">IF($D$16=1,VLOOKUP($A95,SkewTable,HLOOKUP(ROUND(P95-AZ95,1),SkewTable,2,FALSE()),FALSE())/100,0)</f>
        <v>#DIV/0!</v>
      </c>
      <c r="P95" s="41" t="n">
        <f aca="false">IF($D$19=4,$AZ95,$D$18)</f>
        <v>3.75</v>
      </c>
      <c r="R95" s="40" t="n">
        <f aca="false">IF(R$28="nymex",0,VLOOKUP($A95,curvesettle,HLOOKUP(R$28,curvesettle,2,FALSE())))</f>
        <v>-0.0175</v>
      </c>
      <c r="S95" s="131" t="n">
        <f aca="false">IF(ISNUMBER(VLOOKUP($A95,VOLCURVES,HLOOKUP(R$28,VOLCURVES,2,FALSE()),FALSE())),VLOOKUP($A95,VOLCURVES,HLOOKUP(R$28,VOLCURVES,2,FALSE()),FALSE()),1)</f>
        <v>1</v>
      </c>
      <c r="T95" s="136" t="n">
        <f aca="false">IF(R$28="NYMEX",$AG95,$AF95)</f>
        <v>-7182</v>
      </c>
      <c r="U95" s="153" t="e">
        <f aca="false">(($C95+V95)*$S95)+F$15</f>
        <v>#DIV/0!</v>
      </c>
      <c r="V95" s="4" t="e">
        <f aca="false">IF($F$16=1,VLOOKUP($A95,SkewTable,HLOOKUP(ROUND(W95-BK95,1),SkewTable,2,FALSE()),FALSE())/100,0)</f>
        <v>#DIV/0!</v>
      </c>
      <c r="W95" s="41" t="n">
        <f aca="false">IF($F$19=4,$BK95,$F$18)</f>
        <v>3.5</v>
      </c>
      <c r="X95" s="136"/>
      <c r="Y95" s="40" t="n">
        <f aca="false">IF(Y$28="nymex",0,VLOOKUP($A95,curvesettle,HLOOKUP(Y$28,curvesettle,2,FALSE())))</f>
        <v>-0.26</v>
      </c>
      <c r="Z95" s="131" t="n">
        <f aca="false">IF(ISNUMBER(VLOOKUP($A95,VOLCURVES,HLOOKUP(Y$28,VOLCURVES,2,FALSE()),FALSE())),VLOOKUP($A95,VOLCURVES,HLOOKUP(Y$28,VOLCURVES,2,FALSE()),FALSE()),1)</f>
        <v>1</v>
      </c>
      <c r="AA95" s="136" t="n">
        <f aca="false">IF(Y$28="NYMEX",$AG95,$AF95)</f>
        <v>-7182</v>
      </c>
      <c r="AB95" s="4" t="e">
        <f aca="false">(($C95+AC95)*$Z95)+H$15</f>
        <v>#DIV/0!</v>
      </c>
      <c r="AC95" s="4" t="e">
        <f aca="false">IF($H$16=1,VLOOKUP($A95,SkewTable,HLOOKUP(ROUND(AD95-BV95,1),SkewTable,2,FALSE()),FALSE())/100,0)</f>
        <v>#DIV/0!</v>
      </c>
      <c r="AD95" s="41" t="n">
        <f aca="false">IF($H$19=4,$BV95,$H$18)</f>
        <v>3</v>
      </c>
      <c r="AF95" s="136" t="n">
        <f aca="false">VLOOKUP($A95,expiration,2,FALSE())-$B$2</f>
        <v>-7182</v>
      </c>
      <c r="AG95" s="136" t="n">
        <f aca="false">VLOOKUP($A95,expiration,3,FALSE())-$B$2</f>
        <v>-7183</v>
      </c>
      <c r="AH95" s="4" t="n">
        <f aca="false">VLOOKUP($A95,STRADDLE,12,FALSE())</f>
        <v>0.068487961985365</v>
      </c>
      <c r="AI95" s="43" t="n">
        <f aca="false">A96-A95</f>
        <v>28</v>
      </c>
      <c r="AL95" s="136"/>
      <c r="AM95" s="9"/>
      <c r="AN95" s="9" t="n">
        <f aca="false">IF($A95&gt;=AO$25,IF($A95&lt;=AO$26,$AI95,0),0)</f>
        <v>0</v>
      </c>
      <c r="AO95" s="9" t="e">
        <f aca="false">AQ95/AN95</f>
        <v>#DIV/0!</v>
      </c>
      <c r="AP95" s="1" t="n">
        <f aca="false">AN95*($B95+B$13)</f>
        <v>0</v>
      </c>
      <c r="AQ95" s="33" t="n">
        <f aca="false">IF(ISNUMBER(((AP95/AN95)+B$14+$D95)*AN95),((AP95/AN95)+B$14+$D95)*AN95,0)</f>
        <v>0</v>
      </c>
      <c r="AR95" s="44" t="n">
        <f aca="false">IF(AN95=0,0,bsd(1,AS$27,AO95,$I95,$F95,$G95,$AH95,0.1))</f>
        <v>0</v>
      </c>
      <c r="AS95" s="44" t="n">
        <f aca="false">IF(AN95=0,0,bsd(2,AS$27,AO95,$I95,$F95,$G95,$AH95,0.1))</f>
        <v>0</v>
      </c>
      <c r="AT95" s="44" t="n">
        <f aca="false">IF(AN95=0,0,bsd(AS$28,AS$27,AO95,$I95,$F95,$G95,$AH95,0.1))</f>
        <v>0</v>
      </c>
      <c r="AU95" s="45" t="n">
        <f aca="false">AN95*AR95</f>
        <v>0</v>
      </c>
      <c r="AV95" s="45" t="n">
        <f aca="false">AN95*AS95</f>
        <v>0</v>
      </c>
      <c r="AW95" s="45" t="n">
        <f aca="false">AN95*AT95</f>
        <v>0</v>
      </c>
      <c r="AY95" s="9" t="n">
        <f aca="false">IF($A95&gt;=AZ$25,IF($A95&lt;=AZ$26,$AI95,0),0)</f>
        <v>0</v>
      </c>
      <c r="AZ95" s="9" t="e">
        <f aca="false">BB95/AY95</f>
        <v>#DIV/0!</v>
      </c>
      <c r="BA95" s="1" t="n">
        <f aca="false">AY95*($B95+D$13)</f>
        <v>0</v>
      </c>
      <c r="BB95" s="33" t="n">
        <f aca="false">IF(ISNUMBER(((BA95/AY95)+D$14+$K95)*AY95),((BA95/AY95)+D$14+$K95)*AY95,0)</f>
        <v>0</v>
      </c>
      <c r="BC95" s="44" t="n">
        <f aca="false">IF(AY95=0,0,bsd(1,BD$27,AZ95,$P95,$M95,$N95,$AH95,0.1))</f>
        <v>0</v>
      </c>
      <c r="BD95" s="44" t="n">
        <f aca="false">IF(AY95=0,0,bsd(2,BD$27,AZ95,$P95,$M95,$N95,$AH95,0.1))</f>
        <v>0</v>
      </c>
      <c r="BE95" s="44" t="n">
        <f aca="false">IF(AY95=0,0,bsd(BD$28,BD$27,AZ95,$P95,$M95,$N95,$AH95,0.1))</f>
        <v>0</v>
      </c>
      <c r="BF95" s="45" t="n">
        <f aca="false">AY95*BC95</f>
        <v>0</v>
      </c>
      <c r="BG95" s="45" t="n">
        <f aca="false">AY95*BD95</f>
        <v>0</v>
      </c>
      <c r="BH95" s="45" t="n">
        <f aca="false">AY95*BE95</f>
        <v>0</v>
      </c>
      <c r="BJ95" s="9" t="n">
        <f aca="false">IF($A95&gt;=BK$25,IF($A95&lt;=BK$26,$AI95,0),0)</f>
        <v>0</v>
      </c>
      <c r="BK95" s="9" t="e">
        <f aca="false">BM95/BJ95</f>
        <v>#DIV/0!</v>
      </c>
      <c r="BL95" s="1" t="n">
        <f aca="false">BJ95*($B95+F$13)</f>
        <v>0</v>
      </c>
      <c r="BM95" s="33" t="n">
        <f aca="false">IF(ISNUMBER(((BL95/BJ95)+F$14+$R95)*BJ95),((BL95/BJ95)+F$14+$R95)*BJ95,0)</f>
        <v>0</v>
      </c>
      <c r="BN95" s="44" t="n">
        <f aca="false">IF(BJ95=0,0,bsd(1,BO$27,BK95,$W95,$T95,$U95,$AH95,0.1))</f>
        <v>0</v>
      </c>
      <c r="BO95" s="44" t="n">
        <f aca="false">IF(BJ95=0,0,bsd(2,BO$27,BK95,$W95,$T95,$U95,$AH95,0.1))</f>
        <v>0</v>
      </c>
      <c r="BP95" s="44" t="n">
        <f aca="false">IF(BJ95=0,0,bsd(BO$28,BO$27,BK95,$W95,$T95,$U95,$AH95,0.1))</f>
        <v>0</v>
      </c>
      <c r="BQ95" s="45" t="n">
        <f aca="false">BJ95*BN95</f>
        <v>0</v>
      </c>
      <c r="BR95" s="45" t="n">
        <f aca="false">BJ95*BO95</f>
        <v>0</v>
      </c>
      <c r="BS95" s="45" t="n">
        <f aca="false">BJ95*BP95</f>
        <v>0</v>
      </c>
      <c r="BU95" s="9" t="n">
        <f aca="false">IF($A95&gt;=BV$25,IF($A95&lt;=BV$26,$AI95,0),0)</f>
        <v>0</v>
      </c>
      <c r="BV95" s="9" t="e">
        <f aca="false">BX95/BU95</f>
        <v>#DIV/0!</v>
      </c>
      <c r="BW95" s="1" t="n">
        <f aca="false">BU95*($B95+H$13)</f>
        <v>0</v>
      </c>
      <c r="BX95" s="33" t="n">
        <f aca="false">IF(ISNUMBER(((BW95/BU95)+H$14+$Y95)*BU95),((BW95/BU95)+H$14+$Y95)*BU95,0)</f>
        <v>0</v>
      </c>
      <c r="BY95" s="44" t="n">
        <f aca="false">IF(BU95=0,0,bsd(1,BZ$27,BV95,$AD95,$AA95,$AB95,$AH95,0.1))</f>
        <v>0</v>
      </c>
      <c r="BZ95" s="44" t="n">
        <f aca="false">IF(BU95=0,0,bsd(2,BZ$27,BV95,$AD95,$AA95,$AB95,$AH95,0.1))</f>
        <v>0</v>
      </c>
      <c r="CA95" s="44" t="n">
        <f aca="false">IF(BU95=0,0,bsd(BZ$28,BZ$27,BV95,$AD95,$AA95,$AB95,$AH95,0.1))</f>
        <v>0</v>
      </c>
      <c r="CB95" s="45" t="n">
        <f aca="false">BU95*BY95</f>
        <v>0</v>
      </c>
      <c r="CC95" s="45" t="n">
        <f aca="false">BU95*BZ95</f>
        <v>0</v>
      </c>
      <c r="CD95" s="45" t="n">
        <f aca="false">BU95*CA95</f>
        <v>0</v>
      </c>
    </row>
    <row r="96" customFormat="false" ht="12.75" hidden="false" customHeight="false" outlineLevel="0" collapsed="false">
      <c r="A96" s="48" t="n">
        <f aca="false">DATE(YEAR(A95),MONTH(A95)+1,1)</f>
        <v>38777</v>
      </c>
      <c r="B96" s="40" t="n">
        <f aca="false">VLOOKUP(A96,STRADDLE,5,FALSE())</f>
        <v>3.234</v>
      </c>
      <c r="C96" s="4" t="n">
        <f aca="false">VLOOKUP(A96,STRADDLE,8,FALSE())</f>
        <v>0.23</v>
      </c>
      <c r="D96" s="40" t="n">
        <f aca="false">IF(D$28="nymex",0,VLOOKUP($A96,curvesettle,HLOOKUP(D$28,curvesettle,2,FALSE())))</f>
        <v>0.965</v>
      </c>
      <c r="E96" s="131" t="n">
        <f aca="false">IF(ISNUMBER(VLOOKUP($A96,VOLCURVES,HLOOKUP(D$28,VOLCURVES,2,FALSE()),FALSE())),VLOOKUP($A96,VOLCURVES,HLOOKUP(D$28,VOLCURVES,2,FALSE()),FALSE()),1)</f>
        <v>1.1</v>
      </c>
      <c r="F96" s="136" t="n">
        <f aca="false">IF(D$28="NYMEX",$AG96,$AF96)</f>
        <v>-7154</v>
      </c>
      <c r="G96" s="4" t="e">
        <f aca="false">(($C96+H96)*$E96)+B$15</f>
        <v>#DIV/0!</v>
      </c>
      <c r="H96" s="4" t="e">
        <f aca="false">IF($B$16=1,VLOOKUP($A96,SkewTable,HLOOKUP(ROUND(I96-AO96,1),SkewTable,2,FALSE()),FALSE())/100,0)</f>
        <v>#DIV/0!</v>
      </c>
      <c r="I96" s="41" t="n">
        <f aca="false">IF($B$19=4,$AO96,$B$18)</f>
        <v>12</v>
      </c>
      <c r="K96" s="40" t="n">
        <f aca="false">IF(K$28="nymex",0,VLOOKUP($A96,curvesettle,HLOOKUP(K$28,curvesettle,2,FALSE())))</f>
        <v>-0.0175</v>
      </c>
      <c r="L96" s="131" t="n">
        <f aca="false">IF(ISNUMBER(VLOOKUP($A96,VOLCURVES,HLOOKUP(K$28,VOLCURVES,2,FALSE()),FALSE())),VLOOKUP($A96,VOLCURVES,HLOOKUP(K$28,VOLCURVES,2,FALSE()),FALSE()),1)</f>
        <v>1</v>
      </c>
      <c r="M96" s="136" t="n">
        <f aca="false">IF(K$28="NYMEX",$AG96,$AF96)</f>
        <v>-7154</v>
      </c>
      <c r="N96" s="153" t="e">
        <f aca="false">(($C96+O96)*$L96)+D$15</f>
        <v>#DIV/0!</v>
      </c>
      <c r="O96" s="4" t="e">
        <f aca="false">IF($D$16=1,VLOOKUP($A96,SkewTable,HLOOKUP(ROUND(P96-AZ96,1),SkewTable,2,FALSE()),FALSE())/100,0)</f>
        <v>#DIV/0!</v>
      </c>
      <c r="P96" s="41" t="n">
        <f aca="false">IF($D$19=4,$AZ96,$D$18)</f>
        <v>3.75</v>
      </c>
      <c r="R96" s="40" t="n">
        <f aca="false">IF(R$28="nymex",0,VLOOKUP($A96,curvesettle,HLOOKUP(R$28,curvesettle,2,FALSE())))</f>
        <v>-0.0175</v>
      </c>
      <c r="S96" s="131" t="n">
        <f aca="false">IF(ISNUMBER(VLOOKUP($A96,VOLCURVES,HLOOKUP(R$28,VOLCURVES,2,FALSE()),FALSE())),VLOOKUP($A96,VOLCURVES,HLOOKUP(R$28,VOLCURVES,2,FALSE()),FALSE()),1)</f>
        <v>1</v>
      </c>
      <c r="T96" s="136" t="n">
        <f aca="false">IF(R$28="NYMEX",$AG96,$AF96)</f>
        <v>-7154</v>
      </c>
      <c r="U96" s="153" t="e">
        <f aca="false">(($C96+V96)*$S96)+F$15</f>
        <v>#DIV/0!</v>
      </c>
      <c r="V96" s="4" t="e">
        <f aca="false">IF($F$16=1,VLOOKUP($A96,SkewTable,HLOOKUP(ROUND(W96-BK96,1),SkewTable,2,FALSE()),FALSE())/100,0)</f>
        <v>#DIV/0!</v>
      </c>
      <c r="W96" s="41" t="n">
        <f aca="false">IF($F$19=4,$BK96,$F$18)</f>
        <v>3.5</v>
      </c>
      <c r="X96" s="136"/>
      <c r="Y96" s="40" t="n">
        <f aca="false">IF(Y$28="nymex",0,VLOOKUP($A96,curvesettle,HLOOKUP(Y$28,curvesettle,2,FALSE())))</f>
        <v>-0.26</v>
      </c>
      <c r="Z96" s="131" t="n">
        <f aca="false">IF(ISNUMBER(VLOOKUP($A96,VOLCURVES,HLOOKUP(Y$28,VOLCURVES,2,FALSE()),FALSE())),VLOOKUP($A96,VOLCURVES,HLOOKUP(Y$28,VOLCURVES,2,FALSE()),FALSE()),1)</f>
        <v>1</v>
      </c>
      <c r="AA96" s="136" t="n">
        <f aca="false">IF(Y$28="NYMEX",$AG96,$AF96)</f>
        <v>-7154</v>
      </c>
      <c r="AB96" s="4" t="e">
        <f aca="false">(($C96+AC96)*$Z96)+H$15</f>
        <v>#DIV/0!</v>
      </c>
      <c r="AC96" s="4" t="e">
        <f aca="false">IF($H$16=1,VLOOKUP($A96,SkewTable,HLOOKUP(ROUND(AD96-BV96,1),SkewTable,2,FALSE()),FALSE())/100,0)</f>
        <v>#DIV/0!</v>
      </c>
      <c r="AD96" s="41" t="n">
        <f aca="false">IF($H$19=4,$BV96,$H$18)</f>
        <v>3</v>
      </c>
      <c r="AF96" s="136" t="n">
        <f aca="false">VLOOKUP($A96,expiration,2,FALSE())-$B$2</f>
        <v>-7154</v>
      </c>
      <c r="AG96" s="136" t="n">
        <f aca="false">VLOOKUP($A96,expiration,3,FALSE())-$B$2</f>
        <v>-7155</v>
      </c>
      <c r="AH96" s="4" t="n">
        <f aca="false">VLOOKUP($A96,STRADDLE,12,FALSE())</f>
        <v>0.068534342072662</v>
      </c>
      <c r="AI96" s="43" t="n">
        <f aca="false">A97-A96</f>
        <v>31</v>
      </c>
      <c r="AL96" s="136"/>
      <c r="AM96" s="9"/>
      <c r="AN96" s="9" t="n">
        <f aca="false">IF($A96&gt;=AO$25,IF($A96&lt;=AO$26,$AI96,0),0)</f>
        <v>0</v>
      </c>
      <c r="AO96" s="9" t="e">
        <f aca="false">AQ96/AN96</f>
        <v>#DIV/0!</v>
      </c>
      <c r="AP96" s="1" t="n">
        <f aca="false">AN96*($B96+B$13)</f>
        <v>0</v>
      </c>
      <c r="AQ96" s="33" t="n">
        <f aca="false">IF(ISNUMBER(((AP96/AN96)+B$14+$D96)*AN96),((AP96/AN96)+B$14+$D96)*AN96,0)</f>
        <v>0</v>
      </c>
      <c r="AR96" s="44" t="n">
        <f aca="false">IF(AN96=0,0,bsd(1,AS$27,AO96,$I96,$F96,$G96,$AH96,0.1))</f>
        <v>0</v>
      </c>
      <c r="AS96" s="44" t="n">
        <f aca="false">IF(AN96=0,0,bsd(2,AS$27,AO96,$I96,$F96,$G96,$AH96,0.1))</f>
        <v>0</v>
      </c>
      <c r="AT96" s="44" t="n">
        <f aca="false">IF(AN96=0,0,bsd(AS$28,AS$27,AO96,$I96,$F96,$G96,$AH96,0.1))</f>
        <v>0</v>
      </c>
      <c r="AU96" s="45" t="n">
        <f aca="false">AN96*AR96</f>
        <v>0</v>
      </c>
      <c r="AV96" s="45" t="n">
        <f aca="false">AN96*AS96</f>
        <v>0</v>
      </c>
      <c r="AW96" s="45" t="n">
        <f aca="false">AN96*AT96</f>
        <v>0</v>
      </c>
      <c r="AY96" s="9" t="n">
        <f aca="false">IF($A96&gt;=AZ$25,IF($A96&lt;=AZ$26,$AI96,0),0)</f>
        <v>0</v>
      </c>
      <c r="AZ96" s="9" t="e">
        <f aca="false">BB96/AY96</f>
        <v>#DIV/0!</v>
      </c>
      <c r="BA96" s="1" t="n">
        <f aca="false">AY96*($B96+D$13)</f>
        <v>0</v>
      </c>
      <c r="BB96" s="33" t="n">
        <f aca="false">IF(ISNUMBER(((BA96/AY96)+D$14+$K96)*AY96),((BA96/AY96)+D$14+$K96)*AY96,0)</f>
        <v>0</v>
      </c>
      <c r="BC96" s="44" t="n">
        <f aca="false">IF(AY96=0,0,bsd(1,BD$27,AZ96,$P96,$M96,$N96,$AH96,0.1))</f>
        <v>0</v>
      </c>
      <c r="BD96" s="44" t="n">
        <f aca="false">IF(AY96=0,0,bsd(2,BD$27,AZ96,$P96,$M96,$N96,$AH96,0.1))</f>
        <v>0</v>
      </c>
      <c r="BE96" s="44" t="n">
        <f aca="false">IF(AY96=0,0,bsd(BD$28,BD$27,AZ96,$P96,$M96,$N96,$AH96,0.1))</f>
        <v>0</v>
      </c>
      <c r="BF96" s="45" t="n">
        <f aca="false">AY96*BC96</f>
        <v>0</v>
      </c>
      <c r="BG96" s="45" t="n">
        <f aca="false">AY96*BD96</f>
        <v>0</v>
      </c>
      <c r="BH96" s="45" t="n">
        <f aca="false">AY96*BE96</f>
        <v>0</v>
      </c>
      <c r="BJ96" s="9" t="n">
        <f aca="false">IF($A96&gt;=BK$25,IF($A96&lt;=BK$26,$AI96,0),0)</f>
        <v>0</v>
      </c>
      <c r="BK96" s="9" t="e">
        <f aca="false">BM96/BJ96</f>
        <v>#DIV/0!</v>
      </c>
      <c r="BL96" s="1" t="n">
        <f aca="false">BJ96*($B96+F$13)</f>
        <v>0</v>
      </c>
      <c r="BM96" s="33" t="n">
        <f aca="false">IF(ISNUMBER(((BL96/BJ96)+F$14+$R96)*BJ96),((BL96/BJ96)+F$14+$R96)*BJ96,0)</f>
        <v>0</v>
      </c>
      <c r="BN96" s="44" t="n">
        <f aca="false">IF(BJ96=0,0,bsd(1,BO$27,BK96,$W96,$T96,$U96,$AH96,0.1))</f>
        <v>0</v>
      </c>
      <c r="BO96" s="44" t="n">
        <f aca="false">IF(BJ96=0,0,bsd(2,BO$27,BK96,$W96,$T96,$U96,$AH96,0.1))</f>
        <v>0</v>
      </c>
      <c r="BP96" s="44" t="n">
        <f aca="false">IF(BJ96=0,0,bsd(BO$28,BO$27,BK96,$W96,$T96,$U96,$AH96,0.1))</f>
        <v>0</v>
      </c>
      <c r="BQ96" s="45" t="n">
        <f aca="false">BJ96*BN96</f>
        <v>0</v>
      </c>
      <c r="BR96" s="45" t="n">
        <f aca="false">BJ96*BO96</f>
        <v>0</v>
      </c>
      <c r="BS96" s="45" t="n">
        <f aca="false">BJ96*BP96</f>
        <v>0</v>
      </c>
      <c r="BU96" s="9" t="n">
        <f aca="false">IF($A96&gt;=BV$25,IF($A96&lt;=BV$26,$AI96,0),0)</f>
        <v>0</v>
      </c>
      <c r="BV96" s="9" t="e">
        <f aca="false">BX96/BU96</f>
        <v>#DIV/0!</v>
      </c>
      <c r="BW96" s="1" t="n">
        <f aca="false">BU96*($B96+H$13)</f>
        <v>0</v>
      </c>
      <c r="BX96" s="33" t="n">
        <f aca="false">IF(ISNUMBER(((BW96/BU96)+H$14+$Y96)*BU96),((BW96/BU96)+H$14+$Y96)*BU96,0)</f>
        <v>0</v>
      </c>
      <c r="BY96" s="44" t="n">
        <f aca="false">IF(BU96=0,0,bsd(1,BZ$27,BV96,$AD96,$AA96,$AB96,$AH96,0.1))</f>
        <v>0</v>
      </c>
      <c r="BZ96" s="44" t="n">
        <f aca="false">IF(BU96=0,0,bsd(2,BZ$27,BV96,$AD96,$AA96,$AB96,$AH96,0.1))</f>
        <v>0</v>
      </c>
      <c r="CA96" s="44" t="n">
        <f aca="false">IF(BU96=0,0,bsd(BZ$28,BZ$27,BV96,$AD96,$AA96,$AB96,$AH96,0.1))</f>
        <v>0</v>
      </c>
      <c r="CB96" s="45" t="n">
        <f aca="false">BU96*BY96</f>
        <v>0</v>
      </c>
      <c r="CC96" s="45" t="n">
        <f aca="false">BU96*BZ96</f>
        <v>0</v>
      </c>
      <c r="CD96" s="45" t="n">
        <f aca="false">BU96*CA96</f>
        <v>0</v>
      </c>
    </row>
    <row r="97" customFormat="false" ht="12.75" hidden="false" customHeight="false" outlineLevel="0" collapsed="false">
      <c r="A97" s="48" t="n">
        <f aca="false">DATE(YEAR(A96),MONTH(A96)+1,1)</f>
        <v>38808</v>
      </c>
      <c r="B97" s="40" t="n">
        <f aca="false">VLOOKUP(A97,STRADDLE,5,FALSE())</f>
        <v>3.053</v>
      </c>
      <c r="C97" s="4" t="n">
        <f aca="false">VLOOKUP(A97,STRADDLE,8,FALSE())</f>
        <v>0.23</v>
      </c>
      <c r="D97" s="40" t="n">
        <f aca="false">IF(D$28="nymex",0,VLOOKUP($A97,curvesettle,HLOOKUP(D$28,curvesettle,2,FALSE())))</f>
        <v>0.45</v>
      </c>
      <c r="E97" s="131" t="n">
        <f aca="false">IF(ISNUMBER(VLOOKUP($A97,VOLCURVES,HLOOKUP(D$28,VOLCURVES,2,FALSE()),FALSE())),VLOOKUP($A97,VOLCURVES,HLOOKUP(D$28,VOLCURVES,2,FALSE()),FALSE()),1)</f>
        <v>0.98</v>
      </c>
      <c r="F97" s="136" t="n">
        <f aca="false">IF(D$28="NYMEX",$AG97,$AF97)</f>
        <v>-7121</v>
      </c>
      <c r="G97" s="4" t="e">
        <f aca="false">(($C97+H97)*$E97)+B$15</f>
        <v>#DIV/0!</v>
      </c>
      <c r="H97" s="4" t="e">
        <f aca="false">IF($B$16=1,VLOOKUP($A97,SkewTable,HLOOKUP(ROUND(I97-AO97,1),SkewTable,2,FALSE()),FALSE())/100,0)</f>
        <v>#DIV/0!</v>
      </c>
      <c r="I97" s="41" t="n">
        <f aca="false">IF($B$19=4,$AO97,$B$18)</f>
        <v>12</v>
      </c>
      <c r="K97" s="40" t="n">
        <f aca="false">IF(K$28="nymex",0,VLOOKUP($A97,curvesettle,HLOOKUP(K$28,curvesettle,2,FALSE())))</f>
        <v>-0.02</v>
      </c>
      <c r="L97" s="131" t="n">
        <f aca="false">IF(ISNUMBER(VLOOKUP($A97,VOLCURVES,HLOOKUP(K$28,VOLCURVES,2,FALSE()),FALSE())),VLOOKUP($A97,VOLCURVES,HLOOKUP(K$28,VOLCURVES,2,FALSE()),FALSE()),1)</f>
        <v>1</v>
      </c>
      <c r="M97" s="136" t="n">
        <f aca="false">IF(K$28="NYMEX",$AG97,$AF97)</f>
        <v>-7121</v>
      </c>
      <c r="N97" s="153" t="e">
        <f aca="false">(($C97+O97)*$L97)+D$15</f>
        <v>#DIV/0!</v>
      </c>
      <c r="O97" s="4" t="e">
        <f aca="false">IF($D$16=1,VLOOKUP($A97,SkewTable,HLOOKUP(ROUND(P97-AZ97,1),SkewTable,2,FALSE()),FALSE())/100,0)</f>
        <v>#DIV/0!</v>
      </c>
      <c r="P97" s="41" t="n">
        <f aca="false">IF($D$19=4,$AZ97,$D$18)</f>
        <v>3.75</v>
      </c>
      <c r="R97" s="40" t="n">
        <f aca="false">IF(R$28="nymex",0,VLOOKUP($A97,curvesettle,HLOOKUP(R$28,curvesettle,2,FALSE())))</f>
        <v>-0.02</v>
      </c>
      <c r="S97" s="131" t="n">
        <f aca="false">IF(ISNUMBER(VLOOKUP($A97,VOLCURVES,HLOOKUP(R$28,VOLCURVES,2,FALSE()),FALSE())),VLOOKUP($A97,VOLCURVES,HLOOKUP(R$28,VOLCURVES,2,FALSE()),FALSE()),1)</f>
        <v>1</v>
      </c>
      <c r="T97" s="136" t="n">
        <f aca="false">IF(R$28="NYMEX",$AG97,$AF97)</f>
        <v>-7121</v>
      </c>
      <c r="U97" s="153" t="e">
        <f aca="false">(($C97+V97)*$S97)+F$15</f>
        <v>#DIV/0!</v>
      </c>
      <c r="V97" s="4" t="e">
        <f aca="false">IF($F$16=1,VLOOKUP($A97,SkewTable,HLOOKUP(ROUND(W97-BK97,1),SkewTable,2,FALSE()),FALSE())/100,0)</f>
        <v>#DIV/0!</v>
      </c>
      <c r="W97" s="41" t="n">
        <f aca="false">IF($F$19=4,$BK97,$F$18)</f>
        <v>3.5</v>
      </c>
      <c r="X97" s="136"/>
      <c r="Y97" s="40" t="n">
        <f aca="false">IF(Y$28="nymex",0,VLOOKUP($A97,curvesettle,HLOOKUP(Y$28,curvesettle,2,FALSE())))</f>
        <v>-0.335</v>
      </c>
      <c r="Z97" s="131" t="n">
        <f aca="false">IF(ISNUMBER(VLOOKUP($A97,VOLCURVES,HLOOKUP(Y$28,VOLCURVES,2,FALSE()),FALSE())),VLOOKUP($A97,VOLCURVES,HLOOKUP(Y$28,VOLCURVES,2,FALSE()),FALSE()),1)</f>
        <v>1</v>
      </c>
      <c r="AA97" s="136" t="n">
        <f aca="false">IF(Y$28="NYMEX",$AG97,$AF97)</f>
        <v>-7121</v>
      </c>
      <c r="AB97" s="4" t="e">
        <f aca="false">(($C97+AC97)*$Z97)+H$15</f>
        <v>#DIV/0!</v>
      </c>
      <c r="AC97" s="4" t="e">
        <f aca="false">IF($H$16=1,VLOOKUP($A97,SkewTable,HLOOKUP(ROUND(AD97-BV97,1),SkewTable,2,FALSE()),FALSE())/100,0)</f>
        <v>#DIV/0!</v>
      </c>
      <c r="AD97" s="41" t="n">
        <f aca="false">IF($H$19=4,$BV97,$H$18)</f>
        <v>3</v>
      </c>
      <c r="AF97" s="136" t="n">
        <f aca="false">VLOOKUP($A97,expiration,2,FALSE())-$B$2</f>
        <v>-7121</v>
      </c>
      <c r="AG97" s="136" t="n">
        <f aca="false">VLOOKUP($A97,expiration,3,FALSE())-$B$2</f>
        <v>-7122</v>
      </c>
      <c r="AH97" s="4" t="n">
        <f aca="false">VLOOKUP($A97,STRADDLE,12,FALSE())</f>
        <v>0.068585691455857</v>
      </c>
      <c r="AI97" s="43" t="n">
        <f aca="false">A98-A97</f>
        <v>30</v>
      </c>
      <c r="AL97" s="136"/>
      <c r="AM97" s="9"/>
      <c r="AN97" s="9" t="n">
        <f aca="false">IF($A97&gt;=AO$25,IF($A97&lt;=AO$26,$AI97,0),0)</f>
        <v>0</v>
      </c>
      <c r="AO97" s="9" t="e">
        <f aca="false">AQ97/AN97</f>
        <v>#DIV/0!</v>
      </c>
      <c r="AP97" s="1" t="n">
        <f aca="false">AN97*($B97+B$13)</f>
        <v>0</v>
      </c>
      <c r="AQ97" s="33" t="n">
        <f aca="false">IF(ISNUMBER(((AP97/AN97)+B$14+$D97)*AN97),((AP97/AN97)+B$14+$D97)*AN97,0)</f>
        <v>0</v>
      </c>
      <c r="AR97" s="44" t="n">
        <f aca="false">IF(AN97=0,0,bsd(1,AS$27,AO97,$I97,$F97,$G97,$AH97,0.1))</f>
        <v>0</v>
      </c>
      <c r="AS97" s="44" t="n">
        <f aca="false">IF(AN97=0,0,bsd(2,AS$27,AO97,$I97,$F97,$G97,$AH97,0.1))</f>
        <v>0</v>
      </c>
      <c r="AT97" s="44" t="n">
        <f aca="false">IF(AN97=0,0,bsd(AS$28,AS$27,AO97,$I97,$F97,$G97,$AH97,0.1))</f>
        <v>0</v>
      </c>
      <c r="AU97" s="45" t="n">
        <f aca="false">AN97*AR97</f>
        <v>0</v>
      </c>
      <c r="AV97" s="45" t="n">
        <f aca="false">AN97*AS97</f>
        <v>0</v>
      </c>
      <c r="AW97" s="45" t="n">
        <f aca="false">AN97*AT97</f>
        <v>0</v>
      </c>
      <c r="AY97" s="9" t="n">
        <f aca="false">IF($A97&gt;=AZ$25,IF($A97&lt;=AZ$26,$AI97,0),0)</f>
        <v>0</v>
      </c>
      <c r="AZ97" s="9" t="e">
        <f aca="false">BB97/AY97</f>
        <v>#DIV/0!</v>
      </c>
      <c r="BA97" s="1" t="n">
        <f aca="false">AY97*($B97+D$13)</f>
        <v>0</v>
      </c>
      <c r="BB97" s="33" t="n">
        <f aca="false">IF(ISNUMBER(((BA97/AY97)+D$14+$K97)*AY97),((BA97/AY97)+D$14+$K97)*AY97,0)</f>
        <v>0</v>
      </c>
      <c r="BC97" s="44" t="n">
        <f aca="false">IF(AY97=0,0,bsd(1,BD$27,AZ97,$P97,$M97,$N97,$AH97,0.1))</f>
        <v>0</v>
      </c>
      <c r="BD97" s="44" t="n">
        <f aca="false">IF(AY97=0,0,bsd(2,BD$27,AZ97,$P97,$M97,$N97,$AH97,0.1))</f>
        <v>0</v>
      </c>
      <c r="BE97" s="44" t="n">
        <f aca="false">IF(AY97=0,0,bsd(BD$28,BD$27,AZ97,$P97,$M97,$N97,$AH97,0.1))</f>
        <v>0</v>
      </c>
      <c r="BF97" s="45" t="n">
        <f aca="false">AY97*BC97</f>
        <v>0</v>
      </c>
      <c r="BG97" s="45" t="n">
        <f aca="false">AY97*BD97</f>
        <v>0</v>
      </c>
      <c r="BH97" s="45" t="n">
        <f aca="false">AY97*BE97</f>
        <v>0</v>
      </c>
      <c r="BJ97" s="9" t="n">
        <f aca="false">IF($A97&gt;=BK$25,IF($A97&lt;=BK$26,$AI97,0),0)</f>
        <v>0</v>
      </c>
      <c r="BK97" s="9" t="e">
        <f aca="false">BM97/BJ97</f>
        <v>#DIV/0!</v>
      </c>
      <c r="BL97" s="1" t="n">
        <f aca="false">BJ97*($B97+F$13)</f>
        <v>0</v>
      </c>
      <c r="BM97" s="33" t="n">
        <f aca="false">IF(ISNUMBER(((BL97/BJ97)+F$14+$R97)*BJ97),((BL97/BJ97)+F$14+$R97)*BJ97,0)</f>
        <v>0</v>
      </c>
      <c r="BN97" s="44" t="n">
        <f aca="false">IF(BJ97=0,0,bsd(1,BO$27,BK97,$W97,$T97,$U97,$AH97,0.1))</f>
        <v>0</v>
      </c>
      <c r="BO97" s="44" t="n">
        <f aca="false">IF(BJ97=0,0,bsd(2,BO$27,BK97,$W97,$T97,$U97,$AH97,0.1))</f>
        <v>0</v>
      </c>
      <c r="BP97" s="44" t="n">
        <f aca="false">IF(BJ97=0,0,bsd(BO$28,BO$27,BK97,$W97,$T97,$U97,$AH97,0.1))</f>
        <v>0</v>
      </c>
      <c r="BQ97" s="45" t="n">
        <f aca="false">BJ97*BN97</f>
        <v>0</v>
      </c>
      <c r="BR97" s="45" t="n">
        <f aca="false">BJ97*BO97</f>
        <v>0</v>
      </c>
      <c r="BS97" s="45" t="n">
        <f aca="false">BJ97*BP97</f>
        <v>0</v>
      </c>
      <c r="BU97" s="9" t="n">
        <f aca="false">IF($A97&gt;=BV$25,IF($A97&lt;=BV$26,$AI97,0),0)</f>
        <v>0</v>
      </c>
      <c r="BV97" s="9" t="e">
        <f aca="false">BX97/BU97</f>
        <v>#DIV/0!</v>
      </c>
      <c r="BW97" s="1" t="n">
        <f aca="false">BU97*($B97+H$13)</f>
        <v>0</v>
      </c>
      <c r="BX97" s="33" t="n">
        <f aca="false">IF(ISNUMBER(((BW97/BU97)+H$14+$Y97)*BU97),((BW97/BU97)+H$14+$Y97)*BU97,0)</f>
        <v>0</v>
      </c>
      <c r="BY97" s="44" t="n">
        <f aca="false">IF(BU97=0,0,bsd(1,BZ$27,BV97,$AD97,$AA97,$AB97,$AH97,0.1))</f>
        <v>0</v>
      </c>
      <c r="BZ97" s="44" t="n">
        <f aca="false">IF(BU97=0,0,bsd(2,BZ$27,BV97,$AD97,$AA97,$AB97,$AH97,0.1))</f>
        <v>0</v>
      </c>
      <c r="CA97" s="44" t="n">
        <f aca="false">IF(BU97=0,0,bsd(BZ$28,BZ$27,BV97,$AD97,$AA97,$AB97,$AH97,0.1))</f>
        <v>0</v>
      </c>
      <c r="CB97" s="45" t="n">
        <f aca="false">BU97*BY97</f>
        <v>0</v>
      </c>
      <c r="CC97" s="45" t="n">
        <f aca="false">BU97*BZ97</f>
        <v>0</v>
      </c>
      <c r="CD97" s="45" t="n">
        <f aca="false">BU97*CA97</f>
        <v>0</v>
      </c>
    </row>
    <row r="98" customFormat="false" ht="12.75" hidden="false" customHeight="false" outlineLevel="0" collapsed="false">
      <c r="A98" s="48" t="n">
        <f aca="false">DATE(YEAR(A97),MONTH(A97)+1,1)</f>
        <v>38838</v>
      </c>
      <c r="B98" s="40" t="n">
        <f aca="false">VLOOKUP(A98,STRADDLE,5,FALSE())</f>
        <v>3.006</v>
      </c>
      <c r="C98" s="4" t="n">
        <f aca="false">VLOOKUP(A98,STRADDLE,8,FALSE())</f>
        <v>0.2275</v>
      </c>
      <c r="D98" s="40" t="n">
        <f aca="false">IF(D$28="nymex",0,VLOOKUP($A98,curvesettle,HLOOKUP(D$28,curvesettle,2,FALSE())))</f>
        <v>0.405</v>
      </c>
      <c r="E98" s="131" t="n">
        <f aca="false">IF(ISNUMBER(VLOOKUP($A98,VOLCURVES,HLOOKUP(D$28,VOLCURVES,2,FALSE()),FALSE())),VLOOKUP($A98,VOLCURVES,HLOOKUP(D$28,VOLCURVES,2,FALSE()),FALSE()),1)</f>
        <v>0.98</v>
      </c>
      <c r="F98" s="136" t="n">
        <f aca="false">IF(D$28="NYMEX",$AG98,$AF98)</f>
        <v>-7093</v>
      </c>
      <c r="G98" s="4" t="e">
        <f aca="false">(($C98+H98)*$E98)+B$15</f>
        <v>#DIV/0!</v>
      </c>
      <c r="H98" s="4" t="e">
        <f aca="false">IF($B$16=1,VLOOKUP($A98,SkewTable,HLOOKUP(ROUND(I98-AO98,1),SkewTable,2,FALSE()),FALSE())/100,0)</f>
        <v>#DIV/0!</v>
      </c>
      <c r="I98" s="41" t="n">
        <f aca="false">IF($B$19=4,$AO98,$B$18)</f>
        <v>12</v>
      </c>
      <c r="K98" s="40" t="n">
        <f aca="false">IF(K$28="nymex",0,VLOOKUP($A98,curvesettle,HLOOKUP(K$28,curvesettle,2,FALSE())))</f>
        <v>-0.02</v>
      </c>
      <c r="L98" s="131" t="n">
        <f aca="false">IF(ISNUMBER(VLOOKUP($A98,VOLCURVES,HLOOKUP(K$28,VOLCURVES,2,FALSE()),FALSE())),VLOOKUP($A98,VOLCURVES,HLOOKUP(K$28,VOLCURVES,2,FALSE()),FALSE()),1)</f>
        <v>1</v>
      </c>
      <c r="M98" s="136" t="n">
        <f aca="false">IF(K$28="NYMEX",$AG98,$AF98)</f>
        <v>-7093</v>
      </c>
      <c r="N98" s="153" t="e">
        <f aca="false">(($C98+O98)*$L98)+D$15</f>
        <v>#DIV/0!</v>
      </c>
      <c r="O98" s="4" t="e">
        <f aca="false">IF($D$16=1,VLOOKUP($A98,SkewTable,HLOOKUP(ROUND(P98-AZ98,1),SkewTable,2,FALSE()),FALSE())/100,0)</f>
        <v>#DIV/0!</v>
      </c>
      <c r="P98" s="41" t="n">
        <f aca="false">IF($D$19=4,$AZ98,$D$18)</f>
        <v>3.75</v>
      </c>
      <c r="R98" s="40" t="n">
        <f aca="false">IF(R$28="nymex",0,VLOOKUP($A98,curvesettle,HLOOKUP(R$28,curvesettle,2,FALSE())))</f>
        <v>-0.02</v>
      </c>
      <c r="S98" s="131" t="n">
        <f aca="false">IF(ISNUMBER(VLOOKUP($A98,VOLCURVES,HLOOKUP(R$28,VOLCURVES,2,FALSE()),FALSE())),VLOOKUP($A98,VOLCURVES,HLOOKUP(R$28,VOLCURVES,2,FALSE()),FALSE()),1)</f>
        <v>1</v>
      </c>
      <c r="T98" s="136" t="n">
        <f aca="false">IF(R$28="NYMEX",$AG98,$AF98)</f>
        <v>-7093</v>
      </c>
      <c r="U98" s="153" t="e">
        <f aca="false">(($C98+V98)*$S98)+F$15</f>
        <v>#DIV/0!</v>
      </c>
      <c r="V98" s="4" t="e">
        <f aca="false">IF($F$16=1,VLOOKUP($A98,SkewTable,HLOOKUP(ROUND(W98-BK98,1),SkewTable,2,FALSE()),FALSE())/100,0)</f>
        <v>#DIV/0!</v>
      </c>
      <c r="W98" s="41" t="n">
        <f aca="false">IF($F$19=4,$BK98,$F$18)</f>
        <v>3.5</v>
      </c>
      <c r="X98" s="136"/>
      <c r="Y98" s="40" t="n">
        <f aca="false">IF(Y$28="nymex",0,VLOOKUP($A98,curvesettle,HLOOKUP(Y$28,curvesettle,2,FALSE())))</f>
        <v>-0.335</v>
      </c>
      <c r="Z98" s="131" t="n">
        <f aca="false">IF(ISNUMBER(VLOOKUP($A98,VOLCURVES,HLOOKUP(Y$28,VOLCURVES,2,FALSE()),FALSE())),VLOOKUP($A98,VOLCURVES,HLOOKUP(Y$28,VOLCURVES,2,FALSE()),FALSE()),1)</f>
        <v>1</v>
      </c>
      <c r="AA98" s="136" t="n">
        <f aca="false">IF(Y$28="NYMEX",$AG98,$AF98)</f>
        <v>-7093</v>
      </c>
      <c r="AB98" s="4" t="e">
        <f aca="false">(($C98+AC98)*$Z98)+H$15</f>
        <v>#DIV/0!</v>
      </c>
      <c r="AC98" s="4" t="e">
        <f aca="false">IF($H$16=1,VLOOKUP($A98,SkewTable,HLOOKUP(ROUND(AD98-BV98,1),SkewTable,2,FALSE()),FALSE())/100,0)</f>
        <v>#DIV/0!</v>
      </c>
      <c r="AD98" s="41" t="n">
        <f aca="false">IF($H$19=4,$BV98,$H$18)</f>
        <v>3</v>
      </c>
      <c r="AF98" s="136" t="n">
        <f aca="false">VLOOKUP($A98,expiration,2,FALSE())-$B$2</f>
        <v>-7093</v>
      </c>
      <c r="AG98" s="136" t="n">
        <f aca="false">VLOOKUP($A98,expiration,3,FALSE())-$B$2</f>
        <v>-7094</v>
      </c>
      <c r="AH98" s="4" t="n">
        <f aca="false">VLOOKUP($A98,STRADDLE,12,FALSE())</f>
        <v>0.068635384408167</v>
      </c>
      <c r="AI98" s="43" t="n">
        <f aca="false">A99-A98</f>
        <v>31</v>
      </c>
      <c r="AL98" s="136"/>
      <c r="AM98" s="9"/>
      <c r="AN98" s="9" t="n">
        <f aca="false">IF($A98&gt;=AO$25,IF($A98&lt;=AO$26,$AI98,0),0)</f>
        <v>0</v>
      </c>
      <c r="AO98" s="9" t="e">
        <f aca="false">AQ98/AN98</f>
        <v>#DIV/0!</v>
      </c>
      <c r="AP98" s="1" t="n">
        <f aca="false">AN98*($B98+B$13)</f>
        <v>0</v>
      </c>
      <c r="AQ98" s="33" t="n">
        <f aca="false">IF(ISNUMBER(((AP98/AN98)+B$14+$D98)*AN98),((AP98/AN98)+B$14+$D98)*AN98,0)</f>
        <v>0</v>
      </c>
      <c r="AR98" s="44" t="n">
        <f aca="false">IF(AN98=0,0,bsd(1,AS$27,AO98,$I98,$F98,$G98,$AH98,0.1))</f>
        <v>0</v>
      </c>
      <c r="AS98" s="44" t="n">
        <f aca="false">IF(AN98=0,0,bsd(2,AS$27,AO98,$I98,$F98,$G98,$AH98,0.1))</f>
        <v>0</v>
      </c>
      <c r="AT98" s="44" t="n">
        <f aca="false">IF(AN98=0,0,bsd(AS$28,AS$27,AO98,$I98,$F98,$G98,$AH98,0.1))</f>
        <v>0</v>
      </c>
      <c r="AU98" s="45" t="n">
        <f aca="false">AN98*AR98</f>
        <v>0</v>
      </c>
      <c r="AV98" s="45" t="n">
        <f aca="false">AN98*AS98</f>
        <v>0</v>
      </c>
      <c r="AW98" s="45" t="n">
        <f aca="false">AN98*AT98</f>
        <v>0</v>
      </c>
      <c r="AY98" s="9" t="n">
        <f aca="false">IF($A98&gt;=AZ$25,IF($A98&lt;=AZ$26,$AI98,0),0)</f>
        <v>0</v>
      </c>
      <c r="AZ98" s="9" t="e">
        <f aca="false">BB98/AY98</f>
        <v>#DIV/0!</v>
      </c>
      <c r="BA98" s="1" t="n">
        <f aca="false">AY98*($B98+D$13)</f>
        <v>0</v>
      </c>
      <c r="BB98" s="33" t="n">
        <f aca="false">IF(ISNUMBER(((BA98/AY98)+D$14+$K98)*AY98),((BA98/AY98)+D$14+$K98)*AY98,0)</f>
        <v>0</v>
      </c>
      <c r="BC98" s="44" t="n">
        <f aca="false">IF(AY98=0,0,bsd(1,BD$27,AZ98,$P98,$M98,$N98,$AH98,0.1))</f>
        <v>0</v>
      </c>
      <c r="BD98" s="44" t="n">
        <f aca="false">IF(AY98=0,0,bsd(2,BD$27,AZ98,$P98,$M98,$N98,$AH98,0.1))</f>
        <v>0</v>
      </c>
      <c r="BE98" s="44" t="n">
        <f aca="false">IF(AY98=0,0,bsd(BD$28,BD$27,AZ98,$P98,$M98,$N98,$AH98,0.1))</f>
        <v>0</v>
      </c>
      <c r="BF98" s="45" t="n">
        <f aca="false">AY98*BC98</f>
        <v>0</v>
      </c>
      <c r="BG98" s="45" t="n">
        <f aca="false">AY98*BD98</f>
        <v>0</v>
      </c>
      <c r="BH98" s="45" t="n">
        <f aca="false">AY98*BE98</f>
        <v>0</v>
      </c>
      <c r="BJ98" s="9" t="n">
        <f aca="false">IF($A98&gt;=BK$25,IF($A98&lt;=BK$26,$AI98,0),0)</f>
        <v>0</v>
      </c>
      <c r="BK98" s="9" t="e">
        <f aca="false">BM98/BJ98</f>
        <v>#DIV/0!</v>
      </c>
      <c r="BL98" s="1" t="n">
        <f aca="false">BJ98*($B98+F$13)</f>
        <v>0</v>
      </c>
      <c r="BM98" s="33" t="n">
        <f aca="false">IF(ISNUMBER(((BL98/BJ98)+F$14+$R98)*BJ98),((BL98/BJ98)+F$14+$R98)*BJ98,0)</f>
        <v>0</v>
      </c>
      <c r="BN98" s="44" t="n">
        <f aca="false">IF(BJ98=0,0,bsd(1,BO$27,BK98,$W98,$T98,$U98,$AH98,0.1))</f>
        <v>0</v>
      </c>
      <c r="BO98" s="44" t="n">
        <f aca="false">IF(BJ98=0,0,bsd(2,BO$27,BK98,$W98,$T98,$U98,$AH98,0.1))</f>
        <v>0</v>
      </c>
      <c r="BP98" s="44" t="n">
        <f aca="false">IF(BJ98=0,0,bsd(BO$28,BO$27,BK98,$W98,$T98,$U98,$AH98,0.1))</f>
        <v>0</v>
      </c>
      <c r="BQ98" s="45" t="n">
        <f aca="false">BJ98*BN98</f>
        <v>0</v>
      </c>
      <c r="BR98" s="45" t="n">
        <f aca="false">BJ98*BO98</f>
        <v>0</v>
      </c>
      <c r="BS98" s="45" t="n">
        <f aca="false">BJ98*BP98</f>
        <v>0</v>
      </c>
      <c r="BU98" s="9" t="n">
        <f aca="false">IF($A98&gt;=BV$25,IF($A98&lt;=BV$26,$AI98,0),0)</f>
        <v>0</v>
      </c>
      <c r="BV98" s="9" t="e">
        <f aca="false">BX98/BU98</f>
        <v>#DIV/0!</v>
      </c>
      <c r="BW98" s="1" t="n">
        <f aca="false">BU98*($B98+H$13)</f>
        <v>0</v>
      </c>
      <c r="BX98" s="33" t="n">
        <f aca="false">IF(ISNUMBER(((BW98/BU98)+H$14+$Y98)*BU98),((BW98/BU98)+H$14+$Y98)*BU98,0)</f>
        <v>0</v>
      </c>
      <c r="BY98" s="44" t="n">
        <f aca="false">IF(BU98=0,0,bsd(1,BZ$27,BV98,$AD98,$AA98,$AB98,$AH98,0.1))</f>
        <v>0</v>
      </c>
      <c r="BZ98" s="44" t="n">
        <f aca="false">IF(BU98=0,0,bsd(2,BZ$27,BV98,$AD98,$AA98,$AB98,$AH98,0.1))</f>
        <v>0</v>
      </c>
      <c r="CA98" s="44" t="n">
        <f aca="false">IF(BU98=0,0,bsd(BZ$28,BZ$27,BV98,$AD98,$AA98,$AB98,$AH98,0.1))</f>
        <v>0</v>
      </c>
      <c r="CB98" s="45" t="n">
        <f aca="false">BU98*BY98</f>
        <v>0</v>
      </c>
      <c r="CC98" s="45" t="n">
        <f aca="false">BU98*BZ98</f>
        <v>0</v>
      </c>
      <c r="CD98" s="45" t="n">
        <f aca="false">BU98*CA98</f>
        <v>0</v>
      </c>
    </row>
    <row r="99" customFormat="false" ht="12.75" hidden="false" customHeight="false" outlineLevel="0" collapsed="false">
      <c r="A99" s="48" t="n">
        <f aca="false">DATE(YEAR(A98),MONTH(A98)+1,1)</f>
        <v>38869</v>
      </c>
      <c r="B99" s="40" t="n">
        <f aca="false">VLOOKUP(A99,STRADDLE,5,FALSE())</f>
        <v>3.017</v>
      </c>
      <c r="C99" s="4" t="n">
        <f aca="false">VLOOKUP(A99,STRADDLE,8,FALSE())</f>
        <v>0.2275</v>
      </c>
      <c r="D99" s="40" t="n">
        <f aca="false">IF(D$28="nymex",0,VLOOKUP($A99,curvesettle,HLOOKUP(D$28,curvesettle,2,FALSE())))</f>
        <v>0.395</v>
      </c>
      <c r="E99" s="131" t="n">
        <f aca="false">IF(ISNUMBER(VLOOKUP($A99,VOLCURVES,HLOOKUP(D$28,VOLCURVES,2,FALSE()),FALSE())),VLOOKUP($A99,VOLCURVES,HLOOKUP(D$28,VOLCURVES,2,FALSE()),FALSE()),1)</f>
        <v>0.98</v>
      </c>
      <c r="F99" s="136" t="n">
        <f aca="false">IF(D$28="NYMEX",$AG99,$AF99)</f>
        <v>-7063</v>
      </c>
      <c r="G99" s="4" t="e">
        <f aca="false">(($C99+H99)*$E99)+B$15</f>
        <v>#DIV/0!</v>
      </c>
      <c r="H99" s="4" t="e">
        <f aca="false">IF($B$16=1,VLOOKUP($A99,SkewTable,HLOOKUP(ROUND(I99-AO99,1),SkewTable,2,FALSE()),FALSE())/100,0)</f>
        <v>#DIV/0!</v>
      </c>
      <c r="I99" s="41" t="n">
        <f aca="false">IF($B$19=4,$AO99,$B$18)</f>
        <v>12</v>
      </c>
      <c r="K99" s="40" t="n">
        <f aca="false">IF(K$28="nymex",0,VLOOKUP($A99,curvesettle,HLOOKUP(K$28,curvesettle,2,FALSE())))</f>
        <v>-0.02</v>
      </c>
      <c r="L99" s="131" t="n">
        <f aca="false">IF(ISNUMBER(VLOOKUP($A99,VOLCURVES,HLOOKUP(K$28,VOLCURVES,2,FALSE()),FALSE())),VLOOKUP($A99,VOLCURVES,HLOOKUP(K$28,VOLCURVES,2,FALSE()),FALSE()),1)</f>
        <v>1</v>
      </c>
      <c r="M99" s="136" t="n">
        <f aca="false">IF(K$28="NYMEX",$AG99,$AF99)</f>
        <v>-7063</v>
      </c>
      <c r="N99" s="153" t="e">
        <f aca="false">(($C99+O99)*$L99)+D$15</f>
        <v>#DIV/0!</v>
      </c>
      <c r="O99" s="4" t="e">
        <f aca="false">IF($D$16=1,VLOOKUP($A99,SkewTable,HLOOKUP(ROUND(P99-AZ99,1),SkewTable,2,FALSE()),FALSE())/100,0)</f>
        <v>#DIV/0!</v>
      </c>
      <c r="P99" s="41" t="n">
        <f aca="false">IF($D$19=4,$AZ99,$D$18)</f>
        <v>3.75</v>
      </c>
      <c r="R99" s="40" t="n">
        <f aca="false">IF(R$28="nymex",0,VLOOKUP($A99,curvesettle,HLOOKUP(R$28,curvesettle,2,FALSE())))</f>
        <v>-0.02</v>
      </c>
      <c r="S99" s="131" t="n">
        <f aca="false">IF(ISNUMBER(VLOOKUP($A99,VOLCURVES,HLOOKUP(R$28,VOLCURVES,2,FALSE()),FALSE())),VLOOKUP($A99,VOLCURVES,HLOOKUP(R$28,VOLCURVES,2,FALSE()),FALSE()),1)</f>
        <v>1</v>
      </c>
      <c r="T99" s="136" t="n">
        <f aca="false">IF(R$28="NYMEX",$AG99,$AF99)</f>
        <v>-7063</v>
      </c>
      <c r="U99" s="153" t="e">
        <f aca="false">(($C99+V99)*$S99)+F$15</f>
        <v>#DIV/0!</v>
      </c>
      <c r="V99" s="4" t="e">
        <f aca="false">IF($F$16=1,VLOOKUP($A99,SkewTable,HLOOKUP(ROUND(W99-BK99,1),SkewTable,2,FALSE()),FALSE())/100,0)</f>
        <v>#DIV/0!</v>
      </c>
      <c r="W99" s="41" t="n">
        <f aca="false">IF($F$19=4,$BK99,$F$18)</f>
        <v>3.5</v>
      </c>
      <c r="X99" s="136"/>
      <c r="Y99" s="40" t="n">
        <f aca="false">IF(Y$28="nymex",0,VLOOKUP($A99,curvesettle,HLOOKUP(Y$28,curvesettle,2,FALSE())))</f>
        <v>-0.335</v>
      </c>
      <c r="Z99" s="131" t="n">
        <f aca="false">IF(ISNUMBER(VLOOKUP($A99,VOLCURVES,HLOOKUP(Y$28,VOLCURVES,2,FALSE()),FALSE())),VLOOKUP($A99,VOLCURVES,HLOOKUP(Y$28,VOLCURVES,2,FALSE()),FALSE()),1)</f>
        <v>1</v>
      </c>
      <c r="AA99" s="136" t="n">
        <f aca="false">IF(Y$28="NYMEX",$AG99,$AF99)</f>
        <v>-7063</v>
      </c>
      <c r="AB99" s="4" t="e">
        <f aca="false">(($C99+AC99)*$Z99)+H$15</f>
        <v>#DIV/0!</v>
      </c>
      <c r="AC99" s="4" t="e">
        <f aca="false">IF($H$16=1,VLOOKUP($A99,SkewTable,HLOOKUP(ROUND(AD99-BV99,1),SkewTable,2,FALSE()),FALSE())/100,0)</f>
        <v>#DIV/0!</v>
      </c>
      <c r="AD99" s="41" t="n">
        <f aca="false">IF($H$19=4,$BV99,$H$18)</f>
        <v>3</v>
      </c>
      <c r="AF99" s="136" t="n">
        <f aca="false">VLOOKUP($A99,expiration,2,FALSE())-$B$2</f>
        <v>-7063</v>
      </c>
      <c r="AG99" s="136" t="n">
        <f aca="false">VLOOKUP($A99,expiration,3,FALSE())-$B$2</f>
        <v>-7064</v>
      </c>
      <c r="AH99" s="4" t="n">
        <f aca="false">VLOOKUP($A99,STRADDLE,12,FALSE())</f>
        <v>0.068686733793079</v>
      </c>
      <c r="AI99" s="43" t="n">
        <f aca="false">A100-A99</f>
        <v>30</v>
      </c>
      <c r="AL99" s="136"/>
      <c r="AM99" s="9"/>
      <c r="AN99" s="9" t="n">
        <f aca="false">IF($A99&gt;=AO$25,IF($A99&lt;=AO$26,$AI99,0),0)</f>
        <v>0</v>
      </c>
      <c r="AO99" s="9" t="e">
        <f aca="false">AQ99/AN99</f>
        <v>#DIV/0!</v>
      </c>
      <c r="AP99" s="1" t="n">
        <f aca="false">AN99*($B99+B$13)</f>
        <v>0</v>
      </c>
      <c r="AQ99" s="33" t="n">
        <f aca="false">IF(ISNUMBER(((AP99/AN99)+B$14+$D99)*AN99),((AP99/AN99)+B$14+$D99)*AN99,0)</f>
        <v>0</v>
      </c>
      <c r="AR99" s="44" t="n">
        <f aca="false">IF(AN99=0,0,bsd(1,AS$27,AO99,$I99,$F99,$G99,$AH99,0.1))</f>
        <v>0</v>
      </c>
      <c r="AS99" s="44" t="n">
        <f aca="false">IF(AN99=0,0,bsd(2,AS$27,AO99,$I99,$F99,$G99,$AH99,0.1))</f>
        <v>0</v>
      </c>
      <c r="AT99" s="44" t="n">
        <f aca="false">IF(AN99=0,0,bsd(AS$28,AS$27,AO99,$I99,$F99,$G99,$AH99,0.1))</f>
        <v>0</v>
      </c>
      <c r="AU99" s="45" t="n">
        <f aca="false">AN99*AR99</f>
        <v>0</v>
      </c>
      <c r="AV99" s="45" t="n">
        <f aca="false">AN99*AS99</f>
        <v>0</v>
      </c>
      <c r="AW99" s="45" t="n">
        <f aca="false">AN99*AT99</f>
        <v>0</v>
      </c>
      <c r="AY99" s="9" t="n">
        <f aca="false">IF($A99&gt;=AZ$25,IF($A99&lt;=AZ$26,$AI99,0),0)</f>
        <v>0</v>
      </c>
      <c r="AZ99" s="9" t="e">
        <f aca="false">BB99/AY99</f>
        <v>#DIV/0!</v>
      </c>
      <c r="BA99" s="1" t="n">
        <f aca="false">AY99*($B99+D$13)</f>
        <v>0</v>
      </c>
      <c r="BB99" s="33" t="n">
        <f aca="false">IF(ISNUMBER(((BA99/AY99)+D$14+$K99)*AY99),((BA99/AY99)+D$14+$K99)*AY99,0)</f>
        <v>0</v>
      </c>
      <c r="BC99" s="44" t="n">
        <f aca="false">IF(AY99=0,0,bsd(1,BD$27,AZ99,$P99,$M99,$N99,$AH99,0.1))</f>
        <v>0</v>
      </c>
      <c r="BD99" s="44" t="n">
        <f aca="false">IF(AY99=0,0,bsd(2,BD$27,AZ99,$P99,$M99,$N99,$AH99,0.1))</f>
        <v>0</v>
      </c>
      <c r="BE99" s="44" t="n">
        <f aca="false">IF(AY99=0,0,bsd(BD$28,BD$27,AZ99,$P99,$M99,$N99,$AH99,0.1))</f>
        <v>0</v>
      </c>
      <c r="BF99" s="45" t="n">
        <f aca="false">AY99*BC99</f>
        <v>0</v>
      </c>
      <c r="BG99" s="45" t="n">
        <f aca="false">AY99*BD99</f>
        <v>0</v>
      </c>
      <c r="BH99" s="45" t="n">
        <f aca="false">AY99*BE99</f>
        <v>0</v>
      </c>
      <c r="BJ99" s="9" t="n">
        <f aca="false">IF($A99&gt;=BK$25,IF($A99&lt;=BK$26,$AI99,0),0)</f>
        <v>0</v>
      </c>
      <c r="BK99" s="9" t="e">
        <f aca="false">BM99/BJ99</f>
        <v>#DIV/0!</v>
      </c>
      <c r="BL99" s="1" t="n">
        <f aca="false">BJ99*($B99+F$13)</f>
        <v>0</v>
      </c>
      <c r="BM99" s="33" t="n">
        <f aca="false">IF(ISNUMBER(((BL99/BJ99)+F$14+$R99)*BJ99),((BL99/BJ99)+F$14+$R99)*BJ99,0)</f>
        <v>0</v>
      </c>
      <c r="BN99" s="44" t="n">
        <f aca="false">IF(BJ99=0,0,bsd(1,BO$27,BK99,$W99,$T99,$U99,$AH99,0.1))</f>
        <v>0</v>
      </c>
      <c r="BO99" s="44" t="n">
        <f aca="false">IF(BJ99=0,0,bsd(2,BO$27,BK99,$W99,$T99,$U99,$AH99,0.1))</f>
        <v>0</v>
      </c>
      <c r="BP99" s="44" t="n">
        <f aca="false">IF(BJ99=0,0,bsd(BO$28,BO$27,BK99,$W99,$T99,$U99,$AH99,0.1))</f>
        <v>0</v>
      </c>
      <c r="BQ99" s="45" t="n">
        <f aca="false">BJ99*BN99</f>
        <v>0</v>
      </c>
      <c r="BR99" s="45" t="n">
        <f aca="false">BJ99*BO99</f>
        <v>0</v>
      </c>
      <c r="BS99" s="45" t="n">
        <f aca="false">BJ99*BP99</f>
        <v>0</v>
      </c>
      <c r="BU99" s="9" t="n">
        <f aca="false">IF($A99&gt;=BV$25,IF($A99&lt;=BV$26,$AI99,0),0)</f>
        <v>0</v>
      </c>
      <c r="BV99" s="9" t="e">
        <f aca="false">BX99/BU99</f>
        <v>#DIV/0!</v>
      </c>
      <c r="BW99" s="1" t="n">
        <f aca="false">BU99*($B99+H$13)</f>
        <v>0</v>
      </c>
      <c r="BX99" s="33" t="n">
        <f aca="false">IF(ISNUMBER(((BW99/BU99)+H$14+$Y99)*BU99),((BW99/BU99)+H$14+$Y99)*BU99,0)</f>
        <v>0</v>
      </c>
      <c r="BY99" s="44" t="n">
        <f aca="false">IF(BU99=0,0,bsd(1,BZ$27,BV99,$AD99,$AA99,$AB99,$AH99,0.1))</f>
        <v>0</v>
      </c>
      <c r="BZ99" s="44" t="n">
        <f aca="false">IF(BU99=0,0,bsd(2,BZ$27,BV99,$AD99,$AA99,$AB99,$AH99,0.1))</f>
        <v>0</v>
      </c>
      <c r="CA99" s="44" t="n">
        <f aca="false">IF(BU99=0,0,bsd(BZ$28,BZ$27,BV99,$AD99,$AA99,$AB99,$AH99,0.1))</f>
        <v>0</v>
      </c>
      <c r="CB99" s="45" t="n">
        <f aca="false">BU99*BY99</f>
        <v>0</v>
      </c>
      <c r="CC99" s="45" t="n">
        <f aca="false">BU99*BZ99</f>
        <v>0</v>
      </c>
      <c r="CD99" s="45" t="n">
        <f aca="false">BU99*CA99</f>
        <v>0</v>
      </c>
    </row>
    <row r="100" customFormat="false" ht="12.75" hidden="false" customHeight="false" outlineLevel="0" collapsed="false">
      <c r="A100" s="48" t="n">
        <f aca="false">DATE(YEAR(A99),MONTH(A99)+1,1)</f>
        <v>38899</v>
      </c>
      <c r="B100" s="40" t="n">
        <f aca="false">VLOOKUP(A100,STRADDLE,5,FALSE())</f>
        <v>3.025</v>
      </c>
      <c r="C100" s="4" t="n">
        <f aca="false">VLOOKUP(A100,STRADDLE,8,FALSE())</f>
        <v>0.2275</v>
      </c>
      <c r="D100" s="40" t="n">
        <f aca="false">IF(D$28="nymex",0,VLOOKUP($A100,curvesettle,HLOOKUP(D$28,curvesettle,2,FALSE())))</f>
        <v>0.43</v>
      </c>
      <c r="E100" s="131" t="n">
        <f aca="false">IF(ISNUMBER(VLOOKUP($A100,VOLCURVES,HLOOKUP(D$28,VOLCURVES,2,FALSE()),FALSE())),VLOOKUP($A100,VOLCURVES,HLOOKUP(D$28,VOLCURVES,2,FALSE()),FALSE()),1)</f>
        <v>0.98</v>
      </c>
      <c r="F100" s="136" t="n">
        <f aca="false">IF(D$28="NYMEX",$AG100,$AF100)</f>
        <v>-7030</v>
      </c>
      <c r="G100" s="4" t="e">
        <f aca="false">(($C100+H100)*$E100)+B$15</f>
        <v>#DIV/0!</v>
      </c>
      <c r="H100" s="4" t="e">
        <f aca="false">IF($B$16=1,VLOOKUP($A100,SkewTable,HLOOKUP(ROUND(I100-AO100,1),SkewTable,2,FALSE()),FALSE())/100,0)</f>
        <v>#DIV/0!</v>
      </c>
      <c r="I100" s="41" t="n">
        <f aca="false">IF($B$19=4,$AO100,$B$18)</f>
        <v>12</v>
      </c>
      <c r="K100" s="40" t="n">
        <f aca="false">IF(K$28="nymex",0,VLOOKUP($A100,curvesettle,HLOOKUP(K$28,curvesettle,2,FALSE())))</f>
        <v>-0.02</v>
      </c>
      <c r="L100" s="131" t="n">
        <f aca="false">IF(ISNUMBER(VLOOKUP($A100,VOLCURVES,HLOOKUP(K$28,VOLCURVES,2,FALSE()),FALSE())),VLOOKUP($A100,VOLCURVES,HLOOKUP(K$28,VOLCURVES,2,FALSE()),FALSE()),1)</f>
        <v>1</v>
      </c>
      <c r="M100" s="136" t="n">
        <f aca="false">IF(K$28="NYMEX",$AG100,$AF100)</f>
        <v>-7030</v>
      </c>
      <c r="N100" s="153" t="e">
        <f aca="false">(($C100+O100)*$L100)+D$15</f>
        <v>#DIV/0!</v>
      </c>
      <c r="O100" s="4" t="e">
        <f aca="false">IF($D$16=1,VLOOKUP($A100,SkewTable,HLOOKUP(ROUND(P100-AZ100,1),SkewTable,2,FALSE()),FALSE())/100,0)</f>
        <v>#DIV/0!</v>
      </c>
      <c r="P100" s="41" t="n">
        <f aca="false">IF($D$19=4,$AZ100,$D$18)</f>
        <v>3.75</v>
      </c>
      <c r="R100" s="40" t="n">
        <f aca="false">IF(R$28="nymex",0,VLOOKUP($A100,curvesettle,HLOOKUP(R$28,curvesettle,2,FALSE())))</f>
        <v>-0.02</v>
      </c>
      <c r="S100" s="131" t="n">
        <f aca="false">IF(ISNUMBER(VLOOKUP($A100,VOLCURVES,HLOOKUP(R$28,VOLCURVES,2,FALSE()),FALSE())),VLOOKUP($A100,VOLCURVES,HLOOKUP(R$28,VOLCURVES,2,FALSE()),FALSE()),1)</f>
        <v>1</v>
      </c>
      <c r="T100" s="136" t="n">
        <f aca="false">IF(R$28="NYMEX",$AG100,$AF100)</f>
        <v>-7030</v>
      </c>
      <c r="U100" s="153" t="e">
        <f aca="false">(($C100+V100)*$S100)+F$15</f>
        <v>#DIV/0!</v>
      </c>
      <c r="V100" s="4" t="e">
        <f aca="false">IF($F$16=1,VLOOKUP($A100,SkewTable,HLOOKUP(ROUND(W100-BK100,1),SkewTable,2,FALSE()),FALSE())/100,0)</f>
        <v>#DIV/0!</v>
      </c>
      <c r="W100" s="41" t="n">
        <f aca="false">IF($F$19=4,$BK100,$F$18)</f>
        <v>3.5</v>
      </c>
      <c r="X100" s="136"/>
      <c r="Y100" s="40" t="n">
        <f aca="false">IF(Y$28="nymex",0,VLOOKUP($A100,curvesettle,HLOOKUP(Y$28,curvesettle,2,FALSE())))</f>
        <v>-0.335</v>
      </c>
      <c r="Z100" s="131" t="n">
        <f aca="false">IF(ISNUMBER(VLOOKUP($A100,VOLCURVES,HLOOKUP(Y$28,VOLCURVES,2,FALSE()),FALSE())),VLOOKUP($A100,VOLCURVES,HLOOKUP(Y$28,VOLCURVES,2,FALSE()),FALSE()),1)</f>
        <v>1</v>
      </c>
      <c r="AA100" s="136" t="n">
        <f aca="false">IF(Y$28="NYMEX",$AG100,$AF100)</f>
        <v>-7030</v>
      </c>
      <c r="AB100" s="4" t="e">
        <f aca="false">(($C100+AC100)*$Z100)+H$15</f>
        <v>#DIV/0!</v>
      </c>
      <c r="AC100" s="4" t="e">
        <f aca="false">IF($H$16=1,VLOOKUP($A100,SkewTable,HLOOKUP(ROUND(AD100-BV100,1),SkewTable,2,FALSE()),FALSE())/100,0)</f>
        <v>#DIV/0!</v>
      </c>
      <c r="AD100" s="41" t="n">
        <f aca="false">IF($H$19=4,$BV100,$H$18)</f>
        <v>3</v>
      </c>
      <c r="AF100" s="136" t="n">
        <f aca="false">VLOOKUP($A100,expiration,2,FALSE())-$B$2</f>
        <v>-7030</v>
      </c>
      <c r="AG100" s="136" t="n">
        <f aca="false">VLOOKUP($A100,expiration,3,FALSE())-$B$2</f>
        <v>-7031</v>
      </c>
      <c r="AH100" s="4" t="n">
        <f aca="false">VLOOKUP($A100,STRADDLE,12,FALSE())</f>
        <v>0.06873642674705</v>
      </c>
      <c r="AI100" s="43" t="n">
        <f aca="false">A101-A100</f>
        <v>31</v>
      </c>
      <c r="AL100" s="136"/>
      <c r="AM100" s="9"/>
      <c r="AN100" s="9" t="n">
        <f aca="false">IF($A100&gt;=AO$25,IF($A100&lt;=AO$26,$AI100,0),0)</f>
        <v>0</v>
      </c>
      <c r="AO100" s="9" t="e">
        <f aca="false">AQ100/AN100</f>
        <v>#DIV/0!</v>
      </c>
      <c r="AP100" s="1" t="n">
        <f aca="false">AN100*($B100+B$13)</f>
        <v>0</v>
      </c>
      <c r="AQ100" s="33" t="n">
        <f aca="false">IF(ISNUMBER(((AP100/AN100)+B$14+$D100)*AN100),((AP100/AN100)+B$14+$D100)*AN100,0)</f>
        <v>0</v>
      </c>
      <c r="AR100" s="44" t="n">
        <f aca="false">IF(AN100=0,0,bsd(1,AS$27,AO100,$I100,$F100,$G100,$AH100,0.1))</f>
        <v>0</v>
      </c>
      <c r="AS100" s="44" t="n">
        <f aca="false">IF(AN100=0,0,bsd(2,AS$27,AO100,$I100,$F100,$G100,$AH100,0.1))</f>
        <v>0</v>
      </c>
      <c r="AT100" s="44" t="n">
        <f aca="false">IF(AN100=0,0,bsd(AS$28,AS$27,AO100,$I100,$F100,$G100,$AH100,0.1))</f>
        <v>0</v>
      </c>
      <c r="AU100" s="45" t="n">
        <f aca="false">AN100*AR100</f>
        <v>0</v>
      </c>
      <c r="AV100" s="45" t="n">
        <f aca="false">AN100*AS100</f>
        <v>0</v>
      </c>
      <c r="AW100" s="45" t="n">
        <f aca="false">AN100*AT100</f>
        <v>0</v>
      </c>
      <c r="AY100" s="9" t="n">
        <f aca="false">IF($A100&gt;=AZ$25,IF($A100&lt;=AZ$26,$AI100,0),0)</f>
        <v>0</v>
      </c>
      <c r="AZ100" s="9" t="e">
        <f aca="false">BB100/AY100</f>
        <v>#DIV/0!</v>
      </c>
      <c r="BA100" s="1" t="n">
        <f aca="false">AY100*($B100+D$13)</f>
        <v>0</v>
      </c>
      <c r="BB100" s="33" t="n">
        <f aca="false">IF(ISNUMBER(((BA100/AY100)+D$14+$K100)*AY100),((BA100/AY100)+D$14+$K100)*AY100,0)</f>
        <v>0</v>
      </c>
      <c r="BC100" s="44" t="n">
        <f aca="false">IF(AY100=0,0,bsd(1,BD$27,AZ100,$P100,$M100,$N100,$AH100,0.1))</f>
        <v>0</v>
      </c>
      <c r="BD100" s="44" t="n">
        <f aca="false">IF(AY100=0,0,bsd(2,BD$27,AZ100,$P100,$M100,$N100,$AH100,0.1))</f>
        <v>0</v>
      </c>
      <c r="BE100" s="44" t="n">
        <f aca="false">IF(AY100=0,0,bsd(BD$28,BD$27,AZ100,$P100,$M100,$N100,$AH100,0.1))</f>
        <v>0</v>
      </c>
      <c r="BF100" s="45" t="n">
        <f aca="false">AY100*BC100</f>
        <v>0</v>
      </c>
      <c r="BG100" s="45" t="n">
        <f aca="false">AY100*BD100</f>
        <v>0</v>
      </c>
      <c r="BH100" s="45" t="n">
        <f aca="false">AY100*BE100</f>
        <v>0</v>
      </c>
      <c r="BJ100" s="9" t="n">
        <f aca="false">IF($A100&gt;=BK$25,IF($A100&lt;=BK$26,$AI100,0),0)</f>
        <v>0</v>
      </c>
      <c r="BK100" s="9" t="e">
        <f aca="false">BM100/BJ100</f>
        <v>#DIV/0!</v>
      </c>
      <c r="BL100" s="1" t="n">
        <f aca="false">BJ100*($B100+F$13)</f>
        <v>0</v>
      </c>
      <c r="BM100" s="33" t="n">
        <f aca="false">IF(ISNUMBER(((BL100/BJ100)+F$14+$R100)*BJ100),((BL100/BJ100)+F$14+$R100)*BJ100,0)</f>
        <v>0</v>
      </c>
      <c r="BN100" s="44" t="n">
        <f aca="false">IF(BJ100=0,0,bsd(1,BO$27,BK100,$W100,$T100,$U100,$AH100,0.1))</f>
        <v>0</v>
      </c>
      <c r="BO100" s="44" t="n">
        <f aca="false">IF(BJ100=0,0,bsd(2,BO$27,BK100,$W100,$T100,$U100,$AH100,0.1))</f>
        <v>0</v>
      </c>
      <c r="BP100" s="44" t="n">
        <f aca="false">IF(BJ100=0,0,bsd(BO$28,BO$27,BK100,$W100,$T100,$U100,$AH100,0.1))</f>
        <v>0</v>
      </c>
      <c r="BQ100" s="45" t="n">
        <f aca="false">BJ100*BN100</f>
        <v>0</v>
      </c>
      <c r="BR100" s="45" t="n">
        <f aca="false">BJ100*BO100</f>
        <v>0</v>
      </c>
      <c r="BS100" s="45" t="n">
        <f aca="false">BJ100*BP100</f>
        <v>0</v>
      </c>
      <c r="BU100" s="9" t="n">
        <f aca="false">IF($A100&gt;=BV$25,IF($A100&lt;=BV$26,$AI100,0),0)</f>
        <v>0</v>
      </c>
      <c r="BV100" s="9" t="e">
        <f aca="false">BX100/BU100</f>
        <v>#DIV/0!</v>
      </c>
      <c r="BW100" s="1" t="n">
        <f aca="false">BU100*($B100+H$13)</f>
        <v>0</v>
      </c>
      <c r="BX100" s="33" t="n">
        <f aca="false">IF(ISNUMBER(((BW100/BU100)+H$14+$Y100)*BU100),((BW100/BU100)+H$14+$Y100)*BU100,0)</f>
        <v>0</v>
      </c>
      <c r="BY100" s="44" t="n">
        <f aca="false">IF(BU100=0,0,bsd(1,BZ$27,BV100,$AD100,$AA100,$AB100,$AH100,0.1))</f>
        <v>0</v>
      </c>
      <c r="BZ100" s="44" t="n">
        <f aca="false">IF(BU100=0,0,bsd(2,BZ$27,BV100,$AD100,$AA100,$AB100,$AH100,0.1))</f>
        <v>0</v>
      </c>
      <c r="CA100" s="44" t="n">
        <f aca="false">IF(BU100=0,0,bsd(BZ$28,BZ$27,BV100,$AD100,$AA100,$AB100,$AH100,0.1))</f>
        <v>0</v>
      </c>
      <c r="CB100" s="45" t="n">
        <f aca="false">BU100*BY100</f>
        <v>0</v>
      </c>
      <c r="CC100" s="45" t="n">
        <f aca="false">BU100*BZ100</f>
        <v>0</v>
      </c>
      <c r="CD100" s="45" t="n">
        <f aca="false">BU100*CA100</f>
        <v>0</v>
      </c>
    </row>
    <row r="101" customFormat="false" ht="12.75" hidden="false" customHeight="false" outlineLevel="0" collapsed="false">
      <c r="A101" s="48" t="n">
        <f aca="false">DATE(YEAR(A100),MONTH(A100)+1,1)</f>
        <v>38930</v>
      </c>
      <c r="B101" s="40" t="n">
        <f aca="false">VLOOKUP(A101,STRADDLE,5,FALSE())</f>
        <v>3.032</v>
      </c>
      <c r="C101" s="4" t="n">
        <f aca="false">VLOOKUP(A101,STRADDLE,8,FALSE())</f>
        <v>0.2275</v>
      </c>
      <c r="D101" s="40" t="n">
        <f aca="false">IF(D$28="nymex",0,VLOOKUP($A101,curvesettle,HLOOKUP(D$28,curvesettle,2,FALSE())))</f>
        <v>0.495</v>
      </c>
      <c r="E101" s="131" t="n">
        <f aca="false">IF(ISNUMBER(VLOOKUP($A101,VOLCURVES,HLOOKUP(D$28,VOLCURVES,2,FALSE()),FALSE())),VLOOKUP($A101,VOLCURVES,HLOOKUP(D$28,VOLCURVES,2,FALSE()),FALSE()),1)</f>
        <v>0.98</v>
      </c>
      <c r="F101" s="136" t="n">
        <f aca="false">IF(D$28="NYMEX",$AG101,$AF101)</f>
        <v>-7001</v>
      </c>
      <c r="G101" s="4" t="e">
        <f aca="false">(($C101+H101)*$E101)+B$15</f>
        <v>#DIV/0!</v>
      </c>
      <c r="H101" s="4" t="e">
        <f aca="false">IF($B$16=1,VLOOKUP($A101,SkewTable,HLOOKUP(ROUND(I101-AO101,1),SkewTable,2,FALSE()),FALSE())/100,0)</f>
        <v>#DIV/0!</v>
      </c>
      <c r="I101" s="41" t="n">
        <f aca="false">IF($B$19=4,$AO101,$B$18)</f>
        <v>12</v>
      </c>
      <c r="K101" s="40" t="n">
        <f aca="false">IF(K$28="nymex",0,VLOOKUP($A101,curvesettle,HLOOKUP(K$28,curvesettle,2,FALSE())))</f>
        <v>-0.02</v>
      </c>
      <c r="L101" s="131" t="n">
        <f aca="false">IF(ISNUMBER(VLOOKUP($A101,VOLCURVES,HLOOKUP(K$28,VOLCURVES,2,FALSE()),FALSE())),VLOOKUP($A101,VOLCURVES,HLOOKUP(K$28,VOLCURVES,2,FALSE()),FALSE()),1)</f>
        <v>1</v>
      </c>
      <c r="M101" s="136" t="n">
        <f aca="false">IF(K$28="NYMEX",$AG101,$AF101)</f>
        <v>-7001</v>
      </c>
      <c r="N101" s="153" t="e">
        <f aca="false">(($C101+O101)*$L101)+D$15</f>
        <v>#DIV/0!</v>
      </c>
      <c r="O101" s="4" t="e">
        <f aca="false">IF($D$16=1,VLOOKUP($A101,SkewTable,HLOOKUP(ROUND(P101-AZ101,1),SkewTable,2,FALSE()),FALSE())/100,0)</f>
        <v>#DIV/0!</v>
      </c>
      <c r="P101" s="41" t="n">
        <f aca="false">IF($D$19=4,$AZ101,$D$18)</f>
        <v>3.75</v>
      </c>
      <c r="R101" s="40" t="n">
        <f aca="false">IF(R$28="nymex",0,VLOOKUP($A101,curvesettle,HLOOKUP(R$28,curvesettle,2,FALSE())))</f>
        <v>-0.02</v>
      </c>
      <c r="S101" s="131" t="n">
        <f aca="false">IF(ISNUMBER(VLOOKUP($A101,VOLCURVES,HLOOKUP(R$28,VOLCURVES,2,FALSE()),FALSE())),VLOOKUP($A101,VOLCURVES,HLOOKUP(R$28,VOLCURVES,2,FALSE()),FALSE()),1)</f>
        <v>1</v>
      </c>
      <c r="T101" s="136" t="n">
        <f aca="false">IF(R$28="NYMEX",$AG101,$AF101)</f>
        <v>-7001</v>
      </c>
      <c r="U101" s="153" t="e">
        <f aca="false">(($C101+V101)*$S101)+F$15</f>
        <v>#DIV/0!</v>
      </c>
      <c r="V101" s="4" t="e">
        <f aca="false">IF($F$16=1,VLOOKUP($A101,SkewTable,HLOOKUP(ROUND(W101-BK101,1),SkewTable,2,FALSE()),FALSE())/100,0)</f>
        <v>#DIV/0!</v>
      </c>
      <c r="W101" s="41" t="n">
        <f aca="false">IF($F$19=4,$BK101,$F$18)</f>
        <v>3.5</v>
      </c>
      <c r="X101" s="136"/>
      <c r="Y101" s="40" t="n">
        <f aca="false">IF(Y$28="nymex",0,VLOOKUP($A101,curvesettle,HLOOKUP(Y$28,curvesettle,2,FALSE())))</f>
        <v>-0.335</v>
      </c>
      <c r="Z101" s="131" t="n">
        <f aca="false">IF(ISNUMBER(VLOOKUP($A101,VOLCURVES,HLOOKUP(Y$28,VOLCURVES,2,FALSE()),FALSE())),VLOOKUP($A101,VOLCURVES,HLOOKUP(Y$28,VOLCURVES,2,FALSE()),FALSE()),1)</f>
        <v>1</v>
      </c>
      <c r="AA101" s="136" t="n">
        <f aca="false">IF(Y$28="NYMEX",$AG101,$AF101)</f>
        <v>-7001</v>
      </c>
      <c r="AB101" s="4" t="e">
        <f aca="false">(($C101+AC101)*$Z101)+H$15</f>
        <v>#DIV/0!</v>
      </c>
      <c r="AC101" s="4" t="e">
        <f aca="false">IF($H$16=1,VLOOKUP($A101,SkewTable,HLOOKUP(ROUND(AD101-BV101,1),SkewTable,2,FALSE()),FALSE())/100,0)</f>
        <v>#DIV/0!</v>
      </c>
      <c r="AD101" s="41" t="n">
        <f aca="false">IF($H$19=4,$BV101,$H$18)</f>
        <v>3</v>
      </c>
      <c r="AF101" s="136" t="n">
        <f aca="false">VLOOKUP($A101,expiration,2,FALSE())-$B$2</f>
        <v>-7001</v>
      </c>
      <c r="AG101" s="136" t="n">
        <f aca="false">VLOOKUP($A101,expiration,3,FALSE())-$B$2</f>
        <v>-7002</v>
      </c>
      <c r="AH101" s="4" t="n">
        <f aca="false">VLOOKUP($A101,STRADDLE,12,FALSE())</f>
        <v>0.068787776133678</v>
      </c>
      <c r="AI101" s="43" t="n">
        <f aca="false">A102-A101</f>
        <v>31</v>
      </c>
      <c r="AL101" s="136"/>
      <c r="AM101" s="9"/>
      <c r="AN101" s="9" t="n">
        <f aca="false">IF($A101&gt;=AO$25,IF($A101&lt;=AO$26,$AI101,0),0)</f>
        <v>0</v>
      </c>
      <c r="AO101" s="9" t="e">
        <f aca="false">AQ101/AN101</f>
        <v>#DIV/0!</v>
      </c>
      <c r="AP101" s="1" t="n">
        <f aca="false">AN101*($B101+B$13)</f>
        <v>0</v>
      </c>
      <c r="AQ101" s="33" t="n">
        <f aca="false">IF(ISNUMBER(((AP101/AN101)+B$14+$D101)*AN101),((AP101/AN101)+B$14+$D101)*AN101,0)</f>
        <v>0</v>
      </c>
      <c r="AR101" s="44" t="n">
        <f aca="false">IF(AN101=0,0,bsd(1,AS$27,AO101,$I101,$F101,$G101,$AH101,0.1))</f>
        <v>0</v>
      </c>
      <c r="AS101" s="44" t="n">
        <f aca="false">IF(AN101=0,0,bsd(2,AS$27,AO101,$I101,$F101,$G101,$AH101,0.1))</f>
        <v>0</v>
      </c>
      <c r="AT101" s="44" t="n">
        <f aca="false">IF(AN101=0,0,bsd(AS$28,AS$27,AO101,$I101,$F101,$G101,$AH101,0.1))</f>
        <v>0</v>
      </c>
      <c r="AU101" s="45" t="n">
        <f aca="false">AN101*AR101</f>
        <v>0</v>
      </c>
      <c r="AV101" s="45" t="n">
        <f aca="false">AN101*AS101</f>
        <v>0</v>
      </c>
      <c r="AW101" s="45" t="n">
        <f aca="false">AN101*AT101</f>
        <v>0</v>
      </c>
      <c r="AY101" s="9" t="n">
        <f aca="false">IF($A101&gt;=AZ$25,IF($A101&lt;=AZ$26,$AI101,0),0)</f>
        <v>0</v>
      </c>
      <c r="AZ101" s="9" t="e">
        <f aca="false">BB101/AY101</f>
        <v>#DIV/0!</v>
      </c>
      <c r="BA101" s="1" t="n">
        <f aca="false">AY101*($B101+D$13)</f>
        <v>0</v>
      </c>
      <c r="BB101" s="33" t="n">
        <f aca="false">IF(ISNUMBER(((BA101/AY101)+D$14+$K101)*AY101),((BA101/AY101)+D$14+$K101)*AY101,0)</f>
        <v>0</v>
      </c>
      <c r="BC101" s="44" t="n">
        <f aca="false">IF(AY101=0,0,bsd(1,BD$27,AZ101,$P101,$M101,$N101,$AH101,0.1))</f>
        <v>0</v>
      </c>
      <c r="BD101" s="44" t="n">
        <f aca="false">IF(AY101=0,0,bsd(2,BD$27,AZ101,$P101,$M101,$N101,$AH101,0.1))</f>
        <v>0</v>
      </c>
      <c r="BE101" s="44" t="n">
        <f aca="false">IF(AY101=0,0,bsd(BD$28,BD$27,AZ101,$P101,$M101,$N101,$AH101,0.1))</f>
        <v>0</v>
      </c>
      <c r="BF101" s="45" t="n">
        <f aca="false">AY101*BC101</f>
        <v>0</v>
      </c>
      <c r="BG101" s="45" t="n">
        <f aca="false">AY101*BD101</f>
        <v>0</v>
      </c>
      <c r="BH101" s="45" t="n">
        <f aca="false">AY101*BE101</f>
        <v>0</v>
      </c>
      <c r="BJ101" s="9" t="n">
        <f aca="false">IF($A101&gt;=BK$25,IF($A101&lt;=BK$26,$AI101,0),0)</f>
        <v>0</v>
      </c>
      <c r="BK101" s="9" t="e">
        <f aca="false">BM101/BJ101</f>
        <v>#DIV/0!</v>
      </c>
      <c r="BL101" s="1" t="n">
        <f aca="false">BJ101*($B101+F$13)</f>
        <v>0</v>
      </c>
      <c r="BM101" s="33" t="n">
        <f aca="false">IF(ISNUMBER(((BL101/BJ101)+F$14+$R101)*BJ101),((BL101/BJ101)+F$14+$R101)*BJ101,0)</f>
        <v>0</v>
      </c>
      <c r="BN101" s="44" t="n">
        <f aca="false">IF(BJ101=0,0,bsd(1,BO$27,BK101,$W101,$T101,$U101,$AH101,0.1))</f>
        <v>0</v>
      </c>
      <c r="BO101" s="44" t="n">
        <f aca="false">IF(BJ101=0,0,bsd(2,BO$27,BK101,$W101,$T101,$U101,$AH101,0.1))</f>
        <v>0</v>
      </c>
      <c r="BP101" s="44" t="n">
        <f aca="false">IF(BJ101=0,0,bsd(BO$28,BO$27,BK101,$W101,$T101,$U101,$AH101,0.1))</f>
        <v>0</v>
      </c>
      <c r="BQ101" s="45" t="n">
        <f aca="false">BJ101*BN101</f>
        <v>0</v>
      </c>
      <c r="BR101" s="45" t="n">
        <f aca="false">BJ101*BO101</f>
        <v>0</v>
      </c>
      <c r="BS101" s="45" t="n">
        <f aca="false">BJ101*BP101</f>
        <v>0</v>
      </c>
      <c r="BU101" s="9" t="n">
        <f aca="false">IF($A101&gt;=BV$25,IF($A101&lt;=BV$26,$AI101,0),0)</f>
        <v>0</v>
      </c>
      <c r="BV101" s="9" t="e">
        <f aca="false">BX101/BU101</f>
        <v>#DIV/0!</v>
      </c>
      <c r="BW101" s="1" t="n">
        <f aca="false">BU101*($B101+H$13)</f>
        <v>0</v>
      </c>
      <c r="BX101" s="33" t="n">
        <f aca="false">IF(ISNUMBER(((BW101/BU101)+H$14+$Y101)*BU101),((BW101/BU101)+H$14+$Y101)*BU101,0)</f>
        <v>0</v>
      </c>
      <c r="BY101" s="44" t="n">
        <f aca="false">IF(BU101=0,0,bsd(1,BZ$27,BV101,$AD101,$AA101,$AB101,$AH101,0.1))</f>
        <v>0</v>
      </c>
      <c r="BZ101" s="44" t="n">
        <f aca="false">IF(BU101=0,0,bsd(2,BZ$27,BV101,$AD101,$AA101,$AB101,$AH101,0.1))</f>
        <v>0</v>
      </c>
      <c r="CA101" s="44" t="n">
        <f aca="false">IF(BU101=0,0,bsd(BZ$28,BZ$27,BV101,$AD101,$AA101,$AB101,$AH101,0.1))</f>
        <v>0</v>
      </c>
      <c r="CB101" s="45" t="n">
        <f aca="false">BU101*BY101</f>
        <v>0</v>
      </c>
      <c r="CC101" s="45" t="n">
        <f aca="false">BU101*BZ101</f>
        <v>0</v>
      </c>
      <c r="CD101" s="45" t="n">
        <f aca="false">BU101*CA101</f>
        <v>0</v>
      </c>
    </row>
    <row r="102" customFormat="false" ht="12.75" hidden="false" customHeight="false" outlineLevel="0" collapsed="false">
      <c r="A102" s="48" t="n">
        <f aca="false">DATE(YEAR(A101),MONTH(A101)+1,1)</f>
        <v>38961</v>
      </c>
      <c r="B102" s="40" t="n">
        <f aca="false">VLOOKUP(A102,STRADDLE,5,FALSE())</f>
        <v>3.019</v>
      </c>
      <c r="C102" s="4" t="n">
        <f aca="false">VLOOKUP(A102,STRADDLE,8,FALSE())</f>
        <v>0.2275</v>
      </c>
      <c r="D102" s="40" t="n">
        <f aca="false">IF(D$28="nymex",0,VLOOKUP($A102,curvesettle,HLOOKUP(D$28,curvesettle,2,FALSE())))</f>
        <v>0.395</v>
      </c>
      <c r="E102" s="131" t="n">
        <f aca="false">IF(ISNUMBER(VLOOKUP($A102,VOLCURVES,HLOOKUP(D$28,VOLCURVES,2,FALSE()),FALSE())),VLOOKUP($A102,VOLCURVES,HLOOKUP(D$28,VOLCURVES,2,FALSE()),FALSE()),1)</f>
        <v>0.98</v>
      </c>
      <c r="F102" s="136" t="n">
        <f aca="false">IF(D$28="NYMEX",$AG102,$AF102)</f>
        <v>-6968</v>
      </c>
      <c r="G102" s="4" t="e">
        <f aca="false">(($C102+H102)*$E102)+B$15</f>
        <v>#DIV/0!</v>
      </c>
      <c r="H102" s="4" t="e">
        <f aca="false">IF($B$16=1,VLOOKUP($A102,SkewTable,HLOOKUP(ROUND(I102-AO102,1),SkewTable,2,FALSE()),FALSE())/100,0)</f>
        <v>#DIV/0!</v>
      </c>
      <c r="I102" s="41" t="n">
        <f aca="false">IF($B$19=4,$AO102,$B$18)</f>
        <v>12</v>
      </c>
      <c r="K102" s="40" t="n">
        <f aca="false">IF(K$28="nymex",0,VLOOKUP($A102,curvesettle,HLOOKUP(K$28,curvesettle,2,FALSE())))</f>
        <v>-0.02</v>
      </c>
      <c r="L102" s="131" t="n">
        <f aca="false">IF(ISNUMBER(VLOOKUP($A102,VOLCURVES,HLOOKUP(K$28,VOLCURVES,2,FALSE()),FALSE())),VLOOKUP($A102,VOLCURVES,HLOOKUP(K$28,VOLCURVES,2,FALSE()),FALSE()),1)</f>
        <v>1</v>
      </c>
      <c r="M102" s="136" t="n">
        <f aca="false">IF(K$28="NYMEX",$AG102,$AF102)</f>
        <v>-6968</v>
      </c>
      <c r="N102" s="153" t="e">
        <f aca="false">(($C102+O102)*$L102)+D$15</f>
        <v>#DIV/0!</v>
      </c>
      <c r="O102" s="4" t="e">
        <f aca="false">IF($D$16=1,VLOOKUP($A102,SkewTable,HLOOKUP(ROUND(P102-AZ102,1),SkewTable,2,FALSE()),FALSE())/100,0)</f>
        <v>#DIV/0!</v>
      </c>
      <c r="P102" s="41" t="n">
        <f aca="false">IF($D$19=4,$AZ102,$D$18)</f>
        <v>3.75</v>
      </c>
      <c r="R102" s="40" t="n">
        <f aca="false">IF(R$28="nymex",0,VLOOKUP($A102,curvesettle,HLOOKUP(R$28,curvesettle,2,FALSE())))</f>
        <v>-0.02</v>
      </c>
      <c r="S102" s="131" t="n">
        <f aca="false">IF(ISNUMBER(VLOOKUP($A102,VOLCURVES,HLOOKUP(R$28,VOLCURVES,2,FALSE()),FALSE())),VLOOKUP($A102,VOLCURVES,HLOOKUP(R$28,VOLCURVES,2,FALSE()),FALSE()),1)</f>
        <v>1</v>
      </c>
      <c r="T102" s="136" t="n">
        <f aca="false">IF(R$28="NYMEX",$AG102,$AF102)</f>
        <v>-6968</v>
      </c>
      <c r="U102" s="153" t="e">
        <f aca="false">(($C102+V102)*$S102)+F$15</f>
        <v>#DIV/0!</v>
      </c>
      <c r="V102" s="4" t="e">
        <f aca="false">IF($F$16=1,VLOOKUP($A102,SkewTable,HLOOKUP(ROUND(W102-BK102,1),SkewTable,2,FALSE()),FALSE())/100,0)</f>
        <v>#DIV/0!</v>
      </c>
      <c r="W102" s="41" t="n">
        <f aca="false">IF($F$19=4,$BK102,$F$18)</f>
        <v>3.5</v>
      </c>
      <c r="X102" s="136"/>
      <c r="Y102" s="40" t="n">
        <f aca="false">IF(Y$28="nymex",0,VLOOKUP($A102,curvesettle,HLOOKUP(Y$28,curvesettle,2,FALSE())))</f>
        <v>-0.335</v>
      </c>
      <c r="Z102" s="131" t="n">
        <f aca="false">IF(ISNUMBER(VLOOKUP($A102,VOLCURVES,HLOOKUP(Y$28,VOLCURVES,2,FALSE()),FALSE())),VLOOKUP($A102,VOLCURVES,HLOOKUP(Y$28,VOLCURVES,2,FALSE()),FALSE()),1)</f>
        <v>1</v>
      </c>
      <c r="AA102" s="136" t="n">
        <f aca="false">IF(Y$28="NYMEX",$AG102,$AF102)</f>
        <v>-6968</v>
      </c>
      <c r="AB102" s="4" t="e">
        <f aca="false">(($C102+AC102)*$Z102)+H$15</f>
        <v>#DIV/0!</v>
      </c>
      <c r="AC102" s="4" t="e">
        <f aca="false">IF($H$16=1,VLOOKUP($A102,SkewTable,HLOOKUP(ROUND(AD102-BV102,1),SkewTable,2,FALSE()),FALSE())/100,0)</f>
        <v>#DIV/0!</v>
      </c>
      <c r="AD102" s="41" t="n">
        <f aca="false">IF($H$19=4,$BV102,$H$18)</f>
        <v>3</v>
      </c>
      <c r="AF102" s="136" t="n">
        <f aca="false">VLOOKUP($A102,expiration,2,FALSE())-$B$2</f>
        <v>-6968</v>
      </c>
      <c r="AG102" s="136" t="n">
        <f aca="false">VLOOKUP($A102,expiration,3,FALSE())-$B$2</f>
        <v>-6969</v>
      </c>
      <c r="AH102" s="4" t="n">
        <f aca="false">VLOOKUP($A102,STRADDLE,12,FALSE())</f>
        <v>0.068839125521179</v>
      </c>
      <c r="AI102" s="43" t="n">
        <f aca="false">A103-A102</f>
        <v>30</v>
      </c>
      <c r="AL102" s="136"/>
      <c r="AM102" s="9"/>
      <c r="AN102" s="9" t="n">
        <f aca="false">IF($A102&gt;=AO$25,IF($A102&lt;=AO$26,$AI102,0),0)</f>
        <v>0</v>
      </c>
      <c r="AO102" s="9" t="e">
        <f aca="false">AQ102/AN102</f>
        <v>#DIV/0!</v>
      </c>
      <c r="AP102" s="1" t="n">
        <f aca="false">AN102*($B102+B$13)</f>
        <v>0</v>
      </c>
      <c r="AQ102" s="33" t="n">
        <f aca="false">IF(ISNUMBER(((AP102/AN102)+B$14+$D102)*AN102),((AP102/AN102)+B$14+$D102)*AN102,0)</f>
        <v>0</v>
      </c>
      <c r="AR102" s="44" t="n">
        <f aca="false">IF(AN102=0,0,bsd(1,AS$27,AO102,$I102,$F102,$G102,$AH102,0.1))</f>
        <v>0</v>
      </c>
      <c r="AS102" s="44" t="n">
        <f aca="false">IF(AN102=0,0,bsd(2,AS$27,AO102,$I102,$F102,$G102,$AH102,0.1))</f>
        <v>0</v>
      </c>
      <c r="AT102" s="44" t="n">
        <f aca="false">IF(AN102=0,0,bsd(AS$28,AS$27,AO102,$I102,$F102,$G102,$AH102,0.1))</f>
        <v>0</v>
      </c>
      <c r="AU102" s="45" t="n">
        <f aca="false">AN102*AR102</f>
        <v>0</v>
      </c>
      <c r="AV102" s="45" t="n">
        <f aca="false">AN102*AS102</f>
        <v>0</v>
      </c>
      <c r="AW102" s="45" t="n">
        <f aca="false">AN102*AT102</f>
        <v>0</v>
      </c>
      <c r="AY102" s="9" t="n">
        <f aca="false">IF($A102&gt;=AZ$25,IF($A102&lt;=AZ$26,$AI102,0),0)</f>
        <v>0</v>
      </c>
      <c r="AZ102" s="9" t="e">
        <f aca="false">BB102/AY102</f>
        <v>#DIV/0!</v>
      </c>
      <c r="BA102" s="1" t="n">
        <f aca="false">AY102*($B102+D$13)</f>
        <v>0</v>
      </c>
      <c r="BB102" s="33" t="n">
        <f aca="false">IF(ISNUMBER(((BA102/AY102)+D$14+$K102)*AY102),((BA102/AY102)+D$14+$K102)*AY102,0)</f>
        <v>0</v>
      </c>
      <c r="BC102" s="44" t="n">
        <f aca="false">IF(AY102=0,0,bsd(1,BD$27,AZ102,$P102,$M102,$N102,$AH102,0.1))</f>
        <v>0</v>
      </c>
      <c r="BD102" s="44" t="n">
        <f aca="false">IF(AY102=0,0,bsd(2,BD$27,AZ102,$P102,$M102,$N102,$AH102,0.1))</f>
        <v>0</v>
      </c>
      <c r="BE102" s="44" t="n">
        <f aca="false">IF(AY102=0,0,bsd(BD$28,BD$27,AZ102,$P102,$M102,$N102,$AH102,0.1))</f>
        <v>0</v>
      </c>
      <c r="BF102" s="45" t="n">
        <f aca="false">AY102*BC102</f>
        <v>0</v>
      </c>
      <c r="BG102" s="45" t="n">
        <f aca="false">AY102*BD102</f>
        <v>0</v>
      </c>
      <c r="BH102" s="45" t="n">
        <f aca="false">AY102*BE102</f>
        <v>0</v>
      </c>
      <c r="BJ102" s="9" t="n">
        <f aca="false">IF($A102&gt;=BK$25,IF($A102&lt;=BK$26,$AI102,0),0)</f>
        <v>0</v>
      </c>
      <c r="BK102" s="9" t="e">
        <f aca="false">BM102/BJ102</f>
        <v>#DIV/0!</v>
      </c>
      <c r="BL102" s="1" t="n">
        <f aca="false">BJ102*($B102+F$13)</f>
        <v>0</v>
      </c>
      <c r="BM102" s="33" t="n">
        <f aca="false">IF(ISNUMBER(((BL102/BJ102)+F$14+$R102)*BJ102),((BL102/BJ102)+F$14+$R102)*BJ102,0)</f>
        <v>0</v>
      </c>
      <c r="BN102" s="44" t="n">
        <f aca="false">IF(BJ102=0,0,bsd(1,BO$27,BK102,$W102,$T102,$U102,$AH102,0.1))</f>
        <v>0</v>
      </c>
      <c r="BO102" s="44" t="n">
        <f aca="false">IF(BJ102=0,0,bsd(2,BO$27,BK102,$W102,$T102,$U102,$AH102,0.1))</f>
        <v>0</v>
      </c>
      <c r="BP102" s="44" t="n">
        <f aca="false">IF(BJ102=0,0,bsd(BO$28,BO$27,BK102,$W102,$T102,$U102,$AH102,0.1))</f>
        <v>0</v>
      </c>
      <c r="BQ102" s="45" t="n">
        <f aca="false">BJ102*BN102</f>
        <v>0</v>
      </c>
      <c r="BR102" s="45" t="n">
        <f aca="false">BJ102*BO102</f>
        <v>0</v>
      </c>
      <c r="BS102" s="45" t="n">
        <f aca="false">BJ102*BP102</f>
        <v>0</v>
      </c>
      <c r="BU102" s="9" t="n">
        <f aca="false">IF($A102&gt;=BV$25,IF($A102&lt;=BV$26,$AI102,0),0)</f>
        <v>0</v>
      </c>
      <c r="BV102" s="9" t="e">
        <f aca="false">BX102/BU102</f>
        <v>#DIV/0!</v>
      </c>
      <c r="BW102" s="1" t="n">
        <f aca="false">BU102*($B102+H$13)</f>
        <v>0</v>
      </c>
      <c r="BX102" s="33" t="n">
        <f aca="false">IF(ISNUMBER(((BW102/BU102)+H$14+$Y102)*BU102),((BW102/BU102)+H$14+$Y102)*BU102,0)</f>
        <v>0</v>
      </c>
      <c r="BY102" s="44" t="n">
        <f aca="false">IF(BU102=0,0,bsd(1,BZ$27,BV102,$AD102,$AA102,$AB102,$AH102,0.1))</f>
        <v>0</v>
      </c>
      <c r="BZ102" s="44" t="n">
        <f aca="false">IF(BU102=0,0,bsd(2,BZ$27,BV102,$AD102,$AA102,$AB102,$AH102,0.1))</f>
        <v>0</v>
      </c>
      <c r="CA102" s="44" t="n">
        <f aca="false">IF(BU102=0,0,bsd(BZ$28,BZ$27,BV102,$AD102,$AA102,$AB102,$AH102,0.1))</f>
        <v>0</v>
      </c>
      <c r="CB102" s="45" t="n">
        <f aca="false">BU102*BY102</f>
        <v>0</v>
      </c>
      <c r="CC102" s="45" t="n">
        <f aca="false">BU102*BZ102</f>
        <v>0</v>
      </c>
      <c r="CD102" s="45" t="n">
        <f aca="false">BU102*CA102</f>
        <v>0</v>
      </c>
    </row>
    <row r="103" customFormat="false" ht="12.75" hidden="false" customHeight="false" outlineLevel="0" collapsed="false">
      <c r="A103" s="48" t="n">
        <f aca="false">DATE(YEAR(A102),MONTH(A102)+1,1)</f>
        <v>38991</v>
      </c>
      <c r="B103" s="40" t="n">
        <f aca="false">VLOOKUP(A103,STRADDLE,5,FALSE())</f>
        <v>3.039</v>
      </c>
      <c r="C103" s="4" t="n">
        <f aca="false">VLOOKUP(A103,STRADDLE,8,FALSE())</f>
        <v>0.2275</v>
      </c>
      <c r="D103" s="40" t="n">
        <f aca="false">IF(D$28="nymex",0,VLOOKUP($A103,curvesettle,HLOOKUP(D$28,curvesettle,2,FALSE())))</f>
        <v>0.461</v>
      </c>
      <c r="E103" s="131" t="n">
        <f aca="false">IF(ISNUMBER(VLOOKUP($A103,VOLCURVES,HLOOKUP(D$28,VOLCURVES,2,FALSE()),FALSE())),VLOOKUP($A103,VOLCURVES,HLOOKUP(D$28,VOLCURVES,2,FALSE()),FALSE()),1)</f>
        <v>0.98</v>
      </c>
      <c r="F103" s="136" t="n">
        <f aca="false">IF(D$28="NYMEX",$AG103,$AF103)</f>
        <v>-6939</v>
      </c>
      <c r="G103" s="4" t="e">
        <f aca="false">(($C103+H103)*$E103)+B$15</f>
        <v>#DIV/0!</v>
      </c>
      <c r="H103" s="4" t="e">
        <f aca="false">IF($B$16=1,VLOOKUP($A103,SkewTable,HLOOKUP(ROUND(I103-AO103,1),SkewTable,2,FALSE()),FALSE())/100,0)</f>
        <v>#DIV/0!</v>
      </c>
      <c r="I103" s="41" t="n">
        <f aca="false">IF($B$19=4,$AO103,$B$18)</f>
        <v>12</v>
      </c>
      <c r="K103" s="40" t="n">
        <f aca="false">IF(K$28="nymex",0,VLOOKUP($A103,curvesettle,HLOOKUP(K$28,curvesettle,2,FALSE())))</f>
        <v>-0.02</v>
      </c>
      <c r="L103" s="131" t="n">
        <f aca="false">IF(ISNUMBER(VLOOKUP($A103,VOLCURVES,HLOOKUP(K$28,VOLCURVES,2,FALSE()),FALSE())),VLOOKUP($A103,VOLCURVES,HLOOKUP(K$28,VOLCURVES,2,FALSE()),FALSE()),1)</f>
        <v>1</v>
      </c>
      <c r="M103" s="136" t="n">
        <f aca="false">IF(K$28="NYMEX",$AG103,$AF103)</f>
        <v>-6939</v>
      </c>
      <c r="N103" s="153" t="e">
        <f aca="false">(($C103+O103)*$L103)+D$15</f>
        <v>#DIV/0!</v>
      </c>
      <c r="O103" s="4" t="e">
        <f aca="false">IF($D$16=1,VLOOKUP($A103,SkewTable,HLOOKUP(ROUND(P103-AZ103,1),SkewTable,2,FALSE()),FALSE())/100,0)</f>
        <v>#DIV/0!</v>
      </c>
      <c r="P103" s="41" t="n">
        <f aca="false">IF($D$19=4,$AZ103,$D$18)</f>
        <v>3.75</v>
      </c>
      <c r="R103" s="40" t="n">
        <f aca="false">IF(R$28="nymex",0,VLOOKUP($A103,curvesettle,HLOOKUP(R$28,curvesettle,2,FALSE())))</f>
        <v>-0.02</v>
      </c>
      <c r="S103" s="131" t="n">
        <f aca="false">IF(ISNUMBER(VLOOKUP($A103,VOLCURVES,HLOOKUP(R$28,VOLCURVES,2,FALSE()),FALSE())),VLOOKUP($A103,VOLCURVES,HLOOKUP(R$28,VOLCURVES,2,FALSE()),FALSE()),1)</f>
        <v>1</v>
      </c>
      <c r="T103" s="136" t="n">
        <f aca="false">IF(R$28="NYMEX",$AG103,$AF103)</f>
        <v>-6939</v>
      </c>
      <c r="U103" s="153" t="e">
        <f aca="false">(($C103+V103)*$S103)+F$15</f>
        <v>#DIV/0!</v>
      </c>
      <c r="V103" s="4" t="e">
        <f aca="false">IF($F$16=1,VLOOKUP($A103,SkewTable,HLOOKUP(ROUND(W103-BK103,1),SkewTable,2,FALSE()),FALSE())/100,0)</f>
        <v>#DIV/0!</v>
      </c>
      <c r="W103" s="41" t="n">
        <f aca="false">IF($F$19=4,$BK103,$F$18)</f>
        <v>3.5</v>
      </c>
      <c r="X103" s="136"/>
      <c r="Y103" s="40" t="n">
        <f aca="false">IF(Y$28="nymex",0,VLOOKUP($A103,curvesettle,HLOOKUP(Y$28,curvesettle,2,FALSE())))</f>
        <v>-0.335</v>
      </c>
      <c r="Z103" s="131" t="n">
        <f aca="false">IF(ISNUMBER(VLOOKUP($A103,VOLCURVES,HLOOKUP(Y$28,VOLCURVES,2,FALSE()),FALSE())),VLOOKUP($A103,VOLCURVES,HLOOKUP(Y$28,VOLCURVES,2,FALSE()),FALSE()),1)</f>
        <v>1</v>
      </c>
      <c r="AA103" s="136" t="n">
        <f aca="false">IF(Y$28="NYMEX",$AG103,$AF103)</f>
        <v>-6939</v>
      </c>
      <c r="AB103" s="4" t="e">
        <f aca="false">(($C103+AC103)*$Z103)+H$15</f>
        <v>#DIV/0!</v>
      </c>
      <c r="AC103" s="4" t="e">
        <f aca="false">IF($H$16=1,VLOOKUP($A103,SkewTable,HLOOKUP(ROUND(AD103-BV103,1),SkewTable,2,FALSE()),FALSE())/100,0)</f>
        <v>#DIV/0!</v>
      </c>
      <c r="AD103" s="41" t="n">
        <f aca="false">IF($H$19=4,$BV103,$H$18)</f>
        <v>3</v>
      </c>
      <c r="AF103" s="136" t="n">
        <f aca="false">VLOOKUP($A103,expiration,2,FALSE())-$B$2</f>
        <v>-6939</v>
      </c>
      <c r="AG103" s="136" t="n">
        <f aca="false">VLOOKUP($A103,expiration,3,FALSE())-$B$2</f>
        <v>-6940</v>
      </c>
      <c r="AH103" s="4" t="n">
        <f aca="false">VLOOKUP($A103,STRADDLE,12,FALSE())</f>
        <v>0.068888818477656</v>
      </c>
      <c r="AI103" s="43" t="n">
        <f aca="false">A104-A103</f>
        <v>31</v>
      </c>
      <c r="AL103" s="136"/>
      <c r="AM103" s="9"/>
      <c r="AN103" s="9" t="n">
        <f aca="false">IF($A103&gt;=AO$25,IF($A103&lt;=AO$26,$AI103,0),0)</f>
        <v>0</v>
      </c>
      <c r="AO103" s="9" t="e">
        <f aca="false">AQ103/AN103</f>
        <v>#DIV/0!</v>
      </c>
      <c r="AP103" s="1" t="n">
        <f aca="false">AN103*($B103+B$13)</f>
        <v>0</v>
      </c>
      <c r="AQ103" s="33" t="n">
        <f aca="false">IF(ISNUMBER(((AP103/AN103)+B$14+$D103)*AN103),((AP103/AN103)+B$14+$D103)*AN103,0)</f>
        <v>0</v>
      </c>
      <c r="AR103" s="44" t="n">
        <f aca="false">IF(AN103=0,0,bsd(1,AS$27,AO103,$I103,$F103,$G103,$AH103,0.1))</f>
        <v>0</v>
      </c>
      <c r="AS103" s="44" t="n">
        <f aca="false">IF(AN103=0,0,bsd(2,AS$27,AO103,$I103,$F103,$G103,$AH103,0.1))</f>
        <v>0</v>
      </c>
      <c r="AT103" s="44" t="n">
        <f aca="false">IF(AN103=0,0,bsd(AS$28,AS$27,AO103,$I103,$F103,$G103,$AH103,0.1))</f>
        <v>0</v>
      </c>
      <c r="AU103" s="45" t="n">
        <f aca="false">AN103*AR103</f>
        <v>0</v>
      </c>
      <c r="AV103" s="45" t="n">
        <f aca="false">AN103*AS103</f>
        <v>0</v>
      </c>
      <c r="AW103" s="45" t="n">
        <f aca="false">AN103*AT103</f>
        <v>0</v>
      </c>
      <c r="AY103" s="9" t="n">
        <f aca="false">IF($A103&gt;=AZ$25,IF($A103&lt;=AZ$26,$AI103,0),0)</f>
        <v>0</v>
      </c>
      <c r="AZ103" s="9" t="e">
        <f aca="false">BB103/AY103</f>
        <v>#DIV/0!</v>
      </c>
      <c r="BA103" s="1" t="n">
        <f aca="false">AY103*($B103+D$13)</f>
        <v>0</v>
      </c>
      <c r="BB103" s="33" t="n">
        <f aca="false">IF(ISNUMBER(((BA103/AY103)+D$14+$K103)*AY103),((BA103/AY103)+D$14+$K103)*AY103,0)</f>
        <v>0</v>
      </c>
      <c r="BC103" s="44" t="n">
        <f aca="false">IF(AY103=0,0,bsd(1,BD$27,AZ103,$P103,$M103,$N103,$AH103,0.1))</f>
        <v>0</v>
      </c>
      <c r="BD103" s="44" t="n">
        <f aca="false">IF(AY103=0,0,bsd(2,BD$27,AZ103,$P103,$M103,$N103,$AH103,0.1))</f>
        <v>0</v>
      </c>
      <c r="BE103" s="44" t="n">
        <f aca="false">IF(AY103=0,0,bsd(BD$28,BD$27,AZ103,$P103,$M103,$N103,$AH103,0.1))</f>
        <v>0</v>
      </c>
      <c r="BF103" s="45" t="n">
        <f aca="false">AY103*BC103</f>
        <v>0</v>
      </c>
      <c r="BG103" s="45" t="n">
        <f aca="false">AY103*BD103</f>
        <v>0</v>
      </c>
      <c r="BH103" s="45" t="n">
        <f aca="false">AY103*BE103</f>
        <v>0</v>
      </c>
      <c r="BJ103" s="9" t="n">
        <f aca="false">IF($A103&gt;=BK$25,IF($A103&lt;=BK$26,$AI103,0),0)</f>
        <v>0</v>
      </c>
      <c r="BK103" s="9" t="e">
        <f aca="false">BM103/BJ103</f>
        <v>#DIV/0!</v>
      </c>
      <c r="BL103" s="1" t="n">
        <f aca="false">BJ103*($B103+F$13)</f>
        <v>0</v>
      </c>
      <c r="BM103" s="33" t="n">
        <f aca="false">IF(ISNUMBER(((BL103/BJ103)+F$14+$R103)*BJ103),((BL103/BJ103)+F$14+$R103)*BJ103,0)</f>
        <v>0</v>
      </c>
      <c r="BN103" s="44" t="n">
        <f aca="false">IF(BJ103=0,0,bsd(1,BO$27,BK103,$W103,$T103,$U103,$AH103,0.1))</f>
        <v>0</v>
      </c>
      <c r="BO103" s="44" t="n">
        <f aca="false">IF(BJ103=0,0,bsd(2,BO$27,BK103,$W103,$T103,$U103,$AH103,0.1))</f>
        <v>0</v>
      </c>
      <c r="BP103" s="44" t="n">
        <f aca="false">IF(BJ103=0,0,bsd(BO$28,BO$27,BK103,$W103,$T103,$U103,$AH103,0.1))</f>
        <v>0</v>
      </c>
      <c r="BQ103" s="45" t="n">
        <f aca="false">BJ103*BN103</f>
        <v>0</v>
      </c>
      <c r="BR103" s="45" t="n">
        <f aca="false">BJ103*BO103</f>
        <v>0</v>
      </c>
      <c r="BS103" s="45" t="n">
        <f aca="false">BJ103*BP103</f>
        <v>0</v>
      </c>
      <c r="BU103" s="9" t="n">
        <f aca="false">IF($A103&gt;=BV$25,IF($A103&lt;=BV$26,$AI103,0),0)</f>
        <v>0</v>
      </c>
      <c r="BV103" s="9" t="e">
        <f aca="false">BX103/BU103</f>
        <v>#DIV/0!</v>
      </c>
      <c r="BW103" s="1" t="n">
        <f aca="false">BU103*($B103+H$13)</f>
        <v>0</v>
      </c>
      <c r="BX103" s="33" t="n">
        <f aca="false">IF(ISNUMBER(((BW103/BU103)+H$14+$Y103)*BU103),((BW103/BU103)+H$14+$Y103)*BU103,0)</f>
        <v>0</v>
      </c>
      <c r="BY103" s="44" t="n">
        <f aca="false">IF(BU103=0,0,bsd(1,BZ$27,BV103,$AD103,$AA103,$AB103,$AH103,0.1))</f>
        <v>0</v>
      </c>
      <c r="BZ103" s="44" t="n">
        <f aca="false">IF(BU103=0,0,bsd(2,BZ$27,BV103,$AD103,$AA103,$AB103,$AH103,0.1))</f>
        <v>0</v>
      </c>
      <c r="CA103" s="44" t="n">
        <f aca="false">IF(BU103=0,0,bsd(BZ$28,BZ$27,BV103,$AD103,$AA103,$AB103,$AH103,0.1))</f>
        <v>0</v>
      </c>
      <c r="CB103" s="45" t="n">
        <f aca="false">BU103*BY103</f>
        <v>0</v>
      </c>
      <c r="CC103" s="45" t="n">
        <f aca="false">BU103*BZ103</f>
        <v>0</v>
      </c>
      <c r="CD103" s="45" t="n">
        <f aca="false">BU103*CA103</f>
        <v>0</v>
      </c>
    </row>
    <row r="104" customFormat="false" ht="12.75" hidden="false" customHeight="false" outlineLevel="0" collapsed="false">
      <c r="A104" s="48" t="n">
        <f aca="false">DATE(YEAR(A103),MONTH(A103)+1,1)</f>
        <v>39022</v>
      </c>
      <c r="B104" s="40" t="n">
        <f aca="false">VLOOKUP(A104,STRADDLE,5,FALSE())</f>
        <v>3.116</v>
      </c>
      <c r="C104" s="4" t="n">
        <f aca="false">VLOOKUP(A104,STRADDLE,8,FALSE())</f>
        <v>0.23</v>
      </c>
      <c r="D104" s="40" t="n">
        <f aca="false">IF(D$28="nymex",0,VLOOKUP($A104,curvesettle,HLOOKUP(D$28,curvesettle,2,FALSE())))</f>
        <v>0.885</v>
      </c>
      <c r="E104" s="131" t="n">
        <f aca="false">IF(ISNUMBER(VLOOKUP($A104,VOLCURVES,HLOOKUP(D$28,VOLCURVES,2,FALSE()),FALSE())),VLOOKUP($A104,VOLCURVES,HLOOKUP(D$28,VOLCURVES,2,FALSE()),FALSE()),1)</f>
        <v>1.1</v>
      </c>
      <c r="F104" s="136" t="n">
        <f aca="false">IF(D$28="NYMEX",$AG104,$AF104)</f>
        <v>-6909</v>
      </c>
      <c r="G104" s="4" t="e">
        <f aca="false">(($C104+H104)*$E104)+B$15</f>
        <v>#DIV/0!</v>
      </c>
      <c r="H104" s="4" t="e">
        <f aca="false">IF($B$16=1,VLOOKUP($A104,SkewTable,HLOOKUP(ROUND(I104-AO104,1),SkewTable,2,FALSE()),FALSE())/100,0)</f>
        <v>#DIV/0!</v>
      </c>
      <c r="I104" s="41" t="n">
        <f aca="false">IF($B$19=4,$AO104,$B$18)</f>
        <v>12</v>
      </c>
      <c r="K104" s="40" t="n">
        <f aca="false">IF(K$28="nymex",0,VLOOKUP($A104,curvesettle,HLOOKUP(K$28,curvesettle,2,FALSE())))</f>
        <v>-0.0165</v>
      </c>
      <c r="L104" s="131" t="n">
        <f aca="false">IF(ISNUMBER(VLOOKUP($A104,VOLCURVES,HLOOKUP(K$28,VOLCURVES,2,FALSE()),FALSE())),VLOOKUP($A104,VOLCURVES,HLOOKUP(K$28,VOLCURVES,2,FALSE()),FALSE()),1)</f>
        <v>1</v>
      </c>
      <c r="M104" s="136" t="n">
        <f aca="false">IF(K$28="NYMEX",$AG104,$AF104)</f>
        <v>-6909</v>
      </c>
      <c r="N104" s="153" t="e">
        <f aca="false">(($C104+O104)*$L104)+D$15</f>
        <v>#DIV/0!</v>
      </c>
      <c r="O104" s="4" t="e">
        <f aca="false">IF($D$16=1,VLOOKUP($A104,SkewTable,HLOOKUP(ROUND(P104-AZ104,1),SkewTable,2,FALSE()),FALSE())/100,0)</f>
        <v>#DIV/0!</v>
      </c>
      <c r="P104" s="41" t="n">
        <f aca="false">IF($D$19=4,$AZ104,$D$18)</f>
        <v>3.75</v>
      </c>
      <c r="R104" s="40" t="n">
        <f aca="false">IF(R$28="nymex",0,VLOOKUP($A104,curvesettle,HLOOKUP(R$28,curvesettle,2,FALSE())))</f>
        <v>-0.0165</v>
      </c>
      <c r="S104" s="131" t="n">
        <f aca="false">IF(ISNUMBER(VLOOKUP($A104,VOLCURVES,HLOOKUP(R$28,VOLCURVES,2,FALSE()),FALSE())),VLOOKUP($A104,VOLCURVES,HLOOKUP(R$28,VOLCURVES,2,FALSE()),FALSE()),1)</f>
        <v>1</v>
      </c>
      <c r="T104" s="136" t="n">
        <f aca="false">IF(R$28="NYMEX",$AG104,$AF104)</f>
        <v>-6909</v>
      </c>
      <c r="U104" s="153" t="e">
        <f aca="false">(($C104+V104)*$S104)+F$15</f>
        <v>#DIV/0!</v>
      </c>
      <c r="V104" s="4" t="e">
        <f aca="false">IF($F$16=1,VLOOKUP($A104,SkewTable,HLOOKUP(ROUND(W104-BK104,1),SkewTable,2,FALSE()),FALSE())/100,0)</f>
        <v>#DIV/0!</v>
      </c>
      <c r="W104" s="41" t="n">
        <f aca="false">IF($F$19=4,$BK104,$F$18)</f>
        <v>3.5</v>
      </c>
      <c r="X104" s="136"/>
      <c r="Y104" s="40" t="n">
        <f aca="false">IF(Y$28="nymex",0,VLOOKUP($A104,curvesettle,HLOOKUP(Y$28,curvesettle,2,FALSE())))</f>
        <v>-0.26</v>
      </c>
      <c r="Z104" s="131" t="n">
        <f aca="false">IF(ISNUMBER(VLOOKUP($A104,VOLCURVES,HLOOKUP(Y$28,VOLCURVES,2,FALSE()),FALSE())),VLOOKUP($A104,VOLCURVES,HLOOKUP(Y$28,VOLCURVES,2,FALSE()),FALSE()),1)</f>
        <v>1</v>
      </c>
      <c r="AA104" s="136" t="n">
        <f aca="false">IF(Y$28="NYMEX",$AG104,$AF104)</f>
        <v>-6909</v>
      </c>
      <c r="AB104" s="4" t="e">
        <f aca="false">(($C104+AC104)*$Z104)+H$15</f>
        <v>#DIV/0!</v>
      </c>
      <c r="AC104" s="4" t="e">
        <f aca="false">IF($H$16=1,VLOOKUP($A104,SkewTable,HLOOKUP(ROUND(AD104-BV104,1),SkewTable,2,FALSE()),FALSE())/100,0)</f>
        <v>#DIV/0!</v>
      </c>
      <c r="AD104" s="41" t="n">
        <f aca="false">IF($H$19=4,$BV104,$H$18)</f>
        <v>3</v>
      </c>
      <c r="AF104" s="136" t="n">
        <f aca="false">VLOOKUP($A104,expiration,2,FALSE())-$B$2</f>
        <v>-6909</v>
      </c>
      <c r="AG104" s="136" t="n">
        <f aca="false">VLOOKUP($A104,expiration,3,FALSE())-$B$2</f>
        <v>-6910</v>
      </c>
      <c r="AH104" s="4" t="n">
        <f aca="false">VLOOKUP($A104,STRADDLE,12,FALSE())</f>
        <v>0.068940167866873</v>
      </c>
      <c r="AI104" s="43" t="n">
        <f aca="false">A105-A104</f>
        <v>30</v>
      </c>
      <c r="AL104" s="136"/>
      <c r="AM104" s="9"/>
      <c r="AN104" s="9" t="n">
        <f aca="false">IF($A104&gt;=AO$25,IF($A104&lt;=AO$26,$AI104,0),0)</f>
        <v>0</v>
      </c>
      <c r="AO104" s="9" t="e">
        <f aca="false">AQ104/AN104</f>
        <v>#DIV/0!</v>
      </c>
      <c r="AP104" s="1" t="n">
        <f aca="false">AN104*($B104+B$13)</f>
        <v>0</v>
      </c>
      <c r="AQ104" s="33" t="n">
        <f aca="false">IF(ISNUMBER(((AP104/AN104)+B$14+$D104)*AN104),((AP104/AN104)+B$14+$D104)*AN104,0)</f>
        <v>0</v>
      </c>
      <c r="AR104" s="44" t="n">
        <f aca="false">IF(AN104=0,0,bsd(1,AS$27,AO104,$I104,$F104,$G104,$AH104,0.1))</f>
        <v>0</v>
      </c>
      <c r="AS104" s="44" t="n">
        <f aca="false">IF(AN104=0,0,bsd(2,AS$27,AO104,$I104,$F104,$G104,$AH104,0.1))</f>
        <v>0</v>
      </c>
      <c r="AT104" s="44" t="n">
        <f aca="false">IF(AN104=0,0,bsd(AS$28,AS$27,AO104,$I104,$F104,$G104,$AH104,0.1))</f>
        <v>0</v>
      </c>
      <c r="AU104" s="45" t="n">
        <f aca="false">AN104*AR104</f>
        <v>0</v>
      </c>
      <c r="AV104" s="45" t="n">
        <f aca="false">AN104*AS104</f>
        <v>0</v>
      </c>
      <c r="AW104" s="45" t="n">
        <f aca="false">AN104*AT104</f>
        <v>0</v>
      </c>
      <c r="AY104" s="9" t="n">
        <f aca="false">IF($A104&gt;=AZ$25,IF($A104&lt;=AZ$26,$AI104,0),0)</f>
        <v>0</v>
      </c>
      <c r="AZ104" s="9" t="e">
        <f aca="false">BB104/AY104</f>
        <v>#DIV/0!</v>
      </c>
      <c r="BA104" s="1" t="n">
        <f aca="false">AY104*($B104+D$13)</f>
        <v>0</v>
      </c>
      <c r="BB104" s="33" t="n">
        <f aca="false">IF(ISNUMBER(((BA104/AY104)+D$14+$K104)*AY104),((BA104/AY104)+D$14+$K104)*AY104,0)</f>
        <v>0</v>
      </c>
      <c r="BC104" s="44" t="n">
        <f aca="false">IF(AY104=0,0,bsd(1,BD$27,AZ104,$P104,$M104,$N104,$AH104,0.1))</f>
        <v>0</v>
      </c>
      <c r="BD104" s="44" t="n">
        <f aca="false">IF(AY104=0,0,bsd(2,BD$27,AZ104,$P104,$M104,$N104,$AH104,0.1))</f>
        <v>0</v>
      </c>
      <c r="BE104" s="44" t="n">
        <f aca="false">IF(AY104=0,0,bsd(BD$28,BD$27,AZ104,$P104,$M104,$N104,$AH104,0.1))</f>
        <v>0</v>
      </c>
      <c r="BF104" s="45" t="n">
        <f aca="false">AY104*BC104</f>
        <v>0</v>
      </c>
      <c r="BG104" s="45" t="n">
        <f aca="false">AY104*BD104</f>
        <v>0</v>
      </c>
      <c r="BH104" s="45" t="n">
        <f aca="false">AY104*BE104</f>
        <v>0</v>
      </c>
      <c r="BJ104" s="9" t="n">
        <f aca="false">IF($A104&gt;=BK$25,IF($A104&lt;=BK$26,$AI104,0),0)</f>
        <v>0</v>
      </c>
      <c r="BK104" s="9" t="e">
        <f aca="false">BM104/BJ104</f>
        <v>#DIV/0!</v>
      </c>
      <c r="BL104" s="1" t="n">
        <f aca="false">BJ104*($B104+F$13)</f>
        <v>0</v>
      </c>
      <c r="BM104" s="33" t="n">
        <f aca="false">IF(ISNUMBER(((BL104/BJ104)+F$14+$R104)*BJ104),((BL104/BJ104)+F$14+$R104)*BJ104,0)</f>
        <v>0</v>
      </c>
      <c r="BN104" s="44" t="n">
        <f aca="false">IF(BJ104=0,0,bsd(1,BO$27,BK104,$W104,$T104,$U104,$AH104,0.1))</f>
        <v>0</v>
      </c>
      <c r="BO104" s="44" t="n">
        <f aca="false">IF(BJ104=0,0,bsd(2,BO$27,BK104,$W104,$T104,$U104,$AH104,0.1))</f>
        <v>0</v>
      </c>
      <c r="BP104" s="44" t="n">
        <f aca="false">IF(BJ104=0,0,bsd(BO$28,BO$27,BK104,$W104,$T104,$U104,$AH104,0.1))</f>
        <v>0</v>
      </c>
      <c r="BQ104" s="45" t="n">
        <f aca="false">BJ104*BN104</f>
        <v>0</v>
      </c>
      <c r="BR104" s="45" t="n">
        <f aca="false">BJ104*BO104</f>
        <v>0</v>
      </c>
      <c r="BS104" s="45" t="n">
        <f aca="false">BJ104*BP104</f>
        <v>0</v>
      </c>
      <c r="BU104" s="9" t="n">
        <f aca="false">IF($A104&gt;=BV$25,IF($A104&lt;=BV$26,$AI104,0),0)</f>
        <v>0</v>
      </c>
      <c r="BV104" s="9" t="e">
        <f aca="false">BX104/BU104</f>
        <v>#DIV/0!</v>
      </c>
      <c r="BW104" s="1" t="n">
        <f aca="false">BU104*($B104+H$13)</f>
        <v>0</v>
      </c>
      <c r="BX104" s="33" t="n">
        <f aca="false">IF(ISNUMBER(((BW104/BU104)+H$14+$Y104)*BU104),((BW104/BU104)+H$14+$Y104)*BU104,0)</f>
        <v>0</v>
      </c>
      <c r="BY104" s="44" t="n">
        <f aca="false">IF(BU104=0,0,bsd(1,BZ$27,BV104,$AD104,$AA104,$AB104,$AH104,0.1))</f>
        <v>0</v>
      </c>
      <c r="BZ104" s="44" t="n">
        <f aca="false">IF(BU104=0,0,bsd(2,BZ$27,BV104,$AD104,$AA104,$AB104,$AH104,0.1))</f>
        <v>0</v>
      </c>
      <c r="CA104" s="44" t="n">
        <f aca="false">IF(BU104=0,0,bsd(BZ$28,BZ$27,BV104,$AD104,$AA104,$AB104,$AH104,0.1))</f>
        <v>0</v>
      </c>
      <c r="CB104" s="45" t="n">
        <f aca="false">BU104*BY104</f>
        <v>0</v>
      </c>
      <c r="CC104" s="45" t="n">
        <f aca="false">BU104*BZ104</f>
        <v>0</v>
      </c>
      <c r="CD104" s="45" t="n">
        <f aca="false">BU104*CA104</f>
        <v>0</v>
      </c>
    </row>
    <row r="105" customFormat="false" ht="12.75" hidden="false" customHeight="false" outlineLevel="0" collapsed="false">
      <c r="A105" s="48" t="n">
        <f aca="false">DATE(YEAR(A104),MONTH(A104)+1,1)</f>
        <v>39052</v>
      </c>
      <c r="B105" s="40" t="n">
        <f aca="false">VLOOKUP(A105,STRADDLE,5,FALSE())</f>
        <v>3.183</v>
      </c>
      <c r="C105" s="4" t="n">
        <f aca="false">VLOOKUP(A105,STRADDLE,8,FALSE())</f>
        <v>0.24</v>
      </c>
      <c r="D105" s="40" t="n">
        <f aca="false">IF(D$28="nymex",0,VLOOKUP($A105,curvesettle,HLOOKUP(D$28,curvesettle,2,FALSE())))</f>
        <v>1.31</v>
      </c>
      <c r="E105" s="131" t="n">
        <f aca="false">IF(ISNUMBER(VLOOKUP($A105,VOLCURVES,HLOOKUP(D$28,VOLCURVES,2,FALSE()),FALSE())),VLOOKUP($A105,VOLCURVES,HLOOKUP(D$28,VOLCURVES,2,FALSE()),FALSE()),1)</f>
        <v>1.1</v>
      </c>
      <c r="F105" s="136" t="n">
        <f aca="false">IF(D$28="NYMEX",$AG105,$AF105)</f>
        <v>-6877</v>
      </c>
      <c r="G105" s="4" t="e">
        <f aca="false">(($C105+H105)*$E105)+B$15</f>
        <v>#DIV/0!</v>
      </c>
      <c r="H105" s="4" t="e">
        <f aca="false">IF($B$16=1,VLOOKUP($A105,SkewTable,HLOOKUP(ROUND(I105-AO105,1),SkewTable,2,FALSE()),FALSE())/100,0)</f>
        <v>#DIV/0!</v>
      </c>
      <c r="I105" s="41" t="n">
        <f aca="false">IF($B$19=4,$AO105,$B$18)</f>
        <v>12</v>
      </c>
      <c r="K105" s="40" t="n">
        <f aca="false">IF(K$28="nymex",0,VLOOKUP($A105,curvesettle,HLOOKUP(K$28,curvesettle,2,FALSE())))</f>
        <v>-0.0165</v>
      </c>
      <c r="L105" s="131" t="n">
        <f aca="false">IF(ISNUMBER(VLOOKUP($A105,VOLCURVES,HLOOKUP(K$28,VOLCURVES,2,FALSE()),FALSE())),VLOOKUP($A105,VOLCURVES,HLOOKUP(K$28,VOLCURVES,2,FALSE()),FALSE()),1)</f>
        <v>1</v>
      </c>
      <c r="M105" s="136" t="n">
        <f aca="false">IF(K$28="NYMEX",$AG105,$AF105)</f>
        <v>-6877</v>
      </c>
      <c r="N105" s="153" t="e">
        <f aca="false">(($C105+O105)*$L105)+D$15</f>
        <v>#DIV/0!</v>
      </c>
      <c r="O105" s="4" t="e">
        <f aca="false">IF($D$16=1,VLOOKUP($A105,SkewTable,HLOOKUP(ROUND(P105-AZ105,1),SkewTable,2,FALSE()),FALSE())/100,0)</f>
        <v>#DIV/0!</v>
      </c>
      <c r="P105" s="41" t="n">
        <f aca="false">IF($D$19=4,$AZ105,$D$18)</f>
        <v>3.75</v>
      </c>
      <c r="R105" s="40" t="n">
        <f aca="false">IF(R$28="nymex",0,VLOOKUP($A105,curvesettle,HLOOKUP(R$28,curvesettle,2,FALSE())))</f>
        <v>-0.0165</v>
      </c>
      <c r="S105" s="131" t="n">
        <f aca="false">IF(ISNUMBER(VLOOKUP($A105,VOLCURVES,HLOOKUP(R$28,VOLCURVES,2,FALSE()),FALSE())),VLOOKUP($A105,VOLCURVES,HLOOKUP(R$28,VOLCURVES,2,FALSE()),FALSE()),1)</f>
        <v>1</v>
      </c>
      <c r="T105" s="136" t="n">
        <f aca="false">IF(R$28="NYMEX",$AG105,$AF105)</f>
        <v>-6877</v>
      </c>
      <c r="U105" s="153" t="e">
        <f aca="false">(($C105+V105)*$S105)+F$15</f>
        <v>#DIV/0!</v>
      </c>
      <c r="V105" s="4" t="e">
        <f aca="false">IF($F$16=1,VLOOKUP($A105,SkewTable,HLOOKUP(ROUND(W105-BK105,1),SkewTable,2,FALSE()),FALSE())/100,0)</f>
        <v>#DIV/0!</v>
      </c>
      <c r="W105" s="41" t="n">
        <f aca="false">IF($F$19=4,$BK105,$F$18)</f>
        <v>3.5</v>
      </c>
      <c r="X105" s="136"/>
      <c r="Y105" s="40" t="n">
        <f aca="false">IF(Y$28="nymex",0,VLOOKUP($A105,curvesettle,HLOOKUP(Y$28,curvesettle,2,FALSE())))</f>
        <v>-0.26</v>
      </c>
      <c r="Z105" s="131" t="n">
        <f aca="false">IF(ISNUMBER(VLOOKUP($A105,VOLCURVES,HLOOKUP(Y$28,VOLCURVES,2,FALSE()),FALSE())),VLOOKUP($A105,VOLCURVES,HLOOKUP(Y$28,VOLCURVES,2,FALSE()),FALSE()),1)</f>
        <v>1</v>
      </c>
      <c r="AA105" s="136" t="n">
        <f aca="false">IF(Y$28="NYMEX",$AG105,$AF105)</f>
        <v>-6877</v>
      </c>
      <c r="AB105" s="4" t="e">
        <f aca="false">(($C105+AC105)*$Z105)+H$15</f>
        <v>#DIV/0!</v>
      </c>
      <c r="AC105" s="4" t="e">
        <f aca="false">IF($H$16=1,VLOOKUP($A105,SkewTable,HLOOKUP(ROUND(AD105-BV105,1),SkewTable,2,FALSE()),FALSE())/100,0)</f>
        <v>#DIV/0!</v>
      </c>
      <c r="AD105" s="41" t="n">
        <f aca="false">IF($H$19=4,$BV105,$H$18)</f>
        <v>3</v>
      </c>
      <c r="AF105" s="136" t="n">
        <f aca="false">VLOOKUP($A105,expiration,2,FALSE())-$B$2</f>
        <v>-6877</v>
      </c>
      <c r="AG105" s="136" t="n">
        <f aca="false">VLOOKUP($A105,expiration,3,FALSE())-$B$2</f>
        <v>-6878</v>
      </c>
      <c r="AH105" s="4" t="n">
        <f aca="false">VLOOKUP($A105,STRADDLE,12,FALSE())</f>
        <v>0.068989860825011</v>
      </c>
      <c r="AI105" s="43" t="n">
        <f aca="false">A106-A105</f>
        <v>31</v>
      </c>
      <c r="AL105" s="136"/>
      <c r="AM105" s="9"/>
      <c r="AN105" s="9" t="n">
        <f aca="false">IF($A105&gt;=AO$25,IF($A105&lt;=AO$26,$AI105,0),0)</f>
        <v>0</v>
      </c>
      <c r="AO105" s="9" t="e">
        <f aca="false">AQ105/AN105</f>
        <v>#DIV/0!</v>
      </c>
      <c r="AP105" s="1" t="n">
        <f aca="false">AN105*($B105+B$13)</f>
        <v>0</v>
      </c>
      <c r="AQ105" s="33" t="n">
        <f aca="false">IF(ISNUMBER(((AP105/AN105)+B$14+$D105)*AN105),((AP105/AN105)+B$14+$D105)*AN105,0)</f>
        <v>0</v>
      </c>
      <c r="AR105" s="44" t="n">
        <f aca="false">IF(AN105=0,0,bsd(1,AS$27,AO105,$I105,$F105,$G105,$AH105,0.1))</f>
        <v>0</v>
      </c>
      <c r="AS105" s="44" t="n">
        <f aca="false">IF(AN105=0,0,bsd(2,AS$27,AO105,$I105,$F105,$G105,$AH105,0.1))</f>
        <v>0</v>
      </c>
      <c r="AT105" s="44" t="n">
        <f aca="false">IF(AN105=0,0,bsd(AS$28,AS$27,AO105,$I105,$F105,$G105,$AH105,0.1))</f>
        <v>0</v>
      </c>
      <c r="AU105" s="45" t="n">
        <f aca="false">AN105*AR105</f>
        <v>0</v>
      </c>
      <c r="AV105" s="45" t="n">
        <f aca="false">AN105*AS105</f>
        <v>0</v>
      </c>
      <c r="AW105" s="45" t="n">
        <f aca="false">AN105*AT105</f>
        <v>0</v>
      </c>
      <c r="AY105" s="9" t="n">
        <f aca="false">IF($A105&gt;=AZ$25,IF($A105&lt;=AZ$26,$AI105,0),0)</f>
        <v>0</v>
      </c>
      <c r="AZ105" s="9" t="e">
        <f aca="false">BB105/AY105</f>
        <v>#DIV/0!</v>
      </c>
      <c r="BA105" s="1" t="n">
        <f aca="false">AY105*($B105+D$13)</f>
        <v>0</v>
      </c>
      <c r="BB105" s="33" t="n">
        <f aca="false">IF(ISNUMBER(((BA105/AY105)+D$14+$K105)*AY105),((BA105/AY105)+D$14+$K105)*AY105,0)</f>
        <v>0</v>
      </c>
      <c r="BC105" s="44" t="n">
        <f aca="false">IF(AY105=0,0,bsd(1,BD$27,AZ105,$P105,$M105,$N105,$AH105,0.1))</f>
        <v>0</v>
      </c>
      <c r="BD105" s="44" t="n">
        <f aca="false">IF(AY105=0,0,bsd(2,BD$27,AZ105,$P105,$M105,$N105,$AH105,0.1))</f>
        <v>0</v>
      </c>
      <c r="BE105" s="44" t="n">
        <f aca="false">IF(AY105=0,0,bsd(BD$28,BD$27,AZ105,$P105,$M105,$N105,$AH105,0.1))</f>
        <v>0</v>
      </c>
      <c r="BF105" s="45" t="n">
        <f aca="false">AY105*BC105</f>
        <v>0</v>
      </c>
      <c r="BG105" s="45" t="n">
        <f aca="false">AY105*BD105</f>
        <v>0</v>
      </c>
      <c r="BH105" s="45" t="n">
        <f aca="false">AY105*BE105</f>
        <v>0</v>
      </c>
      <c r="BJ105" s="9" t="n">
        <f aca="false">IF($A105&gt;=BK$25,IF($A105&lt;=BK$26,$AI105,0),0)</f>
        <v>0</v>
      </c>
      <c r="BK105" s="9" t="e">
        <f aca="false">BM105/BJ105</f>
        <v>#DIV/0!</v>
      </c>
      <c r="BL105" s="1" t="n">
        <f aca="false">BJ105*($B105+F$13)</f>
        <v>0</v>
      </c>
      <c r="BM105" s="33" t="n">
        <f aca="false">IF(ISNUMBER(((BL105/BJ105)+F$14+$R105)*BJ105),((BL105/BJ105)+F$14+$R105)*BJ105,0)</f>
        <v>0</v>
      </c>
      <c r="BN105" s="44" t="n">
        <f aca="false">IF(BJ105=0,0,bsd(1,BO$27,BK105,$W105,$T105,$U105,$AH105,0.1))</f>
        <v>0</v>
      </c>
      <c r="BO105" s="44" t="n">
        <f aca="false">IF(BJ105=0,0,bsd(2,BO$27,BK105,$W105,$T105,$U105,$AH105,0.1))</f>
        <v>0</v>
      </c>
      <c r="BP105" s="44" t="n">
        <f aca="false">IF(BJ105=0,0,bsd(BO$28,BO$27,BK105,$W105,$T105,$U105,$AH105,0.1))</f>
        <v>0</v>
      </c>
      <c r="BQ105" s="45" t="n">
        <f aca="false">BJ105*BN105</f>
        <v>0</v>
      </c>
      <c r="BR105" s="45" t="n">
        <f aca="false">BJ105*BO105</f>
        <v>0</v>
      </c>
      <c r="BS105" s="45" t="n">
        <f aca="false">BJ105*BP105</f>
        <v>0</v>
      </c>
      <c r="BU105" s="9" t="n">
        <f aca="false">IF($A105&gt;=BV$25,IF($A105&lt;=BV$26,$AI105,0),0)</f>
        <v>0</v>
      </c>
      <c r="BV105" s="9" t="e">
        <f aca="false">BX105/BU105</f>
        <v>#DIV/0!</v>
      </c>
      <c r="BW105" s="1" t="n">
        <f aca="false">BU105*($B105+H$13)</f>
        <v>0</v>
      </c>
      <c r="BX105" s="33" t="n">
        <f aca="false">IF(ISNUMBER(((BW105/BU105)+H$14+$Y105)*BU105),((BW105/BU105)+H$14+$Y105)*BU105,0)</f>
        <v>0</v>
      </c>
      <c r="BY105" s="44" t="n">
        <f aca="false">IF(BU105=0,0,bsd(1,BZ$27,BV105,$AD105,$AA105,$AB105,$AH105,0.1))</f>
        <v>0</v>
      </c>
      <c r="BZ105" s="44" t="n">
        <f aca="false">IF(BU105=0,0,bsd(2,BZ$27,BV105,$AD105,$AA105,$AB105,$AH105,0.1))</f>
        <v>0</v>
      </c>
      <c r="CA105" s="44" t="n">
        <f aca="false">IF(BU105=0,0,bsd(BZ$28,BZ$27,BV105,$AD105,$AA105,$AB105,$AH105,0.1))</f>
        <v>0</v>
      </c>
      <c r="CB105" s="45" t="n">
        <f aca="false">BU105*BY105</f>
        <v>0</v>
      </c>
      <c r="CC105" s="45" t="n">
        <f aca="false">BU105*BZ105</f>
        <v>0</v>
      </c>
      <c r="CD105" s="45" t="n">
        <f aca="false">BU105*CA105</f>
        <v>0</v>
      </c>
    </row>
    <row r="106" customFormat="false" ht="12.75" hidden="false" customHeight="false" outlineLevel="0" collapsed="false">
      <c r="A106" s="48" t="n">
        <f aca="false">DATE(YEAR(A105),MONTH(A105)+1,1)</f>
        <v>39083</v>
      </c>
      <c r="B106" s="40" t="n">
        <f aca="false">VLOOKUP(A106,STRADDLE,5,FALSE())</f>
        <v>3.565</v>
      </c>
      <c r="C106" s="4" t="n">
        <f aca="false">VLOOKUP(A106,STRADDLE,8,FALSE())</f>
        <v>0.245</v>
      </c>
      <c r="D106" s="40" t="n">
        <f aca="false">IF(D$28="nymex",0,VLOOKUP($A106,curvesettle,HLOOKUP(D$28,curvesettle,2,FALSE())))</f>
        <v>1.645</v>
      </c>
      <c r="E106" s="131" t="n">
        <f aca="false">IF(ISNUMBER(VLOOKUP($A106,VOLCURVES,HLOOKUP(D$28,VOLCURVES,2,FALSE()),FALSE())),VLOOKUP($A106,VOLCURVES,HLOOKUP(D$28,VOLCURVES,2,FALSE()),FALSE()),1)</f>
        <v>1.1</v>
      </c>
      <c r="F106" s="136" t="n">
        <f aca="false">IF(D$28="NYMEX",$AG106,$AF106)</f>
        <v>-6848</v>
      </c>
      <c r="G106" s="4" t="e">
        <f aca="false">(($C106+H106)*$E106)+B$15</f>
        <v>#DIV/0!</v>
      </c>
      <c r="H106" s="4" t="e">
        <f aca="false">IF($B$16=1,VLOOKUP($A106,SkewTable,HLOOKUP(ROUND(I106-AO106,1),SkewTable,2,FALSE()),FALSE())/100,0)</f>
        <v>#DIV/0!</v>
      </c>
      <c r="I106" s="41" t="n">
        <f aca="false">IF($B$19=4,$AO106,$B$18)</f>
        <v>12</v>
      </c>
      <c r="K106" s="40" t="n">
        <f aca="false">IF(K$28="nymex",0,VLOOKUP($A106,curvesettle,HLOOKUP(K$28,curvesettle,2,FALSE())))</f>
        <v>-0.0165</v>
      </c>
      <c r="L106" s="131" t="n">
        <f aca="false">IF(ISNUMBER(VLOOKUP($A106,VOLCURVES,HLOOKUP(K$28,VOLCURVES,2,FALSE()),FALSE())),VLOOKUP($A106,VOLCURVES,HLOOKUP(K$28,VOLCURVES,2,FALSE()),FALSE()),1)</f>
        <v>1</v>
      </c>
      <c r="M106" s="136" t="n">
        <f aca="false">IF(K$28="NYMEX",$AG106,$AF106)</f>
        <v>-6848</v>
      </c>
      <c r="N106" s="153" t="e">
        <f aca="false">(($C106+O106)*$L106)+D$15</f>
        <v>#DIV/0!</v>
      </c>
      <c r="O106" s="4" t="e">
        <f aca="false">IF($D$16=1,VLOOKUP($A106,SkewTable,HLOOKUP(ROUND(P106-AZ106,1),SkewTable,2,FALSE()),FALSE())/100,0)</f>
        <v>#DIV/0!</v>
      </c>
      <c r="P106" s="41" t="n">
        <f aca="false">IF($D$19=4,$AZ106,$D$18)</f>
        <v>3.75</v>
      </c>
      <c r="R106" s="40" t="n">
        <f aca="false">IF(R$28="nymex",0,VLOOKUP($A106,curvesettle,HLOOKUP(R$28,curvesettle,2,FALSE())))</f>
        <v>-0.0165</v>
      </c>
      <c r="S106" s="131" t="n">
        <f aca="false">IF(ISNUMBER(VLOOKUP($A106,VOLCURVES,HLOOKUP(R$28,VOLCURVES,2,FALSE()),FALSE())),VLOOKUP($A106,VOLCURVES,HLOOKUP(R$28,VOLCURVES,2,FALSE()),FALSE()),1)</f>
        <v>1</v>
      </c>
      <c r="T106" s="136" t="n">
        <f aca="false">IF(R$28="NYMEX",$AG106,$AF106)</f>
        <v>-6848</v>
      </c>
      <c r="U106" s="153" t="e">
        <f aca="false">(($C106+V106)*$S106)+F$15</f>
        <v>#DIV/0!</v>
      </c>
      <c r="V106" s="4" t="e">
        <f aca="false">IF($F$16=1,VLOOKUP($A106,SkewTable,HLOOKUP(ROUND(W106-BK106,1),SkewTable,2,FALSE()),FALSE())/100,0)</f>
        <v>#DIV/0!</v>
      </c>
      <c r="W106" s="41" t="n">
        <f aca="false">IF($F$19=4,$BK106,$F$18)</f>
        <v>3.5</v>
      </c>
      <c r="X106" s="136"/>
      <c r="Y106" s="40" t="n">
        <f aca="false">IF(Y$28="nymex",0,VLOOKUP($A106,curvesettle,HLOOKUP(Y$28,curvesettle,2,FALSE())))</f>
        <v>-0.26</v>
      </c>
      <c r="Z106" s="131" t="n">
        <f aca="false">IF(ISNUMBER(VLOOKUP($A106,VOLCURVES,HLOOKUP(Y$28,VOLCURVES,2,FALSE()),FALSE())),VLOOKUP($A106,VOLCURVES,HLOOKUP(Y$28,VOLCURVES,2,FALSE()),FALSE()),1)</f>
        <v>1</v>
      </c>
      <c r="AA106" s="136" t="n">
        <f aca="false">IF(Y$28="NYMEX",$AG106,$AF106)</f>
        <v>-6848</v>
      </c>
      <c r="AB106" s="4" t="e">
        <f aca="false">(($C106+AC106)*$Z106)+H$15</f>
        <v>#DIV/0!</v>
      </c>
      <c r="AC106" s="4" t="e">
        <f aca="false">IF($H$16=1,VLOOKUP($A106,SkewTable,HLOOKUP(ROUND(AD106-BV106,1),SkewTable,2,FALSE()),FALSE())/100,0)</f>
        <v>#DIV/0!</v>
      </c>
      <c r="AD106" s="41" t="n">
        <f aca="false">IF($H$19=4,$BV106,$H$18)</f>
        <v>3</v>
      </c>
      <c r="AF106" s="136" t="n">
        <f aca="false">VLOOKUP($A106,expiration,2,FALSE())-$B$2</f>
        <v>-6848</v>
      </c>
      <c r="AG106" s="136" t="n">
        <f aca="false">VLOOKUP($A106,expiration,3,FALSE())-$B$2</f>
        <v>-6849</v>
      </c>
      <c r="AH106" s="4" t="n">
        <f aca="false">VLOOKUP($A106,STRADDLE,12,FALSE())</f>
        <v>0.069041210215945</v>
      </c>
      <c r="AI106" s="43" t="n">
        <f aca="false">A107-A106</f>
        <v>31</v>
      </c>
      <c r="AL106" s="136"/>
      <c r="AM106" s="9"/>
      <c r="AN106" s="9" t="n">
        <f aca="false">IF($A106&gt;=AO$25,IF($A106&lt;=AO$26,$AI106,0),0)</f>
        <v>0</v>
      </c>
      <c r="AO106" s="9" t="e">
        <f aca="false">AQ106/AN106</f>
        <v>#DIV/0!</v>
      </c>
      <c r="AP106" s="1" t="n">
        <f aca="false">AN106*($B106+B$13)</f>
        <v>0</v>
      </c>
      <c r="AQ106" s="33" t="n">
        <f aca="false">IF(ISNUMBER(((AP106/AN106)+B$14+$D106)*AN106),((AP106/AN106)+B$14+$D106)*AN106,0)</f>
        <v>0</v>
      </c>
      <c r="AR106" s="44" t="n">
        <f aca="false">IF(AN106=0,0,bsd(1,AS$27,AO106,$I106,$F106,$G106,$AH106,0.1))</f>
        <v>0</v>
      </c>
      <c r="AS106" s="44" t="n">
        <f aca="false">IF(AN106=0,0,bsd(2,AS$27,AO106,$I106,$F106,$G106,$AH106,0.1))</f>
        <v>0</v>
      </c>
      <c r="AT106" s="44" t="n">
        <f aca="false">IF(AN106=0,0,bsd(AS$28,AS$27,AO106,$I106,$F106,$G106,$AH106,0.1))</f>
        <v>0</v>
      </c>
      <c r="AU106" s="45" t="n">
        <f aca="false">AN106*AR106</f>
        <v>0</v>
      </c>
      <c r="AV106" s="45" t="n">
        <f aca="false">AN106*AS106</f>
        <v>0</v>
      </c>
      <c r="AW106" s="45" t="n">
        <f aca="false">AN106*AT106</f>
        <v>0</v>
      </c>
      <c r="AY106" s="9" t="n">
        <f aca="false">IF($A106&gt;=AZ$25,IF($A106&lt;=AZ$26,$AI106,0),0)</f>
        <v>0</v>
      </c>
      <c r="AZ106" s="9" t="e">
        <f aca="false">BB106/AY106</f>
        <v>#DIV/0!</v>
      </c>
      <c r="BA106" s="1" t="n">
        <f aca="false">AY106*($B106+D$13)</f>
        <v>0</v>
      </c>
      <c r="BB106" s="33" t="n">
        <f aca="false">IF(ISNUMBER(((BA106/AY106)+D$14+$K106)*AY106),((BA106/AY106)+D$14+$K106)*AY106,0)</f>
        <v>0</v>
      </c>
      <c r="BC106" s="44" t="n">
        <f aca="false">IF(AY106=0,0,bsd(1,BD$27,AZ106,$P106,$M106,$N106,$AH106,0.1))</f>
        <v>0</v>
      </c>
      <c r="BD106" s="44" t="n">
        <f aca="false">IF(AY106=0,0,bsd(2,BD$27,AZ106,$P106,$M106,$N106,$AH106,0.1))</f>
        <v>0</v>
      </c>
      <c r="BE106" s="44" t="n">
        <f aca="false">IF(AY106=0,0,bsd(BD$28,BD$27,AZ106,$P106,$M106,$N106,$AH106,0.1))</f>
        <v>0</v>
      </c>
      <c r="BF106" s="45" t="n">
        <f aca="false">AY106*BC106</f>
        <v>0</v>
      </c>
      <c r="BG106" s="45" t="n">
        <f aca="false">AY106*BD106</f>
        <v>0</v>
      </c>
      <c r="BH106" s="45" t="n">
        <f aca="false">AY106*BE106</f>
        <v>0</v>
      </c>
      <c r="BJ106" s="9" t="n">
        <f aca="false">IF($A106&gt;=BK$25,IF($A106&lt;=BK$26,$AI106,0),0)</f>
        <v>0</v>
      </c>
      <c r="BK106" s="9" t="e">
        <f aca="false">BM106/BJ106</f>
        <v>#DIV/0!</v>
      </c>
      <c r="BL106" s="1" t="n">
        <f aca="false">BJ106*($B106+F$13)</f>
        <v>0</v>
      </c>
      <c r="BM106" s="33" t="n">
        <f aca="false">IF(ISNUMBER(((BL106/BJ106)+F$14+$R106)*BJ106),((BL106/BJ106)+F$14+$R106)*BJ106,0)</f>
        <v>0</v>
      </c>
      <c r="BN106" s="44" t="n">
        <f aca="false">IF(BJ106=0,0,bsd(1,BO$27,BK106,$W106,$T106,$U106,$AH106,0.1))</f>
        <v>0</v>
      </c>
      <c r="BO106" s="44" t="n">
        <f aca="false">IF(BJ106=0,0,bsd(2,BO$27,BK106,$W106,$T106,$U106,$AH106,0.1))</f>
        <v>0</v>
      </c>
      <c r="BP106" s="44" t="n">
        <f aca="false">IF(BJ106=0,0,bsd(BO$28,BO$27,BK106,$W106,$T106,$U106,$AH106,0.1))</f>
        <v>0</v>
      </c>
      <c r="BQ106" s="45" t="n">
        <f aca="false">BJ106*BN106</f>
        <v>0</v>
      </c>
      <c r="BR106" s="45" t="n">
        <f aca="false">BJ106*BO106</f>
        <v>0</v>
      </c>
      <c r="BS106" s="45" t="n">
        <f aca="false">BJ106*BP106</f>
        <v>0</v>
      </c>
      <c r="BU106" s="9" t="n">
        <f aca="false">IF($A106&gt;=BV$25,IF($A106&lt;=BV$26,$AI106,0),0)</f>
        <v>0</v>
      </c>
      <c r="BV106" s="9" t="e">
        <f aca="false">BX106/BU106</f>
        <v>#DIV/0!</v>
      </c>
      <c r="BW106" s="1" t="n">
        <f aca="false">BU106*($B106+H$13)</f>
        <v>0</v>
      </c>
      <c r="BX106" s="33" t="n">
        <f aca="false">IF(ISNUMBER(((BW106/BU106)+H$14+$Y106)*BU106),((BW106/BU106)+H$14+$Y106)*BU106,0)</f>
        <v>0</v>
      </c>
      <c r="BY106" s="44" t="n">
        <f aca="false">IF(BU106=0,0,bsd(1,BZ$27,BV106,$AD106,$AA106,$AB106,$AH106,0.1))</f>
        <v>0</v>
      </c>
      <c r="BZ106" s="44" t="n">
        <f aca="false">IF(BU106=0,0,bsd(2,BZ$27,BV106,$AD106,$AA106,$AB106,$AH106,0.1))</f>
        <v>0</v>
      </c>
      <c r="CA106" s="44" t="n">
        <f aca="false">IF(BU106=0,0,bsd(BZ$28,BZ$27,BV106,$AD106,$AA106,$AB106,$AH106,0.1))</f>
        <v>0</v>
      </c>
      <c r="CB106" s="45" t="n">
        <f aca="false">BU106*BY106</f>
        <v>0</v>
      </c>
      <c r="CC106" s="45" t="n">
        <f aca="false">BU106*BZ106</f>
        <v>0</v>
      </c>
      <c r="CD106" s="45" t="n">
        <f aca="false">BU106*CA106</f>
        <v>0</v>
      </c>
    </row>
    <row r="107" customFormat="false" ht="12.75" hidden="false" customHeight="false" outlineLevel="0" collapsed="false">
      <c r="A107" s="48" t="n">
        <f aca="false">DATE(YEAR(A106),MONTH(A106)+1,1)</f>
        <v>39114</v>
      </c>
      <c r="B107" s="40" t="n">
        <f aca="false">VLOOKUP(A107,STRADDLE,5,FALSE())</f>
        <v>3.419</v>
      </c>
      <c r="C107" s="4" t="n">
        <f aca="false">VLOOKUP(A107,STRADDLE,8,FALSE())</f>
        <v>0.23</v>
      </c>
      <c r="D107" s="40" t="n">
        <f aca="false">IF(D$28="nymex",0,VLOOKUP($A107,curvesettle,HLOOKUP(D$28,curvesettle,2,FALSE())))</f>
        <v>1.595</v>
      </c>
      <c r="E107" s="131" t="n">
        <f aca="false">IF(ISNUMBER(VLOOKUP($A107,VOLCURVES,HLOOKUP(D$28,VOLCURVES,2,FALSE()),FALSE())),VLOOKUP($A107,VOLCURVES,HLOOKUP(D$28,VOLCURVES,2,FALSE()),FALSE()),1)</f>
        <v>1.1</v>
      </c>
      <c r="F107" s="136" t="n">
        <f aca="false">IF(D$28="NYMEX",$AG107,$AF107)</f>
        <v>-6815</v>
      </c>
      <c r="G107" s="4" t="e">
        <f aca="false">(($C107+H107)*$E107)+B$15</f>
        <v>#DIV/0!</v>
      </c>
      <c r="H107" s="4" t="e">
        <f aca="false">IF($B$16=1,VLOOKUP($A107,SkewTable,HLOOKUP(ROUND(I107-AO107,1),SkewTable,2,FALSE()),FALSE())/100,0)</f>
        <v>#DIV/0!</v>
      </c>
      <c r="I107" s="41" t="n">
        <f aca="false">IF($B$19=4,$AO107,$B$18)</f>
        <v>12</v>
      </c>
      <c r="K107" s="40" t="n">
        <f aca="false">IF(K$28="nymex",0,VLOOKUP($A107,curvesettle,HLOOKUP(K$28,curvesettle,2,FALSE())))</f>
        <v>-0.0165</v>
      </c>
      <c r="L107" s="131" t="n">
        <f aca="false">IF(ISNUMBER(VLOOKUP($A107,VOLCURVES,HLOOKUP(K$28,VOLCURVES,2,FALSE()),FALSE())),VLOOKUP($A107,VOLCURVES,HLOOKUP(K$28,VOLCURVES,2,FALSE()),FALSE()),1)</f>
        <v>1</v>
      </c>
      <c r="M107" s="136" t="n">
        <f aca="false">IF(K$28="NYMEX",$AG107,$AF107)</f>
        <v>-6815</v>
      </c>
      <c r="N107" s="153" t="e">
        <f aca="false">(($C107+O107)*$L107)+D$15</f>
        <v>#DIV/0!</v>
      </c>
      <c r="O107" s="4" t="e">
        <f aca="false">IF($D$16=1,VLOOKUP($A107,SkewTable,HLOOKUP(ROUND(P107-AZ107,1),SkewTable,2,FALSE()),FALSE())/100,0)</f>
        <v>#DIV/0!</v>
      </c>
      <c r="P107" s="41" t="n">
        <f aca="false">IF($D$19=4,$AZ107,$D$18)</f>
        <v>3.75</v>
      </c>
      <c r="R107" s="40" t="n">
        <f aca="false">IF(R$28="nymex",0,VLOOKUP($A107,curvesettle,HLOOKUP(R$28,curvesettle,2,FALSE())))</f>
        <v>-0.0165</v>
      </c>
      <c r="S107" s="131" t="n">
        <f aca="false">IF(ISNUMBER(VLOOKUP($A107,VOLCURVES,HLOOKUP(R$28,VOLCURVES,2,FALSE()),FALSE())),VLOOKUP($A107,VOLCURVES,HLOOKUP(R$28,VOLCURVES,2,FALSE()),FALSE()),1)</f>
        <v>1</v>
      </c>
      <c r="T107" s="136" t="n">
        <f aca="false">IF(R$28="NYMEX",$AG107,$AF107)</f>
        <v>-6815</v>
      </c>
      <c r="U107" s="153" t="e">
        <f aca="false">(($C107+V107)*$S107)+F$15</f>
        <v>#DIV/0!</v>
      </c>
      <c r="V107" s="4" t="e">
        <f aca="false">IF($F$16=1,VLOOKUP($A107,SkewTable,HLOOKUP(ROUND(W107-BK107,1),SkewTable,2,FALSE()),FALSE())/100,0)</f>
        <v>#DIV/0!</v>
      </c>
      <c r="W107" s="41" t="n">
        <f aca="false">IF($F$19=4,$BK107,$F$18)</f>
        <v>3.5</v>
      </c>
      <c r="X107" s="136"/>
      <c r="Y107" s="40" t="n">
        <f aca="false">IF(Y$28="nymex",0,VLOOKUP($A107,curvesettle,HLOOKUP(Y$28,curvesettle,2,FALSE())))</f>
        <v>-0.26</v>
      </c>
      <c r="Z107" s="131" t="n">
        <f aca="false">IF(ISNUMBER(VLOOKUP($A107,VOLCURVES,HLOOKUP(Y$28,VOLCURVES,2,FALSE()),FALSE())),VLOOKUP($A107,VOLCURVES,HLOOKUP(Y$28,VOLCURVES,2,FALSE()),FALSE()),1)</f>
        <v>1</v>
      </c>
      <c r="AA107" s="136" t="n">
        <f aca="false">IF(Y$28="NYMEX",$AG107,$AF107)</f>
        <v>-6815</v>
      </c>
      <c r="AB107" s="4" t="e">
        <f aca="false">(($C107+AC107)*$Z107)+H$15</f>
        <v>#DIV/0!</v>
      </c>
      <c r="AC107" s="4" t="e">
        <f aca="false">IF($H$16=1,VLOOKUP($A107,SkewTable,HLOOKUP(ROUND(AD107-BV107,1),SkewTable,2,FALSE()),FALSE())/100,0)</f>
        <v>#DIV/0!</v>
      </c>
      <c r="AD107" s="41" t="n">
        <f aca="false">IF($H$19=4,$BV107,$H$18)</f>
        <v>3</v>
      </c>
      <c r="AF107" s="136" t="n">
        <f aca="false">VLOOKUP($A107,expiration,2,FALSE())-$B$2</f>
        <v>-6815</v>
      </c>
      <c r="AG107" s="136" t="n">
        <f aca="false">VLOOKUP($A107,expiration,3,FALSE())-$B$2</f>
        <v>-6818</v>
      </c>
      <c r="AH107" s="4" t="n">
        <f aca="false">VLOOKUP($A107,STRADDLE,12,FALSE())</f>
        <v>0.069092559607751</v>
      </c>
      <c r="AI107" s="43" t="n">
        <f aca="false">A108-A107</f>
        <v>28</v>
      </c>
      <c r="AL107" s="136"/>
      <c r="AM107" s="9"/>
      <c r="AN107" s="9" t="n">
        <f aca="false">IF($A107&gt;=AO$25,IF($A107&lt;=AO$26,$AI107,0),0)</f>
        <v>0</v>
      </c>
      <c r="AO107" s="9" t="e">
        <f aca="false">AQ107/AN107</f>
        <v>#DIV/0!</v>
      </c>
      <c r="AP107" s="1" t="n">
        <f aca="false">AN107*($B107+B$13)</f>
        <v>0</v>
      </c>
      <c r="AQ107" s="33" t="n">
        <f aca="false">IF(ISNUMBER(((AP107/AN107)+B$14+$D107)*AN107),((AP107/AN107)+B$14+$D107)*AN107,0)</f>
        <v>0</v>
      </c>
      <c r="AR107" s="44" t="n">
        <f aca="false">IF(AN107=0,0,bsd(1,AS$27,AO107,$I107,$F107,$G107,$AH107,0.1))</f>
        <v>0</v>
      </c>
      <c r="AS107" s="44" t="n">
        <f aca="false">IF(AN107=0,0,bsd(2,AS$27,AO107,$I107,$F107,$G107,$AH107,0.1))</f>
        <v>0</v>
      </c>
      <c r="AT107" s="44" t="n">
        <f aca="false">IF(AN107=0,0,bsd(AS$28,AS$27,AO107,$I107,$F107,$G107,$AH107,0.1))</f>
        <v>0</v>
      </c>
      <c r="AU107" s="45" t="n">
        <f aca="false">AN107*AR107</f>
        <v>0</v>
      </c>
      <c r="AV107" s="45" t="n">
        <f aca="false">AN107*AS107</f>
        <v>0</v>
      </c>
      <c r="AW107" s="45" t="n">
        <f aca="false">AN107*AT107</f>
        <v>0</v>
      </c>
      <c r="AY107" s="9" t="n">
        <f aca="false">IF($A107&gt;=AZ$25,IF($A107&lt;=AZ$26,$AI107,0),0)</f>
        <v>0</v>
      </c>
      <c r="AZ107" s="9" t="e">
        <f aca="false">BB107/AY107</f>
        <v>#DIV/0!</v>
      </c>
      <c r="BA107" s="1" t="n">
        <f aca="false">AY107*($B107+D$13)</f>
        <v>0</v>
      </c>
      <c r="BB107" s="33" t="n">
        <f aca="false">IF(ISNUMBER(((BA107/AY107)+D$14+$K107)*AY107),((BA107/AY107)+D$14+$K107)*AY107,0)</f>
        <v>0</v>
      </c>
      <c r="BC107" s="44" t="n">
        <f aca="false">IF(AY107=0,0,bsd(1,BD$27,AZ107,$P107,$M107,$N107,$AH107,0.1))</f>
        <v>0</v>
      </c>
      <c r="BD107" s="44" t="n">
        <f aca="false">IF(AY107=0,0,bsd(2,BD$27,AZ107,$P107,$M107,$N107,$AH107,0.1))</f>
        <v>0</v>
      </c>
      <c r="BE107" s="44" t="n">
        <f aca="false">IF(AY107=0,0,bsd(BD$28,BD$27,AZ107,$P107,$M107,$N107,$AH107,0.1))</f>
        <v>0</v>
      </c>
      <c r="BF107" s="45" t="n">
        <f aca="false">AY107*BC107</f>
        <v>0</v>
      </c>
      <c r="BG107" s="45" t="n">
        <f aca="false">AY107*BD107</f>
        <v>0</v>
      </c>
      <c r="BH107" s="45" t="n">
        <f aca="false">AY107*BE107</f>
        <v>0</v>
      </c>
      <c r="BJ107" s="9" t="n">
        <f aca="false">IF($A107&gt;=BK$25,IF($A107&lt;=BK$26,$AI107,0),0)</f>
        <v>0</v>
      </c>
      <c r="BK107" s="9" t="e">
        <f aca="false">BM107/BJ107</f>
        <v>#DIV/0!</v>
      </c>
      <c r="BL107" s="1" t="n">
        <f aca="false">BJ107*($B107+F$13)</f>
        <v>0</v>
      </c>
      <c r="BM107" s="33" t="n">
        <f aca="false">IF(ISNUMBER(((BL107/BJ107)+F$14+$R107)*BJ107),((BL107/BJ107)+F$14+$R107)*BJ107,0)</f>
        <v>0</v>
      </c>
      <c r="BN107" s="44" t="n">
        <f aca="false">IF(BJ107=0,0,bsd(1,BO$27,BK107,$W107,$T107,$U107,$AH107,0.1))</f>
        <v>0</v>
      </c>
      <c r="BO107" s="44" t="n">
        <f aca="false">IF(BJ107=0,0,bsd(2,BO$27,BK107,$W107,$T107,$U107,$AH107,0.1))</f>
        <v>0</v>
      </c>
      <c r="BP107" s="44" t="n">
        <f aca="false">IF(BJ107=0,0,bsd(BO$28,BO$27,BK107,$W107,$T107,$U107,$AH107,0.1))</f>
        <v>0</v>
      </c>
      <c r="BQ107" s="45" t="n">
        <f aca="false">BJ107*BN107</f>
        <v>0</v>
      </c>
      <c r="BR107" s="45" t="n">
        <f aca="false">BJ107*BO107</f>
        <v>0</v>
      </c>
      <c r="BS107" s="45" t="n">
        <f aca="false">BJ107*BP107</f>
        <v>0</v>
      </c>
      <c r="BU107" s="9" t="n">
        <f aca="false">IF($A107&gt;=BV$25,IF($A107&lt;=BV$26,$AI107,0),0)</f>
        <v>0</v>
      </c>
      <c r="BV107" s="9" t="e">
        <f aca="false">BX107/BU107</f>
        <v>#DIV/0!</v>
      </c>
      <c r="BW107" s="1" t="n">
        <f aca="false">BU107*($B107+H$13)</f>
        <v>0</v>
      </c>
      <c r="BX107" s="33" t="n">
        <f aca="false">IF(ISNUMBER(((BW107/BU107)+H$14+$Y107)*BU107),((BW107/BU107)+H$14+$Y107)*BU107,0)</f>
        <v>0</v>
      </c>
      <c r="BY107" s="44" t="n">
        <f aca="false">IF(BU107=0,0,bsd(1,BZ$27,BV107,$AD107,$AA107,$AB107,$AH107,0.1))</f>
        <v>0</v>
      </c>
      <c r="BZ107" s="44" t="n">
        <f aca="false">IF(BU107=0,0,bsd(2,BZ$27,BV107,$AD107,$AA107,$AB107,$AH107,0.1))</f>
        <v>0</v>
      </c>
      <c r="CA107" s="44" t="n">
        <f aca="false">IF(BU107=0,0,bsd(BZ$28,BZ$27,BV107,$AD107,$AA107,$AB107,$AH107,0.1))</f>
        <v>0</v>
      </c>
      <c r="CB107" s="45" t="n">
        <f aca="false">BU107*BY107</f>
        <v>0</v>
      </c>
      <c r="CC107" s="45" t="n">
        <f aca="false">BU107*BZ107</f>
        <v>0</v>
      </c>
      <c r="CD107" s="45" t="n">
        <f aca="false">BU107*CA107</f>
        <v>0</v>
      </c>
    </row>
    <row r="108" customFormat="false" ht="12.75" hidden="false" customHeight="false" outlineLevel="0" collapsed="false">
      <c r="A108" s="48" t="n">
        <f aca="false">DATE(YEAR(A107),MONTH(A107)+1,1)</f>
        <v>39142</v>
      </c>
      <c r="B108" s="40" t="n">
        <f aca="false">VLOOKUP(A108,STRADDLE,5,FALSE())</f>
        <v>3.248</v>
      </c>
      <c r="C108" s="4" t="n">
        <f aca="false">VLOOKUP(A108,STRADDLE,8,FALSE())</f>
        <v>0.22</v>
      </c>
      <c r="D108" s="40" t="n">
        <f aca="false">IF(D$28="nymex",0,VLOOKUP($A108,curvesettle,HLOOKUP(D$28,curvesettle,2,FALSE())))</f>
        <v>0.965</v>
      </c>
      <c r="E108" s="131" t="n">
        <f aca="false">IF(ISNUMBER(VLOOKUP($A108,VOLCURVES,HLOOKUP(D$28,VOLCURVES,2,FALSE()),FALSE())),VLOOKUP($A108,VOLCURVES,HLOOKUP(D$28,VOLCURVES,2,FALSE()),FALSE()),1)</f>
        <v>1.1</v>
      </c>
      <c r="F108" s="136" t="n">
        <f aca="false">IF(D$28="NYMEX",$AG108,$AF108)</f>
        <v>-6787</v>
      </c>
      <c r="G108" s="4" t="e">
        <f aca="false">(($C108+H108)*$E108)+B$15</f>
        <v>#DIV/0!</v>
      </c>
      <c r="H108" s="4" t="e">
        <f aca="false">IF($B$16=1,VLOOKUP($A108,SkewTable,HLOOKUP(ROUND(I108-AO108,1),SkewTable,2,FALSE()),FALSE())/100,0)</f>
        <v>#DIV/0!</v>
      </c>
      <c r="I108" s="41" t="n">
        <f aca="false">IF($B$19=4,$AO108,$B$18)</f>
        <v>12</v>
      </c>
      <c r="K108" s="40" t="n">
        <f aca="false">IF(K$28="nymex",0,VLOOKUP($A108,curvesettle,HLOOKUP(K$28,curvesettle,2,FALSE())))</f>
        <v>-0.0165</v>
      </c>
      <c r="L108" s="131" t="n">
        <f aca="false">IF(ISNUMBER(VLOOKUP($A108,VOLCURVES,HLOOKUP(K$28,VOLCURVES,2,FALSE()),FALSE())),VLOOKUP($A108,VOLCURVES,HLOOKUP(K$28,VOLCURVES,2,FALSE()),FALSE()),1)</f>
        <v>1</v>
      </c>
      <c r="M108" s="136" t="n">
        <f aca="false">IF(K$28="NYMEX",$AG108,$AF108)</f>
        <v>-6787</v>
      </c>
      <c r="N108" s="153" t="e">
        <f aca="false">(($C108+O108)*$L108)+D$15</f>
        <v>#DIV/0!</v>
      </c>
      <c r="O108" s="4" t="e">
        <f aca="false">IF($D$16=1,VLOOKUP($A108,SkewTable,HLOOKUP(ROUND(P108-AZ108,1),SkewTable,2,FALSE()),FALSE())/100,0)</f>
        <v>#DIV/0!</v>
      </c>
      <c r="P108" s="41" t="n">
        <f aca="false">IF($D$19=4,$AZ108,$D$18)</f>
        <v>3.75</v>
      </c>
      <c r="R108" s="40" t="n">
        <f aca="false">IF(R$28="nymex",0,VLOOKUP($A108,curvesettle,HLOOKUP(R$28,curvesettle,2,FALSE())))</f>
        <v>-0.0165</v>
      </c>
      <c r="S108" s="131" t="n">
        <f aca="false">IF(ISNUMBER(VLOOKUP($A108,VOLCURVES,HLOOKUP(R$28,VOLCURVES,2,FALSE()),FALSE())),VLOOKUP($A108,VOLCURVES,HLOOKUP(R$28,VOLCURVES,2,FALSE()),FALSE()),1)</f>
        <v>1</v>
      </c>
      <c r="T108" s="136" t="n">
        <f aca="false">IF(R$28="NYMEX",$AG108,$AF108)</f>
        <v>-6787</v>
      </c>
      <c r="U108" s="153" t="e">
        <f aca="false">(($C108+V108)*$S108)+F$15</f>
        <v>#DIV/0!</v>
      </c>
      <c r="V108" s="4" t="e">
        <f aca="false">IF($F$16=1,VLOOKUP($A108,SkewTable,HLOOKUP(ROUND(W108-BK108,1),SkewTable,2,FALSE()),FALSE())/100,0)</f>
        <v>#DIV/0!</v>
      </c>
      <c r="W108" s="41" t="n">
        <f aca="false">IF($F$19=4,$BK108,$F$18)</f>
        <v>3.5</v>
      </c>
      <c r="X108" s="136"/>
      <c r="Y108" s="40" t="n">
        <f aca="false">IF(Y$28="nymex",0,VLOOKUP($A108,curvesettle,HLOOKUP(Y$28,curvesettle,2,FALSE())))</f>
        <v>-0.26</v>
      </c>
      <c r="Z108" s="131" t="n">
        <f aca="false">IF(ISNUMBER(VLOOKUP($A108,VOLCURVES,HLOOKUP(Y$28,VOLCURVES,2,FALSE()),FALSE())),VLOOKUP($A108,VOLCURVES,HLOOKUP(Y$28,VOLCURVES,2,FALSE()),FALSE()),1)</f>
        <v>1</v>
      </c>
      <c r="AA108" s="136" t="n">
        <f aca="false">IF(Y$28="NYMEX",$AG108,$AF108)</f>
        <v>-6787</v>
      </c>
      <c r="AB108" s="4" t="e">
        <f aca="false">(($C108+AC108)*$Z108)+H$15</f>
        <v>#DIV/0!</v>
      </c>
      <c r="AC108" s="4" t="e">
        <f aca="false">IF($H$16=1,VLOOKUP($A108,SkewTable,HLOOKUP(ROUND(AD108-BV108,1),SkewTable,2,FALSE()),FALSE())/100,0)</f>
        <v>#DIV/0!</v>
      </c>
      <c r="AD108" s="41" t="n">
        <f aca="false">IF($H$19=4,$BV108,$H$18)</f>
        <v>3</v>
      </c>
      <c r="AF108" s="136" t="n">
        <f aca="false">VLOOKUP($A108,expiration,2,FALSE())-$B$2</f>
        <v>-6787</v>
      </c>
      <c r="AG108" s="136" t="n">
        <f aca="false">VLOOKUP($A108,expiration,3,FALSE())-$B$2</f>
        <v>-6790</v>
      </c>
      <c r="AH108" s="4" t="n">
        <f aca="false">VLOOKUP($A108,STRADDLE,12,FALSE())</f>
        <v>0.069138939704325</v>
      </c>
      <c r="AI108" s="43" t="n">
        <f aca="false">A109-A108</f>
        <v>31</v>
      </c>
      <c r="AL108" s="136"/>
      <c r="AM108" s="9"/>
      <c r="AN108" s="9" t="n">
        <f aca="false">IF($A108&gt;=AO$25,IF($A108&lt;=AO$26,$AI108,0),0)</f>
        <v>0</v>
      </c>
      <c r="AO108" s="9" t="e">
        <f aca="false">AQ108/AN108</f>
        <v>#DIV/0!</v>
      </c>
      <c r="AP108" s="1" t="n">
        <f aca="false">AN108*($B108+B$13)</f>
        <v>0</v>
      </c>
      <c r="AQ108" s="33" t="n">
        <f aca="false">IF(ISNUMBER(((AP108/AN108)+B$14+$D108)*AN108),((AP108/AN108)+B$14+$D108)*AN108,0)</f>
        <v>0</v>
      </c>
      <c r="AR108" s="44" t="n">
        <f aca="false">IF(AN108=0,0,bsd(1,AS$27,AO108,$I108,$F108,$G108,$AH108,0.1))</f>
        <v>0</v>
      </c>
      <c r="AS108" s="44" t="n">
        <f aca="false">IF(AN108=0,0,bsd(2,AS$27,AO108,$I108,$F108,$G108,$AH108,0.1))</f>
        <v>0</v>
      </c>
      <c r="AT108" s="44" t="n">
        <f aca="false">IF(AN108=0,0,bsd(AS$28,AS$27,AO108,$I108,$F108,$G108,$AH108,0.1))</f>
        <v>0</v>
      </c>
      <c r="AU108" s="45" t="n">
        <f aca="false">AN108*AR108</f>
        <v>0</v>
      </c>
      <c r="AV108" s="45" t="n">
        <f aca="false">AN108*AS108</f>
        <v>0</v>
      </c>
      <c r="AW108" s="45" t="n">
        <f aca="false">AN108*AT108</f>
        <v>0</v>
      </c>
      <c r="AY108" s="9" t="n">
        <f aca="false">IF($A108&gt;=AZ$25,IF($A108&lt;=AZ$26,$AI108,0),0)</f>
        <v>0</v>
      </c>
      <c r="AZ108" s="9" t="e">
        <f aca="false">BB108/AY108</f>
        <v>#DIV/0!</v>
      </c>
      <c r="BA108" s="1" t="n">
        <f aca="false">AY108*($B108+D$13)</f>
        <v>0</v>
      </c>
      <c r="BB108" s="33" t="n">
        <f aca="false">IF(ISNUMBER(((BA108/AY108)+D$14+$K108)*AY108),((BA108/AY108)+D$14+$K108)*AY108,0)</f>
        <v>0</v>
      </c>
      <c r="BC108" s="44" t="n">
        <f aca="false">IF(AY108=0,0,bsd(1,BD$27,AZ108,$P108,$M108,$N108,$AH108,0.1))</f>
        <v>0</v>
      </c>
      <c r="BD108" s="44" t="n">
        <f aca="false">IF(AY108=0,0,bsd(2,BD$27,AZ108,$P108,$M108,$N108,$AH108,0.1))</f>
        <v>0</v>
      </c>
      <c r="BE108" s="44" t="n">
        <f aca="false">IF(AY108=0,0,bsd(BD$28,BD$27,AZ108,$P108,$M108,$N108,$AH108,0.1))</f>
        <v>0</v>
      </c>
      <c r="BF108" s="45" t="n">
        <f aca="false">AY108*BC108</f>
        <v>0</v>
      </c>
      <c r="BG108" s="45" t="n">
        <f aca="false">AY108*BD108</f>
        <v>0</v>
      </c>
      <c r="BH108" s="45" t="n">
        <f aca="false">AY108*BE108</f>
        <v>0</v>
      </c>
      <c r="BJ108" s="9" t="n">
        <f aca="false">IF($A108&gt;=BK$25,IF($A108&lt;=BK$26,$AI108,0),0)</f>
        <v>0</v>
      </c>
      <c r="BK108" s="9" t="e">
        <f aca="false">BM108/BJ108</f>
        <v>#DIV/0!</v>
      </c>
      <c r="BL108" s="1" t="n">
        <f aca="false">BJ108*($B108+F$13)</f>
        <v>0</v>
      </c>
      <c r="BM108" s="33" t="n">
        <f aca="false">IF(ISNUMBER(((BL108/BJ108)+F$14+$R108)*BJ108),((BL108/BJ108)+F$14+$R108)*BJ108,0)</f>
        <v>0</v>
      </c>
      <c r="BN108" s="44" t="n">
        <f aca="false">IF(BJ108=0,0,bsd(1,BO$27,BK108,$W108,$T108,$U108,$AH108,0.1))</f>
        <v>0</v>
      </c>
      <c r="BO108" s="44" t="n">
        <f aca="false">IF(BJ108=0,0,bsd(2,BO$27,BK108,$W108,$T108,$U108,$AH108,0.1))</f>
        <v>0</v>
      </c>
      <c r="BP108" s="44" t="n">
        <f aca="false">IF(BJ108=0,0,bsd(BO$28,BO$27,BK108,$W108,$T108,$U108,$AH108,0.1))</f>
        <v>0</v>
      </c>
      <c r="BQ108" s="45" t="n">
        <f aca="false">BJ108*BN108</f>
        <v>0</v>
      </c>
      <c r="BR108" s="45" t="n">
        <f aca="false">BJ108*BO108</f>
        <v>0</v>
      </c>
      <c r="BS108" s="45" t="n">
        <f aca="false">BJ108*BP108</f>
        <v>0</v>
      </c>
      <c r="BU108" s="9" t="n">
        <f aca="false">IF($A108&gt;=BV$25,IF($A108&lt;=BV$26,$AI108,0),0)</f>
        <v>0</v>
      </c>
      <c r="BV108" s="9" t="e">
        <f aca="false">BX108/BU108</f>
        <v>#DIV/0!</v>
      </c>
      <c r="BW108" s="1" t="n">
        <f aca="false">BU108*($B108+H$13)</f>
        <v>0</v>
      </c>
      <c r="BX108" s="33" t="n">
        <f aca="false">IF(ISNUMBER(((BW108/BU108)+H$14+$Y108)*BU108),((BW108/BU108)+H$14+$Y108)*BU108,0)</f>
        <v>0</v>
      </c>
      <c r="BY108" s="44" t="n">
        <f aca="false">IF(BU108=0,0,bsd(1,BZ$27,BV108,$AD108,$AA108,$AB108,$AH108,0.1))</f>
        <v>0</v>
      </c>
      <c r="BZ108" s="44" t="n">
        <f aca="false">IF(BU108=0,0,bsd(2,BZ$27,BV108,$AD108,$AA108,$AB108,$AH108,0.1))</f>
        <v>0</v>
      </c>
      <c r="CA108" s="44" t="n">
        <f aca="false">IF(BU108=0,0,bsd(BZ$28,BZ$27,BV108,$AD108,$AA108,$AB108,$AH108,0.1))</f>
        <v>0</v>
      </c>
      <c r="CB108" s="45" t="n">
        <f aca="false">BU108*BY108</f>
        <v>0</v>
      </c>
      <c r="CC108" s="45" t="n">
        <f aca="false">BU108*BZ108</f>
        <v>0</v>
      </c>
      <c r="CD108" s="45" t="n">
        <f aca="false">BU108*CA108</f>
        <v>0</v>
      </c>
    </row>
    <row r="109" customFormat="false" ht="12.75" hidden="false" customHeight="false" outlineLevel="0" collapsed="false">
      <c r="A109" s="48" t="n">
        <f aca="false">DATE(YEAR(A108),MONTH(A108)+1,1)</f>
        <v>39173</v>
      </c>
      <c r="B109" s="40" t="n">
        <f aca="false">VLOOKUP(A109,STRADDLE,5,FALSE())</f>
        <v>3.07</v>
      </c>
      <c r="C109" s="4" t="n">
        <f aca="false">VLOOKUP(A109,STRADDLE,8,FALSE())</f>
        <v>0.22</v>
      </c>
      <c r="D109" s="40" t="n">
        <f aca="false">IF(D$28="nymex",0,VLOOKUP($A109,curvesettle,HLOOKUP(D$28,curvesettle,2,FALSE())))</f>
        <v>0.45</v>
      </c>
      <c r="E109" s="131" t="n">
        <f aca="false">IF(ISNUMBER(VLOOKUP($A109,VOLCURVES,HLOOKUP(D$28,VOLCURVES,2,FALSE()),FALSE())),VLOOKUP($A109,VOLCURVES,HLOOKUP(D$28,VOLCURVES,2,FALSE()),FALSE()),1)</f>
        <v>0.98</v>
      </c>
      <c r="F109" s="136" t="n">
        <f aca="false">IF(D$28="NYMEX",$AG109,$AF109)</f>
        <v>-6757</v>
      </c>
      <c r="G109" s="4" t="e">
        <f aca="false">(($C109+H109)*$E109)+B$15</f>
        <v>#DIV/0!</v>
      </c>
      <c r="H109" s="4" t="e">
        <f aca="false">IF($B$16=1,VLOOKUP($A109,SkewTable,HLOOKUP(ROUND(I109-AO109,1),SkewTable,2,FALSE()),FALSE())/100,0)</f>
        <v>#DIV/0!</v>
      </c>
      <c r="I109" s="41" t="n">
        <f aca="false">IF($B$19=4,$AO109,$B$18)</f>
        <v>12</v>
      </c>
      <c r="K109" s="40" t="n">
        <f aca="false">IF(K$28="nymex",0,VLOOKUP($A109,curvesettle,HLOOKUP(K$28,curvesettle,2,FALSE())))</f>
        <v>-0.019</v>
      </c>
      <c r="L109" s="131" t="n">
        <f aca="false">IF(ISNUMBER(VLOOKUP($A109,VOLCURVES,HLOOKUP(K$28,VOLCURVES,2,FALSE()),FALSE())),VLOOKUP($A109,VOLCURVES,HLOOKUP(K$28,VOLCURVES,2,FALSE()),FALSE()),1)</f>
        <v>1</v>
      </c>
      <c r="M109" s="136" t="n">
        <f aca="false">IF(K$28="NYMEX",$AG109,$AF109)</f>
        <v>-6757</v>
      </c>
      <c r="N109" s="153" t="e">
        <f aca="false">(($C109+O109)*$L109)+D$15</f>
        <v>#DIV/0!</v>
      </c>
      <c r="O109" s="4" t="e">
        <f aca="false">IF($D$16=1,VLOOKUP($A109,SkewTable,HLOOKUP(ROUND(P109-AZ109,1),SkewTable,2,FALSE()),FALSE())/100,0)</f>
        <v>#DIV/0!</v>
      </c>
      <c r="P109" s="41" t="n">
        <f aca="false">IF($D$19=4,$AZ109,$D$18)</f>
        <v>3.75</v>
      </c>
      <c r="R109" s="40" t="n">
        <f aca="false">IF(R$28="nymex",0,VLOOKUP($A109,curvesettle,HLOOKUP(R$28,curvesettle,2,FALSE())))</f>
        <v>-0.019</v>
      </c>
      <c r="S109" s="131" t="n">
        <f aca="false">IF(ISNUMBER(VLOOKUP($A109,VOLCURVES,HLOOKUP(R$28,VOLCURVES,2,FALSE()),FALSE())),VLOOKUP($A109,VOLCURVES,HLOOKUP(R$28,VOLCURVES,2,FALSE()),FALSE()),1)</f>
        <v>1</v>
      </c>
      <c r="T109" s="136" t="n">
        <f aca="false">IF(R$28="NYMEX",$AG109,$AF109)</f>
        <v>-6757</v>
      </c>
      <c r="U109" s="153" t="e">
        <f aca="false">(($C109+V109)*$S109)+F$15</f>
        <v>#DIV/0!</v>
      </c>
      <c r="V109" s="4" t="e">
        <f aca="false">IF($F$16=1,VLOOKUP($A109,SkewTable,HLOOKUP(ROUND(W109-BK109,1),SkewTable,2,FALSE()),FALSE())/100,0)</f>
        <v>#DIV/0!</v>
      </c>
      <c r="W109" s="41" t="n">
        <f aca="false">IF($F$19=4,$BK109,$F$18)</f>
        <v>3.5</v>
      </c>
      <c r="X109" s="136"/>
      <c r="Y109" s="40" t="n">
        <f aca="false">IF(Y$28="nymex",0,VLOOKUP($A109,curvesettle,HLOOKUP(Y$28,curvesettle,2,FALSE())))</f>
        <v>-0.335</v>
      </c>
      <c r="Z109" s="131" t="n">
        <f aca="false">IF(ISNUMBER(VLOOKUP($A109,VOLCURVES,HLOOKUP(Y$28,VOLCURVES,2,FALSE()),FALSE())),VLOOKUP($A109,VOLCURVES,HLOOKUP(Y$28,VOLCURVES,2,FALSE()),FALSE()),1)</f>
        <v>1</v>
      </c>
      <c r="AA109" s="136" t="n">
        <f aca="false">IF(Y$28="NYMEX",$AG109,$AF109)</f>
        <v>-6757</v>
      </c>
      <c r="AB109" s="4" t="e">
        <f aca="false">(($C109+AC109)*$Z109)+H$15</f>
        <v>#DIV/0!</v>
      </c>
      <c r="AC109" s="4" t="e">
        <f aca="false">IF($H$16=1,VLOOKUP($A109,SkewTable,HLOOKUP(ROUND(AD109-BV109,1),SkewTable,2,FALSE()),FALSE())/100,0)</f>
        <v>#DIV/0!</v>
      </c>
      <c r="AD109" s="41" t="n">
        <f aca="false">IF($H$19=4,$BV109,$H$18)</f>
        <v>3</v>
      </c>
      <c r="AF109" s="136" t="n">
        <f aca="false">VLOOKUP($A109,expiration,2,FALSE())-$B$2</f>
        <v>-6757</v>
      </c>
      <c r="AG109" s="136" t="n">
        <f aca="false">VLOOKUP($A109,expiration,3,FALSE())-$B$2</f>
        <v>-6758</v>
      </c>
      <c r="AH109" s="4" t="n">
        <f aca="false">VLOOKUP($A109,STRADDLE,12,FALSE())</f>
        <v>0.069190289097792</v>
      </c>
      <c r="AI109" s="43" t="n">
        <f aca="false">A110-A109</f>
        <v>30</v>
      </c>
      <c r="AL109" s="136"/>
      <c r="AM109" s="9"/>
      <c r="AN109" s="9" t="n">
        <f aca="false">IF($A109&gt;=AO$25,IF($A109&lt;=AO$26,$AI109,0),0)</f>
        <v>0</v>
      </c>
      <c r="AO109" s="9" t="e">
        <f aca="false">AQ109/AN109</f>
        <v>#DIV/0!</v>
      </c>
      <c r="AP109" s="1" t="n">
        <f aca="false">AN109*($B109+B$13)</f>
        <v>0</v>
      </c>
      <c r="AQ109" s="33" t="n">
        <f aca="false">IF(ISNUMBER(((AP109/AN109)+B$14+$D109)*AN109),((AP109/AN109)+B$14+$D109)*AN109,0)</f>
        <v>0</v>
      </c>
      <c r="AR109" s="44" t="n">
        <f aca="false">IF(AN109=0,0,bsd(1,AS$27,AO109,$I109,$F109,$G109,$AH109,0.1))</f>
        <v>0</v>
      </c>
      <c r="AS109" s="44" t="n">
        <f aca="false">IF(AN109=0,0,bsd(2,AS$27,AO109,$I109,$F109,$G109,$AH109,0.1))</f>
        <v>0</v>
      </c>
      <c r="AT109" s="44" t="n">
        <f aca="false">IF(AN109=0,0,bsd(AS$28,AS$27,AO109,$I109,$F109,$G109,$AH109,0.1))</f>
        <v>0</v>
      </c>
      <c r="AU109" s="45" t="n">
        <f aca="false">AN109*AR109</f>
        <v>0</v>
      </c>
      <c r="AV109" s="45" t="n">
        <f aca="false">AN109*AS109</f>
        <v>0</v>
      </c>
      <c r="AW109" s="45" t="n">
        <f aca="false">AN109*AT109</f>
        <v>0</v>
      </c>
      <c r="AY109" s="9" t="n">
        <f aca="false">IF($A109&gt;=AZ$25,IF($A109&lt;=AZ$26,$AI109,0),0)</f>
        <v>0</v>
      </c>
      <c r="AZ109" s="9" t="e">
        <f aca="false">BB109/AY109</f>
        <v>#DIV/0!</v>
      </c>
      <c r="BA109" s="1" t="n">
        <f aca="false">AY109*($B109+D$13)</f>
        <v>0</v>
      </c>
      <c r="BB109" s="33" t="n">
        <f aca="false">IF(ISNUMBER(((BA109/AY109)+D$14+$K109)*AY109),((BA109/AY109)+D$14+$K109)*AY109,0)</f>
        <v>0</v>
      </c>
      <c r="BC109" s="44" t="n">
        <f aca="false">IF(AY109=0,0,bsd(1,BD$27,AZ109,$P109,$M109,$N109,$AH109,0.1))</f>
        <v>0</v>
      </c>
      <c r="BD109" s="44" t="n">
        <f aca="false">IF(AY109=0,0,bsd(2,BD$27,AZ109,$P109,$M109,$N109,$AH109,0.1))</f>
        <v>0</v>
      </c>
      <c r="BE109" s="44" t="n">
        <f aca="false">IF(AY109=0,0,bsd(BD$28,BD$27,AZ109,$P109,$M109,$N109,$AH109,0.1))</f>
        <v>0</v>
      </c>
      <c r="BF109" s="45" t="n">
        <f aca="false">AY109*BC109</f>
        <v>0</v>
      </c>
      <c r="BG109" s="45" t="n">
        <f aca="false">AY109*BD109</f>
        <v>0</v>
      </c>
      <c r="BH109" s="45" t="n">
        <f aca="false">AY109*BE109</f>
        <v>0</v>
      </c>
      <c r="BJ109" s="9" t="n">
        <f aca="false">IF($A109&gt;=BK$25,IF($A109&lt;=BK$26,$AI109,0),0)</f>
        <v>0</v>
      </c>
      <c r="BK109" s="9" t="e">
        <f aca="false">BM109/BJ109</f>
        <v>#DIV/0!</v>
      </c>
      <c r="BL109" s="1" t="n">
        <f aca="false">BJ109*($B109+F$13)</f>
        <v>0</v>
      </c>
      <c r="BM109" s="33" t="n">
        <f aca="false">IF(ISNUMBER(((BL109/BJ109)+F$14+$R109)*BJ109),((BL109/BJ109)+F$14+$R109)*BJ109,0)</f>
        <v>0</v>
      </c>
      <c r="BN109" s="44" t="n">
        <f aca="false">IF(BJ109=0,0,bsd(1,BO$27,BK109,$W109,$T109,$U109,$AH109,0.1))</f>
        <v>0</v>
      </c>
      <c r="BO109" s="44" t="n">
        <f aca="false">IF(BJ109=0,0,bsd(2,BO$27,BK109,$W109,$T109,$U109,$AH109,0.1))</f>
        <v>0</v>
      </c>
      <c r="BP109" s="44" t="n">
        <f aca="false">IF(BJ109=0,0,bsd(BO$28,BO$27,BK109,$W109,$T109,$U109,$AH109,0.1))</f>
        <v>0</v>
      </c>
      <c r="BQ109" s="45" t="n">
        <f aca="false">BJ109*BN109</f>
        <v>0</v>
      </c>
      <c r="BR109" s="45" t="n">
        <f aca="false">BJ109*BO109</f>
        <v>0</v>
      </c>
      <c r="BS109" s="45" t="n">
        <f aca="false">BJ109*BP109</f>
        <v>0</v>
      </c>
      <c r="BU109" s="9" t="n">
        <f aca="false">IF($A109&gt;=BV$25,IF($A109&lt;=BV$26,$AI109,0),0)</f>
        <v>0</v>
      </c>
      <c r="BV109" s="9" t="e">
        <f aca="false">BX109/BU109</f>
        <v>#DIV/0!</v>
      </c>
      <c r="BW109" s="1" t="n">
        <f aca="false">BU109*($B109+H$13)</f>
        <v>0</v>
      </c>
      <c r="BX109" s="33" t="n">
        <f aca="false">IF(ISNUMBER(((BW109/BU109)+H$14+$Y109)*BU109),((BW109/BU109)+H$14+$Y109)*BU109,0)</f>
        <v>0</v>
      </c>
      <c r="BY109" s="44" t="n">
        <f aca="false">IF(BU109=0,0,bsd(1,BZ$27,BV109,$AD109,$AA109,$AB109,$AH109,0.1))</f>
        <v>0</v>
      </c>
      <c r="BZ109" s="44" t="n">
        <f aca="false">IF(BU109=0,0,bsd(2,BZ$27,BV109,$AD109,$AA109,$AB109,$AH109,0.1))</f>
        <v>0</v>
      </c>
      <c r="CA109" s="44" t="n">
        <f aca="false">IF(BU109=0,0,bsd(BZ$28,BZ$27,BV109,$AD109,$AA109,$AB109,$AH109,0.1))</f>
        <v>0</v>
      </c>
      <c r="CB109" s="45" t="n">
        <f aca="false">BU109*BY109</f>
        <v>0</v>
      </c>
      <c r="CC109" s="45" t="n">
        <f aca="false">BU109*BZ109</f>
        <v>0</v>
      </c>
      <c r="CD109" s="45" t="n">
        <f aca="false">BU109*CA109</f>
        <v>0</v>
      </c>
    </row>
    <row r="110" customFormat="false" ht="12.75" hidden="false" customHeight="false" outlineLevel="0" collapsed="false">
      <c r="A110" s="48" t="n">
        <f aca="false">DATE(YEAR(A109),MONTH(A109)+1,1)</f>
        <v>39203</v>
      </c>
      <c r="B110" s="40" t="n">
        <f aca="false">VLOOKUP(A110,STRADDLE,5,FALSE())</f>
        <v>3.024</v>
      </c>
      <c r="C110" s="4" t="n">
        <f aca="false">VLOOKUP(A110,STRADDLE,8,FALSE())</f>
        <v>0.22</v>
      </c>
      <c r="D110" s="40" t="n">
        <f aca="false">IF(D$28="nymex",0,VLOOKUP($A110,curvesettle,HLOOKUP(D$28,curvesettle,2,FALSE())))</f>
        <v>0.405</v>
      </c>
      <c r="E110" s="131" t="n">
        <f aca="false">IF(ISNUMBER(VLOOKUP($A110,VOLCURVES,HLOOKUP(D$28,VOLCURVES,2,FALSE()),FALSE())),VLOOKUP($A110,VOLCURVES,HLOOKUP(D$28,VOLCURVES,2,FALSE()),FALSE()),1)</f>
        <v>0.98</v>
      </c>
      <c r="F110" s="136" t="n">
        <f aca="false">IF(D$28="NYMEX",$AG110,$AF110)</f>
        <v>-6728</v>
      </c>
      <c r="G110" s="4" t="e">
        <f aca="false">(($C110+H110)*$E110)+B$15</f>
        <v>#DIV/0!</v>
      </c>
      <c r="H110" s="4" t="e">
        <f aca="false">IF($B$16=1,VLOOKUP($A110,SkewTable,HLOOKUP(ROUND(I110-AO110,1),SkewTable,2,FALSE()),FALSE())/100,0)</f>
        <v>#DIV/0!</v>
      </c>
      <c r="I110" s="41" t="n">
        <f aca="false">IF($B$19=4,$AO110,$B$18)</f>
        <v>12</v>
      </c>
      <c r="K110" s="40" t="n">
        <f aca="false">IF(K$28="nymex",0,VLOOKUP($A110,curvesettle,HLOOKUP(K$28,curvesettle,2,FALSE())))</f>
        <v>-0.019</v>
      </c>
      <c r="L110" s="131" t="n">
        <f aca="false">IF(ISNUMBER(VLOOKUP($A110,VOLCURVES,HLOOKUP(K$28,VOLCURVES,2,FALSE()),FALSE())),VLOOKUP($A110,VOLCURVES,HLOOKUP(K$28,VOLCURVES,2,FALSE()),FALSE()),1)</f>
        <v>1</v>
      </c>
      <c r="M110" s="136" t="n">
        <f aca="false">IF(K$28="NYMEX",$AG110,$AF110)</f>
        <v>-6728</v>
      </c>
      <c r="N110" s="153" t="e">
        <f aca="false">(($C110+O110)*$L110)+D$15</f>
        <v>#DIV/0!</v>
      </c>
      <c r="O110" s="4" t="e">
        <f aca="false">IF($D$16=1,VLOOKUP($A110,SkewTable,HLOOKUP(ROUND(P110-AZ110,1),SkewTable,2,FALSE()),FALSE())/100,0)</f>
        <v>#DIV/0!</v>
      </c>
      <c r="P110" s="41" t="n">
        <f aca="false">IF($D$19=4,$AZ110,$D$18)</f>
        <v>3.75</v>
      </c>
      <c r="R110" s="40" t="n">
        <f aca="false">IF(R$28="nymex",0,VLOOKUP($A110,curvesettle,HLOOKUP(R$28,curvesettle,2,FALSE())))</f>
        <v>-0.019</v>
      </c>
      <c r="S110" s="131" t="n">
        <f aca="false">IF(ISNUMBER(VLOOKUP($A110,VOLCURVES,HLOOKUP(R$28,VOLCURVES,2,FALSE()),FALSE())),VLOOKUP($A110,VOLCURVES,HLOOKUP(R$28,VOLCURVES,2,FALSE()),FALSE()),1)</f>
        <v>1</v>
      </c>
      <c r="T110" s="136" t="n">
        <f aca="false">IF(R$28="NYMEX",$AG110,$AF110)</f>
        <v>-6728</v>
      </c>
      <c r="U110" s="153" t="e">
        <f aca="false">(($C110+V110)*$S110)+F$15</f>
        <v>#DIV/0!</v>
      </c>
      <c r="V110" s="4" t="e">
        <f aca="false">IF($F$16=1,VLOOKUP($A110,SkewTable,HLOOKUP(ROUND(W110-BK110,1),SkewTable,2,FALSE()),FALSE())/100,0)</f>
        <v>#DIV/0!</v>
      </c>
      <c r="W110" s="41" t="n">
        <f aca="false">IF($F$19=4,$BK110,$F$18)</f>
        <v>3.5</v>
      </c>
      <c r="X110" s="136"/>
      <c r="Y110" s="40" t="n">
        <f aca="false">IF(Y$28="nymex",0,VLOOKUP($A110,curvesettle,HLOOKUP(Y$28,curvesettle,2,FALSE())))</f>
        <v>-0.335</v>
      </c>
      <c r="Z110" s="131" t="n">
        <f aca="false">IF(ISNUMBER(VLOOKUP($A110,VOLCURVES,HLOOKUP(Y$28,VOLCURVES,2,FALSE()),FALSE())),VLOOKUP($A110,VOLCURVES,HLOOKUP(Y$28,VOLCURVES,2,FALSE()),FALSE()),1)</f>
        <v>1</v>
      </c>
      <c r="AA110" s="136" t="n">
        <f aca="false">IF(Y$28="NYMEX",$AG110,$AF110)</f>
        <v>-6728</v>
      </c>
      <c r="AB110" s="4" t="e">
        <f aca="false">(($C110+AC110)*$Z110)+H$15</f>
        <v>#DIV/0!</v>
      </c>
      <c r="AC110" s="4" t="e">
        <f aca="false">IF($H$16=1,VLOOKUP($A110,SkewTable,HLOOKUP(ROUND(AD110-BV110,1),SkewTable,2,FALSE()),FALSE())/100,0)</f>
        <v>#DIV/0!</v>
      </c>
      <c r="AD110" s="41" t="n">
        <f aca="false">IF($H$19=4,$BV110,$H$18)</f>
        <v>3</v>
      </c>
      <c r="AF110" s="136" t="n">
        <f aca="false">VLOOKUP($A110,expiration,2,FALSE())-$B$2</f>
        <v>-6728</v>
      </c>
      <c r="AG110" s="136" t="n">
        <f aca="false">VLOOKUP($A110,expiration,3,FALSE())-$B$2</f>
        <v>-6729</v>
      </c>
      <c r="AH110" s="4" t="n">
        <f aca="false">VLOOKUP($A110,STRADDLE,12,FALSE())</f>
        <v>0.069239982060041</v>
      </c>
      <c r="AI110" s="43" t="n">
        <f aca="false">A111-A110</f>
        <v>31</v>
      </c>
      <c r="AL110" s="136"/>
      <c r="AM110" s="9"/>
      <c r="AN110" s="9" t="n">
        <f aca="false">IF($A110&gt;=AO$25,IF($A110&lt;=AO$26,$AI110,0),0)</f>
        <v>0</v>
      </c>
      <c r="AO110" s="9" t="e">
        <f aca="false">AQ110/AN110</f>
        <v>#DIV/0!</v>
      </c>
      <c r="AP110" s="1" t="n">
        <f aca="false">AN110*($B110+B$13)</f>
        <v>0</v>
      </c>
      <c r="AQ110" s="33" t="n">
        <f aca="false">IF(ISNUMBER(((AP110/AN110)+B$14+$D110)*AN110),((AP110/AN110)+B$14+$D110)*AN110,0)</f>
        <v>0</v>
      </c>
      <c r="AR110" s="44" t="n">
        <f aca="false">IF(AN110=0,0,bsd(1,AS$27,AO110,$I110,$F110,$G110,$AH110,0.1))</f>
        <v>0</v>
      </c>
      <c r="AS110" s="44" t="n">
        <f aca="false">IF(AN110=0,0,bsd(2,AS$27,AO110,$I110,$F110,$G110,$AH110,0.1))</f>
        <v>0</v>
      </c>
      <c r="AT110" s="44" t="n">
        <f aca="false">IF(AN110=0,0,bsd(AS$28,AS$27,AO110,$I110,$F110,$G110,$AH110,0.1))</f>
        <v>0</v>
      </c>
      <c r="AU110" s="45" t="n">
        <f aca="false">AN110*AR110</f>
        <v>0</v>
      </c>
      <c r="AV110" s="45" t="n">
        <f aca="false">AN110*AS110</f>
        <v>0</v>
      </c>
      <c r="AW110" s="45" t="n">
        <f aca="false">AN110*AT110</f>
        <v>0</v>
      </c>
      <c r="AY110" s="9" t="n">
        <f aca="false">IF($A110&gt;=AZ$25,IF($A110&lt;=AZ$26,$AI110,0),0)</f>
        <v>0</v>
      </c>
      <c r="AZ110" s="9" t="e">
        <f aca="false">BB110/AY110</f>
        <v>#DIV/0!</v>
      </c>
      <c r="BA110" s="1" t="n">
        <f aca="false">AY110*($B110+D$13)</f>
        <v>0</v>
      </c>
      <c r="BB110" s="33" t="n">
        <f aca="false">IF(ISNUMBER(((BA110/AY110)+D$14+$K110)*AY110),((BA110/AY110)+D$14+$K110)*AY110,0)</f>
        <v>0</v>
      </c>
      <c r="BC110" s="44" t="n">
        <f aca="false">IF(AY110=0,0,bsd(1,BD$27,AZ110,$P110,$M110,$N110,$AH110,0.1))</f>
        <v>0</v>
      </c>
      <c r="BD110" s="44" t="n">
        <f aca="false">IF(AY110=0,0,bsd(2,BD$27,AZ110,$P110,$M110,$N110,$AH110,0.1))</f>
        <v>0</v>
      </c>
      <c r="BE110" s="44" t="n">
        <f aca="false">IF(AY110=0,0,bsd(BD$28,BD$27,AZ110,$P110,$M110,$N110,$AH110,0.1))</f>
        <v>0</v>
      </c>
      <c r="BF110" s="45" t="n">
        <f aca="false">AY110*BC110</f>
        <v>0</v>
      </c>
      <c r="BG110" s="45" t="n">
        <f aca="false">AY110*BD110</f>
        <v>0</v>
      </c>
      <c r="BH110" s="45" t="n">
        <f aca="false">AY110*BE110</f>
        <v>0</v>
      </c>
      <c r="BJ110" s="9" t="n">
        <f aca="false">IF($A110&gt;=BK$25,IF($A110&lt;=BK$26,$AI110,0),0)</f>
        <v>0</v>
      </c>
      <c r="BK110" s="9" t="e">
        <f aca="false">BM110/BJ110</f>
        <v>#DIV/0!</v>
      </c>
      <c r="BL110" s="1" t="n">
        <f aca="false">BJ110*($B110+F$13)</f>
        <v>0</v>
      </c>
      <c r="BM110" s="33" t="n">
        <f aca="false">IF(ISNUMBER(((BL110/BJ110)+F$14+$R110)*BJ110),((BL110/BJ110)+F$14+$R110)*BJ110,0)</f>
        <v>0</v>
      </c>
      <c r="BN110" s="44" t="n">
        <f aca="false">IF(BJ110=0,0,bsd(1,BO$27,BK110,$W110,$T110,$U110,$AH110,0.1))</f>
        <v>0</v>
      </c>
      <c r="BO110" s="44" t="n">
        <f aca="false">IF(BJ110=0,0,bsd(2,BO$27,BK110,$W110,$T110,$U110,$AH110,0.1))</f>
        <v>0</v>
      </c>
      <c r="BP110" s="44" t="n">
        <f aca="false">IF(BJ110=0,0,bsd(BO$28,BO$27,BK110,$W110,$T110,$U110,$AH110,0.1))</f>
        <v>0</v>
      </c>
      <c r="BQ110" s="45" t="n">
        <f aca="false">BJ110*BN110</f>
        <v>0</v>
      </c>
      <c r="BR110" s="45" t="n">
        <f aca="false">BJ110*BO110</f>
        <v>0</v>
      </c>
      <c r="BS110" s="45" t="n">
        <f aca="false">BJ110*BP110</f>
        <v>0</v>
      </c>
      <c r="BU110" s="9" t="n">
        <f aca="false">IF($A110&gt;=BV$25,IF($A110&lt;=BV$26,$AI110,0),0)</f>
        <v>0</v>
      </c>
      <c r="BV110" s="9" t="e">
        <f aca="false">BX110/BU110</f>
        <v>#DIV/0!</v>
      </c>
      <c r="BW110" s="1" t="n">
        <f aca="false">BU110*($B110+H$13)</f>
        <v>0</v>
      </c>
      <c r="BX110" s="33" t="n">
        <f aca="false">IF(ISNUMBER(((BW110/BU110)+H$14+$Y110)*BU110),((BW110/BU110)+H$14+$Y110)*BU110,0)</f>
        <v>0</v>
      </c>
      <c r="BY110" s="44" t="n">
        <f aca="false">IF(BU110=0,0,bsd(1,BZ$27,BV110,$AD110,$AA110,$AB110,$AH110,0.1))</f>
        <v>0</v>
      </c>
      <c r="BZ110" s="44" t="n">
        <f aca="false">IF(BU110=0,0,bsd(2,BZ$27,BV110,$AD110,$AA110,$AB110,$AH110,0.1))</f>
        <v>0</v>
      </c>
      <c r="CA110" s="44" t="n">
        <f aca="false">IF(BU110=0,0,bsd(BZ$28,BZ$27,BV110,$AD110,$AA110,$AB110,$AH110,0.1))</f>
        <v>0</v>
      </c>
      <c r="CB110" s="45" t="n">
        <f aca="false">BU110*BY110</f>
        <v>0</v>
      </c>
      <c r="CC110" s="45" t="n">
        <f aca="false">BU110*BZ110</f>
        <v>0</v>
      </c>
      <c r="CD110" s="45" t="n">
        <f aca="false">BU110*CA110</f>
        <v>0</v>
      </c>
    </row>
    <row r="111" customFormat="false" ht="12.75" hidden="false" customHeight="false" outlineLevel="0" collapsed="false">
      <c r="A111" s="48" t="n">
        <f aca="false">DATE(YEAR(A110),MONTH(A110)+1,1)</f>
        <v>39234</v>
      </c>
      <c r="B111" s="40" t="n">
        <f aca="false">VLOOKUP(A111,STRADDLE,5,FALSE())</f>
        <v>3.036</v>
      </c>
      <c r="C111" s="4" t="n">
        <f aca="false">VLOOKUP(A111,STRADDLE,8,FALSE())</f>
        <v>0.21</v>
      </c>
      <c r="D111" s="40" t="n">
        <f aca="false">IF(D$28="nymex",0,VLOOKUP($A111,curvesettle,HLOOKUP(D$28,curvesettle,2,FALSE())))</f>
        <v>0.395</v>
      </c>
      <c r="E111" s="131" t="n">
        <f aca="false">IF(ISNUMBER(VLOOKUP($A111,VOLCURVES,HLOOKUP(D$28,VOLCURVES,2,FALSE()),FALSE())),VLOOKUP($A111,VOLCURVES,HLOOKUP(D$28,VOLCURVES,2,FALSE()),FALSE()),1)</f>
        <v>0.98</v>
      </c>
      <c r="F111" s="136" t="n">
        <f aca="false">IF(D$28="NYMEX",$AG111,$AF111)</f>
        <v>-6695</v>
      </c>
      <c r="G111" s="4" t="e">
        <f aca="false">(($C111+H111)*$E111)+B$15</f>
        <v>#DIV/0!</v>
      </c>
      <c r="H111" s="4" t="e">
        <f aca="false">IF($B$16=1,VLOOKUP($A111,SkewTable,HLOOKUP(ROUND(I111-AO111,1),SkewTable,2,FALSE()),FALSE())/100,0)</f>
        <v>#DIV/0!</v>
      </c>
      <c r="I111" s="41" t="n">
        <f aca="false">IF($B$19=4,$AO111,$B$18)</f>
        <v>12</v>
      </c>
      <c r="K111" s="40" t="n">
        <f aca="false">IF(K$28="nymex",0,VLOOKUP($A111,curvesettle,HLOOKUP(K$28,curvesettle,2,FALSE())))</f>
        <v>-0.019</v>
      </c>
      <c r="L111" s="131" t="n">
        <f aca="false">IF(ISNUMBER(VLOOKUP($A111,VOLCURVES,HLOOKUP(K$28,VOLCURVES,2,FALSE()),FALSE())),VLOOKUP($A111,VOLCURVES,HLOOKUP(K$28,VOLCURVES,2,FALSE()),FALSE()),1)</f>
        <v>1</v>
      </c>
      <c r="M111" s="136" t="n">
        <f aca="false">IF(K$28="NYMEX",$AG111,$AF111)</f>
        <v>-6695</v>
      </c>
      <c r="N111" s="153" t="e">
        <f aca="false">(($C111+O111)*$L111)+D$15</f>
        <v>#DIV/0!</v>
      </c>
      <c r="O111" s="4" t="e">
        <f aca="false">IF($D$16=1,VLOOKUP($A111,SkewTable,HLOOKUP(ROUND(P111-AZ111,1),SkewTable,2,FALSE()),FALSE())/100,0)</f>
        <v>#DIV/0!</v>
      </c>
      <c r="P111" s="41" t="n">
        <f aca="false">IF($D$19=4,$AZ111,$D$18)</f>
        <v>3.75</v>
      </c>
      <c r="R111" s="40" t="n">
        <f aca="false">IF(R$28="nymex",0,VLOOKUP($A111,curvesettle,HLOOKUP(R$28,curvesettle,2,FALSE())))</f>
        <v>-0.019</v>
      </c>
      <c r="S111" s="131" t="n">
        <f aca="false">IF(ISNUMBER(VLOOKUP($A111,VOLCURVES,HLOOKUP(R$28,VOLCURVES,2,FALSE()),FALSE())),VLOOKUP($A111,VOLCURVES,HLOOKUP(R$28,VOLCURVES,2,FALSE()),FALSE()),1)</f>
        <v>1</v>
      </c>
      <c r="T111" s="136" t="n">
        <f aca="false">IF(R$28="NYMEX",$AG111,$AF111)</f>
        <v>-6695</v>
      </c>
      <c r="U111" s="153" t="e">
        <f aca="false">(($C111+V111)*$S111)+F$15</f>
        <v>#DIV/0!</v>
      </c>
      <c r="V111" s="4" t="e">
        <f aca="false">IF($F$16=1,VLOOKUP($A111,SkewTable,HLOOKUP(ROUND(W111-BK111,1),SkewTable,2,FALSE()),FALSE())/100,0)</f>
        <v>#DIV/0!</v>
      </c>
      <c r="W111" s="41" t="n">
        <f aca="false">IF($F$19=4,$BK111,$F$18)</f>
        <v>3.5</v>
      </c>
      <c r="X111" s="136"/>
      <c r="Y111" s="40" t="n">
        <f aca="false">IF(Y$28="nymex",0,VLOOKUP($A111,curvesettle,HLOOKUP(Y$28,curvesettle,2,FALSE())))</f>
        <v>-0.335</v>
      </c>
      <c r="Z111" s="131" t="n">
        <f aca="false">IF(ISNUMBER(VLOOKUP($A111,VOLCURVES,HLOOKUP(Y$28,VOLCURVES,2,FALSE()),FALSE())),VLOOKUP($A111,VOLCURVES,HLOOKUP(Y$28,VOLCURVES,2,FALSE()),FALSE()),1)</f>
        <v>1</v>
      </c>
      <c r="AA111" s="136" t="n">
        <f aca="false">IF(Y$28="NYMEX",$AG111,$AF111)</f>
        <v>-6695</v>
      </c>
      <c r="AB111" s="4" t="e">
        <f aca="false">(($C111+AC111)*$Z111)+H$15</f>
        <v>#DIV/0!</v>
      </c>
      <c r="AC111" s="4" t="e">
        <f aca="false">IF($H$16=1,VLOOKUP($A111,SkewTable,HLOOKUP(ROUND(AD111-BV111,1),SkewTable,2,FALSE()),FALSE())/100,0)</f>
        <v>#DIV/0!</v>
      </c>
      <c r="AD111" s="41" t="n">
        <f aca="false">IF($H$19=4,$BV111,$H$18)</f>
        <v>3</v>
      </c>
      <c r="AF111" s="136" t="n">
        <f aca="false">VLOOKUP($A111,expiration,2,FALSE())-$B$2</f>
        <v>-6695</v>
      </c>
      <c r="AG111" s="136" t="n">
        <f aca="false">VLOOKUP($A111,expiration,3,FALSE())-$B$2</f>
        <v>-6699</v>
      </c>
      <c r="AH111" s="4" t="n">
        <f aca="false">VLOOKUP($A111,STRADDLE,12,FALSE())</f>
        <v>0.069291331455223</v>
      </c>
      <c r="AI111" s="43" t="n">
        <f aca="false">A112-A111</f>
        <v>30</v>
      </c>
      <c r="AL111" s="136"/>
      <c r="AM111" s="9"/>
      <c r="AN111" s="9" t="n">
        <f aca="false">IF($A111&gt;=AO$25,IF($A111&lt;=AO$26,$AI111,0),0)</f>
        <v>0</v>
      </c>
      <c r="AO111" s="9" t="e">
        <f aca="false">AQ111/AN111</f>
        <v>#DIV/0!</v>
      </c>
      <c r="AP111" s="1" t="n">
        <f aca="false">AN111*($B111+B$13)</f>
        <v>0</v>
      </c>
      <c r="AQ111" s="33" t="n">
        <f aca="false">IF(ISNUMBER(((AP111/AN111)+B$14+$D111)*AN111),((AP111/AN111)+B$14+$D111)*AN111,0)</f>
        <v>0</v>
      </c>
      <c r="AR111" s="44" t="n">
        <f aca="false">IF(AN111=0,0,bsd(1,AS$27,AO111,$I111,$F111,$G111,$AH111,0.1))</f>
        <v>0</v>
      </c>
      <c r="AS111" s="44" t="n">
        <f aca="false">IF(AN111=0,0,bsd(2,AS$27,AO111,$I111,$F111,$G111,$AH111,0.1))</f>
        <v>0</v>
      </c>
      <c r="AT111" s="44" t="n">
        <f aca="false">IF(AN111=0,0,bsd(AS$28,AS$27,AO111,$I111,$F111,$G111,$AH111,0.1))</f>
        <v>0</v>
      </c>
      <c r="AU111" s="45" t="n">
        <f aca="false">AN111*AR111</f>
        <v>0</v>
      </c>
      <c r="AV111" s="45" t="n">
        <f aca="false">AN111*AS111</f>
        <v>0</v>
      </c>
      <c r="AW111" s="45" t="n">
        <f aca="false">AN111*AT111</f>
        <v>0</v>
      </c>
      <c r="AY111" s="9" t="n">
        <f aca="false">IF($A111&gt;=AZ$25,IF($A111&lt;=AZ$26,$AI111,0),0)</f>
        <v>0</v>
      </c>
      <c r="AZ111" s="9" t="e">
        <f aca="false">BB111/AY111</f>
        <v>#DIV/0!</v>
      </c>
      <c r="BA111" s="1" t="n">
        <f aca="false">AY111*($B111+D$13)</f>
        <v>0</v>
      </c>
      <c r="BB111" s="33" t="n">
        <f aca="false">IF(ISNUMBER(((BA111/AY111)+D$14+$K111)*AY111),((BA111/AY111)+D$14+$K111)*AY111,0)</f>
        <v>0</v>
      </c>
      <c r="BC111" s="44" t="n">
        <f aca="false">IF(AY111=0,0,bsd(1,BD$27,AZ111,$P111,$M111,$N111,$AH111,0.1))</f>
        <v>0</v>
      </c>
      <c r="BD111" s="44" t="n">
        <f aca="false">IF(AY111=0,0,bsd(2,BD$27,AZ111,$P111,$M111,$N111,$AH111,0.1))</f>
        <v>0</v>
      </c>
      <c r="BE111" s="44" t="n">
        <f aca="false">IF(AY111=0,0,bsd(BD$28,BD$27,AZ111,$P111,$M111,$N111,$AH111,0.1))</f>
        <v>0</v>
      </c>
      <c r="BF111" s="45" t="n">
        <f aca="false">AY111*BC111</f>
        <v>0</v>
      </c>
      <c r="BG111" s="45" t="n">
        <f aca="false">AY111*BD111</f>
        <v>0</v>
      </c>
      <c r="BH111" s="45" t="n">
        <f aca="false">AY111*BE111</f>
        <v>0</v>
      </c>
      <c r="BJ111" s="9" t="n">
        <f aca="false">IF($A111&gt;=BK$25,IF($A111&lt;=BK$26,$AI111,0),0)</f>
        <v>0</v>
      </c>
      <c r="BK111" s="9" t="e">
        <f aca="false">BM111/BJ111</f>
        <v>#DIV/0!</v>
      </c>
      <c r="BL111" s="1" t="n">
        <f aca="false">BJ111*($B111+F$13)</f>
        <v>0</v>
      </c>
      <c r="BM111" s="33" t="n">
        <f aca="false">IF(ISNUMBER(((BL111/BJ111)+F$14+$R111)*BJ111),((BL111/BJ111)+F$14+$R111)*BJ111,0)</f>
        <v>0</v>
      </c>
      <c r="BN111" s="44" t="n">
        <f aca="false">IF(BJ111=0,0,bsd(1,BO$27,BK111,$W111,$T111,$U111,$AH111,0.1))</f>
        <v>0</v>
      </c>
      <c r="BO111" s="44" t="n">
        <f aca="false">IF(BJ111=0,0,bsd(2,BO$27,BK111,$W111,$T111,$U111,$AH111,0.1))</f>
        <v>0</v>
      </c>
      <c r="BP111" s="44" t="n">
        <f aca="false">IF(BJ111=0,0,bsd(BO$28,BO$27,BK111,$W111,$T111,$U111,$AH111,0.1))</f>
        <v>0</v>
      </c>
      <c r="BQ111" s="45" t="n">
        <f aca="false">BJ111*BN111</f>
        <v>0</v>
      </c>
      <c r="BR111" s="45" t="n">
        <f aca="false">BJ111*BO111</f>
        <v>0</v>
      </c>
      <c r="BS111" s="45" t="n">
        <f aca="false">BJ111*BP111</f>
        <v>0</v>
      </c>
      <c r="BU111" s="9" t="n">
        <f aca="false">IF($A111&gt;=BV$25,IF($A111&lt;=BV$26,$AI111,0),0)</f>
        <v>0</v>
      </c>
      <c r="BV111" s="9" t="e">
        <f aca="false">BX111/BU111</f>
        <v>#DIV/0!</v>
      </c>
      <c r="BW111" s="1" t="n">
        <f aca="false">BU111*($B111+H$13)</f>
        <v>0</v>
      </c>
      <c r="BX111" s="33" t="n">
        <f aca="false">IF(ISNUMBER(((BW111/BU111)+H$14+$Y111)*BU111),((BW111/BU111)+H$14+$Y111)*BU111,0)</f>
        <v>0</v>
      </c>
      <c r="BY111" s="44" t="n">
        <f aca="false">IF(BU111=0,0,bsd(1,BZ$27,BV111,$AD111,$AA111,$AB111,$AH111,0.1))</f>
        <v>0</v>
      </c>
      <c r="BZ111" s="44" t="n">
        <f aca="false">IF(BU111=0,0,bsd(2,BZ$27,BV111,$AD111,$AA111,$AB111,$AH111,0.1))</f>
        <v>0</v>
      </c>
      <c r="CA111" s="44" t="n">
        <f aca="false">IF(BU111=0,0,bsd(BZ$28,BZ$27,BV111,$AD111,$AA111,$AB111,$AH111,0.1))</f>
        <v>0</v>
      </c>
      <c r="CB111" s="45" t="n">
        <f aca="false">BU111*BY111</f>
        <v>0</v>
      </c>
      <c r="CC111" s="45" t="n">
        <f aca="false">BU111*BZ111</f>
        <v>0</v>
      </c>
      <c r="CD111" s="45" t="n">
        <f aca="false">BU111*CA111</f>
        <v>0</v>
      </c>
    </row>
    <row r="112" customFormat="false" ht="12.75" hidden="false" customHeight="false" outlineLevel="0" collapsed="false">
      <c r="A112" s="48" t="n">
        <f aca="false">DATE(YEAR(A111),MONTH(A111)+1,1)</f>
        <v>39264</v>
      </c>
      <c r="B112" s="40" t="n">
        <f aca="false">VLOOKUP(A112,STRADDLE,5,FALSE())</f>
        <v>3.044</v>
      </c>
      <c r="C112" s="4" t="n">
        <f aca="false">VLOOKUP(A112,STRADDLE,8,FALSE())</f>
        <v>0.21</v>
      </c>
      <c r="D112" s="40" t="n">
        <f aca="false">IF(D$28="nymex",0,VLOOKUP($A112,curvesettle,HLOOKUP(D$28,curvesettle,2,FALSE())))</f>
        <v>0.43</v>
      </c>
      <c r="E112" s="131" t="n">
        <f aca="false">IF(ISNUMBER(VLOOKUP($A112,VOLCURVES,HLOOKUP(D$28,VOLCURVES,2,FALSE()),FALSE())),VLOOKUP($A112,VOLCURVES,HLOOKUP(D$28,VOLCURVES,2,FALSE()),FALSE()),1)</f>
        <v>0.98</v>
      </c>
      <c r="F112" s="136" t="n">
        <f aca="false">IF(D$28="NYMEX",$AG112,$AF112)</f>
        <v>-6666</v>
      </c>
      <c r="G112" s="4" t="e">
        <f aca="false">(($C112+H112)*$E112)+B$15</f>
        <v>#DIV/0!</v>
      </c>
      <c r="H112" s="4" t="e">
        <f aca="false">IF($B$16=1,VLOOKUP($A112,SkewTable,HLOOKUP(ROUND(I112-AO112,1),SkewTable,2,FALSE()),FALSE())/100,0)</f>
        <v>#DIV/0!</v>
      </c>
      <c r="I112" s="41" t="n">
        <f aca="false">IF($B$19=4,$AO112,$B$18)</f>
        <v>12</v>
      </c>
      <c r="K112" s="40" t="n">
        <f aca="false">IF(K$28="nymex",0,VLOOKUP($A112,curvesettle,HLOOKUP(K$28,curvesettle,2,FALSE())))</f>
        <v>-0.019</v>
      </c>
      <c r="L112" s="131" t="n">
        <f aca="false">IF(ISNUMBER(VLOOKUP($A112,VOLCURVES,HLOOKUP(K$28,VOLCURVES,2,FALSE()),FALSE())),VLOOKUP($A112,VOLCURVES,HLOOKUP(K$28,VOLCURVES,2,FALSE()),FALSE()),1)</f>
        <v>1</v>
      </c>
      <c r="M112" s="136" t="n">
        <f aca="false">IF(K$28="NYMEX",$AG112,$AF112)</f>
        <v>-6666</v>
      </c>
      <c r="N112" s="153" t="e">
        <f aca="false">(($C112+O112)*$L112)+D$15</f>
        <v>#DIV/0!</v>
      </c>
      <c r="O112" s="4" t="e">
        <f aca="false">IF($D$16=1,VLOOKUP($A112,SkewTable,HLOOKUP(ROUND(P112-AZ112,1),SkewTable,2,FALSE()),FALSE())/100,0)</f>
        <v>#DIV/0!</v>
      </c>
      <c r="P112" s="41" t="n">
        <f aca="false">IF($D$19=4,$AZ112,$D$18)</f>
        <v>3.75</v>
      </c>
      <c r="R112" s="40" t="n">
        <f aca="false">IF(R$28="nymex",0,VLOOKUP($A112,curvesettle,HLOOKUP(R$28,curvesettle,2,FALSE())))</f>
        <v>-0.019</v>
      </c>
      <c r="S112" s="131" t="n">
        <f aca="false">IF(ISNUMBER(VLOOKUP($A112,VOLCURVES,HLOOKUP(R$28,VOLCURVES,2,FALSE()),FALSE())),VLOOKUP($A112,VOLCURVES,HLOOKUP(R$28,VOLCURVES,2,FALSE()),FALSE()),1)</f>
        <v>1</v>
      </c>
      <c r="T112" s="136" t="n">
        <f aca="false">IF(R$28="NYMEX",$AG112,$AF112)</f>
        <v>-6666</v>
      </c>
      <c r="U112" s="153" t="e">
        <f aca="false">(($C112+V112)*$S112)+F$15</f>
        <v>#DIV/0!</v>
      </c>
      <c r="V112" s="4" t="e">
        <f aca="false">IF($F$16=1,VLOOKUP($A112,SkewTable,HLOOKUP(ROUND(W112-BK112,1),SkewTable,2,FALSE()),FALSE())/100,0)</f>
        <v>#DIV/0!</v>
      </c>
      <c r="W112" s="41" t="n">
        <f aca="false">IF($F$19=4,$BK112,$F$18)</f>
        <v>3.5</v>
      </c>
      <c r="X112" s="136"/>
      <c r="Y112" s="40" t="n">
        <f aca="false">IF(Y$28="nymex",0,VLOOKUP($A112,curvesettle,HLOOKUP(Y$28,curvesettle,2,FALSE())))</f>
        <v>-0.335</v>
      </c>
      <c r="Z112" s="131" t="n">
        <f aca="false">IF(ISNUMBER(VLOOKUP($A112,VOLCURVES,HLOOKUP(Y$28,VOLCURVES,2,FALSE()),FALSE())),VLOOKUP($A112,VOLCURVES,HLOOKUP(Y$28,VOLCURVES,2,FALSE()),FALSE()),1)</f>
        <v>1</v>
      </c>
      <c r="AA112" s="136" t="n">
        <f aca="false">IF(Y$28="NYMEX",$AG112,$AF112)</f>
        <v>-6666</v>
      </c>
      <c r="AB112" s="4" t="e">
        <f aca="false">(($C112+AC112)*$Z112)+H$15</f>
        <v>#DIV/0!</v>
      </c>
      <c r="AC112" s="4" t="e">
        <f aca="false">IF($H$16=1,VLOOKUP($A112,SkewTable,HLOOKUP(ROUND(AD112-BV112,1),SkewTable,2,FALSE()),FALSE())/100,0)</f>
        <v>#DIV/0!</v>
      </c>
      <c r="AD112" s="41" t="n">
        <f aca="false">IF($H$19=4,$BV112,$H$18)</f>
        <v>3</v>
      </c>
      <c r="AF112" s="136" t="n">
        <f aca="false">VLOOKUP($A112,expiration,2,FALSE())-$B$2</f>
        <v>-6666</v>
      </c>
      <c r="AG112" s="136" t="n">
        <f aca="false">VLOOKUP($A112,expiration,3,FALSE())-$B$2</f>
        <v>-6667</v>
      </c>
      <c r="AH112" s="4" t="n">
        <f aca="false">VLOOKUP($A112,STRADDLE,12,FALSE())</f>
        <v>0.069341024419133</v>
      </c>
      <c r="AI112" s="43" t="n">
        <f aca="false">A113-A112</f>
        <v>31</v>
      </c>
      <c r="AL112" s="136"/>
      <c r="AM112" s="9"/>
      <c r="AN112" s="9" t="n">
        <f aca="false">IF($A112&gt;=AO$25,IF($A112&lt;=AO$26,$AI112,0),0)</f>
        <v>0</v>
      </c>
      <c r="AO112" s="9" t="e">
        <f aca="false">AQ112/AN112</f>
        <v>#DIV/0!</v>
      </c>
      <c r="AP112" s="1" t="n">
        <f aca="false">AN112*($B112+B$13)</f>
        <v>0</v>
      </c>
      <c r="AQ112" s="33" t="n">
        <f aca="false">IF(ISNUMBER(((AP112/AN112)+B$14+$D112)*AN112),((AP112/AN112)+B$14+$D112)*AN112,0)</f>
        <v>0</v>
      </c>
      <c r="AR112" s="44" t="n">
        <f aca="false">IF(AN112=0,0,bsd(1,AS$27,AO112,$I112,$F112,$G112,$AH112,0.1))</f>
        <v>0</v>
      </c>
      <c r="AS112" s="44" t="n">
        <f aca="false">IF(AN112=0,0,bsd(2,AS$27,AO112,$I112,$F112,$G112,$AH112,0.1))</f>
        <v>0</v>
      </c>
      <c r="AT112" s="44" t="n">
        <f aca="false">IF(AN112=0,0,bsd(AS$28,AS$27,AO112,$I112,$F112,$G112,$AH112,0.1))</f>
        <v>0</v>
      </c>
      <c r="AU112" s="45" t="n">
        <f aca="false">AN112*AR112</f>
        <v>0</v>
      </c>
      <c r="AV112" s="45" t="n">
        <f aca="false">AN112*AS112</f>
        <v>0</v>
      </c>
      <c r="AW112" s="45" t="n">
        <f aca="false">AN112*AT112</f>
        <v>0</v>
      </c>
      <c r="AY112" s="9" t="n">
        <f aca="false">IF($A112&gt;=AZ$25,IF($A112&lt;=AZ$26,$AI112,0),0)</f>
        <v>0</v>
      </c>
      <c r="AZ112" s="9" t="e">
        <f aca="false">BB112/AY112</f>
        <v>#DIV/0!</v>
      </c>
      <c r="BA112" s="1" t="n">
        <f aca="false">AY112*($B112+D$13)</f>
        <v>0</v>
      </c>
      <c r="BB112" s="33" t="n">
        <f aca="false">IF(ISNUMBER(((BA112/AY112)+D$14+$K112)*AY112),((BA112/AY112)+D$14+$K112)*AY112,0)</f>
        <v>0</v>
      </c>
      <c r="BC112" s="44" t="n">
        <f aca="false">IF(AY112=0,0,bsd(1,BD$27,AZ112,$P112,$M112,$N112,$AH112,0.1))</f>
        <v>0</v>
      </c>
      <c r="BD112" s="44" t="n">
        <f aca="false">IF(AY112=0,0,bsd(2,BD$27,AZ112,$P112,$M112,$N112,$AH112,0.1))</f>
        <v>0</v>
      </c>
      <c r="BE112" s="44" t="n">
        <f aca="false">IF(AY112=0,0,bsd(BD$28,BD$27,AZ112,$P112,$M112,$N112,$AH112,0.1))</f>
        <v>0</v>
      </c>
      <c r="BF112" s="45" t="n">
        <f aca="false">AY112*BC112</f>
        <v>0</v>
      </c>
      <c r="BG112" s="45" t="n">
        <f aca="false">AY112*BD112</f>
        <v>0</v>
      </c>
      <c r="BH112" s="45" t="n">
        <f aca="false">AY112*BE112</f>
        <v>0</v>
      </c>
      <c r="BJ112" s="9" t="n">
        <f aca="false">IF($A112&gt;=BK$25,IF($A112&lt;=BK$26,$AI112,0),0)</f>
        <v>0</v>
      </c>
      <c r="BK112" s="9" t="e">
        <f aca="false">BM112/BJ112</f>
        <v>#DIV/0!</v>
      </c>
      <c r="BL112" s="1" t="n">
        <f aca="false">BJ112*($B112+F$13)</f>
        <v>0</v>
      </c>
      <c r="BM112" s="33" t="n">
        <f aca="false">IF(ISNUMBER(((BL112/BJ112)+F$14+$R112)*BJ112),((BL112/BJ112)+F$14+$R112)*BJ112,0)</f>
        <v>0</v>
      </c>
      <c r="BN112" s="44" t="n">
        <f aca="false">IF(BJ112=0,0,bsd(1,BO$27,BK112,$W112,$T112,$U112,$AH112,0.1))</f>
        <v>0</v>
      </c>
      <c r="BO112" s="44" t="n">
        <f aca="false">IF(BJ112=0,0,bsd(2,BO$27,BK112,$W112,$T112,$U112,$AH112,0.1))</f>
        <v>0</v>
      </c>
      <c r="BP112" s="44" t="n">
        <f aca="false">IF(BJ112=0,0,bsd(BO$28,BO$27,BK112,$W112,$T112,$U112,$AH112,0.1))</f>
        <v>0</v>
      </c>
      <c r="BQ112" s="45" t="n">
        <f aca="false">BJ112*BN112</f>
        <v>0</v>
      </c>
      <c r="BR112" s="45" t="n">
        <f aca="false">BJ112*BO112</f>
        <v>0</v>
      </c>
      <c r="BS112" s="45" t="n">
        <f aca="false">BJ112*BP112</f>
        <v>0</v>
      </c>
      <c r="BU112" s="9" t="n">
        <f aca="false">IF($A112&gt;=BV$25,IF($A112&lt;=BV$26,$AI112,0),0)</f>
        <v>0</v>
      </c>
      <c r="BV112" s="9" t="e">
        <f aca="false">BX112/BU112</f>
        <v>#DIV/0!</v>
      </c>
      <c r="BW112" s="1" t="n">
        <f aca="false">BU112*($B112+H$13)</f>
        <v>0</v>
      </c>
      <c r="BX112" s="33" t="n">
        <f aca="false">IF(ISNUMBER(((BW112/BU112)+H$14+$Y112)*BU112),((BW112/BU112)+H$14+$Y112)*BU112,0)</f>
        <v>0</v>
      </c>
      <c r="BY112" s="44" t="n">
        <f aca="false">IF(BU112=0,0,bsd(1,BZ$27,BV112,$AD112,$AA112,$AB112,$AH112,0.1))</f>
        <v>0</v>
      </c>
      <c r="BZ112" s="44" t="n">
        <f aca="false">IF(BU112=0,0,bsd(2,BZ$27,BV112,$AD112,$AA112,$AB112,$AH112,0.1))</f>
        <v>0</v>
      </c>
      <c r="CA112" s="44" t="n">
        <f aca="false">IF(BU112=0,0,bsd(BZ$28,BZ$27,BV112,$AD112,$AA112,$AB112,$AH112,0.1))</f>
        <v>0</v>
      </c>
      <c r="CB112" s="45" t="n">
        <f aca="false">BU112*BY112</f>
        <v>0</v>
      </c>
      <c r="CC112" s="45" t="n">
        <f aca="false">BU112*BZ112</f>
        <v>0</v>
      </c>
      <c r="CD112" s="45" t="n">
        <f aca="false">BU112*CA112</f>
        <v>0</v>
      </c>
    </row>
    <row r="113" customFormat="false" ht="12.75" hidden="false" customHeight="false" outlineLevel="0" collapsed="false">
      <c r="A113" s="48" t="n">
        <f aca="false">DATE(YEAR(A112),MONTH(A112)+1,1)</f>
        <v>39295</v>
      </c>
      <c r="B113" s="40" t="n">
        <f aca="false">VLOOKUP(A113,STRADDLE,5,FALSE())</f>
        <v>3.051</v>
      </c>
      <c r="C113" s="4" t="n">
        <f aca="false">VLOOKUP(A113,STRADDLE,8,FALSE())</f>
        <v>0.21</v>
      </c>
      <c r="D113" s="40" t="n">
        <f aca="false">IF(D$28="nymex",0,VLOOKUP($A113,curvesettle,HLOOKUP(D$28,curvesettle,2,FALSE())))</f>
        <v>0.495</v>
      </c>
      <c r="E113" s="131" t="n">
        <f aca="false">IF(ISNUMBER(VLOOKUP($A113,VOLCURVES,HLOOKUP(D$28,VOLCURVES,2,FALSE()),FALSE())),VLOOKUP($A113,VOLCURVES,HLOOKUP(D$28,VOLCURVES,2,FALSE()),FALSE()),1)</f>
        <v>0.98</v>
      </c>
      <c r="F113" s="136" t="n">
        <f aca="false">IF(D$28="NYMEX",$AG113,$AF113)</f>
        <v>-6636</v>
      </c>
      <c r="G113" s="4" t="e">
        <f aca="false">(($C113+H113)*$E113)+B$15</f>
        <v>#DIV/0!</v>
      </c>
      <c r="H113" s="4" t="e">
        <f aca="false">IF($B$16=1,VLOOKUP($A113,SkewTable,HLOOKUP(ROUND(I113-AO113,1),SkewTable,2,FALSE()),FALSE())/100,0)</f>
        <v>#DIV/0!</v>
      </c>
      <c r="I113" s="41" t="n">
        <f aca="false">IF($B$19=4,$AO113,$B$18)</f>
        <v>12</v>
      </c>
      <c r="K113" s="40" t="n">
        <f aca="false">IF(K$28="nymex",0,VLOOKUP($A113,curvesettle,HLOOKUP(K$28,curvesettle,2,FALSE())))</f>
        <v>-0.019</v>
      </c>
      <c r="L113" s="131" t="n">
        <f aca="false">IF(ISNUMBER(VLOOKUP($A113,VOLCURVES,HLOOKUP(K$28,VOLCURVES,2,FALSE()),FALSE())),VLOOKUP($A113,VOLCURVES,HLOOKUP(K$28,VOLCURVES,2,FALSE()),FALSE()),1)</f>
        <v>1</v>
      </c>
      <c r="M113" s="136" t="n">
        <f aca="false">IF(K$28="NYMEX",$AG113,$AF113)</f>
        <v>-6636</v>
      </c>
      <c r="N113" s="153" t="e">
        <f aca="false">(($C113+O113)*$L113)+D$15</f>
        <v>#DIV/0!</v>
      </c>
      <c r="O113" s="4" t="e">
        <f aca="false">IF($D$16=1,VLOOKUP($A113,SkewTable,HLOOKUP(ROUND(P113-AZ113,1),SkewTable,2,FALSE()),FALSE())/100,0)</f>
        <v>#DIV/0!</v>
      </c>
      <c r="P113" s="41" t="n">
        <f aca="false">IF($D$19=4,$AZ113,$D$18)</f>
        <v>3.75</v>
      </c>
      <c r="R113" s="40" t="n">
        <f aca="false">IF(R$28="nymex",0,VLOOKUP($A113,curvesettle,HLOOKUP(R$28,curvesettle,2,FALSE())))</f>
        <v>-0.019</v>
      </c>
      <c r="S113" s="131" t="n">
        <f aca="false">IF(ISNUMBER(VLOOKUP($A113,VOLCURVES,HLOOKUP(R$28,VOLCURVES,2,FALSE()),FALSE())),VLOOKUP($A113,VOLCURVES,HLOOKUP(R$28,VOLCURVES,2,FALSE()),FALSE()),1)</f>
        <v>1</v>
      </c>
      <c r="T113" s="136" t="n">
        <f aca="false">IF(R$28="NYMEX",$AG113,$AF113)</f>
        <v>-6636</v>
      </c>
      <c r="U113" s="153" t="e">
        <f aca="false">(($C113+V113)*$S113)+F$15</f>
        <v>#DIV/0!</v>
      </c>
      <c r="V113" s="4" t="e">
        <f aca="false">IF($F$16=1,VLOOKUP($A113,SkewTable,HLOOKUP(ROUND(W113-BK113,1),SkewTable,2,FALSE()),FALSE())/100,0)</f>
        <v>#DIV/0!</v>
      </c>
      <c r="W113" s="41" t="n">
        <f aca="false">IF($F$19=4,$BK113,$F$18)</f>
        <v>3.5</v>
      </c>
      <c r="X113" s="136"/>
      <c r="Y113" s="40" t="n">
        <f aca="false">IF(Y$28="nymex",0,VLOOKUP($A113,curvesettle,HLOOKUP(Y$28,curvesettle,2,FALSE())))</f>
        <v>-0.335</v>
      </c>
      <c r="Z113" s="131" t="n">
        <f aca="false">IF(ISNUMBER(VLOOKUP($A113,VOLCURVES,HLOOKUP(Y$28,VOLCURVES,2,FALSE()),FALSE())),VLOOKUP($A113,VOLCURVES,HLOOKUP(Y$28,VOLCURVES,2,FALSE()),FALSE()),1)</f>
        <v>1</v>
      </c>
      <c r="AA113" s="136" t="n">
        <f aca="false">IF(Y$28="NYMEX",$AG113,$AF113)</f>
        <v>-6636</v>
      </c>
      <c r="AB113" s="4" t="e">
        <f aca="false">(($C113+AC113)*$Z113)+H$15</f>
        <v>#DIV/0!</v>
      </c>
      <c r="AC113" s="4" t="e">
        <f aca="false">IF($H$16=1,VLOOKUP($A113,SkewTable,HLOOKUP(ROUND(AD113-BV113,1),SkewTable,2,FALSE()),FALSE())/100,0)</f>
        <v>#DIV/0!</v>
      </c>
      <c r="AD113" s="41" t="n">
        <f aca="false">IF($H$19=4,$BV113,$H$18)</f>
        <v>3</v>
      </c>
      <c r="AF113" s="136" t="n">
        <f aca="false">VLOOKUP($A113,expiration,2,FALSE())-$B$2</f>
        <v>-6636</v>
      </c>
      <c r="AG113" s="136" t="n">
        <f aca="false">VLOOKUP($A113,expiration,3,FALSE())-$B$2</f>
        <v>-6637</v>
      </c>
      <c r="AH113" s="4" t="n">
        <f aca="false">VLOOKUP($A113,STRADDLE,12,FALSE())</f>
        <v>0.069392373816032</v>
      </c>
      <c r="AI113" s="43" t="n">
        <f aca="false">A114-A113</f>
        <v>31</v>
      </c>
      <c r="AL113" s="136"/>
      <c r="AM113" s="9"/>
      <c r="AN113" s="9" t="n">
        <f aca="false">IF($A113&gt;=AO$25,IF($A113&lt;=AO$26,$AI113,0),0)</f>
        <v>0</v>
      </c>
      <c r="AO113" s="9" t="e">
        <f aca="false">AQ113/AN113</f>
        <v>#DIV/0!</v>
      </c>
      <c r="AP113" s="1" t="n">
        <f aca="false">AN113*($B113+B$13)</f>
        <v>0</v>
      </c>
      <c r="AQ113" s="33" t="n">
        <f aca="false">IF(ISNUMBER(((AP113/AN113)+B$14+$D113)*AN113),((AP113/AN113)+B$14+$D113)*AN113,0)</f>
        <v>0</v>
      </c>
      <c r="AR113" s="44" t="n">
        <f aca="false">IF(AN113=0,0,bsd(1,AS$27,AO113,$I113,$F113,$G113,$AH113,0.1))</f>
        <v>0</v>
      </c>
      <c r="AS113" s="44" t="n">
        <f aca="false">IF(AN113=0,0,bsd(2,AS$27,AO113,$I113,$F113,$G113,$AH113,0.1))</f>
        <v>0</v>
      </c>
      <c r="AT113" s="44" t="n">
        <f aca="false">IF(AN113=0,0,bsd(AS$28,AS$27,AO113,$I113,$F113,$G113,$AH113,0.1))</f>
        <v>0</v>
      </c>
      <c r="AU113" s="45" t="n">
        <f aca="false">AN113*AR113</f>
        <v>0</v>
      </c>
      <c r="AV113" s="45" t="n">
        <f aca="false">AN113*AS113</f>
        <v>0</v>
      </c>
      <c r="AW113" s="45" t="n">
        <f aca="false">AN113*AT113</f>
        <v>0</v>
      </c>
      <c r="AY113" s="9" t="n">
        <f aca="false">IF($A113&gt;=AZ$25,IF($A113&lt;=AZ$26,$AI113,0),0)</f>
        <v>0</v>
      </c>
      <c r="AZ113" s="9" t="e">
        <f aca="false">BB113/AY113</f>
        <v>#DIV/0!</v>
      </c>
      <c r="BA113" s="1" t="n">
        <f aca="false">AY113*($B113+D$13)</f>
        <v>0</v>
      </c>
      <c r="BB113" s="33" t="n">
        <f aca="false">IF(ISNUMBER(((BA113/AY113)+D$14+$K113)*AY113),((BA113/AY113)+D$14+$K113)*AY113,0)</f>
        <v>0</v>
      </c>
      <c r="BC113" s="44" t="n">
        <f aca="false">IF(AY113=0,0,bsd(1,BD$27,AZ113,$P113,$M113,$N113,$AH113,0.1))</f>
        <v>0</v>
      </c>
      <c r="BD113" s="44" t="n">
        <f aca="false">IF(AY113=0,0,bsd(2,BD$27,AZ113,$P113,$M113,$N113,$AH113,0.1))</f>
        <v>0</v>
      </c>
      <c r="BE113" s="44" t="n">
        <f aca="false">IF(AY113=0,0,bsd(BD$28,BD$27,AZ113,$P113,$M113,$N113,$AH113,0.1))</f>
        <v>0</v>
      </c>
      <c r="BF113" s="45" t="n">
        <f aca="false">AY113*BC113</f>
        <v>0</v>
      </c>
      <c r="BG113" s="45" t="n">
        <f aca="false">AY113*BD113</f>
        <v>0</v>
      </c>
      <c r="BH113" s="45" t="n">
        <f aca="false">AY113*BE113</f>
        <v>0</v>
      </c>
      <c r="BJ113" s="9" t="n">
        <f aca="false">IF($A113&gt;=BK$25,IF($A113&lt;=BK$26,$AI113,0),0)</f>
        <v>0</v>
      </c>
      <c r="BK113" s="9" t="e">
        <f aca="false">BM113/BJ113</f>
        <v>#DIV/0!</v>
      </c>
      <c r="BL113" s="1" t="n">
        <f aca="false">BJ113*($B113+F$13)</f>
        <v>0</v>
      </c>
      <c r="BM113" s="33" t="n">
        <f aca="false">IF(ISNUMBER(((BL113/BJ113)+F$14+$R113)*BJ113),((BL113/BJ113)+F$14+$R113)*BJ113,0)</f>
        <v>0</v>
      </c>
      <c r="BN113" s="44" t="n">
        <f aca="false">IF(BJ113=0,0,bsd(1,BO$27,BK113,$W113,$T113,$U113,$AH113,0.1))</f>
        <v>0</v>
      </c>
      <c r="BO113" s="44" t="n">
        <f aca="false">IF(BJ113=0,0,bsd(2,BO$27,BK113,$W113,$T113,$U113,$AH113,0.1))</f>
        <v>0</v>
      </c>
      <c r="BP113" s="44" t="n">
        <f aca="false">IF(BJ113=0,0,bsd(BO$28,BO$27,BK113,$W113,$T113,$U113,$AH113,0.1))</f>
        <v>0</v>
      </c>
      <c r="BQ113" s="45" t="n">
        <f aca="false">BJ113*BN113</f>
        <v>0</v>
      </c>
      <c r="BR113" s="45" t="n">
        <f aca="false">BJ113*BO113</f>
        <v>0</v>
      </c>
      <c r="BS113" s="45" t="n">
        <f aca="false">BJ113*BP113</f>
        <v>0</v>
      </c>
      <c r="BU113" s="9" t="n">
        <f aca="false">IF($A113&gt;=BV$25,IF($A113&lt;=BV$26,$AI113,0),0)</f>
        <v>0</v>
      </c>
      <c r="BV113" s="9" t="e">
        <f aca="false">BX113/BU113</f>
        <v>#DIV/0!</v>
      </c>
      <c r="BW113" s="1" t="n">
        <f aca="false">BU113*($B113+H$13)</f>
        <v>0</v>
      </c>
      <c r="BX113" s="33" t="n">
        <f aca="false">IF(ISNUMBER(((BW113/BU113)+H$14+$Y113)*BU113),((BW113/BU113)+H$14+$Y113)*BU113,0)</f>
        <v>0</v>
      </c>
      <c r="BY113" s="44" t="n">
        <f aca="false">IF(BU113=0,0,bsd(1,BZ$27,BV113,$AD113,$AA113,$AB113,$AH113,0.1))</f>
        <v>0</v>
      </c>
      <c r="BZ113" s="44" t="n">
        <f aca="false">IF(BU113=0,0,bsd(2,BZ$27,BV113,$AD113,$AA113,$AB113,$AH113,0.1))</f>
        <v>0</v>
      </c>
      <c r="CA113" s="44" t="n">
        <f aca="false">IF(BU113=0,0,bsd(BZ$28,BZ$27,BV113,$AD113,$AA113,$AB113,$AH113,0.1))</f>
        <v>0</v>
      </c>
      <c r="CB113" s="45" t="n">
        <f aca="false">BU113*BY113</f>
        <v>0</v>
      </c>
      <c r="CC113" s="45" t="n">
        <f aca="false">BU113*BZ113</f>
        <v>0</v>
      </c>
      <c r="CD113" s="45" t="n">
        <f aca="false">BU113*CA113</f>
        <v>0</v>
      </c>
    </row>
    <row r="114" customFormat="false" ht="12.75" hidden="false" customHeight="false" outlineLevel="0" collapsed="false">
      <c r="A114" s="48" t="n">
        <f aca="false">DATE(YEAR(A113),MONTH(A113)+1,1)</f>
        <v>39326</v>
      </c>
      <c r="B114" s="40" t="n">
        <f aca="false">VLOOKUP(A114,STRADDLE,5,FALSE())</f>
        <v>3.037</v>
      </c>
      <c r="C114" s="4" t="n">
        <f aca="false">VLOOKUP(A114,STRADDLE,8,FALSE())</f>
        <v>0.21</v>
      </c>
      <c r="D114" s="40" t="n">
        <f aca="false">IF(D$28="nymex",0,VLOOKUP($A114,curvesettle,HLOOKUP(D$28,curvesettle,2,FALSE())))</f>
        <v>0.395</v>
      </c>
      <c r="E114" s="131" t="n">
        <f aca="false">IF(ISNUMBER(VLOOKUP($A114,VOLCURVES,HLOOKUP(D$28,VOLCURVES,2,FALSE()),FALSE())),VLOOKUP($A114,VOLCURVES,HLOOKUP(D$28,VOLCURVES,2,FALSE()),FALSE()),1)</f>
        <v>0.98</v>
      </c>
      <c r="F114" s="136" t="n">
        <f aca="false">IF(D$28="NYMEX",$AG114,$AF114)</f>
        <v>-6603</v>
      </c>
      <c r="G114" s="4" t="e">
        <f aca="false">(($C114+H114)*$E114)+B$15</f>
        <v>#DIV/0!</v>
      </c>
      <c r="H114" s="4" t="e">
        <f aca="false">IF($B$16=1,VLOOKUP($A114,SkewTable,HLOOKUP(ROUND(I114-AO114,1),SkewTable,2,FALSE()),FALSE())/100,0)</f>
        <v>#DIV/0!</v>
      </c>
      <c r="I114" s="41" t="n">
        <f aca="false">IF($B$19=4,$AO114,$B$18)</f>
        <v>12</v>
      </c>
      <c r="K114" s="40" t="n">
        <f aca="false">IF(K$28="nymex",0,VLOOKUP($A114,curvesettle,HLOOKUP(K$28,curvesettle,2,FALSE())))</f>
        <v>-0.019</v>
      </c>
      <c r="L114" s="131" t="n">
        <f aca="false">IF(ISNUMBER(VLOOKUP($A114,VOLCURVES,HLOOKUP(K$28,VOLCURVES,2,FALSE()),FALSE())),VLOOKUP($A114,VOLCURVES,HLOOKUP(K$28,VOLCURVES,2,FALSE()),FALSE()),1)</f>
        <v>1</v>
      </c>
      <c r="M114" s="136" t="n">
        <f aca="false">IF(K$28="NYMEX",$AG114,$AF114)</f>
        <v>-6603</v>
      </c>
      <c r="N114" s="153" t="e">
        <f aca="false">(($C114+O114)*$L114)+D$15</f>
        <v>#DIV/0!</v>
      </c>
      <c r="O114" s="4" t="e">
        <f aca="false">IF($D$16=1,VLOOKUP($A114,SkewTable,HLOOKUP(ROUND(P114-AZ114,1),SkewTable,2,FALSE()),FALSE())/100,0)</f>
        <v>#DIV/0!</v>
      </c>
      <c r="P114" s="41" t="n">
        <f aca="false">IF($D$19=4,$AZ114,$D$18)</f>
        <v>3.75</v>
      </c>
      <c r="R114" s="40" t="n">
        <f aca="false">IF(R$28="nymex",0,VLOOKUP($A114,curvesettle,HLOOKUP(R$28,curvesettle,2,FALSE())))</f>
        <v>-0.019</v>
      </c>
      <c r="S114" s="131" t="n">
        <f aca="false">IF(ISNUMBER(VLOOKUP($A114,VOLCURVES,HLOOKUP(R$28,VOLCURVES,2,FALSE()),FALSE())),VLOOKUP($A114,VOLCURVES,HLOOKUP(R$28,VOLCURVES,2,FALSE()),FALSE()),1)</f>
        <v>1</v>
      </c>
      <c r="T114" s="136" t="n">
        <f aca="false">IF(R$28="NYMEX",$AG114,$AF114)</f>
        <v>-6603</v>
      </c>
      <c r="U114" s="153" t="e">
        <f aca="false">(($C114+V114)*$S114)+F$15</f>
        <v>#DIV/0!</v>
      </c>
      <c r="V114" s="4" t="e">
        <f aca="false">IF($F$16=1,VLOOKUP($A114,SkewTable,HLOOKUP(ROUND(W114-BK114,1),SkewTable,2,FALSE()),FALSE())/100,0)</f>
        <v>#DIV/0!</v>
      </c>
      <c r="W114" s="41" t="n">
        <f aca="false">IF($F$19=4,$BK114,$F$18)</f>
        <v>3.5</v>
      </c>
      <c r="X114" s="136"/>
      <c r="Y114" s="40" t="n">
        <f aca="false">IF(Y$28="nymex",0,VLOOKUP($A114,curvesettle,HLOOKUP(Y$28,curvesettle,2,FALSE())))</f>
        <v>-0.335</v>
      </c>
      <c r="Z114" s="131" t="n">
        <f aca="false">IF(ISNUMBER(VLOOKUP($A114,VOLCURVES,HLOOKUP(Y$28,VOLCURVES,2,FALSE()),FALSE())),VLOOKUP($A114,VOLCURVES,HLOOKUP(Y$28,VOLCURVES,2,FALSE()),FALSE()),1)</f>
        <v>1</v>
      </c>
      <c r="AA114" s="136" t="n">
        <f aca="false">IF(Y$28="NYMEX",$AG114,$AF114)</f>
        <v>-6603</v>
      </c>
      <c r="AB114" s="4" t="e">
        <f aca="false">(($C114+AC114)*$Z114)+H$15</f>
        <v>#DIV/0!</v>
      </c>
      <c r="AC114" s="4" t="e">
        <f aca="false">IF($H$16=1,VLOOKUP($A114,SkewTable,HLOOKUP(ROUND(AD114-BV114,1),SkewTable,2,FALSE()),FALSE())/100,0)</f>
        <v>#DIV/0!</v>
      </c>
      <c r="AD114" s="41" t="n">
        <f aca="false">IF($H$19=4,$BV114,$H$18)</f>
        <v>3</v>
      </c>
      <c r="AF114" s="136" t="n">
        <f aca="false">VLOOKUP($A114,expiration,2,FALSE())-$B$2</f>
        <v>-6603</v>
      </c>
      <c r="AG114" s="136" t="n">
        <f aca="false">VLOOKUP($A114,expiration,3,FALSE())-$B$2</f>
        <v>-6604</v>
      </c>
      <c r="AH114" s="4" t="n">
        <f aca="false">VLOOKUP($A114,STRADDLE,12,FALSE())</f>
        <v>0.069443723213803</v>
      </c>
      <c r="AI114" s="43" t="n">
        <f aca="false">A115-A114</f>
        <v>30</v>
      </c>
      <c r="AL114" s="136"/>
      <c r="AM114" s="9"/>
      <c r="AN114" s="9" t="n">
        <f aca="false">IF($A114&gt;=AO$25,IF($A114&lt;=AO$26,$AI114,0),0)</f>
        <v>0</v>
      </c>
      <c r="AO114" s="9" t="e">
        <f aca="false">AQ114/AN114</f>
        <v>#DIV/0!</v>
      </c>
      <c r="AP114" s="1" t="n">
        <f aca="false">AN114*($B114+B$13)</f>
        <v>0</v>
      </c>
      <c r="AQ114" s="33" t="n">
        <f aca="false">IF(ISNUMBER(((AP114/AN114)+B$14+$D114)*AN114),((AP114/AN114)+B$14+$D114)*AN114,0)</f>
        <v>0</v>
      </c>
      <c r="AR114" s="44" t="n">
        <f aca="false">IF(AN114=0,0,bsd(1,AS$27,AO114,$I114,$F114,$G114,$AH114,0.1))</f>
        <v>0</v>
      </c>
      <c r="AS114" s="44" t="n">
        <f aca="false">IF(AN114=0,0,bsd(2,AS$27,AO114,$I114,$F114,$G114,$AH114,0.1))</f>
        <v>0</v>
      </c>
      <c r="AT114" s="44" t="n">
        <f aca="false">IF(AN114=0,0,bsd(AS$28,AS$27,AO114,$I114,$F114,$G114,$AH114,0.1))</f>
        <v>0</v>
      </c>
      <c r="AU114" s="45" t="n">
        <f aca="false">AN114*AR114</f>
        <v>0</v>
      </c>
      <c r="AV114" s="45" t="n">
        <f aca="false">AN114*AS114</f>
        <v>0</v>
      </c>
      <c r="AW114" s="45" t="n">
        <f aca="false">AN114*AT114</f>
        <v>0</v>
      </c>
      <c r="AY114" s="9" t="n">
        <f aca="false">IF($A114&gt;=AZ$25,IF($A114&lt;=AZ$26,$AI114,0),0)</f>
        <v>0</v>
      </c>
      <c r="AZ114" s="9" t="e">
        <f aca="false">BB114/AY114</f>
        <v>#DIV/0!</v>
      </c>
      <c r="BA114" s="1" t="n">
        <f aca="false">AY114*($B114+D$13)</f>
        <v>0</v>
      </c>
      <c r="BB114" s="33" t="n">
        <f aca="false">IF(ISNUMBER(((BA114/AY114)+D$14+$K114)*AY114),((BA114/AY114)+D$14+$K114)*AY114,0)</f>
        <v>0</v>
      </c>
      <c r="BC114" s="44" t="n">
        <f aca="false">IF(AY114=0,0,bsd(1,BD$27,AZ114,$P114,$M114,$N114,$AH114,0.1))</f>
        <v>0</v>
      </c>
      <c r="BD114" s="44" t="n">
        <f aca="false">IF(AY114=0,0,bsd(2,BD$27,AZ114,$P114,$M114,$N114,$AH114,0.1))</f>
        <v>0</v>
      </c>
      <c r="BE114" s="44" t="n">
        <f aca="false">IF(AY114=0,0,bsd(BD$28,BD$27,AZ114,$P114,$M114,$N114,$AH114,0.1))</f>
        <v>0</v>
      </c>
      <c r="BF114" s="45" t="n">
        <f aca="false">AY114*BC114</f>
        <v>0</v>
      </c>
      <c r="BG114" s="45" t="n">
        <f aca="false">AY114*BD114</f>
        <v>0</v>
      </c>
      <c r="BH114" s="45" t="n">
        <f aca="false">AY114*BE114</f>
        <v>0</v>
      </c>
      <c r="BJ114" s="9" t="n">
        <f aca="false">IF($A114&gt;=BK$25,IF($A114&lt;=BK$26,$AI114,0),0)</f>
        <v>0</v>
      </c>
      <c r="BK114" s="9" t="e">
        <f aca="false">BM114/BJ114</f>
        <v>#DIV/0!</v>
      </c>
      <c r="BL114" s="1" t="n">
        <f aca="false">BJ114*($B114+F$13)</f>
        <v>0</v>
      </c>
      <c r="BM114" s="33" t="n">
        <f aca="false">IF(ISNUMBER(((BL114/BJ114)+F$14+$R114)*BJ114),((BL114/BJ114)+F$14+$R114)*BJ114,0)</f>
        <v>0</v>
      </c>
      <c r="BN114" s="44" t="n">
        <f aca="false">IF(BJ114=0,0,bsd(1,BO$27,BK114,$W114,$T114,$U114,$AH114,0.1))</f>
        <v>0</v>
      </c>
      <c r="BO114" s="44" t="n">
        <f aca="false">IF(BJ114=0,0,bsd(2,BO$27,BK114,$W114,$T114,$U114,$AH114,0.1))</f>
        <v>0</v>
      </c>
      <c r="BP114" s="44" t="n">
        <f aca="false">IF(BJ114=0,0,bsd(BO$28,BO$27,BK114,$W114,$T114,$U114,$AH114,0.1))</f>
        <v>0</v>
      </c>
      <c r="BQ114" s="45" t="n">
        <f aca="false">BJ114*BN114</f>
        <v>0</v>
      </c>
      <c r="BR114" s="45" t="n">
        <f aca="false">BJ114*BO114</f>
        <v>0</v>
      </c>
      <c r="BS114" s="45" t="n">
        <f aca="false">BJ114*BP114</f>
        <v>0</v>
      </c>
      <c r="BU114" s="9" t="n">
        <f aca="false">IF($A114&gt;=BV$25,IF($A114&lt;=BV$26,$AI114,0),0)</f>
        <v>0</v>
      </c>
      <c r="BV114" s="9" t="e">
        <f aca="false">BX114/BU114</f>
        <v>#DIV/0!</v>
      </c>
      <c r="BW114" s="1" t="n">
        <f aca="false">BU114*($B114+H$13)</f>
        <v>0</v>
      </c>
      <c r="BX114" s="33" t="n">
        <f aca="false">IF(ISNUMBER(((BW114/BU114)+H$14+$Y114)*BU114),((BW114/BU114)+H$14+$Y114)*BU114,0)</f>
        <v>0</v>
      </c>
      <c r="BY114" s="44" t="n">
        <f aca="false">IF(BU114=0,0,bsd(1,BZ$27,BV114,$AD114,$AA114,$AB114,$AH114,0.1))</f>
        <v>0</v>
      </c>
      <c r="BZ114" s="44" t="n">
        <f aca="false">IF(BU114=0,0,bsd(2,BZ$27,BV114,$AD114,$AA114,$AB114,$AH114,0.1))</f>
        <v>0</v>
      </c>
      <c r="CA114" s="44" t="n">
        <f aca="false">IF(BU114=0,0,bsd(BZ$28,BZ$27,BV114,$AD114,$AA114,$AB114,$AH114,0.1))</f>
        <v>0</v>
      </c>
      <c r="CB114" s="45" t="n">
        <f aca="false">BU114*BY114</f>
        <v>0</v>
      </c>
      <c r="CC114" s="45" t="n">
        <f aca="false">BU114*BZ114</f>
        <v>0</v>
      </c>
      <c r="CD114" s="45" t="n">
        <f aca="false">BU114*CA114</f>
        <v>0</v>
      </c>
    </row>
    <row r="115" customFormat="false" ht="12.75" hidden="false" customHeight="false" outlineLevel="0" collapsed="false">
      <c r="A115" s="48" t="n">
        <f aca="false">DATE(YEAR(A114),MONTH(A114)+1,1)</f>
        <v>39356</v>
      </c>
      <c r="B115" s="40" t="n">
        <f aca="false">VLOOKUP(A115,STRADDLE,5,FALSE())</f>
        <v>3.056</v>
      </c>
      <c r="C115" s="4" t="n">
        <f aca="false">VLOOKUP(A115,STRADDLE,8,FALSE())</f>
        <v>0.2</v>
      </c>
      <c r="D115" s="40" t="n">
        <f aca="false">IF(D$28="nymex",0,VLOOKUP($A115,curvesettle,HLOOKUP(D$28,curvesettle,2,FALSE())))</f>
        <v>0.461</v>
      </c>
      <c r="E115" s="131" t="n">
        <f aca="false">IF(ISNUMBER(VLOOKUP($A115,VOLCURVES,HLOOKUP(D$28,VOLCURVES,2,FALSE()),FALSE())),VLOOKUP($A115,VOLCURVES,HLOOKUP(D$28,VOLCURVES,2,FALSE()),FALSE()),1)</f>
        <v>0.98</v>
      </c>
      <c r="F115" s="136" t="n">
        <f aca="false">IF(D$28="NYMEX",$AG115,$AF115)</f>
        <v>-6575</v>
      </c>
      <c r="G115" s="4" t="e">
        <f aca="false">(($C115+H115)*$E115)+B$15</f>
        <v>#DIV/0!</v>
      </c>
      <c r="H115" s="4" t="e">
        <f aca="false">IF($B$16=1,VLOOKUP($A115,SkewTable,HLOOKUP(ROUND(I115-AO115,1),SkewTable,2,FALSE()),FALSE())/100,0)</f>
        <v>#DIV/0!</v>
      </c>
      <c r="I115" s="41" t="n">
        <f aca="false">IF($B$19=4,$AO115,$B$18)</f>
        <v>12</v>
      </c>
      <c r="K115" s="40" t="n">
        <f aca="false">IF(K$28="nymex",0,VLOOKUP($A115,curvesettle,HLOOKUP(K$28,curvesettle,2,FALSE())))</f>
        <v>-0.019</v>
      </c>
      <c r="L115" s="131" t="n">
        <f aca="false">IF(ISNUMBER(VLOOKUP($A115,VOLCURVES,HLOOKUP(K$28,VOLCURVES,2,FALSE()),FALSE())),VLOOKUP($A115,VOLCURVES,HLOOKUP(K$28,VOLCURVES,2,FALSE()),FALSE()),1)</f>
        <v>1</v>
      </c>
      <c r="M115" s="136" t="n">
        <f aca="false">IF(K$28="NYMEX",$AG115,$AF115)</f>
        <v>-6575</v>
      </c>
      <c r="N115" s="153" t="e">
        <f aca="false">(($C115+O115)*$L115)+D$15</f>
        <v>#DIV/0!</v>
      </c>
      <c r="O115" s="4" t="e">
        <f aca="false">IF($D$16=1,VLOOKUP($A115,SkewTable,HLOOKUP(ROUND(P115-AZ115,1),SkewTable,2,FALSE()),FALSE())/100,0)</f>
        <v>#DIV/0!</v>
      </c>
      <c r="P115" s="41" t="n">
        <f aca="false">IF($D$19=4,$AZ115,$D$18)</f>
        <v>3.75</v>
      </c>
      <c r="R115" s="40" t="n">
        <f aca="false">IF(R$28="nymex",0,VLOOKUP($A115,curvesettle,HLOOKUP(R$28,curvesettle,2,FALSE())))</f>
        <v>-0.019</v>
      </c>
      <c r="S115" s="131" t="n">
        <f aca="false">IF(ISNUMBER(VLOOKUP($A115,VOLCURVES,HLOOKUP(R$28,VOLCURVES,2,FALSE()),FALSE())),VLOOKUP($A115,VOLCURVES,HLOOKUP(R$28,VOLCURVES,2,FALSE()),FALSE()),1)</f>
        <v>1</v>
      </c>
      <c r="T115" s="136" t="n">
        <f aca="false">IF(R$28="NYMEX",$AG115,$AF115)</f>
        <v>-6575</v>
      </c>
      <c r="U115" s="153" t="e">
        <f aca="false">(($C115+V115)*$S115)+F$15</f>
        <v>#DIV/0!</v>
      </c>
      <c r="V115" s="4" t="e">
        <f aca="false">IF($F$16=1,VLOOKUP($A115,SkewTable,HLOOKUP(ROUND(W115-BK115,1),SkewTable,2,FALSE()),FALSE())/100,0)</f>
        <v>#DIV/0!</v>
      </c>
      <c r="W115" s="41" t="n">
        <f aca="false">IF($F$19=4,$BK115,$F$18)</f>
        <v>3.5</v>
      </c>
      <c r="X115" s="136"/>
      <c r="Y115" s="40" t="n">
        <f aca="false">IF(Y$28="nymex",0,VLOOKUP($A115,curvesettle,HLOOKUP(Y$28,curvesettle,2,FALSE())))</f>
        <v>-0.335</v>
      </c>
      <c r="Z115" s="131" t="n">
        <f aca="false">IF(ISNUMBER(VLOOKUP($A115,VOLCURVES,HLOOKUP(Y$28,VOLCURVES,2,FALSE()),FALSE())),VLOOKUP($A115,VOLCURVES,HLOOKUP(Y$28,VOLCURVES,2,FALSE()),FALSE()),1)</f>
        <v>1</v>
      </c>
      <c r="AA115" s="136" t="n">
        <f aca="false">IF(Y$28="NYMEX",$AG115,$AF115)</f>
        <v>-6575</v>
      </c>
      <c r="AB115" s="4" t="e">
        <f aca="false">(($C115+AC115)*$Z115)+H$15</f>
        <v>#DIV/0!</v>
      </c>
      <c r="AC115" s="4" t="e">
        <f aca="false">IF($H$16=1,VLOOKUP($A115,SkewTable,HLOOKUP(ROUND(AD115-BV115,1),SkewTable,2,FALSE()),FALSE())/100,0)</f>
        <v>#DIV/0!</v>
      </c>
      <c r="AD115" s="41" t="n">
        <f aca="false">IF($H$19=4,$BV115,$H$18)</f>
        <v>3</v>
      </c>
      <c r="AF115" s="136" t="n">
        <f aca="false">VLOOKUP($A115,expiration,2,FALSE())-$B$2</f>
        <v>-6575</v>
      </c>
      <c r="AG115" s="136" t="n">
        <f aca="false">VLOOKUP($A115,expiration,3,FALSE())-$B$2</f>
        <v>-6576</v>
      </c>
      <c r="AH115" s="4" t="n">
        <f aca="false">VLOOKUP($A115,STRADDLE,12,FALSE())</f>
        <v>0.069488464519514</v>
      </c>
      <c r="AI115" s="43" t="n">
        <f aca="false">A116-A115</f>
        <v>31</v>
      </c>
      <c r="AL115" s="136"/>
      <c r="AM115" s="9"/>
      <c r="AN115" s="9" t="n">
        <f aca="false">IF($A115&gt;=AO$25,IF($A115&lt;=AO$26,$AI115,0),0)</f>
        <v>0</v>
      </c>
      <c r="AO115" s="9" t="e">
        <f aca="false">AQ115/AN115</f>
        <v>#DIV/0!</v>
      </c>
      <c r="AP115" s="1" t="n">
        <f aca="false">AN115*($B115+B$13)</f>
        <v>0</v>
      </c>
      <c r="AQ115" s="33" t="n">
        <f aca="false">IF(ISNUMBER(((AP115/AN115)+B$14+$D115)*AN115),((AP115/AN115)+B$14+$D115)*AN115,0)</f>
        <v>0</v>
      </c>
      <c r="AR115" s="44" t="n">
        <f aca="false">IF(AN115=0,0,bsd(1,AS$27,AO115,$I115,$F115,$G115,$AH115,0.1))</f>
        <v>0</v>
      </c>
      <c r="AS115" s="44" t="n">
        <f aca="false">IF(AN115=0,0,bsd(2,AS$27,AO115,$I115,$F115,$G115,$AH115,0.1))</f>
        <v>0</v>
      </c>
      <c r="AT115" s="44" t="n">
        <f aca="false">IF(AN115=0,0,bsd(AS$28,AS$27,AO115,$I115,$F115,$G115,$AH115,0.1))</f>
        <v>0</v>
      </c>
      <c r="AU115" s="45" t="n">
        <f aca="false">AN115*AR115</f>
        <v>0</v>
      </c>
      <c r="AV115" s="45" t="n">
        <f aca="false">AN115*AS115</f>
        <v>0</v>
      </c>
      <c r="AW115" s="45" t="n">
        <f aca="false">AN115*AT115</f>
        <v>0</v>
      </c>
      <c r="AY115" s="9" t="n">
        <f aca="false">IF($A115&gt;=AZ$25,IF($A115&lt;=AZ$26,$AI115,0),0)</f>
        <v>0</v>
      </c>
      <c r="AZ115" s="9" t="e">
        <f aca="false">BB115/AY115</f>
        <v>#DIV/0!</v>
      </c>
      <c r="BA115" s="1" t="n">
        <f aca="false">AY115*($B115+D$13)</f>
        <v>0</v>
      </c>
      <c r="BB115" s="33" t="n">
        <f aca="false">IF(ISNUMBER(((BA115/AY115)+D$14+$K115)*AY115),((BA115/AY115)+D$14+$K115)*AY115,0)</f>
        <v>0</v>
      </c>
      <c r="BC115" s="44" t="n">
        <f aca="false">IF(AY115=0,0,bsd(1,BD$27,AZ115,$P115,$M115,$N115,$AH115,0.1))</f>
        <v>0</v>
      </c>
      <c r="BD115" s="44" t="n">
        <f aca="false">IF(AY115=0,0,bsd(2,BD$27,AZ115,$P115,$M115,$N115,$AH115,0.1))</f>
        <v>0</v>
      </c>
      <c r="BE115" s="44" t="n">
        <f aca="false">IF(AY115=0,0,bsd(BD$28,BD$27,AZ115,$P115,$M115,$N115,$AH115,0.1))</f>
        <v>0</v>
      </c>
      <c r="BF115" s="45" t="n">
        <f aca="false">AY115*BC115</f>
        <v>0</v>
      </c>
      <c r="BG115" s="45" t="n">
        <f aca="false">AY115*BD115</f>
        <v>0</v>
      </c>
      <c r="BH115" s="45" t="n">
        <f aca="false">AY115*BE115</f>
        <v>0</v>
      </c>
      <c r="BJ115" s="9" t="n">
        <f aca="false">IF($A115&gt;=BK$25,IF($A115&lt;=BK$26,$AI115,0),0)</f>
        <v>0</v>
      </c>
      <c r="BK115" s="9" t="e">
        <f aca="false">BM115/BJ115</f>
        <v>#DIV/0!</v>
      </c>
      <c r="BL115" s="1" t="n">
        <f aca="false">BJ115*($B115+F$13)</f>
        <v>0</v>
      </c>
      <c r="BM115" s="33" t="n">
        <f aca="false">IF(ISNUMBER(((BL115/BJ115)+F$14+$R115)*BJ115),((BL115/BJ115)+F$14+$R115)*BJ115,0)</f>
        <v>0</v>
      </c>
      <c r="BN115" s="44" t="n">
        <f aca="false">IF(BJ115=0,0,bsd(1,BO$27,BK115,$W115,$T115,$U115,$AH115,0.1))</f>
        <v>0</v>
      </c>
      <c r="BO115" s="44" t="n">
        <f aca="false">IF(BJ115=0,0,bsd(2,BO$27,BK115,$W115,$T115,$U115,$AH115,0.1))</f>
        <v>0</v>
      </c>
      <c r="BP115" s="44" t="n">
        <f aca="false">IF(BJ115=0,0,bsd(BO$28,BO$27,BK115,$W115,$T115,$U115,$AH115,0.1))</f>
        <v>0</v>
      </c>
      <c r="BQ115" s="45" t="n">
        <f aca="false">BJ115*BN115</f>
        <v>0</v>
      </c>
      <c r="BR115" s="45" t="n">
        <f aca="false">BJ115*BO115</f>
        <v>0</v>
      </c>
      <c r="BS115" s="45" t="n">
        <f aca="false">BJ115*BP115</f>
        <v>0</v>
      </c>
      <c r="BU115" s="9" t="n">
        <f aca="false">IF($A115&gt;=BV$25,IF($A115&lt;=BV$26,$AI115,0),0)</f>
        <v>0</v>
      </c>
      <c r="BV115" s="9" t="e">
        <f aca="false">BX115/BU115</f>
        <v>#DIV/0!</v>
      </c>
      <c r="BW115" s="1" t="n">
        <f aca="false">BU115*($B115+H$13)</f>
        <v>0</v>
      </c>
      <c r="BX115" s="33" t="n">
        <f aca="false">IF(ISNUMBER(((BW115/BU115)+H$14+$Y115)*BU115),((BW115/BU115)+H$14+$Y115)*BU115,0)</f>
        <v>0</v>
      </c>
      <c r="BY115" s="44" t="n">
        <f aca="false">IF(BU115=0,0,bsd(1,BZ$27,BV115,$AD115,$AA115,$AB115,$AH115,0.1))</f>
        <v>0</v>
      </c>
      <c r="BZ115" s="44" t="n">
        <f aca="false">IF(BU115=0,0,bsd(2,BZ$27,BV115,$AD115,$AA115,$AB115,$AH115,0.1))</f>
        <v>0</v>
      </c>
      <c r="CA115" s="44" t="n">
        <f aca="false">IF(BU115=0,0,bsd(BZ$28,BZ$27,BV115,$AD115,$AA115,$AB115,$AH115,0.1))</f>
        <v>0</v>
      </c>
      <c r="CB115" s="45" t="n">
        <f aca="false">BU115*BY115</f>
        <v>0</v>
      </c>
      <c r="CC115" s="45" t="n">
        <f aca="false">BU115*BZ115</f>
        <v>0</v>
      </c>
      <c r="CD115" s="45" t="n">
        <f aca="false">BU115*CA115</f>
        <v>0</v>
      </c>
    </row>
    <row r="116" customFormat="false" ht="12.75" hidden="false" customHeight="false" outlineLevel="0" collapsed="false">
      <c r="A116" s="48" t="n">
        <f aca="false">DATE(YEAR(A115),MONTH(A115)+1,1)</f>
        <v>39387</v>
      </c>
      <c r="B116" s="40" t="n">
        <f aca="false">VLOOKUP(A116,STRADDLE,5,FALSE())</f>
        <v>3.128</v>
      </c>
      <c r="C116" s="4" t="n">
        <f aca="false">VLOOKUP(A116,STRADDLE,8,FALSE())</f>
        <v>0.2</v>
      </c>
      <c r="D116" s="40" t="n">
        <f aca="false">IF(D$28="nymex",0,VLOOKUP($A116,curvesettle,HLOOKUP(D$28,curvesettle,2,FALSE())))</f>
        <v>0.885</v>
      </c>
      <c r="E116" s="131" t="n">
        <f aca="false">IF(ISNUMBER(VLOOKUP($A116,VOLCURVES,HLOOKUP(D$28,VOLCURVES,2,FALSE()),FALSE())),VLOOKUP($A116,VOLCURVES,HLOOKUP(D$28,VOLCURVES,2,FALSE()),FALSE()),1)</f>
        <v>1.1</v>
      </c>
      <c r="F116" s="136" t="n">
        <f aca="false">IF(D$28="NYMEX",$AG116,$AF116)</f>
        <v>-6542</v>
      </c>
      <c r="G116" s="4" t="e">
        <f aca="false">(($C116+H116)*$E116)+B$15</f>
        <v>#DIV/0!</v>
      </c>
      <c r="H116" s="4" t="e">
        <f aca="false">IF($B$16=1,VLOOKUP($A116,SkewTable,HLOOKUP(ROUND(I116-AO116,1),SkewTable,2,FALSE()),FALSE())/100,0)</f>
        <v>#DIV/0!</v>
      </c>
      <c r="I116" s="41" t="n">
        <f aca="false">IF($B$19=4,$AO116,$B$18)</f>
        <v>12</v>
      </c>
      <c r="K116" s="40" t="n">
        <f aca="false">IF(K$28="nymex",0,VLOOKUP($A116,curvesettle,HLOOKUP(K$28,curvesettle,2,FALSE())))</f>
        <v>-0.0155</v>
      </c>
      <c r="L116" s="131" t="n">
        <f aca="false">IF(ISNUMBER(VLOOKUP($A116,VOLCURVES,HLOOKUP(K$28,VOLCURVES,2,FALSE()),FALSE())),VLOOKUP($A116,VOLCURVES,HLOOKUP(K$28,VOLCURVES,2,FALSE()),FALSE()),1)</f>
        <v>1</v>
      </c>
      <c r="M116" s="136" t="n">
        <f aca="false">IF(K$28="NYMEX",$AG116,$AF116)</f>
        <v>-6542</v>
      </c>
      <c r="N116" s="153" t="e">
        <f aca="false">(($C116+O116)*$L116)+D$15</f>
        <v>#DIV/0!</v>
      </c>
      <c r="O116" s="4" t="e">
        <f aca="false">IF($D$16=1,VLOOKUP($A116,SkewTable,HLOOKUP(ROUND(P116-AZ116,1),SkewTable,2,FALSE()),FALSE())/100,0)</f>
        <v>#DIV/0!</v>
      </c>
      <c r="P116" s="41" t="n">
        <f aca="false">IF($D$19=4,$AZ116,$D$18)</f>
        <v>3.75</v>
      </c>
      <c r="R116" s="40" t="n">
        <f aca="false">IF(R$28="nymex",0,VLOOKUP($A116,curvesettle,HLOOKUP(R$28,curvesettle,2,FALSE())))</f>
        <v>-0.0155</v>
      </c>
      <c r="S116" s="131" t="n">
        <f aca="false">IF(ISNUMBER(VLOOKUP($A116,VOLCURVES,HLOOKUP(R$28,VOLCURVES,2,FALSE()),FALSE())),VLOOKUP($A116,VOLCURVES,HLOOKUP(R$28,VOLCURVES,2,FALSE()),FALSE()),1)</f>
        <v>1</v>
      </c>
      <c r="T116" s="136" t="n">
        <f aca="false">IF(R$28="NYMEX",$AG116,$AF116)</f>
        <v>-6542</v>
      </c>
      <c r="U116" s="153" t="e">
        <f aca="false">(($C116+V116)*$S116)+F$15</f>
        <v>#DIV/0!</v>
      </c>
      <c r="V116" s="4" t="e">
        <f aca="false">IF($F$16=1,VLOOKUP($A116,SkewTable,HLOOKUP(ROUND(W116-BK116,1),SkewTable,2,FALSE()),FALSE())/100,0)</f>
        <v>#DIV/0!</v>
      </c>
      <c r="W116" s="41" t="n">
        <f aca="false">IF($F$19=4,$BK116,$F$18)</f>
        <v>3.5</v>
      </c>
      <c r="X116" s="136"/>
      <c r="Y116" s="40" t="n">
        <f aca="false">IF(Y$28="nymex",0,VLOOKUP($A116,curvesettle,HLOOKUP(Y$28,curvesettle,2,FALSE())))</f>
        <v>-0.26</v>
      </c>
      <c r="Z116" s="131" t="n">
        <f aca="false">IF(ISNUMBER(VLOOKUP($A116,VOLCURVES,HLOOKUP(Y$28,VOLCURVES,2,FALSE()),FALSE())),VLOOKUP($A116,VOLCURVES,HLOOKUP(Y$28,VOLCURVES,2,FALSE()),FALSE()),1)</f>
        <v>1</v>
      </c>
      <c r="AA116" s="136" t="n">
        <f aca="false">IF(Y$28="NYMEX",$AG116,$AF116)</f>
        <v>-6542</v>
      </c>
      <c r="AB116" s="4" t="e">
        <f aca="false">(($C116+AC116)*$Z116)+H$15</f>
        <v>#DIV/0!</v>
      </c>
      <c r="AC116" s="4" t="e">
        <f aca="false">IF($H$16=1,VLOOKUP($A116,SkewTable,HLOOKUP(ROUND(AD116-BV116,1),SkewTable,2,FALSE()),FALSE())/100,0)</f>
        <v>#DIV/0!</v>
      </c>
      <c r="AD116" s="41" t="n">
        <f aca="false">IF($H$19=4,$BV116,$H$18)</f>
        <v>3</v>
      </c>
      <c r="AF116" s="136" t="n">
        <f aca="false">VLOOKUP($A116,expiration,2,FALSE())-$B$2</f>
        <v>-6542</v>
      </c>
      <c r="AG116" s="136" t="n">
        <f aca="false">VLOOKUP($A116,expiration,3,FALSE())-$B$2</f>
        <v>-6545</v>
      </c>
      <c r="AH116" s="4" t="n">
        <f aca="false">VLOOKUP($A116,STRADDLE,12,FALSE())</f>
        <v>0.069525859238557</v>
      </c>
      <c r="AI116" s="43" t="n">
        <f aca="false">A117-A116</f>
        <v>30</v>
      </c>
      <c r="AL116" s="136"/>
      <c r="AM116" s="9"/>
      <c r="AN116" s="9" t="n">
        <f aca="false">IF($A116&gt;=AO$25,IF($A116&lt;=AO$26,$AI116,0),0)</f>
        <v>0</v>
      </c>
      <c r="AO116" s="9" t="e">
        <f aca="false">AQ116/AN116</f>
        <v>#DIV/0!</v>
      </c>
      <c r="AP116" s="1" t="n">
        <f aca="false">AN116*($B116+B$13)</f>
        <v>0</v>
      </c>
      <c r="AQ116" s="33" t="n">
        <f aca="false">IF(ISNUMBER(((AP116/AN116)+B$14+$D116)*AN116),((AP116/AN116)+B$14+$D116)*AN116,0)</f>
        <v>0</v>
      </c>
      <c r="AR116" s="44" t="n">
        <f aca="false">IF(AN116=0,0,bsd(1,AS$27,AO116,$I116,$F116,$G116,$AH116,0.1))</f>
        <v>0</v>
      </c>
      <c r="AS116" s="44" t="n">
        <f aca="false">IF(AN116=0,0,bsd(2,AS$27,AO116,$I116,$F116,$G116,$AH116,0.1))</f>
        <v>0</v>
      </c>
      <c r="AT116" s="44" t="n">
        <f aca="false">IF(AN116=0,0,bsd(AS$28,AS$27,AO116,$I116,$F116,$G116,$AH116,0.1))</f>
        <v>0</v>
      </c>
      <c r="AU116" s="45" t="n">
        <f aca="false">AN116*AR116</f>
        <v>0</v>
      </c>
      <c r="AV116" s="45" t="n">
        <f aca="false">AN116*AS116</f>
        <v>0</v>
      </c>
      <c r="AW116" s="45" t="n">
        <f aca="false">AN116*AT116</f>
        <v>0</v>
      </c>
      <c r="AY116" s="9" t="n">
        <f aca="false">IF($A116&gt;=AZ$25,IF($A116&lt;=AZ$26,$AI116,0),0)</f>
        <v>0</v>
      </c>
      <c r="AZ116" s="9" t="e">
        <f aca="false">BB116/AY116</f>
        <v>#DIV/0!</v>
      </c>
      <c r="BA116" s="1" t="n">
        <f aca="false">AY116*($B116+D$13)</f>
        <v>0</v>
      </c>
      <c r="BB116" s="33" t="n">
        <f aca="false">IF(ISNUMBER(((BA116/AY116)+D$14+$K116)*AY116),((BA116/AY116)+D$14+$K116)*AY116,0)</f>
        <v>0</v>
      </c>
      <c r="BC116" s="44" t="n">
        <f aca="false">IF(AY116=0,0,bsd(1,BD$27,AZ116,$P116,$M116,$N116,$AH116,0.1))</f>
        <v>0</v>
      </c>
      <c r="BD116" s="44" t="n">
        <f aca="false">IF(AY116=0,0,bsd(2,BD$27,AZ116,$P116,$M116,$N116,$AH116,0.1))</f>
        <v>0</v>
      </c>
      <c r="BE116" s="44" t="n">
        <f aca="false">IF(AY116=0,0,bsd(BD$28,BD$27,AZ116,$P116,$M116,$N116,$AH116,0.1))</f>
        <v>0</v>
      </c>
      <c r="BF116" s="45" t="n">
        <f aca="false">AY116*BC116</f>
        <v>0</v>
      </c>
      <c r="BG116" s="45" t="n">
        <f aca="false">AY116*BD116</f>
        <v>0</v>
      </c>
      <c r="BH116" s="45" t="n">
        <f aca="false">AY116*BE116</f>
        <v>0</v>
      </c>
      <c r="BJ116" s="9" t="n">
        <f aca="false">IF($A116&gt;=BK$25,IF($A116&lt;=BK$26,$AI116,0),0)</f>
        <v>0</v>
      </c>
      <c r="BK116" s="9" t="e">
        <f aca="false">BM116/BJ116</f>
        <v>#DIV/0!</v>
      </c>
      <c r="BL116" s="1" t="n">
        <f aca="false">BJ116*($B116+F$13)</f>
        <v>0</v>
      </c>
      <c r="BM116" s="33" t="n">
        <f aca="false">IF(ISNUMBER(((BL116/BJ116)+F$14+$R116)*BJ116),((BL116/BJ116)+F$14+$R116)*BJ116,0)</f>
        <v>0</v>
      </c>
      <c r="BN116" s="44" t="n">
        <f aca="false">IF(BJ116=0,0,bsd(1,BO$27,BK116,$W116,$T116,$U116,$AH116,0.1))</f>
        <v>0</v>
      </c>
      <c r="BO116" s="44" t="n">
        <f aca="false">IF(BJ116=0,0,bsd(2,BO$27,BK116,$W116,$T116,$U116,$AH116,0.1))</f>
        <v>0</v>
      </c>
      <c r="BP116" s="44" t="n">
        <f aca="false">IF(BJ116=0,0,bsd(BO$28,BO$27,BK116,$W116,$T116,$U116,$AH116,0.1))</f>
        <v>0</v>
      </c>
      <c r="BQ116" s="45" t="n">
        <f aca="false">BJ116*BN116</f>
        <v>0</v>
      </c>
      <c r="BR116" s="45" t="n">
        <f aca="false">BJ116*BO116</f>
        <v>0</v>
      </c>
      <c r="BS116" s="45" t="n">
        <f aca="false">BJ116*BP116</f>
        <v>0</v>
      </c>
      <c r="BU116" s="9" t="n">
        <f aca="false">IF($A116&gt;=BV$25,IF($A116&lt;=BV$26,$AI116,0),0)</f>
        <v>0</v>
      </c>
      <c r="BV116" s="9" t="e">
        <f aca="false">BX116/BU116</f>
        <v>#DIV/0!</v>
      </c>
      <c r="BW116" s="1" t="n">
        <f aca="false">BU116*($B116+H$13)</f>
        <v>0</v>
      </c>
      <c r="BX116" s="33" t="n">
        <f aca="false">IF(ISNUMBER(((BW116/BU116)+H$14+$Y116)*BU116),((BW116/BU116)+H$14+$Y116)*BU116,0)</f>
        <v>0</v>
      </c>
      <c r="BY116" s="44" t="n">
        <f aca="false">IF(BU116=0,0,bsd(1,BZ$27,BV116,$AD116,$AA116,$AB116,$AH116,0.1))</f>
        <v>0</v>
      </c>
      <c r="BZ116" s="44" t="n">
        <f aca="false">IF(BU116=0,0,bsd(2,BZ$27,BV116,$AD116,$AA116,$AB116,$AH116,0.1))</f>
        <v>0</v>
      </c>
      <c r="CA116" s="44" t="n">
        <f aca="false">IF(BU116=0,0,bsd(BZ$28,BZ$27,BV116,$AD116,$AA116,$AB116,$AH116,0.1))</f>
        <v>0</v>
      </c>
      <c r="CB116" s="45" t="n">
        <f aca="false">BU116*BY116</f>
        <v>0</v>
      </c>
      <c r="CC116" s="45" t="n">
        <f aca="false">BU116*BZ116</f>
        <v>0</v>
      </c>
      <c r="CD116" s="45" t="n">
        <f aca="false">BU116*CA116</f>
        <v>0</v>
      </c>
    </row>
    <row r="117" customFormat="false" ht="12.75" hidden="false" customHeight="false" outlineLevel="0" collapsed="false">
      <c r="A117" s="48" t="n">
        <f aca="false">DATE(YEAR(A116),MONTH(A116)+1,1)</f>
        <v>39417</v>
      </c>
      <c r="B117" s="40" t="n">
        <f aca="false">VLOOKUP(A117,STRADDLE,5,FALSE())</f>
        <v>3.192</v>
      </c>
      <c r="C117" s="4" t="n">
        <f aca="false">VLOOKUP(A117,STRADDLE,8,FALSE())</f>
        <v>0.2</v>
      </c>
      <c r="D117" s="40" t="n">
        <f aca="false">IF(D$28="nymex",0,VLOOKUP($A117,curvesettle,HLOOKUP(D$28,curvesettle,2,FALSE())))</f>
        <v>1.31</v>
      </c>
      <c r="E117" s="131" t="n">
        <f aca="false">IF(ISNUMBER(VLOOKUP($A117,VOLCURVES,HLOOKUP(D$28,VOLCURVES,2,FALSE()),FALSE())),VLOOKUP($A117,VOLCURVES,HLOOKUP(D$28,VOLCURVES,2,FALSE()),FALSE()),1)</f>
        <v>1.1</v>
      </c>
      <c r="F117" s="136" t="n">
        <f aca="false">IF(D$28="NYMEX",$AG117,$AF117)</f>
        <v>-6512</v>
      </c>
      <c r="G117" s="4" t="e">
        <f aca="false">(($C117+H117)*$E117)+B$15</f>
        <v>#DIV/0!</v>
      </c>
      <c r="H117" s="4" t="e">
        <f aca="false">IF($B$16=1,VLOOKUP($A117,SkewTable,HLOOKUP(ROUND(I117-AO117,1),SkewTable,2,FALSE()),FALSE())/100,0)</f>
        <v>#DIV/0!</v>
      </c>
      <c r="I117" s="41" t="n">
        <f aca="false">IF($B$19=4,$AO117,$B$18)</f>
        <v>12</v>
      </c>
      <c r="K117" s="40" t="n">
        <f aca="false">IF(K$28="nymex",0,VLOOKUP($A117,curvesettle,HLOOKUP(K$28,curvesettle,2,FALSE())))</f>
        <v>-0.0155</v>
      </c>
      <c r="L117" s="131" t="n">
        <f aca="false">IF(ISNUMBER(VLOOKUP($A117,VOLCURVES,HLOOKUP(K$28,VOLCURVES,2,FALSE()),FALSE())),VLOOKUP($A117,VOLCURVES,HLOOKUP(K$28,VOLCURVES,2,FALSE()),FALSE()),1)</f>
        <v>1</v>
      </c>
      <c r="M117" s="136" t="n">
        <f aca="false">IF(K$28="NYMEX",$AG117,$AF117)</f>
        <v>-6512</v>
      </c>
      <c r="N117" s="153" t="e">
        <f aca="false">(($C117+O117)*$L117)+D$15</f>
        <v>#DIV/0!</v>
      </c>
      <c r="O117" s="4" t="e">
        <f aca="false">IF($D$16=1,VLOOKUP($A117,SkewTable,HLOOKUP(ROUND(P117-AZ117,1),SkewTable,2,FALSE()),FALSE())/100,0)</f>
        <v>#DIV/0!</v>
      </c>
      <c r="P117" s="41" t="n">
        <f aca="false">IF($D$19=4,$AZ117,$D$18)</f>
        <v>3.75</v>
      </c>
      <c r="R117" s="40" t="n">
        <f aca="false">IF(R$28="nymex",0,VLOOKUP($A117,curvesettle,HLOOKUP(R$28,curvesettle,2,FALSE())))</f>
        <v>-0.0155</v>
      </c>
      <c r="S117" s="131" t="n">
        <f aca="false">IF(ISNUMBER(VLOOKUP($A117,VOLCURVES,HLOOKUP(R$28,VOLCURVES,2,FALSE()),FALSE())),VLOOKUP($A117,VOLCURVES,HLOOKUP(R$28,VOLCURVES,2,FALSE()),FALSE()),1)</f>
        <v>1</v>
      </c>
      <c r="T117" s="136" t="n">
        <f aca="false">IF(R$28="NYMEX",$AG117,$AF117)</f>
        <v>-6512</v>
      </c>
      <c r="U117" s="153" t="e">
        <f aca="false">(($C117+V117)*$S117)+F$15</f>
        <v>#DIV/0!</v>
      </c>
      <c r="V117" s="4" t="e">
        <f aca="false">IF($F$16=1,VLOOKUP($A117,SkewTable,HLOOKUP(ROUND(W117-BK117,1),SkewTable,2,FALSE()),FALSE())/100,0)</f>
        <v>#DIV/0!</v>
      </c>
      <c r="W117" s="41" t="n">
        <f aca="false">IF($F$19=4,$BK117,$F$18)</f>
        <v>3.5</v>
      </c>
      <c r="X117" s="136"/>
      <c r="Y117" s="40" t="n">
        <f aca="false">IF(Y$28="nymex",0,VLOOKUP($A117,curvesettle,HLOOKUP(Y$28,curvesettle,2,FALSE())))</f>
        <v>-0.26</v>
      </c>
      <c r="Z117" s="131" t="n">
        <f aca="false">IF(ISNUMBER(VLOOKUP($A117,VOLCURVES,HLOOKUP(Y$28,VOLCURVES,2,FALSE()),FALSE())),VLOOKUP($A117,VOLCURVES,HLOOKUP(Y$28,VOLCURVES,2,FALSE()),FALSE()),1)</f>
        <v>1</v>
      </c>
      <c r="AA117" s="136" t="n">
        <f aca="false">IF(Y$28="NYMEX",$AG117,$AF117)</f>
        <v>-6512</v>
      </c>
      <c r="AB117" s="4" t="e">
        <f aca="false">(($C117+AC117)*$Z117)+H$15</f>
        <v>#DIV/0!</v>
      </c>
      <c r="AC117" s="4" t="e">
        <f aca="false">IF($H$16=1,VLOOKUP($A117,SkewTable,HLOOKUP(ROUND(AD117-BV117,1),SkewTable,2,FALSE()),FALSE())/100,0)</f>
        <v>#DIV/0!</v>
      </c>
      <c r="AD117" s="41" t="n">
        <f aca="false">IF($H$19=4,$BV117,$H$18)</f>
        <v>3</v>
      </c>
      <c r="AF117" s="136" t="n">
        <f aca="false">VLOOKUP($A117,expiration,2,FALSE())-$B$2</f>
        <v>-6512</v>
      </c>
      <c r="AG117" s="136" t="n">
        <f aca="false">VLOOKUP($A117,expiration,3,FALSE())-$B$2</f>
        <v>-6513</v>
      </c>
      <c r="AH117" s="4" t="n">
        <f aca="false">VLOOKUP($A117,STRADDLE,12,FALSE())</f>
        <v>0.069562047676781</v>
      </c>
      <c r="AI117" s="43" t="n">
        <f aca="false">A118-A117</f>
        <v>31</v>
      </c>
      <c r="AL117" s="136"/>
      <c r="AM117" s="9"/>
      <c r="AN117" s="9" t="n">
        <f aca="false">IF($A117&gt;=AO$25,IF($A117&lt;=AO$26,$AI117,0),0)</f>
        <v>0</v>
      </c>
      <c r="AO117" s="9" t="e">
        <f aca="false">AQ117/AN117</f>
        <v>#DIV/0!</v>
      </c>
      <c r="AP117" s="1" t="n">
        <f aca="false">AN117*($B117+B$13)</f>
        <v>0</v>
      </c>
      <c r="AQ117" s="33" t="n">
        <f aca="false">IF(ISNUMBER(((AP117/AN117)+B$14+$D117)*AN117),((AP117/AN117)+B$14+$D117)*AN117,0)</f>
        <v>0</v>
      </c>
      <c r="AR117" s="44" t="n">
        <f aca="false">IF(AN117=0,0,bsd(1,AS$27,AO117,$I117,$F117,$G117,$AH117,0.1))</f>
        <v>0</v>
      </c>
      <c r="AS117" s="44" t="n">
        <f aca="false">IF(AN117=0,0,bsd(2,AS$27,AO117,$I117,$F117,$G117,$AH117,0.1))</f>
        <v>0</v>
      </c>
      <c r="AT117" s="44" t="n">
        <f aca="false">IF(AN117=0,0,bsd(AS$28,AS$27,AO117,$I117,$F117,$G117,$AH117,0.1))</f>
        <v>0</v>
      </c>
      <c r="AU117" s="45" t="n">
        <f aca="false">AN117*AR117</f>
        <v>0</v>
      </c>
      <c r="AV117" s="45" t="n">
        <f aca="false">AN117*AS117</f>
        <v>0</v>
      </c>
      <c r="AW117" s="45" t="n">
        <f aca="false">AN117*AT117</f>
        <v>0</v>
      </c>
      <c r="AY117" s="9" t="n">
        <f aca="false">IF($A117&gt;=AZ$25,IF($A117&lt;=AZ$26,$AI117,0),0)</f>
        <v>0</v>
      </c>
      <c r="AZ117" s="9" t="e">
        <f aca="false">BB117/AY117</f>
        <v>#DIV/0!</v>
      </c>
      <c r="BA117" s="1" t="n">
        <f aca="false">AY117*($B117+D$13)</f>
        <v>0</v>
      </c>
      <c r="BB117" s="33" t="n">
        <f aca="false">IF(ISNUMBER(((BA117/AY117)+D$14+$K117)*AY117),((BA117/AY117)+D$14+$K117)*AY117,0)</f>
        <v>0</v>
      </c>
      <c r="BC117" s="44" t="n">
        <f aca="false">IF(AY117=0,0,bsd(1,BD$27,AZ117,$P117,$M117,$N117,$AH117,0.1))</f>
        <v>0</v>
      </c>
      <c r="BD117" s="44" t="n">
        <f aca="false">IF(AY117=0,0,bsd(2,BD$27,AZ117,$P117,$M117,$N117,$AH117,0.1))</f>
        <v>0</v>
      </c>
      <c r="BE117" s="44" t="n">
        <f aca="false">IF(AY117=0,0,bsd(BD$28,BD$27,AZ117,$P117,$M117,$N117,$AH117,0.1))</f>
        <v>0</v>
      </c>
      <c r="BF117" s="45" t="n">
        <f aca="false">AY117*BC117</f>
        <v>0</v>
      </c>
      <c r="BG117" s="45" t="n">
        <f aca="false">AY117*BD117</f>
        <v>0</v>
      </c>
      <c r="BH117" s="45" t="n">
        <f aca="false">AY117*BE117</f>
        <v>0</v>
      </c>
      <c r="BJ117" s="9" t="n">
        <f aca="false">IF($A117&gt;=BK$25,IF($A117&lt;=BK$26,$AI117,0),0)</f>
        <v>0</v>
      </c>
      <c r="BK117" s="9" t="e">
        <f aca="false">BM117/BJ117</f>
        <v>#DIV/0!</v>
      </c>
      <c r="BL117" s="1" t="n">
        <f aca="false">BJ117*($B117+F$13)</f>
        <v>0</v>
      </c>
      <c r="BM117" s="33" t="n">
        <f aca="false">IF(ISNUMBER(((BL117/BJ117)+F$14+$R117)*BJ117),((BL117/BJ117)+F$14+$R117)*BJ117,0)</f>
        <v>0</v>
      </c>
      <c r="BN117" s="44" t="n">
        <f aca="false">IF(BJ117=0,0,bsd(1,BO$27,BK117,$W117,$T117,$U117,$AH117,0.1))</f>
        <v>0</v>
      </c>
      <c r="BO117" s="44" t="n">
        <f aca="false">IF(BJ117=0,0,bsd(2,BO$27,BK117,$W117,$T117,$U117,$AH117,0.1))</f>
        <v>0</v>
      </c>
      <c r="BP117" s="44" t="n">
        <f aca="false">IF(BJ117=0,0,bsd(BO$28,BO$27,BK117,$W117,$T117,$U117,$AH117,0.1))</f>
        <v>0</v>
      </c>
      <c r="BQ117" s="45" t="n">
        <f aca="false">BJ117*BN117</f>
        <v>0</v>
      </c>
      <c r="BR117" s="45" t="n">
        <f aca="false">BJ117*BO117</f>
        <v>0</v>
      </c>
      <c r="BS117" s="45" t="n">
        <f aca="false">BJ117*BP117</f>
        <v>0</v>
      </c>
      <c r="BU117" s="9" t="n">
        <f aca="false">IF($A117&gt;=BV$25,IF($A117&lt;=BV$26,$AI117,0),0)</f>
        <v>0</v>
      </c>
      <c r="BV117" s="9" t="e">
        <f aca="false">BX117/BU117</f>
        <v>#DIV/0!</v>
      </c>
      <c r="BW117" s="1" t="n">
        <f aca="false">BU117*($B117+H$13)</f>
        <v>0</v>
      </c>
      <c r="BX117" s="33" t="n">
        <f aca="false">IF(ISNUMBER(((BW117/BU117)+H$14+$Y117)*BU117),((BW117/BU117)+H$14+$Y117)*BU117,0)</f>
        <v>0</v>
      </c>
      <c r="BY117" s="44" t="n">
        <f aca="false">IF(BU117=0,0,bsd(1,BZ$27,BV117,$AD117,$AA117,$AB117,$AH117,0.1))</f>
        <v>0</v>
      </c>
      <c r="BZ117" s="44" t="n">
        <f aca="false">IF(BU117=0,0,bsd(2,BZ$27,BV117,$AD117,$AA117,$AB117,$AH117,0.1))</f>
        <v>0</v>
      </c>
      <c r="CA117" s="44" t="n">
        <f aca="false">IF(BU117=0,0,bsd(BZ$28,BZ$27,BV117,$AD117,$AA117,$AB117,$AH117,0.1))</f>
        <v>0</v>
      </c>
      <c r="CB117" s="45" t="n">
        <f aca="false">BU117*BY117</f>
        <v>0</v>
      </c>
      <c r="CC117" s="45" t="n">
        <f aca="false">BU117*BZ117</f>
        <v>0</v>
      </c>
      <c r="CD117" s="45" t="n">
        <f aca="false">BU117*CA117</f>
        <v>0</v>
      </c>
    </row>
    <row r="118" customFormat="false" ht="12.75" hidden="false" customHeight="false" outlineLevel="0" collapsed="false">
      <c r="A118" s="48" t="n">
        <f aca="false">DATE(YEAR(A117),MONTH(A117)+1,1)</f>
        <v>39448</v>
      </c>
      <c r="B118" s="40" t="n">
        <f aca="false">VLOOKUP(A118,STRADDLE,5,FALSE())</f>
        <v>3.587</v>
      </c>
      <c r="C118" s="4" t="n">
        <f aca="false">VLOOKUP(A118,STRADDLE,8,FALSE())</f>
        <v>0.2</v>
      </c>
      <c r="D118" s="40" t="n">
        <f aca="false">IF(D$28="nymex",0,VLOOKUP($A118,curvesettle,HLOOKUP(D$28,curvesettle,2,FALSE())))</f>
        <v>1.645</v>
      </c>
      <c r="E118" s="131" t="n">
        <f aca="false">IF(ISNUMBER(VLOOKUP($A118,VOLCURVES,HLOOKUP(D$28,VOLCURVES,2,FALSE()),FALSE())),VLOOKUP($A118,VOLCURVES,HLOOKUP(D$28,VOLCURVES,2,FALSE()),FALSE()),1)</f>
        <v>1.1</v>
      </c>
      <c r="F118" s="136" t="n">
        <f aca="false">IF(D$28="NYMEX",$AG118,$AF118)</f>
        <v>-6483</v>
      </c>
      <c r="G118" s="4" t="e">
        <f aca="false">(($C118+H118)*$E118)+B$15</f>
        <v>#DIV/0!</v>
      </c>
      <c r="H118" s="4" t="e">
        <f aca="false">IF($B$16=1,VLOOKUP($A118,SkewTable,HLOOKUP(ROUND(I118-AO118,1),SkewTable,2,FALSE()),FALSE())/100,0)</f>
        <v>#DIV/0!</v>
      </c>
      <c r="I118" s="41" t="n">
        <f aca="false">IF($B$19=4,$AO118,$B$18)</f>
        <v>12</v>
      </c>
      <c r="K118" s="40" t="n">
        <f aca="false">IF(K$28="nymex",0,VLOOKUP($A118,curvesettle,HLOOKUP(K$28,curvesettle,2,FALSE())))</f>
        <v>-0.0155</v>
      </c>
      <c r="L118" s="131" t="n">
        <f aca="false">IF(ISNUMBER(VLOOKUP($A118,VOLCURVES,HLOOKUP(K$28,VOLCURVES,2,FALSE()),FALSE())),VLOOKUP($A118,VOLCURVES,HLOOKUP(K$28,VOLCURVES,2,FALSE()),FALSE()),1)</f>
        <v>1</v>
      </c>
      <c r="M118" s="136" t="n">
        <f aca="false">IF(K$28="NYMEX",$AG118,$AF118)</f>
        <v>-6483</v>
      </c>
      <c r="N118" s="153" t="e">
        <f aca="false">(($C118+O118)*$L118)+D$15</f>
        <v>#DIV/0!</v>
      </c>
      <c r="O118" s="4" t="e">
        <f aca="false">IF($D$16=1,VLOOKUP($A118,SkewTable,HLOOKUP(ROUND(P118-AZ118,1),SkewTable,2,FALSE()),FALSE())/100,0)</f>
        <v>#DIV/0!</v>
      </c>
      <c r="P118" s="41" t="n">
        <f aca="false">IF($D$19=4,$AZ118,$D$18)</f>
        <v>3.75</v>
      </c>
      <c r="R118" s="40" t="n">
        <f aca="false">IF(R$28="nymex",0,VLOOKUP($A118,curvesettle,HLOOKUP(R$28,curvesettle,2,FALSE())))</f>
        <v>-0.0155</v>
      </c>
      <c r="S118" s="131" t="n">
        <f aca="false">IF(ISNUMBER(VLOOKUP($A118,VOLCURVES,HLOOKUP(R$28,VOLCURVES,2,FALSE()),FALSE())),VLOOKUP($A118,VOLCURVES,HLOOKUP(R$28,VOLCURVES,2,FALSE()),FALSE()),1)</f>
        <v>1</v>
      </c>
      <c r="T118" s="136" t="n">
        <f aca="false">IF(R$28="NYMEX",$AG118,$AF118)</f>
        <v>-6483</v>
      </c>
      <c r="U118" s="153" t="e">
        <f aca="false">(($C118+V118)*$S118)+F$15</f>
        <v>#DIV/0!</v>
      </c>
      <c r="V118" s="4" t="e">
        <f aca="false">IF($F$16=1,VLOOKUP($A118,SkewTable,HLOOKUP(ROUND(W118-BK118,1),SkewTable,2,FALSE()),FALSE())/100,0)</f>
        <v>#DIV/0!</v>
      </c>
      <c r="W118" s="41" t="n">
        <f aca="false">IF($F$19=4,$BK118,$F$18)</f>
        <v>3.5</v>
      </c>
      <c r="X118" s="136"/>
      <c r="Y118" s="40" t="n">
        <f aca="false">IF(Y$28="nymex",0,VLOOKUP($A118,curvesettle,HLOOKUP(Y$28,curvesettle,2,FALSE())))</f>
        <v>-0.26</v>
      </c>
      <c r="Z118" s="131" t="n">
        <f aca="false">IF(ISNUMBER(VLOOKUP($A118,VOLCURVES,HLOOKUP(Y$28,VOLCURVES,2,FALSE()),FALSE())),VLOOKUP($A118,VOLCURVES,HLOOKUP(Y$28,VOLCURVES,2,FALSE()),FALSE()),1)</f>
        <v>1</v>
      </c>
      <c r="AA118" s="136" t="n">
        <f aca="false">IF(Y$28="NYMEX",$AG118,$AF118)</f>
        <v>-6483</v>
      </c>
      <c r="AB118" s="4" t="e">
        <f aca="false">(($C118+AC118)*$Z118)+H$15</f>
        <v>#DIV/0!</v>
      </c>
      <c r="AC118" s="4" t="e">
        <f aca="false">IF($H$16=1,VLOOKUP($A118,SkewTable,HLOOKUP(ROUND(AD118-BV118,1),SkewTable,2,FALSE()),FALSE())/100,0)</f>
        <v>#DIV/0!</v>
      </c>
      <c r="AD118" s="41" t="n">
        <f aca="false">IF($H$19=4,$BV118,$H$18)</f>
        <v>3</v>
      </c>
      <c r="AF118" s="136" t="n">
        <f aca="false">VLOOKUP($A118,expiration,2,FALSE())-$B$2</f>
        <v>-6483</v>
      </c>
      <c r="AG118" s="136" t="n">
        <f aca="false">VLOOKUP($A118,expiration,3,FALSE())-$B$2</f>
        <v>-6484</v>
      </c>
      <c r="AH118" s="4" t="n">
        <f aca="false">VLOOKUP($A118,STRADDLE,12,FALSE())</f>
        <v>0.069599442396734</v>
      </c>
      <c r="AI118" s="43" t="n">
        <f aca="false">A119-A118</f>
        <v>31</v>
      </c>
      <c r="AL118" s="136"/>
      <c r="AM118" s="9"/>
      <c r="AN118" s="9" t="n">
        <f aca="false">IF($A118&gt;=AO$25,IF($A118&lt;=AO$26,$AI118,0),0)</f>
        <v>0</v>
      </c>
      <c r="AO118" s="9" t="e">
        <f aca="false">AQ118/AN118</f>
        <v>#DIV/0!</v>
      </c>
      <c r="AP118" s="1" t="n">
        <f aca="false">AN118*($B118+B$13)</f>
        <v>0</v>
      </c>
      <c r="AQ118" s="33" t="n">
        <f aca="false">IF(ISNUMBER(((AP118/AN118)+B$14+$D118)*AN118),((AP118/AN118)+B$14+$D118)*AN118,0)</f>
        <v>0</v>
      </c>
      <c r="AR118" s="44" t="n">
        <f aca="false">IF(AN118=0,0,bsd(1,AS$27,AO118,$I118,$F118,$G118,$AH118,0.1))</f>
        <v>0</v>
      </c>
      <c r="AS118" s="44" t="n">
        <f aca="false">IF(AN118=0,0,bsd(2,AS$27,AO118,$I118,$F118,$G118,$AH118,0.1))</f>
        <v>0</v>
      </c>
      <c r="AT118" s="44" t="n">
        <f aca="false">IF(AN118=0,0,bsd(AS$28,AS$27,AO118,$I118,$F118,$G118,$AH118,0.1))</f>
        <v>0</v>
      </c>
      <c r="AU118" s="45" t="n">
        <f aca="false">AN118*AR118</f>
        <v>0</v>
      </c>
      <c r="AV118" s="45" t="n">
        <f aca="false">AN118*AS118</f>
        <v>0</v>
      </c>
      <c r="AW118" s="45" t="n">
        <f aca="false">AN118*AT118</f>
        <v>0</v>
      </c>
      <c r="AY118" s="9" t="n">
        <f aca="false">IF($A118&gt;=AZ$25,IF($A118&lt;=AZ$26,$AI118,0),0)</f>
        <v>0</v>
      </c>
      <c r="AZ118" s="9" t="e">
        <f aca="false">BB118/AY118</f>
        <v>#DIV/0!</v>
      </c>
      <c r="BA118" s="1" t="n">
        <f aca="false">AY118*($B118+D$13)</f>
        <v>0</v>
      </c>
      <c r="BB118" s="33" t="n">
        <f aca="false">IF(ISNUMBER(((BA118/AY118)+D$14+$K118)*AY118),((BA118/AY118)+D$14+$K118)*AY118,0)</f>
        <v>0</v>
      </c>
      <c r="BC118" s="44" t="n">
        <f aca="false">IF(AY118=0,0,bsd(1,BD$27,AZ118,$P118,$M118,$N118,$AH118,0.1))</f>
        <v>0</v>
      </c>
      <c r="BD118" s="44" t="n">
        <f aca="false">IF(AY118=0,0,bsd(2,BD$27,AZ118,$P118,$M118,$N118,$AH118,0.1))</f>
        <v>0</v>
      </c>
      <c r="BE118" s="44" t="n">
        <f aca="false">IF(AY118=0,0,bsd(BD$28,BD$27,AZ118,$P118,$M118,$N118,$AH118,0.1))</f>
        <v>0</v>
      </c>
      <c r="BF118" s="45" t="n">
        <f aca="false">AY118*BC118</f>
        <v>0</v>
      </c>
      <c r="BG118" s="45" t="n">
        <f aca="false">AY118*BD118</f>
        <v>0</v>
      </c>
      <c r="BH118" s="45" t="n">
        <f aca="false">AY118*BE118</f>
        <v>0</v>
      </c>
      <c r="BJ118" s="9" t="n">
        <f aca="false">IF($A118&gt;=BK$25,IF($A118&lt;=BK$26,$AI118,0),0)</f>
        <v>0</v>
      </c>
      <c r="BK118" s="9" t="e">
        <f aca="false">BM118/BJ118</f>
        <v>#DIV/0!</v>
      </c>
      <c r="BL118" s="1" t="n">
        <f aca="false">BJ118*($B118+F$13)</f>
        <v>0</v>
      </c>
      <c r="BM118" s="33" t="n">
        <f aca="false">IF(ISNUMBER(((BL118/BJ118)+F$14+$R118)*BJ118),((BL118/BJ118)+F$14+$R118)*BJ118,0)</f>
        <v>0</v>
      </c>
      <c r="BN118" s="44" t="n">
        <f aca="false">IF(BJ118=0,0,bsd(1,BO$27,BK118,$W118,$T118,$U118,$AH118,0.1))</f>
        <v>0</v>
      </c>
      <c r="BO118" s="44" t="n">
        <f aca="false">IF(BJ118=0,0,bsd(2,BO$27,BK118,$W118,$T118,$U118,$AH118,0.1))</f>
        <v>0</v>
      </c>
      <c r="BP118" s="44" t="n">
        <f aca="false">IF(BJ118=0,0,bsd(BO$28,BO$27,BK118,$W118,$T118,$U118,$AH118,0.1))</f>
        <v>0</v>
      </c>
      <c r="BQ118" s="45" t="n">
        <f aca="false">BJ118*BN118</f>
        <v>0</v>
      </c>
      <c r="BR118" s="45" t="n">
        <f aca="false">BJ118*BO118</f>
        <v>0</v>
      </c>
      <c r="BS118" s="45" t="n">
        <f aca="false">BJ118*BP118</f>
        <v>0</v>
      </c>
      <c r="BU118" s="9" t="n">
        <f aca="false">IF($A118&gt;=BV$25,IF($A118&lt;=BV$26,$AI118,0),0)</f>
        <v>0</v>
      </c>
      <c r="BV118" s="9" t="e">
        <f aca="false">BX118/BU118</f>
        <v>#DIV/0!</v>
      </c>
      <c r="BW118" s="1" t="n">
        <f aca="false">BU118*($B118+H$13)</f>
        <v>0</v>
      </c>
      <c r="BX118" s="33" t="n">
        <f aca="false">IF(ISNUMBER(((BW118/BU118)+H$14+$Y118)*BU118),((BW118/BU118)+H$14+$Y118)*BU118,0)</f>
        <v>0</v>
      </c>
      <c r="BY118" s="44" t="n">
        <f aca="false">IF(BU118=0,0,bsd(1,BZ$27,BV118,$AD118,$AA118,$AB118,$AH118,0.1))</f>
        <v>0</v>
      </c>
      <c r="BZ118" s="44" t="n">
        <f aca="false">IF(BU118=0,0,bsd(2,BZ$27,BV118,$AD118,$AA118,$AB118,$AH118,0.1))</f>
        <v>0</v>
      </c>
      <c r="CA118" s="44" t="n">
        <f aca="false">IF(BU118=0,0,bsd(BZ$28,BZ$27,BV118,$AD118,$AA118,$AB118,$AH118,0.1))</f>
        <v>0</v>
      </c>
      <c r="CB118" s="45" t="n">
        <f aca="false">BU118*BY118</f>
        <v>0</v>
      </c>
      <c r="CC118" s="45" t="n">
        <f aca="false">BU118*BZ118</f>
        <v>0</v>
      </c>
      <c r="CD118" s="45" t="n">
        <f aca="false">BU118*CA118</f>
        <v>0</v>
      </c>
    </row>
    <row r="119" customFormat="false" ht="12.75" hidden="false" customHeight="false" outlineLevel="0" collapsed="false">
      <c r="A119" s="48" t="n">
        <f aca="false">DATE(YEAR(A118),MONTH(A118)+1,1)</f>
        <v>39479</v>
      </c>
      <c r="B119" s="40" t="n">
        <f aca="false">VLOOKUP(A119,STRADDLE,5,FALSE())</f>
        <v>3.445</v>
      </c>
      <c r="C119" s="4" t="n">
        <f aca="false">VLOOKUP(A119,STRADDLE,8,FALSE())</f>
        <v>0.2</v>
      </c>
      <c r="D119" s="40" t="n">
        <f aca="false">IF(D$28="nymex",0,VLOOKUP($A119,curvesettle,HLOOKUP(D$28,curvesettle,2,FALSE())))</f>
        <v>1.595</v>
      </c>
      <c r="E119" s="131" t="n">
        <f aca="false">IF(ISNUMBER(VLOOKUP($A119,VOLCURVES,HLOOKUP(D$28,VOLCURVES,2,FALSE()),FALSE())),VLOOKUP($A119,VOLCURVES,HLOOKUP(D$28,VOLCURVES,2,FALSE()),FALSE()),1)</f>
        <v>1.1</v>
      </c>
      <c r="F119" s="136" t="n">
        <f aca="false">IF(D$28="NYMEX",$AG119,$AF119)</f>
        <v>-6450</v>
      </c>
      <c r="G119" s="4" t="e">
        <f aca="false">(($C119+H119)*$E119)+B$15</f>
        <v>#DIV/0!</v>
      </c>
      <c r="H119" s="4" t="e">
        <f aca="false">IF($B$16=1,VLOOKUP($A119,SkewTable,HLOOKUP(ROUND(I119-AO119,1),SkewTable,2,FALSE()),FALSE())/100,0)</f>
        <v>#DIV/0!</v>
      </c>
      <c r="I119" s="41" t="n">
        <f aca="false">IF($B$19=4,$AO119,$B$18)</f>
        <v>12</v>
      </c>
      <c r="K119" s="40" t="n">
        <f aca="false">IF(K$28="nymex",0,VLOOKUP($A119,curvesettle,HLOOKUP(K$28,curvesettle,2,FALSE())))</f>
        <v>-0.0155</v>
      </c>
      <c r="L119" s="131" t="n">
        <f aca="false">IF(ISNUMBER(VLOOKUP($A119,VOLCURVES,HLOOKUP(K$28,VOLCURVES,2,FALSE()),FALSE())),VLOOKUP($A119,VOLCURVES,HLOOKUP(K$28,VOLCURVES,2,FALSE()),FALSE()),1)</f>
        <v>1</v>
      </c>
      <c r="M119" s="136" t="n">
        <f aca="false">IF(K$28="NYMEX",$AG119,$AF119)</f>
        <v>-6450</v>
      </c>
      <c r="N119" s="153" t="e">
        <f aca="false">(($C119+O119)*$L119)+D$15</f>
        <v>#DIV/0!</v>
      </c>
      <c r="O119" s="4" t="e">
        <f aca="false">IF($D$16=1,VLOOKUP($A119,SkewTable,HLOOKUP(ROUND(P119-AZ119,1),SkewTable,2,FALSE()),FALSE())/100,0)</f>
        <v>#DIV/0!</v>
      </c>
      <c r="P119" s="41" t="n">
        <f aca="false">IF($D$19=4,$AZ119,$D$18)</f>
        <v>3.75</v>
      </c>
      <c r="R119" s="40" t="n">
        <f aca="false">IF(R$28="nymex",0,VLOOKUP($A119,curvesettle,HLOOKUP(R$28,curvesettle,2,FALSE())))</f>
        <v>-0.0155</v>
      </c>
      <c r="S119" s="131" t="n">
        <f aca="false">IF(ISNUMBER(VLOOKUP($A119,VOLCURVES,HLOOKUP(R$28,VOLCURVES,2,FALSE()),FALSE())),VLOOKUP($A119,VOLCURVES,HLOOKUP(R$28,VOLCURVES,2,FALSE()),FALSE()),1)</f>
        <v>1</v>
      </c>
      <c r="T119" s="136" t="n">
        <f aca="false">IF(R$28="NYMEX",$AG119,$AF119)</f>
        <v>-6450</v>
      </c>
      <c r="U119" s="153" t="e">
        <f aca="false">(($C119+V119)*$S119)+F$15</f>
        <v>#DIV/0!</v>
      </c>
      <c r="V119" s="4" t="e">
        <f aca="false">IF($F$16=1,VLOOKUP($A119,SkewTable,HLOOKUP(ROUND(W119-BK119,1),SkewTable,2,FALSE()),FALSE())/100,0)</f>
        <v>#DIV/0!</v>
      </c>
      <c r="W119" s="41" t="n">
        <f aca="false">IF($F$19=4,$BK119,$F$18)</f>
        <v>3.5</v>
      </c>
      <c r="X119" s="136"/>
      <c r="Y119" s="40" t="n">
        <f aca="false">IF(Y$28="nymex",0,VLOOKUP($A119,curvesettle,HLOOKUP(Y$28,curvesettle,2,FALSE())))</f>
        <v>-0.26</v>
      </c>
      <c r="Z119" s="131" t="n">
        <f aca="false">IF(ISNUMBER(VLOOKUP($A119,VOLCURVES,HLOOKUP(Y$28,VOLCURVES,2,FALSE()),FALSE())),VLOOKUP($A119,VOLCURVES,HLOOKUP(Y$28,VOLCURVES,2,FALSE()),FALSE()),1)</f>
        <v>1</v>
      </c>
      <c r="AA119" s="136" t="n">
        <f aca="false">IF(Y$28="NYMEX",$AG119,$AF119)</f>
        <v>-6450</v>
      </c>
      <c r="AB119" s="4" t="e">
        <f aca="false">(($C119+AC119)*$Z119)+H$15</f>
        <v>#DIV/0!</v>
      </c>
      <c r="AC119" s="4" t="e">
        <f aca="false">IF($H$16=1,VLOOKUP($A119,SkewTable,HLOOKUP(ROUND(AD119-BV119,1),SkewTable,2,FALSE()),FALSE())/100,0)</f>
        <v>#DIV/0!</v>
      </c>
      <c r="AD119" s="41" t="n">
        <f aca="false">IF($H$19=4,$BV119,$H$18)</f>
        <v>3</v>
      </c>
      <c r="AF119" s="136" t="n">
        <f aca="false">VLOOKUP($A119,expiration,2,FALSE())-$B$2</f>
        <v>-6450</v>
      </c>
      <c r="AG119" s="136" t="n">
        <f aca="false">VLOOKUP($A119,expiration,3,FALSE())-$B$2</f>
        <v>-6451</v>
      </c>
      <c r="AH119" s="4" t="n">
        <f aca="false">VLOOKUP($A119,STRADDLE,12,FALSE())</f>
        <v>0.069636837117149</v>
      </c>
      <c r="AI119" s="43" t="n">
        <f aca="false">A120-A119</f>
        <v>29</v>
      </c>
      <c r="AL119" s="136"/>
      <c r="AM119" s="9"/>
      <c r="AN119" s="9" t="n">
        <f aca="false">IF($A119&gt;=AO$25,IF($A119&lt;=AO$26,$AI119,0),0)</f>
        <v>0</v>
      </c>
      <c r="AO119" s="9" t="e">
        <f aca="false">AQ119/AN119</f>
        <v>#DIV/0!</v>
      </c>
      <c r="AP119" s="1" t="n">
        <f aca="false">AN119*($B119+B$13)</f>
        <v>0</v>
      </c>
      <c r="AQ119" s="33" t="n">
        <f aca="false">IF(ISNUMBER(((AP119/AN119)+B$14+$D119)*AN119),((AP119/AN119)+B$14+$D119)*AN119,0)</f>
        <v>0</v>
      </c>
      <c r="AR119" s="44" t="n">
        <f aca="false">IF(AN119=0,0,bsd(1,AS$27,AO119,$I119,$F119,$G119,$AH119,0.1))</f>
        <v>0</v>
      </c>
      <c r="AS119" s="44" t="n">
        <f aca="false">IF(AN119=0,0,bsd(2,AS$27,AO119,$I119,$F119,$G119,$AH119,0.1))</f>
        <v>0</v>
      </c>
      <c r="AT119" s="44" t="n">
        <f aca="false">IF(AN119=0,0,bsd(AS$28,AS$27,AO119,$I119,$F119,$G119,$AH119,0.1))</f>
        <v>0</v>
      </c>
      <c r="AU119" s="45" t="n">
        <f aca="false">AN119*AR119</f>
        <v>0</v>
      </c>
      <c r="AV119" s="45" t="n">
        <f aca="false">AN119*AS119</f>
        <v>0</v>
      </c>
      <c r="AW119" s="45" t="n">
        <f aca="false">AN119*AT119</f>
        <v>0</v>
      </c>
      <c r="AY119" s="9" t="n">
        <f aca="false">IF($A119&gt;=AZ$25,IF($A119&lt;=AZ$26,$AI119,0),0)</f>
        <v>0</v>
      </c>
      <c r="AZ119" s="9" t="e">
        <f aca="false">BB119/AY119</f>
        <v>#DIV/0!</v>
      </c>
      <c r="BA119" s="1" t="n">
        <f aca="false">AY119*($B119+D$13)</f>
        <v>0</v>
      </c>
      <c r="BB119" s="33" t="n">
        <f aca="false">IF(ISNUMBER(((BA119/AY119)+D$14+$K119)*AY119),((BA119/AY119)+D$14+$K119)*AY119,0)</f>
        <v>0</v>
      </c>
      <c r="BC119" s="44" t="n">
        <f aca="false">IF(AY119=0,0,bsd(1,BD$27,AZ119,$P119,$M119,$N119,$AH119,0.1))</f>
        <v>0</v>
      </c>
      <c r="BD119" s="44" t="n">
        <f aca="false">IF(AY119=0,0,bsd(2,BD$27,AZ119,$P119,$M119,$N119,$AH119,0.1))</f>
        <v>0</v>
      </c>
      <c r="BE119" s="44" t="n">
        <f aca="false">IF(AY119=0,0,bsd(BD$28,BD$27,AZ119,$P119,$M119,$N119,$AH119,0.1))</f>
        <v>0</v>
      </c>
      <c r="BF119" s="45" t="n">
        <f aca="false">AY119*BC119</f>
        <v>0</v>
      </c>
      <c r="BG119" s="45" t="n">
        <f aca="false">AY119*BD119</f>
        <v>0</v>
      </c>
      <c r="BH119" s="45" t="n">
        <f aca="false">AY119*BE119</f>
        <v>0</v>
      </c>
      <c r="BJ119" s="9" t="n">
        <f aca="false">IF($A119&gt;=BK$25,IF($A119&lt;=BK$26,$AI119,0),0)</f>
        <v>0</v>
      </c>
      <c r="BK119" s="9" t="e">
        <f aca="false">BM119/BJ119</f>
        <v>#DIV/0!</v>
      </c>
      <c r="BL119" s="1" t="n">
        <f aca="false">BJ119*($B119+F$13)</f>
        <v>0</v>
      </c>
      <c r="BM119" s="33" t="n">
        <f aca="false">IF(ISNUMBER(((BL119/BJ119)+F$14+$R119)*BJ119),((BL119/BJ119)+F$14+$R119)*BJ119,0)</f>
        <v>0</v>
      </c>
      <c r="BN119" s="44" t="n">
        <f aca="false">IF(BJ119=0,0,bsd(1,BO$27,BK119,$W119,$T119,$U119,$AH119,0.1))</f>
        <v>0</v>
      </c>
      <c r="BO119" s="44" t="n">
        <f aca="false">IF(BJ119=0,0,bsd(2,BO$27,BK119,$W119,$T119,$U119,$AH119,0.1))</f>
        <v>0</v>
      </c>
      <c r="BP119" s="44" t="n">
        <f aca="false">IF(BJ119=0,0,bsd(BO$28,BO$27,BK119,$W119,$T119,$U119,$AH119,0.1))</f>
        <v>0</v>
      </c>
      <c r="BQ119" s="45" t="n">
        <f aca="false">BJ119*BN119</f>
        <v>0</v>
      </c>
      <c r="BR119" s="45" t="n">
        <f aca="false">BJ119*BO119</f>
        <v>0</v>
      </c>
      <c r="BS119" s="45" t="n">
        <f aca="false">BJ119*BP119</f>
        <v>0</v>
      </c>
      <c r="BU119" s="9" t="n">
        <f aca="false">IF($A119&gt;=BV$25,IF($A119&lt;=BV$26,$AI119,0),0)</f>
        <v>0</v>
      </c>
      <c r="BV119" s="9" t="e">
        <f aca="false">BX119/BU119</f>
        <v>#DIV/0!</v>
      </c>
      <c r="BW119" s="1" t="n">
        <f aca="false">BU119*($B119+H$13)</f>
        <v>0</v>
      </c>
      <c r="BX119" s="33" t="n">
        <f aca="false">IF(ISNUMBER(((BW119/BU119)+H$14+$Y119)*BU119),((BW119/BU119)+H$14+$Y119)*BU119,0)</f>
        <v>0</v>
      </c>
      <c r="BY119" s="44" t="n">
        <f aca="false">IF(BU119=0,0,bsd(1,BZ$27,BV119,$AD119,$AA119,$AB119,$AH119,0.1))</f>
        <v>0</v>
      </c>
      <c r="BZ119" s="44" t="n">
        <f aca="false">IF(BU119=0,0,bsd(2,BZ$27,BV119,$AD119,$AA119,$AB119,$AH119,0.1))</f>
        <v>0</v>
      </c>
      <c r="CA119" s="44" t="n">
        <f aca="false">IF(BU119=0,0,bsd(BZ$28,BZ$27,BV119,$AD119,$AA119,$AB119,$AH119,0.1))</f>
        <v>0</v>
      </c>
      <c r="CB119" s="45" t="n">
        <f aca="false">BU119*BY119</f>
        <v>0</v>
      </c>
      <c r="CC119" s="45" t="n">
        <f aca="false">BU119*BZ119</f>
        <v>0</v>
      </c>
      <c r="CD119" s="45" t="n">
        <f aca="false">BU119*CA119</f>
        <v>0</v>
      </c>
    </row>
    <row r="120" customFormat="false" ht="12.75" hidden="false" customHeight="false" outlineLevel="0" collapsed="false">
      <c r="A120" s="48" t="n">
        <f aca="false">DATE(YEAR(A119),MONTH(A119)+1,1)</f>
        <v>39508</v>
      </c>
      <c r="B120" s="40" t="n">
        <f aca="false">VLOOKUP(A120,STRADDLE,5,FALSE())</f>
        <v>3.277</v>
      </c>
      <c r="C120" s="4" t="n">
        <f aca="false">VLOOKUP(A120,STRADDLE,8,FALSE())</f>
        <v>0.2</v>
      </c>
      <c r="D120" s="40" t="n">
        <f aca="false">IF(D$28="nymex",0,VLOOKUP($A120,curvesettle,HLOOKUP(D$28,curvesettle,2,FALSE())))</f>
        <v>0.965</v>
      </c>
      <c r="E120" s="131" t="n">
        <f aca="false">IF(ISNUMBER(VLOOKUP($A120,VOLCURVES,HLOOKUP(D$28,VOLCURVES,2,FALSE()),FALSE())),VLOOKUP($A120,VOLCURVES,HLOOKUP(D$28,VOLCURVES,2,FALSE()),FALSE()),1)</f>
        <v>1.1</v>
      </c>
      <c r="F120" s="136" t="n">
        <f aca="false">IF(D$28="NYMEX",$AG120,$AF120)</f>
        <v>-6421</v>
      </c>
      <c r="G120" s="4" t="e">
        <f aca="false">(($C120+H120)*$E120)+B$15</f>
        <v>#DIV/0!</v>
      </c>
      <c r="H120" s="4" t="e">
        <f aca="false">IF($B$16=1,VLOOKUP($A120,SkewTable,HLOOKUP(ROUND(I120-AO120,1),SkewTable,2,FALSE()),FALSE())/100,0)</f>
        <v>#DIV/0!</v>
      </c>
      <c r="I120" s="41" t="n">
        <f aca="false">IF($B$19=4,$AO120,$B$18)</f>
        <v>12</v>
      </c>
      <c r="K120" s="40" t="n">
        <f aca="false">IF(K$28="nymex",0,VLOOKUP($A120,curvesettle,HLOOKUP(K$28,curvesettle,2,FALSE())))</f>
        <v>-0.0155</v>
      </c>
      <c r="L120" s="131" t="n">
        <f aca="false">IF(ISNUMBER(VLOOKUP($A120,VOLCURVES,HLOOKUP(K$28,VOLCURVES,2,FALSE()),FALSE())),VLOOKUP($A120,VOLCURVES,HLOOKUP(K$28,VOLCURVES,2,FALSE()),FALSE()),1)</f>
        <v>1</v>
      </c>
      <c r="M120" s="136" t="n">
        <f aca="false">IF(K$28="NYMEX",$AG120,$AF120)</f>
        <v>-6421</v>
      </c>
      <c r="N120" s="153" t="e">
        <f aca="false">(($C120+O120)*$L120)+D$15</f>
        <v>#DIV/0!</v>
      </c>
      <c r="O120" s="4" t="e">
        <f aca="false">IF($D$16=1,VLOOKUP($A120,SkewTable,HLOOKUP(ROUND(P120-AZ120,1),SkewTable,2,FALSE()),FALSE())/100,0)</f>
        <v>#DIV/0!</v>
      </c>
      <c r="P120" s="41" t="n">
        <f aca="false">IF($D$19=4,$AZ120,$D$18)</f>
        <v>3.75</v>
      </c>
      <c r="R120" s="40" t="n">
        <f aca="false">IF(R$28="nymex",0,VLOOKUP($A120,curvesettle,HLOOKUP(R$28,curvesettle,2,FALSE())))</f>
        <v>-0.0155</v>
      </c>
      <c r="S120" s="131" t="n">
        <f aca="false">IF(ISNUMBER(VLOOKUP($A120,VOLCURVES,HLOOKUP(R$28,VOLCURVES,2,FALSE()),FALSE())),VLOOKUP($A120,VOLCURVES,HLOOKUP(R$28,VOLCURVES,2,FALSE()),FALSE()),1)</f>
        <v>1</v>
      </c>
      <c r="T120" s="136" t="n">
        <f aca="false">IF(R$28="NYMEX",$AG120,$AF120)</f>
        <v>-6421</v>
      </c>
      <c r="U120" s="153" t="e">
        <f aca="false">(($C120+V120)*$S120)+F$15</f>
        <v>#DIV/0!</v>
      </c>
      <c r="V120" s="4" t="e">
        <f aca="false">IF($F$16=1,VLOOKUP($A120,SkewTable,HLOOKUP(ROUND(W120-BK120,1),SkewTable,2,FALSE()),FALSE())/100,0)</f>
        <v>#DIV/0!</v>
      </c>
      <c r="W120" s="41" t="n">
        <f aca="false">IF($F$19=4,$BK120,$F$18)</f>
        <v>3.5</v>
      </c>
      <c r="X120" s="136"/>
      <c r="Y120" s="40" t="n">
        <f aca="false">IF(Y$28="nymex",0,VLOOKUP($A120,curvesettle,HLOOKUP(Y$28,curvesettle,2,FALSE())))</f>
        <v>-0.26</v>
      </c>
      <c r="Z120" s="131" t="n">
        <f aca="false">IF(ISNUMBER(VLOOKUP($A120,VOLCURVES,HLOOKUP(Y$28,VOLCURVES,2,FALSE()),FALSE())),VLOOKUP($A120,VOLCURVES,HLOOKUP(Y$28,VOLCURVES,2,FALSE()),FALSE()),1)</f>
        <v>1</v>
      </c>
      <c r="AA120" s="136" t="n">
        <f aca="false">IF(Y$28="NYMEX",$AG120,$AF120)</f>
        <v>-6421</v>
      </c>
      <c r="AB120" s="4" t="e">
        <f aca="false">(($C120+AC120)*$Z120)+H$15</f>
        <v>#DIV/0!</v>
      </c>
      <c r="AC120" s="4" t="e">
        <f aca="false">IF($H$16=1,VLOOKUP($A120,SkewTable,HLOOKUP(ROUND(AD120-BV120,1),SkewTable,2,FALSE()),FALSE())/100,0)</f>
        <v>#DIV/0!</v>
      </c>
      <c r="AD120" s="41" t="n">
        <f aca="false">IF($H$19=4,$BV120,$H$18)</f>
        <v>3</v>
      </c>
      <c r="AF120" s="136" t="n">
        <f aca="false">VLOOKUP($A120,expiration,2,FALSE())-$B$2</f>
        <v>-6421</v>
      </c>
      <c r="AG120" s="136" t="n">
        <f aca="false">VLOOKUP($A120,expiration,3,FALSE())-$B$2</f>
        <v>-6422</v>
      </c>
      <c r="AH120" s="4" t="n">
        <f aca="false">VLOOKUP($A120,STRADDLE,12,FALSE())</f>
        <v>0.069671819275376</v>
      </c>
      <c r="AI120" s="43" t="n">
        <f aca="false">A121-A120</f>
        <v>31</v>
      </c>
      <c r="AL120" s="136"/>
      <c r="AM120" s="9"/>
      <c r="AN120" s="9" t="n">
        <f aca="false">IF($A120&gt;=AO$25,IF($A120&lt;=AO$26,$AI120,0),0)</f>
        <v>0</v>
      </c>
      <c r="AO120" s="9" t="e">
        <f aca="false">AQ120/AN120</f>
        <v>#DIV/0!</v>
      </c>
      <c r="AP120" s="1" t="n">
        <f aca="false">AN120*($B120+B$13)</f>
        <v>0</v>
      </c>
      <c r="AQ120" s="33" t="n">
        <f aca="false">IF(ISNUMBER(((AP120/AN120)+B$14+$D120)*AN120),((AP120/AN120)+B$14+$D120)*AN120,0)</f>
        <v>0</v>
      </c>
      <c r="AR120" s="44" t="n">
        <f aca="false">IF(AN120=0,0,bsd(1,AS$27,AO120,$I120,$F120,$G120,$AH120,0.1))</f>
        <v>0</v>
      </c>
      <c r="AS120" s="44" t="n">
        <f aca="false">IF(AN120=0,0,bsd(2,AS$27,AO120,$I120,$F120,$G120,$AH120,0.1))</f>
        <v>0</v>
      </c>
      <c r="AT120" s="44" t="n">
        <f aca="false">IF(AN120=0,0,bsd(AS$28,AS$27,AO120,$I120,$F120,$G120,$AH120,0.1))</f>
        <v>0</v>
      </c>
      <c r="AU120" s="45" t="n">
        <f aca="false">AN120*AR120</f>
        <v>0</v>
      </c>
      <c r="AV120" s="45" t="n">
        <f aca="false">AN120*AS120</f>
        <v>0</v>
      </c>
      <c r="AW120" s="45" t="n">
        <f aca="false">AN120*AT120</f>
        <v>0</v>
      </c>
      <c r="AY120" s="9" t="n">
        <f aca="false">IF($A120&gt;=AZ$25,IF($A120&lt;=AZ$26,$AI120,0),0)</f>
        <v>0</v>
      </c>
      <c r="AZ120" s="9" t="e">
        <f aca="false">BB120/AY120</f>
        <v>#DIV/0!</v>
      </c>
      <c r="BA120" s="1" t="n">
        <f aca="false">AY120*($B120+D$13)</f>
        <v>0</v>
      </c>
      <c r="BB120" s="33" t="n">
        <f aca="false">IF(ISNUMBER(((BA120/AY120)+D$14+$K120)*AY120),((BA120/AY120)+D$14+$K120)*AY120,0)</f>
        <v>0</v>
      </c>
      <c r="BC120" s="44" t="n">
        <f aca="false">IF(AY120=0,0,bsd(1,BD$27,AZ120,$P120,$M120,$N120,$AH120,0.1))</f>
        <v>0</v>
      </c>
      <c r="BD120" s="44" t="n">
        <f aca="false">IF(AY120=0,0,bsd(2,BD$27,AZ120,$P120,$M120,$N120,$AH120,0.1))</f>
        <v>0</v>
      </c>
      <c r="BE120" s="44" t="n">
        <f aca="false">IF(AY120=0,0,bsd(BD$28,BD$27,AZ120,$P120,$M120,$N120,$AH120,0.1))</f>
        <v>0</v>
      </c>
      <c r="BF120" s="45" t="n">
        <f aca="false">AY120*BC120</f>
        <v>0</v>
      </c>
      <c r="BG120" s="45" t="n">
        <f aca="false">AY120*BD120</f>
        <v>0</v>
      </c>
      <c r="BH120" s="45" t="n">
        <f aca="false">AY120*BE120</f>
        <v>0</v>
      </c>
      <c r="BJ120" s="9" t="n">
        <f aca="false">IF($A120&gt;=BK$25,IF($A120&lt;=BK$26,$AI120,0),0)</f>
        <v>0</v>
      </c>
      <c r="BK120" s="9" t="e">
        <f aca="false">BM120/BJ120</f>
        <v>#DIV/0!</v>
      </c>
      <c r="BL120" s="1" t="n">
        <f aca="false">BJ120*($B120+F$13)</f>
        <v>0</v>
      </c>
      <c r="BM120" s="33" t="n">
        <f aca="false">IF(ISNUMBER(((BL120/BJ120)+F$14+$R120)*BJ120),((BL120/BJ120)+F$14+$R120)*BJ120,0)</f>
        <v>0</v>
      </c>
      <c r="BN120" s="44" t="n">
        <f aca="false">IF(BJ120=0,0,bsd(1,BO$27,BK120,$W120,$T120,$U120,$AH120,0.1))</f>
        <v>0</v>
      </c>
      <c r="BO120" s="44" t="n">
        <f aca="false">IF(BJ120=0,0,bsd(2,BO$27,BK120,$W120,$T120,$U120,$AH120,0.1))</f>
        <v>0</v>
      </c>
      <c r="BP120" s="44" t="n">
        <f aca="false">IF(BJ120=0,0,bsd(BO$28,BO$27,BK120,$W120,$T120,$U120,$AH120,0.1))</f>
        <v>0</v>
      </c>
      <c r="BQ120" s="45" t="n">
        <f aca="false">BJ120*BN120</f>
        <v>0</v>
      </c>
      <c r="BR120" s="45" t="n">
        <f aca="false">BJ120*BO120</f>
        <v>0</v>
      </c>
      <c r="BS120" s="45" t="n">
        <f aca="false">BJ120*BP120</f>
        <v>0</v>
      </c>
      <c r="BU120" s="9" t="n">
        <f aca="false">IF($A120&gt;=BV$25,IF($A120&lt;=BV$26,$AI120,0),0)</f>
        <v>0</v>
      </c>
      <c r="BV120" s="9" t="e">
        <f aca="false">BX120/BU120</f>
        <v>#DIV/0!</v>
      </c>
      <c r="BW120" s="1" t="n">
        <f aca="false">BU120*($B120+H$13)</f>
        <v>0</v>
      </c>
      <c r="BX120" s="33" t="n">
        <f aca="false">IF(ISNUMBER(((BW120/BU120)+H$14+$Y120)*BU120),((BW120/BU120)+H$14+$Y120)*BU120,0)</f>
        <v>0</v>
      </c>
      <c r="BY120" s="44" t="n">
        <f aca="false">IF(BU120=0,0,bsd(1,BZ$27,BV120,$AD120,$AA120,$AB120,$AH120,0.1))</f>
        <v>0</v>
      </c>
      <c r="BZ120" s="44" t="n">
        <f aca="false">IF(BU120=0,0,bsd(2,BZ$27,BV120,$AD120,$AA120,$AB120,$AH120,0.1))</f>
        <v>0</v>
      </c>
      <c r="CA120" s="44" t="n">
        <f aca="false">IF(BU120=0,0,bsd(BZ$28,BZ$27,BV120,$AD120,$AA120,$AB120,$AH120,0.1))</f>
        <v>0</v>
      </c>
      <c r="CB120" s="45" t="n">
        <f aca="false">BU120*BY120</f>
        <v>0</v>
      </c>
      <c r="CC120" s="45" t="n">
        <f aca="false">BU120*BZ120</f>
        <v>0</v>
      </c>
      <c r="CD120" s="45" t="n">
        <f aca="false">BU120*CA120</f>
        <v>0</v>
      </c>
    </row>
    <row r="121" customFormat="false" ht="12.75" hidden="false" customHeight="false" outlineLevel="0" collapsed="false">
      <c r="A121" s="48" t="n">
        <f aca="false">DATE(YEAR(A120),MONTH(A120)+1,1)</f>
        <v>39539</v>
      </c>
      <c r="B121" s="40" t="n">
        <f aca="false">VLOOKUP(A121,STRADDLE,5,FALSE())</f>
        <v>3.102</v>
      </c>
      <c r="C121" s="4" t="n">
        <f aca="false">VLOOKUP(A121,STRADDLE,8,FALSE())</f>
        <v>0.2</v>
      </c>
      <c r="D121" s="40" t="n">
        <f aca="false">IF(D$28="nymex",0,VLOOKUP($A121,curvesettle,HLOOKUP(D$28,curvesettle,2,FALSE())))</f>
        <v>0.45</v>
      </c>
      <c r="E121" s="131" t="n">
        <f aca="false">IF(ISNUMBER(VLOOKUP($A121,VOLCURVES,HLOOKUP(D$28,VOLCURVES,2,FALSE()),FALSE())),VLOOKUP($A121,VOLCURVES,HLOOKUP(D$28,VOLCURVES,2,FALSE()),FALSE()),1)</f>
        <v>0.98</v>
      </c>
      <c r="F121" s="136" t="n">
        <f aca="false">IF(D$28="NYMEX",$AG121,$AF121)</f>
        <v>-6392</v>
      </c>
      <c r="G121" s="4" t="e">
        <f aca="false">(($C121+H121)*$E121)+B$15</f>
        <v>#DIV/0!</v>
      </c>
      <c r="H121" s="4" t="e">
        <f aca="false">IF($B$16=1,VLOOKUP($A121,SkewTable,HLOOKUP(ROUND(I121-AO121,1),SkewTable,2,FALSE()),FALSE())/100,0)</f>
        <v>#DIV/0!</v>
      </c>
      <c r="I121" s="41" t="n">
        <f aca="false">IF($B$19=4,$AO121,$B$18)</f>
        <v>12</v>
      </c>
      <c r="K121" s="40" t="n">
        <f aca="false">IF(K$28="nymex",0,VLOOKUP($A121,curvesettle,HLOOKUP(K$28,curvesettle,2,FALSE())))</f>
        <v>-0.018</v>
      </c>
      <c r="L121" s="131" t="n">
        <f aca="false">IF(ISNUMBER(VLOOKUP($A121,VOLCURVES,HLOOKUP(K$28,VOLCURVES,2,FALSE()),FALSE())),VLOOKUP($A121,VOLCURVES,HLOOKUP(K$28,VOLCURVES,2,FALSE()),FALSE()),1)</f>
        <v>1</v>
      </c>
      <c r="M121" s="136" t="n">
        <f aca="false">IF(K$28="NYMEX",$AG121,$AF121)</f>
        <v>-6392</v>
      </c>
      <c r="N121" s="153" t="e">
        <f aca="false">(($C121+O121)*$L121)+D$15</f>
        <v>#DIV/0!</v>
      </c>
      <c r="O121" s="4" t="e">
        <f aca="false">IF($D$16=1,VLOOKUP($A121,SkewTable,HLOOKUP(ROUND(P121-AZ121,1),SkewTable,2,FALSE()),FALSE())/100,0)</f>
        <v>#DIV/0!</v>
      </c>
      <c r="P121" s="41" t="n">
        <f aca="false">IF($D$19=4,$AZ121,$D$18)</f>
        <v>3.75</v>
      </c>
      <c r="R121" s="40" t="n">
        <f aca="false">IF(R$28="nymex",0,VLOOKUP($A121,curvesettle,HLOOKUP(R$28,curvesettle,2,FALSE())))</f>
        <v>-0.018</v>
      </c>
      <c r="S121" s="131" t="n">
        <f aca="false">IF(ISNUMBER(VLOOKUP($A121,VOLCURVES,HLOOKUP(R$28,VOLCURVES,2,FALSE()),FALSE())),VLOOKUP($A121,VOLCURVES,HLOOKUP(R$28,VOLCURVES,2,FALSE()),FALSE()),1)</f>
        <v>1</v>
      </c>
      <c r="T121" s="136" t="n">
        <f aca="false">IF(R$28="NYMEX",$AG121,$AF121)</f>
        <v>-6392</v>
      </c>
      <c r="U121" s="153" t="e">
        <f aca="false">(($C121+V121)*$S121)+F$15</f>
        <v>#DIV/0!</v>
      </c>
      <c r="V121" s="4" t="e">
        <f aca="false">IF($F$16=1,VLOOKUP($A121,SkewTable,HLOOKUP(ROUND(W121-BK121,1),SkewTable,2,FALSE()),FALSE())/100,0)</f>
        <v>#DIV/0!</v>
      </c>
      <c r="W121" s="41" t="n">
        <f aca="false">IF($F$19=4,$BK121,$F$18)</f>
        <v>3.5</v>
      </c>
      <c r="X121" s="136"/>
      <c r="Y121" s="40" t="n">
        <f aca="false">IF(Y$28="nymex",0,VLOOKUP($A121,curvesettle,HLOOKUP(Y$28,curvesettle,2,FALSE())))</f>
        <v>-0.335</v>
      </c>
      <c r="Z121" s="131" t="n">
        <f aca="false">IF(ISNUMBER(VLOOKUP($A121,VOLCURVES,HLOOKUP(Y$28,VOLCURVES,2,FALSE()),FALSE())),VLOOKUP($A121,VOLCURVES,HLOOKUP(Y$28,VOLCURVES,2,FALSE()),FALSE()),1)</f>
        <v>1</v>
      </c>
      <c r="AA121" s="136" t="n">
        <f aca="false">IF(Y$28="NYMEX",$AG121,$AF121)</f>
        <v>-6392</v>
      </c>
      <c r="AB121" s="4" t="e">
        <f aca="false">(($C121+AC121)*$Z121)+H$15</f>
        <v>#DIV/0!</v>
      </c>
      <c r="AC121" s="4" t="e">
        <f aca="false">IF($H$16=1,VLOOKUP($A121,SkewTable,HLOOKUP(ROUND(AD121-BV121,1),SkewTable,2,FALSE()),FALSE())/100,0)</f>
        <v>#DIV/0!</v>
      </c>
      <c r="AD121" s="41" t="n">
        <f aca="false">IF($H$19=4,$BV121,$H$18)</f>
        <v>3</v>
      </c>
      <c r="AF121" s="136" t="n">
        <f aca="false">VLOOKUP($A121,expiration,2,FALSE())-$B$2</f>
        <v>-6392</v>
      </c>
      <c r="AG121" s="136" t="n">
        <f aca="false">VLOOKUP($A121,expiration,3,FALSE())-$B$2</f>
        <v>-6393</v>
      </c>
      <c r="AH121" s="4" t="n">
        <f aca="false">VLOOKUP($A121,STRADDLE,12,FALSE())</f>
        <v>0.069709213996687</v>
      </c>
      <c r="AI121" s="43" t="n">
        <f aca="false">A122-A121</f>
        <v>30</v>
      </c>
      <c r="AL121" s="136"/>
      <c r="AM121" s="9"/>
      <c r="AN121" s="9" t="n">
        <f aca="false">IF($A121&gt;=AO$25,IF($A121&lt;=AO$26,$AI121,0),0)</f>
        <v>0</v>
      </c>
      <c r="AO121" s="9" t="e">
        <f aca="false">AQ121/AN121</f>
        <v>#DIV/0!</v>
      </c>
      <c r="AP121" s="1" t="n">
        <f aca="false">AN121*($B121+B$13)</f>
        <v>0</v>
      </c>
      <c r="AQ121" s="33" t="n">
        <f aca="false">IF(ISNUMBER(((AP121/AN121)+B$14+$D121)*AN121),((AP121/AN121)+B$14+$D121)*AN121,0)</f>
        <v>0</v>
      </c>
      <c r="AR121" s="44" t="n">
        <f aca="false">IF(AN121=0,0,bsd(1,AS$27,AO121,$I121,$F121,$G121,$AH121,0.1))</f>
        <v>0</v>
      </c>
      <c r="AS121" s="44" t="n">
        <f aca="false">IF(AN121=0,0,bsd(2,AS$27,AO121,$I121,$F121,$G121,$AH121,0.1))</f>
        <v>0</v>
      </c>
      <c r="AT121" s="44" t="n">
        <f aca="false">IF(AN121=0,0,bsd(AS$28,AS$27,AO121,$I121,$F121,$G121,$AH121,0.1))</f>
        <v>0</v>
      </c>
      <c r="AU121" s="45" t="n">
        <f aca="false">AN121*AR121</f>
        <v>0</v>
      </c>
      <c r="AV121" s="45" t="n">
        <f aca="false">AN121*AS121</f>
        <v>0</v>
      </c>
      <c r="AW121" s="45" t="n">
        <f aca="false">AN121*AT121</f>
        <v>0</v>
      </c>
      <c r="AY121" s="9" t="n">
        <f aca="false">IF($A121&gt;=AZ$25,IF($A121&lt;=AZ$26,$AI121,0),0)</f>
        <v>0</v>
      </c>
      <c r="AZ121" s="9" t="e">
        <f aca="false">BB121/AY121</f>
        <v>#DIV/0!</v>
      </c>
      <c r="BA121" s="1" t="n">
        <f aca="false">AY121*($B121+D$13)</f>
        <v>0</v>
      </c>
      <c r="BB121" s="33" t="n">
        <f aca="false">IF(ISNUMBER(((BA121/AY121)+D$14+$K121)*AY121),((BA121/AY121)+D$14+$K121)*AY121,0)</f>
        <v>0</v>
      </c>
      <c r="BC121" s="44" t="n">
        <f aca="false">IF(AY121=0,0,bsd(1,BD$27,AZ121,$P121,$M121,$N121,$AH121,0.1))</f>
        <v>0</v>
      </c>
      <c r="BD121" s="44" t="n">
        <f aca="false">IF(AY121=0,0,bsd(2,BD$27,AZ121,$P121,$M121,$N121,$AH121,0.1))</f>
        <v>0</v>
      </c>
      <c r="BE121" s="44" t="n">
        <f aca="false">IF(AY121=0,0,bsd(BD$28,BD$27,AZ121,$P121,$M121,$N121,$AH121,0.1))</f>
        <v>0</v>
      </c>
      <c r="BF121" s="45" t="n">
        <f aca="false">AY121*BC121</f>
        <v>0</v>
      </c>
      <c r="BG121" s="45" t="n">
        <f aca="false">AY121*BD121</f>
        <v>0</v>
      </c>
      <c r="BH121" s="45" t="n">
        <f aca="false">AY121*BE121</f>
        <v>0</v>
      </c>
      <c r="BJ121" s="9" t="n">
        <f aca="false">IF($A121&gt;=BK$25,IF($A121&lt;=BK$26,$AI121,0),0)</f>
        <v>0</v>
      </c>
      <c r="BK121" s="9" t="e">
        <f aca="false">BM121/BJ121</f>
        <v>#DIV/0!</v>
      </c>
      <c r="BL121" s="1" t="n">
        <f aca="false">BJ121*($B121+F$13)</f>
        <v>0</v>
      </c>
      <c r="BM121" s="33" t="n">
        <f aca="false">IF(ISNUMBER(((BL121/BJ121)+F$14+$R121)*BJ121),((BL121/BJ121)+F$14+$R121)*BJ121,0)</f>
        <v>0</v>
      </c>
      <c r="BN121" s="44" t="n">
        <f aca="false">IF(BJ121=0,0,bsd(1,BO$27,BK121,$W121,$T121,$U121,$AH121,0.1))</f>
        <v>0</v>
      </c>
      <c r="BO121" s="44" t="n">
        <f aca="false">IF(BJ121=0,0,bsd(2,BO$27,BK121,$W121,$T121,$U121,$AH121,0.1))</f>
        <v>0</v>
      </c>
      <c r="BP121" s="44" t="n">
        <f aca="false">IF(BJ121=0,0,bsd(BO$28,BO$27,BK121,$W121,$T121,$U121,$AH121,0.1))</f>
        <v>0</v>
      </c>
      <c r="BQ121" s="45" t="n">
        <f aca="false">BJ121*BN121</f>
        <v>0</v>
      </c>
      <c r="BR121" s="45" t="n">
        <f aca="false">BJ121*BO121</f>
        <v>0</v>
      </c>
      <c r="BS121" s="45" t="n">
        <f aca="false">BJ121*BP121</f>
        <v>0</v>
      </c>
      <c r="BU121" s="9" t="n">
        <f aca="false">IF($A121&gt;=BV$25,IF($A121&lt;=BV$26,$AI121,0),0)</f>
        <v>0</v>
      </c>
      <c r="BV121" s="9" t="e">
        <f aca="false">BX121/BU121</f>
        <v>#DIV/0!</v>
      </c>
      <c r="BW121" s="1" t="n">
        <f aca="false">BU121*($B121+H$13)</f>
        <v>0</v>
      </c>
      <c r="BX121" s="33" t="n">
        <f aca="false">IF(ISNUMBER(((BW121/BU121)+H$14+$Y121)*BU121),((BW121/BU121)+H$14+$Y121)*BU121,0)</f>
        <v>0</v>
      </c>
      <c r="BY121" s="44" t="n">
        <f aca="false">IF(BU121=0,0,bsd(1,BZ$27,BV121,$AD121,$AA121,$AB121,$AH121,0.1))</f>
        <v>0</v>
      </c>
      <c r="BZ121" s="44" t="n">
        <f aca="false">IF(BU121=0,0,bsd(2,BZ$27,BV121,$AD121,$AA121,$AB121,$AH121,0.1))</f>
        <v>0</v>
      </c>
      <c r="CA121" s="44" t="n">
        <f aca="false">IF(BU121=0,0,bsd(BZ$28,BZ$27,BV121,$AD121,$AA121,$AB121,$AH121,0.1))</f>
        <v>0</v>
      </c>
      <c r="CB121" s="45" t="n">
        <f aca="false">BU121*BY121</f>
        <v>0</v>
      </c>
      <c r="CC121" s="45" t="n">
        <f aca="false">BU121*BZ121</f>
        <v>0</v>
      </c>
      <c r="CD121" s="45" t="n">
        <f aca="false">BU121*CA121</f>
        <v>0</v>
      </c>
    </row>
    <row r="122" customFormat="false" ht="12.75" hidden="false" customHeight="false" outlineLevel="0" collapsed="false">
      <c r="A122" s="48" t="n">
        <f aca="false">DATE(YEAR(A121),MONTH(A121)+1,1)</f>
        <v>39569</v>
      </c>
      <c r="B122" s="40" t="n">
        <f aca="false">VLOOKUP(A122,STRADDLE,5,FALSE())</f>
        <v>3.057</v>
      </c>
      <c r="C122" s="4" t="n">
        <f aca="false">VLOOKUP(A122,STRADDLE,8,FALSE())</f>
        <v>0.2</v>
      </c>
      <c r="D122" s="40" t="n">
        <f aca="false">IF(D$28="nymex",0,VLOOKUP($A122,curvesettle,HLOOKUP(D$28,curvesettle,2,FALSE())))</f>
        <v>0.405</v>
      </c>
      <c r="E122" s="131" t="n">
        <f aca="false">IF(ISNUMBER(VLOOKUP($A122,VOLCURVES,HLOOKUP(D$28,VOLCURVES,2,FALSE()),FALSE())),VLOOKUP($A122,VOLCURVES,HLOOKUP(D$28,VOLCURVES,2,FALSE()),FALSE()),1)</f>
        <v>0.98</v>
      </c>
      <c r="F122" s="136" t="n">
        <f aca="false">IF(D$28="NYMEX",$AG122,$AF122)</f>
        <v>-6360</v>
      </c>
      <c r="G122" s="4" t="e">
        <f aca="false">(($C122+H122)*$E122)+B$15</f>
        <v>#DIV/0!</v>
      </c>
      <c r="H122" s="4" t="e">
        <f aca="false">IF($B$16=1,VLOOKUP($A122,SkewTable,HLOOKUP(ROUND(I122-AO122,1),SkewTable,2,FALSE()),FALSE())/100,0)</f>
        <v>#DIV/0!</v>
      </c>
      <c r="I122" s="41" t="n">
        <f aca="false">IF($B$19=4,$AO122,$B$18)</f>
        <v>12</v>
      </c>
      <c r="K122" s="40" t="n">
        <f aca="false">IF(K$28="nymex",0,VLOOKUP($A122,curvesettle,HLOOKUP(K$28,curvesettle,2,FALSE())))</f>
        <v>-0.018</v>
      </c>
      <c r="L122" s="131" t="n">
        <f aca="false">IF(ISNUMBER(VLOOKUP($A122,VOLCURVES,HLOOKUP(K$28,VOLCURVES,2,FALSE()),FALSE())),VLOOKUP($A122,VOLCURVES,HLOOKUP(K$28,VOLCURVES,2,FALSE()),FALSE()),1)</f>
        <v>1</v>
      </c>
      <c r="M122" s="136" t="n">
        <f aca="false">IF(K$28="NYMEX",$AG122,$AF122)</f>
        <v>-6360</v>
      </c>
      <c r="N122" s="153" t="e">
        <f aca="false">(($C122+O122)*$L122)+D$15</f>
        <v>#DIV/0!</v>
      </c>
      <c r="O122" s="4" t="e">
        <f aca="false">IF($D$16=1,VLOOKUP($A122,SkewTable,HLOOKUP(ROUND(P122-AZ122,1),SkewTable,2,FALSE()),FALSE())/100,0)</f>
        <v>#DIV/0!</v>
      </c>
      <c r="P122" s="41" t="n">
        <f aca="false">IF($D$19=4,$AZ122,$D$18)</f>
        <v>3.75</v>
      </c>
      <c r="R122" s="40" t="n">
        <f aca="false">IF(R$28="nymex",0,VLOOKUP($A122,curvesettle,HLOOKUP(R$28,curvesettle,2,FALSE())))</f>
        <v>-0.018</v>
      </c>
      <c r="S122" s="131" t="n">
        <f aca="false">IF(ISNUMBER(VLOOKUP($A122,VOLCURVES,HLOOKUP(R$28,VOLCURVES,2,FALSE()),FALSE())),VLOOKUP($A122,VOLCURVES,HLOOKUP(R$28,VOLCURVES,2,FALSE()),FALSE()),1)</f>
        <v>1</v>
      </c>
      <c r="T122" s="136" t="n">
        <f aca="false">IF(R$28="NYMEX",$AG122,$AF122)</f>
        <v>-6360</v>
      </c>
      <c r="U122" s="153" t="e">
        <f aca="false">(($C122+V122)*$S122)+F$15</f>
        <v>#DIV/0!</v>
      </c>
      <c r="V122" s="4" t="e">
        <f aca="false">IF($F$16=1,VLOOKUP($A122,SkewTable,HLOOKUP(ROUND(W122-BK122,1),SkewTable,2,FALSE()),FALSE())/100,0)</f>
        <v>#DIV/0!</v>
      </c>
      <c r="W122" s="41" t="n">
        <f aca="false">IF($F$19=4,$BK122,$F$18)</f>
        <v>3.5</v>
      </c>
      <c r="X122" s="136"/>
      <c r="Y122" s="40" t="n">
        <f aca="false">IF(Y$28="nymex",0,VLOOKUP($A122,curvesettle,HLOOKUP(Y$28,curvesettle,2,FALSE())))</f>
        <v>-0.335</v>
      </c>
      <c r="Z122" s="131" t="n">
        <f aca="false">IF(ISNUMBER(VLOOKUP($A122,VOLCURVES,HLOOKUP(Y$28,VOLCURVES,2,FALSE()),FALSE())),VLOOKUP($A122,VOLCURVES,HLOOKUP(Y$28,VOLCURVES,2,FALSE()),FALSE()),1)</f>
        <v>1</v>
      </c>
      <c r="AA122" s="136" t="n">
        <f aca="false">IF(Y$28="NYMEX",$AG122,$AF122)</f>
        <v>-6360</v>
      </c>
      <c r="AB122" s="4" t="e">
        <f aca="false">(($C122+AC122)*$Z122)+H$15</f>
        <v>#DIV/0!</v>
      </c>
      <c r="AC122" s="4" t="e">
        <f aca="false">IF($H$16=1,VLOOKUP($A122,SkewTable,HLOOKUP(ROUND(AD122-BV122,1),SkewTable,2,FALSE()),FALSE())/100,0)</f>
        <v>#DIV/0!</v>
      </c>
      <c r="AD122" s="41" t="n">
        <f aca="false">IF($H$19=4,$BV122,$H$18)</f>
        <v>3</v>
      </c>
      <c r="AF122" s="136" t="n">
        <f aca="false">VLOOKUP($A122,expiration,2,FALSE())-$B$2</f>
        <v>-6360</v>
      </c>
      <c r="AG122" s="136" t="n">
        <f aca="false">VLOOKUP($A122,expiration,3,FALSE())-$B$2</f>
        <v>-6363</v>
      </c>
      <c r="AH122" s="4" t="n">
        <f aca="false">VLOOKUP($A122,STRADDLE,12,FALSE())</f>
        <v>0.069745402437105</v>
      </c>
      <c r="AI122" s="43" t="n">
        <f aca="false">A123-A122</f>
        <v>31</v>
      </c>
      <c r="AL122" s="136"/>
      <c r="AM122" s="9"/>
      <c r="AN122" s="9" t="n">
        <f aca="false">IF($A122&gt;=AO$25,IF($A122&lt;=AO$26,$AI122,0),0)</f>
        <v>0</v>
      </c>
      <c r="AO122" s="9" t="e">
        <f aca="false">AQ122/AN122</f>
        <v>#DIV/0!</v>
      </c>
      <c r="AP122" s="1" t="n">
        <f aca="false">AN122*($B122+B$13)</f>
        <v>0</v>
      </c>
      <c r="AQ122" s="33" t="n">
        <f aca="false">IF(ISNUMBER(((AP122/AN122)+B$14+$D122)*AN122),((AP122/AN122)+B$14+$D122)*AN122,0)</f>
        <v>0</v>
      </c>
      <c r="AR122" s="44" t="n">
        <f aca="false">IF(AN122=0,0,bsd(1,AS$27,AO122,$I122,$F122,$G122,$AH122,0.1))</f>
        <v>0</v>
      </c>
      <c r="AS122" s="44" t="n">
        <f aca="false">IF(AN122=0,0,bsd(2,AS$27,AO122,$I122,$F122,$G122,$AH122,0.1))</f>
        <v>0</v>
      </c>
      <c r="AT122" s="44" t="n">
        <f aca="false">IF(AN122=0,0,bsd(AS$28,AS$27,AO122,$I122,$F122,$G122,$AH122,0.1))</f>
        <v>0</v>
      </c>
      <c r="AU122" s="45" t="n">
        <f aca="false">AN122*AR122</f>
        <v>0</v>
      </c>
      <c r="AV122" s="45" t="n">
        <f aca="false">AN122*AS122</f>
        <v>0</v>
      </c>
      <c r="AW122" s="45" t="n">
        <f aca="false">AN122*AT122</f>
        <v>0</v>
      </c>
      <c r="AY122" s="9" t="n">
        <f aca="false">IF($A122&gt;=AZ$25,IF($A122&lt;=AZ$26,$AI122,0),0)</f>
        <v>0</v>
      </c>
      <c r="AZ122" s="9" t="e">
        <f aca="false">BB122/AY122</f>
        <v>#DIV/0!</v>
      </c>
      <c r="BA122" s="1" t="n">
        <f aca="false">AY122*($B122+D$13)</f>
        <v>0</v>
      </c>
      <c r="BB122" s="33" t="n">
        <f aca="false">IF(ISNUMBER(((BA122/AY122)+D$14+$K122)*AY122),((BA122/AY122)+D$14+$K122)*AY122,0)</f>
        <v>0</v>
      </c>
      <c r="BC122" s="44" t="n">
        <f aca="false">IF(AY122=0,0,bsd(1,BD$27,AZ122,$P122,$M122,$N122,$AH122,0.1))</f>
        <v>0</v>
      </c>
      <c r="BD122" s="44" t="n">
        <f aca="false">IF(AY122=0,0,bsd(2,BD$27,AZ122,$P122,$M122,$N122,$AH122,0.1))</f>
        <v>0</v>
      </c>
      <c r="BE122" s="44" t="n">
        <f aca="false">IF(AY122=0,0,bsd(BD$28,BD$27,AZ122,$P122,$M122,$N122,$AH122,0.1))</f>
        <v>0</v>
      </c>
      <c r="BF122" s="45" t="n">
        <f aca="false">AY122*BC122</f>
        <v>0</v>
      </c>
      <c r="BG122" s="45" t="n">
        <f aca="false">AY122*BD122</f>
        <v>0</v>
      </c>
      <c r="BH122" s="45" t="n">
        <f aca="false">AY122*BE122</f>
        <v>0</v>
      </c>
      <c r="BJ122" s="9" t="n">
        <f aca="false">IF($A122&gt;=BK$25,IF($A122&lt;=BK$26,$AI122,0),0)</f>
        <v>0</v>
      </c>
      <c r="BK122" s="9" t="e">
        <f aca="false">BM122/BJ122</f>
        <v>#DIV/0!</v>
      </c>
      <c r="BL122" s="1" t="n">
        <f aca="false">BJ122*($B122+F$13)</f>
        <v>0</v>
      </c>
      <c r="BM122" s="33" t="n">
        <f aca="false">IF(ISNUMBER(((BL122/BJ122)+F$14+$R122)*BJ122),((BL122/BJ122)+F$14+$R122)*BJ122,0)</f>
        <v>0</v>
      </c>
      <c r="BN122" s="44" t="n">
        <f aca="false">IF(BJ122=0,0,bsd(1,BO$27,BK122,$W122,$T122,$U122,$AH122,0.1))</f>
        <v>0</v>
      </c>
      <c r="BO122" s="44" t="n">
        <f aca="false">IF(BJ122=0,0,bsd(2,BO$27,BK122,$W122,$T122,$U122,$AH122,0.1))</f>
        <v>0</v>
      </c>
      <c r="BP122" s="44" t="n">
        <f aca="false">IF(BJ122=0,0,bsd(BO$28,BO$27,BK122,$W122,$T122,$U122,$AH122,0.1))</f>
        <v>0</v>
      </c>
      <c r="BQ122" s="45" t="n">
        <f aca="false">BJ122*BN122</f>
        <v>0</v>
      </c>
      <c r="BR122" s="45" t="n">
        <f aca="false">BJ122*BO122</f>
        <v>0</v>
      </c>
      <c r="BS122" s="45" t="n">
        <f aca="false">BJ122*BP122</f>
        <v>0</v>
      </c>
      <c r="BU122" s="9" t="n">
        <f aca="false">IF($A122&gt;=BV$25,IF($A122&lt;=BV$26,$AI122,0),0)</f>
        <v>0</v>
      </c>
      <c r="BV122" s="9" t="e">
        <f aca="false">BX122/BU122</f>
        <v>#DIV/0!</v>
      </c>
      <c r="BW122" s="1" t="n">
        <f aca="false">BU122*($B122+H$13)</f>
        <v>0</v>
      </c>
      <c r="BX122" s="33" t="n">
        <f aca="false">IF(ISNUMBER(((BW122/BU122)+H$14+$Y122)*BU122),((BW122/BU122)+H$14+$Y122)*BU122,0)</f>
        <v>0</v>
      </c>
      <c r="BY122" s="44" t="n">
        <f aca="false">IF(BU122=0,0,bsd(1,BZ$27,BV122,$AD122,$AA122,$AB122,$AH122,0.1))</f>
        <v>0</v>
      </c>
      <c r="BZ122" s="44" t="n">
        <f aca="false">IF(BU122=0,0,bsd(2,BZ$27,BV122,$AD122,$AA122,$AB122,$AH122,0.1))</f>
        <v>0</v>
      </c>
      <c r="CA122" s="44" t="n">
        <f aca="false">IF(BU122=0,0,bsd(BZ$28,BZ$27,BV122,$AD122,$AA122,$AB122,$AH122,0.1))</f>
        <v>0</v>
      </c>
      <c r="CB122" s="45" t="n">
        <f aca="false">BU122*BY122</f>
        <v>0</v>
      </c>
      <c r="CC122" s="45" t="n">
        <f aca="false">BU122*BZ122</f>
        <v>0</v>
      </c>
      <c r="CD122" s="45" t="n">
        <f aca="false">BU122*CA122</f>
        <v>0</v>
      </c>
    </row>
    <row r="123" customFormat="false" ht="12.75" hidden="false" customHeight="false" outlineLevel="0" collapsed="false">
      <c r="A123" s="48" t="n">
        <f aca="false">DATE(YEAR(A122),MONTH(A122)+1,1)</f>
        <v>39600</v>
      </c>
      <c r="B123" s="40" t="n">
        <f aca="false">VLOOKUP(A123,STRADDLE,5,FALSE())</f>
        <v>3.07</v>
      </c>
      <c r="C123" s="4" t="n">
        <f aca="false">VLOOKUP(A123,STRADDLE,8,FALSE())</f>
        <v>0.2</v>
      </c>
      <c r="D123" s="40" t="n">
        <f aca="false">IF(D$28="nymex",0,VLOOKUP($A123,curvesettle,HLOOKUP(D$28,curvesettle,2,FALSE())))</f>
        <v>0.395</v>
      </c>
      <c r="E123" s="131" t="n">
        <f aca="false">IF(ISNUMBER(VLOOKUP($A123,VOLCURVES,HLOOKUP(D$28,VOLCURVES,2,FALSE()),FALSE())),VLOOKUP($A123,VOLCURVES,HLOOKUP(D$28,VOLCURVES,2,FALSE()),FALSE()),1)</f>
        <v>0.98</v>
      </c>
      <c r="F123" s="136" t="n">
        <f aca="false">IF(D$28="NYMEX",$AG123,$AF123)</f>
        <v>-6330</v>
      </c>
      <c r="G123" s="4" t="e">
        <f aca="false">(($C123+H123)*$E123)+B$15</f>
        <v>#DIV/0!</v>
      </c>
      <c r="H123" s="4" t="e">
        <f aca="false">IF($B$16=1,VLOOKUP($A123,SkewTable,HLOOKUP(ROUND(I123-AO123,1),SkewTable,2,FALSE()),FALSE())/100,0)</f>
        <v>#DIV/0!</v>
      </c>
      <c r="I123" s="41" t="n">
        <f aca="false">IF($B$19=4,$AO123,$B$18)</f>
        <v>12</v>
      </c>
      <c r="K123" s="40" t="n">
        <f aca="false">IF(K$28="nymex",0,VLOOKUP($A123,curvesettle,HLOOKUP(K$28,curvesettle,2,FALSE())))</f>
        <v>-0.018</v>
      </c>
      <c r="L123" s="131" t="n">
        <f aca="false">IF(ISNUMBER(VLOOKUP($A123,VOLCURVES,HLOOKUP(K$28,VOLCURVES,2,FALSE()),FALSE())),VLOOKUP($A123,VOLCURVES,HLOOKUP(K$28,VOLCURVES,2,FALSE()),FALSE()),1)</f>
        <v>1</v>
      </c>
      <c r="M123" s="136" t="n">
        <f aca="false">IF(K$28="NYMEX",$AG123,$AF123)</f>
        <v>-6330</v>
      </c>
      <c r="N123" s="153" t="e">
        <f aca="false">(($C123+O123)*$L123)+D$15</f>
        <v>#DIV/0!</v>
      </c>
      <c r="O123" s="4" t="e">
        <f aca="false">IF($D$16=1,VLOOKUP($A123,SkewTable,HLOOKUP(ROUND(P123-AZ123,1),SkewTable,2,FALSE()),FALSE())/100,0)</f>
        <v>#DIV/0!</v>
      </c>
      <c r="P123" s="41" t="n">
        <f aca="false">IF($D$19=4,$AZ123,$D$18)</f>
        <v>3.75</v>
      </c>
      <c r="R123" s="40" t="n">
        <f aca="false">IF(R$28="nymex",0,VLOOKUP($A123,curvesettle,HLOOKUP(R$28,curvesettle,2,FALSE())))</f>
        <v>-0.018</v>
      </c>
      <c r="S123" s="131" t="n">
        <f aca="false">IF(ISNUMBER(VLOOKUP($A123,VOLCURVES,HLOOKUP(R$28,VOLCURVES,2,FALSE()),FALSE())),VLOOKUP($A123,VOLCURVES,HLOOKUP(R$28,VOLCURVES,2,FALSE()),FALSE()),1)</f>
        <v>1</v>
      </c>
      <c r="T123" s="136" t="n">
        <f aca="false">IF(R$28="NYMEX",$AG123,$AF123)</f>
        <v>-6330</v>
      </c>
      <c r="U123" s="153" t="e">
        <f aca="false">(($C123+V123)*$S123)+F$15</f>
        <v>#DIV/0!</v>
      </c>
      <c r="V123" s="4" t="e">
        <f aca="false">IF($F$16=1,VLOOKUP($A123,SkewTable,HLOOKUP(ROUND(W123-BK123,1),SkewTable,2,FALSE()),FALSE())/100,0)</f>
        <v>#DIV/0!</v>
      </c>
      <c r="W123" s="41" t="n">
        <f aca="false">IF($F$19=4,$BK123,$F$18)</f>
        <v>3.5</v>
      </c>
      <c r="X123" s="136"/>
      <c r="Y123" s="40" t="n">
        <f aca="false">IF(Y$28="nymex",0,VLOOKUP($A123,curvesettle,HLOOKUP(Y$28,curvesettle,2,FALSE())))</f>
        <v>-0.335</v>
      </c>
      <c r="Z123" s="131" t="n">
        <f aca="false">IF(ISNUMBER(VLOOKUP($A123,VOLCURVES,HLOOKUP(Y$28,VOLCURVES,2,FALSE()),FALSE())),VLOOKUP($A123,VOLCURVES,HLOOKUP(Y$28,VOLCURVES,2,FALSE()),FALSE()),1)</f>
        <v>1</v>
      </c>
      <c r="AA123" s="136" t="n">
        <f aca="false">IF(Y$28="NYMEX",$AG123,$AF123)</f>
        <v>-6330</v>
      </c>
      <c r="AB123" s="4" t="e">
        <f aca="false">(($C123+AC123)*$Z123)+H$15</f>
        <v>#DIV/0!</v>
      </c>
      <c r="AC123" s="4" t="e">
        <f aca="false">IF($H$16=1,VLOOKUP($A123,SkewTable,HLOOKUP(ROUND(AD123-BV123,1),SkewTable,2,FALSE()),FALSE())/100,0)</f>
        <v>#DIV/0!</v>
      </c>
      <c r="AD123" s="41" t="n">
        <f aca="false">IF($H$19=4,$BV123,$H$18)</f>
        <v>3</v>
      </c>
      <c r="AF123" s="136" t="n">
        <f aca="false">VLOOKUP($A123,expiration,2,FALSE())-$B$2</f>
        <v>-6330</v>
      </c>
      <c r="AG123" s="136" t="n">
        <f aca="false">VLOOKUP($A123,expiration,3,FALSE())-$B$2</f>
        <v>-6331</v>
      </c>
      <c r="AH123" s="4" t="n">
        <f aca="false">VLOOKUP($A123,STRADDLE,12,FALSE())</f>
        <v>0.069782797159325</v>
      </c>
      <c r="AI123" s="43" t="n">
        <f aca="false">A124-A123</f>
        <v>30</v>
      </c>
      <c r="AL123" s="136"/>
      <c r="AM123" s="9"/>
      <c r="AN123" s="9" t="n">
        <f aca="false">IF($A123&gt;=AO$25,IF($A123&lt;=AO$26,$AI123,0),0)</f>
        <v>0</v>
      </c>
      <c r="AO123" s="9" t="e">
        <f aca="false">AQ123/AN123</f>
        <v>#DIV/0!</v>
      </c>
      <c r="AP123" s="1" t="n">
        <f aca="false">AN123*($B123+B$13)</f>
        <v>0</v>
      </c>
      <c r="AQ123" s="33" t="n">
        <f aca="false">IF(ISNUMBER(((AP123/AN123)+B$14+$D123)*AN123),((AP123/AN123)+B$14+$D123)*AN123,0)</f>
        <v>0</v>
      </c>
      <c r="AR123" s="44" t="n">
        <f aca="false">IF(AN123=0,0,bsd(1,AS$27,AO123,$I123,$F123,$G123,$AH123,0.1))</f>
        <v>0</v>
      </c>
      <c r="AS123" s="44" t="n">
        <f aca="false">IF(AN123=0,0,bsd(2,AS$27,AO123,$I123,$F123,$G123,$AH123,0.1))</f>
        <v>0</v>
      </c>
      <c r="AT123" s="44" t="n">
        <f aca="false">IF(AN123=0,0,bsd(AS$28,AS$27,AO123,$I123,$F123,$G123,$AH123,0.1))</f>
        <v>0</v>
      </c>
      <c r="AU123" s="45" t="n">
        <f aca="false">AN123*AR123</f>
        <v>0</v>
      </c>
      <c r="AV123" s="45" t="n">
        <f aca="false">AN123*AS123</f>
        <v>0</v>
      </c>
      <c r="AW123" s="45" t="n">
        <f aca="false">AN123*AT123</f>
        <v>0</v>
      </c>
      <c r="AY123" s="9" t="n">
        <f aca="false">IF($A123&gt;=AZ$25,IF($A123&lt;=AZ$26,$AI123,0),0)</f>
        <v>0</v>
      </c>
      <c r="AZ123" s="9" t="e">
        <f aca="false">BB123/AY123</f>
        <v>#DIV/0!</v>
      </c>
      <c r="BA123" s="1" t="n">
        <f aca="false">AY123*($B123+D$13)</f>
        <v>0</v>
      </c>
      <c r="BB123" s="33" t="n">
        <f aca="false">IF(ISNUMBER(((BA123/AY123)+D$14+$K123)*AY123),((BA123/AY123)+D$14+$K123)*AY123,0)</f>
        <v>0</v>
      </c>
      <c r="BC123" s="44" t="n">
        <f aca="false">IF(AY123=0,0,bsd(1,BD$27,AZ123,$P123,$M123,$N123,$AH123,0.1))</f>
        <v>0</v>
      </c>
      <c r="BD123" s="44" t="n">
        <f aca="false">IF(AY123=0,0,bsd(2,BD$27,AZ123,$P123,$M123,$N123,$AH123,0.1))</f>
        <v>0</v>
      </c>
      <c r="BE123" s="44" t="n">
        <f aca="false">IF(AY123=0,0,bsd(BD$28,BD$27,AZ123,$P123,$M123,$N123,$AH123,0.1))</f>
        <v>0</v>
      </c>
      <c r="BF123" s="45" t="n">
        <f aca="false">AY123*BC123</f>
        <v>0</v>
      </c>
      <c r="BG123" s="45" t="n">
        <f aca="false">AY123*BD123</f>
        <v>0</v>
      </c>
      <c r="BH123" s="45" t="n">
        <f aca="false">AY123*BE123</f>
        <v>0</v>
      </c>
      <c r="BJ123" s="9" t="n">
        <f aca="false">IF($A123&gt;=BK$25,IF($A123&lt;=BK$26,$AI123,0),0)</f>
        <v>0</v>
      </c>
      <c r="BK123" s="9" t="e">
        <f aca="false">BM123/BJ123</f>
        <v>#DIV/0!</v>
      </c>
      <c r="BL123" s="1" t="n">
        <f aca="false">BJ123*($B123+F$13)</f>
        <v>0</v>
      </c>
      <c r="BM123" s="33" t="n">
        <f aca="false">IF(ISNUMBER(((BL123/BJ123)+F$14+$R123)*BJ123),((BL123/BJ123)+F$14+$R123)*BJ123,0)</f>
        <v>0</v>
      </c>
      <c r="BN123" s="44" t="n">
        <f aca="false">IF(BJ123=0,0,bsd(1,BO$27,BK123,$W123,$T123,$U123,$AH123,0.1))</f>
        <v>0</v>
      </c>
      <c r="BO123" s="44" t="n">
        <f aca="false">IF(BJ123=0,0,bsd(2,BO$27,BK123,$W123,$T123,$U123,$AH123,0.1))</f>
        <v>0</v>
      </c>
      <c r="BP123" s="44" t="n">
        <f aca="false">IF(BJ123=0,0,bsd(BO$28,BO$27,BK123,$W123,$T123,$U123,$AH123,0.1))</f>
        <v>0</v>
      </c>
      <c r="BQ123" s="45" t="n">
        <f aca="false">BJ123*BN123</f>
        <v>0</v>
      </c>
      <c r="BR123" s="45" t="n">
        <f aca="false">BJ123*BO123</f>
        <v>0</v>
      </c>
      <c r="BS123" s="45" t="n">
        <f aca="false">BJ123*BP123</f>
        <v>0</v>
      </c>
      <c r="BU123" s="9" t="n">
        <f aca="false">IF($A123&gt;=BV$25,IF($A123&lt;=BV$26,$AI123,0),0)</f>
        <v>0</v>
      </c>
      <c r="BV123" s="9" t="e">
        <f aca="false">BX123/BU123</f>
        <v>#DIV/0!</v>
      </c>
      <c r="BW123" s="1" t="n">
        <f aca="false">BU123*($B123+H$13)</f>
        <v>0</v>
      </c>
      <c r="BX123" s="33" t="n">
        <f aca="false">IF(ISNUMBER(((BW123/BU123)+H$14+$Y123)*BU123),((BW123/BU123)+H$14+$Y123)*BU123,0)</f>
        <v>0</v>
      </c>
      <c r="BY123" s="44" t="n">
        <f aca="false">IF(BU123=0,0,bsd(1,BZ$27,BV123,$AD123,$AA123,$AB123,$AH123,0.1))</f>
        <v>0</v>
      </c>
      <c r="BZ123" s="44" t="n">
        <f aca="false">IF(BU123=0,0,bsd(2,BZ$27,BV123,$AD123,$AA123,$AB123,$AH123,0.1))</f>
        <v>0</v>
      </c>
      <c r="CA123" s="44" t="n">
        <f aca="false">IF(BU123=0,0,bsd(BZ$28,BZ$27,BV123,$AD123,$AA123,$AB123,$AH123,0.1))</f>
        <v>0</v>
      </c>
      <c r="CB123" s="45" t="n">
        <f aca="false">BU123*BY123</f>
        <v>0</v>
      </c>
      <c r="CC123" s="45" t="n">
        <f aca="false">BU123*BZ123</f>
        <v>0</v>
      </c>
      <c r="CD123" s="45" t="n">
        <f aca="false">BU123*CA123</f>
        <v>0</v>
      </c>
    </row>
    <row r="124" customFormat="false" ht="12.75" hidden="false" customHeight="false" outlineLevel="0" collapsed="false">
      <c r="A124" s="48" t="n">
        <f aca="false">DATE(YEAR(A123),MONTH(A123)+1,1)</f>
        <v>39630</v>
      </c>
      <c r="B124" s="40" t="n">
        <f aca="false">VLOOKUP(A124,STRADDLE,5,FALSE())</f>
        <v>3.078</v>
      </c>
      <c r="C124" s="4" t="n">
        <f aca="false">VLOOKUP(A124,STRADDLE,8,FALSE())</f>
        <v>0.18</v>
      </c>
      <c r="D124" s="40" t="n">
        <f aca="false">IF(D$28="nymex",0,VLOOKUP($A124,curvesettle,HLOOKUP(D$28,curvesettle,2,FALSE())))</f>
        <v>0.43</v>
      </c>
      <c r="E124" s="131" t="n">
        <f aca="false">IF(ISNUMBER(VLOOKUP($A124,VOLCURVES,HLOOKUP(D$28,VOLCURVES,2,FALSE()),FALSE())),VLOOKUP($A124,VOLCURVES,HLOOKUP(D$28,VOLCURVES,2,FALSE()),FALSE()),1)</f>
        <v>0.98</v>
      </c>
      <c r="F124" s="136" t="n">
        <f aca="false">IF(D$28="NYMEX",$AG124,$AF124)</f>
        <v>-6301</v>
      </c>
      <c r="G124" s="4" t="e">
        <f aca="false">(($C124+H124)*$E124)+B$15</f>
        <v>#DIV/0!</v>
      </c>
      <c r="H124" s="4" t="e">
        <f aca="false">IF($B$16=1,VLOOKUP($A124,SkewTable,HLOOKUP(ROUND(I124-AO124,1),SkewTable,2,FALSE()),FALSE())/100,0)</f>
        <v>#DIV/0!</v>
      </c>
      <c r="I124" s="41" t="n">
        <f aca="false">IF($B$19=4,$AO124,$B$18)</f>
        <v>12</v>
      </c>
      <c r="K124" s="40" t="n">
        <f aca="false">IF(K$28="nymex",0,VLOOKUP($A124,curvesettle,HLOOKUP(K$28,curvesettle,2,FALSE())))</f>
        <v>-0.018</v>
      </c>
      <c r="L124" s="131" t="n">
        <f aca="false">IF(ISNUMBER(VLOOKUP($A124,VOLCURVES,HLOOKUP(K$28,VOLCURVES,2,FALSE()),FALSE())),VLOOKUP($A124,VOLCURVES,HLOOKUP(K$28,VOLCURVES,2,FALSE()),FALSE()),1)</f>
        <v>1</v>
      </c>
      <c r="M124" s="136" t="n">
        <f aca="false">IF(K$28="NYMEX",$AG124,$AF124)</f>
        <v>-6301</v>
      </c>
      <c r="N124" s="153" t="e">
        <f aca="false">(($C124+O124)*$L124)+D$15</f>
        <v>#DIV/0!</v>
      </c>
      <c r="O124" s="4" t="e">
        <f aca="false">IF($D$16=1,VLOOKUP($A124,SkewTable,HLOOKUP(ROUND(P124-AZ124,1),SkewTable,2,FALSE()),FALSE())/100,0)</f>
        <v>#DIV/0!</v>
      </c>
      <c r="P124" s="41" t="n">
        <f aca="false">IF($D$19=4,$AZ124,$D$18)</f>
        <v>3.75</v>
      </c>
      <c r="R124" s="40" t="n">
        <f aca="false">IF(R$28="nymex",0,VLOOKUP($A124,curvesettle,HLOOKUP(R$28,curvesettle,2,FALSE())))</f>
        <v>-0.018</v>
      </c>
      <c r="S124" s="131" t="n">
        <f aca="false">IF(ISNUMBER(VLOOKUP($A124,VOLCURVES,HLOOKUP(R$28,VOLCURVES,2,FALSE()),FALSE())),VLOOKUP($A124,VOLCURVES,HLOOKUP(R$28,VOLCURVES,2,FALSE()),FALSE()),1)</f>
        <v>1</v>
      </c>
      <c r="T124" s="136" t="n">
        <f aca="false">IF(R$28="NYMEX",$AG124,$AF124)</f>
        <v>-6301</v>
      </c>
      <c r="U124" s="153" t="e">
        <f aca="false">(($C124+V124)*$S124)+F$15</f>
        <v>#DIV/0!</v>
      </c>
      <c r="V124" s="4" t="e">
        <f aca="false">IF($F$16=1,VLOOKUP($A124,SkewTable,HLOOKUP(ROUND(W124-BK124,1),SkewTable,2,FALSE()),FALSE())/100,0)</f>
        <v>#DIV/0!</v>
      </c>
      <c r="W124" s="41" t="n">
        <f aca="false">IF($F$19=4,$BK124,$F$18)</f>
        <v>3.5</v>
      </c>
      <c r="X124" s="136"/>
      <c r="Y124" s="40" t="n">
        <f aca="false">IF(Y$28="nymex",0,VLOOKUP($A124,curvesettle,HLOOKUP(Y$28,curvesettle,2,FALSE())))</f>
        <v>-0.335</v>
      </c>
      <c r="Z124" s="131" t="n">
        <f aca="false">IF(ISNUMBER(VLOOKUP($A124,VOLCURVES,HLOOKUP(Y$28,VOLCURVES,2,FALSE()),FALSE())),VLOOKUP($A124,VOLCURVES,HLOOKUP(Y$28,VOLCURVES,2,FALSE()),FALSE()),1)</f>
        <v>1</v>
      </c>
      <c r="AA124" s="136" t="n">
        <f aca="false">IF(Y$28="NYMEX",$AG124,$AF124)</f>
        <v>-6301</v>
      </c>
      <c r="AB124" s="4" t="e">
        <f aca="false">(($C124+AC124)*$Z124)+H$15</f>
        <v>#DIV/0!</v>
      </c>
      <c r="AC124" s="4" t="e">
        <f aca="false">IF($H$16=1,VLOOKUP($A124,SkewTable,HLOOKUP(ROUND(AD124-BV124,1),SkewTable,2,FALSE()),FALSE())/100,0)</f>
        <v>#DIV/0!</v>
      </c>
      <c r="AD124" s="41" t="n">
        <f aca="false">IF($H$19=4,$BV124,$H$18)</f>
        <v>3</v>
      </c>
      <c r="AF124" s="136" t="n">
        <f aca="false">VLOOKUP($A124,expiration,2,FALSE())-$B$2</f>
        <v>-6301</v>
      </c>
      <c r="AG124" s="136" t="n">
        <f aca="false">VLOOKUP($A124,expiration,3,FALSE())-$B$2</f>
        <v>-6302</v>
      </c>
      <c r="AH124" s="4" t="n">
        <f aca="false">VLOOKUP($A124,STRADDLE,12,FALSE())</f>
        <v>0.069818985600624</v>
      </c>
      <c r="AI124" s="43" t="n">
        <f aca="false">A125-A124</f>
        <v>31</v>
      </c>
      <c r="AL124" s="136"/>
      <c r="AM124" s="9"/>
      <c r="AN124" s="9" t="n">
        <f aca="false">IF($A124&gt;=AO$25,IF($A124&lt;=AO$26,$AI124,0),0)</f>
        <v>0</v>
      </c>
      <c r="AO124" s="9" t="e">
        <f aca="false">AQ124/AN124</f>
        <v>#DIV/0!</v>
      </c>
      <c r="AP124" s="1" t="n">
        <f aca="false">AN124*($B124+B$13)</f>
        <v>0</v>
      </c>
      <c r="AQ124" s="33" t="n">
        <f aca="false">IF(ISNUMBER(((AP124/AN124)+B$14+$D124)*AN124),((AP124/AN124)+B$14+$D124)*AN124,0)</f>
        <v>0</v>
      </c>
      <c r="AR124" s="44" t="n">
        <f aca="false">IF(AN124=0,0,bsd(1,AS$27,AO124,$I124,$F124,$G124,$AH124,0.1))</f>
        <v>0</v>
      </c>
      <c r="AS124" s="44" t="n">
        <f aca="false">IF(AN124=0,0,bsd(2,AS$27,AO124,$I124,$F124,$G124,$AH124,0.1))</f>
        <v>0</v>
      </c>
      <c r="AT124" s="44" t="n">
        <f aca="false">IF(AN124=0,0,bsd(AS$28,AS$27,AO124,$I124,$F124,$G124,$AH124,0.1))</f>
        <v>0</v>
      </c>
      <c r="AU124" s="45" t="n">
        <f aca="false">AN124*AR124</f>
        <v>0</v>
      </c>
      <c r="AV124" s="45" t="n">
        <f aca="false">AN124*AS124</f>
        <v>0</v>
      </c>
      <c r="AW124" s="45" t="n">
        <f aca="false">AN124*AT124</f>
        <v>0</v>
      </c>
      <c r="AY124" s="9" t="n">
        <f aca="false">IF($A124&gt;=AZ$25,IF($A124&lt;=AZ$26,$AI124,0),0)</f>
        <v>0</v>
      </c>
      <c r="AZ124" s="9" t="e">
        <f aca="false">BB124/AY124</f>
        <v>#DIV/0!</v>
      </c>
      <c r="BA124" s="1" t="n">
        <f aca="false">AY124*($B124+D$13)</f>
        <v>0</v>
      </c>
      <c r="BB124" s="33" t="n">
        <f aca="false">IF(ISNUMBER(((BA124/AY124)+D$14+$K124)*AY124),((BA124/AY124)+D$14+$K124)*AY124,0)</f>
        <v>0</v>
      </c>
      <c r="BC124" s="44" t="n">
        <f aca="false">IF(AY124=0,0,bsd(1,BD$27,AZ124,$P124,$M124,$N124,$AH124,0.1))</f>
        <v>0</v>
      </c>
      <c r="BD124" s="44" t="n">
        <f aca="false">IF(AY124=0,0,bsd(2,BD$27,AZ124,$P124,$M124,$N124,$AH124,0.1))</f>
        <v>0</v>
      </c>
      <c r="BE124" s="44" t="n">
        <f aca="false">IF(AY124=0,0,bsd(BD$28,BD$27,AZ124,$P124,$M124,$N124,$AH124,0.1))</f>
        <v>0</v>
      </c>
      <c r="BF124" s="45" t="n">
        <f aca="false">AY124*BC124</f>
        <v>0</v>
      </c>
      <c r="BG124" s="45" t="n">
        <f aca="false">AY124*BD124</f>
        <v>0</v>
      </c>
      <c r="BH124" s="45" t="n">
        <f aca="false">AY124*BE124</f>
        <v>0</v>
      </c>
      <c r="BJ124" s="9" t="n">
        <f aca="false">IF($A124&gt;=BK$25,IF($A124&lt;=BK$26,$AI124,0),0)</f>
        <v>0</v>
      </c>
      <c r="BK124" s="9" t="e">
        <f aca="false">BM124/BJ124</f>
        <v>#DIV/0!</v>
      </c>
      <c r="BL124" s="1" t="n">
        <f aca="false">BJ124*($B124+F$13)</f>
        <v>0</v>
      </c>
      <c r="BM124" s="33" t="n">
        <f aca="false">IF(ISNUMBER(((BL124/BJ124)+F$14+$R124)*BJ124),((BL124/BJ124)+F$14+$R124)*BJ124,0)</f>
        <v>0</v>
      </c>
      <c r="BN124" s="44" t="n">
        <f aca="false">IF(BJ124=0,0,bsd(1,BO$27,BK124,$W124,$T124,$U124,$AH124,0.1))</f>
        <v>0</v>
      </c>
      <c r="BO124" s="44" t="n">
        <f aca="false">IF(BJ124=0,0,bsd(2,BO$27,BK124,$W124,$T124,$U124,$AH124,0.1))</f>
        <v>0</v>
      </c>
      <c r="BP124" s="44" t="n">
        <f aca="false">IF(BJ124=0,0,bsd(BO$28,BO$27,BK124,$W124,$T124,$U124,$AH124,0.1))</f>
        <v>0</v>
      </c>
      <c r="BQ124" s="45" t="n">
        <f aca="false">BJ124*BN124</f>
        <v>0</v>
      </c>
      <c r="BR124" s="45" t="n">
        <f aca="false">BJ124*BO124</f>
        <v>0</v>
      </c>
      <c r="BS124" s="45" t="n">
        <f aca="false">BJ124*BP124</f>
        <v>0</v>
      </c>
      <c r="BU124" s="9" t="n">
        <f aca="false">IF($A124&gt;=BV$25,IF($A124&lt;=BV$26,$AI124,0),0)</f>
        <v>0</v>
      </c>
      <c r="BV124" s="9" t="e">
        <f aca="false">BX124/BU124</f>
        <v>#DIV/0!</v>
      </c>
      <c r="BW124" s="1" t="n">
        <f aca="false">BU124*($B124+H$13)</f>
        <v>0</v>
      </c>
      <c r="BX124" s="33" t="n">
        <f aca="false">IF(ISNUMBER(((BW124/BU124)+H$14+$Y124)*BU124),((BW124/BU124)+H$14+$Y124)*BU124,0)</f>
        <v>0</v>
      </c>
      <c r="BY124" s="44" t="n">
        <f aca="false">IF(BU124=0,0,bsd(1,BZ$27,BV124,$AD124,$AA124,$AB124,$AH124,0.1))</f>
        <v>0</v>
      </c>
      <c r="BZ124" s="44" t="n">
        <f aca="false">IF(BU124=0,0,bsd(2,BZ$27,BV124,$AD124,$AA124,$AB124,$AH124,0.1))</f>
        <v>0</v>
      </c>
      <c r="CA124" s="44" t="n">
        <f aca="false">IF(BU124=0,0,bsd(BZ$28,BZ$27,BV124,$AD124,$AA124,$AB124,$AH124,0.1))</f>
        <v>0</v>
      </c>
      <c r="CB124" s="45" t="n">
        <f aca="false">BU124*BY124</f>
        <v>0</v>
      </c>
      <c r="CC124" s="45" t="n">
        <f aca="false">BU124*BZ124</f>
        <v>0</v>
      </c>
      <c r="CD124" s="45" t="n">
        <f aca="false">BU124*CA124</f>
        <v>0</v>
      </c>
    </row>
    <row r="125" customFormat="false" ht="12.75" hidden="false" customHeight="false" outlineLevel="0" collapsed="false">
      <c r="A125" s="48" t="n">
        <f aca="false">DATE(YEAR(A124),MONTH(A124)+1,1)</f>
        <v>39661</v>
      </c>
      <c r="B125" s="40" t="n">
        <f aca="false">VLOOKUP(A125,STRADDLE,5,FALSE())</f>
        <v>3.085</v>
      </c>
      <c r="C125" s="4" t="n">
        <f aca="false">VLOOKUP(A125,STRADDLE,8,FALSE())</f>
        <v>0.18</v>
      </c>
      <c r="D125" s="40" t="n">
        <f aca="false">IF(D$28="nymex",0,VLOOKUP($A125,curvesettle,HLOOKUP(D$28,curvesettle,2,FALSE())))</f>
        <v>0.495</v>
      </c>
      <c r="E125" s="131" t="n">
        <f aca="false">IF(ISNUMBER(VLOOKUP($A125,VOLCURVES,HLOOKUP(D$28,VOLCURVES,2,FALSE()),FALSE())),VLOOKUP($A125,VOLCURVES,HLOOKUP(D$28,VOLCURVES,2,FALSE()),FALSE()),1)</f>
        <v>0.98</v>
      </c>
      <c r="F125" s="136" t="n">
        <f aca="false">IF(D$28="NYMEX",$AG125,$AF125)</f>
        <v>-6268</v>
      </c>
      <c r="G125" s="4" t="e">
        <f aca="false">(($C125+H125)*$E125)+B$15</f>
        <v>#DIV/0!</v>
      </c>
      <c r="H125" s="4" t="e">
        <f aca="false">IF($B$16=1,VLOOKUP($A125,SkewTable,HLOOKUP(ROUND(I125-AO125,1),SkewTable,2,FALSE()),FALSE())/100,0)</f>
        <v>#DIV/0!</v>
      </c>
      <c r="I125" s="41" t="n">
        <f aca="false">IF($B$19=4,$AO125,$B$18)</f>
        <v>12</v>
      </c>
      <c r="K125" s="40" t="n">
        <f aca="false">IF(K$28="nymex",0,VLOOKUP($A125,curvesettle,HLOOKUP(K$28,curvesettle,2,FALSE())))</f>
        <v>-0.018</v>
      </c>
      <c r="L125" s="131" t="n">
        <f aca="false">IF(ISNUMBER(VLOOKUP($A125,VOLCURVES,HLOOKUP(K$28,VOLCURVES,2,FALSE()),FALSE())),VLOOKUP($A125,VOLCURVES,HLOOKUP(K$28,VOLCURVES,2,FALSE()),FALSE()),1)</f>
        <v>1</v>
      </c>
      <c r="M125" s="136" t="n">
        <f aca="false">IF(K$28="NYMEX",$AG125,$AF125)</f>
        <v>-6268</v>
      </c>
      <c r="N125" s="153" t="e">
        <f aca="false">(($C125+O125)*$L125)+D$15</f>
        <v>#DIV/0!</v>
      </c>
      <c r="O125" s="4" t="e">
        <f aca="false">IF($D$16=1,VLOOKUP($A125,SkewTable,HLOOKUP(ROUND(P125-AZ125,1),SkewTable,2,FALSE()),FALSE())/100,0)</f>
        <v>#DIV/0!</v>
      </c>
      <c r="P125" s="41" t="n">
        <f aca="false">IF($D$19=4,$AZ125,$D$18)</f>
        <v>3.75</v>
      </c>
      <c r="R125" s="40" t="n">
        <f aca="false">IF(R$28="nymex",0,VLOOKUP($A125,curvesettle,HLOOKUP(R$28,curvesettle,2,FALSE())))</f>
        <v>-0.018</v>
      </c>
      <c r="S125" s="131" t="n">
        <f aca="false">IF(ISNUMBER(VLOOKUP($A125,VOLCURVES,HLOOKUP(R$28,VOLCURVES,2,FALSE()),FALSE())),VLOOKUP($A125,VOLCURVES,HLOOKUP(R$28,VOLCURVES,2,FALSE()),FALSE()),1)</f>
        <v>1</v>
      </c>
      <c r="T125" s="136" t="n">
        <f aca="false">IF(R$28="NYMEX",$AG125,$AF125)</f>
        <v>-6268</v>
      </c>
      <c r="U125" s="153" t="e">
        <f aca="false">(($C125+V125)*$S125)+F$15</f>
        <v>#DIV/0!</v>
      </c>
      <c r="V125" s="4" t="e">
        <f aca="false">IF($F$16=1,VLOOKUP($A125,SkewTable,HLOOKUP(ROUND(W125-BK125,1),SkewTable,2,FALSE()),FALSE())/100,0)</f>
        <v>#DIV/0!</v>
      </c>
      <c r="W125" s="41" t="n">
        <f aca="false">IF($F$19=4,$BK125,$F$18)</f>
        <v>3.5</v>
      </c>
      <c r="X125" s="136"/>
      <c r="Y125" s="40" t="n">
        <f aca="false">IF(Y$28="nymex",0,VLOOKUP($A125,curvesettle,HLOOKUP(Y$28,curvesettle,2,FALSE())))</f>
        <v>-0.335</v>
      </c>
      <c r="Z125" s="131" t="n">
        <f aca="false">IF(ISNUMBER(VLOOKUP($A125,VOLCURVES,HLOOKUP(Y$28,VOLCURVES,2,FALSE()),FALSE())),VLOOKUP($A125,VOLCURVES,HLOOKUP(Y$28,VOLCURVES,2,FALSE()),FALSE()),1)</f>
        <v>1</v>
      </c>
      <c r="AA125" s="136" t="n">
        <f aca="false">IF(Y$28="NYMEX",$AG125,$AF125)</f>
        <v>-6268</v>
      </c>
      <c r="AB125" s="4" t="e">
        <f aca="false">(($C125+AC125)*$Z125)+H$15</f>
        <v>#DIV/0!</v>
      </c>
      <c r="AC125" s="4" t="e">
        <f aca="false">IF($H$16=1,VLOOKUP($A125,SkewTable,HLOOKUP(ROUND(AD125-BV125,1),SkewTable,2,FALSE()),FALSE())/100,0)</f>
        <v>#DIV/0!</v>
      </c>
      <c r="AD125" s="41" t="n">
        <f aca="false">IF($H$19=4,$BV125,$H$18)</f>
        <v>3</v>
      </c>
      <c r="AF125" s="136" t="n">
        <f aca="false">VLOOKUP($A125,expiration,2,FALSE())-$B$2</f>
        <v>-6268</v>
      </c>
      <c r="AG125" s="136" t="n">
        <f aca="false">VLOOKUP($A125,expiration,3,FALSE())-$B$2</f>
        <v>-6269</v>
      </c>
      <c r="AH125" s="4" t="n">
        <f aca="false">VLOOKUP($A125,STRADDLE,12,FALSE())</f>
        <v>0.069856380323754</v>
      </c>
      <c r="AI125" s="43" t="n">
        <f aca="false">A126-A125</f>
        <v>31</v>
      </c>
      <c r="AL125" s="136"/>
      <c r="AM125" s="9"/>
      <c r="AN125" s="9" t="n">
        <f aca="false">IF($A125&gt;=AO$25,IF($A125&lt;=AO$26,$AI125,0),0)</f>
        <v>0</v>
      </c>
      <c r="AO125" s="9" t="e">
        <f aca="false">AQ125/AN125</f>
        <v>#DIV/0!</v>
      </c>
      <c r="AP125" s="1" t="n">
        <f aca="false">AN125*($B125+B$13)</f>
        <v>0</v>
      </c>
      <c r="AQ125" s="33" t="n">
        <f aca="false">IF(ISNUMBER(((AP125/AN125)+B$14+$D125)*AN125),((AP125/AN125)+B$14+$D125)*AN125,0)</f>
        <v>0</v>
      </c>
      <c r="AR125" s="44" t="n">
        <f aca="false">IF(AN125=0,0,bsd(1,AS$27,AO125,$I125,$F125,$G125,$AH125,0.1))</f>
        <v>0</v>
      </c>
      <c r="AS125" s="44" t="n">
        <f aca="false">IF(AN125=0,0,bsd(2,AS$27,AO125,$I125,$F125,$G125,$AH125,0.1))</f>
        <v>0</v>
      </c>
      <c r="AT125" s="44" t="n">
        <f aca="false">IF(AN125=0,0,bsd(AS$28,AS$27,AO125,$I125,$F125,$G125,$AH125,0.1))</f>
        <v>0</v>
      </c>
      <c r="AU125" s="45" t="n">
        <f aca="false">AN125*AR125</f>
        <v>0</v>
      </c>
      <c r="AV125" s="45" t="n">
        <f aca="false">AN125*AS125</f>
        <v>0</v>
      </c>
      <c r="AW125" s="45" t="n">
        <f aca="false">AN125*AT125</f>
        <v>0</v>
      </c>
      <c r="AY125" s="9" t="n">
        <f aca="false">IF($A125&gt;=AZ$25,IF($A125&lt;=AZ$26,$AI125,0),0)</f>
        <v>0</v>
      </c>
      <c r="AZ125" s="9" t="e">
        <f aca="false">BB125/AY125</f>
        <v>#DIV/0!</v>
      </c>
      <c r="BA125" s="1" t="n">
        <f aca="false">AY125*($B125+D$13)</f>
        <v>0</v>
      </c>
      <c r="BB125" s="33" t="n">
        <f aca="false">IF(ISNUMBER(((BA125/AY125)+D$14+$K125)*AY125),((BA125/AY125)+D$14+$K125)*AY125,0)</f>
        <v>0</v>
      </c>
      <c r="BC125" s="44" t="n">
        <f aca="false">IF(AY125=0,0,bsd(1,BD$27,AZ125,$P125,$M125,$N125,$AH125,0.1))</f>
        <v>0</v>
      </c>
      <c r="BD125" s="44" t="n">
        <f aca="false">IF(AY125=0,0,bsd(2,BD$27,AZ125,$P125,$M125,$N125,$AH125,0.1))</f>
        <v>0</v>
      </c>
      <c r="BE125" s="44" t="n">
        <f aca="false">IF(AY125=0,0,bsd(BD$28,BD$27,AZ125,$P125,$M125,$N125,$AH125,0.1))</f>
        <v>0</v>
      </c>
      <c r="BF125" s="45" t="n">
        <f aca="false">AY125*BC125</f>
        <v>0</v>
      </c>
      <c r="BG125" s="45" t="n">
        <f aca="false">AY125*BD125</f>
        <v>0</v>
      </c>
      <c r="BH125" s="45" t="n">
        <f aca="false">AY125*BE125</f>
        <v>0</v>
      </c>
      <c r="BJ125" s="9" t="n">
        <f aca="false">IF($A125&gt;=BK$25,IF($A125&lt;=BK$26,$AI125,0),0)</f>
        <v>0</v>
      </c>
      <c r="BK125" s="9" t="e">
        <f aca="false">BM125/BJ125</f>
        <v>#DIV/0!</v>
      </c>
      <c r="BL125" s="1" t="n">
        <f aca="false">BJ125*($B125+F$13)</f>
        <v>0</v>
      </c>
      <c r="BM125" s="33" t="n">
        <f aca="false">IF(ISNUMBER(((BL125/BJ125)+F$14+$R125)*BJ125),((BL125/BJ125)+F$14+$R125)*BJ125,0)</f>
        <v>0</v>
      </c>
      <c r="BN125" s="44" t="n">
        <f aca="false">IF(BJ125=0,0,bsd(1,BO$27,BK125,$W125,$T125,$U125,$AH125,0.1))</f>
        <v>0</v>
      </c>
      <c r="BO125" s="44" t="n">
        <f aca="false">IF(BJ125=0,0,bsd(2,BO$27,BK125,$W125,$T125,$U125,$AH125,0.1))</f>
        <v>0</v>
      </c>
      <c r="BP125" s="44" t="n">
        <f aca="false">IF(BJ125=0,0,bsd(BO$28,BO$27,BK125,$W125,$T125,$U125,$AH125,0.1))</f>
        <v>0</v>
      </c>
      <c r="BQ125" s="45" t="n">
        <f aca="false">BJ125*BN125</f>
        <v>0</v>
      </c>
      <c r="BR125" s="45" t="n">
        <f aca="false">BJ125*BO125</f>
        <v>0</v>
      </c>
      <c r="BS125" s="45" t="n">
        <f aca="false">BJ125*BP125</f>
        <v>0</v>
      </c>
      <c r="BU125" s="9" t="n">
        <f aca="false">IF($A125&gt;=BV$25,IF($A125&lt;=BV$26,$AI125,0),0)</f>
        <v>0</v>
      </c>
      <c r="BV125" s="9" t="e">
        <f aca="false">BX125/BU125</f>
        <v>#DIV/0!</v>
      </c>
      <c r="BW125" s="1" t="n">
        <f aca="false">BU125*($B125+H$13)</f>
        <v>0</v>
      </c>
      <c r="BX125" s="33" t="n">
        <f aca="false">IF(ISNUMBER(((BW125/BU125)+H$14+$Y125)*BU125),((BW125/BU125)+H$14+$Y125)*BU125,0)</f>
        <v>0</v>
      </c>
      <c r="BY125" s="44" t="n">
        <f aca="false">IF(BU125=0,0,bsd(1,BZ$27,BV125,$AD125,$AA125,$AB125,$AH125,0.1))</f>
        <v>0</v>
      </c>
      <c r="BZ125" s="44" t="n">
        <f aca="false">IF(BU125=0,0,bsd(2,BZ$27,BV125,$AD125,$AA125,$AB125,$AH125,0.1))</f>
        <v>0</v>
      </c>
      <c r="CA125" s="44" t="n">
        <f aca="false">IF(BU125=0,0,bsd(BZ$28,BZ$27,BV125,$AD125,$AA125,$AB125,$AH125,0.1))</f>
        <v>0</v>
      </c>
      <c r="CB125" s="45" t="n">
        <f aca="false">BU125*BY125</f>
        <v>0</v>
      </c>
      <c r="CC125" s="45" t="n">
        <f aca="false">BU125*BZ125</f>
        <v>0</v>
      </c>
      <c r="CD125" s="45" t="n">
        <f aca="false">BU125*CA125</f>
        <v>0</v>
      </c>
    </row>
    <row r="126" customFormat="false" ht="12.75" hidden="false" customHeight="false" outlineLevel="0" collapsed="false">
      <c r="A126" s="48" t="n">
        <f aca="false">DATE(YEAR(A125),MONTH(A125)+1,1)</f>
        <v>39692</v>
      </c>
      <c r="B126" s="40" t="n">
        <f aca="false">VLOOKUP(A126,STRADDLE,5,FALSE())</f>
        <v>3.07</v>
      </c>
      <c r="C126" s="4" t="n">
        <f aca="false">VLOOKUP(A126,STRADDLE,8,FALSE())</f>
        <v>0.18</v>
      </c>
      <c r="D126" s="40" t="n">
        <f aca="false">IF(D$28="nymex",0,VLOOKUP($A126,curvesettle,HLOOKUP(D$28,curvesettle,2,FALSE())))</f>
        <v>0.395</v>
      </c>
      <c r="E126" s="131" t="n">
        <f aca="false">IF(ISNUMBER(VLOOKUP($A126,VOLCURVES,HLOOKUP(D$28,VOLCURVES,2,FALSE()),FALSE())),VLOOKUP($A126,VOLCURVES,HLOOKUP(D$28,VOLCURVES,2,FALSE()),FALSE()),1)</f>
        <v>0.98</v>
      </c>
      <c r="F126" s="136" t="n">
        <f aca="false">IF(D$28="NYMEX",$AG126,$AF126)</f>
        <v>-6239</v>
      </c>
      <c r="G126" s="4" t="e">
        <f aca="false">(($C126+H126)*$E126)+B$15</f>
        <v>#DIV/0!</v>
      </c>
      <c r="H126" s="4" t="e">
        <f aca="false">IF($B$16=1,VLOOKUP($A126,SkewTable,HLOOKUP(ROUND(I126-AO126,1),SkewTable,2,FALSE()),FALSE())/100,0)</f>
        <v>#DIV/0!</v>
      </c>
      <c r="I126" s="41" t="n">
        <f aca="false">IF($B$19=4,$AO126,$B$18)</f>
        <v>12</v>
      </c>
      <c r="K126" s="40" t="n">
        <f aca="false">IF(K$28="nymex",0,VLOOKUP($A126,curvesettle,HLOOKUP(K$28,curvesettle,2,FALSE())))</f>
        <v>-0.018</v>
      </c>
      <c r="L126" s="131" t="n">
        <f aca="false">IF(ISNUMBER(VLOOKUP($A126,VOLCURVES,HLOOKUP(K$28,VOLCURVES,2,FALSE()),FALSE())),VLOOKUP($A126,VOLCURVES,HLOOKUP(K$28,VOLCURVES,2,FALSE()),FALSE()),1)</f>
        <v>1</v>
      </c>
      <c r="M126" s="136" t="n">
        <f aca="false">IF(K$28="NYMEX",$AG126,$AF126)</f>
        <v>-6239</v>
      </c>
      <c r="N126" s="153" t="e">
        <f aca="false">(($C126+O126)*$L126)+D$15</f>
        <v>#DIV/0!</v>
      </c>
      <c r="O126" s="4" t="e">
        <f aca="false">IF($D$16=1,VLOOKUP($A126,SkewTable,HLOOKUP(ROUND(P126-AZ126,1),SkewTable,2,FALSE()),FALSE())/100,0)</f>
        <v>#DIV/0!</v>
      </c>
      <c r="P126" s="41" t="n">
        <f aca="false">IF($D$19=4,$AZ126,$D$18)</f>
        <v>3.75</v>
      </c>
      <c r="R126" s="40" t="n">
        <f aca="false">IF(R$28="nymex",0,VLOOKUP($A126,curvesettle,HLOOKUP(R$28,curvesettle,2,FALSE())))</f>
        <v>-0.018</v>
      </c>
      <c r="S126" s="131" t="n">
        <f aca="false">IF(ISNUMBER(VLOOKUP($A126,VOLCURVES,HLOOKUP(R$28,VOLCURVES,2,FALSE()),FALSE())),VLOOKUP($A126,VOLCURVES,HLOOKUP(R$28,VOLCURVES,2,FALSE()),FALSE()),1)</f>
        <v>1</v>
      </c>
      <c r="T126" s="136" t="n">
        <f aca="false">IF(R$28="NYMEX",$AG126,$AF126)</f>
        <v>-6239</v>
      </c>
      <c r="U126" s="153" t="e">
        <f aca="false">(($C126+V126)*$S126)+F$15</f>
        <v>#DIV/0!</v>
      </c>
      <c r="V126" s="4" t="e">
        <f aca="false">IF($F$16=1,VLOOKUP($A126,SkewTable,HLOOKUP(ROUND(W126-BK126,1),SkewTable,2,FALSE()),FALSE())/100,0)</f>
        <v>#DIV/0!</v>
      </c>
      <c r="W126" s="41" t="n">
        <f aca="false">IF($F$19=4,$BK126,$F$18)</f>
        <v>3.5</v>
      </c>
      <c r="X126" s="136"/>
      <c r="Y126" s="40" t="n">
        <f aca="false">IF(Y$28="nymex",0,VLOOKUP($A126,curvesettle,HLOOKUP(Y$28,curvesettle,2,FALSE())))</f>
        <v>-0.335</v>
      </c>
      <c r="Z126" s="131" t="n">
        <f aca="false">IF(ISNUMBER(VLOOKUP($A126,VOLCURVES,HLOOKUP(Y$28,VOLCURVES,2,FALSE()),FALSE())),VLOOKUP($A126,VOLCURVES,HLOOKUP(Y$28,VOLCURVES,2,FALSE()),FALSE()),1)</f>
        <v>1</v>
      </c>
      <c r="AA126" s="136" t="n">
        <f aca="false">IF(Y$28="NYMEX",$AG126,$AF126)</f>
        <v>-6239</v>
      </c>
      <c r="AB126" s="4" t="e">
        <f aca="false">(($C126+AC126)*$Z126)+H$15</f>
        <v>#DIV/0!</v>
      </c>
      <c r="AC126" s="4" t="e">
        <f aca="false">IF($H$16=1,VLOOKUP($A126,SkewTable,HLOOKUP(ROUND(AD126-BV126,1),SkewTable,2,FALSE()),FALSE())/100,0)</f>
        <v>#DIV/0!</v>
      </c>
      <c r="AD126" s="41" t="n">
        <f aca="false">IF($H$19=4,$BV126,$H$18)</f>
        <v>3</v>
      </c>
      <c r="AF126" s="136" t="n">
        <f aca="false">VLOOKUP($A126,expiration,2,FALSE())-$B$2</f>
        <v>-6239</v>
      </c>
      <c r="AG126" s="136" t="n">
        <f aca="false">VLOOKUP($A126,expiration,3,FALSE())-$B$2</f>
        <v>-6240</v>
      </c>
      <c r="AH126" s="4" t="n">
        <f aca="false">VLOOKUP($A126,STRADDLE,12,FALSE())</f>
        <v>0.069893775047348</v>
      </c>
      <c r="AI126" s="43" t="n">
        <f aca="false">A127-A126</f>
        <v>30</v>
      </c>
      <c r="AL126" s="136"/>
      <c r="AM126" s="9"/>
      <c r="AN126" s="9" t="n">
        <f aca="false">IF($A126&gt;=AO$25,IF($A126&lt;=AO$26,$AI126,0),0)</f>
        <v>0</v>
      </c>
      <c r="AO126" s="9" t="e">
        <f aca="false">AQ126/AN126</f>
        <v>#DIV/0!</v>
      </c>
      <c r="AP126" s="1" t="n">
        <f aca="false">AN126*($B126+B$13)</f>
        <v>0</v>
      </c>
      <c r="AQ126" s="33" t="n">
        <f aca="false">IF(ISNUMBER(((AP126/AN126)+B$14+$D126)*AN126),((AP126/AN126)+B$14+$D126)*AN126,0)</f>
        <v>0</v>
      </c>
      <c r="AR126" s="44" t="n">
        <f aca="false">IF(AN126=0,0,bsd(1,AS$27,AO126,$I126,$F126,$G126,$AH126,0.1))</f>
        <v>0</v>
      </c>
      <c r="AS126" s="44" t="n">
        <f aca="false">IF(AN126=0,0,bsd(2,AS$27,AO126,$I126,$F126,$G126,$AH126,0.1))</f>
        <v>0</v>
      </c>
      <c r="AT126" s="44" t="n">
        <f aca="false">IF(AN126=0,0,bsd(AS$28,AS$27,AO126,$I126,$F126,$G126,$AH126,0.1))</f>
        <v>0</v>
      </c>
      <c r="AU126" s="45" t="n">
        <f aca="false">AN126*AR126</f>
        <v>0</v>
      </c>
      <c r="AV126" s="45" t="n">
        <f aca="false">AN126*AS126</f>
        <v>0</v>
      </c>
      <c r="AW126" s="45" t="n">
        <f aca="false">AN126*AT126</f>
        <v>0</v>
      </c>
      <c r="AY126" s="9" t="n">
        <f aca="false">IF($A126&gt;=AZ$25,IF($A126&lt;=AZ$26,$AI126,0),0)</f>
        <v>0</v>
      </c>
      <c r="AZ126" s="9" t="e">
        <f aca="false">BB126/AY126</f>
        <v>#DIV/0!</v>
      </c>
      <c r="BA126" s="1" t="n">
        <f aca="false">AY126*($B126+D$13)</f>
        <v>0</v>
      </c>
      <c r="BB126" s="33" t="n">
        <f aca="false">IF(ISNUMBER(((BA126/AY126)+D$14+$K126)*AY126),((BA126/AY126)+D$14+$K126)*AY126,0)</f>
        <v>0</v>
      </c>
      <c r="BC126" s="44" t="n">
        <f aca="false">IF(AY126=0,0,bsd(1,BD$27,AZ126,$P126,$M126,$N126,$AH126,0.1))</f>
        <v>0</v>
      </c>
      <c r="BD126" s="44" t="n">
        <f aca="false">IF(AY126=0,0,bsd(2,BD$27,AZ126,$P126,$M126,$N126,$AH126,0.1))</f>
        <v>0</v>
      </c>
      <c r="BE126" s="44" t="n">
        <f aca="false">IF(AY126=0,0,bsd(BD$28,BD$27,AZ126,$P126,$M126,$N126,$AH126,0.1))</f>
        <v>0</v>
      </c>
      <c r="BF126" s="45" t="n">
        <f aca="false">AY126*BC126</f>
        <v>0</v>
      </c>
      <c r="BG126" s="45" t="n">
        <f aca="false">AY126*BD126</f>
        <v>0</v>
      </c>
      <c r="BH126" s="45" t="n">
        <f aca="false">AY126*BE126</f>
        <v>0</v>
      </c>
      <c r="BJ126" s="9" t="n">
        <f aca="false">IF($A126&gt;=BK$25,IF($A126&lt;=BK$26,$AI126,0),0)</f>
        <v>0</v>
      </c>
      <c r="BK126" s="9" t="e">
        <f aca="false">BM126/BJ126</f>
        <v>#DIV/0!</v>
      </c>
      <c r="BL126" s="1" t="n">
        <f aca="false">BJ126*($B126+F$13)</f>
        <v>0</v>
      </c>
      <c r="BM126" s="33" t="n">
        <f aca="false">IF(ISNUMBER(((BL126/BJ126)+F$14+$R126)*BJ126),((BL126/BJ126)+F$14+$R126)*BJ126,0)</f>
        <v>0</v>
      </c>
      <c r="BN126" s="44" t="n">
        <f aca="false">IF(BJ126=0,0,bsd(1,BO$27,BK126,$W126,$T126,$U126,$AH126,0.1))</f>
        <v>0</v>
      </c>
      <c r="BO126" s="44" t="n">
        <f aca="false">IF(BJ126=0,0,bsd(2,BO$27,BK126,$W126,$T126,$U126,$AH126,0.1))</f>
        <v>0</v>
      </c>
      <c r="BP126" s="44" t="n">
        <f aca="false">IF(BJ126=0,0,bsd(BO$28,BO$27,BK126,$W126,$T126,$U126,$AH126,0.1))</f>
        <v>0</v>
      </c>
      <c r="BQ126" s="45" t="n">
        <f aca="false">BJ126*BN126</f>
        <v>0</v>
      </c>
      <c r="BR126" s="45" t="n">
        <f aca="false">BJ126*BO126</f>
        <v>0</v>
      </c>
      <c r="BS126" s="45" t="n">
        <f aca="false">BJ126*BP126</f>
        <v>0</v>
      </c>
      <c r="BU126" s="9" t="n">
        <f aca="false">IF($A126&gt;=BV$25,IF($A126&lt;=BV$26,$AI126,0),0)</f>
        <v>0</v>
      </c>
      <c r="BV126" s="9" t="e">
        <f aca="false">BX126/BU126</f>
        <v>#DIV/0!</v>
      </c>
      <c r="BW126" s="1" t="n">
        <f aca="false">BU126*($B126+H$13)</f>
        <v>0</v>
      </c>
      <c r="BX126" s="33" t="n">
        <f aca="false">IF(ISNUMBER(((BW126/BU126)+H$14+$Y126)*BU126),((BW126/BU126)+H$14+$Y126)*BU126,0)</f>
        <v>0</v>
      </c>
      <c r="BY126" s="44" t="n">
        <f aca="false">IF(BU126=0,0,bsd(1,BZ$27,BV126,$AD126,$AA126,$AB126,$AH126,0.1))</f>
        <v>0</v>
      </c>
      <c r="BZ126" s="44" t="n">
        <f aca="false">IF(BU126=0,0,bsd(2,BZ$27,BV126,$AD126,$AA126,$AB126,$AH126,0.1))</f>
        <v>0</v>
      </c>
      <c r="CA126" s="44" t="n">
        <f aca="false">IF(BU126=0,0,bsd(BZ$28,BZ$27,BV126,$AD126,$AA126,$AB126,$AH126,0.1))</f>
        <v>0</v>
      </c>
      <c r="CB126" s="45" t="n">
        <f aca="false">BU126*BY126</f>
        <v>0</v>
      </c>
      <c r="CC126" s="45" t="n">
        <f aca="false">BU126*BZ126</f>
        <v>0</v>
      </c>
      <c r="CD126" s="45" t="n">
        <f aca="false">BU126*CA126</f>
        <v>0</v>
      </c>
    </row>
    <row r="127" customFormat="false" ht="12.75" hidden="false" customHeight="false" outlineLevel="0" collapsed="false">
      <c r="A127" s="48" t="n">
        <f aca="false">DATE(YEAR(A126),MONTH(A126)+1,1)</f>
        <v>39722</v>
      </c>
      <c r="B127" s="40" t="n">
        <f aca="false">VLOOKUP(A127,STRADDLE,5,FALSE())</f>
        <v>3.088</v>
      </c>
      <c r="C127" s="4" t="n">
        <f aca="false">VLOOKUP(A127,STRADDLE,8,FALSE())</f>
        <v>0.18</v>
      </c>
      <c r="D127" s="40" t="n">
        <f aca="false">IF(D$28="nymex",0,VLOOKUP($A127,curvesettle,HLOOKUP(D$28,curvesettle,2,FALSE())))</f>
        <v>0.461</v>
      </c>
      <c r="E127" s="131" t="n">
        <f aca="false">IF(ISNUMBER(VLOOKUP($A127,VOLCURVES,HLOOKUP(D$28,VOLCURVES,2,FALSE()),FALSE())),VLOOKUP($A127,VOLCURVES,HLOOKUP(D$28,VOLCURVES,2,FALSE()),FALSE()),1)</f>
        <v>0.98</v>
      </c>
      <c r="F127" s="136" t="n">
        <f aca="false">IF(D$28="NYMEX",$AG127,$AF127)</f>
        <v>-6209</v>
      </c>
      <c r="G127" s="4" t="e">
        <f aca="false">(($C127+H127)*$E127)+B$15</f>
        <v>#DIV/0!</v>
      </c>
      <c r="H127" s="4" t="e">
        <f aca="false">IF($B$16=1,VLOOKUP($A127,SkewTable,HLOOKUP(ROUND(I127-AO127,1),SkewTable,2,FALSE()),FALSE())/100,0)</f>
        <v>#DIV/0!</v>
      </c>
      <c r="I127" s="41" t="n">
        <f aca="false">IF($B$19=4,$AO127,$B$18)</f>
        <v>12</v>
      </c>
      <c r="K127" s="40" t="n">
        <f aca="false">IF(K$28="nymex",0,VLOOKUP($A127,curvesettle,HLOOKUP(K$28,curvesettle,2,FALSE())))</f>
        <v>-0.018</v>
      </c>
      <c r="L127" s="131" t="n">
        <f aca="false">IF(ISNUMBER(VLOOKUP($A127,VOLCURVES,HLOOKUP(K$28,VOLCURVES,2,FALSE()),FALSE())),VLOOKUP($A127,VOLCURVES,HLOOKUP(K$28,VOLCURVES,2,FALSE()),FALSE()),1)</f>
        <v>1</v>
      </c>
      <c r="M127" s="136" t="n">
        <f aca="false">IF(K$28="NYMEX",$AG127,$AF127)</f>
        <v>-6209</v>
      </c>
      <c r="N127" s="153" t="e">
        <f aca="false">(($C127+O127)*$L127)+D$15</f>
        <v>#DIV/0!</v>
      </c>
      <c r="O127" s="4" t="e">
        <f aca="false">IF($D$16=1,VLOOKUP($A127,SkewTable,HLOOKUP(ROUND(P127-AZ127,1),SkewTable,2,FALSE()),FALSE())/100,0)</f>
        <v>#DIV/0!</v>
      </c>
      <c r="P127" s="41" t="n">
        <f aca="false">IF($D$19=4,$AZ127,$D$18)</f>
        <v>3.75</v>
      </c>
      <c r="R127" s="40" t="n">
        <f aca="false">IF(R$28="nymex",0,VLOOKUP($A127,curvesettle,HLOOKUP(R$28,curvesettle,2,FALSE())))</f>
        <v>-0.018</v>
      </c>
      <c r="S127" s="131" t="n">
        <f aca="false">IF(ISNUMBER(VLOOKUP($A127,VOLCURVES,HLOOKUP(R$28,VOLCURVES,2,FALSE()),FALSE())),VLOOKUP($A127,VOLCURVES,HLOOKUP(R$28,VOLCURVES,2,FALSE()),FALSE()),1)</f>
        <v>1</v>
      </c>
      <c r="T127" s="136" t="n">
        <f aca="false">IF(R$28="NYMEX",$AG127,$AF127)</f>
        <v>-6209</v>
      </c>
      <c r="U127" s="153" t="e">
        <f aca="false">(($C127+V127)*$S127)+F$15</f>
        <v>#DIV/0!</v>
      </c>
      <c r="V127" s="4" t="e">
        <f aca="false">IF($F$16=1,VLOOKUP($A127,SkewTable,HLOOKUP(ROUND(W127-BK127,1),SkewTable,2,FALSE()),FALSE())/100,0)</f>
        <v>#DIV/0!</v>
      </c>
      <c r="W127" s="41" t="n">
        <f aca="false">IF($F$19=4,$BK127,$F$18)</f>
        <v>3.5</v>
      </c>
      <c r="X127" s="136"/>
      <c r="Y127" s="40" t="n">
        <f aca="false">IF(Y$28="nymex",0,VLOOKUP($A127,curvesettle,HLOOKUP(Y$28,curvesettle,2,FALSE())))</f>
        <v>-0.335</v>
      </c>
      <c r="Z127" s="131" t="n">
        <f aca="false">IF(ISNUMBER(VLOOKUP($A127,VOLCURVES,HLOOKUP(Y$28,VOLCURVES,2,FALSE()),FALSE())),VLOOKUP($A127,VOLCURVES,HLOOKUP(Y$28,VOLCURVES,2,FALSE()),FALSE()),1)</f>
        <v>1</v>
      </c>
      <c r="AA127" s="136" t="n">
        <f aca="false">IF(Y$28="NYMEX",$AG127,$AF127)</f>
        <v>-6209</v>
      </c>
      <c r="AB127" s="4" t="e">
        <f aca="false">(($C127+AC127)*$Z127)+H$15</f>
        <v>#DIV/0!</v>
      </c>
      <c r="AC127" s="4" t="e">
        <f aca="false">IF($H$16=1,VLOOKUP($A127,SkewTable,HLOOKUP(ROUND(AD127-BV127,1),SkewTable,2,FALSE()),FALSE())/100,0)</f>
        <v>#DIV/0!</v>
      </c>
      <c r="AD127" s="41" t="n">
        <f aca="false">IF($H$19=4,$BV127,$H$18)</f>
        <v>3</v>
      </c>
      <c r="AF127" s="136" t="n">
        <f aca="false">VLOOKUP($A127,expiration,2,FALSE())-$B$2</f>
        <v>-6209</v>
      </c>
      <c r="AG127" s="136" t="n">
        <f aca="false">VLOOKUP($A127,expiration,3,FALSE())-$B$2</f>
        <v>-6210</v>
      </c>
      <c r="AH127" s="4" t="n">
        <f aca="false">VLOOKUP($A127,STRADDLE,12,FALSE())</f>
        <v>0.069929963489975</v>
      </c>
      <c r="AI127" s="43" t="n">
        <f aca="false">A128-A127</f>
        <v>31</v>
      </c>
      <c r="AL127" s="136"/>
      <c r="AM127" s="9"/>
      <c r="AN127" s="9" t="n">
        <f aca="false">IF($A127&gt;=AO$25,IF($A127&lt;=AO$26,$AI127,0),0)</f>
        <v>0</v>
      </c>
      <c r="AO127" s="9" t="e">
        <f aca="false">AQ127/AN127</f>
        <v>#DIV/0!</v>
      </c>
      <c r="AP127" s="1" t="n">
        <f aca="false">AN127*($B127+B$13)</f>
        <v>0</v>
      </c>
      <c r="AQ127" s="33" t="n">
        <f aca="false">IF(ISNUMBER(((AP127/AN127)+B$14+$D127)*AN127),((AP127/AN127)+B$14+$D127)*AN127,0)</f>
        <v>0</v>
      </c>
      <c r="AR127" s="44" t="n">
        <f aca="false">IF(AN127=0,0,bsd(1,AS$27,AO127,$I127,$F127,$G127,$AH127,0.1))</f>
        <v>0</v>
      </c>
      <c r="AS127" s="44" t="n">
        <f aca="false">IF(AN127=0,0,bsd(2,AS$27,AO127,$I127,$F127,$G127,$AH127,0.1))</f>
        <v>0</v>
      </c>
      <c r="AT127" s="44" t="n">
        <f aca="false">IF(AN127=0,0,bsd(AS$28,AS$27,AO127,$I127,$F127,$G127,$AH127,0.1))</f>
        <v>0</v>
      </c>
      <c r="AU127" s="45" t="n">
        <f aca="false">AN127*AR127</f>
        <v>0</v>
      </c>
      <c r="AV127" s="45" t="n">
        <f aca="false">AN127*AS127</f>
        <v>0</v>
      </c>
      <c r="AW127" s="45" t="n">
        <f aca="false">AN127*AT127</f>
        <v>0</v>
      </c>
      <c r="AY127" s="9" t="n">
        <f aca="false">IF($A127&gt;=AZ$25,IF($A127&lt;=AZ$26,$AI127,0),0)</f>
        <v>0</v>
      </c>
      <c r="AZ127" s="9" t="e">
        <f aca="false">BB127/AY127</f>
        <v>#DIV/0!</v>
      </c>
      <c r="BA127" s="1" t="n">
        <f aca="false">AY127*($B127+D$13)</f>
        <v>0</v>
      </c>
      <c r="BB127" s="33" t="n">
        <f aca="false">IF(ISNUMBER(((BA127/AY127)+D$14+$K127)*AY127),((BA127/AY127)+D$14+$K127)*AY127,0)</f>
        <v>0</v>
      </c>
      <c r="BC127" s="44" t="n">
        <f aca="false">IF(AY127=0,0,bsd(1,BD$27,AZ127,$P127,$M127,$N127,$AH127,0.1))</f>
        <v>0</v>
      </c>
      <c r="BD127" s="44" t="n">
        <f aca="false">IF(AY127=0,0,bsd(2,BD$27,AZ127,$P127,$M127,$N127,$AH127,0.1))</f>
        <v>0</v>
      </c>
      <c r="BE127" s="44" t="n">
        <f aca="false">IF(AY127=0,0,bsd(BD$28,BD$27,AZ127,$P127,$M127,$N127,$AH127,0.1))</f>
        <v>0</v>
      </c>
      <c r="BF127" s="45" t="n">
        <f aca="false">AY127*BC127</f>
        <v>0</v>
      </c>
      <c r="BG127" s="45" t="n">
        <f aca="false">AY127*BD127</f>
        <v>0</v>
      </c>
      <c r="BH127" s="45" t="n">
        <f aca="false">AY127*BE127</f>
        <v>0</v>
      </c>
      <c r="BJ127" s="9" t="n">
        <f aca="false">IF($A127&gt;=BK$25,IF($A127&lt;=BK$26,$AI127,0),0)</f>
        <v>0</v>
      </c>
      <c r="BK127" s="9" t="e">
        <f aca="false">BM127/BJ127</f>
        <v>#DIV/0!</v>
      </c>
      <c r="BL127" s="1" t="n">
        <f aca="false">BJ127*($B127+F$13)</f>
        <v>0</v>
      </c>
      <c r="BM127" s="33" t="n">
        <f aca="false">IF(ISNUMBER(((BL127/BJ127)+F$14+$R127)*BJ127),((BL127/BJ127)+F$14+$R127)*BJ127,0)</f>
        <v>0</v>
      </c>
      <c r="BN127" s="44" t="n">
        <f aca="false">IF(BJ127=0,0,bsd(1,BO$27,BK127,$W127,$T127,$U127,$AH127,0.1))</f>
        <v>0</v>
      </c>
      <c r="BO127" s="44" t="n">
        <f aca="false">IF(BJ127=0,0,bsd(2,BO$27,BK127,$W127,$T127,$U127,$AH127,0.1))</f>
        <v>0</v>
      </c>
      <c r="BP127" s="44" t="n">
        <f aca="false">IF(BJ127=0,0,bsd(BO$28,BO$27,BK127,$W127,$T127,$U127,$AH127,0.1))</f>
        <v>0</v>
      </c>
      <c r="BQ127" s="45" t="n">
        <f aca="false">BJ127*BN127</f>
        <v>0</v>
      </c>
      <c r="BR127" s="45" t="n">
        <f aca="false">BJ127*BO127</f>
        <v>0</v>
      </c>
      <c r="BS127" s="45" t="n">
        <f aca="false">BJ127*BP127</f>
        <v>0</v>
      </c>
      <c r="BU127" s="9" t="n">
        <f aca="false">IF($A127&gt;=BV$25,IF($A127&lt;=BV$26,$AI127,0),0)</f>
        <v>0</v>
      </c>
      <c r="BV127" s="9" t="e">
        <f aca="false">BX127/BU127</f>
        <v>#DIV/0!</v>
      </c>
      <c r="BW127" s="1" t="n">
        <f aca="false">BU127*($B127+H$13)</f>
        <v>0</v>
      </c>
      <c r="BX127" s="33" t="n">
        <f aca="false">IF(ISNUMBER(((BW127/BU127)+H$14+$Y127)*BU127),((BW127/BU127)+H$14+$Y127)*BU127,0)</f>
        <v>0</v>
      </c>
      <c r="BY127" s="44" t="n">
        <f aca="false">IF(BU127=0,0,bsd(1,BZ$27,BV127,$AD127,$AA127,$AB127,$AH127,0.1))</f>
        <v>0</v>
      </c>
      <c r="BZ127" s="44" t="n">
        <f aca="false">IF(BU127=0,0,bsd(2,BZ$27,BV127,$AD127,$AA127,$AB127,$AH127,0.1))</f>
        <v>0</v>
      </c>
      <c r="CA127" s="44" t="n">
        <f aca="false">IF(BU127=0,0,bsd(BZ$28,BZ$27,BV127,$AD127,$AA127,$AB127,$AH127,0.1))</f>
        <v>0</v>
      </c>
      <c r="CB127" s="45" t="n">
        <f aca="false">BU127*BY127</f>
        <v>0</v>
      </c>
      <c r="CC127" s="45" t="n">
        <f aca="false">BU127*BZ127</f>
        <v>0</v>
      </c>
      <c r="CD127" s="45" t="n">
        <f aca="false">BU127*CA127</f>
        <v>0</v>
      </c>
    </row>
    <row r="128" customFormat="false" ht="12.75" hidden="false" customHeight="false" outlineLevel="0" collapsed="false">
      <c r="A128" s="48" t="n">
        <f aca="false">DATE(YEAR(A127),MONTH(A127)+1,1)</f>
        <v>39753</v>
      </c>
      <c r="B128" s="40" t="n">
        <f aca="false">VLOOKUP(A128,STRADDLE,5,FALSE())</f>
        <v>3.155</v>
      </c>
      <c r="C128" s="4" t="n">
        <f aca="false">VLOOKUP(A128,STRADDLE,8,FALSE())</f>
        <v>0.18</v>
      </c>
      <c r="D128" s="40" t="n">
        <f aca="false">IF(D$28="nymex",0,VLOOKUP($A128,curvesettle,HLOOKUP(D$28,curvesettle,2,FALSE())))</f>
        <v>0.885</v>
      </c>
      <c r="E128" s="131" t="n">
        <f aca="false">IF(ISNUMBER(VLOOKUP($A128,VOLCURVES,HLOOKUP(D$28,VOLCURVES,2,FALSE()),FALSE())),VLOOKUP($A128,VOLCURVES,HLOOKUP(D$28,VOLCURVES,2,FALSE()),FALSE()),1)</f>
        <v>1.1</v>
      </c>
      <c r="F128" s="136" t="n">
        <f aca="false">IF(D$28="NYMEX",$AG128,$AF128)</f>
        <v>-6176</v>
      </c>
      <c r="G128" s="4" t="e">
        <f aca="false">(($C128+H128)*$E128)+B$15</f>
        <v>#DIV/0!</v>
      </c>
      <c r="H128" s="4" t="e">
        <f aca="false">IF($B$16=1,VLOOKUP($A128,SkewTable,HLOOKUP(ROUND(I128-AO128,1),SkewTable,2,FALSE()),FALSE())/100,0)</f>
        <v>#DIV/0!</v>
      </c>
      <c r="I128" s="41" t="n">
        <f aca="false">IF($B$19=4,$AO128,$B$18)</f>
        <v>12</v>
      </c>
      <c r="K128" s="40" t="n">
        <f aca="false">IF(K$28="nymex",0,VLOOKUP($A128,curvesettle,HLOOKUP(K$28,curvesettle,2,FALSE())))</f>
        <v>-0.0145</v>
      </c>
      <c r="L128" s="131" t="n">
        <f aca="false">IF(ISNUMBER(VLOOKUP($A128,VOLCURVES,HLOOKUP(K$28,VOLCURVES,2,FALSE()),FALSE())),VLOOKUP($A128,VOLCURVES,HLOOKUP(K$28,VOLCURVES,2,FALSE()),FALSE()),1)</f>
        <v>1</v>
      </c>
      <c r="M128" s="136" t="n">
        <f aca="false">IF(K$28="NYMEX",$AG128,$AF128)</f>
        <v>-6176</v>
      </c>
      <c r="N128" s="153" t="e">
        <f aca="false">(($C128+O128)*$L128)+D$15</f>
        <v>#DIV/0!</v>
      </c>
      <c r="O128" s="4" t="e">
        <f aca="false">IF($D$16=1,VLOOKUP($A128,SkewTable,HLOOKUP(ROUND(P128-AZ128,1),SkewTable,2,FALSE()),FALSE())/100,0)</f>
        <v>#DIV/0!</v>
      </c>
      <c r="P128" s="41" t="n">
        <f aca="false">IF($D$19=4,$AZ128,$D$18)</f>
        <v>3.75</v>
      </c>
      <c r="R128" s="40" t="n">
        <f aca="false">IF(R$28="nymex",0,VLOOKUP($A128,curvesettle,HLOOKUP(R$28,curvesettle,2,FALSE())))</f>
        <v>-0.0145</v>
      </c>
      <c r="S128" s="131" t="n">
        <f aca="false">IF(ISNUMBER(VLOOKUP($A128,VOLCURVES,HLOOKUP(R$28,VOLCURVES,2,FALSE()),FALSE())),VLOOKUP($A128,VOLCURVES,HLOOKUP(R$28,VOLCURVES,2,FALSE()),FALSE()),1)</f>
        <v>1</v>
      </c>
      <c r="T128" s="136" t="n">
        <f aca="false">IF(R$28="NYMEX",$AG128,$AF128)</f>
        <v>-6176</v>
      </c>
      <c r="U128" s="153" t="e">
        <f aca="false">(($C128+V128)*$S128)+F$15</f>
        <v>#DIV/0!</v>
      </c>
      <c r="V128" s="4" t="e">
        <f aca="false">IF($F$16=1,VLOOKUP($A128,SkewTable,HLOOKUP(ROUND(W128-BK128,1),SkewTable,2,FALSE()),FALSE())/100,0)</f>
        <v>#DIV/0!</v>
      </c>
      <c r="W128" s="41" t="n">
        <f aca="false">IF($F$19=4,$BK128,$F$18)</f>
        <v>3.5</v>
      </c>
      <c r="X128" s="136"/>
      <c r="Y128" s="40" t="n">
        <f aca="false">IF(Y$28="nymex",0,VLOOKUP($A128,curvesettle,HLOOKUP(Y$28,curvesettle,2,FALSE())))</f>
        <v>-0.26</v>
      </c>
      <c r="Z128" s="131" t="n">
        <f aca="false">IF(ISNUMBER(VLOOKUP($A128,VOLCURVES,HLOOKUP(Y$28,VOLCURVES,2,FALSE()),FALSE())),VLOOKUP($A128,VOLCURVES,HLOOKUP(Y$28,VOLCURVES,2,FALSE()),FALSE()),1)</f>
        <v>1</v>
      </c>
      <c r="AA128" s="136" t="n">
        <f aca="false">IF(Y$28="NYMEX",$AG128,$AF128)</f>
        <v>-6176</v>
      </c>
      <c r="AB128" s="4" t="e">
        <f aca="false">(($C128+AC128)*$Z128)+H$15</f>
        <v>#DIV/0!</v>
      </c>
      <c r="AC128" s="4" t="e">
        <f aca="false">IF($H$16=1,VLOOKUP($A128,SkewTable,HLOOKUP(ROUND(AD128-BV128,1),SkewTable,2,FALSE()),FALSE())/100,0)</f>
        <v>#DIV/0!</v>
      </c>
      <c r="AD128" s="41" t="n">
        <f aca="false">IF($H$19=4,$BV128,$H$18)</f>
        <v>3</v>
      </c>
      <c r="AF128" s="136" t="n">
        <f aca="false">VLOOKUP($A128,expiration,2,FALSE())-$B$2</f>
        <v>-6176</v>
      </c>
      <c r="AG128" s="136" t="n">
        <f aca="false">VLOOKUP($A128,expiration,3,FALSE())-$B$2</f>
        <v>-6177</v>
      </c>
      <c r="AH128" s="4" t="n">
        <f aca="false">VLOOKUP($A128,STRADDLE,12,FALSE())</f>
        <v>0.069967358214477</v>
      </c>
      <c r="AI128" s="43" t="n">
        <f aca="false">A129-A128</f>
        <v>30</v>
      </c>
      <c r="AL128" s="136"/>
      <c r="AM128" s="9"/>
      <c r="AN128" s="9" t="n">
        <f aca="false">IF($A128&gt;=AO$25,IF($A128&lt;=AO$26,$AI128,0),0)</f>
        <v>0</v>
      </c>
      <c r="AO128" s="9" t="e">
        <f aca="false">AQ128/AN128</f>
        <v>#DIV/0!</v>
      </c>
      <c r="AP128" s="1" t="n">
        <f aca="false">AN128*($B128+B$13)</f>
        <v>0</v>
      </c>
      <c r="AQ128" s="33" t="n">
        <f aca="false">IF(ISNUMBER(((AP128/AN128)+B$14+$D128)*AN128),((AP128/AN128)+B$14+$D128)*AN128,0)</f>
        <v>0</v>
      </c>
      <c r="AR128" s="44" t="n">
        <f aca="false">IF(AN128=0,0,bsd(1,AS$27,AO128,$I128,$F128,$G128,$AH128,0.1))</f>
        <v>0</v>
      </c>
      <c r="AS128" s="44" t="n">
        <f aca="false">IF(AN128=0,0,bsd(2,AS$27,AO128,$I128,$F128,$G128,$AH128,0.1))</f>
        <v>0</v>
      </c>
      <c r="AT128" s="44" t="n">
        <f aca="false">IF(AN128=0,0,bsd(AS$28,AS$27,AO128,$I128,$F128,$G128,$AH128,0.1))</f>
        <v>0</v>
      </c>
      <c r="AU128" s="45" t="n">
        <f aca="false">AN128*AR128</f>
        <v>0</v>
      </c>
      <c r="AV128" s="45" t="n">
        <f aca="false">AN128*AS128</f>
        <v>0</v>
      </c>
      <c r="AW128" s="45" t="n">
        <f aca="false">AN128*AT128</f>
        <v>0</v>
      </c>
      <c r="AY128" s="9" t="n">
        <f aca="false">IF($A128&gt;=AZ$25,IF($A128&lt;=AZ$26,$AI128,0),0)</f>
        <v>0</v>
      </c>
      <c r="AZ128" s="9" t="e">
        <f aca="false">BB128/AY128</f>
        <v>#DIV/0!</v>
      </c>
      <c r="BA128" s="1" t="n">
        <f aca="false">AY128*($B128+D$13)</f>
        <v>0</v>
      </c>
      <c r="BB128" s="33" t="n">
        <f aca="false">IF(ISNUMBER(((BA128/AY128)+D$14+$K128)*AY128),((BA128/AY128)+D$14+$K128)*AY128,0)</f>
        <v>0</v>
      </c>
      <c r="BC128" s="44" t="n">
        <f aca="false">IF(AY128=0,0,bsd(1,BD$27,AZ128,$P128,$M128,$N128,$AH128,0.1))</f>
        <v>0</v>
      </c>
      <c r="BD128" s="44" t="n">
        <f aca="false">IF(AY128=0,0,bsd(2,BD$27,AZ128,$P128,$M128,$N128,$AH128,0.1))</f>
        <v>0</v>
      </c>
      <c r="BE128" s="44" t="n">
        <f aca="false">IF(AY128=0,0,bsd(BD$28,BD$27,AZ128,$P128,$M128,$N128,$AH128,0.1))</f>
        <v>0</v>
      </c>
      <c r="BF128" s="45" t="n">
        <f aca="false">AY128*BC128</f>
        <v>0</v>
      </c>
      <c r="BG128" s="45" t="n">
        <f aca="false">AY128*BD128</f>
        <v>0</v>
      </c>
      <c r="BH128" s="45" t="n">
        <f aca="false">AY128*BE128</f>
        <v>0</v>
      </c>
      <c r="BJ128" s="9" t="n">
        <f aca="false">IF($A128&gt;=BK$25,IF($A128&lt;=BK$26,$AI128,0),0)</f>
        <v>0</v>
      </c>
      <c r="BK128" s="9" t="e">
        <f aca="false">BM128/BJ128</f>
        <v>#DIV/0!</v>
      </c>
      <c r="BL128" s="1" t="n">
        <f aca="false">BJ128*($B128+F$13)</f>
        <v>0</v>
      </c>
      <c r="BM128" s="33" t="n">
        <f aca="false">IF(ISNUMBER(((BL128/BJ128)+F$14+$R128)*BJ128),((BL128/BJ128)+F$14+$R128)*BJ128,0)</f>
        <v>0</v>
      </c>
      <c r="BN128" s="44" t="n">
        <f aca="false">IF(BJ128=0,0,bsd(1,BO$27,BK128,$W128,$T128,$U128,$AH128,0.1))</f>
        <v>0</v>
      </c>
      <c r="BO128" s="44" t="n">
        <f aca="false">IF(BJ128=0,0,bsd(2,BO$27,BK128,$W128,$T128,$U128,$AH128,0.1))</f>
        <v>0</v>
      </c>
      <c r="BP128" s="44" t="n">
        <f aca="false">IF(BJ128=0,0,bsd(BO$28,BO$27,BK128,$W128,$T128,$U128,$AH128,0.1))</f>
        <v>0</v>
      </c>
      <c r="BQ128" s="45" t="n">
        <f aca="false">BJ128*BN128</f>
        <v>0</v>
      </c>
      <c r="BR128" s="45" t="n">
        <f aca="false">BJ128*BO128</f>
        <v>0</v>
      </c>
      <c r="BS128" s="45" t="n">
        <f aca="false">BJ128*BP128</f>
        <v>0</v>
      </c>
      <c r="BU128" s="9" t="n">
        <f aca="false">IF($A128&gt;=BV$25,IF($A128&lt;=BV$26,$AI128,0),0)</f>
        <v>0</v>
      </c>
      <c r="BV128" s="9" t="e">
        <f aca="false">BX128/BU128</f>
        <v>#DIV/0!</v>
      </c>
      <c r="BW128" s="1" t="n">
        <f aca="false">BU128*($B128+H$13)</f>
        <v>0</v>
      </c>
      <c r="BX128" s="33" t="n">
        <f aca="false">IF(ISNUMBER(((BW128/BU128)+H$14+$Y128)*BU128),((BW128/BU128)+H$14+$Y128)*BU128,0)</f>
        <v>0</v>
      </c>
      <c r="BY128" s="44" t="n">
        <f aca="false">IF(BU128=0,0,bsd(1,BZ$27,BV128,$AD128,$AA128,$AB128,$AH128,0.1))</f>
        <v>0</v>
      </c>
      <c r="BZ128" s="44" t="n">
        <f aca="false">IF(BU128=0,0,bsd(2,BZ$27,BV128,$AD128,$AA128,$AB128,$AH128,0.1))</f>
        <v>0</v>
      </c>
      <c r="CA128" s="44" t="n">
        <f aca="false">IF(BU128=0,0,bsd(BZ$28,BZ$27,BV128,$AD128,$AA128,$AB128,$AH128,0.1))</f>
        <v>0</v>
      </c>
      <c r="CB128" s="45" t="n">
        <f aca="false">BU128*BY128</f>
        <v>0</v>
      </c>
      <c r="CC128" s="45" t="n">
        <f aca="false">BU128*BZ128</f>
        <v>0</v>
      </c>
      <c r="CD128" s="45" t="n">
        <f aca="false">BU128*CA128</f>
        <v>0</v>
      </c>
    </row>
    <row r="129" customFormat="false" ht="12.75" hidden="false" customHeight="false" outlineLevel="0" collapsed="false">
      <c r="A129" s="48" t="n">
        <f aca="false">DATE(YEAR(A128),MONTH(A128)+1,1)</f>
        <v>39783</v>
      </c>
      <c r="B129" s="40" t="n">
        <f aca="false">VLOOKUP(A129,STRADDLE,5,FALSE())</f>
        <v>3.216</v>
      </c>
      <c r="C129" s="4" t="n">
        <f aca="false">VLOOKUP(A129,STRADDLE,8,FALSE())</f>
        <v>0.18</v>
      </c>
      <c r="D129" s="40" t="n">
        <f aca="false">IF(D$28="nymex",0,VLOOKUP($A129,curvesettle,HLOOKUP(D$28,curvesettle,2,FALSE())))</f>
        <v>1.31</v>
      </c>
      <c r="E129" s="131" t="n">
        <f aca="false">IF(ISNUMBER(VLOOKUP($A129,VOLCURVES,HLOOKUP(D$28,VOLCURVES,2,FALSE()),FALSE())),VLOOKUP($A129,VOLCURVES,HLOOKUP(D$28,VOLCURVES,2,FALSE()),FALSE()),1)</f>
        <v>1.1</v>
      </c>
      <c r="F129" s="136" t="n">
        <f aca="false">IF(D$28="NYMEX",$AG129,$AF129)</f>
        <v>-6149</v>
      </c>
      <c r="G129" s="4" t="e">
        <f aca="false">(($C129+H129)*$E129)+B$15</f>
        <v>#DIV/0!</v>
      </c>
      <c r="H129" s="4" t="e">
        <f aca="false">IF($B$16=1,VLOOKUP($A129,SkewTable,HLOOKUP(ROUND(I129-AO129,1),SkewTable,2,FALSE()),FALSE())/100,0)</f>
        <v>#DIV/0!</v>
      </c>
      <c r="I129" s="41" t="n">
        <f aca="false">IF($B$19=4,$AO129,$B$18)</f>
        <v>12</v>
      </c>
      <c r="K129" s="40" t="n">
        <f aca="false">IF(K$28="nymex",0,VLOOKUP($A129,curvesettle,HLOOKUP(K$28,curvesettle,2,FALSE())))</f>
        <v>-0.0145</v>
      </c>
      <c r="L129" s="131" t="n">
        <f aca="false">IF(ISNUMBER(VLOOKUP($A129,VOLCURVES,HLOOKUP(K$28,VOLCURVES,2,FALSE()),FALSE())),VLOOKUP($A129,VOLCURVES,HLOOKUP(K$28,VOLCURVES,2,FALSE()),FALSE()),1)</f>
        <v>1</v>
      </c>
      <c r="M129" s="136" t="n">
        <f aca="false">IF(K$28="NYMEX",$AG129,$AF129)</f>
        <v>-6149</v>
      </c>
      <c r="N129" s="153" t="e">
        <f aca="false">(($C129+O129)*$L129)+D$15</f>
        <v>#DIV/0!</v>
      </c>
      <c r="O129" s="4" t="e">
        <f aca="false">IF($D$16=1,VLOOKUP($A129,SkewTable,HLOOKUP(ROUND(P129-AZ129,1),SkewTable,2,FALSE()),FALSE())/100,0)</f>
        <v>#DIV/0!</v>
      </c>
      <c r="P129" s="41" t="n">
        <f aca="false">IF($D$19=4,$AZ129,$D$18)</f>
        <v>3.75</v>
      </c>
      <c r="R129" s="40" t="n">
        <f aca="false">IF(R$28="nymex",0,VLOOKUP($A129,curvesettle,HLOOKUP(R$28,curvesettle,2,FALSE())))</f>
        <v>-0.0145</v>
      </c>
      <c r="S129" s="131" t="n">
        <f aca="false">IF(ISNUMBER(VLOOKUP($A129,VOLCURVES,HLOOKUP(R$28,VOLCURVES,2,FALSE()),FALSE())),VLOOKUP($A129,VOLCURVES,HLOOKUP(R$28,VOLCURVES,2,FALSE()),FALSE()),1)</f>
        <v>1</v>
      </c>
      <c r="T129" s="136" t="n">
        <f aca="false">IF(R$28="NYMEX",$AG129,$AF129)</f>
        <v>-6149</v>
      </c>
      <c r="U129" s="153" t="e">
        <f aca="false">(($C129+V129)*$S129)+F$15</f>
        <v>#DIV/0!</v>
      </c>
      <c r="V129" s="4" t="e">
        <f aca="false">IF($F$16=1,VLOOKUP($A129,SkewTable,HLOOKUP(ROUND(W129-BK129,1),SkewTable,2,FALSE()),FALSE())/100,0)</f>
        <v>#DIV/0!</v>
      </c>
      <c r="W129" s="41" t="n">
        <f aca="false">IF($F$19=4,$BK129,$F$18)</f>
        <v>3.5</v>
      </c>
      <c r="X129" s="136"/>
      <c r="Y129" s="40" t="n">
        <f aca="false">IF(Y$28="nymex",0,VLOOKUP($A129,curvesettle,HLOOKUP(Y$28,curvesettle,2,FALSE())))</f>
        <v>-0.26</v>
      </c>
      <c r="Z129" s="131" t="n">
        <f aca="false">IF(ISNUMBER(VLOOKUP($A129,VOLCURVES,HLOOKUP(Y$28,VOLCURVES,2,FALSE()),FALSE())),VLOOKUP($A129,VOLCURVES,HLOOKUP(Y$28,VOLCURVES,2,FALSE()),FALSE()),1)</f>
        <v>1</v>
      </c>
      <c r="AA129" s="136" t="n">
        <f aca="false">IF(Y$28="NYMEX",$AG129,$AF129)</f>
        <v>-6149</v>
      </c>
      <c r="AB129" s="4" t="e">
        <f aca="false">(($C129+AC129)*$Z129)+H$15</f>
        <v>#DIV/0!</v>
      </c>
      <c r="AC129" s="4" t="e">
        <f aca="false">IF($H$16=1,VLOOKUP($A129,SkewTable,HLOOKUP(ROUND(AD129-BV129,1),SkewTable,2,FALSE()),FALSE())/100,0)</f>
        <v>#DIV/0!</v>
      </c>
      <c r="AD129" s="41" t="n">
        <f aca="false">IF($H$19=4,$BV129,$H$18)</f>
        <v>3</v>
      </c>
      <c r="AF129" s="136" t="n">
        <f aca="false">VLOOKUP($A129,expiration,2,FALSE())-$B$2</f>
        <v>-6149</v>
      </c>
      <c r="AG129" s="136" t="n">
        <f aca="false">VLOOKUP($A129,expiration,3,FALSE())-$B$2</f>
        <v>-6150</v>
      </c>
      <c r="AH129" s="4" t="n">
        <f aca="false">VLOOKUP($A129,STRADDLE,12,FALSE())</f>
        <v>0.070003546657985</v>
      </c>
      <c r="AI129" s="43" t="n">
        <f aca="false">A130-A129</f>
        <v>31</v>
      </c>
      <c r="AL129" s="136"/>
      <c r="AM129" s="9"/>
      <c r="AN129" s="9" t="n">
        <f aca="false">IF($A129&gt;=AO$25,IF($A129&lt;=AO$26,$AI129,0),0)</f>
        <v>0</v>
      </c>
      <c r="AO129" s="9" t="e">
        <f aca="false">AQ129/AN129</f>
        <v>#DIV/0!</v>
      </c>
      <c r="AP129" s="1" t="n">
        <f aca="false">AN129*($B129+B$13)</f>
        <v>0</v>
      </c>
      <c r="AQ129" s="33" t="n">
        <f aca="false">IF(ISNUMBER(((AP129/AN129)+B$14+$D129)*AN129),((AP129/AN129)+B$14+$D129)*AN129,0)</f>
        <v>0</v>
      </c>
      <c r="AR129" s="44" t="n">
        <f aca="false">IF(AN129=0,0,bsd(1,AS$27,AO129,$I129,$F129,$G129,$AH129,0.1))</f>
        <v>0</v>
      </c>
      <c r="AS129" s="44" t="n">
        <f aca="false">IF(AN129=0,0,bsd(2,AS$27,AO129,$I129,$F129,$G129,$AH129,0.1))</f>
        <v>0</v>
      </c>
      <c r="AT129" s="44" t="n">
        <f aca="false">IF(AN129=0,0,bsd(AS$28,AS$27,AO129,$I129,$F129,$G129,$AH129,0.1))</f>
        <v>0</v>
      </c>
      <c r="AU129" s="45" t="n">
        <f aca="false">AN129*AR129</f>
        <v>0</v>
      </c>
      <c r="AV129" s="45" t="n">
        <f aca="false">AN129*AS129</f>
        <v>0</v>
      </c>
      <c r="AW129" s="45" t="n">
        <f aca="false">AN129*AT129</f>
        <v>0</v>
      </c>
      <c r="AY129" s="9" t="n">
        <f aca="false">IF($A129&gt;=AZ$25,IF($A129&lt;=AZ$26,$AI129,0),0)</f>
        <v>0</v>
      </c>
      <c r="AZ129" s="9" t="e">
        <f aca="false">BB129/AY129</f>
        <v>#DIV/0!</v>
      </c>
      <c r="BA129" s="1" t="n">
        <f aca="false">AY129*($B129+D$13)</f>
        <v>0</v>
      </c>
      <c r="BB129" s="33" t="n">
        <f aca="false">IF(ISNUMBER(((BA129/AY129)+D$14+$K129)*AY129),((BA129/AY129)+D$14+$K129)*AY129,0)</f>
        <v>0</v>
      </c>
      <c r="BC129" s="44" t="n">
        <f aca="false">IF(AY129=0,0,bsd(1,BD$27,AZ129,$P129,$M129,$N129,$AH129,0.1))</f>
        <v>0</v>
      </c>
      <c r="BD129" s="44" t="n">
        <f aca="false">IF(AY129=0,0,bsd(2,BD$27,AZ129,$P129,$M129,$N129,$AH129,0.1))</f>
        <v>0</v>
      </c>
      <c r="BE129" s="44" t="n">
        <f aca="false">IF(AY129=0,0,bsd(BD$28,BD$27,AZ129,$P129,$M129,$N129,$AH129,0.1))</f>
        <v>0</v>
      </c>
      <c r="BF129" s="45" t="n">
        <f aca="false">AY129*BC129</f>
        <v>0</v>
      </c>
      <c r="BG129" s="45" t="n">
        <f aca="false">AY129*BD129</f>
        <v>0</v>
      </c>
      <c r="BH129" s="45" t="n">
        <f aca="false">AY129*BE129</f>
        <v>0</v>
      </c>
      <c r="BJ129" s="9" t="n">
        <f aca="false">IF($A129&gt;=BK$25,IF($A129&lt;=BK$26,$AI129,0),0)</f>
        <v>0</v>
      </c>
      <c r="BK129" s="9" t="e">
        <f aca="false">BM129/BJ129</f>
        <v>#DIV/0!</v>
      </c>
      <c r="BL129" s="1" t="n">
        <f aca="false">BJ129*($B129+F$13)</f>
        <v>0</v>
      </c>
      <c r="BM129" s="33" t="n">
        <f aca="false">IF(ISNUMBER(((BL129/BJ129)+F$14+$R129)*BJ129),((BL129/BJ129)+F$14+$R129)*BJ129,0)</f>
        <v>0</v>
      </c>
      <c r="BN129" s="44" t="n">
        <f aca="false">IF(BJ129=0,0,bsd(1,BO$27,BK129,$W129,$T129,$U129,$AH129,0.1))</f>
        <v>0</v>
      </c>
      <c r="BO129" s="44" t="n">
        <f aca="false">IF(BJ129=0,0,bsd(2,BO$27,BK129,$W129,$T129,$U129,$AH129,0.1))</f>
        <v>0</v>
      </c>
      <c r="BP129" s="44" t="n">
        <f aca="false">IF(BJ129=0,0,bsd(BO$28,BO$27,BK129,$W129,$T129,$U129,$AH129,0.1))</f>
        <v>0</v>
      </c>
      <c r="BQ129" s="45" t="n">
        <f aca="false">BJ129*BN129</f>
        <v>0</v>
      </c>
      <c r="BR129" s="45" t="n">
        <f aca="false">BJ129*BO129</f>
        <v>0</v>
      </c>
      <c r="BS129" s="45" t="n">
        <f aca="false">BJ129*BP129</f>
        <v>0</v>
      </c>
      <c r="BU129" s="9" t="n">
        <f aca="false">IF($A129&gt;=BV$25,IF($A129&lt;=BV$26,$AI129,0),0)</f>
        <v>0</v>
      </c>
      <c r="BV129" s="9" t="e">
        <f aca="false">BX129/BU129</f>
        <v>#DIV/0!</v>
      </c>
      <c r="BW129" s="1" t="n">
        <f aca="false">BU129*($B129+H$13)</f>
        <v>0</v>
      </c>
      <c r="BX129" s="33" t="n">
        <f aca="false">IF(ISNUMBER(((BW129/BU129)+H$14+$Y129)*BU129),((BW129/BU129)+H$14+$Y129)*BU129,0)</f>
        <v>0</v>
      </c>
      <c r="BY129" s="44" t="n">
        <f aca="false">IF(BU129=0,0,bsd(1,BZ$27,BV129,$AD129,$AA129,$AB129,$AH129,0.1))</f>
        <v>0</v>
      </c>
      <c r="BZ129" s="44" t="n">
        <f aca="false">IF(BU129=0,0,bsd(2,BZ$27,BV129,$AD129,$AA129,$AB129,$AH129,0.1))</f>
        <v>0</v>
      </c>
      <c r="CA129" s="44" t="n">
        <f aca="false">IF(BU129=0,0,bsd(BZ$28,BZ$27,BV129,$AD129,$AA129,$AB129,$AH129,0.1))</f>
        <v>0</v>
      </c>
      <c r="CB129" s="45" t="n">
        <f aca="false">BU129*BY129</f>
        <v>0</v>
      </c>
      <c r="CC129" s="45" t="n">
        <f aca="false">BU129*BZ129</f>
        <v>0</v>
      </c>
      <c r="CD129" s="45" t="n">
        <f aca="false">BU129*CA129</f>
        <v>0</v>
      </c>
    </row>
    <row r="130" customFormat="false" ht="12.75" hidden="false" customHeight="false" outlineLevel="0" collapsed="false">
      <c r="A130" s="48" t="n">
        <f aca="false">DATE(YEAR(A129),MONTH(A129)+1,1)</f>
        <v>39814</v>
      </c>
      <c r="B130" s="40" t="n">
        <f aca="false">VLOOKUP(A130,STRADDLE,5,FALSE())</f>
        <v>3.619</v>
      </c>
      <c r="C130" s="4" t="n">
        <f aca="false">VLOOKUP(A130,STRADDLE,8,FALSE())</f>
        <v>0.18</v>
      </c>
      <c r="D130" s="40" t="n">
        <f aca="false">IF(D$28="nymex",0,VLOOKUP($A130,curvesettle,HLOOKUP(D$28,curvesettle,2,FALSE())))</f>
        <v>1.645</v>
      </c>
      <c r="E130" s="131" t="n">
        <f aca="false">IF(ISNUMBER(VLOOKUP($A130,VOLCURVES,HLOOKUP(D$28,VOLCURVES,2,FALSE()),FALSE())),VLOOKUP($A130,VOLCURVES,HLOOKUP(D$28,VOLCURVES,2,FALSE()),FALSE()),1)</f>
        <v>1.1</v>
      </c>
      <c r="F130" s="136" t="n">
        <f aca="false">IF(D$28="NYMEX",$AG130,$AF130)</f>
        <v>-6115</v>
      </c>
      <c r="G130" s="4" t="e">
        <f aca="false">(($C130+H130)*$E130)+B$15</f>
        <v>#DIV/0!</v>
      </c>
      <c r="H130" s="4" t="e">
        <f aca="false">IF($B$16=1,VLOOKUP($A130,SkewTable,HLOOKUP(ROUND(I130-AO130,1),SkewTable,2,FALSE()),FALSE())/100,0)</f>
        <v>#DIV/0!</v>
      </c>
      <c r="I130" s="41" t="n">
        <f aca="false">IF($B$19=4,$AO130,$B$18)</f>
        <v>12</v>
      </c>
      <c r="K130" s="40" t="n">
        <f aca="false">IF(K$28="nymex",0,VLOOKUP($A130,curvesettle,HLOOKUP(K$28,curvesettle,2,FALSE())))</f>
        <v>-0.0145</v>
      </c>
      <c r="L130" s="131" t="n">
        <f aca="false">IF(ISNUMBER(VLOOKUP($A130,VOLCURVES,HLOOKUP(K$28,VOLCURVES,2,FALSE()),FALSE())),VLOOKUP($A130,VOLCURVES,HLOOKUP(K$28,VOLCURVES,2,FALSE()),FALSE()),1)</f>
        <v>1</v>
      </c>
      <c r="M130" s="136" t="n">
        <f aca="false">IF(K$28="NYMEX",$AG130,$AF130)</f>
        <v>-6115</v>
      </c>
      <c r="N130" s="153" t="e">
        <f aca="false">(($C130+O130)*$L130)+D$15</f>
        <v>#DIV/0!</v>
      </c>
      <c r="O130" s="4" t="e">
        <f aca="false">IF($D$16=1,VLOOKUP($A130,SkewTable,HLOOKUP(ROUND(P130-AZ130,1),SkewTable,2,FALSE()),FALSE())/100,0)</f>
        <v>#DIV/0!</v>
      </c>
      <c r="P130" s="41" t="n">
        <f aca="false">IF($D$19=4,$AZ130,$D$18)</f>
        <v>3.75</v>
      </c>
      <c r="R130" s="40" t="n">
        <f aca="false">IF(R$28="nymex",0,VLOOKUP($A130,curvesettle,HLOOKUP(R$28,curvesettle,2,FALSE())))</f>
        <v>-0.0145</v>
      </c>
      <c r="S130" s="131" t="n">
        <f aca="false">IF(ISNUMBER(VLOOKUP($A130,VOLCURVES,HLOOKUP(R$28,VOLCURVES,2,FALSE()),FALSE())),VLOOKUP($A130,VOLCURVES,HLOOKUP(R$28,VOLCURVES,2,FALSE()),FALSE()),1)</f>
        <v>1</v>
      </c>
      <c r="T130" s="136" t="n">
        <f aca="false">IF(R$28="NYMEX",$AG130,$AF130)</f>
        <v>-6115</v>
      </c>
      <c r="U130" s="153" t="e">
        <f aca="false">(($C130+V130)*$S130)+F$15</f>
        <v>#DIV/0!</v>
      </c>
      <c r="V130" s="4" t="e">
        <f aca="false">IF($F$16=1,VLOOKUP($A130,SkewTable,HLOOKUP(ROUND(W130-BK130,1),SkewTable,2,FALSE()),FALSE())/100,0)</f>
        <v>#DIV/0!</v>
      </c>
      <c r="W130" s="41" t="n">
        <f aca="false">IF($F$19=4,$BK130,$F$18)</f>
        <v>3.5</v>
      </c>
      <c r="X130" s="136"/>
      <c r="Y130" s="40" t="n">
        <f aca="false">IF(Y$28="nymex",0,VLOOKUP($A130,curvesettle,HLOOKUP(Y$28,curvesettle,2,FALSE())))</f>
        <v>-0.26</v>
      </c>
      <c r="Z130" s="131" t="n">
        <f aca="false">IF(ISNUMBER(VLOOKUP($A130,VOLCURVES,HLOOKUP(Y$28,VOLCURVES,2,FALSE()),FALSE())),VLOOKUP($A130,VOLCURVES,HLOOKUP(Y$28,VOLCURVES,2,FALSE()),FALSE()),1)</f>
        <v>1</v>
      </c>
      <c r="AA130" s="136" t="n">
        <f aca="false">IF(Y$28="NYMEX",$AG130,$AF130)</f>
        <v>-6115</v>
      </c>
      <c r="AB130" s="4" t="e">
        <f aca="false">(($C130+AC130)*$Z130)+H$15</f>
        <v>#DIV/0!</v>
      </c>
      <c r="AC130" s="4" t="e">
        <f aca="false">IF($H$16=1,VLOOKUP($A130,SkewTable,HLOOKUP(ROUND(AD130-BV130,1),SkewTable,2,FALSE()),FALSE())/100,0)</f>
        <v>#DIV/0!</v>
      </c>
      <c r="AD130" s="41" t="n">
        <f aca="false">IF($H$19=4,$BV130,$H$18)</f>
        <v>3</v>
      </c>
      <c r="AF130" s="136" t="n">
        <f aca="false">VLOOKUP($A130,expiration,2,FALSE())-$B$2</f>
        <v>-6115</v>
      </c>
      <c r="AG130" s="136" t="n">
        <f aca="false">VLOOKUP($A130,expiration,3,FALSE())-$B$2</f>
        <v>-6118</v>
      </c>
      <c r="AH130" s="4" t="n">
        <f aca="false">VLOOKUP($A130,STRADDLE,12,FALSE())</f>
        <v>0.070040941383398</v>
      </c>
      <c r="AI130" s="43" t="n">
        <f aca="false">A131-A130</f>
        <v>31</v>
      </c>
      <c r="AL130" s="136"/>
      <c r="AM130" s="9"/>
      <c r="AN130" s="9" t="n">
        <f aca="false">IF($A130&gt;=AO$25,IF($A130&lt;=AO$26,$AI130,0),0)</f>
        <v>0</v>
      </c>
      <c r="AO130" s="9" t="e">
        <f aca="false">AQ130/AN130</f>
        <v>#DIV/0!</v>
      </c>
      <c r="AP130" s="1" t="n">
        <f aca="false">AN130*($B130+B$13)</f>
        <v>0</v>
      </c>
      <c r="AQ130" s="33" t="n">
        <f aca="false">IF(ISNUMBER(((AP130/AN130)+B$14+$D130)*AN130),((AP130/AN130)+B$14+$D130)*AN130,0)</f>
        <v>0</v>
      </c>
      <c r="AR130" s="44" t="n">
        <f aca="false">IF(AN130=0,0,bsd(1,AS$27,AO130,$I130,$F130,$G130,$AH130,0.1))</f>
        <v>0</v>
      </c>
      <c r="AS130" s="44" t="n">
        <f aca="false">IF(AN130=0,0,bsd(2,AS$27,AO130,$I130,$F130,$G130,$AH130,0.1))</f>
        <v>0</v>
      </c>
      <c r="AT130" s="44" t="n">
        <f aca="false">IF(AN130=0,0,bsd(AS$28,AS$27,AO130,$I130,$F130,$G130,$AH130,0.1))</f>
        <v>0</v>
      </c>
      <c r="AU130" s="45" t="n">
        <f aca="false">AN130*AR130</f>
        <v>0</v>
      </c>
      <c r="AV130" s="45" t="n">
        <f aca="false">AN130*AS130</f>
        <v>0</v>
      </c>
      <c r="AW130" s="45" t="n">
        <f aca="false">AN130*AT130</f>
        <v>0</v>
      </c>
      <c r="AY130" s="9" t="n">
        <f aca="false">IF($A130&gt;=AZ$25,IF($A130&lt;=AZ$26,$AI130,0),0)</f>
        <v>0</v>
      </c>
      <c r="AZ130" s="9" t="e">
        <f aca="false">BB130/AY130</f>
        <v>#DIV/0!</v>
      </c>
      <c r="BA130" s="1" t="n">
        <f aca="false">AY130*($B130+D$13)</f>
        <v>0</v>
      </c>
      <c r="BB130" s="33" t="n">
        <f aca="false">IF(ISNUMBER(((BA130/AY130)+D$14+$K130)*AY130),((BA130/AY130)+D$14+$K130)*AY130,0)</f>
        <v>0</v>
      </c>
      <c r="BC130" s="44" t="n">
        <f aca="false">IF(AY130=0,0,bsd(1,BD$27,AZ130,$P130,$M130,$N130,$AH130,0.1))</f>
        <v>0</v>
      </c>
      <c r="BD130" s="44" t="n">
        <f aca="false">IF(AY130=0,0,bsd(2,BD$27,AZ130,$P130,$M130,$N130,$AH130,0.1))</f>
        <v>0</v>
      </c>
      <c r="BE130" s="44" t="n">
        <f aca="false">IF(AY130=0,0,bsd(BD$28,BD$27,AZ130,$P130,$M130,$N130,$AH130,0.1))</f>
        <v>0</v>
      </c>
      <c r="BF130" s="45" t="n">
        <f aca="false">AY130*BC130</f>
        <v>0</v>
      </c>
      <c r="BG130" s="45" t="n">
        <f aca="false">AY130*BD130</f>
        <v>0</v>
      </c>
      <c r="BH130" s="45" t="n">
        <f aca="false">AY130*BE130</f>
        <v>0</v>
      </c>
      <c r="BJ130" s="9" t="n">
        <f aca="false">IF($A130&gt;=BK$25,IF($A130&lt;=BK$26,$AI130,0),0)</f>
        <v>0</v>
      </c>
      <c r="BK130" s="9" t="e">
        <f aca="false">BM130/BJ130</f>
        <v>#DIV/0!</v>
      </c>
      <c r="BL130" s="1" t="n">
        <f aca="false">BJ130*($B130+F$13)</f>
        <v>0</v>
      </c>
      <c r="BM130" s="33" t="n">
        <f aca="false">IF(ISNUMBER(((BL130/BJ130)+F$14+$R130)*BJ130),((BL130/BJ130)+F$14+$R130)*BJ130,0)</f>
        <v>0</v>
      </c>
      <c r="BN130" s="44" t="n">
        <f aca="false">IF(BJ130=0,0,bsd(1,BO$27,BK130,$W130,$T130,$U130,$AH130,0.1))</f>
        <v>0</v>
      </c>
      <c r="BO130" s="44" t="n">
        <f aca="false">IF(BJ130=0,0,bsd(2,BO$27,BK130,$W130,$T130,$U130,$AH130,0.1))</f>
        <v>0</v>
      </c>
      <c r="BP130" s="44" t="n">
        <f aca="false">IF(BJ130=0,0,bsd(BO$28,BO$27,BK130,$W130,$T130,$U130,$AH130,0.1))</f>
        <v>0</v>
      </c>
      <c r="BQ130" s="45" t="n">
        <f aca="false">BJ130*BN130</f>
        <v>0</v>
      </c>
      <c r="BR130" s="45" t="n">
        <f aca="false">BJ130*BO130</f>
        <v>0</v>
      </c>
      <c r="BS130" s="45" t="n">
        <f aca="false">BJ130*BP130</f>
        <v>0</v>
      </c>
      <c r="BU130" s="9" t="n">
        <f aca="false">IF($A130&gt;=BV$25,IF($A130&lt;=BV$26,$AI130,0),0)</f>
        <v>0</v>
      </c>
      <c r="BV130" s="9" t="e">
        <f aca="false">BX130/BU130</f>
        <v>#DIV/0!</v>
      </c>
      <c r="BW130" s="1" t="n">
        <f aca="false">BU130*($B130+H$13)</f>
        <v>0</v>
      </c>
      <c r="BX130" s="33" t="n">
        <f aca="false">IF(ISNUMBER(((BW130/BU130)+H$14+$Y130)*BU130),((BW130/BU130)+H$14+$Y130)*BU130,0)</f>
        <v>0</v>
      </c>
      <c r="BY130" s="44" t="n">
        <f aca="false">IF(BU130=0,0,bsd(1,BZ$27,BV130,$AD130,$AA130,$AB130,$AH130,0.1))</f>
        <v>0</v>
      </c>
      <c r="BZ130" s="44" t="n">
        <f aca="false">IF(BU130=0,0,bsd(2,BZ$27,BV130,$AD130,$AA130,$AB130,$AH130,0.1))</f>
        <v>0</v>
      </c>
      <c r="CA130" s="44" t="n">
        <f aca="false">IF(BU130=0,0,bsd(BZ$28,BZ$27,BV130,$AD130,$AA130,$AB130,$AH130,0.1))</f>
        <v>0</v>
      </c>
      <c r="CB130" s="45" t="n">
        <f aca="false">BU130*BY130</f>
        <v>0</v>
      </c>
      <c r="CC130" s="45" t="n">
        <f aca="false">BU130*BZ130</f>
        <v>0</v>
      </c>
      <c r="CD130" s="45" t="n">
        <f aca="false">BU130*CA130</f>
        <v>0</v>
      </c>
    </row>
    <row r="131" customFormat="false" ht="12.75" hidden="false" customHeight="false" outlineLevel="0" collapsed="false">
      <c r="A131" s="48" t="n">
        <f aca="false">DATE(YEAR(A130),MONTH(A130)+1,1)</f>
        <v>39845</v>
      </c>
      <c r="B131" s="40" t="n">
        <f aca="false">VLOOKUP(A131,STRADDLE,5,FALSE())</f>
        <v>3.481</v>
      </c>
      <c r="C131" s="4" t="n">
        <f aca="false">VLOOKUP(A131,STRADDLE,8,FALSE())</f>
        <v>0.18</v>
      </c>
      <c r="D131" s="40" t="n">
        <f aca="false">IF(D$28="nymex",0,VLOOKUP($A131,curvesettle,HLOOKUP(D$28,curvesettle,2,FALSE())))</f>
        <v>1.595</v>
      </c>
      <c r="E131" s="131" t="n">
        <f aca="false">IF(ISNUMBER(VLOOKUP($A131,VOLCURVES,HLOOKUP(D$28,VOLCURVES,2,FALSE()),FALSE())),VLOOKUP($A131,VOLCURVES,HLOOKUP(D$28,VOLCURVES,2,FALSE()),FALSE()),1)</f>
        <v>1.1</v>
      </c>
      <c r="F131" s="136" t="n">
        <f aca="false">IF(D$28="NYMEX",$AG131,$AF131)</f>
        <v>-6085</v>
      </c>
      <c r="G131" s="4" t="e">
        <f aca="false">(($C131+H131)*$E131)+B$15</f>
        <v>#DIV/0!</v>
      </c>
      <c r="H131" s="4" t="e">
        <f aca="false">IF($B$16=1,VLOOKUP($A131,SkewTable,HLOOKUP(ROUND(I131-AO131,1),SkewTable,2,FALSE()),FALSE())/100,0)</f>
        <v>#DIV/0!</v>
      </c>
      <c r="I131" s="41" t="n">
        <f aca="false">IF($B$19=4,$AO131,$B$18)</f>
        <v>12</v>
      </c>
      <c r="K131" s="40" t="n">
        <f aca="false">IF(K$28="nymex",0,VLOOKUP($A131,curvesettle,HLOOKUP(K$28,curvesettle,2,FALSE())))</f>
        <v>-0.0145</v>
      </c>
      <c r="L131" s="131" t="n">
        <f aca="false">IF(ISNUMBER(VLOOKUP($A131,VOLCURVES,HLOOKUP(K$28,VOLCURVES,2,FALSE()),FALSE())),VLOOKUP($A131,VOLCURVES,HLOOKUP(K$28,VOLCURVES,2,FALSE()),FALSE()),1)</f>
        <v>1</v>
      </c>
      <c r="M131" s="136" t="n">
        <f aca="false">IF(K$28="NYMEX",$AG131,$AF131)</f>
        <v>-6085</v>
      </c>
      <c r="N131" s="153" t="e">
        <f aca="false">(($C131+O131)*$L131)+D$15</f>
        <v>#DIV/0!</v>
      </c>
      <c r="O131" s="4" t="e">
        <f aca="false">IF($D$16=1,VLOOKUP($A131,SkewTable,HLOOKUP(ROUND(P131-AZ131,1),SkewTable,2,FALSE()),FALSE())/100,0)</f>
        <v>#DIV/0!</v>
      </c>
      <c r="P131" s="41" t="n">
        <f aca="false">IF($D$19=4,$AZ131,$D$18)</f>
        <v>3.75</v>
      </c>
      <c r="R131" s="40" t="n">
        <f aca="false">IF(R$28="nymex",0,VLOOKUP($A131,curvesettle,HLOOKUP(R$28,curvesettle,2,FALSE())))</f>
        <v>-0.0145</v>
      </c>
      <c r="S131" s="131" t="n">
        <f aca="false">IF(ISNUMBER(VLOOKUP($A131,VOLCURVES,HLOOKUP(R$28,VOLCURVES,2,FALSE()),FALSE())),VLOOKUP($A131,VOLCURVES,HLOOKUP(R$28,VOLCURVES,2,FALSE()),FALSE()),1)</f>
        <v>1</v>
      </c>
      <c r="T131" s="136" t="n">
        <f aca="false">IF(R$28="NYMEX",$AG131,$AF131)</f>
        <v>-6085</v>
      </c>
      <c r="U131" s="153" t="e">
        <f aca="false">(($C131+V131)*$S131)+F$15</f>
        <v>#DIV/0!</v>
      </c>
      <c r="V131" s="4" t="e">
        <f aca="false">IF($F$16=1,VLOOKUP($A131,SkewTable,HLOOKUP(ROUND(W131-BK131,1),SkewTable,2,FALSE()),FALSE())/100,0)</f>
        <v>#DIV/0!</v>
      </c>
      <c r="W131" s="41" t="n">
        <f aca="false">IF($F$19=4,$BK131,$F$18)</f>
        <v>3.5</v>
      </c>
      <c r="X131" s="136"/>
      <c r="Y131" s="40" t="n">
        <f aca="false">IF(Y$28="nymex",0,VLOOKUP($A131,curvesettle,HLOOKUP(Y$28,curvesettle,2,FALSE())))</f>
        <v>-0.26</v>
      </c>
      <c r="Z131" s="131" t="n">
        <f aca="false">IF(ISNUMBER(VLOOKUP($A131,VOLCURVES,HLOOKUP(Y$28,VOLCURVES,2,FALSE()),FALSE())),VLOOKUP($A131,VOLCURVES,HLOOKUP(Y$28,VOLCURVES,2,FALSE()),FALSE()),1)</f>
        <v>1</v>
      </c>
      <c r="AA131" s="136" t="n">
        <f aca="false">IF(Y$28="NYMEX",$AG131,$AF131)</f>
        <v>-6085</v>
      </c>
      <c r="AB131" s="4" t="e">
        <f aca="false">(($C131+AC131)*$Z131)+H$15</f>
        <v>#DIV/0!</v>
      </c>
      <c r="AC131" s="4" t="e">
        <f aca="false">IF($H$16=1,VLOOKUP($A131,SkewTable,HLOOKUP(ROUND(AD131-BV131,1),SkewTable,2,FALSE()),FALSE())/100,0)</f>
        <v>#DIV/0!</v>
      </c>
      <c r="AD131" s="41" t="n">
        <f aca="false">IF($H$19=4,$BV131,$H$18)</f>
        <v>3</v>
      </c>
      <c r="AF131" s="136" t="n">
        <f aca="false">VLOOKUP($A131,expiration,2,FALSE())-$B$2</f>
        <v>-6085</v>
      </c>
      <c r="AG131" s="136" t="n">
        <f aca="false">VLOOKUP($A131,expiration,3,FALSE())-$B$2</f>
        <v>-6086</v>
      </c>
      <c r="AH131" s="4" t="n">
        <f aca="false">VLOOKUP($A131,STRADDLE,12,FALSE())</f>
        <v>0.070078336109273</v>
      </c>
      <c r="AI131" s="43" t="n">
        <f aca="false">A132-A131</f>
        <v>28</v>
      </c>
      <c r="AL131" s="136"/>
      <c r="AM131" s="9"/>
      <c r="AN131" s="9" t="n">
        <f aca="false">IF($A131&gt;=AO$25,IF($A131&lt;=AO$26,$AI131,0),0)</f>
        <v>0</v>
      </c>
      <c r="AO131" s="9" t="e">
        <f aca="false">AQ131/AN131</f>
        <v>#DIV/0!</v>
      </c>
      <c r="AP131" s="1" t="n">
        <f aca="false">AN131*($B131+B$13)</f>
        <v>0</v>
      </c>
      <c r="AQ131" s="33" t="n">
        <f aca="false">IF(ISNUMBER(((AP131/AN131)+B$14+$D131)*AN131),((AP131/AN131)+B$14+$D131)*AN131,0)</f>
        <v>0</v>
      </c>
      <c r="AR131" s="44" t="n">
        <f aca="false">IF(AN131=0,0,bsd(1,AS$27,AO131,$I131,$F131,$G131,$AH131,0.1))</f>
        <v>0</v>
      </c>
      <c r="AS131" s="44" t="n">
        <f aca="false">IF(AN131=0,0,bsd(2,AS$27,AO131,$I131,$F131,$G131,$AH131,0.1))</f>
        <v>0</v>
      </c>
      <c r="AT131" s="44" t="n">
        <f aca="false">IF(AN131=0,0,bsd(AS$28,AS$27,AO131,$I131,$F131,$G131,$AH131,0.1))</f>
        <v>0</v>
      </c>
      <c r="AU131" s="45" t="n">
        <f aca="false">AN131*AR131</f>
        <v>0</v>
      </c>
      <c r="AV131" s="45" t="n">
        <f aca="false">AN131*AS131</f>
        <v>0</v>
      </c>
      <c r="AW131" s="45" t="n">
        <f aca="false">AN131*AT131</f>
        <v>0</v>
      </c>
      <c r="AY131" s="9" t="n">
        <f aca="false">IF($A131&gt;=AZ$25,IF($A131&lt;=AZ$26,$AI131,0),0)</f>
        <v>0</v>
      </c>
      <c r="AZ131" s="9" t="e">
        <f aca="false">BB131/AY131</f>
        <v>#DIV/0!</v>
      </c>
      <c r="BA131" s="1" t="n">
        <f aca="false">AY131*($B131+D$13)</f>
        <v>0</v>
      </c>
      <c r="BB131" s="33" t="n">
        <f aca="false">IF(ISNUMBER(((BA131/AY131)+D$14+$K131)*AY131),((BA131/AY131)+D$14+$K131)*AY131,0)</f>
        <v>0</v>
      </c>
      <c r="BC131" s="44" t="n">
        <f aca="false">IF(AY131=0,0,bsd(1,BD$27,AZ131,$P131,$M131,$N131,$AH131,0.1))</f>
        <v>0</v>
      </c>
      <c r="BD131" s="44" t="n">
        <f aca="false">IF(AY131=0,0,bsd(2,BD$27,AZ131,$P131,$M131,$N131,$AH131,0.1))</f>
        <v>0</v>
      </c>
      <c r="BE131" s="44" t="n">
        <f aca="false">IF(AY131=0,0,bsd(BD$28,BD$27,AZ131,$P131,$M131,$N131,$AH131,0.1))</f>
        <v>0</v>
      </c>
      <c r="BF131" s="45" t="n">
        <f aca="false">AY131*BC131</f>
        <v>0</v>
      </c>
      <c r="BG131" s="45" t="n">
        <f aca="false">AY131*BD131</f>
        <v>0</v>
      </c>
      <c r="BH131" s="45" t="n">
        <f aca="false">AY131*BE131</f>
        <v>0</v>
      </c>
      <c r="BJ131" s="9" t="n">
        <f aca="false">IF($A131&gt;=BK$25,IF($A131&lt;=BK$26,$AI131,0),0)</f>
        <v>0</v>
      </c>
      <c r="BK131" s="9" t="e">
        <f aca="false">BM131/BJ131</f>
        <v>#DIV/0!</v>
      </c>
      <c r="BL131" s="1" t="n">
        <f aca="false">BJ131*($B131+F$13)</f>
        <v>0</v>
      </c>
      <c r="BM131" s="33" t="n">
        <f aca="false">IF(ISNUMBER(((BL131/BJ131)+F$14+$R131)*BJ131),((BL131/BJ131)+F$14+$R131)*BJ131,0)</f>
        <v>0</v>
      </c>
      <c r="BN131" s="44" t="n">
        <f aca="false">IF(BJ131=0,0,bsd(1,BO$27,BK131,$W131,$T131,$U131,$AH131,0.1))</f>
        <v>0</v>
      </c>
      <c r="BO131" s="44" t="n">
        <f aca="false">IF(BJ131=0,0,bsd(2,BO$27,BK131,$W131,$T131,$U131,$AH131,0.1))</f>
        <v>0</v>
      </c>
      <c r="BP131" s="44" t="n">
        <f aca="false">IF(BJ131=0,0,bsd(BO$28,BO$27,BK131,$W131,$T131,$U131,$AH131,0.1))</f>
        <v>0</v>
      </c>
      <c r="BQ131" s="45" t="n">
        <f aca="false">BJ131*BN131</f>
        <v>0</v>
      </c>
      <c r="BR131" s="45" t="n">
        <f aca="false">BJ131*BO131</f>
        <v>0</v>
      </c>
      <c r="BS131" s="45" t="n">
        <f aca="false">BJ131*BP131</f>
        <v>0</v>
      </c>
      <c r="BU131" s="9" t="n">
        <f aca="false">IF($A131&gt;=BV$25,IF($A131&lt;=BV$26,$AI131,0),0)</f>
        <v>0</v>
      </c>
      <c r="BV131" s="9" t="e">
        <f aca="false">BX131/BU131</f>
        <v>#DIV/0!</v>
      </c>
      <c r="BW131" s="1" t="n">
        <f aca="false">BU131*($B131+H$13)</f>
        <v>0</v>
      </c>
      <c r="BX131" s="33" t="n">
        <f aca="false">IF(ISNUMBER(((BW131/BU131)+H$14+$Y131)*BU131),((BW131/BU131)+H$14+$Y131)*BU131,0)</f>
        <v>0</v>
      </c>
      <c r="BY131" s="44" t="n">
        <f aca="false">IF(BU131=0,0,bsd(1,BZ$27,BV131,$AD131,$AA131,$AB131,$AH131,0.1))</f>
        <v>0</v>
      </c>
      <c r="BZ131" s="44" t="n">
        <f aca="false">IF(BU131=0,0,bsd(2,BZ$27,BV131,$AD131,$AA131,$AB131,$AH131,0.1))</f>
        <v>0</v>
      </c>
      <c r="CA131" s="44" t="n">
        <f aca="false">IF(BU131=0,0,bsd(BZ$28,BZ$27,BV131,$AD131,$AA131,$AB131,$AH131,0.1))</f>
        <v>0</v>
      </c>
      <c r="CB131" s="45" t="n">
        <f aca="false">BU131*BY131</f>
        <v>0</v>
      </c>
      <c r="CC131" s="45" t="n">
        <f aca="false">BU131*BZ131</f>
        <v>0</v>
      </c>
      <c r="CD131" s="45" t="n">
        <f aca="false">BU131*CA131</f>
        <v>0</v>
      </c>
    </row>
    <row r="132" customFormat="false" ht="12.75" hidden="false" customHeight="false" outlineLevel="0" collapsed="false">
      <c r="A132" s="48" t="n">
        <f aca="false">DATE(YEAR(A131),MONTH(A131)+1,1)</f>
        <v>39873</v>
      </c>
      <c r="B132" s="40" t="n">
        <f aca="false">VLOOKUP(A132,STRADDLE,5,FALSE())</f>
        <v>3.316</v>
      </c>
      <c r="C132" s="4" t="n">
        <f aca="false">VLOOKUP(A132,STRADDLE,8,FALSE())</f>
        <v>0.17</v>
      </c>
      <c r="D132" s="40" t="n">
        <f aca="false">IF(D$28="nymex",0,VLOOKUP($A132,curvesettle,HLOOKUP(D$28,curvesettle,2,FALSE())))</f>
        <v>0.965</v>
      </c>
      <c r="E132" s="131" t="n">
        <f aca="false">IF(ISNUMBER(VLOOKUP($A132,VOLCURVES,HLOOKUP(D$28,VOLCURVES,2,FALSE()),FALSE())),VLOOKUP($A132,VOLCURVES,HLOOKUP(D$28,VOLCURVES,2,FALSE()),FALSE()),1)</f>
        <v>1.1</v>
      </c>
      <c r="F132" s="136" t="n">
        <f aca="false">IF(D$28="NYMEX",$AG132,$AF132)</f>
        <v>-6057</v>
      </c>
      <c r="G132" s="4" t="e">
        <f aca="false">(($C132+H132)*$E132)+B$15</f>
        <v>#DIV/0!</v>
      </c>
      <c r="H132" s="4" t="e">
        <f aca="false">IF($B$16=1,VLOOKUP($A132,SkewTable,HLOOKUP(ROUND(I132-AO132,1),SkewTable,2,FALSE()),FALSE())/100,0)</f>
        <v>#DIV/0!</v>
      </c>
      <c r="I132" s="41" t="n">
        <f aca="false">IF($B$19=4,$AO132,$B$18)</f>
        <v>12</v>
      </c>
      <c r="K132" s="40" t="n">
        <f aca="false">IF(K$28="nymex",0,VLOOKUP($A132,curvesettle,HLOOKUP(K$28,curvesettle,2,FALSE())))</f>
        <v>-0.0145</v>
      </c>
      <c r="L132" s="131" t="n">
        <f aca="false">IF(ISNUMBER(VLOOKUP($A132,VOLCURVES,HLOOKUP(K$28,VOLCURVES,2,FALSE()),FALSE())),VLOOKUP($A132,VOLCURVES,HLOOKUP(K$28,VOLCURVES,2,FALSE()),FALSE()),1)</f>
        <v>1</v>
      </c>
      <c r="M132" s="136" t="n">
        <f aca="false">IF(K$28="NYMEX",$AG132,$AF132)</f>
        <v>-6057</v>
      </c>
      <c r="N132" s="153" t="e">
        <f aca="false">(($C132+O132)*$L132)+D$15</f>
        <v>#DIV/0!</v>
      </c>
      <c r="O132" s="4" t="e">
        <f aca="false">IF($D$16=1,VLOOKUP($A132,SkewTable,HLOOKUP(ROUND(P132-AZ132,1),SkewTable,2,FALSE()),FALSE())/100,0)</f>
        <v>#DIV/0!</v>
      </c>
      <c r="P132" s="41" t="n">
        <f aca="false">IF($D$19=4,$AZ132,$D$18)</f>
        <v>3.75</v>
      </c>
      <c r="R132" s="40" t="n">
        <f aca="false">IF(R$28="nymex",0,VLOOKUP($A132,curvesettle,HLOOKUP(R$28,curvesettle,2,FALSE())))</f>
        <v>-0.0145</v>
      </c>
      <c r="S132" s="131" t="n">
        <f aca="false">IF(ISNUMBER(VLOOKUP($A132,VOLCURVES,HLOOKUP(R$28,VOLCURVES,2,FALSE()),FALSE())),VLOOKUP($A132,VOLCURVES,HLOOKUP(R$28,VOLCURVES,2,FALSE()),FALSE()),1)</f>
        <v>1</v>
      </c>
      <c r="T132" s="136" t="n">
        <f aca="false">IF(R$28="NYMEX",$AG132,$AF132)</f>
        <v>-6057</v>
      </c>
      <c r="U132" s="153" t="e">
        <f aca="false">(($C132+V132)*$S132)+F$15</f>
        <v>#DIV/0!</v>
      </c>
      <c r="V132" s="4" t="e">
        <f aca="false">IF($F$16=1,VLOOKUP($A132,SkewTable,HLOOKUP(ROUND(W132-BK132,1),SkewTable,2,FALSE()),FALSE())/100,0)</f>
        <v>#DIV/0!</v>
      </c>
      <c r="W132" s="41" t="n">
        <f aca="false">IF($F$19=4,$BK132,$F$18)</f>
        <v>3.5</v>
      </c>
      <c r="X132" s="136"/>
      <c r="Y132" s="40" t="n">
        <f aca="false">IF(Y$28="nymex",0,VLOOKUP($A132,curvesettle,HLOOKUP(Y$28,curvesettle,2,FALSE())))</f>
        <v>-0.26</v>
      </c>
      <c r="Z132" s="131" t="n">
        <f aca="false">IF(ISNUMBER(VLOOKUP($A132,VOLCURVES,HLOOKUP(Y$28,VOLCURVES,2,FALSE()),FALSE())),VLOOKUP($A132,VOLCURVES,HLOOKUP(Y$28,VOLCURVES,2,FALSE()),FALSE()),1)</f>
        <v>1</v>
      </c>
      <c r="AA132" s="136" t="n">
        <f aca="false">IF(Y$28="NYMEX",$AG132,$AF132)</f>
        <v>-6057</v>
      </c>
      <c r="AB132" s="4" t="e">
        <f aca="false">(($C132+AC132)*$Z132)+H$15</f>
        <v>#DIV/0!</v>
      </c>
      <c r="AC132" s="4" t="e">
        <f aca="false">IF($H$16=1,VLOOKUP($A132,SkewTable,HLOOKUP(ROUND(AD132-BV132,1),SkewTable,2,FALSE()),FALSE())/100,0)</f>
        <v>#DIV/0!</v>
      </c>
      <c r="AD132" s="41" t="n">
        <f aca="false">IF($H$19=4,$BV132,$H$18)</f>
        <v>3</v>
      </c>
      <c r="AF132" s="136" t="n">
        <f aca="false">VLOOKUP($A132,expiration,2,FALSE())-$B$2</f>
        <v>-6057</v>
      </c>
      <c r="AG132" s="136" t="n">
        <f aca="false">VLOOKUP($A132,expiration,3,FALSE())-$B$2</f>
        <v>-6058</v>
      </c>
      <c r="AH132" s="4" t="n">
        <f aca="false">VLOOKUP($A132,STRADDLE,12,FALSE())</f>
        <v>0.070112111991106</v>
      </c>
      <c r="AI132" s="43" t="n">
        <f aca="false">A133-A132</f>
        <v>31</v>
      </c>
      <c r="AL132" s="136"/>
      <c r="AM132" s="9"/>
      <c r="AN132" s="9" t="n">
        <f aca="false">IF($A132&gt;=AO$25,IF($A132&lt;=AO$26,$AI132,0),0)</f>
        <v>0</v>
      </c>
      <c r="AO132" s="9" t="e">
        <f aca="false">AQ132/AN132</f>
        <v>#DIV/0!</v>
      </c>
      <c r="AP132" s="1" t="n">
        <f aca="false">AN132*($B132+B$13)</f>
        <v>0</v>
      </c>
      <c r="AQ132" s="33" t="n">
        <f aca="false">IF(ISNUMBER(((AP132/AN132)+B$14+$D132)*AN132),((AP132/AN132)+B$14+$D132)*AN132,0)</f>
        <v>0</v>
      </c>
      <c r="AR132" s="44" t="n">
        <f aca="false">IF(AN132=0,0,bsd(1,AS$27,AO132,$I132,$F132,$G132,$AH132,0.1))</f>
        <v>0</v>
      </c>
      <c r="AS132" s="44" t="n">
        <f aca="false">IF(AN132=0,0,bsd(2,AS$27,AO132,$I132,$F132,$G132,$AH132,0.1))</f>
        <v>0</v>
      </c>
      <c r="AT132" s="44" t="n">
        <f aca="false">IF(AN132=0,0,bsd(AS$28,AS$27,AO132,$I132,$F132,$G132,$AH132,0.1))</f>
        <v>0</v>
      </c>
      <c r="AU132" s="45" t="n">
        <f aca="false">AN132*AR132</f>
        <v>0</v>
      </c>
      <c r="AV132" s="45" t="n">
        <f aca="false">AN132*AS132</f>
        <v>0</v>
      </c>
      <c r="AW132" s="45" t="n">
        <f aca="false">AN132*AT132</f>
        <v>0</v>
      </c>
      <c r="AY132" s="9" t="n">
        <f aca="false">IF($A132&gt;=AZ$25,IF($A132&lt;=AZ$26,$AI132,0),0)</f>
        <v>0</v>
      </c>
      <c r="AZ132" s="9" t="e">
        <f aca="false">BB132/AY132</f>
        <v>#DIV/0!</v>
      </c>
      <c r="BA132" s="1" t="n">
        <f aca="false">AY132*($B132+D$13)</f>
        <v>0</v>
      </c>
      <c r="BB132" s="33" t="n">
        <f aca="false">IF(ISNUMBER(((BA132/AY132)+D$14+$K132)*AY132),((BA132/AY132)+D$14+$K132)*AY132,0)</f>
        <v>0</v>
      </c>
      <c r="BC132" s="44" t="n">
        <f aca="false">IF(AY132=0,0,bsd(1,BD$27,AZ132,$P132,$M132,$N132,$AH132,0.1))</f>
        <v>0</v>
      </c>
      <c r="BD132" s="44" t="n">
        <f aca="false">IF(AY132=0,0,bsd(2,BD$27,AZ132,$P132,$M132,$N132,$AH132,0.1))</f>
        <v>0</v>
      </c>
      <c r="BE132" s="44" t="n">
        <f aca="false">IF(AY132=0,0,bsd(BD$28,BD$27,AZ132,$P132,$M132,$N132,$AH132,0.1))</f>
        <v>0</v>
      </c>
      <c r="BF132" s="45" t="n">
        <f aca="false">AY132*BC132</f>
        <v>0</v>
      </c>
      <c r="BG132" s="45" t="n">
        <f aca="false">AY132*BD132</f>
        <v>0</v>
      </c>
      <c r="BH132" s="45" t="n">
        <f aca="false">AY132*BE132</f>
        <v>0</v>
      </c>
      <c r="BJ132" s="9" t="n">
        <f aca="false">IF($A132&gt;=BK$25,IF($A132&lt;=BK$26,$AI132,0),0)</f>
        <v>0</v>
      </c>
      <c r="BK132" s="9" t="e">
        <f aca="false">BM132/BJ132</f>
        <v>#DIV/0!</v>
      </c>
      <c r="BL132" s="1" t="n">
        <f aca="false">BJ132*($B132+F$13)</f>
        <v>0</v>
      </c>
      <c r="BM132" s="33" t="n">
        <f aca="false">IF(ISNUMBER(((BL132/BJ132)+F$14+$R132)*BJ132),((BL132/BJ132)+F$14+$R132)*BJ132,0)</f>
        <v>0</v>
      </c>
      <c r="BN132" s="44" t="n">
        <f aca="false">IF(BJ132=0,0,bsd(1,BO$27,BK132,$W132,$T132,$U132,$AH132,0.1))</f>
        <v>0</v>
      </c>
      <c r="BO132" s="44" t="n">
        <f aca="false">IF(BJ132=0,0,bsd(2,BO$27,BK132,$W132,$T132,$U132,$AH132,0.1))</f>
        <v>0</v>
      </c>
      <c r="BP132" s="44" t="n">
        <f aca="false">IF(BJ132=0,0,bsd(BO$28,BO$27,BK132,$W132,$T132,$U132,$AH132,0.1))</f>
        <v>0</v>
      </c>
      <c r="BQ132" s="45" t="n">
        <f aca="false">BJ132*BN132</f>
        <v>0</v>
      </c>
      <c r="BR132" s="45" t="n">
        <f aca="false">BJ132*BO132</f>
        <v>0</v>
      </c>
      <c r="BS132" s="45" t="n">
        <f aca="false">BJ132*BP132</f>
        <v>0</v>
      </c>
      <c r="BU132" s="9" t="n">
        <f aca="false">IF($A132&gt;=BV$25,IF($A132&lt;=BV$26,$AI132,0),0)</f>
        <v>0</v>
      </c>
      <c r="BV132" s="9" t="e">
        <f aca="false">BX132/BU132</f>
        <v>#DIV/0!</v>
      </c>
      <c r="BW132" s="1" t="n">
        <f aca="false">BU132*($B132+H$13)</f>
        <v>0</v>
      </c>
      <c r="BX132" s="33" t="n">
        <f aca="false">IF(ISNUMBER(((BW132/BU132)+H$14+$Y132)*BU132),((BW132/BU132)+H$14+$Y132)*BU132,0)</f>
        <v>0</v>
      </c>
      <c r="BY132" s="44" t="n">
        <f aca="false">IF(BU132=0,0,bsd(1,BZ$27,BV132,$AD132,$AA132,$AB132,$AH132,0.1))</f>
        <v>0</v>
      </c>
      <c r="BZ132" s="44" t="n">
        <f aca="false">IF(BU132=0,0,bsd(2,BZ$27,BV132,$AD132,$AA132,$AB132,$AH132,0.1))</f>
        <v>0</v>
      </c>
      <c r="CA132" s="44" t="n">
        <f aca="false">IF(BU132=0,0,bsd(BZ$28,BZ$27,BV132,$AD132,$AA132,$AB132,$AH132,0.1))</f>
        <v>0</v>
      </c>
      <c r="CB132" s="45" t="n">
        <f aca="false">BU132*BY132</f>
        <v>0</v>
      </c>
      <c r="CC132" s="45" t="n">
        <f aca="false">BU132*BZ132</f>
        <v>0</v>
      </c>
      <c r="CD132" s="45" t="n">
        <f aca="false">BU132*CA132</f>
        <v>0</v>
      </c>
    </row>
    <row r="133" customFormat="false" ht="12.75" hidden="false" customHeight="false" outlineLevel="0" collapsed="false">
      <c r="A133" s="48" t="n">
        <f aca="false">DATE(YEAR(A132),MONTH(A132)+1,1)</f>
        <v>39904</v>
      </c>
      <c r="B133" s="40" t="n">
        <f aca="false">VLOOKUP(A133,STRADDLE,5,FALSE())</f>
        <v>3.144</v>
      </c>
      <c r="C133" s="4" t="n">
        <f aca="false">VLOOKUP(A133,STRADDLE,8,FALSE())</f>
        <v>0.17</v>
      </c>
      <c r="D133" s="40" t="n">
        <f aca="false">IF(D$28="nymex",0,VLOOKUP($A133,curvesettle,HLOOKUP(D$28,curvesettle,2,FALSE())))</f>
        <v>0.45</v>
      </c>
      <c r="E133" s="131" t="n">
        <f aca="false">IF(ISNUMBER(VLOOKUP($A133,VOLCURVES,HLOOKUP(D$28,VOLCURVES,2,FALSE()),FALSE())),VLOOKUP($A133,VOLCURVES,HLOOKUP(D$28,VOLCURVES,2,FALSE()),FALSE()),1)</f>
        <v>0.98</v>
      </c>
      <c r="F133" s="136" t="n">
        <f aca="false">IF(D$28="NYMEX",$AG133,$AF133)</f>
        <v>-6027</v>
      </c>
      <c r="G133" s="4" t="e">
        <f aca="false">(($C133+H133)*$E133)+B$15</f>
        <v>#DIV/0!</v>
      </c>
      <c r="H133" s="4" t="e">
        <f aca="false">IF($B$16=1,VLOOKUP($A133,SkewTable,HLOOKUP(ROUND(I133-AO133,1),SkewTable,2,FALSE()),FALSE())/100,0)</f>
        <v>#DIV/0!</v>
      </c>
      <c r="I133" s="41" t="n">
        <f aca="false">IF($B$19=4,$AO133,$B$18)</f>
        <v>12</v>
      </c>
      <c r="K133" s="40" t="n">
        <f aca="false">IF(K$28="nymex",0,VLOOKUP($A133,curvesettle,HLOOKUP(K$28,curvesettle,2,FALSE())))</f>
        <v>-0.017</v>
      </c>
      <c r="L133" s="131" t="n">
        <f aca="false">IF(ISNUMBER(VLOOKUP($A133,VOLCURVES,HLOOKUP(K$28,VOLCURVES,2,FALSE()),FALSE())),VLOOKUP($A133,VOLCURVES,HLOOKUP(K$28,VOLCURVES,2,FALSE()),FALSE()),1)</f>
        <v>1</v>
      </c>
      <c r="M133" s="136" t="n">
        <f aca="false">IF(K$28="NYMEX",$AG133,$AF133)</f>
        <v>-6027</v>
      </c>
      <c r="N133" s="153" t="e">
        <f aca="false">(($C133+O133)*$L133)+D$15</f>
        <v>#DIV/0!</v>
      </c>
      <c r="O133" s="4" t="e">
        <f aca="false">IF($D$16=1,VLOOKUP($A133,SkewTable,HLOOKUP(ROUND(P133-AZ133,1),SkewTable,2,FALSE()),FALSE())/100,0)</f>
        <v>#DIV/0!</v>
      </c>
      <c r="P133" s="41" t="n">
        <f aca="false">IF($D$19=4,$AZ133,$D$18)</f>
        <v>3.75</v>
      </c>
      <c r="R133" s="40" t="n">
        <f aca="false">IF(R$28="nymex",0,VLOOKUP($A133,curvesettle,HLOOKUP(R$28,curvesettle,2,FALSE())))</f>
        <v>-0.017</v>
      </c>
      <c r="S133" s="131" t="n">
        <f aca="false">IF(ISNUMBER(VLOOKUP($A133,VOLCURVES,HLOOKUP(R$28,VOLCURVES,2,FALSE()),FALSE())),VLOOKUP($A133,VOLCURVES,HLOOKUP(R$28,VOLCURVES,2,FALSE()),FALSE()),1)</f>
        <v>1</v>
      </c>
      <c r="T133" s="136" t="n">
        <f aca="false">IF(R$28="NYMEX",$AG133,$AF133)</f>
        <v>-6027</v>
      </c>
      <c r="U133" s="153" t="e">
        <f aca="false">(($C133+V133)*$S133)+F$15</f>
        <v>#DIV/0!</v>
      </c>
      <c r="V133" s="4" t="e">
        <f aca="false">IF($F$16=1,VLOOKUP($A133,SkewTable,HLOOKUP(ROUND(W133-BK133,1),SkewTable,2,FALSE()),FALSE())/100,0)</f>
        <v>#DIV/0!</v>
      </c>
      <c r="W133" s="41" t="n">
        <f aca="false">IF($F$19=4,$BK133,$F$18)</f>
        <v>3.5</v>
      </c>
      <c r="X133" s="136"/>
      <c r="Y133" s="40" t="n">
        <f aca="false">IF(Y$28="nymex",0,VLOOKUP($A133,curvesettle,HLOOKUP(Y$28,curvesettle,2,FALSE())))</f>
        <v>-0.335</v>
      </c>
      <c r="Z133" s="131" t="n">
        <f aca="false">IF(ISNUMBER(VLOOKUP($A133,VOLCURVES,HLOOKUP(Y$28,VOLCURVES,2,FALSE()),FALSE())),VLOOKUP($A133,VOLCURVES,HLOOKUP(Y$28,VOLCURVES,2,FALSE()),FALSE()),1)</f>
        <v>1</v>
      </c>
      <c r="AA133" s="136" t="n">
        <f aca="false">IF(Y$28="NYMEX",$AG133,$AF133)</f>
        <v>-6027</v>
      </c>
      <c r="AB133" s="4" t="e">
        <f aca="false">(($C133+AC133)*$Z133)+H$15</f>
        <v>#DIV/0!</v>
      </c>
      <c r="AC133" s="4" t="e">
        <f aca="false">IF($H$16=1,VLOOKUP($A133,SkewTable,HLOOKUP(ROUND(AD133-BV133,1),SkewTable,2,FALSE()),FALSE())/100,0)</f>
        <v>#DIV/0!</v>
      </c>
      <c r="AD133" s="41" t="n">
        <f aca="false">IF($H$19=4,$BV133,$H$18)</f>
        <v>3</v>
      </c>
      <c r="AF133" s="136" t="n">
        <f aca="false">VLOOKUP($A133,expiration,2,FALSE())-$B$2</f>
        <v>-6027</v>
      </c>
      <c r="AG133" s="136" t="n">
        <f aca="false">VLOOKUP($A133,expiration,3,FALSE())-$B$2</f>
        <v>-6028</v>
      </c>
      <c r="AH133" s="4" t="n">
        <f aca="false">VLOOKUP($A133,STRADDLE,12,FALSE())</f>
        <v>0.070149506717861</v>
      </c>
      <c r="AI133" s="43" t="n">
        <f aca="false">A134-A133</f>
        <v>30</v>
      </c>
      <c r="AL133" s="136"/>
      <c r="AM133" s="9"/>
      <c r="AN133" s="9" t="n">
        <f aca="false">IF($A133&gt;=AO$25,IF($A133&lt;=AO$26,$AI133,0),0)</f>
        <v>0</v>
      </c>
      <c r="AO133" s="9" t="e">
        <f aca="false">AQ133/AN133</f>
        <v>#DIV/0!</v>
      </c>
      <c r="AP133" s="1" t="n">
        <f aca="false">AN133*($B133+B$13)</f>
        <v>0</v>
      </c>
      <c r="AQ133" s="33" t="n">
        <f aca="false">IF(ISNUMBER(((AP133/AN133)+B$14+$D133)*AN133),((AP133/AN133)+B$14+$D133)*AN133,0)</f>
        <v>0</v>
      </c>
      <c r="AR133" s="44" t="n">
        <f aca="false">IF(AN133=0,0,bsd(1,AS$27,AO133,$I133,$F133,$G133,$AH133,0.1))</f>
        <v>0</v>
      </c>
      <c r="AS133" s="44" t="n">
        <f aca="false">IF(AN133=0,0,bsd(2,AS$27,AO133,$I133,$F133,$G133,$AH133,0.1))</f>
        <v>0</v>
      </c>
      <c r="AT133" s="44" t="n">
        <f aca="false">IF(AN133=0,0,bsd(AS$28,AS$27,AO133,$I133,$F133,$G133,$AH133,0.1))</f>
        <v>0</v>
      </c>
      <c r="AU133" s="45" t="n">
        <f aca="false">AN133*AR133</f>
        <v>0</v>
      </c>
      <c r="AV133" s="45" t="n">
        <f aca="false">AN133*AS133</f>
        <v>0</v>
      </c>
      <c r="AW133" s="45" t="n">
        <f aca="false">AN133*AT133</f>
        <v>0</v>
      </c>
      <c r="AY133" s="9" t="n">
        <f aca="false">IF($A133&gt;=AZ$25,IF($A133&lt;=AZ$26,$AI133,0),0)</f>
        <v>0</v>
      </c>
      <c r="AZ133" s="9" t="e">
        <f aca="false">BB133/AY133</f>
        <v>#DIV/0!</v>
      </c>
      <c r="BA133" s="1" t="n">
        <f aca="false">AY133*($B133+D$13)</f>
        <v>0</v>
      </c>
      <c r="BB133" s="33" t="n">
        <f aca="false">IF(ISNUMBER(((BA133/AY133)+D$14+$K133)*AY133),((BA133/AY133)+D$14+$K133)*AY133,0)</f>
        <v>0</v>
      </c>
      <c r="BC133" s="44" t="n">
        <f aca="false">IF(AY133=0,0,bsd(1,BD$27,AZ133,$P133,$M133,$N133,$AH133,0.1))</f>
        <v>0</v>
      </c>
      <c r="BD133" s="44" t="n">
        <f aca="false">IF(AY133=0,0,bsd(2,BD$27,AZ133,$P133,$M133,$N133,$AH133,0.1))</f>
        <v>0</v>
      </c>
      <c r="BE133" s="44" t="n">
        <f aca="false">IF(AY133=0,0,bsd(BD$28,BD$27,AZ133,$P133,$M133,$N133,$AH133,0.1))</f>
        <v>0</v>
      </c>
      <c r="BF133" s="45" t="n">
        <f aca="false">AY133*BC133</f>
        <v>0</v>
      </c>
      <c r="BG133" s="45" t="n">
        <f aca="false">AY133*BD133</f>
        <v>0</v>
      </c>
      <c r="BH133" s="45" t="n">
        <f aca="false">AY133*BE133</f>
        <v>0</v>
      </c>
      <c r="BJ133" s="9" t="n">
        <f aca="false">IF($A133&gt;=BK$25,IF($A133&lt;=BK$26,$AI133,0),0)</f>
        <v>0</v>
      </c>
      <c r="BK133" s="9" t="e">
        <f aca="false">BM133/BJ133</f>
        <v>#DIV/0!</v>
      </c>
      <c r="BL133" s="1" t="n">
        <f aca="false">BJ133*($B133+F$13)</f>
        <v>0</v>
      </c>
      <c r="BM133" s="33" t="n">
        <f aca="false">IF(ISNUMBER(((BL133/BJ133)+F$14+$R133)*BJ133),((BL133/BJ133)+F$14+$R133)*BJ133,0)</f>
        <v>0</v>
      </c>
      <c r="BN133" s="44" t="n">
        <f aca="false">IF(BJ133=0,0,bsd(1,BO$27,BK133,$W133,$T133,$U133,$AH133,0.1))</f>
        <v>0</v>
      </c>
      <c r="BO133" s="44" t="n">
        <f aca="false">IF(BJ133=0,0,bsd(2,BO$27,BK133,$W133,$T133,$U133,$AH133,0.1))</f>
        <v>0</v>
      </c>
      <c r="BP133" s="44" t="n">
        <f aca="false">IF(BJ133=0,0,bsd(BO$28,BO$27,BK133,$W133,$T133,$U133,$AH133,0.1))</f>
        <v>0</v>
      </c>
      <c r="BQ133" s="45" t="n">
        <f aca="false">BJ133*BN133</f>
        <v>0</v>
      </c>
      <c r="BR133" s="45" t="n">
        <f aca="false">BJ133*BO133</f>
        <v>0</v>
      </c>
      <c r="BS133" s="45" t="n">
        <f aca="false">BJ133*BP133</f>
        <v>0</v>
      </c>
      <c r="BU133" s="9" t="n">
        <f aca="false">IF($A133&gt;=BV$25,IF($A133&lt;=BV$26,$AI133,0),0)</f>
        <v>0</v>
      </c>
      <c r="BV133" s="9" t="e">
        <f aca="false">BX133/BU133</f>
        <v>#DIV/0!</v>
      </c>
      <c r="BW133" s="1" t="n">
        <f aca="false">BU133*($B133+H$13)</f>
        <v>0</v>
      </c>
      <c r="BX133" s="33" t="n">
        <f aca="false">IF(ISNUMBER(((BW133/BU133)+H$14+$Y133)*BU133),((BW133/BU133)+H$14+$Y133)*BU133,0)</f>
        <v>0</v>
      </c>
      <c r="BY133" s="44" t="n">
        <f aca="false">IF(BU133=0,0,bsd(1,BZ$27,BV133,$AD133,$AA133,$AB133,$AH133,0.1))</f>
        <v>0</v>
      </c>
      <c r="BZ133" s="44" t="n">
        <f aca="false">IF(BU133=0,0,bsd(2,BZ$27,BV133,$AD133,$AA133,$AB133,$AH133,0.1))</f>
        <v>0</v>
      </c>
      <c r="CA133" s="44" t="n">
        <f aca="false">IF(BU133=0,0,bsd(BZ$28,BZ$27,BV133,$AD133,$AA133,$AB133,$AH133,0.1))</f>
        <v>0</v>
      </c>
      <c r="CB133" s="45" t="n">
        <f aca="false">BU133*BY133</f>
        <v>0</v>
      </c>
      <c r="CC133" s="45" t="n">
        <f aca="false">BU133*BZ133</f>
        <v>0</v>
      </c>
      <c r="CD133" s="45" t="n">
        <f aca="false">BU133*CA133</f>
        <v>0</v>
      </c>
    </row>
    <row r="134" customFormat="false" ht="12.75" hidden="false" customHeight="false" outlineLevel="0" collapsed="false">
      <c r="A134" s="48" t="n">
        <f aca="false">DATE(YEAR(A133),MONTH(A133)+1,1)</f>
        <v>39934</v>
      </c>
      <c r="B134" s="40" t="n">
        <f aca="false">VLOOKUP(A134,STRADDLE,5,FALSE())</f>
        <v>3.1</v>
      </c>
      <c r="C134" s="4" t="n">
        <f aca="false">VLOOKUP(A134,STRADDLE,8,FALSE())</f>
        <v>0.17</v>
      </c>
      <c r="D134" s="40" t="n">
        <f aca="false">IF(D$28="nymex",0,VLOOKUP($A134,curvesettle,HLOOKUP(D$28,curvesettle,2,FALSE())))</f>
        <v>0.405</v>
      </c>
      <c r="E134" s="131" t="n">
        <f aca="false">IF(ISNUMBER(VLOOKUP($A134,VOLCURVES,HLOOKUP(D$28,VOLCURVES,2,FALSE()),FALSE())),VLOOKUP($A134,VOLCURVES,HLOOKUP(D$28,VOLCURVES,2,FALSE()),FALSE()),1)</f>
        <v>0.98</v>
      </c>
      <c r="F134" s="136" t="n">
        <f aca="false">IF(D$28="NYMEX",$AG134,$AF134)</f>
        <v>-5995</v>
      </c>
      <c r="G134" s="4" t="e">
        <f aca="false">(($C134+H134)*$E134)+B$15</f>
        <v>#DIV/0!</v>
      </c>
      <c r="H134" s="4" t="e">
        <f aca="false">IF($B$16=1,VLOOKUP($A134,SkewTable,HLOOKUP(ROUND(I134-AO134,1),SkewTable,2,FALSE()),FALSE())/100,0)</f>
        <v>#DIV/0!</v>
      </c>
      <c r="I134" s="41" t="n">
        <f aca="false">IF($B$19=4,$AO134,$B$18)</f>
        <v>12</v>
      </c>
      <c r="K134" s="40" t="n">
        <f aca="false">IF(K$28="nymex",0,VLOOKUP($A134,curvesettle,HLOOKUP(K$28,curvesettle,2,FALSE())))</f>
        <v>-0.017</v>
      </c>
      <c r="L134" s="131" t="n">
        <f aca="false">IF(ISNUMBER(VLOOKUP($A134,VOLCURVES,HLOOKUP(K$28,VOLCURVES,2,FALSE()),FALSE())),VLOOKUP($A134,VOLCURVES,HLOOKUP(K$28,VOLCURVES,2,FALSE()),FALSE()),1)</f>
        <v>1</v>
      </c>
      <c r="M134" s="136" t="n">
        <f aca="false">IF(K$28="NYMEX",$AG134,$AF134)</f>
        <v>-5995</v>
      </c>
      <c r="N134" s="153" t="e">
        <f aca="false">(($C134+O134)*$L134)+D$15</f>
        <v>#DIV/0!</v>
      </c>
      <c r="O134" s="4" t="e">
        <f aca="false">IF($D$16=1,VLOOKUP($A134,SkewTable,HLOOKUP(ROUND(P134-AZ134,1),SkewTable,2,FALSE()),FALSE())/100,0)</f>
        <v>#DIV/0!</v>
      </c>
      <c r="P134" s="41" t="n">
        <f aca="false">IF($D$19=4,$AZ134,$D$18)</f>
        <v>3.75</v>
      </c>
      <c r="R134" s="40" t="n">
        <f aca="false">IF(R$28="nymex",0,VLOOKUP($A134,curvesettle,HLOOKUP(R$28,curvesettle,2,FALSE())))</f>
        <v>-0.017</v>
      </c>
      <c r="S134" s="131" t="n">
        <f aca="false">IF(ISNUMBER(VLOOKUP($A134,VOLCURVES,HLOOKUP(R$28,VOLCURVES,2,FALSE()),FALSE())),VLOOKUP($A134,VOLCURVES,HLOOKUP(R$28,VOLCURVES,2,FALSE()),FALSE()),1)</f>
        <v>1</v>
      </c>
      <c r="T134" s="136" t="n">
        <f aca="false">IF(R$28="NYMEX",$AG134,$AF134)</f>
        <v>-5995</v>
      </c>
      <c r="U134" s="153" t="e">
        <f aca="false">(($C134+V134)*$S134)+F$15</f>
        <v>#DIV/0!</v>
      </c>
      <c r="V134" s="4" t="e">
        <f aca="false">IF($F$16=1,VLOOKUP($A134,SkewTable,HLOOKUP(ROUND(W134-BK134,1),SkewTable,2,FALSE()),FALSE())/100,0)</f>
        <v>#DIV/0!</v>
      </c>
      <c r="W134" s="41" t="n">
        <f aca="false">IF($F$19=4,$BK134,$F$18)</f>
        <v>3.5</v>
      </c>
      <c r="X134" s="136"/>
      <c r="Y134" s="40" t="n">
        <f aca="false">IF(Y$28="nymex",0,VLOOKUP($A134,curvesettle,HLOOKUP(Y$28,curvesettle,2,FALSE())))</f>
        <v>-0.335</v>
      </c>
      <c r="Z134" s="131" t="n">
        <f aca="false">IF(ISNUMBER(VLOOKUP($A134,VOLCURVES,HLOOKUP(Y$28,VOLCURVES,2,FALSE()),FALSE())),VLOOKUP($A134,VOLCURVES,HLOOKUP(Y$28,VOLCURVES,2,FALSE()),FALSE()),1)</f>
        <v>1</v>
      </c>
      <c r="AA134" s="136" t="n">
        <f aca="false">IF(Y$28="NYMEX",$AG134,$AF134)</f>
        <v>-5995</v>
      </c>
      <c r="AB134" s="4" t="e">
        <f aca="false">(($C134+AC134)*$Z134)+H$15</f>
        <v>#DIV/0!</v>
      </c>
      <c r="AC134" s="4" t="e">
        <f aca="false">IF($H$16=1,VLOOKUP($A134,SkewTable,HLOOKUP(ROUND(AD134-BV134,1),SkewTable,2,FALSE()),FALSE())/100,0)</f>
        <v>#DIV/0!</v>
      </c>
      <c r="AD134" s="41" t="n">
        <f aca="false">IF($H$19=4,$BV134,$H$18)</f>
        <v>3</v>
      </c>
      <c r="AF134" s="136" t="n">
        <f aca="false">VLOOKUP($A134,expiration,2,FALSE())-$B$2</f>
        <v>-5995</v>
      </c>
      <c r="AG134" s="136" t="n">
        <f aca="false">VLOOKUP($A134,expiration,3,FALSE())-$B$2</f>
        <v>-5996</v>
      </c>
      <c r="AH134" s="4" t="n">
        <f aca="false">VLOOKUP($A134,STRADDLE,12,FALSE())</f>
        <v>0.070185695163548</v>
      </c>
      <c r="AI134" s="43" t="n">
        <f aca="false">A135-A134</f>
        <v>31</v>
      </c>
      <c r="AL134" s="136"/>
      <c r="AM134" s="9"/>
      <c r="AN134" s="9" t="n">
        <f aca="false">IF($A134&gt;=AO$25,IF($A134&lt;=AO$26,$AI134,0),0)</f>
        <v>0</v>
      </c>
      <c r="AO134" s="9" t="e">
        <f aca="false">AQ134/AN134</f>
        <v>#DIV/0!</v>
      </c>
      <c r="AP134" s="1" t="n">
        <f aca="false">AN134*($B134+B$13)</f>
        <v>0</v>
      </c>
      <c r="AQ134" s="33" t="n">
        <f aca="false">IF(ISNUMBER(((AP134/AN134)+B$14+$D134)*AN134),((AP134/AN134)+B$14+$D134)*AN134,0)</f>
        <v>0</v>
      </c>
      <c r="AR134" s="44" t="n">
        <f aca="false">IF(AN134=0,0,bsd(1,AS$27,AO134,$I134,$F134,$G134,$AH134,0.1))</f>
        <v>0</v>
      </c>
      <c r="AS134" s="44" t="n">
        <f aca="false">IF(AN134=0,0,bsd(2,AS$27,AO134,$I134,$F134,$G134,$AH134,0.1))</f>
        <v>0</v>
      </c>
      <c r="AT134" s="44" t="n">
        <f aca="false">IF(AN134=0,0,bsd(AS$28,AS$27,AO134,$I134,$F134,$G134,$AH134,0.1))</f>
        <v>0</v>
      </c>
      <c r="AU134" s="45" t="n">
        <f aca="false">AN134*AR134</f>
        <v>0</v>
      </c>
      <c r="AV134" s="45" t="n">
        <f aca="false">AN134*AS134</f>
        <v>0</v>
      </c>
      <c r="AW134" s="45" t="n">
        <f aca="false">AN134*AT134</f>
        <v>0</v>
      </c>
      <c r="AY134" s="9" t="n">
        <f aca="false">IF($A134&gt;=AZ$25,IF($A134&lt;=AZ$26,$AI134,0),0)</f>
        <v>0</v>
      </c>
      <c r="AZ134" s="9" t="e">
        <f aca="false">BB134/AY134</f>
        <v>#DIV/0!</v>
      </c>
      <c r="BA134" s="1" t="n">
        <f aca="false">AY134*($B134+D$13)</f>
        <v>0</v>
      </c>
      <c r="BB134" s="33" t="n">
        <f aca="false">IF(ISNUMBER(((BA134/AY134)+D$14+$K134)*AY134),((BA134/AY134)+D$14+$K134)*AY134,0)</f>
        <v>0</v>
      </c>
      <c r="BC134" s="44" t="n">
        <f aca="false">IF(AY134=0,0,bsd(1,BD$27,AZ134,$P134,$M134,$N134,$AH134,0.1))</f>
        <v>0</v>
      </c>
      <c r="BD134" s="44" t="n">
        <f aca="false">IF(AY134=0,0,bsd(2,BD$27,AZ134,$P134,$M134,$N134,$AH134,0.1))</f>
        <v>0</v>
      </c>
      <c r="BE134" s="44" t="n">
        <f aca="false">IF(AY134=0,0,bsd(BD$28,BD$27,AZ134,$P134,$M134,$N134,$AH134,0.1))</f>
        <v>0</v>
      </c>
      <c r="BF134" s="45" t="n">
        <f aca="false">AY134*BC134</f>
        <v>0</v>
      </c>
      <c r="BG134" s="45" t="n">
        <f aca="false">AY134*BD134</f>
        <v>0</v>
      </c>
      <c r="BH134" s="45" t="n">
        <f aca="false">AY134*BE134</f>
        <v>0</v>
      </c>
      <c r="BJ134" s="9" t="n">
        <f aca="false">IF($A134&gt;=BK$25,IF($A134&lt;=BK$26,$AI134,0),0)</f>
        <v>0</v>
      </c>
      <c r="BK134" s="9" t="e">
        <f aca="false">BM134/BJ134</f>
        <v>#DIV/0!</v>
      </c>
      <c r="BL134" s="1" t="n">
        <f aca="false">BJ134*($B134+F$13)</f>
        <v>0</v>
      </c>
      <c r="BM134" s="33" t="n">
        <f aca="false">IF(ISNUMBER(((BL134/BJ134)+F$14+$R134)*BJ134),((BL134/BJ134)+F$14+$R134)*BJ134,0)</f>
        <v>0</v>
      </c>
      <c r="BN134" s="44" t="n">
        <f aca="false">IF(BJ134=0,0,bsd(1,BO$27,BK134,$W134,$T134,$U134,$AH134,0.1))</f>
        <v>0</v>
      </c>
      <c r="BO134" s="44" t="n">
        <f aca="false">IF(BJ134=0,0,bsd(2,BO$27,BK134,$W134,$T134,$U134,$AH134,0.1))</f>
        <v>0</v>
      </c>
      <c r="BP134" s="44" t="n">
        <f aca="false">IF(BJ134=0,0,bsd(BO$28,BO$27,BK134,$W134,$T134,$U134,$AH134,0.1))</f>
        <v>0</v>
      </c>
      <c r="BQ134" s="45" t="n">
        <f aca="false">BJ134*BN134</f>
        <v>0</v>
      </c>
      <c r="BR134" s="45" t="n">
        <f aca="false">BJ134*BO134</f>
        <v>0</v>
      </c>
      <c r="BS134" s="45" t="n">
        <f aca="false">BJ134*BP134</f>
        <v>0</v>
      </c>
      <c r="BU134" s="9" t="n">
        <f aca="false">IF($A134&gt;=BV$25,IF($A134&lt;=BV$26,$AI134,0),0)</f>
        <v>0</v>
      </c>
      <c r="BV134" s="9" t="e">
        <f aca="false">BX134/BU134</f>
        <v>#DIV/0!</v>
      </c>
      <c r="BW134" s="1" t="n">
        <f aca="false">BU134*($B134+H$13)</f>
        <v>0</v>
      </c>
      <c r="BX134" s="33" t="n">
        <f aca="false">IF(ISNUMBER(((BW134/BU134)+H$14+$Y134)*BU134),((BW134/BU134)+H$14+$Y134)*BU134,0)</f>
        <v>0</v>
      </c>
      <c r="BY134" s="44" t="n">
        <f aca="false">IF(BU134=0,0,bsd(1,BZ$27,BV134,$AD134,$AA134,$AB134,$AH134,0.1))</f>
        <v>0</v>
      </c>
      <c r="BZ134" s="44" t="n">
        <f aca="false">IF(BU134=0,0,bsd(2,BZ$27,BV134,$AD134,$AA134,$AB134,$AH134,0.1))</f>
        <v>0</v>
      </c>
      <c r="CA134" s="44" t="n">
        <f aca="false">IF(BU134=0,0,bsd(BZ$28,BZ$27,BV134,$AD134,$AA134,$AB134,$AH134,0.1))</f>
        <v>0</v>
      </c>
      <c r="CB134" s="45" t="n">
        <f aca="false">BU134*BY134</f>
        <v>0</v>
      </c>
      <c r="CC134" s="45" t="n">
        <f aca="false">BU134*BZ134</f>
        <v>0</v>
      </c>
      <c r="CD134" s="45" t="n">
        <f aca="false">BU134*CA134</f>
        <v>0</v>
      </c>
    </row>
    <row r="135" customFormat="false" ht="12.75" hidden="false" customHeight="false" outlineLevel="0" collapsed="false">
      <c r="A135" s="48" t="n">
        <f aca="false">DATE(YEAR(A134),MONTH(A134)+1,1)</f>
        <v>39965</v>
      </c>
      <c r="B135" s="40" t="n">
        <f aca="false">VLOOKUP(A135,STRADDLE,5,FALSE())</f>
        <v>3.114</v>
      </c>
      <c r="C135" s="4" t="n">
        <f aca="false">VLOOKUP(A135,STRADDLE,8,FALSE())</f>
        <v>0.17</v>
      </c>
      <c r="D135" s="40" t="n">
        <f aca="false">IF(D$28="nymex",0,VLOOKUP($A135,curvesettle,HLOOKUP(D$28,curvesettle,2,FALSE())))</f>
        <v>0.395</v>
      </c>
      <c r="E135" s="131" t="n">
        <f aca="false">IF(ISNUMBER(VLOOKUP($A135,VOLCURVES,HLOOKUP(D$28,VOLCURVES,2,FALSE()),FALSE())),VLOOKUP($A135,VOLCURVES,HLOOKUP(D$28,VOLCURVES,2,FALSE()),FALSE()),1)</f>
        <v>0.98</v>
      </c>
      <c r="F135" s="136" t="n">
        <f aca="false">IF(D$28="NYMEX",$AG135,$AF135)</f>
        <v>-5966</v>
      </c>
      <c r="G135" s="4" t="e">
        <f aca="false">(($C135+H135)*$E135)+B$15</f>
        <v>#DIV/0!</v>
      </c>
      <c r="H135" s="4" t="e">
        <f aca="false">IF($B$16=1,VLOOKUP($A135,SkewTable,HLOOKUP(ROUND(I135-AO135,1),SkewTable,2,FALSE()),FALSE())/100,0)</f>
        <v>#DIV/0!</v>
      </c>
      <c r="I135" s="41" t="n">
        <f aca="false">IF($B$19=4,$AO135,$B$18)</f>
        <v>12</v>
      </c>
      <c r="K135" s="40" t="n">
        <f aca="false">IF(K$28="nymex",0,VLOOKUP($A135,curvesettle,HLOOKUP(K$28,curvesettle,2,FALSE())))</f>
        <v>-0.017</v>
      </c>
      <c r="L135" s="131" t="n">
        <f aca="false">IF(ISNUMBER(VLOOKUP($A135,VOLCURVES,HLOOKUP(K$28,VOLCURVES,2,FALSE()),FALSE())),VLOOKUP($A135,VOLCURVES,HLOOKUP(K$28,VOLCURVES,2,FALSE()),FALSE()),1)</f>
        <v>1</v>
      </c>
      <c r="M135" s="136" t="n">
        <f aca="false">IF(K$28="NYMEX",$AG135,$AF135)</f>
        <v>-5966</v>
      </c>
      <c r="N135" s="153" t="e">
        <f aca="false">(($C135+O135)*$L135)+D$15</f>
        <v>#DIV/0!</v>
      </c>
      <c r="O135" s="4" t="e">
        <f aca="false">IF($D$16=1,VLOOKUP($A135,SkewTable,HLOOKUP(ROUND(P135-AZ135,1),SkewTable,2,FALSE()),FALSE())/100,0)</f>
        <v>#DIV/0!</v>
      </c>
      <c r="P135" s="41" t="n">
        <f aca="false">IF($D$19=4,$AZ135,$D$18)</f>
        <v>3.75</v>
      </c>
      <c r="R135" s="40" t="n">
        <f aca="false">IF(R$28="nymex",0,VLOOKUP($A135,curvesettle,HLOOKUP(R$28,curvesettle,2,FALSE())))</f>
        <v>-0.017</v>
      </c>
      <c r="S135" s="131" t="n">
        <f aca="false">IF(ISNUMBER(VLOOKUP($A135,VOLCURVES,HLOOKUP(R$28,VOLCURVES,2,FALSE()),FALSE())),VLOOKUP($A135,VOLCURVES,HLOOKUP(R$28,VOLCURVES,2,FALSE()),FALSE()),1)</f>
        <v>1</v>
      </c>
      <c r="T135" s="136" t="n">
        <f aca="false">IF(R$28="NYMEX",$AG135,$AF135)</f>
        <v>-5966</v>
      </c>
      <c r="U135" s="153" t="e">
        <f aca="false">(($C135+V135)*$S135)+F$15</f>
        <v>#DIV/0!</v>
      </c>
      <c r="V135" s="4" t="e">
        <f aca="false">IF($F$16=1,VLOOKUP($A135,SkewTable,HLOOKUP(ROUND(W135-BK135,1),SkewTable,2,FALSE()),FALSE())/100,0)</f>
        <v>#DIV/0!</v>
      </c>
      <c r="W135" s="41" t="n">
        <f aca="false">IF($F$19=4,$BK135,$F$18)</f>
        <v>3.5</v>
      </c>
      <c r="X135" s="136"/>
      <c r="Y135" s="40" t="n">
        <f aca="false">IF(Y$28="nymex",0,VLOOKUP($A135,curvesettle,HLOOKUP(Y$28,curvesettle,2,FALSE())))</f>
        <v>-0.335</v>
      </c>
      <c r="Z135" s="131" t="n">
        <f aca="false">IF(ISNUMBER(VLOOKUP($A135,VOLCURVES,HLOOKUP(Y$28,VOLCURVES,2,FALSE()),FALSE())),VLOOKUP($A135,VOLCURVES,HLOOKUP(Y$28,VOLCURVES,2,FALSE()),FALSE()),1)</f>
        <v>1</v>
      </c>
      <c r="AA135" s="136" t="n">
        <f aca="false">IF(Y$28="NYMEX",$AG135,$AF135)</f>
        <v>-5966</v>
      </c>
      <c r="AB135" s="4" t="e">
        <f aca="false">(($C135+AC135)*$Z135)+H$15</f>
        <v>#DIV/0!</v>
      </c>
      <c r="AC135" s="4" t="e">
        <f aca="false">IF($H$16=1,VLOOKUP($A135,SkewTable,HLOOKUP(ROUND(AD135-BV135,1),SkewTable,2,FALSE()),FALSE())/100,0)</f>
        <v>#DIV/0!</v>
      </c>
      <c r="AD135" s="41" t="n">
        <f aca="false">IF($H$19=4,$BV135,$H$18)</f>
        <v>3</v>
      </c>
      <c r="AF135" s="136" t="n">
        <f aca="false">VLOOKUP($A135,expiration,2,FALSE())-$B$2</f>
        <v>-5966</v>
      </c>
      <c r="AG135" s="136" t="n">
        <f aca="false">VLOOKUP($A135,expiration,3,FALSE())-$B$2</f>
        <v>-5967</v>
      </c>
      <c r="AH135" s="4" t="n">
        <f aca="false">VLOOKUP($A135,STRADDLE,12,FALSE())</f>
        <v>0.070223089891212</v>
      </c>
      <c r="AI135" s="43" t="n">
        <f aca="false">A136-A135</f>
        <v>30</v>
      </c>
      <c r="AL135" s="136"/>
      <c r="AM135" s="9"/>
      <c r="AN135" s="9" t="n">
        <f aca="false">IF($A135&gt;=AO$25,IF($A135&lt;=AO$26,$AI135,0),0)</f>
        <v>0</v>
      </c>
      <c r="AO135" s="9" t="e">
        <f aca="false">AQ135/AN135</f>
        <v>#DIV/0!</v>
      </c>
      <c r="AP135" s="1" t="n">
        <f aca="false">AN135*($B135+B$13)</f>
        <v>0</v>
      </c>
      <c r="AQ135" s="33" t="n">
        <f aca="false">IF(ISNUMBER(((AP135/AN135)+B$14+$D135)*AN135),((AP135/AN135)+B$14+$D135)*AN135,0)</f>
        <v>0</v>
      </c>
      <c r="AR135" s="44" t="n">
        <f aca="false">IF(AN135=0,0,bsd(1,AS$27,AO135,$I135,$F135,$G135,$AH135,0.1))</f>
        <v>0</v>
      </c>
      <c r="AS135" s="44" t="n">
        <f aca="false">IF(AN135=0,0,bsd(2,AS$27,AO135,$I135,$F135,$G135,$AH135,0.1))</f>
        <v>0</v>
      </c>
      <c r="AT135" s="44" t="n">
        <f aca="false">IF(AN135=0,0,bsd(AS$28,AS$27,AO135,$I135,$F135,$G135,$AH135,0.1))</f>
        <v>0</v>
      </c>
      <c r="AU135" s="45" t="n">
        <f aca="false">AN135*AR135</f>
        <v>0</v>
      </c>
      <c r="AV135" s="45" t="n">
        <f aca="false">AN135*AS135</f>
        <v>0</v>
      </c>
      <c r="AW135" s="45" t="n">
        <f aca="false">AN135*AT135</f>
        <v>0</v>
      </c>
      <c r="AY135" s="9" t="n">
        <f aca="false">IF($A135&gt;=AZ$25,IF($A135&lt;=AZ$26,$AI135,0),0)</f>
        <v>0</v>
      </c>
      <c r="AZ135" s="9" t="e">
        <f aca="false">BB135/AY135</f>
        <v>#DIV/0!</v>
      </c>
      <c r="BA135" s="1" t="n">
        <f aca="false">AY135*($B135+D$13)</f>
        <v>0</v>
      </c>
      <c r="BB135" s="33" t="n">
        <f aca="false">IF(ISNUMBER(((BA135/AY135)+D$14+$K135)*AY135),((BA135/AY135)+D$14+$K135)*AY135,0)</f>
        <v>0</v>
      </c>
      <c r="BC135" s="44" t="n">
        <f aca="false">IF(AY135=0,0,bsd(1,BD$27,AZ135,$P135,$M135,$N135,$AH135,0.1))</f>
        <v>0</v>
      </c>
      <c r="BD135" s="44" t="n">
        <f aca="false">IF(AY135=0,0,bsd(2,BD$27,AZ135,$P135,$M135,$N135,$AH135,0.1))</f>
        <v>0</v>
      </c>
      <c r="BE135" s="44" t="n">
        <f aca="false">IF(AY135=0,0,bsd(BD$28,BD$27,AZ135,$P135,$M135,$N135,$AH135,0.1))</f>
        <v>0</v>
      </c>
      <c r="BF135" s="45" t="n">
        <f aca="false">AY135*BC135</f>
        <v>0</v>
      </c>
      <c r="BG135" s="45" t="n">
        <f aca="false">AY135*BD135</f>
        <v>0</v>
      </c>
      <c r="BH135" s="45" t="n">
        <f aca="false">AY135*BE135</f>
        <v>0</v>
      </c>
      <c r="BJ135" s="9" t="n">
        <f aca="false">IF($A135&gt;=BK$25,IF($A135&lt;=BK$26,$AI135,0),0)</f>
        <v>0</v>
      </c>
      <c r="BK135" s="9" t="e">
        <f aca="false">BM135/BJ135</f>
        <v>#DIV/0!</v>
      </c>
      <c r="BL135" s="1" t="n">
        <f aca="false">BJ135*($B135+F$13)</f>
        <v>0</v>
      </c>
      <c r="BM135" s="33" t="n">
        <f aca="false">IF(ISNUMBER(((BL135/BJ135)+F$14+$R135)*BJ135),((BL135/BJ135)+F$14+$R135)*BJ135,0)</f>
        <v>0</v>
      </c>
      <c r="BN135" s="44" t="n">
        <f aca="false">IF(BJ135=0,0,bsd(1,BO$27,BK135,$W135,$T135,$U135,$AH135,0.1))</f>
        <v>0</v>
      </c>
      <c r="BO135" s="44" t="n">
        <f aca="false">IF(BJ135=0,0,bsd(2,BO$27,BK135,$W135,$T135,$U135,$AH135,0.1))</f>
        <v>0</v>
      </c>
      <c r="BP135" s="44" t="n">
        <f aca="false">IF(BJ135=0,0,bsd(BO$28,BO$27,BK135,$W135,$T135,$U135,$AH135,0.1))</f>
        <v>0</v>
      </c>
      <c r="BQ135" s="45" t="n">
        <f aca="false">BJ135*BN135</f>
        <v>0</v>
      </c>
      <c r="BR135" s="45" t="n">
        <f aca="false">BJ135*BO135</f>
        <v>0</v>
      </c>
      <c r="BS135" s="45" t="n">
        <f aca="false">BJ135*BP135</f>
        <v>0</v>
      </c>
      <c r="BU135" s="9" t="n">
        <f aca="false">IF($A135&gt;=BV$25,IF($A135&lt;=BV$26,$AI135,0),0)</f>
        <v>0</v>
      </c>
      <c r="BV135" s="9" t="e">
        <f aca="false">BX135/BU135</f>
        <v>#DIV/0!</v>
      </c>
      <c r="BW135" s="1" t="n">
        <f aca="false">BU135*($B135+H$13)</f>
        <v>0</v>
      </c>
      <c r="BX135" s="33" t="n">
        <f aca="false">IF(ISNUMBER(((BW135/BU135)+H$14+$Y135)*BU135),((BW135/BU135)+H$14+$Y135)*BU135,0)</f>
        <v>0</v>
      </c>
      <c r="BY135" s="44" t="n">
        <f aca="false">IF(BU135=0,0,bsd(1,BZ$27,BV135,$AD135,$AA135,$AB135,$AH135,0.1))</f>
        <v>0</v>
      </c>
      <c r="BZ135" s="44" t="n">
        <f aca="false">IF(BU135=0,0,bsd(2,BZ$27,BV135,$AD135,$AA135,$AB135,$AH135,0.1))</f>
        <v>0</v>
      </c>
      <c r="CA135" s="44" t="n">
        <f aca="false">IF(BU135=0,0,bsd(BZ$28,BZ$27,BV135,$AD135,$AA135,$AB135,$AH135,0.1))</f>
        <v>0</v>
      </c>
      <c r="CB135" s="45" t="n">
        <f aca="false">BU135*BY135</f>
        <v>0</v>
      </c>
      <c r="CC135" s="45" t="n">
        <f aca="false">BU135*BZ135</f>
        <v>0</v>
      </c>
      <c r="CD135" s="45" t="n">
        <f aca="false">BU135*CA135</f>
        <v>0</v>
      </c>
    </row>
    <row r="136" customFormat="false" ht="12.75" hidden="false" customHeight="false" outlineLevel="0" collapsed="false">
      <c r="A136" s="48" t="n">
        <f aca="false">DATE(YEAR(A135),MONTH(A135)+1,1)</f>
        <v>39995</v>
      </c>
      <c r="B136" s="40" t="n">
        <f aca="false">VLOOKUP(A136,STRADDLE,5,FALSE())</f>
        <v>3.122</v>
      </c>
      <c r="C136" s="4" t="n">
        <f aca="false">VLOOKUP(A136,STRADDLE,8,FALSE())</f>
        <v>0.17</v>
      </c>
      <c r="D136" s="40" t="n">
        <f aca="false">IF(D$28="nymex",0,VLOOKUP($A136,curvesettle,HLOOKUP(D$28,curvesettle,2,FALSE())))</f>
        <v>0.43</v>
      </c>
      <c r="E136" s="131" t="n">
        <f aca="false">IF(ISNUMBER(VLOOKUP($A136,VOLCURVES,HLOOKUP(D$28,VOLCURVES,2,FALSE()),FALSE())),VLOOKUP($A136,VOLCURVES,HLOOKUP(D$28,VOLCURVES,2,FALSE()),FALSE()),1)</f>
        <v>0.98</v>
      </c>
      <c r="F136" s="136" t="n">
        <f aca="false">IF(D$28="NYMEX",$AG136,$AF136)</f>
        <v>-5936</v>
      </c>
      <c r="G136" s="4" t="e">
        <f aca="false">(($C136+H136)*$E136)+B$15</f>
        <v>#DIV/0!</v>
      </c>
      <c r="H136" s="4" t="e">
        <f aca="false">IF($B$16=1,VLOOKUP($A136,SkewTable,HLOOKUP(ROUND(I136-AO136,1),SkewTable,2,FALSE()),FALSE())/100,0)</f>
        <v>#DIV/0!</v>
      </c>
      <c r="I136" s="41" t="n">
        <f aca="false">IF($B$19=4,$AO136,$B$18)</f>
        <v>12</v>
      </c>
      <c r="K136" s="40" t="n">
        <f aca="false">IF(K$28="nymex",0,VLOOKUP($A136,curvesettle,HLOOKUP(K$28,curvesettle,2,FALSE())))</f>
        <v>-0.017</v>
      </c>
      <c r="L136" s="131" t="n">
        <f aca="false">IF(ISNUMBER(VLOOKUP($A136,VOLCURVES,HLOOKUP(K$28,VOLCURVES,2,FALSE()),FALSE())),VLOOKUP($A136,VOLCURVES,HLOOKUP(K$28,VOLCURVES,2,FALSE()),FALSE()),1)</f>
        <v>1</v>
      </c>
      <c r="M136" s="136" t="n">
        <f aca="false">IF(K$28="NYMEX",$AG136,$AF136)</f>
        <v>-5936</v>
      </c>
      <c r="N136" s="153" t="e">
        <f aca="false">(($C136+O136)*$L136)+D$15</f>
        <v>#DIV/0!</v>
      </c>
      <c r="O136" s="4" t="e">
        <f aca="false">IF($D$16=1,VLOOKUP($A136,SkewTable,HLOOKUP(ROUND(P136-AZ136,1),SkewTable,2,FALSE()),FALSE())/100,0)</f>
        <v>#DIV/0!</v>
      </c>
      <c r="P136" s="41" t="n">
        <f aca="false">IF($D$19=4,$AZ136,$D$18)</f>
        <v>3.75</v>
      </c>
      <c r="R136" s="40" t="n">
        <f aca="false">IF(R$28="nymex",0,VLOOKUP($A136,curvesettle,HLOOKUP(R$28,curvesettle,2,FALSE())))</f>
        <v>-0.017</v>
      </c>
      <c r="S136" s="131" t="n">
        <f aca="false">IF(ISNUMBER(VLOOKUP($A136,VOLCURVES,HLOOKUP(R$28,VOLCURVES,2,FALSE()),FALSE())),VLOOKUP($A136,VOLCURVES,HLOOKUP(R$28,VOLCURVES,2,FALSE()),FALSE()),1)</f>
        <v>1</v>
      </c>
      <c r="T136" s="136" t="n">
        <f aca="false">IF(R$28="NYMEX",$AG136,$AF136)</f>
        <v>-5936</v>
      </c>
      <c r="U136" s="153" t="e">
        <f aca="false">(($C136+V136)*$S136)+F$15</f>
        <v>#DIV/0!</v>
      </c>
      <c r="V136" s="4" t="e">
        <f aca="false">IF($F$16=1,VLOOKUP($A136,SkewTable,HLOOKUP(ROUND(W136-BK136,1),SkewTable,2,FALSE()),FALSE())/100,0)</f>
        <v>#DIV/0!</v>
      </c>
      <c r="W136" s="41" t="n">
        <f aca="false">IF($F$19=4,$BK136,$F$18)</f>
        <v>3.5</v>
      </c>
      <c r="X136" s="136"/>
      <c r="Y136" s="40" t="n">
        <f aca="false">IF(Y$28="nymex",0,VLOOKUP($A136,curvesettle,HLOOKUP(Y$28,curvesettle,2,FALSE())))</f>
        <v>-0.335</v>
      </c>
      <c r="Z136" s="131" t="n">
        <f aca="false">IF(ISNUMBER(VLOOKUP($A136,VOLCURVES,HLOOKUP(Y$28,VOLCURVES,2,FALSE()),FALSE())),VLOOKUP($A136,VOLCURVES,HLOOKUP(Y$28,VOLCURVES,2,FALSE()),FALSE()),1)</f>
        <v>1</v>
      </c>
      <c r="AA136" s="136" t="n">
        <f aca="false">IF(Y$28="NYMEX",$AG136,$AF136)</f>
        <v>-5936</v>
      </c>
      <c r="AB136" s="4" t="e">
        <f aca="false">(($C136+AC136)*$Z136)+H$15</f>
        <v>#DIV/0!</v>
      </c>
      <c r="AC136" s="4" t="e">
        <f aca="false">IF($H$16=1,VLOOKUP($A136,SkewTable,HLOOKUP(ROUND(AD136-BV136,1),SkewTable,2,FALSE()),FALSE())/100,0)</f>
        <v>#DIV/0!</v>
      </c>
      <c r="AD136" s="41" t="n">
        <f aca="false">IF($H$19=4,$BV136,$H$18)</f>
        <v>3</v>
      </c>
      <c r="AF136" s="136" t="n">
        <f aca="false">VLOOKUP($A136,expiration,2,FALSE())-$B$2</f>
        <v>-5936</v>
      </c>
      <c r="AG136" s="136" t="n">
        <f aca="false">VLOOKUP($A136,expiration,3,FALSE())-$B$2</f>
        <v>-5937</v>
      </c>
      <c r="AH136" s="4" t="n">
        <f aca="false">VLOOKUP($A136,STRADDLE,12,FALSE())</f>
        <v>0.07025927833778</v>
      </c>
      <c r="AI136" s="43" t="n">
        <f aca="false">A137-A136</f>
        <v>31</v>
      </c>
      <c r="AL136" s="136"/>
      <c r="AM136" s="9"/>
      <c r="AN136" s="9" t="n">
        <f aca="false">IF($A136&gt;=AO$25,IF($A136&lt;=AO$26,$AI136,0),0)</f>
        <v>0</v>
      </c>
      <c r="AO136" s="9" t="e">
        <f aca="false">AQ136/AN136</f>
        <v>#DIV/0!</v>
      </c>
      <c r="AP136" s="1" t="n">
        <f aca="false">AN136*($B136+B$13)</f>
        <v>0</v>
      </c>
      <c r="AQ136" s="33" t="n">
        <f aca="false">IF(ISNUMBER(((AP136/AN136)+B$14+$D136)*AN136),((AP136/AN136)+B$14+$D136)*AN136,0)</f>
        <v>0</v>
      </c>
      <c r="AR136" s="44" t="n">
        <f aca="false">IF(AN136=0,0,bsd(1,AS$27,AO136,$I136,$F136,$G136,$AH136,0.1))</f>
        <v>0</v>
      </c>
      <c r="AS136" s="44" t="n">
        <f aca="false">IF(AN136=0,0,bsd(2,AS$27,AO136,$I136,$F136,$G136,$AH136,0.1))</f>
        <v>0</v>
      </c>
      <c r="AT136" s="44" t="n">
        <f aca="false">IF(AN136=0,0,bsd(AS$28,AS$27,AO136,$I136,$F136,$G136,$AH136,0.1))</f>
        <v>0</v>
      </c>
      <c r="AU136" s="45" t="n">
        <f aca="false">AN136*AR136</f>
        <v>0</v>
      </c>
      <c r="AV136" s="45" t="n">
        <f aca="false">AN136*AS136</f>
        <v>0</v>
      </c>
      <c r="AW136" s="45" t="n">
        <f aca="false">AN136*AT136</f>
        <v>0</v>
      </c>
      <c r="AY136" s="9" t="n">
        <f aca="false">IF($A136&gt;=AZ$25,IF($A136&lt;=AZ$26,$AI136,0),0)</f>
        <v>0</v>
      </c>
      <c r="AZ136" s="9" t="e">
        <f aca="false">BB136/AY136</f>
        <v>#DIV/0!</v>
      </c>
      <c r="BA136" s="1" t="n">
        <f aca="false">AY136*($B136+D$13)</f>
        <v>0</v>
      </c>
      <c r="BB136" s="33" t="n">
        <f aca="false">IF(ISNUMBER(((BA136/AY136)+D$14+$K136)*AY136),((BA136/AY136)+D$14+$K136)*AY136,0)</f>
        <v>0</v>
      </c>
      <c r="BC136" s="44" t="n">
        <f aca="false">IF(AY136=0,0,bsd(1,BD$27,AZ136,$P136,$M136,$N136,$AH136,0.1))</f>
        <v>0</v>
      </c>
      <c r="BD136" s="44" t="n">
        <f aca="false">IF(AY136=0,0,bsd(2,BD$27,AZ136,$P136,$M136,$N136,$AH136,0.1))</f>
        <v>0</v>
      </c>
      <c r="BE136" s="44" t="n">
        <f aca="false">IF(AY136=0,0,bsd(BD$28,BD$27,AZ136,$P136,$M136,$N136,$AH136,0.1))</f>
        <v>0</v>
      </c>
      <c r="BF136" s="45" t="n">
        <f aca="false">AY136*BC136</f>
        <v>0</v>
      </c>
      <c r="BG136" s="45" t="n">
        <f aca="false">AY136*BD136</f>
        <v>0</v>
      </c>
      <c r="BH136" s="45" t="n">
        <f aca="false">AY136*BE136</f>
        <v>0</v>
      </c>
      <c r="BJ136" s="9" t="n">
        <f aca="false">IF($A136&gt;=BK$25,IF($A136&lt;=BK$26,$AI136,0),0)</f>
        <v>0</v>
      </c>
      <c r="BK136" s="9" t="e">
        <f aca="false">BM136/BJ136</f>
        <v>#DIV/0!</v>
      </c>
      <c r="BL136" s="1" t="n">
        <f aca="false">BJ136*($B136+F$13)</f>
        <v>0</v>
      </c>
      <c r="BM136" s="33" t="n">
        <f aca="false">IF(ISNUMBER(((BL136/BJ136)+F$14+$R136)*BJ136),((BL136/BJ136)+F$14+$R136)*BJ136,0)</f>
        <v>0</v>
      </c>
      <c r="BN136" s="44" t="n">
        <f aca="false">IF(BJ136=0,0,bsd(1,BO$27,BK136,$W136,$T136,$U136,$AH136,0.1))</f>
        <v>0</v>
      </c>
      <c r="BO136" s="44" t="n">
        <f aca="false">IF(BJ136=0,0,bsd(2,BO$27,BK136,$W136,$T136,$U136,$AH136,0.1))</f>
        <v>0</v>
      </c>
      <c r="BP136" s="44" t="n">
        <f aca="false">IF(BJ136=0,0,bsd(BO$28,BO$27,BK136,$W136,$T136,$U136,$AH136,0.1))</f>
        <v>0</v>
      </c>
      <c r="BQ136" s="45" t="n">
        <f aca="false">BJ136*BN136</f>
        <v>0</v>
      </c>
      <c r="BR136" s="45" t="n">
        <f aca="false">BJ136*BO136</f>
        <v>0</v>
      </c>
      <c r="BS136" s="45" t="n">
        <f aca="false">BJ136*BP136</f>
        <v>0</v>
      </c>
      <c r="BU136" s="9" t="n">
        <f aca="false">IF($A136&gt;=BV$25,IF($A136&lt;=BV$26,$AI136,0),0)</f>
        <v>0</v>
      </c>
      <c r="BV136" s="9" t="e">
        <f aca="false">BX136/BU136</f>
        <v>#DIV/0!</v>
      </c>
      <c r="BW136" s="1" t="n">
        <f aca="false">BU136*($B136+H$13)</f>
        <v>0</v>
      </c>
      <c r="BX136" s="33" t="n">
        <f aca="false">IF(ISNUMBER(((BW136/BU136)+H$14+$Y136)*BU136),((BW136/BU136)+H$14+$Y136)*BU136,0)</f>
        <v>0</v>
      </c>
      <c r="BY136" s="44" t="n">
        <f aca="false">IF(BU136=0,0,bsd(1,BZ$27,BV136,$AD136,$AA136,$AB136,$AH136,0.1))</f>
        <v>0</v>
      </c>
      <c r="BZ136" s="44" t="n">
        <f aca="false">IF(BU136=0,0,bsd(2,BZ$27,BV136,$AD136,$AA136,$AB136,$AH136,0.1))</f>
        <v>0</v>
      </c>
      <c r="CA136" s="44" t="n">
        <f aca="false">IF(BU136=0,0,bsd(BZ$28,BZ$27,BV136,$AD136,$AA136,$AB136,$AH136,0.1))</f>
        <v>0</v>
      </c>
      <c r="CB136" s="45" t="n">
        <f aca="false">BU136*BY136</f>
        <v>0</v>
      </c>
      <c r="CC136" s="45" t="n">
        <f aca="false">BU136*BZ136</f>
        <v>0</v>
      </c>
      <c r="CD136" s="45" t="n">
        <f aca="false">BU136*CA136</f>
        <v>0</v>
      </c>
    </row>
    <row r="137" customFormat="false" ht="12.75" hidden="false" customHeight="false" outlineLevel="0" collapsed="false">
      <c r="A137" s="48" t="n">
        <f aca="false">DATE(YEAR(A136),MONTH(A136)+1,1)</f>
        <v>40026</v>
      </c>
      <c r="B137" s="40" t="n">
        <f aca="false">VLOOKUP(A137,STRADDLE,5,FALSE())</f>
        <v>3.129</v>
      </c>
      <c r="C137" s="4" t="n">
        <f aca="false">VLOOKUP(A137,STRADDLE,8,FALSE())</f>
        <v>0.17</v>
      </c>
      <c r="D137" s="40" t="n">
        <f aca="false">IF(D$28="nymex",0,VLOOKUP($A137,curvesettle,HLOOKUP(D$28,curvesettle,2,FALSE())))</f>
        <v>0.495</v>
      </c>
      <c r="E137" s="131" t="n">
        <f aca="false">IF(ISNUMBER(VLOOKUP($A137,VOLCURVES,HLOOKUP(D$28,VOLCURVES,2,FALSE()),FALSE())),VLOOKUP($A137,VOLCURVES,HLOOKUP(D$28,VOLCURVES,2,FALSE()),FALSE()),1)</f>
        <v>0.98</v>
      </c>
      <c r="F137" s="136" t="n">
        <f aca="false">IF(D$28="NYMEX",$AG137,$AF137)</f>
        <v>-5903</v>
      </c>
      <c r="G137" s="4" t="e">
        <f aca="false">(($C137+H137)*$E137)+B$15</f>
        <v>#DIV/0!</v>
      </c>
      <c r="H137" s="4" t="e">
        <f aca="false">IF($B$16=1,VLOOKUP($A137,SkewTable,HLOOKUP(ROUND(I137-AO137,1),SkewTable,2,FALSE()),FALSE())/100,0)</f>
        <v>#DIV/0!</v>
      </c>
      <c r="I137" s="41" t="n">
        <f aca="false">IF($B$19=4,$AO137,$B$18)</f>
        <v>12</v>
      </c>
      <c r="K137" s="40" t="n">
        <f aca="false">IF(K$28="nymex",0,VLOOKUP($A137,curvesettle,HLOOKUP(K$28,curvesettle,2,FALSE())))</f>
        <v>-0.017</v>
      </c>
      <c r="L137" s="131" t="n">
        <f aca="false">IF(ISNUMBER(VLOOKUP($A137,VOLCURVES,HLOOKUP(K$28,VOLCURVES,2,FALSE()),FALSE())),VLOOKUP($A137,VOLCURVES,HLOOKUP(K$28,VOLCURVES,2,FALSE()),FALSE()),1)</f>
        <v>1</v>
      </c>
      <c r="M137" s="136" t="n">
        <f aca="false">IF(K$28="NYMEX",$AG137,$AF137)</f>
        <v>-5903</v>
      </c>
      <c r="N137" s="153" t="e">
        <f aca="false">(($C137+O137)*$L137)+D$15</f>
        <v>#DIV/0!</v>
      </c>
      <c r="O137" s="4" t="e">
        <f aca="false">IF($D$16=1,VLOOKUP($A137,SkewTable,HLOOKUP(ROUND(P137-AZ137,1),SkewTable,2,FALSE()),FALSE())/100,0)</f>
        <v>#DIV/0!</v>
      </c>
      <c r="P137" s="41" t="n">
        <f aca="false">IF($D$19=4,$AZ137,$D$18)</f>
        <v>3.75</v>
      </c>
      <c r="R137" s="40" t="n">
        <f aca="false">IF(R$28="nymex",0,VLOOKUP($A137,curvesettle,HLOOKUP(R$28,curvesettle,2,FALSE())))</f>
        <v>-0.017</v>
      </c>
      <c r="S137" s="131" t="n">
        <f aca="false">IF(ISNUMBER(VLOOKUP($A137,VOLCURVES,HLOOKUP(R$28,VOLCURVES,2,FALSE()),FALSE())),VLOOKUP($A137,VOLCURVES,HLOOKUP(R$28,VOLCURVES,2,FALSE()),FALSE()),1)</f>
        <v>1</v>
      </c>
      <c r="T137" s="136" t="n">
        <f aca="false">IF(R$28="NYMEX",$AG137,$AF137)</f>
        <v>-5903</v>
      </c>
      <c r="U137" s="153" t="e">
        <f aca="false">(($C137+V137)*$S137)+F$15</f>
        <v>#DIV/0!</v>
      </c>
      <c r="V137" s="4" t="e">
        <f aca="false">IF($F$16=1,VLOOKUP($A137,SkewTable,HLOOKUP(ROUND(W137-BK137,1),SkewTable,2,FALSE()),FALSE())/100,0)</f>
        <v>#DIV/0!</v>
      </c>
      <c r="W137" s="41" t="n">
        <f aca="false">IF($F$19=4,$BK137,$F$18)</f>
        <v>3.5</v>
      </c>
      <c r="X137" s="136"/>
      <c r="Y137" s="40" t="n">
        <f aca="false">IF(Y$28="nymex",0,VLOOKUP($A137,curvesettle,HLOOKUP(Y$28,curvesettle,2,FALSE())))</f>
        <v>-0.335</v>
      </c>
      <c r="Z137" s="131" t="n">
        <f aca="false">IF(ISNUMBER(VLOOKUP($A137,VOLCURVES,HLOOKUP(Y$28,VOLCURVES,2,FALSE()),FALSE())),VLOOKUP($A137,VOLCURVES,HLOOKUP(Y$28,VOLCURVES,2,FALSE()),FALSE()),1)</f>
        <v>1</v>
      </c>
      <c r="AA137" s="136" t="n">
        <f aca="false">IF(Y$28="NYMEX",$AG137,$AF137)</f>
        <v>-5903</v>
      </c>
      <c r="AB137" s="4" t="e">
        <f aca="false">(($C137+AC137)*$Z137)+H$15</f>
        <v>#DIV/0!</v>
      </c>
      <c r="AC137" s="4" t="e">
        <f aca="false">IF($H$16=1,VLOOKUP($A137,SkewTable,HLOOKUP(ROUND(AD137-BV137,1),SkewTable,2,FALSE()),FALSE())/100,0)</f>
        <v>#DIV/0!</v>
      </c>
      <c r="AD137" s="41" t="n">
        <f aca="false">IF($H$19=4,$BV137,$H$18)</f>
        <v>3</v>
      </c>
      <c r="AF137" s="136" t="n">
        <f aca="false">VLOOKUP($A137,expiration,2,FALSE())-$B$2</f>
        <v>-5903</v>
      </c>
      <c r="AG137" s="136" t="n">
        <f aca="false">VLOOKUP($A137,expiration,3,FALSE())-$B$2</f>
        <v>-5904</v>
      </c>
      <c r="AH137" s="4" t="n">
        <f aca="false">VLOOKUP($A137,STRADDLE,12,FALSE())</f>
        <v>0.070296673066354</v>
      </c>
      <c r="AI137" s="43" t="n">
        <f aca="false">A138-A137</f>
        <v>31</v>
      </c>
      <c r="AL137" s="136"/>
      <c r="AM137" s="9"/>
      <c r="AN137" s="9" t="n">
        <f aca="false">IF($A137&gt;=AO$25,IF($A137&lt;=AO$26,$AI137,0),0)</f>
        <v>0</v>
      </c>
      <c r="AO137" s="9" t="e">
        <f aca="false">AQ137/AN137</f>
        <v>#DIV/0!</v>
      </c>
      <c r="AP137" s="1" t="n">
        <f aca="false">AN137*($B137+B$13)</f>
        <v>0</v>
      </c>
      <c r="AQ137" s="33" t="n">
        <f aca="false">IF(ISNUMBER(((AP137/AN137)+B$14+$D137)*AN137),((AP137/AN137)+B$14+$D137)*AN137,0)</f>
        <v>0</v>
      </c>
      <c r="AR137" s="44" t="n">
        <f aca="false">IF(AN137=0,0,bsd(1,AS$27,AO137,$I137,$F137,$G137,$AH137,0.1))</f>
        <v>0</v>
      </c>
      <c r="AS137" s="44" t="n">
        <f aca="false">IF(AN137=0,0,bsd(2,AS$27,AO137,$I137,$F137,$G137,$AH137,0.1))</f>
        <v>0</v>
      </c>
      <c r="AT137" s="44" t="n">
        <f aca="false">IF(AN137=0,0,bsd(AS$28,AS$27,AO137,$I137,$F137,$G137,$AH137,0.1))</f>
        <v>0</v>
      </c>
      <c r="AU137" s="45" t="n">
        <f aca="false">AN137*AR137</f>
        <v>0</v>
      </c>
      <c r="AV137" s="45" t="n">
        <f aca="false">AN137*AS137</f>
        <v>0</v>
      </c>
      <c r="AW137" s="45" t="n">
        <f aca="false">AN137*AT137</f>
        <v>0</v>
      </c>
      <c r="AY137" s="9" t="n">
        <f aca="false">IF($A137&gt;=AZ$25,IF($A137&lt;=AZ$26,$AI137,0),0)</f>
        <v>0</v>
      </c>
      <c r="AZ137" s="9" t="e">
        <f aca="false">BB137/AY137</f>
        <v>#DIV/0!</v>
      </c>
      <c r="BA137" s="1" t="n">
        <f aca="false">AY137*($B137+D$13)</f>
        <v>0</v>
      </c>
      <c r="BB137" s="33" t="n">
        <f aca="false">IF(ISNUMBER(((BA137/AY137)+D$14+$K137)*AY137),((BA137/AY137)+D$14+$K137)*AY137,0)</f>
        <v>0</v>
      </c>
      <c r="BC137" s="44" t="n">
        <f aca="false">IF(AY137=0,0,bsd(1,BD$27,AZ137,$P137,$M137,$N137,$AH137,0.1))</f>
        <v>0</v>
      </c>
      <c r="BD137" s="44" t="n">
        <f aca="false">IF(AY137=0,0,bsd(2,BD$27,AZ137,$P137,$M137,$N137,$AH137,0.1))</f>
        <v>0</v>
      </c>
      <c r="BE137" s="44" t="n">
        <f aca="false">IF(AY137=0,0,bsd(BD$28,BD$27,AZ137,$P137,$M137,$N137,$AH137,0.1))</f>
        <v>0</v>
      </c>
      <c r="BF137" s="45" t="n">
        <f aca="false">AY137*BC137</f>
        <v>0</v>
      </c>
      <c r="BG137" s="45" t="n">
        <f aca="false">AY137*BD137</f>
        <v>0</v>
      </c>
      <c r="BH137" s="45" t="n">
        <f aca="false">AY137*BE137</f>
        <v>0</v>
      </c>
      <c r="BJ137" s="9" t="n">
        <f aca="false">IF($A137&gt;=BK$25,IF($A137&lt;=BK$26,$AI137,0),0)</f>
        <v>0</v>
      </c>
      <c r="BK137" s="9" t="e">
        <f aca="false">BM137/BJ137</f>
        <v>#DIV/0!</v>
      </c>
      <c r="BL137" s="1" t="n">
        <f aca="false">BJ137*($B137+F$13)</f>
        <v>0</v>
      </c>
      <c r="BM137" s="33" t="n">
        <f aca="false">IF(ISNUMBER(((BL137/BJ137)+F$14+$R137)*BJ137),((BL137/BJ137)+F$14+$R137)*BJ137,0)</f>
        <v>0</v>
      </c>
      <c r="BN137" s="44" t="n">
        <f aca="false">IF(BJ137=0,0,bsd(1,BO$27,BK137,$W137,$T137,$U137,$AH137,0.1))</f>
        <v>0</v>
      </c>
      <c r="BO137" s="44" t="n">
        <f aca="false">IF(BJ137=0,0,bsd(2,BO$27,BK137,$W137,$T137,$U137,$AH137,0.1))</f>
        <v>0</v>
      </c>
      <c r="BP137" s="44" t="n">
        <f aca="false">IF(BJ137=0,0,bsd(BO$28,BO$27,BK137,$W137,$T137,$U137,$AH137,0.1))</f>
        <v>0</v>
      </c>
      <c r="BQ137" s="45" t="n">
        <f aca="false">BJ137*BN137</f>
        <v>0</v>
      </c>
      <c r="BR137" s="45" t="n">
        <f aca="false">BJ137*BO137</f>
        <v>0</v>
      </c>
      <c r="BS137" s="45" t="n">
        <f aca="false">BJ137*BP137</f>
        <v>0</v>
      </c>
      <c r="BU137" s="9" t="n">
        <f aca="false">IF($A137&gt;=BV$25,IF($A137&lt;=BV$26,$AI137,0),0)</f>
        <v>0</v>
      </c>
      <c r="BV137" s="9" t="e">
        <f aca="false">BX137/BU137</f>
        <v>#DIV/0!</v>
      </c>
      <c r="BW137" s="1" t="n">
        <f aca="false">BU137*($B137+H$13)</f>
        <v>0</v>
      </c>
      <c r="BX137" s="33" t="n">
        <f aca="false">IF(ISNUMBER(((BW137/BU137)+H$14+$Y137)*BU137),((BW137/BU137)+H$14+$Y137)*BU137,0)</f>
        <v>0</v>
      </c>
      <c r="BY137" s="44" t="n">
        <f aca="false">IF(BU137=0,0,bsd(1,BZ$27,BV137,$AD137,$AA137,$AB137,$AH137,0.1))</f>
        <v>0</v>
      </c>
      <c r="BZ137" s="44" t="n">
        <f aca="false">IF(BU137=0,0,bsd(2,BZ$27,BV137,$AD137,$AA137,$AB137,$AH137,0.1))</f>
        <v>0</v>
      </c>
      <c r="CA137" s="44" t="n">
        <f aca="false">IF(BU137=0,0,bsd(BZ$28,BZ$27,BV137,$AD137,$AA137,$AB137,$AH137,0.1))</f>
        <v>0</v>
      </c>
      <c r="CB137" s="45" t="n">
        <f aca="false">BU137*BY137</f>
        <v>0</v>
      </c>
      <c r="CC137" s="45" t="n">
        <f aca="false">BU137*BZ137</f>
        <v>0</v>
      </c>
      <c r="CD137" s="45" t="n">
        <f aca="false">BU137*CA137</f>
        <v>0</v>
      </c>
    </row>
    <row r="138" customFormat="false" ht="12.75" hidden="false" customHeight="false" outlineLevel="0" collapsed="false">
      <c r="A138" s="48" t="n">
        <f aca="false">DATE(YEAR(A137),MONTH(A137)+1,1)</f>
        <v>40057</v>
      </c>
      <c r="B138" s="40" t="n">
        <f aca="false">VLOOKUP(A138,STRADDLE,5,FALSE())</f>
        <v>3.113</v>
      </c>
      <c r="C138" s="4" t="n">
        <f aca="false">VLOOKUP(A138,STRADDLE,8,FALSE())</f>
        <v>0.17</v>
      </c>
      <c r="D138" s="40" t="n">
        <f aca="false">IF(D$28="nymex",0,VLOOKUP($A138,curvesettle,HLOOKUP(D$28,curvesettle,2,FALSE())))</f>
        <v>0.395</v>
      </c>
      <c r="E138" s="131" t="n">
        <f aca="false">IF(ISNUMBER(VLOOKUP($A138,VOLCURVES,HLOOKUP(D$28,VOLCURVES,2,FALSE()),FALSE())),VLOOKUP($A138,VOLCURVES,HLOOKUP(D$28,VOLCURVES,2,FALSE()),FALSE()),1)</f>
        <v>0.98</v>
      </c>
      <c r="F138" s="136" t="n">
        <f aca="false">IF(D$28="NYMEX",$AG138,$AF138)</f>
        <v>-5874</v>
      </c>
      <c r="G138" s="4" t="e">
        <f aca="false">(($C138+H138)*$E138)+B$15</f>
        <v>#DIV/0!</v>
      </c>
      <c r="H138" s="4" t="e">
        <f aca="false">IF($B$16=1,VLOOKUP($A138,SkewTable,HLOOKUP(ROUND(I138-AO138,1),SkewTable,2,FALSE()),FALSE())/100,0)</f>
        <v>#DIV/0!</v>
      </c>
      <c r="I138" s="41" t="n">
        <f aca="false">IF($B$19=4,$AO138,$B$18)</f>
        <v>12</v>
      </c>
      <c r="K138" s="40" t="n">
        <f aca="false">IF(K$28="nymex",0,VLOOKUP($A138,curvesettle,HLOOKUP(K$28,curvesettle,2,FALSE())))</f>
        <v>-0.017</v>
      </c>
      <c r="L138" s="131" t="n">
        <f aca="false">IF(ISNUMBER(VLOOKUP($A138,VOLCURVES,HLOOKUP(K$28,VOLCURVES,2,FALSE()),FALSE())),VLOOKUP($A138,VOLCURVES,HLOOKUP(K$28,VOLCURVES,2,FALSE()),FALSE()),1)</f>
        <v>1</v>
      </c>
      <c r="M138" s="136" t="n">
        <f aca="false">IF(K$28="NYMEX",$AG138,$AF138)</f>
        <v>-5874</v>
      </c>
      <c r="N138" s="153" t="e">
        <f aca="false">(($C138+O138)*$L138)+D$15</f>
        <v>#DIV/0!</v>
      </c>
      <c r="O138" s="4" t="e">
        <f aca="false">IF($D$16=1,VLOOKUP($A138,SkewTable,HLOOKUP(ROUND(P138-AZ138,1),SkewTable,2,FALSE()),FALSE())/100,0)</f>
        <v>#DIV/0!</v>
      </c>
      <c r="P138" s="41" t="n">
        <f aca="false">IF($D$19=4,$AZ138,$D$18)</f>
        <v>3.75</v>
      </c>
      <c r="R138" s="40" t="n">
        <f aca="false">IF(R$28="nymex",0,VLOOKUP($A138,curvesettle,HLOOKUP(R$28,curvesettle,2,FALSE())))</f>
        <v>-0.017</v>
      </c>
      <c r="S138" s="131" t="n">
        <f aca="false">IF(ISNUMBER(VLOOKUP($A138,VOLCURVES,HLOOKUP(R$28,VOLCURVES,2,FALSE()),FALSE())),VLOOKUP($A138,VOLCURVES,HLOOKUP(R$28,VOLCURVES,2,FALSE()),FALSE()),1)</f>
        <v>1</v>
      </c>
      <c r="T138" s="136" t="n">
        <f aca="false">IF(R$28="NYMEX",$AG138,$AF138)</f>
        <v>-5874</v>
      </c>
      <c r="U138" s="153" t="e">
        <f aca="false">(($C138+V138)*$S138)+F$15</f>
        <v>#DIV/0!</v>
      </c>
      <c r="V138" s="4" t="e">
        <f aca="false">IF($F$16=1,VLOOKUP($A138,SkewTable,HLOOKUP(ROUND(W138-BK138,1),SkewTable,2,FALSE()),FALSE())/100,0)</f>
        <v>#DIV/0!</v>
      </c>
      <c r="W138" s="41" t="n">
        <f aca="false">IF($F$19=4,$BK138,$F$18)</f>
        <v>3.5</v>
      </c>
      <c r="X138" s="136"/>
      <c r="Y138" s="40" t="n">
        <f aca="false">IF(Y$28="nymex",0,VLOOKUP($A138,curvesettle,HLOOKUP(Y$28,curvesettle,2,FALSE())))</f>
        <v>-0.335</v>
      </c>
      <c r="Z138" s="131" t="n">
        <f aca="false">IF(ISNUMBER(VLOOKUP($A138,VOLCURVES,HLOOKUP(Y$28,VOLCURVES,2,FALSE()),FALSE())),VLOOKUP($A138,VOLCURVES,HLOOKUP(Y$28,VOLCURVES,2,FALSE()),FALSE()),1)</f>
        <v>1</v>
      </c>
      <c r="AA138" s="136" t="n">
        <f aca="false">IF(Y$28="NYMEX",$AG138,$AF138)</f>
        <v>-5874</v>
      </c>
      <c r="AB138" s="4" t="e">
        <f aca="false">(($C138+AC138)*$Z138)+H$15</f>
        <v>#DIV/0!</v>
      </c>
      <c r="AC138" s="4" t="e">
        <f aca="false">IF($H$16=1,VLOOKUP($A138,SkewTable,HLOOKUP(ROUND(AD138-BV138,1),SkewTable,2,FALSE()),FALSE())/100,0)</f>
        <v>#DIV/0!</v>
      </c>
      <c r="AD138" s="41" t="n">
        <f aca="false">IF($H$19=4,$BV138,$H$18)</f>
        <v>3</v>
      </c>
      <c r="AF138" s="136" t="n">
        <f aca="false">VLOOKUP($A138,expiration,2,FALSE())-$B$2</f>
        <v>-5874</v>
      </c>
      <c r="AG138" s="136" t="n">
        <f aca="false">VLOOKUP($A138,expiration,3,FALSE())-$B$2</f>
        <v>-5875</v>
      </c>
      <c r="AH138" s="4" t="n">
        <f aca="false">VLOOKUP($A138,STRADDLE,12,FALSE())</f>
        <v>0.070334067795391</v>
      </c>
      <c r="AI138" s="43" t="n">
        <f aca="false">A139-A138</f>
        <v>30</v>
      </c>
      <c r="AL138" s="136"/>
      <c r="AM138" s="9"/>
      <c r="AN138" s="9" t="n">
        <f aca="false">IF($A138&gt;=AO$25,IF($A138&lt;=AO$26,$AI138,0),0)</f>
        <v>0</v>
      </c>
      <c r="AO138" s="9" t="e">
        <f aca="false">AQ138/AN138</f>
        <v>#DIV/0!</v>
      </c>
      <c r="AP138" s="1" t="n">
        <f aca="false">AN138*($B138+B$13)</f>
        <v>0</v>
      </c>
      <c r="AQ138" s="33" t="n">
        <f aca="false">IF(ISNUMBER(((AP138/AN138)+B$14+$D138)*AN138),((AP138/AN138)+B$14+$D138)*AN138,0)</f>
        <v>0</v>
      </c>
      <c r="AR138" s="44" t="n">
        <f aca="false">IF(AN138=0,0,bsd(1,AS$27,AO138,$I138,$F138,$G138,$AH138,0.1))</f>
        <v>0</v>
      </c>
      <c r="AS138" s="44" t="n">
        <f aca="false">IF(AN138=0,0,bsd(2,AS$27,AO138,$I138,$F138,$G138,$AH138,0.1))</f>
        <v>0</v>
      </c>
      <c r="AT138" s="44" t="n">
        <f aca="false">IF(AN138=0,0,bsd(AS$28,AS$27,AO138,$I138,$F138,$G138,$AH138,0.1))</f>
        <v>0</v>
      </c>
      <c r="AU138" s="45" t="n">
        <f aca="false">AN138*AR138</f>
        <v>0</v>
      </c>
      <c r="AV138" s="45" t="n">
        <f aca="false">AN138*AS138</f>
        <v>0</v>
      </c>
      <c r="AW138" s="45" t="n">
        <f aca="false">AN138*AT138</f>
        <v>0</v>
      </c>
      <c r="AY138" s="9" t="n">
        <f aca="false">IF($A138&gt;=AZ$25,IF($A138&lt;=AZ$26,$AI138,0),0)</f>
        <v>0</v>
      </c>
      <c r="AZ138" s="9" t="e">
        <f aca="false">BB138/AY138</f>
        <v>#DIV/0!</v>
      </c>
      <c r="BA138" s="1" t="n">
        <f aca="false">AY138*($B138+D$13)</f>
        <v>0</v>
      </c>
      <c r="BB138" s="33" t="n">
        <f aca="false">IF(ISNUMBER(((BA138/AY138)+D$14+$K138)*AY138),((BA138/AY138)+D$14+$K138)*AY138,0)</f>
        <v>0</v>
      </c>
      <c r="BC138" s="44" t="n">
        <f aca="false">IF(AY138=0,0,bsd(1,BD$27,AZ138,$P138,$M138,$N138,$AH138,0.1))</f>
        <v>0</v>
      </c>
      <c r="BD138" s="44" t="n">
        <f aca="false">IF(AY138=0,0,bsd(2,BD$27,AZ138,$P138,$M138,$N138,$AH138,0.1))</f>
        <v>0</v>
      </c>
      <c r="BE138" s="44" t="n">
        <f aca="false">IF(AY138=0,0,bsd(BD$28,BD$27,AZ138,$P138,$M138,$N138,$AH138,0.1))</f>
        <v>0</v>
      </c>
      <c r="BF138" s="45" t="n">
        <f aca="false">AY138*BC138</f>
        <v>0</v>
      </c>
      <c r="BG138" s="45" t="n">
        <f aca="false">AY138*BD138</f>
        <v>0</v>
      </c>
      <c r="BH138" s="45" t="n">
        <f aca="false">AY138*BE138</f>
        <v>0</v>
      </c>
      <c r="BJ138" s="9" t="n">
        <f aca="false">IF($A138&gt;=BK$25,IF($A138&lt;=BK$26,$AI138,0),0)</f>
        <v>0</v>
      </c>
      <c r="BK138" s="9" t="e">
        <f aca="false">BM138/BJ138</f>
        <v>#DIV/0!</v>
      </c>
      <c r="BL138" s="1" t="n">
        <f aca="false">BJ138*($B138+F$13)</f>
        <v>0</v>
      </c>
      <c r="BM138" s="33" t="n">
        <f aca="false">IF(ISNUMBER(((BL138/BJ138)+F$14+$R138)*BJ138),((BL138/BJ138)+F$14+$R138)*BJ138,0)</f>
        <v>0</v>
      </c>
      <c r="BN138" s="44" t="n">
        <f aca="false">IF(BJ138=0,0,bsd(1,BO$27,BK138,$W138,$T138,$U138,$AH138,0.1))</f>
        <v>0</v>
      </c>
      <c r="BO138" s="44" t="n">
        <f aca="false">IF(BJ138=0,0,bsd(2,BO$27,BK138,$W138,$T138,$U138,$AH138,0.1))</f>
        <v>0</v>
      </c>
      <c r="BP138" s="44" t="n">
        <f aca="false">IF(BJ138=0,0,bsd(BO$28,BO$27,BK138,$W138,$T138,$U138,$AH138,0.1))</f>
        <v>0</v>
      </c>
      <c r="BQ138" s="45" t="n">
        <f aca="false">BJ138*BN138</f>
        <v>0</v>
      </c>
      <c r="BR138" s="45" t="n">
        <f aca="false">BJ138*BO138</f>
        <v>0</v>
      </c>
      <c r="BS138" s="45" t="n">
        <f aca="false">BJ138*BP138</f>
        <v>0</v>
      </c>
      <c r="BU138" s="9" t="n">
        <f aca="false">IF($A138&gt;=BV$25,IF($A138&lt;=BV$26,$AI138,0),0)</f>
        <v>0</v>
      </c>
      <c r="BV138" s="9" t="e">
        <f aca="false">BX138/BU138</f>
        <v>#DIV/0!</v>
      </c>
      <c r="BW138" s="1" t="n">
        <f aca="false">BU138*($B138+H$13)</f>
        <v>0</v>
      </c>
      <c r="BX138" s="33" t="n">
        <f aca="false">IF(ISNUMBER(((BW138/BU138)+H$14+$Y138)*BU138),((BW138/BU138)+H$14+$Y138)*BU138,0)</f>
        <v>0</v>
      </c>
      <c r="BY138" s="44" t="n">
        <f aca="false">IF(BU138=0,0,bsd(1,BZ$27,BV138,$AD138,$AA138,$AB138,$AH138,0.1))</f>
        <v>0</v>
      </c>
      <c r="BZ138" s="44" t="n">
        <f aca="false">IF(BU138=0,0,bsd(2,BZ$27,BV138,$AD138,$AA138,$AB138,$AH138,0.1))</f>
        <v>0</v>
      </c>
      <c r="CA138" s="44" t="n">
        <f aca="false">IF(BU138=0,0,bsd(BZ$28,BZ$27,BV138,$AD138,$AA138,$AB138,$AH138,0.1))</f>
        <v>0</v>
      </c>
      <c r="CB138" s="45" t="n">
        <f aca="false">BU138*BY138</f>
        <v>0</v>
      </c>
      <c r="CC138" s="45" t="n">
        <f aca="false">BU138*BZ138</f>
        <v>0</v>
      </c>
      <c r="CD138" s="45" t="n">
        <f aca="false">BU138*CA138</f>
        <v>0</v>
      </c>
    </row>
    <row r="139" customFormat="false" ht="12.75" hidden="false" customHeight="false" outlineLevel="0" collapsed="false">
      <c r="A139" s="48" t="n">
        <f aca="false">DATE(YEAR(A138),MONTH(A138)+1,1)</f>
        <v>40087</v>
      </c>
      <c r="B139" s="40" t="n">
        <f aca="false">VLOOKUP(A139,STRADDLE,5,FALSE())</f>
        <v>3.13</v>
      </c>
      <c r="C139" s="4" t="n">
        <f aca="false">VLOOKUP(A139,STRADDLE,8,FALSE())</f>
        <v>0.17</v>
      </c>
      <c r="D139" s="40" t="n">
        <f aca="false">IF(D$28="nymex",0,VLOOKUP($A139,curvesettle,HLOOKUP(D$28,curvesettle,2,FALSE())))</f>
        <v>0.461</v>
      </c>
      <c r="E139" s="131" t="n">
        <f aca="false">IF(ISNUMBER(VLOOKUP($A139,VOLCURVES,HLOOKUP(D$28,VOLCURVES,2,FALSE()),FALSE())),VLOOKUP($A139,VOLCURVES,HLOOKUP(D$28,VOLCURVES,2,FALSE()),FALSE()),1)</f>
        <v>0.98</v>
      </c>
      <c r="F139" s="136" t="n">
        <f aca="false">IF(D$28="NYMEX",$AG139,$AF139)</f>
        <v>-5842</v>
      </c>
      <c r="G139" s="4" t="e">
        <f aca="false">(($C139+H139)*$E139)+B$15</f>
        <v>#DIV/0!</v>
      </c>
      <c r="H139" s="4" t="e">
        <f aca="false">IF($B$16=1,VLOOKUP($A139,SkewTable,HLOOKUP(ROUND(I139-AO139,1),SkewTable,2,FALSE()),FALSE())/100,0)</f>
        <v>#DIV/0!</v>
      </c>
      <c r="I139" s="41" t="n">
        <f aca="false">IF($B$19=4,$AO139,$B$18)</f>
        <v>12</v>
      </c>
      <c r="K139" s="40" t="n">
        <f aca="false">IF(K$28="nymex",0,VLOOKUP($A139,curvesettle,HLOOKUP(K$28,curvesettle,2,FALSE())))</f>
        <v>-0.017</v>
      </c>
      <c r="L139" s="131" t="n">
        <f aca="false">IF(ISNUMBER(VLOOKUP($A139,VOLCURVES,HLOOKUP(K$28,VOLCURVES,2,FALSE()),FALSE())),VLOOKUP($A139,VOLCURVES,HLOOKUP(K$28,VOLCURVES,2,FALSE()),FALSE()),1)</f>
        <v>1</v>
      </c>
      <c r="M139" s="136" t="n">
        <f aca="false">IF(K$28="NYMEX",$AG139,$AF139)</f>
        <v>-5842</v>
      </c>
      <c r="N139" s="153" t="e">
        <f aca="false">(($C139+O139)*$L139)+D$15</f>
        <v>#DIV/0!</v>
      </c>
      <c r="O139" s="4" t="e">
        <f aca="false">IF($D$16=1,VLOOKUP($A139,SkewTable,HLOOKUP(ROUND(P139-AZ139,1),SkewTable,2,FALSE()),FALSE())/100,0)</f>
        <v>#DIV/0!</v>
      </c>
      <c r="P139" s="41" t="n">
        <f aca="false">IF($D$19=4,$AZ139,$D$18)</f>
        <v>3.75</v>
      </c>
      <c r="R139" s="40" t="n">
        <f aca="false">IF(R$28="nymex",0,VLOOKUP($A139,curvesettle,HLOOKUP(R$28,curvesettle,2,FALSE())))</f>
        <v>-0.017</v>
      </c>
      <c r="S139" s="131" t="n">
        <f aca="false">IF(ISNUMBER(VLOOKUP($A139,VOLCURVES,HLOOKUP(R$28,VOLCURVES,2,FALSE()),FALSE())),VLOOKUP($A139,VOLCURVES,HLOOKUP(R$28,VOLCURVES,2,FALSE()),FALSE()),1)</f>
        <v>1</v>
      </c>
      <c r="T139" s="136" t="n">
        <f aca="false">IF(R$28="NYMEX",$AG139,$AF139)</f>
        <v>-5842</v>
      </c>
      <c r="U139" s="153" t="e">
        <f aca="false">(($C139+V139)*$S139)+F$15</f>
        <v>#DIV/0!</v>
      </c>
      <c r="V139" s="4" t="e">
        <f aca="false">IF($F$16=1,VLOOKUP($A139,SkewTable,HLOOKUP(ROUND(W139-BK139,1),SkewTable,2,FALSE()),FALSE())/100,0)</f>
        <v>#DIV/0!</v>
      </c>
      <c r="W139" s="41" t="n">
        <f aca="false">IF($F$19=4,$BK139,$F$18)</f>
        <v>3.5</v>
      </c>
      <c r="X139" s="136"/>
      <c r="Y139" s="40" t="n">
        <f aca="false">IF(Y$28="nymex",0,VLOOKUP($A139,curvesettle,HLOOKUP(Y$28,curvesettle,2,FALSE())))</f>
        <v>-0.335</v>
      </c>
      <c r="Z139" s="131" t="n">
        <f aca="false">IF(ISNUMBER(VLOOKUP($A139,VOLCURVES,HLOOKUP(Y$28,VOLCURVES,2,FALSE()),FALSE())),VLOOKUP($A139,VOLCURVES,HLOOKUP(Y$28,VOLCURVES,2,FALSE()),FALSE()),1)</f>
        <v>1</v>
      </c>
      <c r="AA139" s="136" t="n">
        <f aca="false">IF(Y$28="NYMEX",$AG139,$AF139)</f>
        <v>-5842</v>
      </c>
      <c r="AB139" s="4" t="e">
        <f aca="false">(($C139+AC139)*$Z139)+H$15</f>
        <v>#DIV/0!</v>
      </c>
      <c r="AC139" s="4" t="e">
        <f aca="false">IF($H$16=1,VLOOKUP($A139,SkewTable,HLOOKUP(ROUND(AD139-BV139,1),SkewTable,2,FALSE()),FALSE())/100,0)</f>
        <v>#DIV/0!</v>
      </c>
      <c r="AD139" s="41" t="n">
        <f aca="false">IF($H$19=4,$BV139,$H$18)</f>
        <v>3</v>
      </c>
      <c r="AF139" s="136" t="n">
        <f aca="false">VLOOKUP($A139,expiration,2,FALSE())-$B$2</f>
        <v>-5842</v>
      </c>
      <c r="AG139" s="136" t="n">
        <f aca="false">VLOOKUP($A139,expiration,3,FALSE())-$B$2</f>
        <v>-5845</v>
      </c>
      <c r="AH139" s="4" t="n">
        <f aca="false">VLOOKUP($A139,STRADDLE,12,FALSE())</f>
        <v>0.070370256243286</v>
      </c>
      <c r="AI139" s="43" t="n">
        <f aca="false">A140-A139</f>
        <v>31</v>
      </c>
      <c r="AL139" s="136"/>
      <c r="AM139" s="9"/>
      <c r="AN139" s="9" t="n">
        <f aca="false">IF($A139&gt;=AO$25,IF($A139&lt;=AO$26,$AI139,0),0)</f>
        <v>0</v>
      </c>
      <c r="AO139" s="9" t="e">
        <f aca="false">AQ139/AN139</f>
        <v>#DIV/0!</v>
      </c>
      <c r="AP139" s="1" t="n">
        <f aca="false">AN139*($B139+B$13)</f>
        <v>0</v>
      </c>
      <c r="AQ139" s="33" t="n">
        <f aca="false">IF(ISNUMBER(((AP139/AN139)+B$14+$D139)*AN139),((AP139/AN139)+B$14+$D139)*AN139,0)</f>
        <v>0</v>
      </c>
      <c r="AR139" s="44" t="n">
        <f aca="false">IF(AN139=0,0,bsd(1,AS$27,AO139,$I139,$F139,$G139,$AH139,0.1))</f>
        <v>0</v>
      </c>
      <c r="AS139" s="44" t="n">
        <f aca="false">IF(AN139=0,0,bsd(2,AS$27,AO139,$I139,$F139,$G139,$AH139,0.1))</f>
        <v>0</v>
      </c>
      <c r="AT139" s="44" t="n">
        <f aca="false">IF(AN139=0,0,bsd(AS$28,AS$27,AO139,$I139,$F139,$G139,$AH139,0.1))</f>
        <v>0</v>
      </c>
      <c r="AU139" s="45" t="n">
        <f aca="false">AN139*AR139</f>
        <v>0</v>
      </c>
      <c r="AV139" s="45" t="n">
        <f aca="false">AN139*AS139</f>
        <v>0</v>
      </c>
      <c r="AW139" s="45" t="n">
        <f aca="false">AN139*AT139</f>
        <v>0</v>
      </c>
      <c r="AY139" s="9" t="n">
        <f aca="false">IF($A139&gt;=AZ$25,IF($A139&lt;=AZ$26,$AI139,0),0)</f>
        <v>0</v>
      </c>
      <c r="AZ139" s="9" t="e">
        <f aca="false">BB139/AY139</f>
        <v>#DIV/0!</v>
      </c>
      <c r="BA139" s="1" t="n">
        <f aca="false">AY139*($B139+D$13)</f>
        <v>0</v>
      </c>
      <c r="BB139" s="33" t="n">
        <f aca="false">IF(ISNUMBER(((BA139/AY139)+D$14+$K139)*AY139),((BA139/AY139)+D$14+$K139)*AY139,0)</f>
        <v>0</v>
      </c>
      <c r="BC139" s="44" t="n">
        <f aca="false">IF(AY139=0,0,bsd(1,BD$27,AZ139,$P139,$M139,$N139,$AH139,0.1))</f>
        <v>0</v>
      </c>
      <c r="BD139" s="44" t="n">
        <f aca="false">IF(AY139=0,0,bsd(2,BD$27,AZ139,$P139,$M139,$N139,$AH139,0.1))</f>
        <v>0</v>
      </c>
      <c r="BE139" s="44" t="n">
        <f aca="false">IF(AY139=0,0,bsd(BD$28,BD$27,AZ139,$P139,$M139,$N139,$AH139,0.1))</f>
        <v>0</v>
      </c>
      <c r="BF139" s="45" t="n">
        <f aca="false">AY139*BC139</f>
        <v>0</v>
      </c>
      <c r="BG139" s="45" t="n">
        <f aca="false">AY139*BD139</f>
        <v>0</v>
      </c>
      <c r="BH139" s="45" t="n">
        <f aca="false">AY139*BE139</f>
        <v>0</v>
      </c>
      <c r="BJ139" s="9" t="n">
        <f aca="false">IF($A139&gt;=BK$25,IF($A139&lt;=BK$26,$AI139,0),0)</f>
        <v>0</v>
      </c>
      <c r="BK139" s="9" t="e">
        <f aca="false">BM139/BJ139</f>
        <v>#DIV/0!</v>
      </c>
      <c r="BL139" s="1" t="n">
        <f aca="false">BJ139*($B139+F$13)</f>
        <v>0</v>
      </c>
      <c r="BM139" s="33" t="n">
        <f aca="false">IF(ISNUMBER(((BL139/BJ139)+F$14+$R139)*BJ139),((BL139/BJ139)+F$14+$R139)*BJ139,0)</f>
        <v>0</v>
      </c>
      <c r="BN139" s="44" t="n">
        <f aca="false">IF(BJ139=0,0,bsd(1,BO$27,BK139,$W139,$T139,$U139,$AH139,0.1))</f>
        <v>0</v>
      </c>
      <c r="BO139" s="44" t="n">
        <f aca="false">IF(BJ139=0,0,bsd(2,BO$27,BK139,$W139,$T139,$U139,$AH139,0.1))</f>
        <v>0</v>
      </c>
      <c r="BP139" s="44" t="n">
        <f aca="false">IF(BJ139=0,0,bsd(BO$28,BO$27,BK139,$W139,$T139,$U139,$AH139,0.1))</f>
        <v>0</v>
      </c>
      <c r="BQ139" s="45" t="n">
        <f aca="false">BJ139*BN139</f>
        <v>0</v>
      </c>
      <c r="BR139" s="45" t="n">
        <f aca="false">BJ139*BO139</f>
        <v>0</v>
      </c>
      <c r="BS139" s="45" t="n">
        <f aca="false">BJ139*BP139</f>
        <v>0</v>
      </c>
      <c r="BU139" s="9" t="n">
        <f aca="false">IF($A139&gt;=BV$25,IF($A139&lt;=BV$26,$AI139,0),0)</f>
        <v>0</v>
      </c>
      <c r="BV139" s="9" t="e">
        <f aca="false">BX139/BU139</f>
        <v>#DIV/0!</v>
      </c>
      <c r="BW139" s="1" t="n">
        <f aca="false">BU139*($B139+H$13)</f>
        <v>0</v>
      </c>
      <c r="BX139" s="33" t="n">
        <f aca="false">IF(ISNUMBER(((BW139/BU139)+H$14+$Y139)*BU139),((BW139/BU139)+H$14+$Y139)*BU139,0)</f>
        <v>0</v>
      </c>
      <c r="BY139" s="44" t="n">
        <f aca="false">IF(BU139=0,0,bsd(1,BZ$27,BV139,$AD139,$AA139,$AB139,$AH139,0.1))</f>
        <v>0</v>
      </c>
      <c r="BZ139" s="44" t="n">
        <f aca="false">IF(BU139=0,0,bsd(2,BZ$27,BV139,$AD139,$AA139,$AB139,$AH139,0.1))</f>
        <v>0</v>
      </c>
      <c r="CA139" s="44" t="n">
        <f aca="false">IF(BU139=0,0,bsd(BZ$28,BZ$27,BV139,$AD139,$AA139,$AB139,$AH139,0.1))</f>
        <v>0</v>
      </c>
      <c r="CB139" s="45" t="n">
        <f aca="false">BU139*BY139</f>
        <v>0</v>
      </c>
      <c r="CC139" s="45" t="n">
        <f aca="false">BU139*BZ139</f>
        <v>0</v>
      </c>
      <c r="CD139" s="45" t="n">
        <f aca="false">BU139*CA139</f>
        <v>0</v>
      </c>
    </row>
    <row r="140" customFormat="false" ht="12.75" hidden="false" customHeight="false" outlineLevel="0" collapsed="false">
      <c r="A140" s="48" t="n">
        <f aca="false">DATE(YEAR(A139),MONTH(A139)+1,1)</f>
        <v>40118</v>
      </c>
      <c r="B140" s="40" t="n">
        <f aca="false">VLOOKUP(A140,STRADDLE,5,FALSE())</f>
        <v>3.192</v>
      </c>
      <c r="C140" s="4" t="n">
        <f aca="false">VLOOKUP(A140,STRADDLE,8,FALSE())</f>
        <v>0.17</v>
      </c>
      <c r="D140" s="40" t="n">
        <f aca="false">IF(D$28="nymex",0,VLOOKUP($A140,curvesettle,HLOOKUP(D$28,curvesettle,2,FALSE())))</f>
        <v>0.885</v>
      </c>
      <c r="E140" s="131" t="n">
        <f aca="false">IF(ISNUMBER(VLOOKUP($A140,VOLCURVES,HLOOKUP(D$28,VOLCURVES,2,FALSE()),FALSE())),VLOOKUP($A140,VOLCURVES,HLOOKUP(D$28,VOLCURVES,2,FALSE()),FALSE()),1)</f>
        <v>1.1</v>
      </c>
      <c r="F140" s="136" t="n">
        <f aca="false">IF(D$28="NYMEX",$AG140,$AF140)</f>
        <v>-5812</v>
      </c>
      <c r="G140" s="4" t="e">
        <f aca="false">(($C140+H140)*$E140)+B$15</f>
        <v>#DIV/0!</v>
      </c>
      <c r="H140" s="4" t="e">
        <f aca="false">IF($B$16=1,VLOOKUP($A140,SkewTable,HLOOKUP(ROUND(I140-AO140,1),SkewTable,2,FALSE()),FALSE())/100,0)</f>
        <v>#DIV/0!</v>
      </c>
      <c r="I140" s="41" t="n">
        <f aca="false">IF($B$19=4,$AO140,$B$18)</f>
        <v>12</v>
      </c>
      <c r="K140" s="40" t="n">
        <f aca="false">IF(K$28="nymex",0,VLOOKUP($A140,curvesettle,HLOOKUP(K$28,curvesettle,2,FALSE())))</f>
        <v>-0.0135</v>
      </c>
      <c r="L140" s="131" t="n">
        <f aca="false">IF(ISNUMBER(VLOOKUP($A140,VOLCURVES,HLOOKUP(K$28,VOLCURVES,2,FALSE()),FALSE())),VLOOKUP($A140,VOLCURVES,HLOOKUP(K$28,VOLCURVES,2,FALSE()),FALSE()),1)</f>
        <v>1</v>
      </c>
      <c r="M140" s="136" t="n">
        <f aca="false">IF(K$28="NYMEX",$AG140,$AF140)</f>
        <v>-5812</v>
      </c>
      <c r="N140" s="153" t="e">
        <f aca="false">(($C140+O140)*$L140)+D$15</f>
        <v>#DIV/0!</v>
      </c>
      <c r="O140" s="4" t="e">
        <f aca="false">IF($D$16=1,VLOOKUP($A140,SkewTable,HLOOKUP(ROUND(P140-AZ140,1),SkewTable,2,FALSE()),FALSE())/100,0)</f>
        <v>#DIV/0!</v>
      </c>
      <c r="P140" s="41" t="n">
        <f aca="false">IF($D$19=4,$AZ140,$D$18)</f>
        <v>3.75</v>
      </c>
      <c r="R140" s="40" t="n">
        <f aca="false">IF(R$28="nymex",0,VLOOKUP($A140,curvesettle,HLOOKUP(R$28,curvesettle,2,FALSE())))</f>
        <v>-0.0135</v>
      </c>
      <c r="S140" s="131" t="n">
        <f aca="false">IF(ISNUMBER(VLOOKUP($A140,VOLCURVES,HLOOKUP(R$28,VOLCURVES,2,FALSE()),FALSE())),VLOOKUP($A140,VOLCURVES,HLOOKUP(R$28,VOLCURVES,2,FALSE()),FALSE()),1)</f>
        <v>1</v>
      </c>
      <c r="T140" s="136" t="n">
        <f aca="false">IF(R$28="NYMEX",$AG140,$AF140)</f>
        <v>-5812</v>
      </c>
      <c r="U140" s="153" t="e">
        <f aca="false">(($C140+V140)*$S140)+F$15</f>
        <v>#DIV/0!</v>
      </c>
      <c r="V140" s="4" t="e">
        <f aca="false">IF($F$16=1,VLOOKUP($A140,SkewTable,HLOOKUP(ROUND(W140-BK140,1),SkewTable,2,FALSE()),FALSE())/100,0)</f>
        <v>#DIV/0!</v>
      </c>
      <c r="W140" s="41" t="n">
        <f aca="false">IF($F$19=4,$BK140,$F$18)</f>
        <v>3.5</v>
      </c>
      <c r="X140" s="136"/>
      <c r="Y140" s="40" t="n">
        <f aca="false">IF(Y$28="nymex",0,VLOOKUP($A140,curvesettle,HLOOKUP(Y$28,curvesettle,2,FALSE())))</f>
        <v>-0.26</v>
      </c>
      <c r="Z140" s="131" t="n">
        <f aca="false">IF(ISNUMBER(VLOOKUP($A140,VOLCURVES,HLOOKUP(Y$28,VOLCURVES,2,FALSE()),FALSE())),VLOOKUP($A140,VOLCURVES,HLOOKUP(Y$28,VOLCURVES,2,FALSE()),FALSE()),1)</f>
        <v>1</v>
      </c>
      <c r="AA140" s="136" t="n">
        <f aca="false">IF(Y$28="NYMEX",$AG140,$AF140)</f>
        <v>-5812</v>
      </c>
      <c r="AB140" s="4" t="e">
        <f aca="false">(($C140+AC140)*$Z140)+H$15</f>
        <v>#DIV/0!</v>
      </c>
      <c r="AC140" s="4" t="e">
        <f aca="false">IF($H$16=1,VLOOKUP($A140,SkewTable,HLOOKUP(ROUND(AD140-BV140,1),SkewTable,2,FALSE()),FALSE())/100,0)</f>
        <v>#DIV/0!</v>
      </c>
      <c r="AD140" s="41" t="n">
        <f aca="false">IF($H$19=4,$BV140,$H$18)</f>
        <v>3</v>
      </c>
      <c r="AF140" s="136" t="n">
        <f aca="false">VLOOKUP($A140,expiration,2,FALSE())-$B$2</f>
        <v>-5812</v>
      </c>
      <c r="AG140" s="136" t="n">
        <f aca="false">VLOOKUP($A140,expiration,3,FALSE())-$B$2</f>
        <v>-5813</v>
      </c>
      <c r="AH140" s="4" t="n">
        <f aca="false">VLOOKUP($A140,STRADDLE,12,FALSE())</f>
        <v>0.070407650973233</v>
      </c>
      <c r="AI140" s="43" t="n">
        <f aca="false">A141-A140</f>
        <v>30</v>
      </c>
      <c r="AL140" s="136"/>
      <c r="AM140" s="9"/>
      <c r="AN140" s="9" t="n">
        <f aca="false">IF($A140&gt;=AO$25,IF($A140&lt;=AO$26,$AI140,0),0)</f>
        <v>0</v>
      </c>
      <c r="AO140" s="9" t="e">
        <f aca="false">AQ140/AN140</f>
        <v>#DIV/0!</v>
      </c>
      <c r="AP140" s="1" t="n">
        <f aca="false">AN140*($B140+B$13)</f>
        <v>0</v>
      </c>
      <c r="AQ140" s="33" t="n">
        <f aca="false">IF(ISNUMBER(((AP140/AN140)+B$14+$D140)*AN140),((AP140/AN140)+B$14+$D140)*AN140,0)</f>
        <v>0</v>
      </c>
      <c r="AR140" s="44" t="n">
        <f aca="false">IF(AN140=0,0,bsd(1,AS$27,AO140,$I140,$F140,$G140,$AH140,0.1))</f>
        <v>0</v>
      </c>
      <c r="AS140" s="44" t="n">
        <f aca="false">IF(AN140=0,0,bsd(2,AS$27,AO140,$I140,$F140,$G140,$AH140,0.1))</f>
        <v>0</v>
      </c>
      <c r="AT140" s="44" t="n">
        <f aca="false">IF(AN140=0,0,bsd(AS$28,AS$27,AO140,$I140,$F140,$G140,$AH140,0.1))</f>
        <v>0</v>
      </c>
      <c r="AU140" s="45" t="n">
        <f aca="false">AN140*AR140</f>
        <v>0</v>
      </c>
      <c r="AV140" s="45" t="n">
        <f aca="false">AN140*AS140</f>
        <v>0</v>
      </c>
      <c r="AW140" s="45" t="n">
        <f aca="false">AN140*AT140</f>
        <v>0</v>
      </c>
      <c r="AY140" s="9" t="n">
        <f aca="false">IF($A140&gt;=AZ$25,IF($A140&lt;=AZ$26,$AI140,0),0)</f>
        <v>0</v>
      </c>
      <c r="AZ140" s="9" t="e">
        <f aca="false">BB140/AY140</f>
        <v>#DIV/0!</v>
      </c>
      <c r="BA140" s="1" t="n">
        <f aca="false">AY140*($B140+D$13)</f>
        <v>0</v>
      </c>
      <c r="BB140" s="33" t="n">
        <f aca="false">IF(ISNUMBER(((BA140/AY140)+D$14+$K140)*AY140),((BA140/AY140)+D$14+$K140)*AY140,0)</f>
        <v>0</v>
      </c>
      <c r="BC140" s="44" t="n">
        <f aca="false">IF(AY140=0,0,bsd(1,BD$27,AZ140,$P140,$M140,$N140,$AH140,0.1))</f>
        <v>0</v>
      </c>
      <c r="BD140" s="44" t="n">
        <f aca="false">IF(AY140=0,0,bsd(2,BD$27,AZ140,$P140,$M140,$N140,$AH140,0.1))</f>
        <v>0</v>
      </c>
      <c r="BE140" s="44" t="n">
        <f aca="false">IF(AY140=0,0,bsd(BD$28,BD$27,AZ140,$P140,$M140,$N140,$AH140,0.1))</f>
        <v>0</v>
      </c>
      <c r="BF140" s="45" t="n">
        <f aca="false">AY140*BC140</f>
        <v>0</v>
      </c>
      <c r="BG140" s="45" t="n">
        <f aca="false">AY140*BD140</f>
        <v>0</v>
      </c>
      <c r="BH140" s="45" t="n">
        <f aca="false">AY140*BE140</f>
        <v>0</v>
      </c>
      <c r="BJ140" s="9" t="n">
        <f aca="false">IF($A140&gt;=BK$25,IF($A140&lt;=BK$26,$AI140,0),0)</f>
        <v>0</v>
      </c>
      <c r="BK140" s="9" t="e">
        <f aca="false">BM140/BJ140</f>
        <v>#DIV/0!</v>
      </c>
      <c r="BL140" s="1" t="n">
        <f aca="false">BJ140*($B140+F$13)</f>
        <v>0</v>
      </c>
      <c r="BM140" s="33" t="n">
        <f aca="false">IF(ISNUMBER(((BL140/BJ140)+F$14+$R140)*BJ140),((BL140/BJ140)+F$14+$R140)*BJ140,0)</f>
        <v>0</v>
      </c>
      <c r="BN140" s="44" t="n">
        <f aca="false">IF(BJ140=0,0,bsd(1,BO$27,BK140,$W140,$T140,$U140,$AH140,0.1))</f>
        <v>0</v>
      </c>
      <c r="BO140" s="44" t="n">
        <f aca="false">IF(BJ140=0,0,bsd(2,BO$27,BK140,$W140,$T140,$U140,$AH140,0.1))</f>
        <v>0</v>
      </c>
      <c r="BP140" s="44" t="n">
        <f aca="false">IF(BJ140=0,0,bsd(BO$28,BO$27,BK140,$W140,$T140,$U140,$AH140,0.1))</f>
        <v>0</v>
      </c>
      <c r="BQ140" s="45" t="n">
        <f aca="false">BJ140*BN140</f>
        <v>0</v>
      </c>
      <c r="BR140" s="45" t="n">
        <f aca="false">BJ140*BO140</f>
        <v>0</v>
      </c>
      <c r="BS140" s="45" t="n">
        <f aca="false">BJ140*BP140</f>
        <v>0</v>
      </c>
      <c r="BU140" s="9" t="n">
        <f aca="false">IF($A140&gt;=BV$25,IF($A140&lt;=BV$26,$AI140,0),0)</f>
        <v>0</v>
      </c>
      <c r="BV140" s="9" t="e">
        <f aca="false">BX140/BU140</f>
        <v>#DIV/0!</v>
      </c>
      <c r="BW140" s="1" t="n">
        <f aca="false">BU140*($B140+H$13)</f>
        <v>0</v>
      </c>
      <c r="BX140" s="33" t="n">
        <f aca="false">IF(ISNUMBER(((BW140/BU140)+H$14+$Y140)*BU140),((BW140/BU140)+H$14+$Y140)*BU140,0)</f>
        <v>0</v>
      </c>
      <c r="BY140" s="44" t="n">
        <f aca="false">IF(BU140=0,0,bsd(1,BZ$27,BV140,$AD140,$AA140,$AB140,$AH140,0.1))</f>
        <v>0</v>
      </c>
      <c r="BZ140" s="44" t="n">
        <f aca="false">IF(BU140=0,0,bsd(2,BZ$27,BV140,$AD140,$AA140,$AB140,$AH140,0.1))</f>
        <v>0</v>
      </c>
      <c r="CA140" s="44" t="n">
        <f aca="false">IF(BU140=0,0,bsd(BZ$28,BZ$27,BV140,$AD140,$AA140,$AB140,$AH140,0.1))</f>
        <v>0</v>
      </c>
      <c r="CB140" s="45" t="n">
        <f aca="false">BU140*BY140</f>
        <v>0</v>
      </c>
      <c r="CC140" s="45" t="n">
        <f aca="false">BU140*BZ140</f>
        <v>0</v>
      </c>
      <c r="CD140" s="45" t="n">
        <f aca="false">BU140*CA140</f>
        <v>0</v>
      </c>
    </row>
    <row r="141" customFormat="false" ht="12.75" hidden="false" customHeight="false" outlineLevel="0" collapsed="false">
      <c r="A141" s="48" t="n">
        <f aca="false">DATE(YEAR(A140),MONTH(A140)+1,1)</f>
        <v>40148</v>
      </c>
      <c r="B141" s="40" t="n">
        <f aca="false">VLOOKUP(A141,STRADDLE,5,FALSE())</f>
        <v>3.25</v>
      </c>
      <c r="C141" s="4" t="n">
        <f aca="false">VLOOKUP(A141,STRADDLE,8,FALSE())</f>
        <v>0.17</v>
      </c>
      <c r="D141" s="40" t="n">
        <f aca="false">IF(D$28="nymex",0,VLOOKUP($A141,curvesettle,HLOOKUP(D$28,curvesettle,2,FALSE())))</f>
        <v>1.31</v>
      </c>
      <c r="E141" s="131" t="n">
        <f aca="false">IF(ISNUMBER(VLOOKUP($A141,VOLCURVES,HLOOKUP(D$28,VOLCURVES,2,FALSE()),FALSE())),VLOOKUP($A141,VOLCURVES,HLOOKUP(D$28,VOLCURVES,2,FALSE()),FALSE()),1)</f>
        <v>1.1</v>
      </c>
      <c r="F141" s="136" t="n">
        <f aca="false">IF(D$28="NYMEX",$AG141,$AF141)</f>
        <v>-5784</v>
      </c>
      <c r="G141" s="4" t="e">
        <f aca="false">(($C141+H141)*$E141)+B$15</f>
        <v>#DIV/0!</v>
      </c>
      <c r="H141" s="4" t="e">
        <f aca="false">IF($B$16=1,VLOOKUP($A141,SkewTable,HLOOKUP(ROUND(I141-AO141,1),SkewTable,2,FALSE()),FALSE())/100,0)</f>
        <v>#DIV/0!</v>
      </c>
      <c r="I141" s="41" t="n">
        <f aca="false">IF($B$19=4,$AO141,$B$18)</f>
        <v>12</v>
      </c>
      <c r="K141" s="40" t="n">
        <f aca="false">IF(K$28="nymex",0,VLOOKUP($A141,curvesettle,HLOOKUP(K$28,curvesettle,2,FALSE())))</f>
        <v>-0.0135</v>
      </c>
      <c r="L141" s="131" t="n">
        <f aca="false">IF(ISNUMBER(VLOOKUP($A141,VOLCURVES,HLOOKUP(K$28,VOLCURVES,2,FALSE()),FALSE())),VLOOKUP($A141,VOLCURVES,HLOOKUP(K$28,VOLCURVES,2,FALSE()),FALSE()),1)</f>
        <v>1</v>
      </c>
      <c r="M141" s="136" t="n">
        <f aca="false">IF(K$28="NYMEX",$AG141,$AF141)</f>
        <v>-5784</v>
      </c>
      <c r="N141" s="153" t="e">
        <f aca="false">(($C141+O141)*$L141)+D$15</f>
        <v>#DIV/0!</v>
      </c>
      <c r="O141" s="4" t="e">
        <f aca="false">IF($D$16=1,VLOOKUP($A141,SkewTable,HLOOKUP(ROUND(P141-AZ141,1),SkewTable,2,FALSE()),FALSE())/100,0)</f>
        <v>#DIV/0!</v>
      </c>
      <c r="P141" s="41" t="n">
        <f aca="false">IF($D$19=4,$AZ141,$D$18)</f>
        <v>3.75</v>
      </c>
      <c r="R141" s="40" t="n">
        <f aca="false">IF(R$28="nymex",0,VLOOKUP($A141,curvesettle,HLOOKUP(R$28,curvesettle,2,FALSE())))</f>
        <v>-0.0135</v>
      </c>
      <c r="S141" s="131" t="n">
        <f aca="false">IF(ISNUMBER(VLOOKUP($A141,VOLCURVES,HLOOKUP(R$28,VOLCURVES,2,FALSE()),FALSE())),VLOOKUP($A141,VOLCURVES,HLOOKUP(R$28,VOLCURVES,2,FALSE()),FALSE()),1)</f>
        <v>1</v>
      </c>
      <c r="T141" s="136" t="n">
        <f aca="false">IF(R$28="NYMEX",$AG141,$AF141)</f>
        <v>-5784</v>
      </c>
      <c r="U141" s="153" t="e">
        <f aca="false">(($C141+V141)*$S141)+F$15</f>
        <v>#DIV/0!</v>
      </c>
      <c r="V141" s="4" t="e">
        <f aca="false">IF($F$16=1,VLOOKUP($A141,SkewTable,HLOOKUP(ROUND(W141-BK141,1),SkewTable,2,FALSE()),FALSE())/100,0)</f>
        <v>#DIV/0!</v>
      </c>
      <c r="W141" s="41" t="n">
        <f aca="false">IF($F$19=4,$BK141,$F$18)</f>
        <v>3.5</v>
      </c>
      <c r="X141" s="136"/>
      <c r="Y141" s="40" t="n">
        <f aca="false">IF(Y$28="nymex",0,VLOOKUP($A141,curvesettle,HLOOKUP(Y$28,curvesettle,2,FALSE())))</f>
        <v>-0.26</v>
      </c>
      <c r="Z141" s="131" t="n">
        <f aca="false">IF(ISNUMBER(VLOOKUP($A141,VOLCURVES,HLOOKUP(Y$28,VOLCURVES,2,FALSE()),FALSE())),VLOOKUP($A141,VOLCURVES,HLOOKUP(Y$28,VOLCURVES,2,FALSE()),FALSE()),1)</f>
        <v>1</v>
      </c>
      <c r="AA141" s="136" t="n">
        <f aca="false">IF(Y$28="NYMEX",$AG141,$AF141)</f>
        <v>-5784</v>
      </c>
      <c r="AB141" s="4" t="e">
        <f aca="false">(($C141+AC141)*$Z141)+H$15</f>
        <v>#DIV/0!</v>
      </c>
      <c r="AC141" s="4" t="e">
        <f aca="false">IF($H$16=1,VLOOKUP($A141,SkewTable,HLOOKUP(ROUND(AD141-BV141,1),SkewTable,2,FALSE()),FALSE())/100,0)</f>
        <v>#DIV/0!</v>
      </c>
      <c r="AD141" s="41" t="n">
        <f aca="false">IF($H$19=4,$BV141,$H$18)</f>
        <v>3</v>
      </c>
      <c r="AF141" s="136" t="n">
        <f aca="false">VLOOKUP($A141,expiration,2,FALSE())-$B$2</f>
        <v>-5784</v>
      </c>
      <c r="AG141" s="136" t="n">
        <f aca="false">VLOOKUP($A141,expiration,3,FALSE())-$B$2</f>
        <v>-5785</v>
      </c>
      <c r="AH141" s="4" t="n">
        <f aca="false">VLOOKUP($A141,STRADDLE,12,FALSE())</f>
        <v>0.070443839422008</v>
      </c>
      <c r="AI141" s="43" t="n">
        <f aca="false">A142-A141</f>
        <v>31</v>
      </c>
      <c r="AL141" s="136"/>
      <c r="AM141" s="9"/>
      <c r="AN141" s="9" t="n">
        <f aca="false">IF($A141&gt;=AO$25,IF($A141&lt;=AO$26,$AI141,0),0)</f>
        <v>0</v>
      </c>
      <c r="AO141" s="9" t="e">
        <f aca="false">AQ141/AN141</f>
        <v>#DIV/0!</v>
      </c>
      <c r="AP141" s="1" t="n">
        <f aca="false">AN141*($B141+B$13)</f>
        <v>0</v>
      </c>
      <c r="AQ141" s="33" t="n">
        <f aca="false">IF(ISNUMBER(((AP141/AN141)+B$14+$D141)*AN141),((AP141/AN141)+B$14+$D141)*AN141,0)</f>
        <v>0</v>
      </c>
      <c r="AR141" s="44" t="n">
        <f aca="false">IF(AN141=0,0,bsd(1,AS$27,AO141,$I141,$F141,$G141,$AH141,0.1))</f>
        <v>0</v>
      </c>
      <c r="AS141" s="44" t="n">
        <f aca="false">IF(AN141=0,0,bsd(2,AS$27,AO141,$I141,$F141,$G141,$AH141,0.1))</f>
        <v>0</v>
      </c>
      <c r="AT141" s="44" t="n">
        <f aca="false">IF(AN141=0,0,bsd(AS$28,AS$27,AO141,$I141,$F141,$G141,$AH141,0.1))</f>
        <v>0</v>
      </c>
      <c r="AU141" s="45" t="n">
        <f aca="false">AN141*AR141</f>
        <v>0</v>
      </c>
      <c r="AV141" s="45" t="n">
        <f aca="false">AN141*AS141</f>
        <v>0</v>
      </c>
      <c r="AW141" s="45" t="n">
        <f aca="false">AN141*AT141</f>
        <v>0</v>
      </c>
      <c r="AY141" s="9" t="n">
        <f aca="false">IF($A141&gt;=AZ$25,IF($A141&lt;=AZ$26,$AI141,0),0)</f>
        <v>0</v>
      </c>
      <c r="AZ141" s="9" t="e">
        <f aca="false">BB141/AY141</f>
        <v>#DIV/0!</v>
      </c>
      <c r="BA141" s="1" t="n">
        <f aca="false">AY141*($B141+D$13)</f>
        <v>0</v>
      </c>
      <c r="BB141" s="33" t="n">
        <f aca="false">IF(ISNUMBER(((BA141/AY141)+D$14+$K141)*AY141),((BA141/AY141)+D$14+$K141)*AY141,0)</f>
        <v>0</v>
      </c>
      <c r="BC141" s="44" t="n">
        <f aca="false">IF(AY141=0,0,bsd(1,BD$27,AZ141,$P141,$M141,$N141,$AH141,0.1))</f>
        <v>0</v>
      </c>
      <c r="BD141" s="44" t="n">
        <f aca="false">IF(AY141=0,0,bsd(2,BD$27,AZ141,$P141,$M141,$N141,$AH141,0.1))</f>
        <v>0</v>
      </c>
      <c r="BE141" s="44" t="n">
        <f aca="false">IF(AY141=0,0,bsd(BD$28,BD$27,AZ141,$P141,$M141,$N141,$AH141,0.1))</f>
        <v>0</v>
      </c>
      <c r="BF141" s="45" t="n">
        <f aca="false">AY141*BC141</f>
        <v>0</v>
      </c>
      <c r="BG141" s="45" t="n">
        <f aca="false">AY141*BD141</f>
        <v>0</v>
      </c>
      <c r="BH141" s="45" t="n">
        <f aca="false">AY141*BE141</f>
        <v>0</v>
      </c>
      <c r="BJ141" s="9" t="n">
        <f aca="false">IF($A141&gt;=BK$25,IF($A141&lt;=BK$26,$AI141,0),0)</f>
        <v>0</v>
      </c>
      <c r="BK141" s="9" t="e">
        <f aca="false">BM141/BJ141</f>
        <v>#DIV/0!</v>
      </c>
      <c r="BL141" s="1" t="n">
        <f aca="false">BJ141*($B141+F$13)</f>
        <v>0</v>
      </c>
      <c r="BM141" s="33" t="n">
        <f aca="false">IF(ISNUMBER(((BL141/BJ141)+F$14+$R141)*BJ141),((BL141/BJ141)+F$14+$R141)*BJ141,0)</f>
        <v>0</v>
      </c>
      <c r="BN141" s="44" t="n">
        <f aca="false">IF(BJ141=0,0,bsd(1,BO$27,BK141,$W141,$T141,$U141,$AH141,0.1))</f>
        <v>0</v>
      </c>
      <c r="BO141" s="44" t="n">
        <f aca="false">IF(BJ141=0,0,bsd(2,BO$27,BK141,$W141,$T141,$U141,$AH141,0.1))</f>
        <v>0</v>
      </c>
      <c r="BP141" s="44" t="n">
        <f aca="false">IF(BJ141=0,0,bsd(BO$28,BO$27,BK141,$W141,$T141,$U141,$AH141,0.1))</f>
        <v>0</v>
      </c>
      <c r="BQ141" s="45" t="n">
        <f aca="false">BJ141*BN141</f>
        <v>0</v>
      </c>
      <c r="BR141" s="45" t="n">
        <f aca="false">BJ141*BO141</f>
        <v>0</v>
      </c>
      <c r="BS141" s="45" t="n">
        <f aca="false">BJ141*BP141</f>
        <v>0</v>
      </c>
      <c r="BU141" s="9" t="n">
        <f aca="false">IF($A141&gt;=BV$25,IF($A141&lt;=BV$26,$AI141,0),0)</f>
        <v>0</v>
      </c>
      <c r="BV141" s="9" t="e">
        <f aca="false">BX141/BU141</f>
        <v>#DIV/0!</v>
      </c>
      <c r="BW141" s="1" t="n">
        <f aca="false">BU141*($B141+H$13)</f>
        <v>0</v>
      </c>
      <c r="BX141" s="33" t="n">
        <f aca="false">IF(ISNUMBER(((BW141/BU141)+H$14+$Y141)*BU141),((BW141/BU141)+H$14+$Y141)*BU141,0)</f>
        <v>0</v>
      </c>
      <c r="BY141" s="44" t="n">
        <f aca="false">IF(BU141=0,0,bsd(1,BZ$27,BV141,$AD141,$AA141,$AB141,$AH141,0.1))</f>
        <v>0</v>
      </c>
      <c r="BZ141" s="44" t="n">
        <f aca="false">IF(BU141=0,0,bsd(2,BZ$27,BV141,$AD141,$AA141,$AB141,$AH141,0.1))</f>
        <v>0</v>
      </c>
      <c r="CA141" s="44" t="n">
        <f aca="false">IF(BU141=0,0,bsd(BZ$28,BZ$27,BV141,$AD141,$AA141,$AB141,$AH141,0.1))</f>
        <v>0</v>
      </c>
      <c r="CB141" s="45" t="n">
        <f aca="false">BU141*BY141</f>
        <v>0</v>
      </c>
      <c r="CC141" s="45" t="n">
        <f aca="false">BU141*BZ141</f>
        <v>0</v>
      </c>
      <c r="CD141" s="45" t="n">
        <f aca="false">BU141*CA141</f>
        <v>0</v>
      </c>
    </row>
    <row r="142" customFormat="false" ht="12.75" hidden="false" customHeight="false" outlineLevel="0" collapsed="false">
      <c r="A142" s="48" t="n">
        <f aca="false">DATE(YEAR(A141),MONTH(A141)+1,1)</f>
        <v>40179</v>
      </c>
      <c r="B142" s="40" t="n">
        <f aca="false">VLOOKUP(A142,STRADDLE,5,FALSE())</f>
        <v>3.661</v>
      </c>
      <c r="C142" s="4" t="n">
        <f aca="false">VLOOKUP(A142,STRADDLE,8,FALSE())</f>
        <v>0.17</v>
      </c>
      <c r="D142" s="40" t="n">
        <f aca="false">IF(D$28="nymex",0,VLOOKUP($A142,curvesettle,HLOOKUP(D$28,curvesettle,2,FALSE())))</f>
        <v>1.645</v>
      </c>
      <c r="E142" s="131" t="n">
        <f aca="false">IF(ISNUMBER(VLOOKUP($A142,VOLCURVES,HLOOKUP(D$28,VOLCURVES,2,FALSE()),FALSE())),VLOOKUP($A142,VOLCURVES,HLOOKUP(D$28,VOLCURVES,2,FALSE()),FALSE()),1)</f>
        <v>1.1</v>
      </c>
      <c r="F142" s="136" t="n">
        <f aca="false">IF(D$28="NYMEX",$AG142,$AF142)</f>
        <v>-5750</v>
      </c>
      <c r="G142" s="4" t="e">
        <f aca="false">(($C142+H142)*$E142)+B$15</f>
        <v>#DIV/0!</v>
      </c>
      <c r="H142" s="4" t="e">
        <f aca="false">IF($B$16=1,VLOOKUP($A142,SkewTable,HLOOKUP(ROUND(I142-AO142,1),SkewTable,2,FALSE()),FALSE())/100,0)</f>
        <v>#DIV/0!</v>
      </c>
      <c r="I142" s="41" t="n">
        <f aca="false">IF($B$19=4,$AO142,$B$18)</f>
        <v>12</v>
      </c>
      <c r="K142" s="40" t="n">
        <f aca="false">IF(K$28="nymex",0,VLOOKUP($A142,curvesettle,HLOOKUP(K$28,curvesettle,2,FALSE())))</f>
        <v>-0.0135</v>
      </c>
      <c r="L142" s="131" t="n">
        <f aca="false">IF(ISNUMBER(VLOOKUP($A142,VOLCURVES,HLOOKUP(K$28,VOLCURVES,2,FALSE()),FALSE())),VLOOKUP($A142,VOLCURVES,HLOOKUP(K$28,VOLCURVES,2,FALSE()),FALSE()),1)</f>
        <v>1</v>
      </c>
      <c r="M142" s="136" t="n">
        <f aca="false">IF(K$28="NYMEX",$AG142,$AF142)</f>
        <v>-5750</v>
      </c>
      <c r="N142" s="153" t="e">
        <f aca="false">(($C142+O142)*$L142)+D$15</f>
        <v>#DIV/0!</v>
      </c>
      <c r="O142" s="4" t="e">
        <f aca="false">IF($D$16=1,VLOOKUP($A142,SkewTable,HLOOKUP(ROUND(P142-AZ142,1),SkewTable,2,FALSE()),FALSE())/100,0)</f>
        <v>#DIV/0!</v>
      </c>
      <c r="P142" s="41" t="n">
        <f aca="false">IF($D$19=4,$AZ142,$D$18)</f>
        <v>3.75</v>
      </c>
      <c r="R142" s="40" t="n">
        <f aca="false">IF(R$28="nymex",0,VLOOKUP($A142,curvesettle,HLOOKUP(R$28,curvesettle,2,FALSE())))</f>
        <v>-0.0135</v>
      </c>
      <c r="S142" s="131" t="n">
        <f aca="false">IF(ISNUMBER(VLOOKUP($A142,VOLCURVES,HLOOKUP(R$28,VOLCURVES,2,FALSE()),FALSE())),VLOOKUP($A142,VOLCURVES,HLOOKUP(R$28,VOLCURVES,2,FALSE()),FALSE()),1)</f>
        <v>1</v>
      </c>
      <c r="T142" s="136" t="n">
        <f aca="false">IF(R$28="NYMEX",$AG142,$AF142)</f>
        <v>-5750</v>
      </c>
      <c r="U142" s="153" t="e">
        <f aca="false">(($C142+V142)*$S142)+F$15</f>
        <v>#DIV/0!</v>
      </c>
      <c r="V142" s="4" t="e">
        <f aca="false">IF($F$16=1,VLOOKUP($A142,SkewTable,HLOOKUP(ROUND(W142-BK142,1),SkewTable,2,FALSE()),FALSE())/100,0)</f>
        <v>#DIV/0!</v>
      </c>
      <c r="W142" s="41" t="n">
        <f aca="false">IF($F$19=4,$BK142,$F$18)</f>
        <v>3.5</v>
      </c>
      <c r="X142" s="136"/>
      <c r="Y142" s="40" t="n">
        <f aca="false">IF(Y$28="nymex",0,VLOOKUP($A142,curvesettle,HLOOKUP(Y$28,curvesettle,2,FALSE())))</f>
        <v>-0.26</v>
      </c>
      <c r="Z142" s="131" t="n">
        <f aca="false">IF(ISNUMBER(VLOOKUP($A142,VOLCURVES,HLOOKUP(Y$28,VOLCURVES,2,FALSE()),FALSE())),VLOOKUP($A142,VOLCURVES,HLOOKUP(Y$28,VOLCURVES,2,FALSE()),FALSE()),1)</f>
        <v>1</v>
      </c>
      <c r="AA142" s="136" t="n">
        <f aca="false">IF(Y$28="NYMEX",$AG142,$AF142)</f>
        <v>-5750</v>
      </c>
      <c r="AB142" s="4" t="e">
        <f aca="false">(($C142+AC142)*$Z142)+H$15</f>
        <v>#DIV/0!</v>
      </c>
      <c r="AC142" s="4" t="e">
        <f aca="false">IF($H$16=1,VLOOKUP($A142,SkewTable,HLOOKUP(ROUND(AD142-BV142,1),SkewTable,2,FALSE()),FALSE())/100,0)</f>
        <v>#DIV/0!</v>
      </c>
      <c r="AD142" s="41" t="n">
        <f aca="false">IF($H$19=4,$BV142,$H$18)</f>
        <v>3</v>
      </c>
      <c r="AF142" s="136" t="n">
        <f aca="false">VLOOKUP($A142,expiration,2,FALSE())-$B$2</f>
        <v>-5750</v>
      </c>
      <c r="AG142" s="136" t="n">
        <f aca="false">VLOOKUP($A142,expiration,3,FALSE())-$B$2</f>
        <v>-5751</v>
      </c>
      <c r="AH142" s="4" t="n">
        <f aca="false">VLOOKUP($A142,STRADDLE,12,FALSE())</f>
        <v>0.070481234152864</v>
      </c>
      <c r="AI142" s="43" t="n">
        <f aca="false">A143-A142</f>
        <v>31</v>
      </c>
      <c r="AL142" s="136"/>
      <c r="AM142" s="9"/>
      <c r="AN142" s="9" t="n">
        <f aca="false">IF($A142&gt;=AO$25,IF($A142&lt;=AO$26,$AI142,0),0)</f>
        <v>0</v>
      </c>
      <c r="AO142" s="9" t="e">
        <f aca="false">AQ142/AN142</f>
        <v>#DIV/0!</v>
      </c>
      <c r="AP142" s="1" t="n">
        <f aca="false">AN142*($B142+B$13)</f>
        <v>0</v>
      </c>
      <c r="AQ142" s="33" t="n">
        <f aca="false">IF(ISNUMBER(((AP142/AN142)+B$14+$D142)*AN142),((AP142/AN142)+B$14+$D142)*AN142,0)</f>
        <v>0</v>
      </c>
      <c r="AR142" s="44" t="n">
        <f aca="false">IF(AN142=0,0,bsd(1,AS$27,AO142,$I142,$F142,$G142,$AH142,0.1))</f>
        <v>0</v>
      </c>
      <c r="AS142" s="44" t="n">
        <f aca="false">IF(AN142=0,0,bsd(2,AS$27,AO142,$I142,$F142,$G142,$AH142,0.1))</f>
        <v>0</v>
      </c>
      <c r="AT142" s="44" t="n">
        <f aca="false">IF(AN142=0,0,bsd(AS$28,AS$27,AO142,$I142,$F142,$G142,$AH142,0.1))</f>
        <v>0</v>
      </c>
      <c r="AU142" s="45" t="n">
        <f aca="false">AN142*AR142</f>
        <v>0</v>
      </c>
      <c r="AV142" s="45" t="n">
        <f aca="false">AN142*AS142</f>
        <v>0</v>
      </c>
      <c r="AW142" s="45" t="n">
        <f aca="false">AN142*AT142</f>
        <v>0</v>
      </c>
      <c r="AY142" s="9" t="n">
        <f aca="false">IF($A142&gt;=AZ$25,IF($A142&lt;=AZ$26,$AI142,0),0)</f>
        <v>0</v>
      </c>
      <c r="AZ142" s="9" t="e">
        <f aca="false">BB142/AY142</f>
        <v>#DIV/0!</v>
      </c>
      <c r="BA142" s="1" t="n">
        <f aca="false">AY142*($B142+D$13)</f>
        <v>0</v>
      </c>
      <c r="BB142" s="33" t="n">
        <f aca="false">IF(ISNUMBER(((BA142/AY142)+D$14+$K142)*AY142),((BA142/AY142)+D$14+$K142)*AY142,0)</f>
        <v>0</v>
      </c>
      <c r="BC142" s="44" t="n">
        <f aca="false">IF(AY142=0,0,bsd(1,BD$27,AZ142,$P142,$M142,$N142,$AH142,0.1))</f>
        <v>0</v>
      </c>
      <c r="BD142" s="44" t="n">
        <f aca="false">IF(AY142=0,0,bsd(2,BD$27,AZ142,$P142,$M142,$N142,$AH142,0.1))</f>
        <v>0</v>
      </c>
      <c r="BE142" s="44" t="n">
        <f aca="false">IF(AY142=0,0,bsd(BD$28,BD$27,AZ142,$P142,$M142,$N142,$AH142,0.1))</f>
        <v>0</v>
      </c>
      <c r="BF142" s="45" t="n">
        <f aca="false">AY142*BC142</f>
        <v>0</v>
      </c>
      <c r="BG142" s="45" t="n">
        <f aca="false">AY142*BD142</f>
        <v>0</v>
      </c>
      <c r="BH142" s="45" t="n">
        <f aca="false">AY142*BE142</f>
        <v>0</v>
      </c>
      <c r="BJ142" s="9" t="n">
        <f aca="false">IF($A142&gt;=BK$25,IF($A142&lt;=BK$26,$AI142,0),0)</f>
        <v>0</v>
      </c>
      <c r="BK142" s="9" t="e">
        <f aca="false">BM142/BJ142</f>
        <v>#DIV/0!</v>
      </c>
      <c r="BL142" s="1" t="n">
        <f aca="false">BJ142*($B142+F$13)</f>
        <v>0</v>
      </c>
      <c r="BM142" s="33" t="n">
        <f aca="false">IF(ISNUMBER(((BL142/BJ142)+F$14+$R142)*BJ142),((BL142/BJ142)+F$14+$R142)*BJ142,0)</f>
        <v>0</v>
      </c>
      <c r="BN142" s="44" t="n">
        <f aca="false">IF(BJ142=0,0,bsd(1,BO$27,BK142,$W142,$T142,$U142,$AH142,0.1))</f>
        <v>0</v>
      </c>
      <c r="BO142" s="44" t="n">
        <f aca="false">IF(BJ142=0,0,bsd(2,BO$27,BK142,$W142,$T142,$U142,$AH142,0.1))</f>
        <v>0</v>
      </c>
      <c r="BP142" s="44" t="n">
        <f aca="false">IF(BJ142=0,0,bsd(BO$28,BO$27,BK142,$W142,$T142,$U142,$AH142,0.1))</f>
        <v>0</v>
      </c>
      <c r="BQ142" s="45" t="n">
        <f aca="false">BJ142*BN142</f>
        <v>0</v>
      </c>
      <c r="BR142" s="45" t="n">
        <f aca="false">BJ142*BO142</f>
        <v>0</v>
      </c>
      <c r="BS142" s="45" t="n">
        <f aca="false">BJ142*BP142</f>
        <v>0</v>
      </c>
      <c r="BU142" s="9" t="n">
        <f aca="false">IF($A142&gt;=BV$25,IF($A142&lt;=BV$26,$AI142,0),0)</f>
        <v>0</v>
      </c>
      <c r="BV142" s="9" t="e">
        <f aca="false">BX142/BU142</f>
        <v>#DIV/0!</v>
      </c>
      <c r="BW142" s="1" t="n">
        <f aca="false">BU142*($B142+H$13)</f>
        <v>0</v>
      </c>
      <c r="BX142" s="33" t="n">
        <f aca="false">IF(ISNUMBER(((BW142/BU142)+H$14+$Y142)*BU142),((BW142/BU142)+H$14+$Y142)*BU142,0)</f>
        <v>0</v>
      </c>
      <c r="BY142" s="44" t="n">
        <f aca="false">IF(BU142=0,0,bsd(1,BZ$27,BV142,$AD142,$AA142,$AB142,$AH142,0.1))</f>
        <v>0</v>
      </c>
      <c r="BZ142" s="44" t="n">
        <f aca="false">IF(BU142=0,0,bsd(2,BZ$27,BV142,$AD142,$AA142,$AB142,$AH142,0.1))</f>
        <v>0</v>
      </c>
      <c r="CA142" s="44" t="n">
        <f aca="false">IF(BU142=0,0,bsd(BZ$28,BZ$27,BV142,$AD142,$AA142,$AB142,$AH142,0.1))</f>
        <v>0</v>
      </c>
      <c r="CB142" s="45" t="n">
        <f aca="false">BU142*BY142</f>
        <v>0</v>
      </c>
      <c r="CC142" s="45" t="n">
        <f aca="false">BU142*BZ142</f>
        <v>0</v>
      </c>
      <c r="CD142" s="45" t="n">
        <f aca="false">BU142*CA142</f>
        <v>0</v>
      </c>
    </row>
    <row r="143" customFormat="false" ht="12.75" hidden="false" customHeight="false" outlineLevel="0" collapsed="false">
      <c r="A143" s="48" t="n">
        <f aca="false">DATE(YEAR(A142),MONTH(A142)+1,1)</f>
        <v>40210</v>
      </c>
      <c r="B143" s="40" t="n">
        <f aca="false">VLOOKUP(A143,STRADDLE,5,FALSE())</f>
        <v>3.527</v>
      </c>
      <c r="C143" s="4" t="n">
        <f aca="false">VLOOKUP(A143,STRADDLE,8,FALSE())</f>
        <v>0.17</v>
      </c>
      <c r="D143" s="40" t="n">
        <f aca="false">IF(D$28="nymex",0,VLOOKUP($A143,curvesettle,HLOOKUP(D$28,curvesettle,2,FALSE())))</f>
        <v>1.595</v>
      </c>
      <c r="E143" s="131" t="n">
        <f aca="false">IF(ISNUMBER(VLOOKUP($A143,VOLCURVES,HLOOKUP(D$28,VOLCURVES,2,FALSE()),FALSE())),VLOOKUP($A143,VOLCURVES,HLOOKUP(D$28,VOLCURVES,2,FALSE()),FALSE()),1)</f>
        <v>1.1</v>
      </c>
      <c r="F143" s="136" t="n">
        <f aca="false">IF(D$28="NYMEX",$AG143,$AF143)</f>
        <v>-5721</v>
      </c>
      <c r="G143" s="4" t="e">
        <f aca="false">(($C143+H143)*$E143)+B$15</f>
        <v>#DIV/0!</v>
      </c>
      <c r="H143" s="4" t="e">
        <f aca="false">IF($B$16=1,VLOOKUP($A143,SkewTable,HLOOKUP(ROUND(I143-AO143,1),SkewTable,2,FALSE()),FALSE())/100,0)</f>
        <v>#DIV/0!</v>
      </c>
      <c r="I143" s="41" t="n">
        <f aca="false">IF($B$19=4,$AO143,$B$18)</f>
        <v>12</v>
      </c>
      <c r="K143" s="40" t="n">
        <f aca="false">IF(K$28="nymex",0,VLOOKUP($A143,curvesettle,HLOOKUP(K$28,curvesettle,2,FALSE())))</f>
        <v>-0.0135</v>
      </c>
      <c r="L143" s="131" t="n">
        <f aca="false">IF(ISNUMBER(VLOOKUP($A143,VOLCURVES,HLOOKUP(K$28,VOLCURVES,2,FALSE()),FALSE())),VLOOKUP($A143,VOLCURVES,HLOOKUP(K$28,VOLCURVES,2,FALSE()),FALSE()),1)</f>
        <v>1</v>
      </c>
      <c r="M143" s="136" t="n">
        <f aca="false">IF(K$28="NYMEX",$AG143,$AF143)</f>
        <v>-5721</v>
      </c>
      <c r="N143" s="153" t="e">
        <f aca="false">(($C143+O143)*$L143)+D$15</f>
        <v>#DIV/0!</v>
      </c>
      <c r="O143" s="4" t="e">
        <f aca="false">IF($D$16=1,VLOOKUP($A143,SkewTable,HLOOKUP(ROUND(P143-AZ143,1),SkewTable,2,FALSE()),FALSE())/100,0)</f>
        <v>#DIV/0!</v>
      </c>
      <c r="P143" s="41" t="n">
        <f aca="false">IF($D$19=4,$AZ143,$D$18)</f>
        <v>3.75</v>
      </c>
      <c r="R143" s="40" t="n">
        <f aca="false">IF(R$28="nymex",0,VLOOKUP($A143,curvesettle,HLOOKUP(R$28,curvesettle,2,FALSE())))</f>
        <v>-0.0135</v>
      </c>
      <c r="S143" s="131" t="n">
        <f aca="false">IF(ISNUMBER(VLOOKUP($A143,VOLCURVES,HLOOKUP(R$28,VOLCURVES,2,FALSE()),FALSE())),VLOOKUP($A143,VOLCURVES,HLOOKUP(R$28,VOLCURVES,2,FALSE()),FALSE()),1)</f>
        <v>1</v>
      </c>
      <c r="T143" s="136" t="n">
        <f aca="false">IF(R$28="NYMEX",$AG143,$AF143)</f>
        <v>-5721</v>
      </c>
      <c r="U143" s="153" t="e">
        <f aca="false">(($C143+V143)*$S143)+F$15</f>
        <v>#DIV/0!</v>
      </c>
      <c r="V143" s="4" t="e">
        <f aca="false">IF($F$16=1,VLOOKUP($A143,SkewTable,HLOOKUP(ROUND(W143-BK143,1),SkewTable,2,FALSE()),FALSE())/100,0)</f>
        <v>#DIV/0!</v>
      </c>
      <c r="W143" s="41" t="n">
        <f aca="false">IF($F$19=4,$BK143,$F$18)</f>
        <v>3.5</v>
      </c>
      <c r="X143" s="136"/>
      <c r="Y143" s="40" t="n">
        <f aca="false">IF(Y$28="nymex",0,VLOOKUP($A143,curvesettle,HLOOKUP(Y$28,curvesettle,2,FALSE())))</f>
        <v>-0.26</v>
      </c>
      <c r="Z143" s="131" t="n">
        <f aca="false">IF(ISNUMBER(VLOOKUP($A143,VOLCURVES,HLOOKUP(Y$28,VOLCURVES,2,FALSE()),FALSE())),VLOOKUP($A143,VOLCURVES,HLOOKUP(Y$28,VOLCURVES,2,FALSE()),FALSE()),1)</f>
        <v>1</v>
      </c>
      <c r="AA143" s="136" t="n">
        <f aca="false">IF(Y$28="NYMEX",$AG143,$AF143)</f>
        <v>-5721</v>
      </c>
      <c r="AB143" s="4" t="e">
        <f aca="false">(($C143+AC143)*$Z143)+H$15</f>
        <v>#DIV/0!</v>
      </c>
      <c r="AC143" s="4" t="e">
        <f aca="false">IF($H$16=1,VLOOKUP($A143,SkewTable,HLOOKUP(ROUND(AD143-BV143,1),SkewTable,2,FALSE()),FALSE())/100,0)</f>
        <v>#DIV/0!</v>
      </c>
      <c r="AD143" s="41" t="n">
        <f aca="false">IF($H$19=4,$BV143,$H$18)</f>
        <v>3</v>
      </c>
      <c r="AF143" s="136" t="n">
        <f aca="false">VLOOKUP($A143,expiration,2,FALSE())-$B$2</f>
        <v>-5721</v>
      </c>
      <c r="AG143" s="136" t="n">
        <f aca="false">VLOOKUP($A143,expiration,3,FALSE())-$B$2</f>
        <v>-5722</v>
      </c>
      <c r="AH143" s="4" t="n">
        <f aca="false">VLOOKUP($A143,STRADDLE,12,FALSE())</f>
        <v>0.070518628884183</v>
      </c>
      <c r="AI143" s="43" t="n">
        <f aca="false">A144-A143</f>
        <v>28</v>
      </c>
      <c r="AL143" s="136"/>
      <c r="AM143" s="9"/>
      <c r="AN143" s="9" t="n">
        <f aca="false">IF($A143&gt;=AO$25,IF($A143&lt;=AO$26,$AI143,0),0)</f>
        <v>0</v>
      </c>
      <c r="AO143" s="9" t="e">
        <f aca="false">AQ143/AN143</f>
        <v>#DIV/0!</v>
      </c>
      <c r="AP143" s="1" t="n">
        <f aca="false">AN143*($B143+B$13)</f>
        <v>0</v>
      </c>
      <c r="AQ143" s="33" t="n">
        <f aca="false">IF(ISNUMBER(((AP143/AN143)+B$14+$D143)*AN143),((AP143/AN143)+B$14+$D143)*AN143,0)</f>
        <v>0</v>
      </c>
      <c r="AR143" s="44" t="n">
        <f aca="false">IF(AN143=0,0,bsd(1,AS$27,AO143,$I143,$F143,$G143,$AH143,0.1))</f>
        <v>0</v>
      </c>
      <c r="AS143" s="44" t="n">
        <f aca="false">IF(AN143=0,0,bsd(2,AS$27,AO143,$I143,$F143,$G143,$AH143,0.1))</f>
        <v>0</v>
      </c>
      <c r="AT143" s="44" t="n">
        <f aca="false">IF(AN143=0,0,bsd(AS$28,AS$27,AO143,$I143,$F143,$G143,$AH143,0.1))</f>
        <v>0</v>
      </c>
      <c r="AU143" s="45" t="n">
        <f aca="false">AN143*AR143</f>
        <v>0</v>
      </c>
      <c r="AV143" s="45" t="n">
        <f aca="false">AN143*AS143</f>
        <v>0</v>
      </c>
      <c r="AW143" s="45" t="n">
        <f aca="false">AN143*AT143</f>
        <v>0</v>
      </c>
      <c r="AY143" s="9" t="n">
        <f aca="false">IF($A143&gt;=AZ$25,IF($A143&lt;=AZ$26,$AI143,0),0)</f>
        <v>0</v>
      </c>
      <c r="AZ143" s="9" t="e">
        <f aca="false">BB143/AY143</f>
        <v>#DIV/0!</v>
      </c>
      <c r="BA143" s="1" t="n">
        <f aca="false">AY143*($B143+D$13)</f>
        <v>0</v>
      </c>
      <c r="BB143" s="33" t="n">
        <f aca="false">IF(ISNUMBER(((BA143/AY143)+D$14+$K143)*AY143),((BA143/AY143)+D$14+$K143)*AY143,0)</f>
        <v>0</v>
      </c>
      <c r="BC143" s="44" t="n">
        <f aca="false">IF(AY143=0,0,bsd(1,BD$27,AZ143,$P143,$M143,$N143,$AH143,0.1))</f>
        <v>0</v>
      </c>
      <c r="BD143" s="44" t="n">
        <f aca="false">IF(AY143=0,0,bsd(2,BD$27,AZ143,$P143,$M143,$N143,$AH143,0.1))</f>
        <v>0</v>
      </c>
      <c r="BE143" s="44" t="n">
        <f aca="false">IF(AY143=0,0,bsd(BD$28,BD$27,AZ143,$P143,$M143,$N143,$AH143,0.1))</f>
        <v>0</v>
      </c>
      <c r="BF143" s="45" t="n">
        <f aca="false">AY143*BC143</f>
        <v>0</v>
      </c>
      <c r="BG143" s="45" t="n">
        <f aca="false">AY143*BD143</f>
        <v>0</v>
      </c>
      <c r="BH143" s="45" t="n">
        <f aca="false">AY143*BE143</f>
        <v>0</v>
      </c>
      <c r="BJ143" s="9" t="n">
        <f aca="false">IF($A143&gt;=BK$25,IF($A143&lt;=BK$26,$AI143,0),0)</f>
        <v>0</v>
      </c>
      <c r="BK143" s="9" t="e">
        <f aca="false">BM143/BJ143</f>
        <v>#DIV/0!</v>
      </c>
      <c r="BL143" s="1" t="n">
        <f aca="false">BJ143*($B143+F$13)</f>
        <v>0</v>
      </c>
      <c r="BM143" s="33" t="n">
        <f aca="false">IF(ISNUMBER(((BL143/BJ143)+F$14+$R143)*BJ143),((BL143/BJ143)+F$14+$R143)*BJ143,0)</f>
        <v>0</v>
      </c>
      <c r="BN143" s="44" t="n">
        <f aca="false">IF(BJ143=0,0,bsd(1,BO$27,BK143,$W143,$T143,$U143,$AH143,0.1))</f>
        <v>0</v>
      </c>
      <c r="BO143" s="44" t="n">
        <f aca="false">IF(BJ143=0,0,bsd(2,BO$27,BK143,$W143,$T143,$U143,$AH143,0.1))</f>
        <v>0</v>
      </c>
      <c r="BP143" s="44" t="n">
        <f aca="false">IF(BJ143=0,0,bsd(BO$28,BO$27,BK143,$W143,$T143,$U143,$AH143,0.1))</f>
        <v>0</v>
      </c>
      <c r="BQ143" s="45" t="n">
        <f aca="false">BJ143*BN143</f>
        <v>0</v>
      </c>
      <c r="BR143" s="45" t="n">
        <f aca="false">BJ143*BO143</f>
        <v>0</v>
      </c>
      <c r="BS143" s="45" t="n">
        <f aca="false">BJ143*BP143</f>
        <v>0</v>
      </c>
      <c r="BU143" s="9" t="n">
        <f aca="false">IF($A143&gt;=BV$25,IF($A143&lt;=BV$26,$AI143,0),0)</f>
        <v>0</v>
      </c>
      <c r="BV143" s="9" t="e">
        <f aca="false">BX143/BU143</f>
        <v>#DIV/0!</v>
      </c>
      <c r="BW143" s="1" t="n">
        <f aca="false">BU143*($B143+H$13)</f>
        <v>0</v>
      </c>
      <c r="BX143" s="33" t="n">
        <f aca="false">IF(ISNUMBER(((BW143/BU143)+H$14+$Y143)*BU143),((BW143/BU143)+H$14+$Y143)*BU143,0)</f>
        <v>0</v>
      </c>
      <c r="BY143" s="44" t="n">
        <f aca="false">IF(BU143=0,0,bsd(1,BZ$27,BV143,$AD143,$AA143,$AB143,$AH143,0.1))</f>
        <v>0</v>
      </c>
      <c r="BZ143" s="44" t="n">
        <f aca="false">IF(BU143=0,0,bsd(2,BZ$27,BV143,$AD143,$AA143,$AB143,$AH143,0.1))</f>
        <v>0</v>
      </c>
      <c r="CA143" s="44" t="n">
        <f aca="false">IF(BU143=0,0,bsd(BZ$28,BZ$27,BV143,$AD143,$AA143,$AB143,$AH143,0.1))</f>
        <v>0</v>
      </c>
      <c r="CB143" s="45" t="n">
        <f aca="false">BU143*BY143</f>
        <v>0</v>
      </c>
      <c r="CC143" s="45" t="n">
        <f aca="false">BU143*BZ143</f>
        <v>0</v>
      </c>
      <c r="CD143" s="45" t="n">
        <f aca="false">BU143*CA143</f>
        <v>0</v>
      </c>
    </row>
    <row r="144" customFormat="false" ht="12.75" hidden="false" customHeight="false" outlineLevel="0" collapsed="false">
      <c r="A144" s="48" t="n">
        <f aca="false">DATE(YEAR(A143),MONTH(A143)+1,1)</f>
        <v>40238</v>
      </c>
      <c r="B144" s="40" t="n">
        <f aca="false">VLOOKUP(A144,STRADDLE,5,FALSE())</f>
        <v>3.365</v>
      </c>
      <c r="C144" s="4" t="n">
        <f aca="false">VLOOKUP(A144,STRADDLE,8,FALSE())</f>
        <v>0.16</v>
      </c>
      <c r="D144" s="40" t="n">
        <f aca="false">IF(D$28="nymex",0,VLOOKUP($A144,curvesettle,HLOOKUP(D$28,curvesettle,2,FALSE())))</f>
        <v>0.965</v>
      </c>
      <c r="E144" s="131" t="n">
        <f aca="false">IF(ISNUMBER(VLOOKUP($A144,VOLCURVES,HLOOKUP(D$28,VOLCURVES,2,FALSE()),FALSE())),VLOOKUP($A144,VOLCURVES,HLOOKUP(D$28,VOLCURVES,2,FALSE()),FALSE()),1)</f>
        <v>1.1</v>
      </c>
      <c r="F144" s="136" t="n">
        <f aca="false">IF(D$28="NYMEX",$AG144,$AF144)</f>
        <v>-5693</v>
      </c>
      <c r="G144" s="4" t="e">
        <f aca="false">(($C144+H144)*$E144)+B$15</f>
        <v>#DIV/0!</v>
      </c>
      <c r="H144" s="4" t="e">
        <f aca="false">IF($B$16=1,VLOOKUP($A144,SkewTable,HLOOKUP(ROUND(I144-AO144,1),SkewTable,2,FALSE()),FALSE())/100,0)</f>
        <v>#DIV/0!</v>
      </c>
      <c r="I144" s="41" t="n">
        <f aca="false">IF($B$19=4,$AO144,$B$18)</f>
        <v>12</v>
      </c>
      <c r="K144" s="40" t="n">
        <f aca="false">IF(K$28="nymex",0,VLOOKUP($A144,curvesettle,HLOOKUP(K$28,curvesettle,2,FALSE())))</f>
        <v>-0.0135</v>
      </c>
      <c r="L144" s="131" t="n">
        <f aca="false">IF(ISNUMBER(VLOOKUP($A144,VOLCURVES,HLOOKUP(K$28,VOLCURVES,2,FALSE()),FALSE())),VLOOKUP($A144,VOLCURVES,HLOOKUP(K$28,VOLCURVES,2,FALSE()),FALSE()),1)</f>
        <v>1</v>
      </c>
      <c r="M144" s="136" t="n">
        <f aca="false">IF(K$28="NYMEX",$AG144,$AF144)</f>
        <v>-5693</v>
      </c>
      <c r="N144" s="153" t="e">
        <f aca="false">(($C144+O144)*$L144)+D$15</f>
        <v>#DIV/0!</v>
      </c>
      <c r="O144" s="4" t="e">
        <f aca="false">IF($D$16=1,VLOOKUP($A144,SkewTable,HLOOKUP(ROUND(P144-AZ144,1),SkewTable,2,FALSE()),FALSE())/100,0)</f>
        <v>#DIV/0!</v>
      </c>
      <c r="P144" s="41" t="n">
        <f aca="false">IF($D$19=4,$AZ144,$D$18)</f>
        <v>3.75</v>
      </c>
      <c r="R144" s="40" t="n">
        <f aca="false">IF(R$28="nymex",0,VLOOKUP($A144,curvesettle,HLOOKUP(R$28,curvesettle,2,FALSE())))</f>
        <v>-0.0135</v>
      </c>
      <c r="S144" s="131" t="n">
        <f aca="false">IF(ISNUMBER(VLOOKUP($A144,VOLCURVES,HLOOKUP(R$28,VOLCURVES,2,FALSE()),FALSE())),VLOOKUP($A144,VOLCURVES,HLOOKUP(R$28,VOLCURVES,2,FALSE()),FALSE()),1)</f>
        <v>1</v>
      </c>
      <c r="T144" s="136" t="n">
        <f aca="false">IF(R$28="NYMEX",$AG144,$AF144)</f>
        <v>-5693</v>
      </c>
      <c r="U144" s="153" t="e">
        <f aca="false">(($C144+V144)*$S144)+F$15</f>
        <v>#DIV/0!</v>
      </c>
      <c r="V144" s="4" t="e">
        <f aca="false">IF($F$16=1,VLOOKUP($A144,SkewTable,HLOOKUP(ROUND(W144-BK144,1),SkewTable,2,FALSE()),FALSE())/100,0)</f>
        <v>#DIV/0!</v>
      </c>
      <c r="W144" s="41" t="n">
        <f aca="false">IF($F$19=4,$BK144,$F$18)</f>
        <v>3.5</v>
      </c>
      <c r="X144" s="136"/>
      <c r="Y144" s="40" t="n">
        <f aca="false">IF(Y$28="nymex",0,VLOOKUP($A144,curvesettle,HLOOKUP(Y$28,curvesettle,2,FALSE())))</f>
        <v>-0.26</v>
      </c>
      <c r="Z144" s="131" t="n">
        <f aca="false">IF(ISNUMBER(VLOOKUP($A144,VOLCURVES,HLOOKUP(Y$28,VOLCURVES,2,FALSE()),FALSE())),VLOOKUP($A144,VOLCURVES,HLOOKUP(Y$28,VOLCURVES,2,FALSE()),FALSE()),1)</f>
        <v>1</v>
      </c>
      <c r="AA144" s="136" t="n">
        <f aca="false">IF(Y$28="NYMEX",$AG144,$AF144)</f>
        <v>-5693</v>
      </c>
      <c r="AB144" s="4" t="e">
        <f aca="false">(($C144+AC144)*$Z144)+H$15</f>
        <v>#DIV/0!</v>
      </c>
      <c r="AC144" s="4" t="e">
        <f aca="false">IF($H$16=1,VLOOKUP($A144,SkewTable,HLOOKUP(ROUND(AD144-BV144,1),SkewTable,2,FALSE()),FALSE())/100,0)</f>
        <v>#DIV/0!</v>
      </c>
      <c r="AD144" s="41" t="n">
        <f aca="false">IF($H$19=4,$BV144,$H$18)</f>
        <v>3</v>
      </c>
      <c r="AF144" s="136" t="n">
        <f aca="false">VLOOKUP($A144,expiration,2,FALSE())-$B$2</f>
        <v>-5693</v>
      </c>
      <c r="AG144" s="136" t="n">
        <f aca="false">VLOOKUP($A144,expiration,3,FALSE())-$B$2</f>
        <v>-5694</v>
      </c>
      <c r="AH144" s="4" t="n">
        <f aca="false">VLOOKUP($A144,STRADDLE,12,FALSE())</f>
        <v>0.070552404770932</v>
      </c>
      <c r="AI144" s="43" t="n">
        <f aca="false">A145-A144</f>
        <v>31</v>
      </c>
      <c r="AL144" s="136"/>
      <c r="AM144" s="9"/>
      <c r="AN144" s="9" t="n">
        <f aca="false">IF($A144&gt;=AO$25,IF($A144&lt;=AO$26,$AI144,0),0)</f>
        <v>0</v>
      </c>
      <c r="AO144" s="9" t="e">
        <f aca="false">AQ144/AN144</f>
        <v>#DIV/0!</v>
      </c>
      <c r="AP144" s="1" t="n">
        <f aca="false">AN144*($B144+B$13)</f>
        <v>0</v>
      </c>
      <c r="AQ144" s="33" t="n">
        <f aca="false">IF(ISNUMBER(((AP144/AN144)+B$14+$D144)*AN144),((AP144/AN144)+B$14+$D144)*AN144,0)</f>
        <v>0</v>
      </c>
      <c r="AR144" s="44" t="n">
        <f aca="false">IF(AN144=0,0,bsd(1,AS$27,AO144,$I144,$F144,$G144,$AH144,0.1))</f>
        <v>0</v>
      </c>
      <c r="AS144" s="44" t="n">
        <f aca="false">IF(AN144=0,0,bsd(2,AS$27,AO144,$I144,$F144,$G144,$AH144,0.1))</f>
        <v>0</v>
      </c>
      <c r="AT144" s="44" t="n">
        <f aca="false">IF(AN144=0,0,bsd(AS$28,AS$27,AO144,$I144,$F144,$G144,$AH144,0.1))</f>
        <v>0</v>
      </c>
      <c r="AU144" s="45" t="n">
        <f aca="false">AN144*AR144</f>
        <v>0</v>
      </c>
      <c r="AV144" s="45" t="n">
        <f aca="false">AN144*AS144</f>
        <v>0</v>
      </c>
      <c r="AW144" s="45" t="n">
        <f aca="false">AN144*AT144</f>
        <v>0</v>
      </c>
      <c r="AY144" s="9" t="n">
        <f aca="false">IF($A144&gt;=AZ$25,IF($A144&lt;=AZ$26,$AI144,0),0)</f>
        <v>0</v>
      </c>
      <c r="AZ144" s="9" t="e">
        <f aca="false">BB144/AY144</f>
        <v>#DIV/0!</v>
      </c>
      <c r="BA144" s="1" t="n">
        <f aca="false">AY144*($B144+D$13)</f>
        <v>0</v>
      </c>
      <c r="BB144" s="33" t="n">
        <f aca="false">IF(ISNUMBER(((BA144/AY144)+D$14+$K144)*AY144),((BA144/AY144)+D$14+$K144)*AY144,0)</f>
        <v>0</v>
      </c>
      <c r="BC144" s="44" t="n">
        <f aca="false">IF(AY144=0,0,bsd(1,BD$27,AZ144,$P144,$M144,$N144,$AH144,0.1))</f>
        <v>0</v>
      </c>
      <c r="BD144" s="44" t="n">
        <f aca="false">IF(AY144=0,0,bsd(2,BD$27,AZ144,$P144,$M144,$N144,$AH144,0.1))</f>
        <v>0</v>
      </c>
      <c r="BE144" s="44" t="n">
        <f aca="false">IF(AY144=0,0,bsd(BD$28,BD$27,AZ144,$P144,$M144,$N144,$AH144,0.1))</f>
        <v>0</v>
      </c>
      <c r="BF144" s="45" t="n">
        <f aca="false">AY144*BC144</f>
        <v>0</v>
      </c>
      <c r="BG144" s="45" t="n">
        <f aca="false">AY144*BD144</f>
        <v>0</v>
      </c>
      <c r="BH144" s="45" t="n">
        <f aca="false">AY144*BE144</f>
        <v>0</v>
      </c>
      <c r="BJ144" s="9" t="n">
        <f aca="false">IF($A144&gt;=BK$25,IF($A144&lt;=BK$26,$AI144,0),0)</f>
        <v>0</v>
      </c>
      <c r="BK144" s="9" t="e">
        <f aca="false">BM144/BJ144</f>
        <v>#DIV/0!</v>
      </c>
      <c r="BL144" s="1" t="n">
        <f aca="false">BJ144*($B144+F$13)</f>
        <v>0</v>
      </c>
      <c r="BM144" s="33" t="n">
        <f aca="false">IF(ISNUMBER(((BL144/BJ144)+F$14+$R144)*BJ144),((BL144/BJ144)+F$14+$R144)*BJ144,0)</f>
        <v>0</v>
      </c>
      <c r="BN144" s="44" t="n">
        <f aca="false">IF(BJ144=0,0,bsd(1,BO$27,BK144,$W144,$T144,$U144,$AH144,0.1))</f>
        <v>0</v>
      </c>
      <c r="BO144" s="44" t="n">
        <f aca="false">IF(BJ144=0,0,bsd(2,BO$27,BK144,$W144,$T144,$U144,$AH144,0.1))</f>
        <v>0</v>
      </c>
      <c r="BP144" s="44" t="n">
        <f aca="false">IF(BJ144=0,0,bsd(BO$28,BO$27,BK144,$W144,$T144,$U144,$AH144,0.1))</f>
        <v>0</v>
      </c>
      <c r="BQ144" s="45" t="n">
        <f aca="false">BJ144*BN144</f>
        <v>0</v>
      </c>
      <c r="BR144" s="45" t="n">
        <f aca="false">BJ144*BO144</f>
        <v>0</v>
      </c>
      <c r="BS144" s="45" t="n">
        <f aca="false">BJ144*BP144</f>
        <v>0</v>
      </c>
      <c r="BU144" s="9" t="n">
        <f aca="false">IF($A144&gt;=BV$25,IF($A144&lt;=BV$26,$AI144,0),0)</f>
        <v>0</v>
      </c>
      <c r="BV144" s="9" t="e">
        <f aca="false">BX144/BU144</f>
        <v>#DIV/0!</v>
      </c>
      <c r="BW144" s="1" t="n">
        <f aca="false">BU144*($B144+H$13)</f>
        <v>0</v>
      </c>
      <c r="BX144" s="33" t="n">
        <f aca="false">IF(ISNUMBER(((BW144/BU144)+H$14+$Y144)*BU144),((BW144/BU144)+H$14+$Y144)*BU144,0)</f>
        <v>0</v>
      </c>
      <c r="BY144" s="44" t="n">
        <f aca="false">IF(BU144=0,0,bsd(1,BZ$27,BV144,$AD144,$AA144,$AB144,$AH144,0.1))</f>
        <v>0</v>
      </c>
      <c r="BZ144" s="44" t="n">
        <f aca="false">IF(BU144=0,0,bsd(2,BZ$27,BV144,$AD144,$AA144,$AB144,$AH144,0.1))</f>
        <v>0</v>
      </c>
      <c r="CA144" s="44" t="n">
        <f aca="false">IF(BU144=0,0,bsd(BZ$28,BZ$27,BV144,$AD144,$AA144,$AB144,$AH144,0.1))</f>
        <v>0</v>
      </c>
      <c r="CB144" s="45" t="n">
        <f aca="false">BU144*BY144</f>
        <v>0</v>
      </c>
      <c r="CC144" s="45" t="n">
        <f aca="false">BU144*BZ144</f>
        <v>0</v>
      </c>
      <c r="CD144" s="45" t="n">
        <f aca="false">BU144*CA144</f>
        <v>0</v>
      </c>
    </row>
    <row r="145" customFormat="false" ht="12.75" hidden="false" customHeight="false" outlineLevel="0" collapsed="false">
      <c r="A145" s="48" t="n">
        <f aca="false">DATE(YEAR(A144),MONTH(A144)+1,1)</f>
        <v>40269</v>
      </c>
      <c r="B145" s="40" t="n">
        <f aca="false">VLOOKUP(A145,STRADDLE,5,FALSE())</f>
        <v>3.196</v>
      </c>
      <c r="C145" s="4" t="n">
        <f aca="false">VLOOKUP(A145,STRADDLE,8,FALSE())</f>
        <v>0.16</v>
      </c>
      <c r="D145" s="40" t="n">
        <f aca="false">IF(D$28="nymex",0,VLOOKUP($A145,curvesettle,HLOOKUP(D$28,curvesettle,2,FALSE())))</f>
        <v>0.45</v>
      </c>
      <c r="E145" s="131" t="n">
        <f aca="false">IF(ISNUMBER(VLOOKUP($A145,VOLCURVES,HLOOKUP(D$28,VOLCURVES,2,FALSE()),FALSE())),VLOOKUP($A145,VOLCURVES,HLOOKUP(D$28,VOLCURVES,2,FALSE()),FALSE()),1)</f>
        <v>0.98</v>
      </c>
      <c r="F145" s="136" t="n">
        <f aca="false">IF(D$28="NYMEX",$AG145,$AF145)</f>
        <v>-5660</v>
      </c>
      <c r="G145" s="4" t="e">
        <f aca="false">(($C145+H145)*$E145)+B$15</f>
        <v>#DIV/0!</v>
      </c>
      <c r="H145" s="4" t="e">
        <f aca="false">IF($B$16=1,VLOOKUP($A145,SkewTable,HLOOKUP(ROUND(I145-AO145,1),SkewTable,2,FALSE()),FALSE())/100,0)</f>
        <v>#DIV/0!</v>
      </c>
      <c r="I145" s="41" t="n">
        <f aca="false">IF($B$19=4,$AO145,$B$18)</f>
        <v>12</v>
      </c>
      <c r="K145" s="40" t="n">
        <f aca="false">IF(K$28="nymex",0,VLOOKUP($A145,curvesettle,HLOOKUP(K$28,curvesettle,2,FALSE())))</f>
        <v>-0.016</v>
      </c>
      <c r="L145" s="131" t="n">
        <f aca="false">IF(ISNUMBER(VLOOKUP($A145,VOLCURVES,HLOOKUP(K$28,VOLCURVES,2,FALSE()),FALSE())),VLOOKUP($A145,VOLCURVES,HLOOKUP(K$28,VOLCURVES,2,FALSE()),FALSE()),1)</f>
        <v>1</v>
      </c>
      <c r="M145" s="136" t="n">
        <f aca="false">IF(K$28="NYMEX",$AG145,$AF145)</f>
        <v>-5660</v>
      </c>
      <c r="N145" s="153" t="e">
        <f aca="false">(($C145+O145)*$L145)+D$15</f>
        <v>#DIV/0!</v>
      </c>
      <c r="O145" s="4" t="e">
        <f aca="false">IF($D$16=1,VLOOKUP($A145,SkewTable,HLOOKUP(ROUND(P145-AZ145,1),SkewTable,2,FALSE()),FALSE())/100,0)</f>
        <v>#DIV/0!</v>
      </c>
      <c r="P145" s="41" t="n">
        <f aca="false">IF($D$19=4,$AZ145,$D$18)</f>
        <v>3.75</v>
      </c>
      <c r="R145" s="40" t="n">
        <f aca="false">IF(R$28="nymex",0,VLOOKUP($A145,curvesettle,HLOOKUP(R$28,curvesettle,2,FALSE())))</f>
        <v>-0.016</v>
      </c>
      <c r="S145" s="131" t="n">
        <f aca="false">IF(ISNUMBER(VLOOKUP($A145,VOLCURVES,HLOOKUP(R$28,VOLCURVES,2,FALSE()),FALSE())),VLOOKUP($A145,VOLCURVES,HLOOKUP(R$28,VOLCURVES,2,FALSE()),FALSE()),1)</f>
        <v>1</v>
      </c>
      <c r="T145" s="136" t="n">
        <f aca="false">IF(R$28="NYMEX",$AG145,$AF145)</f>
        <v>-5660</v>
      </c>
      <c r="U145" s="153" t="e">
        <f aca="false">(($C145+V145)*$S145)+F$15</f>
        <v>#DIV/0!</v>
      </c>
      <c r="V145" s="4" t="e">
        <f aca="false">IF($F$16=1,VLOOKUP($A145,SkewTable,HLOOKUP(ROUND(W145-BK145,1),SkewTable,2,FALSE()),FALSE())/100,0)</f>
        <v>#DIV/0!</v>
      </c>
      <c r="W145" s="41" t="n">
        <f aca="false">IF($F$19=4,$BK145,$F$18)</f>
        <v>3.5</v>
      </c>
      <c r="X145" s="136"/>
      <c r="Y145" s="40" t="n">
        <f aca="false">IF(Y$28="nymex",0,VLOOKUP($A145,curvesettle,HLOOKUP(Y$28,curvesettle,2,FALSE())))</f>
        <v>-0.335</v>
      </c>
      <c r="Z145" s="131" t="n">
        <f aca="false">IF(ISNUMBER(VLOOKUP($A145,VOLCURVES,HLOOKUP(Y$28,VOLCURVES,2,FALSE()),FALSE())),VLOOKUP($A145,VOLCURVES,HLOOKUP(Y$28,VOLCURVES,2,FALSE()),FALSE()),1)</f>
        <v>1</v>
      </c>
      <c r="AA145" s="136" t="n">
        <f aca="false">IF(Y$28="NYMEX",$AG145,$AF145)</f>
        <v>-5660</v>
      </c>
      <c r="AB145" s="4" t="e">
        <f aca="false">(($C145+AC145)*$Z145)+H$15</f>
        <v>#DIV/0!</v>
      </c>
      <c r="AC145" s="4" t="e">
        <f aca="false">IF($H$16=1,VLOOKUP($A145,SkewTable,HLOOKUP(ROUND(AD145-BV145,1),SkewTable,2,FALSE()),FALSE())/100,0)</f>
        <v>#DIV/0!</v>
      </c>
      <c r="AD145" s="41" t="n">
        <f aca="false">IF($H$19=4,$BV145,$H$18)</f>
        <v>3</v>
      </c>
      <c r="AF145" s="136" t="n">
        <f aca="false">VLOOKUP($A145,expiration,2,FALSE())-$B$2</f>
        <v>-5660</v>
      </c>
      <c r="AG145" s="136" t="n">
        <f aca="false">VLOOKUP($A145,expiration,3,FALSE())-$B$2</f>
        <v>-5663</v>
      </c>
      <c r="AH145" s="4" t="n">
        <f aca="false">VLOOKUP($A145,STRADDLE,12,FALSE())</f>
        <v>0.070589799503131</v>
      </c>
      <c r="AI145" s="43" t="n">
        <f aca="false">A146-A145</f>
        <v>30</v>
      </c>
      <c r="AL145" s="136"/>
      <c r="AM145" s="9"/>
      <c r="AN145" s="9" t="n">
        <f aca="false">IF($A145&gt;=AO$25,IF($A145&lt;=AO$26,$AI145,0),0)</f>
        <v>0</v>
      </c>
      <c r="AO145" s="9" t="e">
        <f aca="false">AQ145/AN145</f>
        <v>#DIV/0!</v>
      </c>
      <c r="AP145" s="1" t="n">
        <f aca="false">AN145*($B145+B$13)</f>
        <v>0</v>
      </c>
      <c r="AQ145" s="33" t="n">
        <f aca="false">IF(ISNUMBER(((AP145/AN145)+B$14+$D145)*AN145),((AP145/AN145)+B$14+$D145)*AN145,0)</f>
        <v>0</v>
      </c>
      <c r="AR145" s="44" t="n">
        <f aca="false">IF(AN145=0,0,bsd(1,AS$27,AO145,$I145,$F145,$G145,$AH145,0.1))</f>
        <v>0</v>
      </c>
      <c r="AS145" s="44" t="n">
        <f aca="false">IF(AN145=0,0,bsd(2,AS$27,AO145,$I145,$F145,$G145,$AH145,0.1))</f>
        <v>0</v>
      </c>
      <c r="AT145" s="44" t="n">
        <f aca="false">IF(AN145=0,0,bsd(AS$28,AS$27,AO145,$I145,$F145,$G145,$AH145,0.1))</f>
        <v>0</v>
      </c>
      <c r="AU145" s="45" t="n">
        <f aca="false">AN145*AR145</f>
        <v>0</v>
      </c>
      <c r="AV145" s="45" t="n">
        <f aca="false">AN145*AS145</f>
        <v>0</v>
      </c>
      <c r="AW145" s="45" t="n">
        <f aca="false">AN145*AT145</f>
        <v>0</v>
      </c>
      <c r="AY145" s="9" t="n">
        <f aca="false">IF($A145&gt;=AZ$25,IF($A145&lt;=AZ$26,$AI145,0),0)</f>
        <v>0</v>
      </c>
      <c r="AZ145" s="9" t="e">
        <f aca="false">BB145/AY145</f>
        <v>#DIV/0!</v>
      </c>
      <c r="BA145" s="1" t="n">
        <f aca="false">AY145*($B145+D$13)</f>
        <v>0</v>
      </c>
      <c r="BB145" s="33" t="n">
        <f aca="false">IF(ISNUMBER(((BA145/AY145)+D$14+$K145)*AY145),((BA145/AY145)+D$14+$K145)*AY145,0)</f>
        <v>0</v>
      </c>
      <c r="BC145" s="44" t="n">
        <f aca="false">IF(AY145=0,0,bsd(1,BD$27,AZ145,$P145,$M145,$N145,$AH145,0.1))</f>
        <v>0</v>
      </c>
      <c r="BD145" s="44" t="n">
        <f aca="false">IF(AY145=0,0,bsd(2,BD$27,AZ145,$P145,$M145,$N145,$AH145,0.1))</f>
        <v>0</v>
      </c>
      <c r="BE145" s="44" t="n">
        <f aca="false">IF(AY145=0,0,bsd(BD$28,BD$27,AZ145,$P145,$M145,$N145,$AH145,0.1))</f>
        <v>0</v>
      </c>
      <c r="BF145" s="45" t="n">
        <f aca="false">AY145*BC145</f>
        <v>0</v>
      </c>
      <c r="BG145" s="45" t="n">
        <f aca="false">AY145*BD145</f>
        <v>0</v>
      </c>
      <c r="BH145" s="45" t="n">
        <f aca="false">AY145*BE145</f>
        <v>0</v>
      </c>
      <c r="BJ145" s="9" t="n">
        <f aca="false">IF($A145&gt;=BK$25,IF($A145&lt;=BK$26,$AI145,0),0)</f>
        <v>0</v>
      </c>
      <c r="BK145" s="9" t="e">
        <f aca="false">BM145/BJ145</f>
        <v>#DIV/0!</v>
      </c>
      <c r="BL145" s="1" t="n">
        <f aca="false">BJ145*($B145+F$13)</f>
        <v>0</v>
      </c>
      <c r="BM145" s="33" t="n">
        <f aca="false">IF(ISNUMBER(((BL145/BJ145)+F$14+$R145)*BJ145),((BL145/BJ145)+F$14+$R145)*BJ145,0)</f>
        <v>0</v>
      </c>
      <c r="BN145" s="44" t="n">
        <f aca="false">IF(BJ145=0,0,bsd(1,BO$27,BK145,$W145,$T145,$U145,$AH145,0.1))</f>
        <v>0</v>
      </c>
      <c r="BO145" s="44" t="n">
        <f aca="false">IF(BJ145=0,0,bsd(2,BO$27,BK145,$W145,$T145,$U145,$AH145,0.1))</f>
        <v>0</v>
      </c>
      <c r="BP145" s="44" t="n">
        <f aca="false">IF(BJ145=0,0,bsd(BO$28,BO$27,BK145,$W145,$T145,$U145,$AH145,0.1))</f>
        <v>0</v>
      </c>
      <c r="BQ145" s="45" t="n">
        <f aca="false">BJ145*BN145</f>
        <v>0</v>
      </c>
      <c r="BR145" s="45" t="n">
        <f aca="false">BJ145*BO145</f>
        <v>0</v>
      </c>
      <c r="BS145" s="45" t="n">
        <f aca="false">BJ145*BP145</f>
        <v>0</v>
      </c>
      <c r="BU145" s="9" t="n">
        <f aca="false">IF($A145&gt;=BV$25,IF($A145&lt;=BV$26,$AI145,0),0)</f>
        <v>0</v>
      </c>
      <c r="BV145" s="9" t="e">
        <f aca="false">BX145/BU145</f>
        <v>#DIV/0!</v>
      </c>
      <c r="BW145" s="1" t="n">
        <f aca="false">BU145*($B145+H$13)</f>
        <v>0</v>
      </c>
      <c r="BX145" s="33" t="n">
        <f aca="false">IF(ISNUMBER(((BW145/BU145)+H$14+$Y145)*BU145),((BW145/BU145)+H$14+$Y145)*BU145,0)</f>
        <v>0</v>
      </c>
      <c r="BY145" s="44" t="n">
        <f aca="false">IF(BU145=0,0,bsd(1,BZ$27,BV145,$AD145,$AA145,$AB145,$AH145,0.1))</f>
        <v>0</v>
      </c>
      <c r="BZ145" s="44" t="n">
        <f aca="false">IF(BU145=0,0,bsd(2,BZ$27,BV145,$AD145,$AA145,$AB145,$AH145,0.1))</f>
        <v>0</v>
      </c>
      <c r="CA145" s="44" t="n">
        <f aca="false">IF(BU145=0,0,bsd(BZ$28,BZ$27,BV145,$AD145,$AA145,$AB145,$AH145,0.1))</f>
        <v>0</v>
      </c>
      <c r="CB145" s="45" t="n">
        <f aca="false">BU145*BY145</f>
        <v>0</v>
      </c>
      <c r="CC145" s="45" t="n">
        <f aca="false">BU145*BZ145</f>
        <v>0</v>
      </c>
      <c r="CD145" s="45" t="n">
        <f aca="false">BU145*CA145</f>
        <v>0</v>
      </c>
    </row>
    <row r="146" customFormat="false" ht="12.75" hidden="false" customHeight="false" outlineLevel="0" collapsed="false">
      <c r="A146" s="48" t="n">
        <f aca="false">DATE(YEAR(A145),MONTH(A145)+1,1)</f>
        <v>40299</v>
      </c>
      <c r="B146" s="40" t="n">
        <f aca="false">VLOOKUP(A146,STRADDLE,5,FALSE())</f>
        <v>3.153</v>
      </c>
      <c r="C146" s="4" t="n">
        <f aca="false">VLOOKUP(A146,STRADDLE,8,FALSE())</f>
        <v>0.16</v>
      </c>
      <c r="D146" s="40" t="n">
        <f aca="false">IF(D$28="nymex",0,VLOOKUP($A146,curvesettle,HLOOKUP(D$28,curvesettle,2,FALSE())))</f>
        <v>0.405</v>
      </c>
      <c r="E146" s="131" t="n">
        <f aca="false">IF(ISNUMBER(VLOOKUP($A146,VOLCURVES,HLOOKUP(D$28,VOLCURVES,2,FALSE()),FALSE())),VLOOKUP($A146,VOLCURVES,HLOOKUP(D$28,VOLCURVES,2,FALSE()),FALSE()),1)</f>
        <v>0.98</v>
      </c>
      <c r="F146" s="136" t="n">
        <f aca="false">IF(D$28="NYMEX",$AG146,$AF146)</f>
        <v>-5630</v>
      </c>
      <c r="G146" s="4" t="e">
        <f aca="false">(($C146+H146)*$E146)+B$15</f>
        <v>#DIV/0!</v>
      </c>
      <c r="H146" s="4" t="e">
        <f aca="false">IF($B$16=1,VLOOKUP($A146,SkewTable,HLOOKUP(ROUND(I146-AO146,1),SkewTable,2,FALSE()),FALSE())/100,0)</f>
        <v>#DIV/0!</v>
      </c>
      <c r="I146" s="41" t="n">
        <f aca="false">IF($B$19=4,$AO146,$B$18)</f>
        <v>12</v>
      </c>
      <c r="K146" s="40" t="n">
        <f aca="false">IF(K$28="nymex",0,VLOOKUP($A146,curvesettle,HLOOKUP(K$28,curvesettle,2,FALSE())))</f>
        <v>-0.016</v>
      </c>
      <c r="L146" s="131" t="n">
        <f aca="false">IF(ISNUMBER(VLOOKUP($A146,VOLCURVES,HLOOKUP(K$28,VOLCURVES,2,FALSE()),FALSE())),VLOOKUP($A146,VOLCURVES,HLOOKUP(K$28,VOLCURVES,2,FALSE()),FALSE()),1)</f>
        <v>1</v>
      </c>
      <c r="M146" s="136" t="n">
        <f aca="false">IF(K$28="NYMEX",$AG146,$AF146)</f>
        <v>-5630</v>
      </c>
      <c r="N146" s="153" t="e">
        <f aca="false">(($C146+O146)*$L146)+D$15</f>
        <v>#DIV/0!</v>
      </c>
      <c r="O146" s="4" t="e">
        <f aca="false">IF($D$16=1,VLOOKUP($A146,SkewTable,HLOOKUP(ROUND(P146-AZ146,1),SkewTable,2,FALSE()),FALSE())/100,0)</f>
        <v>#DIV/0!</v>
      </c>
      <c r="P146" s="41" t="n">
        <f aca="false">IF($D$19=4,$AZ146,$D$18)</f>
        <v>3.75</v>
      </c>
      <c r="R146" s="40" t="n">
        <f aca="false">IF(R$28="nymex",0,VLOOKUP($A146,curvesettle,HLOOKUP(R$28,curvesettle,2,FALSE())))</f>
        <v>-0.016</v>
      </c>
      <c r="S146" s="131" t="n">
        <f aca="false">IF(ISNUMBER(VLOOKUP($A146,VOLCURVES,HLOOKUP(R$28,VOLCURVES,2,FALSE()),FALSE())),VLOOKUP($A146,VOLCURVES,HLOOKUP(R$28,VOLCURVES,2,FALSE()),FALSE()),1)</f>
        <v>1</v>
      </c>
      <c r="T146" s="136" t="n">
        <f aca="false">IF(R$28="NYMEX",$AG146,$AF146)</f>
        <v>-5630</v>
      </c>
      <c r="U146" s="153" t="e">
        <f aca="false">(($C146+V146)*$S146)+F$15</f>
        <v>#DIV/0!</v>
      </c>
      <c r="V146" s="4" t="e">
        <f aca="false">IF($F$16=1,VLOOKUP($A146,SkewTable,HLOOKUP(ROUND(W146-BK146,1),SkewTable,2,FALSE()),FALSE())/100,0)</f>
        <v>#DIV/0!</v>
      </c>
      <c r="W146" s="41" t="n">
        <f aca="false">IF($F$19=4,$BK146,$F$18)</f>
        <v>3.5</v>
      </c>
      <c r="X146" s="136"/>
      <c r="Y146" s="40" t="n">
        <f aca="false">IF(Y$28="nymex",0,VLOOKUP($A146,curvesettle,HLOOKUP(Y$28,curvesettle,2,FALSE())))</f>
        <v>-0.335</v>
      </c>
      <c r="Z146" s="131" t="n">
        <f aca="false">IF(ISNUMBER(VLOOKUP($A146,VOLCURVES,HLOOKUP(Y$28,VOLCURVES,2,FALSE()),FALSE())),VLOOKUP($A146,VOLCURVES,HLOOKUP(Y$28,VOLCURVES,2,FALSE()),FALSE()),1)</f>
        <v>1</v>
      </c>
      <c r="AA146" s="136" t="n">
        <f aca="false">IF(Y$28="NYMEX",$AG146,$AF146)</f>
        <v>-5630</v>
      </c>
      <c r="AB146" s="4" t="e">
        <f aca="false">(($C146+AC146)*$Z146)+H$15</f>
        <v>#DIV/0!</v>
      </c>
      <c r="AC146" s="4" t="e">
        <f aca="false">IF($H$16=1,VLOOKUP($A146,SkewTable,HLOOKUP(ROUND(AD146-BV146,1),SkewTable,2,FALSE()),FALSE())/100,0)</f>
        <v>#DIV/0!</v>
      </c>
      <c r="AD146" s="41" t="n">
        <f aca="false">IF($H$19=4,$BV146,$H$18)</f>
        <v>3</v>
      </c>
      <c r="AF146" s="136" t="n">
        <f aca="false">VLOOKUP($A146,expiration,2,FALSE())-$B$2</f>
        <v>-5630</v>
      </c>
      <c r="AG146" s="136" t="n">
        <f aca="false">VLOOKUP($A146,expiration,3,FALSE())-$B$2</f>
        <v>-5631</v>
      </c>
      <c r="AH146" s="4" t="n">
        <f aca="false">VLOOKUP($A146,STRADDLE,12,FALSE())</f>
        <v>0.070625987954085</v>
      </c>
      <c r="AI146" s="43" t="n">
        <f aca="false">A147-A146</f>
        <v>31</v>
      </c>
      <c r="AL146" s="136"/>
      <c r="AM146" s="9"/>
      <c r="AN146" s="9" t="n">
        <f aca="false">IF($A146&gt;=AO$25,IF($A146&lt;=AO$26,$AI146,0),0)</f>
        <v>0</v>
      </c>
      <c r="AO146" s="9" t="e">
        <f aca="false">AQ146/AN146</f>
        <v>#DIV/0!</v>
      </c>
      <c r="AP146" s="1" t="n">
        <f aca="false">AN146*($B146+B$13)</f>
        <v>0</v>
      </c>
      <c r="AQ146" s="33" t="n">
        <f aca="false">IF(ISNUMBER(((AP146/AN146)+B$14+$D146)*AN146),((AP146/AN146)+B$14+$D146)*AN146,0)</f>
        <v>0</v>
      </c>
      <c r="AR146" s="44" t="n">
        <f aca="false">IF(AN146=0,0,bsd(1,AS$27,AO146,$I146,$F146,$G146,$AH146,0.1))</f>
        <v>0</v>
      </c>
      <c r="AS146" s="44" t="n">
        <f aca="false">IF(AN146=0,0,bsd(2,AS$27,AO146,$I146,$F146,$G146,$AH146,0.1))</f>
        <v>0</v>
      </c>
      <c r="AT146" s="44" t="n">
        <f aca="false">IF(AN146=0,0,bsd(AS$28,AS$27,AO146,$I146,$F146,$G146,$AH146,0.1))</f>
        <v>0</v>
      </c>
      <c r="AU146" s="45" t="n">
        <f aca="false">AN146*AR146</f>
        <v>0</v>
      </c>
      <c r="AV146" s="45" t="n">
        <f aca="false">AN146*AS146</f>
        <v>0</v>
      </c>
      <c r="AW146" s="45" t="n">
        <f aca="false">AN146*AT146</f>
        <v>0</v>
      </c>
      <c r="AY146" s="9" t="n">
        <f aca="false">IF($A146&gt;=AZ$25,IF($A146&lt;=AZ$26,$AI146,0),0)</f>
        <v>0</v>
      </c>
      <c r="AZ146" s="9" t="e">
        <f aca="false">BB146/AY146</f>
        <v>#DIV/0!</v>
      </c>
      <c r="BA146" s="1" t="n">
        <f aca="false">AY146*($B146+D$13)</f>
        <v>0</v>
      </c>
      <c r="BB146" s="33" t="n">
        <f aca="false">IF(ISNUMBER(((BA146/AY146)+D$14+$K146)*AY146),((BA146/AY146)+D$14+$K146)*AY146,0)</f>
        <v>0</v>
      </c>
      <c r="BC146" s="44" t="n">
        <f aca="false">IF(AY146=0,0,bsd(1,BD$27,AZ146,$P146,$M146,$N146,$AH146,0.1))</f>
        <v>0</v>
      </c>
      <c r="BD146" s="44" t="n">
        <f aca="false">IF(AY146=0,0,bsd(2,BD$27,AZ146,$P146,$M146,$N146,$AH146,0.1))</f>
        <v>0</v>
      </c>
      <c r="BE146" s="44" t="n">
        <f aca="false">IF(AY146=0,0,bsd(BD$28,BD$27,AZ146,$P146,$M146,$N146,$AH146,0.1))</f>
        <v>0</v>
      </c>
      <c r="BF146" s="45" t="n">
        <f aca="false">AY146*BC146</f>
        <v>0</v>
      </c>
      <c r="BG146" s="45" t="n">
        <f aca="false">AY146*BD146</f>
        <v>0</v>
      </c>
      <c r="BH146" s="45" t="n">
        <f aca="false">AY146*BE146</f>
        <v>0</v>
      </c>
      <c r="BJ146" s="9" t="n">
        <f aca="false">IF($A146&gt;=BK$25,IF($A146&lt;=BK$26,$AI146,0),0)</f>
        <v>0</v>
      </c>
      <c r="BK146" s="9" t="e">
        <f aca="false">BM146/BJ146</f>
        <v>#DIV/0!</v>
      </c>
      <c r="BL146" s="1" t="n">
        <f aca="false">BJ146*($B146+F$13)</f>
        <v>0</v>
      </c>
      <c r="BM146" s="33" t="n">
        <f aca="false">IF(ISNUMBER(((BL146/BJ146)+F$14+$R146)*BJ146),((BL146/BJ146)+F$14+$R146)*BJ146,0)</f>
        <v>0</v>
      </c>
      <c r="BN146" s="44" t="n">
        <f aca="false">IF(BJ146=0,0,bsd(1,BO$27,BK146,$W146,$T146,$U146,$AH146,0.1))</f>
        <v>0</v>
      </c>
      <c r="BO146" s="44" t="n">
        <f aca="false">IF(BJ146=0,0,bsd(2,BO$27,BK146,$W146,$T146,$U146,$AH146,0.1))</f>
        <v>0</v>
      </c>
      <c r="BP146" s="44" t="n">
        <f aca="false">IF(BJ146=0,0,bsd(BO$28,BO$27,BK146,$W146,$T146,$U146,$AH146,0.1))</f>
        <v>0</v>
      </c>
      <c r="BQ146" s="45" t="n">
        <f aca="false">BJ146*BN146</f>
        <v>0</v>
      </c>
      <c r="BR146" s="45" t="n">
        <f aca="false">BJ146*BO146</f>
        <v>0</v>
      </c>
      <c r="BS146" s="45" t="n">
        <f aca="false">BJ146*BP146</f>
        <v>0</v>
      </c>
      <c r="BU146" s="9" t="n">
        <f aca="false">IF($A146&gt;=BV$25,IF($A146&lt;=BV$26,$AI146,0),0)</f>
        <v>0</v>
      </c>
      <c r="BV146" s="9" t="e">
        <f aca="false">BX146/BU146</f>
        <v>#DIV/0!</v>
      </c>
      <c r="BW146" s="1" t="n">
        <f aca="false">BU146*($B146+H$13)</f>
        <v>0</v>
      </c>
      <c r="BX146" s="33" t="n">
        <f aca="false">IF(ISNUMBER(((BW146/BU146)+H$14+$Y146)*BU146),((BW146/BU146)+H$14+$Y146)*BU146,0)</f>
        <v>0</v>
      </c>
      <c r="BY146" s="44" t="n">
        <f aca="false">IF(BU146=0,0,bsd(1,BZ$27,BV146,$AD146,$AA146,$AB146,$AH146,0.1))</f>
        <v>0</v>
      </c>
      <c r="BZ146" s="44" t="n">
        <f aca="false">IF(BU146=0,0,bsd(2,BZ$27,BV146,$AD146,$AA146,$AB146,$AH146,0.1))</f>
        <v>0</v>
      </c>
      <c r="CA146" s="44" t="n">
        <f aca="false">IF(BU146=0,0,bsd(BZ$28,BZ$27,BV146,$AD146,$AA146,$AB146,$AH146,0.1))</f>
        <v>0</v>
      </c>
      <c r="CB146" s="45" t="n">
        <f aca="false">BU146*BY146</f>
        <v>0</v>
      </c>
      <c r="CC146" s="45" t="n">
        <f aca="false">BU146*BZ146</f>
        <v>0</v>
      </c>
      <c r="CD146" s="45" t="n">
        <f aca="false">BU146*CA146</f>
        <v>0</v>
      </c>
    </row>
    <row r="147" customFormat="false" ht="12.75" hidden="false" customHeight="false" outlineLevel="0" collapsed="false">
      <c r="A147" s="48" t="n">
        <f aca="false">DATE(YEAR(A146),MONTH(A146)+1,1)</f>
        <v>40330</v>
      </c>
      <c r="B147" s="40" t="n">
        <f aca="false">VLOOKUP(A147,STRADDLE,5,FALSE())</f>
        <v>3.168</v>
      </c>
      <c r="C147" s="4" t="n">
        <f aca="false">VLOOKUP(A147,STRADDLE,8,FALSE())</f>
        <v>0.16</v>
      </c>
      <c r="D147" s="40" t="n">
        <f aca="false">IF(D$28="nymex",0,VLOOKUP($A147,curvesettle,HLOOKUP(D$28,curvesettle,2,FALSE())))</f>
        <v>0.395</v>
      </c>
      <c r="E147" s="131" t="n">
        <f aca="false">IF(ISNUMBER(VLOOKUP($A147,VOLCURVES,HLOOKUP(D$28,VOLCURVES,2,FALSE()),FALSE())),VLOOKUP($A147,VOLCURVES,HLOOKUP(D$28,VOLCURVES,2,FALSE()),FALSE()),1)</f>
        <v>0.98</v>
      </c>
      <c r="F147" s="136" t="n">
        <f aca="false">IF(D$28="NYMEX",$AG147,$AF147)</f>
        <v>-5602</v>
      </c>
      <c r="G147" s="4" t="e">
        <f aca="false">(($C147+H147)*$E147)+B$15</f>
        <v>#DIV/0!</v>
      </c>
      <c r="H147" s="4" t="e">
        <f aca="false">IF($B$16=1,VLOOKUP($A147,SkewTable,HLOOKUP(ROUND(I147-AO147,1),SkewTable,2,FALSE()),FALSE())/100,0)</f>
        <v>#DIV/0!</v>
      </c>
      <c r="I147" s="41" t="n">
        <f aca="false">IF($B$19=4,$AO147,$B$18)</f>
        <v>12</v>
      </c>
      <c r="K147" s="40" t="n">
        <f aca="false">IF(K$28="nymex",0,VLOOKUP($A147,curvesettle,HLOOKUP(K$28,curvesettle,2,FALSE())))</f>
        <v>-0.016</v>
      </c>
      <c r="L147" s="131" t="n">
        <f aca="false">IF(ISNUMBER(VLOOKUP($A147,VOLCURVES,HLOOKUP(K$28,VOLCURVES,2,FALSE()),FALSE())),VLOOKUP($A147,VOLCURVES,HLOOKUP(K$28,VOLCURVES,2,FALSE()),FALSE()),1)</f>
        <v>1</v>
      </c>
      <c r="M147" s="136" t="n">
        <f aca="false">IF(K$28="NYMEX",$AG147,$AF147)</f>
        <v>-5602</v>
      </c>
      <c r="N147" s="153" t="e">
        <f aca="false">(($C147+O147)*$L147)+D$15</f>
        <v>#DIV/0!</v>
      </c>
      <c r="O147" s="4" t="e">
        <f aca="false">IF($D$16=1,VLOOKUP($A147,SkewTable,HLOOKUP(ROUND(P147-AZ147,1),SkewTable,2,FALSE()),FALSE())/100,0)</f>
        <v>#DIV/0!</v>
      </c>
      <c r="P147" s="41" t="n">
        <f aca="false">IF($D$19=4,$AZ147,$D$18)</f>
        <v>3.75</v>
      </c>
      <c r="R147" s="40" t="n">
        <f aca="false">IF(R$28="nymex",0,VLOOKUP($A147,curvesettle,HLOOKUP(R$28,curvesettle,2,FALSE())))</f>
        <v>-0.016</v>
      </c>
      <c r="S147" s="131" t="n">
        <f aca="false">IF(ISNUMBER(VLOOKUP($A147,VOLCURVES,HLOOKUP(R$28,VOLCURVES,2,FALSE()),FALSE())),VLOOKUP($A147,VOLCURVES,HLOOKUP(R$28,VOLCURVES,2,FALSE()),FALSE()),1)</f>
        <v>1</v>
      </c>
      <c r="T147" s="136" t="n">
        <f aca="false">IF(R$28="NYMEX",$AG147,$AF147)</f>
        <v>-5602</v>
      </c>
      <c r="U147" s="153" t="e">
        <f aca="false">(($C147+V147)*$S147)+F$15</f>
        <v>#DIV/0!</v>
      </c>
      <c r="V147" s="4" t="e">
        <f aca="false">IF($F$16=1,VLOOKUP($A147,SkewTable,HLOOKUP(ROUND(W147-BK147,1),SkewTable,2,FALSE()),FALSE())/100,0)</f>
        <v>#DIV/0!</v>
      </c>
      <c r="W147" s="41" t="n">
        <f aca="false">IF($F$19=4,$BK147,$F$18)</f>
        <v>3.5</v>
      </c>
      <c r="X147" s="136"/>
      <c r="Y147" s="40" t="n">
        <f aca="false">IF(Y$28="nymex",0,VLOOKUP($A147,curvesettle,HLOOKUP(Y$28,curvesettle,2,FALSE())))</f>
        <v>-0.335</v>
      </c>
      <c r="Z147" s="131" t="n">
        <f aca="false">IF(ISNUMBER(VLOOKUP($A147,VOLCURVES,HLOOKUP(Y$28,VOLCURVES,2,FALSE()),FALSE())),VLOOKUP($A147,VOLCURVES,HLOOKUP(Y$28,VOLCURVES,2,FALSE()),FALSE()),1)</f>
        <v>1</v>
      </c>
      <c r="AA147" s="136" t="n">
        <f aca="false">IF(Y$28="NYMEX",$AG147,$AF147)</f>
        <v>-5602</v>
      </c>
      <c r="AB147" s="4" t="e">
        <f aca="false">(($C147+AC147)*$Z147)+H$15</f>
        <v>#DIV/0!</v>
      </c>
      <c r="AC147" s="4" t="e">
        <f aca="false">IF($H$16=1,VLOOKUP($A147,SkewTable,HLOOKUP(ROUND(AD147-BV147,1),SkewTable,2,FALSE()),FALSE())/100,0)</f>
        <v>#DIV/0!</v>
      </c>
      <c r="AD147" s="41" t="n">
        <f aca="false">IF($H$19=4,$BV147,$H$18)</f>
        <v>3</v>
      </c>
      <c r="AF147" s="136" t="n">
        <f aca="false">VLOOKUP($A147,expiration,2,FALSE())-$B$2</f>
        <v>-5602</v>
      </c>
      <c r="AG147" s="136" t="n">
        <f aca="false">VLOOKUP($A147,expiration,3,FALSE())-$B$2</f>
        <v>-5603</v>
      </c>
      <c r="AH147" s="4" t="n">
        <f aca="false">VLOOKUP($A147,STRADDLE,12,FALSE())</f>
        <v>0.070663382687193</v>
      </c>
      <c r="AI147" s="43" t="n">
        <f aca="false">A148-A147</f>
        <v>30</v>
      </c>
      <c r="AL147" s="136"/>
      <c r="AM147" s="9"/>
      <c r="AN147" s="9" t="n">
        <f aca="false">IF($A147&gt;=AO$25,IF($A147&lt;=AO$26,$AI147,0),0)</f>
        <v>0</v>
      </c>
      <c r="AO147" s="9" t="e">
        <f aca="false">AQ147/AN147</f>
        <v>#DIV/0!</v>
      </c>
      <c r="AP147" s="1" t="n">
        <f aca="false">AN147*($B147+B$13)</f>
        <v>0</v>
      </c>
      <c r="AQ147" s="33" t="n">
        <f aca="false">IF(ISNUMBER(((AP147/AN147)+B$14+$D147)*AN147),((AP147/AN147)+B$14+$D147)*AN147,0)</f>
        <v>0</v>
      </c>
      <c r="AR147" s="44" t="n">
        <f aca="false">IF(AN147=0,0,bsd(1,AS$27,AO147,$I147,$F147,$G147,$AH147,0.1))</f>
        <v>0</v>
      </c>
      <c r="AS147" s="44" t="n">
        <f aca="false">IF(AN147=0,0,bsd(2,AS$27,AO147,$I147,$F147,$G147,$AH147,0.1))</f>
        <v>0</v>
      </c>
      <c r="AT147" s="44" t="n">
        <f aca="false">IF(AN147=0,0,bsd(AS$28,AS$27,AO147,$I147,$F147,$G147,$AH147,0.1))</f>
        <v>0</v>
      </c>
      <c r="AU147" s="45" t="n">
        <f aca="false">AN147*AR147</f>
        <v>0</v>
      </c>
      <c r="AV147" s="45" t="n">
        <f aca="false">AN147*AS147</f>
        <v>0</v>
      </c>
      <c r="AW147" s="45" t="n">
        <f aca="false">AN147*AT147</f>
        <v>0</v>
      </c>
      <c r="AY147" s="9" t="n">
        <f aca="false">IF($A147&gt;=AZ$25,IF($A147&lt;=AZ$26,$AI147,0),0)</f>
        <v>0</v>
      </c>
      <c r="AZ147" s="9" t="e">
        <f aca="false">BB147/AY147</f>
        <v>#DIV/0!</v>
      </c>
      <c r="BA147" s="1" t="n">
        <f aca="false">AY147*($B147+D$13)</f>
        <v>0</v>
      </c>
      <c r="BB147" s="33" t="n">
        <f aca="false">IF(ISNUMBER(((BA147/AY147)+D$14+$K147)*AY147),((BA147/AY147)+D$14+$K147)*AY147,0)</f>
        <v>0</v>
      </c>
      <c r="BC147" s="44" t="n">
        <f aca="false">IF(AY147=0,0,bsd(1,BD$27,AZ147,$P147,$M147,$N147,$AH147,0.1))</f>
        <v>0</v>
      </c>
      <c r="BD147" s="44" t="n">
        <f aca="false">IF(AY147=0,0,bsd(2,BD$27,AZ147,$P147,$M147,$N147,$AH147,0.1))</f>
        <v>0</v>
      </c>
      <c r="BE147" s="44" t="n">
        <f aca="false">IF(AY147=0,0,bsd(BD$28,BD$27,AZ147,$P147,$M147,$N147,$AH147,0.1))</f>
        <v>0</v>
      </c>
      <c r="BF147" s="45" t="n">
        <f aca="false">AY147*BC147</f>
        <v>0</v>
      </c>
      <c r="BG147" s="45" t="n">
        <f aca="false">AY147*BD147</f>
        <v>0</v>
      </c>
      <c r="BH147" s="45" t="n">
        <f aca="false">AY147*BE147</f>
        <v>0</v>
      </c>
      <c r="BJ147" s="9" t="n">
        <f aca="false">IF($A147&gt;=BK$25,IF($A147&lt;=BK$26,$AI147,0),0)</f>
        <v>0</v>
      </c>
      <c r="BK147" s="9" t="e">
        <f aca="false">BM147/BJ147</f>
        <v>#DIV/0!</v>
      </c>
      <c r="BL147" s="1" t="n">
        <f aca="false">BJ147*($B147+F$13)</f>
        <v>0</v>
      </c>
      <c r="BM147" s="33" t="n">
        <f aca="false">IF(ISNUMBER(((BL147/BJ147)+F$14+$R147)*BJ147),((BL147/BJ147)+F$14+$R147)*BJ147,0)</f>
        <v>0</v>
      </c>
      <c r="BN147" s="44" t="n">
        <f aca="false">IF(BJ147=0,0,bsd(1,BO$27,BK147,$W147,$T147,$U147,$AH147,0.1))</f>
        <v>0</v>
      </c>
      <c r="BO147" s="44" t="n">
        <f aca="false">IF(BJ147=0,0,bsd(2,BO$27,BK147,$W147,$T147,$U147,$AH147,0.1))</f>
        <v>0</v>
      </c>
      <c r="BP147" s="44" t="n">
        <f aca="false">IF(BJ147=0,0,bsd(BO$28,BO$27,BK147,$W147,$T147,$U147,$AH147,0.1))</f>
        <v>0</v>
      </c>
      <c r="BQ147" s="45" t="n">
        <f aca="false">BJ147*BN147</f>
        <v>0</v>
      </c>
      <c r="BR147" s="45" t="n">
        <f aca="false">BJ147*BO147</f>
        <v>0</v>
      </c>
      <c r="BS147" s="45" t="n">
        <f aca="false">BJ147*BP147</f>
        <v>0</v>
      </c>
      <c r="BU147" s="9" t="n">
        <f aca="false">IF($A147&gt;=BV$25,IF($A147&lt;=BV$26,$AI147,0),0)</f>
        <v>0</v>
      </c>
      <c r="BV147" s="9" t="e">
        <f aca="false">BX147/BU147</f>
        <v>#DIV/0!</v>
      </c>
      <c r="BW147" s="1" t="n">
        <f aca="false">BU147*($B147+H$13)</f>
        <v>0</v>
      </c>
      <c r="BX147" s="33" t="n">
        <f aca="false">IF(ISNUMBER(((BW147/BU147)+H$14+$Y147)*BU147),((BW147/BU147)+H$14+$Y147)*BU147,0)</f>
        <v>0</v>
      </c>
      <c r="BY147" s="44" t="n">
        <f aca="false">IF(BU147=0,0,bsd(1,BZ$27,BV147,$AD147,$AA147,$AB147,$AH147,0.1))</f>
        <v>0</v>
      </c>
      <c r="BZ147" s="44" t="n">
        <f aca="false">IF(BU147=0,0,bsd(2,BZ$27,BV147,$AD147,$AA147,$AB147,$AH147,0.1))</f>
        <v>0</v>
      </c>
      <c r="CA147" s="44" t="n">
        <f aca="false">IF(BU147=0,0,bsd(BZ$28,BZ$27,BV147,$AD147,$AA147,$AB147,$AH147,0.1))</f>
        <v>0</v>
      </c>
      <c r="CB147" s="45" t="n">
        <f aca="false">BU147*BY147</f>
        <v>0</v>
      </c>
      <c r="CC147" s="45" t="n">
        <f aca="false">BU147*BZ147</f>
        <v>0</v>
      </c>
      <c r="CD147" s="45" t="n">
        <f aca="false">BU147*CA147</f>
        <v>0</v>
      </c>
    </row>
    <row r="148" customFormat="false" ht="12.75" hidden="false" customHeight="false" outlineLevel="0" collapsed="false">
      <c r="A148" s="48" t="n">
        <f aca="false">DATE(YEAR(A147),MONTH(A147)+1,1)</f>
        <v>40360</v>
      </c>
      <c r="B148" s="40" t="n">
        <f aca="false">VLOOKUP(A148,STRADDLE,5,FALSE())</f>
        <v>3.176</v>
      </c>
      <c r="C148" s="4" t="n">
        <f aca="false">VLOOKUP(A148,STRADDLE,8,FALSE())</f>
        <v>0.16</v>
      </c>
      <c r="D148" s="40" t="n">
        <f aca="false">IF(D$28="nymex",0,VLOOKUP($A148,curvesettle,HLOOKUP(D$28,curvesettle,2,FALSE())))</f>
        <v>0.43</v>
      </c>
      <c r="E148" s="131" t="n">
        <f aca="false">IF(ISNUMBER(VLOOKUP($A148,VOLCURVES,HLOOKUP(D$28,VOLCURVES,2,FALSE()),FALSE())),VLOOKUP($A148,VOLCURVES,HLOOKUP(D$28,VOLCURVES,2,FALSE()),FALSE()),1)</f>
        <v>0.98</v>
      </c>
      <c r="F148" s="136" t="n">
        <f aca="false">IF(D$28="NYMEX",$AG148,$AF148)</f>
        <v>-5569</v>
      </c>
      <c r="G148" s="4" t="e">
        <f aca="false">(($C148+H148)*$E148)+B$15</f>
        <v>#DIV/0!</v>
      </c>
      <c r="H148" s="4" t="e">
        <f aca="false">IF($B$16=1,VLOOKUP($A148,SkewTable,HLOOKUP(ROUND(I148-AO148,1),SkewTable,2,FALSE()),FALSE())/100,0)</f>
        <v>#DIV/0!</v>
      </c>
      <c r="I148" s="41" t="n">
        <f aca="false">IF($B$19=4,$AO148,$B$18)</f>
        <v>12</v>
      </c>
      <c r="K148" s="40" t="n">
        <f aca="false">IF(K$28="nymex",0,VLOOKUP($A148,curvesettle,HLOOKUP(K$28,curvesettle,2,FALSE())))</f>
        <v>-0.016</v>
      </c>
      <c r="L148" s="131" t="n">
        <f aca="false">IF(ISNUMBER(VLOOKUP($A148,VOLCURVES,HLOOKUP(K$28,VOLCURVES,2,FALSE()),FALSE())),VLOOKUP($A148,VOLCURVES,HLOOKUP(K$28,VOLCURVES,2,FALSE()),FALSE()),1)</f>
        <v>1</v>
      </c>
      <c r="M148" s="136" t="n">
        <f aca="false">IF(K$28="NYMEX",$AG148,$AF148)</f>
        <v>-5569</v>
      </c>
      <c r="N148" s="153" t="e">
        <f aca="false">(($C148+O148)*$L148)+D$15</f>
        <v>#DIV/0!</v>
      </c>
      <c r="O148" s="4" t="e">
        <f aca="false">IF($D$16=1,VLOOKUP($A148,SkewTable,HLOOKUP(ROUND(P148-AZ148,1),SkewTable,2,FALSE()),FALSE())/100,0)</f>
        <v>#DIV/0!</v>
      </c>
      <c r="P148" s="41" t="n">
        <f aca="false">IF($D$19=4,$AZ148,$D$18)</f>
        <v>3.75</v>
      </c>
      <c r="R148" s="40" t="n">
        <f aca="false">IF(R$28="nymex",0,VLOOKUP($A148,curvesettle,HLOOKUP(R$28,curvesettle,2,FALSE())))</f>
        <v>-0.016</v>
      </c>
      <c r="S148" s="131" t="n">
        <f aca="false">IF(ISNUMBER(VLOOKUP($A148,VOLCURVES,HLOOKUP(R$28,VOLCURVES,2,FALSE()),FALSE())),VLOOKUP($A148,VOLCURVES,HLOOKUP(R$28,VOLCURVES,2,FALSE()),FALSE()),1)</f>
        <v>1</v>
      </c>
      <c r="T148" s="136" t="n">
        <f aca="false">IF(R$28="NYMEX",$AG148,$AF148)</f>
        <v>-5569</v>
      </c>
      <c r="U148" s="153" t="e">
        <f aca="false">(($C148+V148)*$S148)+F$15</f>
        <v>#DIV/0!</v>
      </c>
      <c r="V148" s="4" t="e">
        <f aca="false">IF($F$16=1,VLOOKUP($A148,SkewTable,HLOOKUP(ROUND(W148-BK148,1),SkewTable,2,FALSE()),FALSE())/100,0)</f>
        <v>#DIV/0!</v>
      </c>
      <c r="W148" s="41" t="n">
        <f aca="false">IF($F$19=4,$BK148,$F$18)</f>
        <v>3.5</v>
      </c>
      <c r="X148" s="136"/>
      <c r="Y148" s="40" t="n">
        <f aca="false">IF(Y$28="nymex",0,VLOOKUP($A148,curvesettle,HLOOKUP(Y$28,curvesettle,2,FALSE())))</f>
        <v>-0.335</v>
      </c>
      <c r="Z148" s="131" t="n">
        <f aca="false">IF(ISNUMBER(VLOOKUP($A148,VOLCURVES,HLOOKUP(Y$28,VOLCURVES,2,FALSE()),FALSE())),VLOOKUP($A148,VOLCURVES,HLOOKUP(Y$28,VOLCURVES,2,FALSE()),FALSE()),1)</f>
        <v>1</v>
      </c>
      <c r="AA148" s="136" t="n">
        <f aca="false">IF(Y$28="NYMEX",$AG148,$AF148)</f>
        <v>-5569</v>
      </c>
      <c r="AB148" s="4" t="e">
        <f aca="false">(($C148+AC148)*$Z148)+H$15</f>
        <v>#DIV/0!</v>
      </c>
      <c r="AC148" s="4" t="e">
        <f aca="false">IF($H$16=1,VLOOKUP($A148,SkewTable,HLOOKUP(ROUND(AD148-BV148,1),SkewTable,2,FALSE()),FALSE())/100,0)</f>
        <v>#DIV/0!</v>
      </c>
      <c r="AD148" s="41" t="n">
        <f aca="false">IF($H$19=4,$BV148,$H$18)</f>
        <v>3</v>
      </c>
      <c r="AF148" s="136" t="n">
        <f aca="false">VLOOKUP($A148,expiration,2,FALSE())-$B$2</f>
        <v>-5569</v>
      </c>
      <c r="AG148" s="136" t="n">
        <f aca="false">VLOOKUP($A148,expiration,3,FALSE())-$B$2</f>
        <v>-5572</v>
      </c>
      <c r="AH148" s="4" t="n">
        <f aca="false">VLOOKUP($A148,STRADDLE,12,FALSE())</f>
        <v>0.070699571139027</v>
      </c>
      <c r="AI148" s="43" t="n">
        <f aca="false">A149-A148</f>
        <v>31</v>
      </c>
      <c r="AL148" s="136"/>
      <c r="AM148" s="9"/>
      <c r="AN148" s="9" t="n">
        <f aca="false">IF($A148&gt;=AO$25,IF($A148&lt;=AO$26,$AI148,0),0)</f>
        <v>0</v>
      </c>
      <c r="AO148" s="9" t="e">
        <f aca="false">AQ148/AN148</f>
        <v>#DIV/0!</v>
      </c>
      <c r="AP148" s="1" t="n">
        <f aca="false">AN148*($B148+B$13)</f>
        <v>0</v>
      </c>
      <c r="AQ148" s="33" t="n">
        <f aca="false">IF(ISNUMBER(((AP148/AN148)+B$14+$D148)*AN148),((AP148/AN148)+B$14+$D148)*AN148,0)</f>
        <v>0</v>
      </c>
      <c r="AR148" s="44" t="n">
        <f aca="false">IF(AN148=0,0,bsd(1,AS$27,AO148,$I148,$F148,$G148,$AH148,0.1))</f>
        <v>0</v>
      </c>
      <c r="AS148" s="44" t="n">
        <f aca="false">IF(AN148=0,0,bsd(2,AS$27,AO148,$I148,$F148,$G148,$AH148,0.1))</f>
        <v>0</v>
      </c>
      <c r="AT148" s="44" t="n">
        <f aca="false">IF(AN148=0,0,bsd(AS$28,AS$27,AO148,$I148,$F148,$G148,$AH148,0.1))</f>
        <v>0</v>
      </c>
      <c r="AU148" s="45" t="n">
        <f aca="false">AN148*AR148</f>
        <v>0</v>
      </c>
      <c r="AV148" s="45" t="n">
        <f aca="false">AN148*AS148</f>
        <v>0</v>
      </c>
      <c r="AW148" s="45" t="n">
        <f aca="false">AN148*AT148</f>
        <v>0</v>
      </c>
      <c r="AY148" s="9" t="n">
        <f aca="false">IF($A148&gt;=AZ$25,IF($A148&lt;=AZ$26,$AI148,0),0)</f>
        <v>0</v>
      </c>
      <c r="AZ148" s="9" t="e">
        <f aca="false">BB148/AY148</f>
        <v>#DIV/0!</v>
      </c>
      <c r="BA148" s="1" t="n">
        <f aca="false">AY148*($B148+D$13)</f>
        <v>0</v>
      </c>
      <c r="BB148" s="33" t="n">
        <f aca="false">IF(ISNUMBER(((BA148/AY148)+D$14+$K148)*AY148),((BA148/AY148)+D$14+$K148)*AY148,0)</f>
        <v>0</v>
      </c>
      <c r="BC148" s="44" t="n">
        <f aca="false">IF(AY148=0,0,bsd(1,BD$27,AZ148,$P148,$M148,$N148,$AH148,0.1))</f>
        <v>0</v>
      </c>
      <c r="BD148" s="44" t="n">
        <f aca="false">IF(AY148=0,0,bsd(2,BD$27,AZ148,$P148,$M148,$N148,$AH148,0.1))</f>
        <v>0</v>
      </c>
      <c r="BE148" s="44" t="n">
        <f aca="false">IF(AY148=0,0,bsd(BD$28,BD$27,AZ148,$P148,$M148,$N148,$AH148,0.1))</f>
        <v>0</v>
      </c>
      <c r="BF148" s="45" t="n">
        <f aca="false">AY148*BC148</f>
        <v>0</v>
      </c>
      <c r="BG148" s="45" t="n">
        <f aca="false">AY148*BD148</f>
        <v>0</v>
      </c>
      <c r="BH148" s="45" t="n">
        <f aca="false">AY148*BE148</f>
        <v>0</v>
      </c>
      <c r="BJ148" s="9" t="n">
        <f aca="false">IF($A148&gt;=BK$25,IF($A148&lt;=BK$26,$AI148,0),0)</f>
        <v>0</v>
      </c>
      <c r="BK148" s="9" t="e">
        <f aca="false">BM148/BJ148</f>
        <v>#DIV/0!</v>
      </c>
      <c r="BL148" s="1" t="n">
        <f aca="false">BJ148*($B148+F$13)</f>
        <v>0</v>
      </c>
      <c r="BM148" s="33" t="n">
        <f aca="false">IF(ISNUMBER(((BL148/BJ148)+F$14+$R148)*BJ148),((BL148/BJ148)+F$14+$R148)*BJ148,0)</f>
        <v>0</v>
      </c>
      <c r="BN148" s="44" t="n">
        <f aca="false">IF(BJ148=0,0,bsd(1,BO$27,BK148,$W148,$T148,$U148,$AH148,0.1))</f>
        <v>0</v>
      </c>
      <c r="BO148" s="44" t="n">
        <f aca="false">IF(BJ148=0,0,bsd(2,BO$27,BK148,$W148,$T148,$U148,$AH148,0.1))</f>
        <v>0</v>
      </c>
      <c r="BP148" s="44" t="n">
        <f aca="false">IF(BJ148=0,0,bsd(BO$28,BO$27,BK148,$W148,$T148,$U148,$AH148,0.1))</f>
        <v>0</v>
      </c>
      <c r="BQ148" s="45" t="n">
        <f aca="false">BJ148*BN148</f>
        <v>0</v>
      </c>
      <c r="BR148" s="45" t="n">
        <f aca="false">BJ148*BO148</f>
        <v>0</v>
      </c>
      <c r="BS148" s="45" t="n">
        <f aca="false">BJ148*BP148</f>
        <v>0</v>
      </c>
      <c r="BU148" s="9" t="n">
        <f aca="false">IF($A148&gt;=BV$25,IF($A148&lt;=BV$26,$AI148,0),0)</f>
        <v>0</v>
      </c>
      <c r="BV148" s="9" t="e">
        <f aca="false">BX148/BU148</f>
        <v>#DIV/0!</v>
      </c>
      <c r="BW148" s="1" t="n">
        <f aca="false">BU148*($B148+H$13)</f>
        <v>0</v>
      </c>
      <c r="BX148" s="33" t="n">
        <f aca="false">IF(ISNUMBER(((BW148/BU148)+H$14+$Y148)*BU148),((BW148/BU148)+H$14+$Y148)*BU148,0)</f>
        <v>0</v>
      </c>
      <c r="BY148" s="44" t="n">
        <f aca="false">IF(BU148=0,0,bsd(1,BZ$27,BV148,$AD148,$AA148,$AB148,$AH148,0.1))</f>
        <v>0</v>
      </c>
      <c r="BZ148" s="44" t="n">
        <f aca="false">IF(BU148=0,0,bsd(2,BZ$27,BV148,$AD148,$AA148,$AB148,$AH148,0.1))</f>
        <v>0</v>
      </c>
      <c r="CA148" s="44" t="n">
        <f aca="false">IF(BU148=0,0,bsd(BZ$28,BZ$27,BV148,$AD148,$AA148,$AB148,$AH148,0.1))</f>
        <v>0</v>
      </c>
      <c r="CB148" s="45" t="n">
        <f aca="false">BU148*BY148</f>
        <v>0</v>
      </c>
      <c r="CC148" s="45" t="n">
        <f aca="false">BU148*BZ148</f>
        <v>0</v>
      </c>
      <c r="CD148" s="45" t="n">
        <f aca="false">BU148*CA148</f>
        <v>0</v>
      </c>
    </row>
    <row r="149" customFormat="false" ht="12.75" hidden="false" customHeight="false" outlineLevel="0" collapsed="false">
      <c r="A149" s="48" t="n">
        <f aca="false">DATE(YEAR(A148),MONTH(A148)+1,1)</f>
        <v>40391</v>
      </c>
      <c r="B149" s="40" t="n">
        <f aca="false">VLOOKUP(A149,STRADDLE,5,FALSE())</f>
        <v>3.183</v>
      </c>
      <c r="C149" s="4" t="n">
        <f aca="false">VLOOKUP(A149,STRADDLE,8,FALSE())</f>
        <v>0.16</v>
      </c>
      <c r="D149" s="40" t="n">
        <f aca="false">IF(D$28="nymex",0,VLOOKUP($A149,curvesettle,HLOOKUP(D$28,curvesettle,2,FALSE())))</f>
        <v>0.495</v>
      </c>
      <c r="E149" s="131" t="n">
        <f aca="false">IF(ISNUMBER(VLOOKUP($A149,VOLCURVES,HLOOKUP(D$28,VOLCURVES,2,FALSE()),FALSE())),VLOOKUP($A149,VOLCURVES,HLOOKUP(D$28,VOLCURVES,2,FALSE()),FALSE()),1)</f>
        <v>0.98</v>
      </c>
      <c r="F149" s="136" t="n">
        <f aca="false">IF(D$28="NYMEX",$AG149,$AF149)</f>
        <v>-5539</v>
      </c>
      <c r="G149" s="4" t="e">
        <f aca="false">(($C149+H149)*$E149)+B$15</f>
        <v>#DIV/0!</v>
      </c>
      <c r="H149" s="4" t="e">
        <f aca="false">IF($B$16=1,VLOOKUP($A149,SkewTable,HLOOKUP(ROUND(I149-AO149,1),SkewTable,2,FALSE()),FALSE())/100,0)</f>
        <v>#DIV/0!</v>
      </c>
      <c r="I149" s="41" t="n">
        <f aca="false">IF($B$19=4,$AO149,$B$18)</f>
        <v>12</v>
      </c>
      <c r="K149" s="40" t="n">
        <f aca="false">IF(K$28="nymex",0,VLOOKUP($A149,curvesettle,HLOOKUP(K$28,curvesettle,2,FALSE())))</f>
        <v>-0.016</v>
      </c>
      <c r="L149" s="131" t="n">
        <f aca="false">IF(ISNUMBER(VLOOKUP($A149,VOLCURVES,HLOOKUP(K$28,VOLCURVES,2,FALSE()),FALSE())),VLOOKUP($A149,VOLCURVES,HLOOKUP(K$28,VOLCURVES,2,FALSE()),FALSE()),1)</f>
        <v>1</v>
      </c>
      <c r="M149" s="136" t="n">
        <f aca="false">IF(K$28="NYMEX",$AG149,$AF149)</f>
        <v>-5539</v>
      </c>
      <c r="N149" s="153" t="e">
        <f aca="false">(($C149+O149)*$L149)+D$15</f>
        <v>#DIV/0!</v>
      </c>
      <c r="O149" s="4" t="e">
        <f aca="false">IF($D$16=1,VLOOKUP($A149,SkewTable,HLOOKUP(ROUND(P149-AZ149,1),SkewTable,2,FALSE()),FALSE())/100,0)</f>
        <v>#DIV/0!</v>
      </c>
      <c r="P149" s="41" t="n">
        <f aca="false">IF($D$19=4,$AZ149,$D$18)</f>
        <v>3.75</v>
      </c>
      <c r="R149" s="40" t="n">
        <f aca="false">IF(R$28="nymex",0,VLOOKUP($A149,curvesettle,HLOOKUP(R$28,curvesettle,2,FALSE())))</f>
        <v>-0.016</v>
      </c>
      <c r="S149" s="131" t="n">
        <f aca="false">IF(ISNUMBER(VLOOKUP($A149,VOLCURVES,HLOOKUP(R$28,VOLCURVES,2,FALSE()),FALSE())),VLOOKUP($A149,VOLCURVES,HLOOKUP(R$28,VOLCURVES,2,FALSE()),FALSE()),1)</f>
        <v>1</v>
      </c>
      <c r="T149" s="136" t="n">
        <f aca="false">IF(R$28="NYMEX",$AG149,$AF149)</f>
        <v>-5539</v>
      </c>
      <c r="U149" s="153" t="e">
        <f aca="false">(($C149+V149)*$S149)+F$15</f>
        <v>#DIV/0!</v>
      </c>
      <c r="V149" s="4" t="e">
        <f aca="false">IF($F$16=1,VLOOKUP($A149,SkewTable,HLOOKUP(ROUND(W149-BK149,1),SkewTable,2,FALSE()),FALSE())/100,0)</f>
        <v>#DIV/0!</v>
      </c>
      <c r="W149" s="41" t="n">
        <f aca="false">IF($F$19=4,$BK149,$F$18)</f>
        <v>3.5</v>
      </c>
      <c r="X149" s="136"/>
      <c r="Y149" s="40" t="n">
        <f aca="false">IF(Y$28="nymex",0,VLOOKUP($A149,curvesettle,HLOOKUP(Y$28,curvesettle,2,FALSE())))</f>
        <v>-0.335</v>
      </c>
      <c r="Z149" s="131" t="n">
        <f aca="false">IF(ISNUMBER(VLOOKUP($A149,VOLCURVES,HLOOKUP(Y$28,VOLCURVES,2,FALSE()),FALSE())),VLOOKUP($A149,VOLCURVES,HLOOKUP(Y$28,VOLCURVES,2,FALSE()),FALSE()),1)</f>
        <v>1</v>
      </c>
      <c r="AA149" s="136" t="n">
        <f aca="false">IF(Y$28="NYMEX",$AG149,$AF149)</f>
        <v>-5539</v>
      </c>
      <c r="AB149" s="4" t="e">
        <f aca="false">(($C149+AC149)*$Z149)+H$15</f>
        <v>#DIV/0!</v>
      </c>
      <c r="AC149" s="4" t="e">
        <f aca="false">IF($H$16=1,VLOOKUP($A149,SkewTable,HLOOKUP(ROUND(AD149-BV149,1),SkewTable,2,FALSE()),FALSE())/100,0)</f>
        <v>#DIV/0!</v>
      </c>
      <c r="AD149" s="41" t="n">
        <f aca="false">IF($H$19=4,$BV149,$H$18)</f>
        <v>3</v>
      </c>
      <c r="AF149" s="136" t="n">
        <f aca="false">VLOOKUP($A149,expiration,2,FALSE())-$B$2</f>
        <v>-5539</v>
      </c>
      <c r="AG149" s="136" t="n">
        <f aca="false">VLOOKUP($A149,expiration,3,FALSE())-$B$2</f>
        <v>-5540</v>
      </c>
      <c r="AH149" s="4" t="n">
        <f aca="false">VLOOKUP($A149,STRADDLE,12,FALSE())</f>
        <v>0.070736965873045</v>
      </c>
      <c r="AI149" s="43" t="n">
        <f aca="false">A150-A149</f>
        <v>31</v>
      </c>
      <c r="AL149" s="136"/>
      <c r="AM149" s="9"/>
      <c r="AN149" s="9" t="n">
        <f aca="false">IF($A149&gt;=AO$25,IF($A149&lt;=AO$26,$AI149,0),0)</f>
        <v>0</v>
      </c>
      <c r="AO149" s="9" t="e">
        <f aca="false">AQ149/AN149</f>
        <v>#DIV/0!</v>
      </c>
      <c r="AP149" s="1" t="n">
        <f aca="false">AN149*($B149+B$13)</f>
        <v>0</v>
      </c>
      <c r="AQ149" s="33" t="n">
        <f aca="false">IF(ISNUMBER(((AP149/AN149)+B$14+$D149)*AN149),((AP149/AN149)+B$14+$D149)*AN149,0)</f>
        <v>0</v>
      </c>
      <c r="AR149" s="44" t="n">
        <f aca="false">IF(AN149=0,0,bsd(1,AS$27,AO149,$I149,$F149,$G149,$AH149,0.1))</f>
        <v>0</v>
      </c>
      <c r="AS149" s="44" t="n">
        <f aca="false">IF(AN149=0,0,bsd(2,AS$27,AO149,$I149,$F149,$G149,$AH149,0.1))</f>
        <v>0</v>
      </c>
      <c r="AT149" s="44" t="n">
        <f aca="false">IF(AN149=0,0,bsd(AS$28,AS$27,AO149,$I149,$F149,$G149,$AH149,0.1))</f>
        <v>0</v>
      </c>
      <c r="AU149" s="45" t="n">
        <f aca="false">AN149*AR149</f>
        <v>0</v>
      </c>
      <c r="AV149" s="45" t="n">
        <f aca="false">AN149*AS149</f>
        <v>0</v>
      </c>
      <c r="AW149" s="45" t="n">
        <f aca="false">AN149*AT149</f>
        <v>0</v>
      </c>
      <c r="AY149" s="9" t="n">
        <f aca="false">IF($A149&gt;=AZ$25,IF($A149&lt;=AZ$26,$AI149,0),0)</f>
        <v>0</v>
      </c>
      <c r="AZ149" s="9" t="e">
        <f aca="false">BB149/AY149</f>
        <v>#DIV/0!</v>
      </c>
      <c r="BA149" s="1" t="n">
        <f aca="false">AY149*($B149+D$13)</f>
        <v>0</v>
      </c>
      <c r="BB149" s="33" t="n">
        <f aca="false">IF(ISNUMBER(((BA149/AY149)+D$14+$K149)*AY149),((BA149/AY149)+D$14+$K149)*AY149,0)</f>
        <v>0</v>
      </c>
      <c r="BC149" s="44" t="n">
        <f aca="false">IF(AY149=0,0,bsd(1,BD$27,AZ149,$P149,$M149,$N149,$AH149,0.1))</f>
        <v>0</v>
      </c>
      <c r="BD149" s="44" t="n">
        <f aca="false">IF(AY149=0,0,bsd(2,BD$27,AZ149,$P149,$M149,$N149,$AH149,0.1))</f>
        <v>0</v>
      </c>
      <c r="BE149" s="44" t="n">
        <f aca="false">IF(AY149=0,0,bsd(BD$28,BD$27,AZ149,$P149,$M149,$N149,$AH149,0.1))</f>
        <v>0</v>
      </c>
      <c r="BF149" s="45" t="n">
        <f aca="false">AY149*BC149</f>
        <v>0</v>
      </c>
      <c r="BG149" s="45" t="n">
        <f aca="false">AY149*BD149</f>
        <v>0</v>
      </c>
      <c r="BH149" s="45" t="n">
        <f aca="false">AY149*BE149</f>
        <v>0</v>
      </c>
      <c r="BJ149" s="9" t="n">
        <f aca="false">IF($A149&gt;=BK$25,IF($A149&lt;=BK$26,$AI149,0),0)</f>
        <v>0</v>
      </c>
      <c r="BK149" s="9" t="e">
        <f aca="false">BM149/BJ149</f>
        <v>#DIV/0!</v>
      </c>
      <c r="BL149" s="1" t="n">
        <f aca="false">BJ149*($B149+F$13)</f>
        <v>0</v>
      </c>
      <c r="BM149" s="33" t="n">
        <f aca="false">IF(ISNUMBER(((BL149/BJ149)+F$14+$R149)*BJ149),((BL149/BJ149)+F$14+$R149)*BJ149,0)</f>
        <v>0</v>
      </c>
      <c r="BN149" s="44" t="n">
        <f aca="false">IF(BJ149=0,0,bsd(1,BO$27,BK149,$W149,$T149,$U149,$AH149,0.1))</f>
        <v>0</v>
      </c>
      <c r="BO149" s="44" t="n">
        <f aca="false">IF(BJ149=0,0,bsd(2,BO$27,BK149,$W149,$T149,$U149,$AH149,0.1))</f>
        <v>0</v>
      </c>
      <c r="BP149" s="44" t="n">
        <f aca="false">IF(BJ149=0,0,bsd(BO$28,BO$27,BK149,$W149,$T149,$U149,$AH149,0.1))</f>
        <v>0</v>
      </c>
      <c r="BQ149" s="45" t="n">
        <f aca="false">BJ149*BN149</f>
        <v>0</v>
      </c>
      <c r="BR149" s="45" t="n">
        <f aca="false">BJ149*BO149</f>
        <v>0</v>
      </c>
      <c r="BS149" s="45" t="n">
        <f aca="false">BJ149*BP149</f>
        <v>0</v>
      </c>
      <c r="BU149" s="9" t="n">
        <f aca="false">IF($A149&gt;=BV$25,IF($A149&lt;=BV$26,$AI149,0),0)</f>
        <v>0</v>
      </c>
      <c r="BV149" s="9" t="e">
        <f aca="false">BX149/BU149</f>
        <v>#DIV/0!</v>
      </c>
      <c r="BW149" s="1" t="n">
        <f aca="false">BU149*($B149+H$13)</f>
        <v>0</v>
      </c>
      <c r="BX149" s="33" t="n">
        <f aca="false">IF(ISNUMBER(((BW149/BU149)+H$14+$Y149)*BU149),((BW149/BU149)+H$14+$Y149)*BU149,0)</f>
        <v>0</v>
      </c>
      <c r="BY149" s="44" t="n">
        <f aca="false">IF(BU149=0,0,bsd(1,BZ$27,BV149,$AD149,$AA149,$AB149,$AH149,0.1))</f>
        <v>0</v>
      </c>
      <c r="BZ149" s="44" t="n">
        <f aca="false">IF(BU149=0,0,bsd(2,BZ$27,BV149,$AD149,$AA149,$AB149,$AH149,0.1))</f>
        <v>0</v>
      </c>
      <c r="CA149" s="44" t="n">
        <f aca="false">IF(BU149=0,0,bsd(BZ$28,BZ$27,BV149,$AD149,$AA149,$AB149,$AH149,0.1))</f>
        <v>0</v>
      </c>
      <c r="CB149" s="45" t="n">
        <f aca="false">BU149*BY149</f>
        <v>0</v>
      </c>
      <c r="CC149" s="45" t="n">
        <f aca="false">BU149*BZ149</f>
        <v>0</v>
      </c>
      <c r="CD149" s="45" t="n">
        <f aca="false">BU149*CA149</f>
        <v>0</v>
      </c>
    </row>
    <row r="150" customFormat="false" ht="12.75" hidden="false" customHeight="false" outlineLevel="0" collapsed="false">
      <c r="A150" s="48" t="n">
        <f aca="false">DATE(YEAR(A149),MONTH(A149)+1,1)</f>
        <v>40422</v>
      </c>
      <c r="B150" s="40" t="n">
        <f aca="false">VLOOKUP(A150,STRADDLE,5,FALSE())</f>
        <v>3.166</v>
      </c>
      <c r="C150" s="4" t="n">
        <f aca="false">VLOOKUP(A150,STRADDLE,8,FALSE())</f>
        <v>0.16</v>
      </c>
      <c r="D150" s="40" t="n">
        <f aca="false">IF(D$28="nymex",0,VLOOKUP($A150,curvesettle,HLOOKUP(D$28,curvesettle,2,FALSE())))</f>
        <v>0.395</v>
      </c>
      <c r="E150" s="131" t="n">
        <f aca="false">IF(ISNUMBER(VLOOKUP($A150,VOLCURVES,HLOOKUP(D$28,VOLCURVES,2,FALSE()),FALSE())),VLOOKUP($A150,VOLCURVES,HLOOKUP(D$28,VOLCURVES,2,FALSE()),FALSE()),1)</f>
        <v>0.98</v>
      </c>
      <c r="F150" s="136" t="n">
        <f aca="false">IF(D$28="NYMEX",$AG150,$AF150)</f>
        <v>-5509</v>
      </c>
      <c r="G150" s="4" t="e">
        <f aca="false">(($C150+H150)*$E150)+B$15</f>
        <v>#DIV/0!</v>
      </c>
      <c r="H150" s="4" t="e">
        <f aca="false">IF($B$16=1,VLOOKUP($A150,SkewTable,HLOOKUP(ROUND(I150-AO150,1),SkewTable,2,FALSE()),FALSE())/100,0)</f>
        <v>#DIV/0!</v>
      </c>
      <c r="I150" s="41" t="n">
        <f aca="false">IF($B$19=4,$AO150,$B$18)</f>
        <v>12</v>
      </c>
      <c r="K150" s="40" t="n">
        <f aca="false">IF(K$28="nymex",0,VLOOKUP($A150,curvesettle,HLOOKUP(K$28,curvesettle,2,FALSE())))</f>
        <v>-0.016</v>
      </c>
      <c r="L150" s="131" t="n">
        <f aca="false">IF(ISNUMBER(VLOOKUP($A150,VOLCURVES,HLOOKUP(K$28,VOLCURVES,2,FALSE()),FALSE())),VLOOKUP($A150,VOLCURVES,HLOOKUP(K$28,VOLCURVES,2,FALSE()),FALSE()),1)</f>
        <v>1</v>
      </c>
      <c r="M150" s="136" t="n">
        <f aca="false">IF(K$28="NYMEX",$AG150,$AF150)</f>
        <v>-5509</v>
      </c>
      <c r="N150" s="153" t="e">
        <f aca="false">(($C150+O150)*$L150)+D$15</f>
        <v>#DIV/0!</v>
      </c>
      <c r="O150" s="4" t="e">
        <f aca="false">IF($D$16=1,VLOOKUP($A150,SkewTable,HLOOKUP(ROUND(P150-AZ150,1),SkewTable,2,FALSE()),FALSE())/100,0)</f>
        <v>#DIV/0!</v>
      </c>
      <c r="P150" s="41" t="n">
        <f aca="false">IF($D$19=4,$AZ150,$D$18)</f>
        <v>3.75</v>
      </c>
      <c r="R150" s="40" t="n">
        <f aca="false">IF(R$28="nymex",0,VLOOKUP($A150,curvesettle,HLOOKUP(R$28,curvesettle,2,FALSE())))</f>
        <v>-0.016</v>
      </c>
      <c r="S150" s="131" t="n">
        <f aca="false">IF(ISNUMBER(VLOOKUP($A150,VOLCURVES,HLOOKUP(R$28,VOLCURVES,2,FALSE()),FALSE())),VLOOKUP($A150,VOLCURVES,HLOOKUP(R$28,VOLCURVES,2,FALSE()),FALSE()),1)</f>
        <v>1</v>
      </c>
      <c r="T150" s="136" t="n">
        <f aca="false">IF(R$28="NYMEX",$AG150,$AF150)</f>
        <v>-5509</v>
      </c>
      <c r="U150" s="153" t="e">
        <f aca="false">(($C150+V150)*$S150)+F$15</f>
        <v>#DIV/0!</v>
      </c>
      <c r="V150" s="4" t="e">
        <f aca="false">IF($F$16=1,VLOOKUP($A150,SkewTable,HLOOKUP(ROUND(W150-BK150,1),SkewTable,2,FALSE()),FALSE())/100,0)</f>
        <v>#DIV/0!</v>
      </c>
      <c r="W150" s="41" t="n">
        <f aca="false">IF($F$19=4,$BK150,$F$18)</f>
        <v>3.5</v>
      </c>
      <c r="X150" s="136"/>
      <c r="Y150" s="40" t="n">
        <f aca="false">IF(Y$28="nymex",0,VLOOKUP($A150,curvesettle,HLOOKUP(Y$28,curvesettle,2,FALSE())))</f>
        <v>-0.335</v>
      </c>
      <c r="Z150" s="131" t="n">
        <f aca="false">IF(ISNUMBER(VLOOKUP($A150,VOLCURVES,HLOOKUP(Y$28,VOLCURVES,2,FALSE()),FALSE())),VLOOKUP($A150,VOLCURVES,HLOOKUP(Y$28,VOLCURVES,2,FALSE()),FALSE()),1)</f>
        <v>1</v>
      </c>
      <c r="AA150" s="136" t="n">
        <f aca="false">IF(Y$28="NYMEX",$AG150,$AF150)</f>
        <v>-5509</v>
      </c>
      <c r="AB150" s="4" t="e">
        <f aca="false">(($C150+AC150)*$Z150)+H$15</f>
        <v>#DIV/0!</v>
      </c>
      <c r="AC150" s="4" t="e">
        <f aca="false">IF($H$16=1,VLOOKUP($A150,SkewTable,HLOOKUP(ROUND(AD150-BV150,1),SkewTable,2,FALSE()),FALSE())/100,0)</f>
        <v>#DIV/0!</v>
      </c>
      <c r="AD150" s="41" t="n">
        <f aca="false">IF($H$19=4,$BV150,$H$18)</f>
        <v>3</v>
      </c>
      <c r="AF150" s="136" t="n">
        <f aca="false">VLOOKUP($A150,expiration,2,FALSE())-$B$2</f>
        <v>-5509</v>
      </c>
      <c r="AG150" s="136" t="n">
        <f aca="false">VLOOKUP($A150,expiration,3,FALSE())-$B$2</f>
        <v>-5510</v>
      </c>
      <c r="AH150" s="4" t="n">
        <v>0</v>
      </c>
      <c r="AI150" s="43" t="n">
        <f aca="false">A151-A150</f>
        <v>30</v>
      </c>
      <c r="AL150" s="136"/>
      <c r="AM150" s="9"/>
      <c r="AN150" s="9" t="n">
        <f aca="false">IF($A150&gt;=AO$25,IF($A150&lt;=AO$26,$AI150,0),0)</f>
        <v>0</v>
      </c>
      <c r="AO150" s="9" t="e">
        <f aca="false">AQ150/AN150</f>
        <v>#DIV/0!</v>
      </c>
      <c r="AP150" s="1" t="n">
        <f aca="false">AN150*($B150+B$13)</f>
        <v>0</v>
      </c>
      <c r="AQ150" s="33" t="n">
        <f aca="false">IF(ISNUMBER(((AP150/AN150)+B$14+$D150)*AN150),((AP150/AN150)+B$14+$D150)*AN150,0)</f>
        <v>0</v>
      </c>
      <c r="AR150" s="44" t="n">
        <f aca="false">IF(AN150=0,0,bsd(1,AS$27,AO150,$I150,$F150,$G150,$AH150,0.1))</f>
        <v>0</v>
      </c>
      <c r="AS150" s="44" t="n">
        <f aca="false">IF(AN150=0,0,bsd(2,AS$27,AO150,$I150,$F150,$G150,$AH150,0.1))</f>
        <v>0</v>
      </c>
      <c r="AT150" s="44" t="n">
        <f aca="false">IF(AN150=0,0,bsd(AS$28,AS$27,AO150,$I150,$F150,$G150,$AH150,0.1))</f>
        <v>0</v>
      </c>
      <c r="AU150" s="45" t="n">
        <f aca="false">AN150*AR150</f>
        <v>0</v>
      </c>
      <c r="AV150" s="45" t="n">
        <f aca="false">AN150*AS150</f>
        <v>0</v>
      </c>
      <c r="AW150" s="45" t="n">
        <f aca="false">AN150*AT150</f>
        <v>0</v>
      </c>
      <c r="AY150" s="9" t="n">
        <f aca="false">IF($A150&gt;=AZ$25,IF($A150&lt;=AZ$26,$AI150,0),0)</f>
        <v>0</v>
      </c>
      <c r="AZ150" s="9" t="e">
        <f aca="false">BB150/AY150</f>
        <v>#DIV/0!</v>
      </c>
      <c r="BA150" s="1" t="n">
        <f aca="false">AY150*($B150+D$13)</f>
        <v>0</v>
      </c>
      <c r="BB150" s="33" t="n">
        <f aca="false">IF(ISNUMBER(((BA150/AY150)+D$14+$K150)*AY150),((BA150/AY150)+D$14+$K150)*AY150,0)</f>
        <v>0</v>
      </c>
      <c r="BC150" s="44" t="n">
        <f aca="false">IF(AY150=0,0,bsd(1,BD$27,AZ150,$P150,$M150,$N150,$AH150,0.1))</f>
        <v>0</v>
      </c>
      <c r="BD150" s="44" t="n">
        <f aca="false">IF(AY150=0,0,bsd(2,BD$27,AZ150,$P150,$M150,$N150,$AH150,0.1))</f>
        <v>0</v>
      </c>
      <c r="BE150" s="44" t="n">
        <f aca="false">IF(AY150=0,0,bsd(BD$28,BD$27,AZ150,$P150,$M150,$N150,$AH150,0.1))</f>
        <v>0</v>
      </c>
      <c r="BF150" s="45" t="n">
        <f aca="false">AY150*BC150</f>
        <v>0</v>
      </c>
      <c r="BG150" s="45" t="n">
        <f aca="false">AY150*BD150</f>
        <v>0</v>
      </c>
      <c r="BH150" s="45" t="n">
        <f aca="false">AY150*BE150</f>
        <v>0</v>
      </c>
      <c r="BJ150" s="9" t="n">
        <f aca="false">IF($A150&gt;=BK$25,IF($A150&lt;=BK$26,$AI150,0),0)</f>
        <v>0</v>
      </c>
      <c r="BK150" s="9" t="e">
        <f aca="false">BM150/BJ150</f>
        <v>#DIV/0!</v>
      </c>
      <c r="BL150" s="1" t="n">
        <f aca="false">BJ150*($B150+F$13)</f>
        <v>0</v>
      </c>
      <c r="BM150" s="33" t="n">
        <f aca="false">IF(ISNUMBER(((BL150/BJ150)+F$14+$R150)*BJ150),((BL150/BJ150)+F$14+$R150)*BJ150,0)</f>
        <v>0</v>
      </c>
      <c r="BN150" s="44" t="n">
        <f aca="false">IF(BJ150=0,0,bsd(1,BO$27,BK150,$W150,$T150,$U150,$AH150,0.1))</f>
        <v>0</v>
      </c>
      <c r="BO150" s="44" t="n">
        <f aca="false">IF(BJ150=0,0,bsd(2,BO$27,BK150,$W150,$T150,$U150,$AH150,0.1))</f>
        <v>0</v>
      </c>
      <c r="BP150" s="44" t="n">
        <f aca="false">IF(BJ150=0,0,bsd(BO$28,BO$27,BK150,$W150,$T150,$U150,$AH150,0.1))</f>
        <v>0</v>
      </c>
      <c r="BQ150" s="45" t="n">
        <f aca="false">BJ150*BN150</f>
        <v>0</v>
      </c>
      <c r="BR150" s="45" t="n">
        <f aca="false">BJ150*BO150</f>
        <v>0</v>
      </c>
      <c r="BS150" s="45" t="n">
        <f aca="false">BJ150*BP150</f>
        <v>0</v>
      </c>
      <c r="BU150" s="9" t="n">
        <f aca="false">IF($A150&gt;=BV$25,IF($A150&lt;=BV$26,$AI150,0),0)</f>
        <v>0</v>
      </c>
      <c r="BV150" s="9" t="e">
        <f aca="false">BX150/BU150</f>
        <v>#DIV/0!</v>
      </c>
      <c r="BW150" s="1" t="n">
        <f aca="false">BU150*($B150+H$13)</f>
        <v>0</v>
      </c>
      <c r="BX150" s="33" t="n">
        <f aca="false">IF(ISNUMBER(((BW150/BU150)+H$14+$Y150)*BU150),((BW150/BU150)+H$14+$Y150)*BU150,0)</f>
        <v>0</v>
      </c>
      <c r="BY150" s="44" t="n">
        <f aca="false">IF(BU150=0,0,bsd(1,BZ$27,BV150,$AD150,$AA150,$AB150,$AH150,0.1))</f>
        <v>0</v>
      </c>
      <c r="BZ150" s="44" t="n">
        <f aca="false">IF(BU150=0,0,bsd(2,BZ$27,BV150,$AD150,$AA150,$AB150,$AH150,0.1))</f>
        <v>0</v>
      </c>
      <c r="CA150" s="44" t="n">
        <f aca="false">IF(BU150=0,0,bsd(BZ$28,BZ$27,BV150,$AD150,$AA150,$AB150,$AH150,0.1))</f>
        <v>0</v>
      </c>
      <c r="CB150" s="45" t="n">
        <f aca="false">BU150*BY150</f>
        <v>0</v>
      </c>
      <c r="CC150" s="45" t="n">
        <f aca="false">BU150*BZ150</f>
        <v>0</v>
      </c>
      <c r="CD150" s="45" t="n">
        <f aca="false">BU150*CA150</f>
        <v>0</v>
      </c>
    </row>
    <row r="151" customFormat="false" ht="12.75" hidden="false" customHeight="false" outlineLevel="0" collapsed="false">
      <c r="A151" s="48" t="n">
        <f aca="false">DATE(YEAR(A150),MONTH(A150)+1,1)</f>
        <v>40452</v>
      </c>
      <c r="B151" s="49"/>
      <c r="C151" s="50"/>
      <c r="E151" s="46"/>
      <c r="F151" s="46"/>
      <c r="G151" s="46"/>
      <c r="H151" s="133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1"/>
      <c r="AN151" s="10"/>
      <c r="AO151" s="11"/>
      <c r="AY151" s="10"/>
      <c r="AZ151" s="11"/>
      <c r="BJ151" s="10"/>
      <c r="BK151" s="11"/>
      <c r="BU151" s="10"/>
      <c r="BV151" s="11"/>
    </row>
    <row r="152" customFormat="false" ht="12.75" hidden="false" customHeight="false" outlineLevel="0" collapsed="false">
      <c r="A152" s="51"/>
      <c r="B152" s="49"/>
      <c r="C152" s="50"/>
      <c r="E152" s="46"/>
      <c r="F152" s="46"/>
      <c r="G152" s="46"/>
      <c r="H152" s="133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1"/>
      <c r="AN152" s="10"/>
      <c r="AO152" s="11"/>
      <c r="AY152" s="10"/>
      <c r="AZ152" s="11"/>
      <c r="BJ152" s="10"/>
      <c r="BK152" s="11"/>
      <c r="BU152" s="10"/>
      <c r="BV152" s="11"/>
    </row>
    <row r="153" customFormat="false" ht="12.75" hidden="false" customHeight="false" outlineLevel="0" collapsed="false">
      <c r="A153" s="51"/>
      <c r="B153" s="49"/>
      <c r="C153" s="50"/>
      <c r="E153" s="46"/>
      <c r="F153" s="46"/>
      <c r="G153" s="46"/>
      <c r="H153" s="133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1"/>
      <c r="AN153" s="10"/>
      <c r="AO153" s="11"/>
      <c r="AY153" s="10"/>
      <c r="AZ153" s="11"/>
      <c r="BJ153" s="10"/>
      <c r="BK153" s="11"/>
      <c r="BU153" s="10"/>
      <c r="BV153" s="11"/>
    </row>
    <row r="154" customFormat="false" ht="12.75" hidden="false" customHeight="false" outlineLevel="0" collapsed="false">
      <c r="A154" s="51"/>
      <c r="B154" s="49"/>
      <c r="C154" s="50"/>
      <c r="E154" s="46"/>
      <c r="F154" s="46"/>
      <c r="G154" s="46"/>
      <c r="H154" s="133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1"/>
      <c r="AN154" s="10"/>
      <c r="AO154" s="11"/>
      <c r="AY154" s="10"/>
      <c r="AZ154" s="11"/>
      <c r="BJ154" s="10"/>
      <c r="BK154" s="11"/>
      <c r="BU154" s="10"/>
      <c r="BV154" s="11"/>
    </row>
    <row r="155" customFormat="false" ht="12.75" hidden="false" customHeight="false" outlineLevel="0" collapsed="false">
      <c r="A155" s="51"/>
      <c r="B155" s="49"/>
      <c r="C155" s="50"/>
      <c r="E155" s="46"/>
      <c r="F155" s="46"/>
      <c r="G155" s="46"/>
      <c r="H155" s="133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1"/>
      <c r="AN155" s="10"/>
      <c r="AO155" s="11"/>
      <c r="AY155" s="10"/>
      <c r="AZ155" s="11"/>
      <c r="BJ155" s="10"/>
      <c r="BK155" s="11"/>
      <c r="BU155" s="10"/>
      <c r="BV155" s="11"/>
    </row>
    <row r="156" customFormat="false" ht="12.75" hidden="false" customHeight="false" outlineLevel="0" collapsed="false">
      <c r="A156" s="51"/>
      <c r="B156" s="49"/>
      <c r="C156" s="50"/>
      <c r="E156" s="46"/>
      <c r="F156" s="46"/>
      <c r="G156" s="46"/>
      <c r="H156" s="133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1"/>
      <c r="AN156" s="10"/>
      <c r="AO156" s="11"/>
      <c r="AY156" s="10"/>
      <c r="AZ156" s="11"/>
      <c r="BJ156" s="10"/>
      <c r="BK156" s="11"/>
      <c r="BU156" s="10"/>
      <c r="BV156" s="11"/>
    </row>
    <row r="157" customFormat="false" ht="12.75" hidden="false" customHeight="false" outlineLevel="0" collapsed="false">
      <c r="A157" s="51"/>
      <c r="B157" s="49"/>
      <c r="C157" s="50"/>
      <c r="E157" s="46"/>
      <c r="F157" s="46"/>
      <c r="G157" s="46"/>
      <c r="H157" s="133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1"/>
      <c r="AN157" s="10"/>
      <c r="AO157" s="11"/>
      <c r="AY157" s="10"/>
      <c r="AZ157" s="11"/>
      <c r="BJ157" s="10"/>
      <c r="BK157" s="11"/>
      <c r="BU157" s="10"/>
      <c r="BV157" s="11"/>
    </row>
    <row r="158" customFormat="false" ht="12.75" hidden="false" customHeight="false" outlineLevel="0" collapsed="false">
      <c r="A158" s="51"/>
      <c r="B158" s="49"/>
      <c r="C158" s="50"/>
      <c r="E158" s="46"/>
      <c r="F158" s="46"/>
      <c r="G158" s="46"/>
      <c r="H158" s="133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1"/>
      <c r="AN158" s="10"/>
      <c r="AO158" s="11"/>
      <c r="AY158" s="10"/>
      <c r="AZ158" s="11"/>
      <c r="BJ158" s="10"/>
      <c r="BK158" s="11"/>
      <c r="BU158" s="10"/>
      <c r="BV158" s="11"/>
    </row>
    <row r="159" customFormat="false" ht="12.75" hidden="false" customHeight="false" outlineLevel="0" collapsed="false">
      <c r="A159" s="51"/>
      <c r="B159" s="49"/>
      <c r="C159" s="50"/>
      <c r="E159" s="46"/>
      <c r="F159" s="46"/>
      <c r="G159" s="46"/>
      <c r="H159" s="133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1"/>
      <c r="AN159" s="10"/>
      <c r="AO159" s="11"/>
      <c r="AY159" s="10"/>
      <c r="AZ159" s="11"/>
      <c r="BJ159" s="10"/>
      <c r="BK159" s="11"/>
      <c r="BU159" s="10"/>
      <c r="BV159" s="11"/>
    </row>
    <row r="160" customFormat="false" ht="12.75" hidden="false" customHeight="false" outlineLevel="0" collapsed="false">
      <c r="A160" s="51"/>
      <c r="B160" s="49"/>
      <c r="C160" s="50"/>
      <c r="E160" s="46"/>
      <c r="F160" s="46"/>
      <c r="G160" s="46"/>
      <c r="H160" s="133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1"/>
      <c r="AN160" s="10"/>
      <c r="AO160" s="11"/>
      <c r="AY160" s="10"/>
      <c r="AZ160" s="11"/>
      <c r="BJ160" s="10"/>
      <c r="BK160" s="11"/>
      <c r="BU160" s="10"/>
      <c r="BV160" s="11"/>
    </row>
    <row r="161" customFormat="false" ht="12.75" hidden="false" customHeight="false" outlineLevel="0" collapsed="false">
      <c r="A161" s="51"/>
      <c r="B161" s="49"/>
      <c r="C161" s="50"/>
      <c r="E161" s="46"/>
      <c r="F161" s="46"/>
      <c r="G161" s="46"/>
      <c r="H161" s="133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1"/>
      <c r="AN161" s="10"/>
      <c r="AO161" s="11"/>
      <c r="AY161" s="10"/>
      <c r="AZ161" s="11"/>
      <c r="BJ161" s="10"/>
      <c r="BK161" s="11"/>
      <c r="BU161" s="10"/>
      <c r="BV161" s="11"/>
    </row>
    <row r="162" customFormat="false" ht="12.75" hidden="false" customHeight="false" outlineLevel="0" collapsed="false">
      <c r="A162" s="52"/>
      <c r="E162" s="22"/>
      <c r="F162" s="22"/>
      <c r="G162" s="22"/>
      <c r="H162" s="133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1"/>
      <c r="AN162" s="10"/>
      <c r="AO162" s="11"/>
      <c r="AY162" s="10"/>
      <c r="AZ162" s="11"/>
      <c r="BJ162" s="10"/>
      <c r="BK162" s="11"/>
      <c r="BU162" s="10"/>
      <c r="BV162" s="11"/>
    </row>
    <row r="163" customFormat="false" ht="12.75" hidden="false" customHeight="false" outlineLevel="0" collapsed="false">
      <c r="A163" s="51"/>
      <c r="B163" s="49"/>
      <c r="C163" s="50"/>
      <c r="E163" s="46"/>
      <c r="F163" s="46"/>
      <c r="G163" s="46"/>
      <c r="H163" s="133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1"/>
      <c r="AN163" s="10"/>
      <c r="AO163" s="11"/>
      <c r="AY163" s="10"/>
      <c r="AZ163" s="11"/>
      <c r="BJ163" s="10"/>
      <c r="BK163" s="11"/>
      <c r="BU163" s="10"/>
      <c r="BV163" s="11"/>
    </row>
    <row r="164" customFormat="false" ht="12.75" hidden="false" customHeight="false" outlineLevel="0" collapsed="false">
      <c r="B164" s="51"/>
      <c r="C164" s="53"/>
      <c r="D164" s="54"/>
      <c r="E164" s="55"/>
      <c r="F164" s="55"/>
      <c r="G164" s="55"/>
      <c r="H164" s="46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0"/>
      <c r="AI164" s="55"/>
      <c r="AJ164" s="55"/>
      <c r="AK164" s="10"/>
      <c r="AL164" s="10"/>
      <c r="AM164" s="11"/>
      <c r="AN164" s="10"/>
      <c r="AO164" s="11"/>
      <c r="AY164" s="10"/>
      <c r="AZ164" s="11"/>
      <c r="BJ164" s="10"/>
      <c r="BK164" s="11"/>
      <c r="BU164" s="10"/>
      <c r="BV164" s="11"/>
    </row>
    <row r="165" customFormat="false" ht="12.75" hidden="false" customHeight="false" outlineLevel="0" collapsed="false">
      <c r="B165" s="51"/>
      <c r="C165" s="53"/>
      <c r="D165" s="54"/>
      <c r="E165" s="55"/>
      <c r="F165" s="55"/>
      <c r="G165" s="55"/>
      <c r="H165" s="46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0"/>
      <c r="AI165" s="55"/>
      <c r="AJ165" s="55"/>
      <c r="AK165" s="10"/>
      <c r="AL165" s="10"/>
      <c r="AM165" s="11"/>
      <c r="AN165" s="10"/>
      <c r="AO165" s="11"/>
      <c r="AY165" s="10"/>
      <c r="AZ165" s="11"/>
      <c r="BJ165" s="10"/>
      <c r="BK165" s="11"/>
      <c r="BU165" s="10"/>
      <c r="BV165" s="11"/>
    </row>
    <row r="166" customFormat="false" ht="12.75" hidden="false" customHeight="false" outlineLevel="0" collapsed="false">
      <c r="B166" s="51"/>
      <c r="C166" s="53"/>
      <c r="D166" s="54"/>
      <c r="E166" s="55"/>
      <c r="F166" s="55"/>
      <c r="G166" s="55"/>
      <c r="H166" s="46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0"/>
      <c r="AI166" s="55"/>
      <c r="AJ166" s="55"/>
      <c r="AK166" s="10"/>
      <c r="AL166" s="10"/>
      <c r="AM166" s="11"/>
      <c r="AN166" s="10"/>
      <c r="AO166" s="11"/>
      <c r="AY166" s="10"/>
      <c r="AZ166" s="11"/>
      <c r="BJ166" s="10"/>
      <c r="BK166" s="11"/>
      <c r="BU166" s="10"/>
      <c r="BV166" s="11"/>
    </row>
    <row r="167" customFormat="false" ht="12.75" hidden="false" customHeight="false" outlineLevel="0" collapsed="false">
      <c r="B167" s="51"/>
      <c r="C167" s="53"/>
      <c r="D167" s="54"/>
      <c r="E167" s="55"/>
      <c r="F167" s="55"/>
      <c r="G167" s="55"/>
      <c r="H167" s="46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0"/>
      <c r="AI167" s="55"/>
      <c r="AJ167" s="55"/>
      <c r="AK167" s="10"/>
      <c r="AL167" s="10"/>
      <c r="AM167" s="11"/>
      <c r="AN167" s="10"/>
      <c r="AO167" s="11"/>
      <c r="AY167" s="10"/>
      <c r="AZ167" s="11"/>
      <c r="BJ167" s="10"/>
      <c r="BK167" s="11"/>
      <c r="BU167" s="10"/>
      <c r="BV167" s="11"/>
    </row>
    <row r="168" customFormat="false" ht="12.75" hidden="false" customHeight="false" outlineLevel="0" collapsed="false">
      <c r="B168" s="51"/>
      <c r="C168" s="53"/>
      <c r="D168" s="54"/>
      <c r="E168" s="55"/>
      <c r="F168" s="55"/>
      <c r="G168" s="55"/>
      <c r="H168" s="46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0"/>
      <c r="AI168" s="55"/>
      <c r="AJ168" s="55"/>
      <c r="AK168" s="10"/>
      <c r="AL168" s="10"/>
      <c r="AM168" s="11"/>
      <c r="AN168" s="10"/>
      <c r="AO168" s="11"/>
      <c r="AY168" s="10"/>
      <c r="AZ168" s="11"/>
      <c r="BJ168" s="10"/>
      <c r="BK168" s="11"/>
      <c r="BU168" s="10"/>
      <c r="BV168" s="11"/>
    </row>
    <row r="169" customFormat="false" ht="12.75" hidden="false" customHeight="false" outlineLevel="0" collapsed="false">
      <c r="B169" s="51"/>
      <c r="C169" s="53"/>
      <c r="D169" s="54"/>
      <c r="E169" s="55"/>
      <c r="F169" s="55"/>
      <c r="G169" s="55"/>
      <c r="H169" s="46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0"/>
      <c r="AI169" s="55"/>
      <c r="AJ169" s="55"/>
      <c r="AK169" s="10"/>
      <c r="AL169" s="10"/>
      <c r="AM169" s="11"/>
      <c r="AN169" s="10"/>
      <c r="AO169" s="11"/>
      <c r="AY169" s="10"/>
      <c r="AZ169" s="11"/>
      <c r="BJ169" s="10"/>
      <c r="BK169" s="11"/>
      <c r="BU169" s="10"/>
      <c r="BV169" s="11"/>
    </row>
    <row r="170" customFormat="false" ht="12.75" hidden="false" customHeight="false" outlineLevel="0" collapsed="false">
      <c r="B170" s="51"/>
      <c r="C170" s="53"/>
      <c r="D170" s="54"/>
      <c r="E170" s="55"/>
      <c r="F170" s="55"/>
      <c r="G170" s="55"/>
      <c r="H170" s="46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0"/>
      <c r="AI170" s="55"/>
      <c r="AJ170" s="55"/>
      <c r="AK170" s="10"/>
      <c r="AL170" s="10"/>
      <c r="AM170" s="11"/>
      <c r="AN170" s="10"/>
      <c r="AO170" s="11"/>
      <c r="AY170" s="10"/>
      <c r="AZ170" s="11"/>
      <c r="BJ170" s="10"/>
      <c r="BK170" s="11"/>
      <c r="BU170" s="10"/>
      <c r="BV170" s="11"/>
    </row>
    <row r="171" customFormat="false" ht="12.75" hidden="false" customHeight="false" outlineLevel="0" collapsed="false">
      <c r="B171" s="51"/>
      <c r="C171" s="53"/>
      <c r="D171" s="54"/>
      <c r="E171" s="55"/>
      <c r="F171" s="55"/>
      <c r="G171" s="55"/>
      <c r="H171" s="46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0"/>
      <c r="AI171" s="55"/>
      <c r="AJ171" s="55"/>
      <c r="AK171" s="10"/>
      <c r="AL171" s="10"/>
      <c r="AM171" s="11"/>
      <c r="AN171" s="10"/>
      <c r="AO171" s="11"/>
      <c r="AY171" s="10"/>
      <c r="AZ171" s="11"/>
      <c r="BJ171" s="10"/>
      <c r="BK171" s="11"/>
      <c r="BU171" s="10"/>
      <c r="BV171" s="11"/>
    </row>
    <row r="172" customFormat="false" ht="12.75" hidden="false" customHeight="false" outlineLevel="0" collapsed="false">
      <c r="B172" s="51"/>
      <c r="C172" s="53"/>
      <c r="D172" s="54"/>
      <c r="E172" s="55"/>
      <c r="F172" s="55"/>
      <c r="G172" s="55"/>
      <c r="H172" s="46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0"/>
      <c r="AI172" s="55"/>
      <c r="AJ172" s="55"/>
      <c r="AK172" s="10"/>
      <c r="AL172" s="10"/>
      <c r="AM172" s="11"/>
      <c r="AN172" s="10"/>
      <c r="AO172" s="11"/>
      <c r="AY172" s="10"/>
      <c r="AZ172" s="11"/>
      <c r="BJ172" s="10"/>
      <c r="BK172" s="11"/>
      <c r="BU172" s="10"/>
      <c r="BV172" s="11"/>
    </row>
    <row r="173" customFormat="false" ht="12.75" hidden="false" customHeight="false" outlineLevel="0" collapsed="false">
      <c r="B173" s="51"/>
      <c r="C173" s="53"/>
      <c r="D173" s="54"/>
      <c r="E173" s="55"/>
      <c r="F173" s="55"/>
      <c r="G173" s="55"/>
      <c r="H173" s="46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0"/>
      <c r="AI173" s="55"/>
      <c r="AJ173" s="55"/>
      <c r="AK173" s="10"/>
      <c r="AL173" s="10"/>
      <c r="AM173" s="11"/>
      <c r="AN173" s="10"/>
      <c r="AO173" s="11"/>
      <c r="AY173" s="10"/>
      <c r="AZ173" s="11"/>
      <c r="BJ173" s="10"/>
      <c r="BK173" s="11"/>
      <c r="BU173" s="10"/>
      <c r="BV173" s="11"/>
    </row>
    <row r="174" customFormat="false" ht="12.75" hidden="false" customHeight="false" outlineLevel="0" collapsed="false">
      <c r="B174" s="51"/>
      <c r="C174" s="53"/>
      <c r="D174" s="54"/>
      <c r="E174" s="55"/>
      <c r="F174" s="55"/>
      <c r="G174" s="55"/>
      <c r="H174" s="46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0"/>
      <c r="AI174" s="55"/>
      <c r="AJ174" s="55"/>
      <c r="AK174" s="10"/>
      <c r="AL174" s="10"/>
      <c r="AM174" s="11"/>
      <c r="AN174" s="10"/>
      <c r="AO174" s="11"/>
      <c r="AY174" s="10"/>
      <c r="AZ174" s="11"/>
      <c r="BJ174" s="10"/>
      <c r="BK174" s="11"/>
      <c r="BU174" s="10"/>
      <c r="BV174" s="11"/>
    </row>
    <row r="175" customFormat="false" ht="12.75" hidden="false" customHeight="false" outlineLevel="0" collapsed="false">
      <c r="B175" s="51"/>
      <c r="C175" s="53"/>
      <c r="D175" s="54"/>
      <c r="E175" s="55"/>
      <c r="F175" s="55"/>
      <c r="G175" s="55"/>
      <c r="H175" s="46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0"/>
      <c r="AI175" s="55"/>
      <c r="AJ175" s="55"/>
      <c r="AK175" s="10"/>
      <c r="AL175" s="10"/>
      <c r="AM175" s="11"/>
      <c r="AN175" s="10"/>
      <c r="AO175" s="11"/>
      <c r="AY175" s="10"/>
      <c r="AZ175" s="11"/>
      <c r="BJ175" s="10"/>
      <c r="BK175" s="11"/>
      <c r="BU175" s="10"/>
      <c r="BV175" s="11"/>
    </row>
    <row r="176" customFormat="false" ht="13.5" hidden="false" customHeight="false" outlineLevel="0" collapsed="false">
      <c r="B176" s="51"/>
      <c r="C176" s="53"/>
      <c r="D176" s="56"/>
      <c r="E176" s="55"/>
      <c r="F176" s="55"/>
      <c r="G176" s="55"/>
      <c r="H176" s="46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0"/>
      <c r="AI176" s="10"/>
      <c r="AJ176" s="10"/>
      <c r="AK176" s="10"/>
      <c r="AL176" s="10"/>
      <c r="AM176" s="11"/>
      <c r="AN176" s="10"/>
      <c r="AO176" s="11"/>
      <c r="AY176" s="10"/>
      <c r="AZ176" s="11"/>
      <c r="BJ176" s="10"/>
      <c r="BK176" s="11"/>
      <c r="BU176" s="10"/>
      <c r="BV176" s="11"/>
    </row>
    <row r="177" customFormat="false" ht="12.75" hidden="false" customHeight="false" outlineLevel="0" collapsed="false">
      <c r="B177" s="51"/>
      <c r="C177" s="53"/>
      <c r="D177" s="57"/>
      <c r="E177" s="55"/>
      <c r="F177" s="55"/>
      <c r="G177" s="55"/>
      <c r="H177" s="46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0"/>
      <c r="AI177" s="10"/>
      <c r="AJ177" s="10"/>
      <c r="AK177" s="10"/>
      <c r="AL177" s="10"/>
      <c r="AM177" s="11"/>
      <c r="AN177" s="10"/>
      <c r="AO177" s="11"/>
      <c r="AY177" s="10"/>
      <c r="AZ177" s="11"/>
      <c r="BJ177" s="10"/>
      <c r="BK177" s="11"/>
      <c r="BU177" s="10"/>
      <c r="BV177" s="11"/>
    </row>
    <row r="178" customFormat="false" ht="13.5" hidden="false" customHeight="false" outlineLevel="0" collapsed="false">
      <c r="B178" s="51"/>
      <c r="C178" s="53"/>
      <c r="D178" s="58"/>
      <c r="E178" s="55"/>
      <c r="F178" s="55"/>
      <c r="G178" s="55"/>
      <c r="H178" s="46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0"/>
      <c r="AI178" s="10"/>
      <c r="AJ178" s="10"/>
      <c r="AK178" s="10"/>
      <c r="AL178" s="10"/>
      <c r="AM178" s="11"/>
      <c r="AN178" s="10"/>
      <c r="AO178" s="11"/>
      <c r="AY178" s="10"/>
      <c r="AZ178" s="11"/>
      <c r="BJ178" s="10"/>
      <c r="BK178" s="11"/>
      <c r="BU178" s="10"/>
      <c r="BV178" s="11"/>
    </row>
    <row r="179" customFormat="false" ht="13.5" hidden="false" customHeight="false" outlineLevel="0" collapsed="false">
      <c r="B179" s="51"/>
      <c r="C179" s="53"/>
      <c r="D179" s="58"/>
      <c r="E179" s="55"/>
      <c r="F179" s="55"/>
      <c r="G179" s="55"/>
      <c r="H179" s="46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0"/>
      <c r="AI179" s="10"/>
      <c r="AJ179" s="10"/>
      <c r="AK179" s="10"/>
      <c r="AL179" s="10"/>
      <c r="AM179" s="11"/>
      <c r="AN179" s="10"/>
      <c r="AO179" s="11"/>
      <c r="AY179" s="10"/>
      <c r="AZ179" s="11"/>
      <c r="BJ179" s="10"/>
      <c r="BK179" s="11"/>
      <c r="BU179" s="10"/>
      <c r="BV179" s="11"/>
    </row>
    <row r="180" customFormat="false" ht="12.75" hidden="false" customHeight="false" outlineLevel="0" collapsed="false">
      <c r="B180" s="51"/>
      <c r="C180" s="53"/>
      <c r="D180" s="59"/>
      <c r="E180" s="55"/>
      <c r="F180" s="55"/>
      <c r="G180" s="55"/>
      <c r="H180" s="46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0"/>
      <c r="AI180" s="10"/>
      <c r="AJ180" s="10"/>
      <c r="AK180" s="10"/>
      <c r="AL180" s="10"/>
      <c r="AM180" s="11"/>
      <c r="AN180" s="10"/>
      <c r="AO180" s="11"/>
      <c r="AY180" s="10"/>
      <c r="AZ180" s="11"/>
      <c r="BJ180" s="10"/>
      <c r="BK180" s="11"/>
      <c r="BU180" s="10"/>
      <c r="BV180" s="11"/>
    </row>
    <row r="181" customFormat="false" ht="12.75" hidden="false" customHeight="false" outlineLevel="0" collapsed="false">
      <c r="B181" s="51"/>
      <c r="C181" s="53"/>
      <c r="D181" s="59"/>
      <c r="E181" s="55"/>
      <c r="F181" s="55"/>
      <c r="G181" s="55"/>
      <c r="H181" s="46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0"/>
      <c r="AI181" s="10"/>
      <c r="AJ181" s="10"/>
      <c r="AK181" s="10"/>
      <c r="AL181" s="10"/>
      <c r="AM181" s="11"/>
      <c r="AN181" s="10"/>
      <c r="AO181" s="11"/>
      <c r="AY181" s="10"/>
      <c r="AZ181" s="11"/>
      <c r="BJ181" s="10"/>
      <c r="BK181" s="11"/>
      <c r="BU181" s="10"/>
      <c r="BV181" s="11"/>
    </row>
    <row r="182" customFormat="false" ht="12.75" hidden="false" customHeight="false" outlineLevel="0" collapsed="false">
      <c r="B182" s="51"/>
      <c r="C182" s="53"/>
      <c r="D182" s="59"/>
      <c r="E182" s="55"/>
      <c r="F182" s="55"/>
      <c r="G182" s="55"/>
      <c r="H182" s="46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0"/>
      <c r="AI182" s="10"/>
      <c r="AJ182" s="10"/>
      <c r="AK182" s="10"/>
      <c r="AL182" s="10"/>
      <c r="AM182" s="11"/>
      <c r="AN182" s="10"/>
      <c r="AO182" s="11"/>
      <c r="AY182" s="10"/>
      <c r="AZ182" s="11"/>
      <c r="BJ182" s="10"/>
      <c r="BK182" s="11"/>
      <c r="BU182" s="10"/>
      <c r="BV182" s="11"/>
    </row>
    <row r="183" customFormat="false" ht="12.75" hidden="false" customHeight="false" outlineLevel="0" collapsed="false">
      <c r="B183" s="51"/>
      <c r="C183" s="53"/>
      <c r="D183" s="59"/>
      <c r="E183" s="55"/>
      <c r="F183" s="55"/>
      <c r="G183" s="55"/>
      <c r="H183" s="46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0"/>
      <c r="AI183" s="10"/>
      <c r="AJ183" s="10"/>
      <c r="AK183" s="10"/>
      <c r="AL183" s="10"/>
      <c r="AM183" s="11"/>
      <c r="AN183" s="10"/>
      <c r="AO183" s="11"/>
      <c r="AY183" s="10"/>
      <c r="AZ183" s="11"/>
      <c r="BJ183" s="10"/>
      <c r="BK183" s="11"/>
      <c r="BU183" s="10"/>
      <c r="BV183" s="11"/>
    </row>
    <row r="184" customFormat="false" ht="12.75" hidden="false" customHeight="false" outlineLevel="0" collapsed="false">
      <c r="B184" s="51"/>
      <c r="C184" s="53"/>
      <c r="D184" s="59"/>
      <c r="E184" s="55"/>
      <c r="F184" s="55"/>
      <c r="G184" s="55"/>
      <c r="H184" s="46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0"/>
      <c r="AI184" s="10"/>
      <c r="AJ184" s="10"/>
      <c r="AK184" s="10"/>
      <c r="AL184" s="10"/>
      <c r="AM184" s="11"/>
      <c r="AN184" s="10"/>
      <c r="AO184" s="11"/>
      <c r="AY184" s="10"/>
      <c r="AZ184" s="11"/>
      <c r="BJ184" s="10"/>
      <c r="BK184" s="11"/>
      <c r="BU184" s="10"/>
      <c r="BV184" s="11"/>
    </row>
    <row r="185" customFormat="false" ht="12.75" hidden="false" customHeight="false" outlineLevel="0" collapsed="false">
      <c r="B185" s="51"/>
      <c r="C185" s="53"/>
      <c r="D185" s="59"/>
      <c r="E185" s="55"/>
      <c r="F185" s="55"/>
      <c r="G185" s="55"/>
      <c r="H185" s="46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0"/>
      <c r="AK185" s="10"/>
      <c r="AL185" s="10"/>
      <c r="AM185" s="11"/>
      <c r="AN185" s="10"/>
      <c r="AO185" s="11"/>
      <c r="AY185" s="10"/>
      <c r="AZ185" s="11"/>
      <c r="BJ185" s="10"/>
      <c r="BK185" s="11"/>
      <c r="BU185" s="10"/>
      <c r="BV185" s="11"/>
    </row>
    <row r="186" customFormat="false" ht="12.75" hidden="false" customHeight="false" outlineLevel="0" collapsed="false">
      <c r="B186" s="51"/>
      <c r="C186" s="53"/>
      <c r="D186" s="59"/>
      <c r="E186" s="55"/>
      <c r="F186" s="55"/>
      <c r="G186" s="55"/>
      <c r="H186" s="46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0"/>
      <c r="AI186" s="10"/>
      <c r="AJ186" s="10"/>
      <c r="AK186" s="10"/>
      <c r="AL186" s="10"/>
      <c r="AM186" s="11"/>
      <c r="AN186" s="10"/>
      <c r="AO186" s="11"/>
      <c r="AY186" s="10"/>
      <c r="AZ186" s="11"/>
      <c r="BJ186" s="10"/>
      <c r="BK186" s="11"/>
      <c r="BU186" s="10"/>
      <c r="BV186" s="11"/>
    </row>
    <row r="187" customFormat="false" ht="12.75" hidden="false" customHeight="false" outlineLevel="0" collapsed="false">
      <c r="B187" s="51"/>
      <c r="C187" s="53"/>
      <c r="D187" s="59"/>
      <c r="E187" s="55"/>
      <c r="F187" s="55"/>
      <c r="G187" s="55"/>
      <c r="H187" s="46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0"/>
      <c r="AI187" s="10"/>
      <c r="AJ187" s="10"/>
      <c r="AK187" s="10"/>
      <c r="AL187" s="10"/>
      <c r="AM187" s="11"/>
      <c r="AN187" s="10"/>
      <c r="AO187" s="11"/>
      <c r="AY187" s="10"/>
      <c r="AZ187" s="11"/>
      <c r="BJ187" s="10"/>
      <c r="BK187" s="11"/>
      <c r="BU187" s="10"/>
      <c r="BV187" s="11"/>
    </row>
    <row r="188" customFormat="false" ht="12.75" hidden="false" customHeight="false" outlineLevel="0" collapsed="false">
      <c r="B188" s="51"/>
      <c r="C188" s="53"/>
      <c r="D188" s="59"/>
      <c r="E188" s="55"/>
      <c r="F188" s="55"/>
      <c r="G188" s="55"/>
      <c r="H188" s="46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0"/>
      <c r="AI188" s="10"/>
      <c r="AJ188" s="10"/>
      <c r="AK188" s="10"/>
      <c r="AL188" s="10"/>
      <c r="AM188" s="11"/>
      <c r="AN188" s="10"/>
      <c r="AO188" s="11"/>
      <c r="AY188" s="10"/>
      <c r="AZ188" s="11"/>
      <c r="BJ188" s="10"/>
      <c r="BK188" s="11"/>
      <c r="BU188" s="10"/>
      <c r="BV188" s="11"/>
    </row>
    <row r="189" customFormat="false" ht="12.75" hidden="false" customHeight="false" outlineLevel="0" collapsed="false">
      <c r="B189" s="51"/>
      <c r="C189" s="53"/>
      <c r="D189" s="59"/>
      <c r="E189" s="55"/>
      <c r="F189" s="55"/>
      <c r="G189" s="55"/>
      <c r="H189" s="46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0"/>
      <c r="AI189" s="10"/>
      <c r="AJ189" s="10"/>
      <c r="AK189" s="10"/>
      <c r="AL189" s="10"/>
      <c r="AM189" s="11"/>
      <c r="AN189" s="10"/>
      <c r="AO189" s="11"/>
      <c r="AY189" s="10"/>
      <c r="AZ189" s="11"/>
      <c r="BJ189" s="10"/>
      <c r="BK189" s="11"/>
      <c r="BU189" s="10"/>
      <c r="BV189" s="11"/>
    </row>
    <row r="190" customFormat="false" ht="12.75" hidden="false" customHeight="false" outlineLevel="0" collapsed="false">
      <c r="B190" s="51"/>
      <c r="C190" s="53"/>
      <c r="D190" s="59"/>
      <c r="E190" s="55"/>
      <c r="F190" s="55"/>
      <c r="G190" s="55"/>
      <c r="H190" s="46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0"/>
      <c r="AI190" s="10"/>
      <c r="AJ190" s="10"/>
      <c r="AK190" s="10"/>
      <c r="AL190" s="10"/>
      <c r="AM190" s="11"/>
      <c r="AN190" s="10"/>
      <c r="AO190" s="11"/>
      <c r="AY190" s="10"/>
      <c r="AZ190" s="11"/>
      <c r="BJ190" s="10"/>
      <c r="BK190" s="11"/>
      <c r="BU190" s="10"/>
      <c r="BV190" s="11"/>
    </row>
    <row r="191" customFormat="false" ht="12.75" hidden="false" customHeight="false" outlineLevel="0" collapsed="false">
      <c r="B191" s="51"/>
      <c r="C191" s="53"/>
      <c r="D191" s="59"/>
      <c r="E191" s="55"/>
      <c r="F191" s="55"/>
      <c r="G191" s="55"/>
      <c r="H191" s="46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0"/>
      <c r="AI191" s="10"/>
      <c r="AJ191" s="10"/>
      <c r="AK191" s="10"/>
      <c r="AL191" s="10"/>
      <c r="AM191" s="11"/>
      <c r="AN191" s="10"/>
      <c r="AO191" s="11"/>
      <c r="AY191" s="10"/>
      <c r="AZ191" s="11"/>
      <c r="BJ191" s="10"/>
      <c r="BK191" s="11"/>
      <c r="BU191" s="10"/>
      <c r="BV191" s="11"/>
    </row>
    <row r="192" customFormat="false" ht="12.75" hidden="false" customHeight="false" outlineLevel="0" collapsed="false">
      <c r="B192" s="51"/>
      <c r="C192" s="53"/>
      <c r="D192" s="59"/>
      <c r="E192" s="55"/>
      <c r="F192" s="55"/>
      <c r="G192" s="55"/>
      <c r="H192" s="46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0"/>
      <c r="AI192" s="10"/>
      <c r="AJ192" s="10"/>
      <c r="AK192" s="10"/>
      <c r="AL192" s="10"/>
      <c r="AM192" s="11"/>
      <c r="AN192" s="10"/>
      <c r="AO192" s="11"/>
      <c r="AY192" s="10"/>
      <c r="AZ192" s="11"/>
      <c r="BJ192" s="10"/>
      <c r="BK192" s="11"/>
      <c r="BU192" s="10"/>
      <c r="BV192" s="11"/>
    </row>
    <row r="193" customFormat="false" ht="12.75" hidden="false" customHeight="false" outlineLevel="0" collapsed="false">
      <c r="B193" s="51"/>
      <c r="C193" s="53"/>
      <c r="D193" s="59"/>
      <c r="E193" s="55"/>
      <c r="F193" s="55"/>
      <c r="G193" s="55"/>
      <c r="H193" s="46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0"/>
      <c r="AI193" s="10"/>
      <c r="AJ193" s="10"/>
      <c r="AK193" s="10"/>
      <c r="AL193" s="10"/>
      <c r="AM193" s="11"/>
      <c r="AN193" s="10"/>
      <c r="AO193" s="11"/>
      <c r="AY193" s="10"/>
      <c r="AZ193" s="11"/>
      <c r="BJ193" s="10"/>
      <c r="BK193" s="11"/>
      <c r="BU193" s="10"/>
      <c r="BV193" s="11"/>
    </row>
    <row r="194" customFormat="false" ht="12.75" hidden="false" customHeight="false" outlineLevel="0" collapsed="false">
      <c r="B194" s="51"/>
      <c r="C194" s="53"/>
      <c r="D194" s="59"/>
      <c r="E194" s="55"/>
      <c r="F194" s="55"/>
      <c r="G194" s="55"/>
      <c r="H194" s="46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0"/>
      <c r="AI194" s="10"/>
      <c r="AJ194" s="10"/>
      <c r="AK194" s="10"/>
      <c r="AL194" s="10"/>
      <c r="AM194" s="11"/>
      <c r="AN194" s="10"/>
      <c r="AO194" s="11"/>
      <c r="AY194" s="10"/>
      <c r="AZ194" s="11"/>
      <c r="BJ194" s="10"/>
      <c r="BK194" s="11"/>
      <c r="BU194" s="10"/>
      <c r="BV194" s="11"/>
    </row>
    <row r="195" customFormat="false" ht="12.75" hidden="false" customHeight="false" outlineLevel="0" collapsed="false">
      <c r="B195" s="51"/>
      <c r="C195" s="53"/>
      <c r="D195" s="59"/>
      <c r="E195" s="55"/>
      <c r="F195" s="55"/>
      <c r="G195" s="55"/>
      <c r="H195" s="46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0"/>
      <c r="AI195" s="10"/>
      <c r="AJ195" s="10"/>
      <c r="AK195" s="10"/>
      <c r="AL195" s="10"/>
      <c r="AM195" s="11"/>
      <c r="AN195" s="10"/>
      <c r="AO195" s="11"/>
      <c r="AY195" s="10"/>
      <c r="AZ195" s="11"/>
      <c r="BJ195" s="10"/>
      <c r="BK195" s="11"/>
      <c r="BU195" s="10"/>
      <c r="BV195" s="11"/>
    </row>
    <row r="196" customFormat="false" ht="12.75" hidden="false" customHeight="false" outlineLevel="0" collapsed="false">
      <c r="B196" s="51"/>
      <c r="C196" s="53"/>
      <c r="D196" s="59"/>
      <c r="E196" s="55"/>
      <c r="F196" s="55"/>
      <c r="G196" s="55"/>
      <c r="H196" s="46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0"/>
      <c r="AI196" s="10"/>
      <c r="AJ196" s="10"/>
      <c r="AK196" s="10"/>
      <c r="AL196" s="10"/>
      <c r="AM196" s="11"/>
      <c r="AN196" s="10"/>
      <c r="AO196" s="11"/>
      <c r="AY196" s="10"/>
      <c r="AZ196" s="11"/>
      <c r="BJ196" s="10"/>
      <c r="BK196" s="11"/>
      <c r="BU196" s="10"/>
      <c r="BV196" s="11"/>
    </row>
    <row r="197" customFormat="false" ht="12.75" hidden="false" customHeight="false" outlineLevel="0" collapsed="false">
      <c r="B197" s="51"/>
      <c r="C197" s="53"/>
      <c r="D197" s="59"/>
      <c r="E197" s="55"/>
      <c r="F197" s="55"/>
      <c r="G197" s="55"/>
      <c r="H197" s="46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0"/>
      <c r="AI197" s="10"/>
      <c r="AJ197" s="10"/>
      <c r="AK197" s="10"/>
      <c r="AL197" s="10"/>
      <c r="AM197" s="11"/>
      <c r="AN197" s="10"/>
      <c r="AO197" s="11"/>
      <c r="AY197" s="10"/>
      <c r="AZ197" s="11"/>
      <c r="BJ197" s="10"/>
      <c r="BK197" s="11"/>
      <c r="BU197" s="10"/>
      <c r="BV197" s="11"/>
    </row>
    <row r="198" customFormat="false" ht="12.75" hidden="false" customHeight="false" outlineLevel="0" collapsed="false">
      <c r="B198" s="51"/>
      <c r="C198" s="53"/>
      <c r="D198" s="59"/>
      <c r="E198" s="55"/>
      <c r="F198" s="55"/>
      <c r="G198" s="55"/>
      <c r="H198" s="46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0"/>
      <c r="AI198" s="10"/>
      <c r="AJ198" s="10"/>
      <c r="AK198" s="10"/>
      <c r="AL198" s="10"/>
      <c r="AM198" s="11"/>
      <c r="AN198" s="10"/>
      <c r="AO198" s="11"/>
      <c r="AY198" s="10"/>
      <c r="AZ198" s="11"/>
      <c r="BJ198" s="10"/>
      <c r="BK198" s="11"/>
      <c r="BU198" s="10"/>
      <c r="BV198" s="11"/>
    </row>
    <row r="199" customFormat="false" ht="12.75" hidden="false" customHeight="false" outlineLevel="0" collapsed="false">
      <c r="B199" s="51"/>
      <c r="C199" s="53"/>
      <c r="D199" s="59"/>
      <c r="E199" s="55"/>
      <c r="F199" s="55"/>
      <c r="G199" s="55"/>
      <c r="H199" s="46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0"/>
      <c r="AI199" s="10"/>
      <c r="AJ199" s="10"/>
      <c r="AK199" s="10"/>
      <c r="AL199" s="10"/>
      <c r="AM199" s="11"/>
      <c r="AN199" s="10"/>
      <c r="AO199" s="11"/>
      <c r="AY199" s="10"/>
      <c r="AZ199" s="11"/>
      <c r="BJ199" s="10"/>
      <c r="BK199" s="11"/>
      <c r="BU199" s="10"/>
      <c r="BV199" s="11"/>
    </row>
    <row r="200" customFormat="false" ht="12.75" hidden="false" customHeight="false" outlineLevel="0" collapsed="false">
      <c r="B200" s="51"/>
      <c r="C200" s="53"/>
      <c r="D200" s="59"/>
      <c r="E200" s="55"/>
      <c r="F200" s="55"/>
      <c r="G200" s="55"/>
      <c r="H200" s="46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0"/>
      <c r="AI200" s="10"/>
      <c r="AJ200" s="10"/>
      <c r="AK200" s="10"/>
      <c r="AL200" s="10"/>
      <c r="AM200" s="11"/>
      <c r="AN200" s="10"/>
      <c r="AO200" s="11"/>
      <c r="AY200" s="10"/>
      <c r="AZ200" s="11"/>
      <c r="BJ200" s="10"/>
      <c r="BK200" s="11"/>
      <c r="BU200" s="10"/>
      <c r="BV200" s="11"/>
    </row>
    <row r="201" customFormat="false" ht="12.75" hidden="false" customHeight="false" outlineLevel="0" collapsed="false">
      <c r="B201" s="51"/>
      <c r="C201" s="53"/>
      <c r="D201" s="59"/>
      <c r="E201" s="55"/>
      <c r="F201" s="55"/>
      <c r="G201" s="55"/>
      <c r="H201" s="46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0"/>
      <c r="AI201" s="10"/>
      <c r="AJ201" s="10"/>
      <c r="AK201" s="10"/>
      <c r="AL201" s="10"/>
      <c r="AM201" s="11"/>
      <c r="AN201" s="10"/>
      <c r="AO201" s="11"/>
      <c r="AY201" s="10"/>
      <c r="AZ201" s="11"/>
      <c r="BJ201" s="10"/>
      <c r="BK201" s="11"/>
      <c r="BU201" s="10"/>
      <c r="BV201" s="11"/>
    </row>
    <row r="202" customFormat="false" ht="12.75" hidden="false" customHeight="false" outlineLevel="0" collapsed="false">
      <c r="B202" s="51"/>
      <c r="C202" s="53"/>
      <c r="D202" s="59"/>
      <c r="E202" s="55"/>
      <c r="F202" s="55"/>
      <c r="G202" s="55"/>
      <c r="H202" s="46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0"/>
      <c r="AI202" s="10"/>
      <c r="AJ202" s="10"/>
      <c r="AK202" s="10"/>
      <c r="AL202" s="10"/>
      <c r="AM202" s="11"/>
      <c r="AN202" s="10"/>
      <c r="AO202" s="11"/>
      <c r="AY202" s="10"/>
      <c r="AZ202" s="11"/>
      <c r="BJ202" s="10"/>
      <c r="BK202" s="11"/>
      <c r="BU202" s="10"/>
      <c r="BV202" s="11"/>
    </row>
    <row r="203" customFormat="false" ht="12.75" hidden="false" customHeight="false" outlineLevel="0" collapsed="false">
      <c r="B203" s="51"/>
      <c r="C203" s="53"/>
      <c r="D203" s="59"/>
      <c r="E203" s="55"/>
      <c r="F203" s="55"/>
      <c r="G203" s="55"/>
      <c r="H203" s="46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0"/>
      <c r="AI203" s="10"/>
      <c r="AJ203" s="10"/>
      <c r="AK203" s="10"/>
      <c r="AL203" s="10"/>
      <c r="AM203" s="11"/>
      <c r="AN203" s="10"/>
      <c r="AO203" s="11"/>
      <c r="AY203" s="10"/>
      <c r="AZ203" s="11"/>
      <c r="BJ203" s="10"/>
      <c r="BK203" s="11"/>
      <c r="BU203" s="10"/>
      <c r="BV203" s="11"/>
    </row>
    <row r="204" customFormat="false" ht="12.75" hidden="false" customHeight="false" outlineLevel="0" collapsed="false">
      <c r="B204" s="51"/>
      <c r="C204" s="53"/>
      <c r="D204" s="59"/>
      <c r="E204" s="55"/>
      <c r="F204" s="55"/>
      <c r="G204" s="55"/>
      <c r="H204" s="46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0"/>
      <c r="AI204" s="10"/>
      <c r="AJ204" s="10"/>
      <c r="AK204" s="10"/>
      <c r="AL204" s="10"/>
      <c r="AM204" s="11"/>
      <c r="AN204" s="10"/>
      <c r="AO204" s="11"/>
      <c r="AY204" s="10"/>
      <c r="AZ204" s="11"/>
      <c r="BJ204" s="10"/>
      <c r="BK204" s="11"/>
      <c r="BU204" s="10"/>
      <c r="BV204" s="11"/>
    </row>
    <row r="205" customFormat="false" ht="12.75" hidden="false" customHeight="false" outlineLevel="0" collapsed="false">
      <c r="B205" s="51"/>
      <c r="C205" s="53"/>
      <c r="D205" s="59"/>
      <c r="E205" s="55"/>
      <c r="F205" s="55"/>
      <c r="G205" s="55"/>
      <c r="H205" s="46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0"/>
      <c r="AI205" s="10"/>
      <c r="AJ205" s="10"/>
      <c r="AK205" s="10"/>
      <c r="AL205" s="10"/>
      <c r="AM205" s="11"/>
      <c r="AN205" s="10"/>
      <c r="AO205" s="11"/>
      <c r="AY205" s="10"/>
      <c r="AZ205" s="11"/>
      <c r="BJ205" s="10"/>
      <c r="BK205" s="11"/>
      <c r="BU205" s="10"/>
      <c r="BV205" s="11"/>
    </row>
    <row r="206" customFormat="false" ht="12.75" hidden="false" customHeight="false" outlineLevel="0" collapsed="false">
      <c r="B206" s="51"/>
      <c r="C206" s="53"/>
      <c r="D206" s="59"/>
      <c r="E206" s="55"/>
      <c r="F206" s="55"/>
      <c r="G206" s="55"/>
      <c r="H206" s="46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0"/>
      <c r="AI206" s="10"/>
      <c r="AJ206" s="10"/>
      <c r="AK206" s="10"/>
      <c r="AL206" s="10"/>
      <c r="AM206" s="11"/>
      <c r="AN206" s="10"/>
      <c r="AO206" s="11"/>
      <c r="AY206" s="10"/>
      <c r="AZ206" s="11"/>
      <c r="BJ206" s="10"/>
      <c r="BK206" s="11"/>
      <c r="BU206" s="10"/>
      <c r="BV206" s="11"/>
    </row>
    <row r="207" customFormat="false" ht="12.75" hidden="false" customHeight="false" outlineLevel="0" collapsed="false">
      <c r="B207" s="51"/>
      <c r="C207" s="53"/>
      <c r="D207" s="59"/>
      <c r="E207" s="55"/>
      <c r="F207" s="55"/>
      <c r="G207" s="55"/>
      <c r="H207" s="46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0"/>
      <c r="AI207" s="10"/>
      <c r="AJ207" s="10"/>
      <c r="AK207" s="10"/>
      <c r="AL207" s="10"/>
      <c r="AM207" s="11"/>
      <c r="AN207" s="10"/>
      <c r="AO207" s="11"/>
      <c r="AY207" s="10"/>
      <c r="AZ207" s="11"/>
      <c r="BJ207" s="10"/>
      <c r="BK207" s="11"/>
      <c r="BU207" s="10"/>
      <c r="BV207" s="11"/>
    </row>
    <row r="208" customFormat="false" ht="12.75" hidden="false" customHeight="false" outlineLevel="0" collapsed="false">
      <c r="B208" s="51"/>
      <c r="C208" s="53"/>
      <c r="D208" s="59"/>
      <c r="E208" s="55"/>
      <c r="F208" s="55"/>
      <c r="G208" s="55"/>
      <c r="H208" s="46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0"/>
      <c r="AI208" s="10"/>
      <c r="AJ208" s="10"/>
      <c r="AK208" s="10"/>
      <c r="AL208" s="10"/>
      <c r="AM208" s="11"/>
      <c r="AN208" s="10"/>
      <c r="AO208" s="11"/>
      <c r="AY208" s="10"/>
      <c r="AZ208" s="11"/>
      <c r="BJ208" s="10"/>
      <c r="BK208" s="11"/>
      <c r="BU208" s="10"/>
      <c r="BV208" s="11"/>
    </row>
    <row r="209" customFormat="false" ht="12.75" hidden="false" customHeight="false" outlineLevel="0" collapsed="false">
      <c r="B209" s="51"/>
      <c r="C209" s="53"/>
      <c r="D209" s="59"/>
      <c r="E209" s="55"/>
      <c r="F209" s="55"/>
      <c r="G209" s="55"/>
      <c r="H209" s="46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0"/>
      <c r="AI209" s="10"/>
      <c r="AJ209" s="10"/>
      <c r="AK209" s="10"/>
      <c r="AL209" s="10"/>
      <c r="AM209" s="11"/>
      <c r="AN209" s="10"/>
      <c r="AO209" s="11"/>
      <c r="AY209" s="10"/>
      <c r="AZ209" s="11"/>
      <c r="BJ209" s="10"/>
      <c r="BK209" s="11"/>
      <c r="BU209" s="10"/>
      <c r="BV209" s="11"/>
    </row>
    <row r="210" customFormat="false" ht="12.75" hidden="false" customHeight="false" outlineLevel="0" collapsed="false">
      <c r="B210" s="60"/>
      <c r="C210" s="59"/>
      <c r="D210" s="59"/>
      <c r="E210" s="55"/>
      <c r="F210" s="55"/>
      <c r="G210" s="55"/>
      <c r="H210" s="46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0"/>
      <c r="AI210" s="10"/>
      <c r="AJ210" s="10"/>
      <c r="AK210" s="10"/>
      <c r="AL210" s="10"/>
      <c r="AM210" s="11"/>
      <c r="AN210" s="10"/>
      <c r="AO210" s="11"/>
      <c r="AY210" s="10"/>
      <c r="AZ210" s="11"/>
      <c r="BJ210" s="10"/>
      <c r="BK210" s="11"/>
      <c r="BU210" s="10"/>
      <c r="BV210" s="11"/>
    </row>
    <row r="211" customFormat="false" ht="12.75" hidden="false" customHeight="false" outlineLevel="0" collapsed="false">
      <c r="B211" s="60"/>
      <c r="C211" s="59"/>
      <c r="D211" s="59"/>
      <c r="E211" s="55"/>
      <c r="F211" s="55"/>
      <c r="G211" s="55"/>
      <c r="H211" s="46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0"/>
      <c r="AI211" s="10"/>
      <c r="AJ211" s="10"/>
      <c r="AK211" s="10"/>
      <c r="AL211" s="10"/>
      <c r="AM211" s="11"/>
      <c r="AN211" s="10"/>
      <c r="AO211" s="11"/>
      <c r="AY211" s="10"/>
      <c r="AZ211" s="11"/>
      <c r="BJ211" s="10"/>
      <c r="BK211" s="11"/>
      <c r="BU211" s="10"/>
      <c r="BV211" s="11"/>
    </row>
    <row r="212" customFormat="false" ht="12.75" hidden="false" customHeight="false" outlineLevel="0" collapsed="false">
      <c r="B212" s="60"/>
      <c r="C212" s="59"/>
      <c r="D212" s="59"/>
      <c r="E212" s="55"/>
      <c r="F212" s="55"/>
      <c r="G212" s="55"/>
      <c r="H212" s="46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0"/>
      <c r="AI212" s="10"/>
      <c r="AJ212" s="10"/>
      <c r="AK212" s="10"/>
      <c r="AL212" s="10"/>
      <c r="AM212" s="11"/>
      <c r="AN212" s="10"/>
      <c r="AO212" s="11"/>
      <c r="AY212" s="10"/>
      <c r="AZ212" s="11"/>
      <c r="BJ212" s="10"/>
      <c r="BK212" s="11"/>
      <c r="BU212" s="10"/>
      <c r="BV212" s="11"/>
    </row>
    <row r="213" customFormat="false" ht="12.75" hidden="false" customHeight="false" outlineLevel="0" collapsed="false">
      <c r="B213" s="60"/>
      <c r="C213" s="59"/>
      <c r="D213" s="59"/>
      <c r="E213" s="55"/>
      <c r="F213" s="55"/>
      <c r="G213" s="55"/>
      <c r="H213" s="46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0"/>
      <c r="AI213" s="10"/>
      <c r="AJ213" s="10"/>
      <c r="AK213" s="10"/>
      <c r="AL213" s="10"/>
      <c r="AM213" s="11"/>
      <c r="AN213" s="10"/>
      <c r="AO213" s="11"/>
      <c r="AY213" s="10"/>
      <c r="AZ213" s="11"/>
      <c r="BJ213" s="10"/>
      <c r="BK213" s="11"/>
      <c r="BU213" s="10"/>
      <c r="BV213" s="11"/>
    </row>
    <row r="214" customFormat="false" ht="12.75" hidden="false" customHeight="false" outlineLevel="0" collapsed="false">
      <c r="B214" s="60"/>
      <c r="C214" s="59"/>
      <c r="D214" s="59"/>
      <c r="E214" s="55"/>
      <c r="F214" s="55"/>
      <c r="G214" s="55"/>
      <c r="H214" s="46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0"/>
      <c r="AI214" s="10"/>
      <c r="AJ214" s="10"/>
      <c r="AK214" s="10"/>
      <c r="AL214" s="10"/>
      <c r="AM214" s="11"/>
      <c r="AN214" s="10"/>
      <c r="AO214" s="11"/>
      <c r="AY214" s="10"/>
      <c r="AZ214" s="11"/>
      <c r="BJ214" s="10"/>
      <c r="BK214" s="11"/>
      <c r="BU214" s="10"/>
      <c r="BV214" s="11"/>
    </row>
    <row r="215" customFormat="false" ht="12.75" hidden="false" customHeight="false" outlineLevel="0" collapsed="false">
      <c r="B215" s="60"/>
      <c r="C215" s="59"/>
      <c r="D215" s="59"/>
      <c r="E215" s="55"/>
      <c r="F215" s="55"/>
      <c r="G215" s="55"/>
      <c r="H215" s="46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0"/>
      <c r="AI215" s="10"/>
      <c r="AJ215" s="10"/>
      <c r="AK215" s="10"/>
      <c r="AL215" s="10"/>
      <c r="AM215" s="11"/>
      <c r="AN215" s="10"/>
      <c r="AO215" s="11"/>
      <c r="AY215" s="10"/>
      <c r="AZ215" s="11"/>
      <c r="BJ215" s="10"/>
      <c r="BK215" s="11"/>
      <c r="BU215" s="10"/>
      <c r="BV215" s="11"/>
    </row>
    <row r="216" customFormat="false" ht="12.75" hidden="false" customHeight="false" outlineLevel="0" collapsed="false">
      <c r="B216" s="60"/>
      <c r="C216" s="59"/>
      <c r="D216" s="59"/>
      <c r="E216" s="55"/>
      <c r="F216" s="55"/>
      <c r="G216" s="55"/>
      <c r="H216" s="46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0"/>
      <c r="AI216" s="10"/>
      <c r="AJ216" s="10"/>
      <c r="AK216" s="10"/>
      <c r="AL216" s="10"/>
      <c r="AM216" s="11"/>
      <c r="AN216" s="10"/>
      <c r="AO216" s="11"/>
      <c r="AY216" s="10"/>
      <c r="AZ216" s="11"/>
      <c r="BJ216" s="10"/>
      <c r="BK216" s="11"/>
      <c r="BU216" s="10"/>
      <c r="BV216" s="11"/>
    </row>
    <row r="217" customFormat="false" ht="12.75" hidden="false" customHeight="false" outlineLevel="0" collapsed="false">
      <c r="B217" s="60"/>
      <c r="C217" s="59"/>
      <c r="D217" s="59"/>
      <c r="E217" s="55"/>
      <c r="F217" s="55"/>
      <c r="G217" s="55"/>
      <c r="H217" s="46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0"/>
      <c r="AI217" s="10"/>
      <c r="AJ217" s="10"/>
      <c r="AK217" s="10"/>
      <c r="AL217" s="10"/>
      <c r="AM217" s="11"/>
      <c r="AN217" s="10"/>
      <c r="AO217" s="11"/>
      <c r="AY217" s="10"/>
      <c r="AZ217" s="11"/>
      <c r="BJ217" s="10"/>
      <c r="BK217" s="11"/>
      <c r="BU217" s="10"/>
      <c r="BV217" s="11"/>
    </row>
    <row r="218" customFormat="false" ht="12.75" hidden="false" customHeight="false" outlineLevel="0" collapsed="false">
      <c r="B218" s="60"/>
      <c r="C218" s="59"/>
      <c r="D218" s="59"/>
      <c r="E218" s="55"/>
      <c r="F218" s="55"/>
      <c r="G218" s="55"/>
      <c r="H218" s="46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0"/>
      <c r="AI218" s="10"/>
      <c r="AJ218" s="10"/>
      <c r="AK218" s="10"/>
      <c r="AL218" s="10"/>
      <c r="AM218" s="11"/>
      <c r="AN218" s="10"/>
      <c r="AO218" s="11"/>
      <c r="AY218" s="10"/>
      <c r="AZ218" s="11"/>
      <c r="BJ218" s="10"/>
      <c r="BK218" s="11"/>
      <c r="BU218" s="10"/>
      <c r="BV218" s="11"/>
    </row>
    <row r="219" customFormat="false" ht="12.75" hidden="false" customHeight="false" outlineLevel="0" collapsed="false">
      <c r="B219" s="60"/>
      <c r="C219" s="59"/>
      <c r="D219" s="59"/>
      <c r="E219" s="55"/>
      <c r="F219" s="55"/>
      <c r="G219" s="55"/>
      <c r="H219" s="46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0"/>
      <c r="AI219" s="10"/>
      <c r="AJ219" s="10"/>
      <c r="AK219" s="10"/>
      <c r="AL219" s="10"/>
      <c r="AM219" s="11"/>
      <c r="AN219" s="10"/>
      <c r="AO219" s="11"/>
      <c r="AY219" s="10"/>
      <c r="AZ219" s="11"/>
      <c r="BJ219" s="10"/>
      <c r="BK219" s="11"/>
      <c r="BU219" s="10"/>
      <c r="BV219" s="11"/>
    </row>
    <row r="220" customFormat="false" ht="12.75" hidden="false" customHeight="false" outlineLevel="0" collapsed="false">
      <c r="B220" s="60"/>
      <c r="C220" s="59"/>
      <c r="D220" s="59"/>
      <c r="E220" s="55"/>
      <c r="F220" s="55"/>
      <c r="G220" s="55"/>
      <c r="H220" s="46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0"/>
      <c r="AI220" s="10"/>
      <c r="AJ220" s="10"/>
      <c r="AK220" s="10"/>
      <c r="AL220" s="10"/>
      <c r="AM220" s="11"/>
      <c r="AN220" s="10"/>
      <c r="AO220" s="11"/>
      <c r="AY220" s="10"/>
      <c r="AZ220" s="11"/>
      <c r="BJ220" s="10"/>
      <c r="BK220" s="11"/>
      <c r="BU220" s="10"/>
      <c r="BV220" s="11"/>
    </row>
    <row r="221" customFormat="false" ht="12.75" hidden="false" customHeight="false" outlineLevel="0" collapsed="false">
      <c r="B221" s="60"/>
      <c r="C221" s="59"/>
      <c r="D221" s="59"/>
      <c r="E221" s="55"/>
      <c r="F221" s="55"/>
      <c r="G221" s="55"/>
      <c r="H221" s="46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0"/>
      <c r="AI221" s="10"/>
      <c r="AJ221" s="10"/>
      <c r="AK221" s="10"/>
      <c r="AL221" s="10"/>
      <c r="AM221" s="11"/>
      <c r="AN221" s="10"/>
      <c r="AO221" s="11"/>
      <c r="AY221" s="10"/>
      <c r="AZ221" s="11"/>
      <c r="BJ221" s="10"/>
      <c r="BK221" s="11"/>
      <c r="BU221" s="10"/>
      <c r="BV221" s="11"/>
    </row>
    <row r="222" customFormat="false" ht="12.75" hidden="false" customHeight="false" outlineLevel="0" collapsed="false">
      <c r="B222" s="60"/>
      <c r="C222" s="59"/>
      <c r="D222" s="59"/>
      <c r="E222" s="55"/>
      <c r="F222" s="55"/>
      <c r="G222" s="55"/>
      <c r="H222" s="46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0"/>
      <c r="AI222" s="10"/>
      <c r="AJ222" s="10"/>
      <c r="AK222" s="10"/>
      <c r="AL222" s="10"/>
      <c r="AM222" s="11"/>
      <c r="AN222" s="10"/>
      <c r="AO222" s="11"/>
      <c r="AY222" s="10"/>
      <c r="AZ222" s="11"/>
      <c r="BJ222" s="10"/>
      <c r="BK222" s="11"/>
      <c r="BU222" s="10"/>
      <c r="BV222" s="1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1999-08-13T11:32:41Z</dcterms:created>
  <dc:creator>Kayvan "Big Dog" Malek. . .ps Martin Sucks</dc:creator>
  <dc:description/>
  <dc:language>en-US</dc:language>
  <cp:lastModifiedBy>sscott5</cp:lastModifiedBy>
  <cp:lastPrinted>2000-08-22T10:32:29Z</cp:lastPrinted>
  <dcterms:modified xsi:type="dcterms:W3CDTF">2000-04-02T18:45:03Z</dcterms:modified>
  <cp:revision>0</cp:revision>
  <dc:subject/>
  <dc:title/>
</cp:coreProperties>
</file>